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Salv2\home\kallan\My Documents\Manure standards\Materjalid\WP3\Calc_tool_regional\"/>
    </mc:Choice>
  </mc:AlternateContent>
  <bookViews>
    <workbookView xWindow="0" yWindow="0" windowWidth="19200" windowHeight="7050" tabRatio="629" firstSheet="1" activeTab="6"/>
  </bookViews>
  <sheets>
    <sheet name="Calc (ex-animal)" sheetId="3" r:id="rId1"/>
    <sheet name="Calc (ex-housing, ex-storage)" sheetId="4" r:id="rId2"/>
    <sheet name="DB animal categories" sheetId="1" r:id="rId3"/>
    <sheet name="DB technologies" sheetId="5" r:id="rId4"/>
    <sheet name="DB additional information " sheetId="2" r:id="rId5"/>
    <sheet name="Report (Tier1)" sheetId="7" r:id="rId6"/>
    <sheet name="Report (Tier 2 and 3)" sheetId="6" r:id="rId7"/>
  </sheets>
  <definedNames>
    <definedName name="_xlnm._FilterDatabase" localSheetId="0" hidden="1">'Calc (ex-animal)'!$D$8:$D$37</definedName>
    <definedName name="suvaline">'Calc (ex-animal)'!$D$8:$Y$37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C22" i="7"/>
  <c r="E22" i="7" s="1"/>
  <c r="G22" i="7"/>
  <c r="F22" i="7"/>
  <c r="H20" i="7"/>
  <c r="G20" i="7"/>
  <c r="F20" i="7"/>
  <c r="E20" i="7"/>
  <c r="D20" i="7"/>
  <c r="H19" i="7"/>
  <c r="G19" i="7"/>
  <c r="F19" i="7"/>
  <c r="E19" i="7"/>
  <c r="D19" i="7"/>
  <c r="G17" i="7"/>
  <c r="H17" i="7"/>
  <c r="H16" i="7"/>
  <c r="F17" i="7"/>
  <c r="E17" i="7"/>
  <c r="D17" i="7"/>
  <c r="G16" i="7"/>
  <c r="F16" i="7"/>
  <c r="E16" i="7"/>
  <c r="D16" i="7"/>
  <c r="M51" i="3"/>
  <c r="M50" i="3"/>
  <c r="M49" i="3"/>
  <c r="M48" i="3"/>
  <c r="M45" i="3"/>
  <c r="M44" i="3"/>
  <c r="M43" i="3"/>
  <c r="K52" i="3"/>
  <c r="L50" i="3"/>
  <c r="K50" i="3"/>
  <c r="W50" i="3" s="1"/>
  <c r="L49" i="3"/>
  <c r="K49" i="3"/>
  <c r="W49" i="3" s="1"/>
  <c r="L48" i="3"/>
  <c r="K48" i="3"/>
  <c r="W48" i="3" s="1"/>
  <c r="L45" i="3"/>
  <c r="L44" i="3"/>
  <c r="K46" i="3"/>
  <c r="K45" i="3"/>
  <c r="W45" i="3" s="1"/>
  <c r="K44" i="3"/>
  <c r="W44" i="3" s="1"/>
  <c r="K43" i="3"/>
  <c r="L40" i="3"/>
  <c r="L39" i="3"/>
  <c r="L38" i="3"/>
  <c r="L43" i="3"/>
  <c r="K40" i="3"/>
  <c r="V40" i="3" s="1"/>
  <c r="K39" i="3"/>
  <c r="K38" i="3"/>
  <c r="K93" i="3"/>
  <c r="W57" i="3"/>
  <c r="V57" i="3"/>
  <c r="W56" i="3"/>
  <c r="V56" i="3"/>
  <c r="W55" i="3"/>
  <c r="V55" i="3"/>
  <c r="W37" i="3"/>
  <c r="V37" i="3"/>
  <c r="W36" i="3"/>
  <c r="V36" i="3"/>
  <c r="W35" i="3"/>
  <c r="V35" i="3"/>
  <c r="V50" i="3" l="1"/>
  <c r="D22" i="7"/>
  <c r="H22" i="7"/>
  <c r="L46" i="3"/>
  <c r="M46" i="3" s="1"/>
  <c r="L52" i="3"/>
  <c r="M52" i="3" s="1"/>
  <c r="V49" i="3"/>
  <c r="V44" i="3"/>
  <c r="V48" i="3"/>
  <c r="V45" i="3"/>
  <c r="W40" i="3"/>
  <c r="BT138" i="4"/>
  <c r="BS138" i="4"/>
  <c r="BR138" i="4"/>
  <c r="BQ138" i="4"/>
  <c r="BP138" i="4"/>
  <c r="BO138" i="4"/>
  <c r="BN138" i="4"/>
  <c r="BM138" i="4"/>
  <c r="BL138" i="4"/>
  <c r="BK138" i="4"/>
  <c r="BI138" i="4"/>
  <c r="BJ138" i="4" s="1"/>
  <c r="BT137" i="4"/>
  <c r="BS137" i="4"/>
  <c r="BR137" i="4"/>
  <c r="BQ137" i="4"/>
  <c r="BP137" i="4"/>
  <c r="BO137" i="4"/>
  <c r="BN137" i="4"/>
  <c r="BM137" i="4"/>
  <c r="BL137" i="4"/>
  <c r="BK137" i="4"/>
  <c r="BI137" i="4"/>
  <c r="BJ137" i="4" s="1"/>
  <c r="BT132" i="4"/>
  <c r="BS132" i="4"/>
  <c r="BR132" i="4"/>
  <c r="BQ132" i="4"/>
  <c r="BP132" i="4"/>
  <c r="BO132" i="4"/>
  <c r="BN132" i="4"/>
  <c r="BM132" i="4"/>
  <c r="BL132" i="4"/>
  <c r="BK132" i="4"/>
  <c r="BI132" i="4"/>
  <c r="BJ132" i="4" s="1"/>
  <c r="BT131" i="4"/>
  <c r="BS131" i="4"/>
  <c r="BR131" i="4"/>
  <c r="BQ131" i="4"/>
  <c r="BP131" i="4"/>
  <c r="BO131" i="4"/>
  <c r="BN131" i="4"/>
  <c r="BM131" i="4"/>
  <c r="BL131" i="4"/>
  <c r="BK131" i="4"/>
  <c r="BI131" i="4"/>
  <c r="BJ131" i="4" s="1"/>
  <c r="BQ126" i="4"/>
  <c r="BP126" i="4"/>
  <c r="BO126" i="4"/>
  <c r="BN126" i="4"/>
  <c r="BM126" i="4"/>
  <c r="BL126" i="4"/>
  <c r="BK126" i="4"/>
  <c r="BI126" i="4"/>
  <c r="BJ126" i="4" s="1"/>
  <c r="BQ125" i="4"/>
  <c r="BP125" i="4"/>
  <c r="BO125" i="4"/>
  <c r="BN125" i="4"/>
  <c r="BM125" i="4"/>
  <c r="BL125" i="4"/>
  <c r="BK125" i="4"/>
  <c r="BI125" i="4"/>
  <c r="BJ125" i="4" s="1"/>
  <c r="BT74" i="4"/>
  <c r="BT73" i="4"/>
  <c r="BS74" i="4"/>
  <c r="BS73" i="4"/>
  <c r="BR74" i="4"/>
  <c r="BR73" i="4"/>
  <c r="BQ74" i="4"/>
  <c r="BQ73" i="4"/>
  <c r="BP74" i="4"/>
  <c r="BP73" i="4"/>
  <c r="BO74" i="4"/>
  <c r="BO73" i="4"/>
  <c r="BQ68" i="4"/>
  <c r="BQ66" i="4"/>
  <c r="BP68" i="4"/>
  <c r="BP66" i="4"/>
  <c r="BO68" i="4"/>
  <c r="BO66" i="4"/>
  <c r="BT118" i="4"/>
  <c r="BS118" i="4"/>
  <c r="BR118" i="4"/>
  <c r="BQ118" i="4"/>
  <c r="BP118" i="4"/>
  <c r="BO118" i="4"/>
  <c r="BN118" i="4"/>
  <c r="BM118" i="4"/>
  <c r="BL118" i="4"/>
  <c r="BK118" i="4"/>
  <c r="BI118" i="4"/>
  <c r="BJ118" i="4" s="1"/>
  <c r="BT116" i="4"/>
  <c r="BS116" i="4"/>
  <c r="BR116" i="4"/>
  <c r="BQ116" i="4"/>
  <c r="BP116" i="4"/>
  <c r="BO116" i="4"/>
  <c r="BN116" i="4"/>
  <c r="BM116" i="4"/>
  <c r="BL116" i="4"/>
  <c r="BK116" i="4"/>
  <c r="BI116" i="4"/>
  <c r="BJ116" i="4" s="1"/>
  <c r="BT93" i="4"/>
  <c r="BT92" i="4"/>
  <c r="BS93" i="4"/>
  <c r="BS92" i="4"/>
  <c r="BR93" i="4"/>
  <c r="BR92" i="4"/>
  <c r="BQ93" i="4"/>
  <c r="BQ92" i="4"/>
  <c r="BP93" i="4"/>
  <c r="BP92" i="4"/>
  <c r="BO93" i="4"/>
  <c r="BO92" i="4"/>
  <c r="BQ87" i="4"/>
  <c r="BQ85" i="4"/>
  <c r="BP87" i="4"/>
  <c r="BP85" i="4"/>
  <c r="BO87" i="4"/>
  <c r="BO85" i="4"/>
  <c r="BT112" i="4"/>
  <c r="BS112" i="4"/>
  <c r="BR112" i="4"/>
  <c r="BQ112" i="4"/>
  <c r="BP112" i="4"/>
  <c r="BO112" i="4"/>
  <c r="BN112" i="4"/>
  <c r="BM112" i="4"/>
  <c r="BL112" i="4"/>
  <c r="BK112" i="4"/>
  <c r="BI112" i="4"/>
  <c r="BJ112" i="4" s="1"/>
  <c r="BT110" i="4"/>
  <c r="BS110" i="4"/>
  <c r="BR110" i="4"/>
  <c r="BQ110" i="4"/>
  <c r="BP110" i="4"/>
  <c r="BO110" i="4"/>
  <c r="BN110" i="4"/>
  <c r="BM110" i="4"/>
  <c r="BL110" i="4"/>
  <c r="BK110" i="4"/>
  <c r="BI110" i="4"/>
  <c r="BJ110" i="4" s="1"/>
  <c r="BQ107" i="4"/>
  <c r="BP107" i="4"/>
  <c r="BO107" i="4"/>
  <c r="BN107" i="4"/>
  <c r="BM107" i="4"/>
  <c r="BL107" i="4"/>
  <c r="BK107" i="4"/>
  <c r="BI107" i="4"/>
  <c r="BJ107" i="4" s="1"/>
  <c r="BQ106" i="4"/>
  <c r="BP106" i="4"/>
  <c r="BO106" i="4"/>
  <c r="BN106" i="4"/>
  <c r="BM106" i="4"/>
  <c r="BL106" i="4"/>
  <c r="BK106" i="4"/>
  <c r="BI106" i="4"/>
  <c r="BJ106" i="4" s="1"/>
  <c r="AN73" i="5"/>
  <c r="AN72" i="5"/>
  <c r="AN71" i="5"/>
  <c r="AN70" i="5"/>
  <c r="AN69" i="5"/>
  <c r="AN68" i="5"/>
  <c r="AN67" i="5"/>
  <c r="AN66" i="5"/>
  <c r="AN65" i="5"/>
  <c r="AN64" i="5"/>
  <c r="AN63" i="5"/>
  <c r="AN62" i="5"/>
  <c r="AN61" i="5"/>
  <c r="AN60" i="5"/>
  <c r="AN59" i="5"/>
  <c r="AS635" i="4"/>
  <c r="AZ635" i="4" s="1"/>
  <c r="AI635" i="4"/>
  <c r="AZ634" i="4"/>
  <c r="AY634" i="4"/>
  <c r="AX634" i="4"/>
  <c r="AV634" i="4"/>
  <c r="AU634" i="4"/>
  <c r="AS634" i="4"/>
  <c r="AR634" i="4"/>
  <c r="AQ634" i="4"/>
  <c r="AP634" i="4"/>
  <c r="AO634" i="4"/>
  <c r="AM634" i="4"/>
  <c r="AL634" i="4"/>
  <c r="AI634" i="4"/>
  <c r="AK634" i="4" s="1"/>
  <c r="AS633" i="4"/>
  <c r="AI633" i="4"/>
  <c r="AQ633" i="4" s="1"/>
  <c r="AZ632" i="4"/>
  <c r="AY632" i="4"/>
  <c r="AX632" i="4"/>
  <c r="AV632" i="4"/>
  <c r="AU632" i="4"/>
  <c r="AS632" i="4"/>
  <c r="AR632" i="4"/>
  <c r="AQ632" i="4"/>
  <c r="AP632" i="4"/>
  <c r="AO632" i="4"/>
  <c r="AM632" i="4"/>
  <c r="AL632" i="4"/>
  <c r="AI632" i="4"/>
  <c r="AK632" i="4" s="1"/>
  <c r="AS631" i="4"/>
  <c r="AR631" i="4"/>
  <c r="AI631" i="4"/>
  <c r="AZ629" i="4"/>
  <c r="AY629" i="4"/>
  <c r="AX629" i="4"/>
  <c r="AV629" i="4"/>
  <c r="AU629" i="4"/>
  <c r="AS629" i="4"/>
  <c r="AT629" i="4" s="1"/>
  <c r="AR629" i="4"/>
  <c r="AQ629" i="4"/>
  <c r="AP629" i="4"/>
  <c r="AO629" i="4"/>
  <c r="AM629" i="4"/>
  <c r="AL629" i="4"/>
  <c r="AI629" i="4"/>
  <c r="AZ628" i="4"/>
  <c r="AY628" i="4"/>
  <c r="AX628" i="4"/>
  <c r="AV628" i="4"/>
  <c r="AU628" i="4"/>
  <c r="AS628" i="4"/>
  <c r="AW628" i="4" s="1"/>
  <c r="AR628" i="4"/>
  <c r="AQ628" i="4"/>
  <c r="AP628" i="4"/>
  <c r="AO628" i="4"/>
  <c r="AM628" i="4"/>
  <c r="AL628" i="4"/>
  <c r="AI628" i="4"/>
  <c r="AK628" i="4" s="1"/>
  <c r="AZ627" i="4"/>
  <c r="AY627" i="4"/>
  <c r="AX627" i="4"/>
  <c r="AV627" i="4"/>
  <c r="AU627" i="4"/>
  <c r="AS627" i="4"/>
  <c r="AW627" i="4" s="1"/>
  <c r="AR627" i="4"/>
  <c r="AQ627" i="4"/>
  <c r="AP627" i="4"/>
  <c r="AO627" i="4"/>
  <c r="AM627" i="4"/>
  <c r="AL627" i="4"/>
  <c r="AI627" i="4"/>
  <c r="AK627" i="4" s="1"/>
  <c r="AZ626" i="4"/>
  <c r="AY626" i="4"/>
  <c r="AX626" i="4"/>
  <c r="AV626" i="4"/>
  <c r="AU626" i="4"/>
  <c r="AS626" i="4"/>
  <c r="AW626" i="4" s="1"/>
  <c r="AR626" i="4"/>
  <c r="AQ626" i="4"/>
  <c r="AP626" i="4"/>
  <c r="AO626" i="4"/>
  <c r="AM626" i="4"/>
  <c r="AL626" i="4"/>
  <c r="AI626" i="4"/>
  <c r="AK626" i="4" s="1"/>
  <c r="AZ625" i="4"/>
  <c r="AY625" i="4"/>
  <c r="AX625" i="4"/>
  <c r="AV625" i="4"/>
  <c r="AU625" i="4"/>
  <c r="AS625" i="4"/>
  <c r="AW625" i="4" s="1"/>
  <c r="AR625" i="4"/>
  <c r="AQ625" i="4"/>
  <c r="AP625" i="4"/>
  <c r="AO625" i="4"/>
  <c r="AM625" i="4"/>
  <c r="AL625" i="4"/>
  <c r="AI625" i="4"/>
  <c r="AZ623" i="4"/>
  <c r="AY623" i="4"/>
  <c r="AX623" i="4"/>
  <c r="AV623" i="4"/>
  <c r="AU623" i="4"/>
  <c r="AS623" i="4"/>
  <c r="AT623" i="4" s="1"/>
  <c r="AR623" i="4"/>
  <c r="AQ623" i="4"/>
  <c r="AP623" i="4"/>
  <c r="AO623" i="4"/>
  <c r="AM623" i="4"/>
  <c r="AL623" i="4"/>
  <c r="AI623" i="4"/>
  <c r="AZ622" i="4"/>
  <c r="AY622" i="4"/>
  <c r="AX622" i="4"/>
  <c r="AV622" i="4"/>
  <c r="AU622" i="4"/>
  <c r="AS622" i="4"/>
  <c r="AW622" i="4" s="1"/>
  <c r="AR622" i="4"/>
  <c r="AQ622" i="4"/>
  <c r="AP622" i="4"/>
  <c r="AO622" i="4"/>
  <c r="AM622" i="4"/>
  <c r="AL622" i="4"/>
  <c r="AI622" i="4"/>
  <c r="AK622" i="4" s="1"/>
  <c r="AZ621" i="4"/>
  <c r="AY621" i="4"/>
  <c r="AX621" i="4"/>
  <c r="AV621" i="4"/>
  <c r="AU621" i="4"/>
  <c r="AS621" i="4"/>
  <c r="AT621" i="4" s="1"/>
  <c r="AR621" i="4"/>
  <c r="AQ621" i="4"/>
  <c r="AP621" i="4"/>
  <c r="AO621" i="4"/>
  <c r="AM621" i="4"/>
  <c r="AL621" i="4"/>
  <c r="AI621" i="4"/>
  <c r="AN621" i="4" s="1"/>
  <c r="AZ620" i="4"/>
  <c r="AY620" i="4"/>
  <c r="AX620" i="4"/>
  <c r="AV620" i="4"/>
  <c r="AU620" i="4"/>
  <c r="AS620" i="4"/>
  <c r="AT620" i="4" s="1"/>
  <c r="AR620" i="4"/>
  <c r="AQ620" i="4"/>
  <c r="AP620" i="4"/>
  <c r="AO620" i="4"/>
  <c r="AM620" i="4"/>
  <c r="AL620" i="4"/>
  <c r="AI620" i="4"/>
  <c r="AK620" i="4" s="1"/>
  <c r="AZ619" i="4"/>
  <c r="AY619" i="4"/>
  <c r="AX619" i="4"/>
  <c r="AV619" i="4"/>
  <c r="AU619" i="4"/>
  <c r="AS619" i="4"/>
  <c r="AT619" i="4" s="1"/>
  <c r="AR619" i="4"/>
  <c r="AQ619" i="4"/>
  <c r="AP619" i="4"/>
  <c r="AO619" i="4"/>
  <c r="AM619" i="4"/>
  <c r="AL619" i="4"/>
  <c r="AI619" i="4"/>
  <c r="AN619" i="4" s="1"/>
  <c r="AZ617" i="4"/>
  <c r="AY617" i="4"/>
  <c r="AX617" i="4"/>
  <c r="AV617" i="4"/>
  <c r="AU617" i="4"/>
  <c r="AS617" i="4"/>
  <c r="AT617" i="4" s="1"/>
  <c r="AR617" i="4"/>
  <c r="AQ617" i="4"/>
  <c r="AP617" i="4"/>
  <c r="AO617" i="4"/>
  <c r="AM617" i="4"/>
  <c r="AL617" i="4"/>
  <c r="AI617" i="4"/>
  <c r="AN617" i="4" s="1"/>
  <c r="AZ616" i="4"/>
  <c r="AY616" i="4"/>
  <c r="AX616" i="4"/>
  <c r="AV616" i="4"/>
  <c r="AU616" i="4"/>
  <c r="AS616" i="4"/>
  <c r="AR616" i="4"/>
  <c r="AQ616" i="4"/>
  <c r="AP616" i="4"/>
  <c r="AO616" i="4"/>
  <c r="AM616" i="4"/>
  <c r="AL616" i="4"/>
  <c r="AI616" i="4"/>
  <c r="AN616" i="4" s="1"/>
  <c r="AZ615" i="4"/>
  <c r="AY615" i="4"/>
  <c r="AX615" i="4"/>
  <c r="AV615" i="4"/>
  <c r="AU615" i="4"/>
  <c r="AS615" i="4"/>
  <c r="AT615" i="4" s="1"/>
  <c r="AR615" i="4"/>
  <c r="AQ615" i="4"/>
  <c r="AP615" i="4"/>
  <c r="AO615" i="4"/>
  <c r="AM615" i="4"/>
  <c r="AL615" i="4"/>
  <c r="AI615" i="4"/>
  <c r="AZ614" i="4"/>
  <c r="AY614" i="4"/>
  <c r="AX614" i="4"/>
  <c r="AV614" i="4"/>
  <c r="AU614" i="4"/>
  <c r="AS614" i="4"/>
  <c r="AW614" i="4" s="1"/>
  <c r="AR614" i="4"/>
  <c r="AQ614" i="4"/>
  <c r="AP614" i="4"/>
  <c r="AO614" i="4"/>
  <c r="AM614" i="4"/>
  <c r="AL614" i="4"/>
  <c r="AI614" i="4"/>
  <c r="AN614" i="4" s="1"/>
  <c r="AS613" i="4"/>
  <c r="AO613" i="4"/>
  <c r="AP613" i="4" s="1"/>
  <c r="AI613" i="4"/>
  <c r="AR613" i="4" s="1"/>
  <c r="AS611" i="4"/>
  <c r="AI611" i="4"/>
  <c r="AZ610" i="4"/>
  <c r="AY610" i="4"/>
  <c r="AX610" i="4"/>
  <c r="AV610" i="4"/>
  <c r="AU610" i="4"/>
  <c r="AS610" i="4"/>
  <c r="AW610" i="4" s="1"/>
  <c r="AR610" i="4"/>
  <c r="AQ610" i="4"/>
  <c r="AP610" i="4"/>
  <c r="AO610" i="4"/>
  <c r="AM610" i="4"/>
  <c r="AL610" i="4"/>
  <c r="AI610" i="4"/>
  <c r="AK610" i="4" s="1"/>
  <c r="AZ609" i="4"/>
  <c r="AY609" i="4"/>
  <c r="AX609" i="4"/>
  <c r="AV609" i="4"/>
  <c r="AU609" i="4"/>
  <c r="AS609" i="4"/>
  <c r="AT609" i="4" s="1"/>
  <c r="AR609" i="4"/>
  <c r="AQ609" i="4"/>
  <c r="AP609" i="4"/>
  <c r="AO609" i="4"/>
  <c r="AM609" i="4"/>
  <c r="AL609" i="4"/>
  <c r="AI609" i="4"/>
  <c r="AN609" i="4" s="1"/>
  <c r="AZ608" i="4"/>
  <c r="AY608" i="4"/>
  <c r="AX608" i="4"/>
  <c r="AV608" i="4"/>
  <c r="AU608" i="4"/>
  <c r="AS608" i="4"/>
  <c r="AR608" i="4"/>
  <c r="AQ608" i="4"/>
  <c r="AP608" i="4"/>
  <c r="AO608" i="4"/>
  <c r="AM608" i="4"/>
  <c r="AL608" i="4"/>
  <c r="AI608" i="4"/>
  <c r="AK608" i="4" s="1"/>
  <c r="AS607" i="4"/>
  <c r="AI607" i="4"/>
  <c r="AA635" i="4"/>
  <c r="W635" i="4"/>
  <c r="S635" i="4"/>
  <c r="AA634" i="4"/>
  <c r="Z634" i="4"/>
  <c r="Y634" i="4"/>
  <c r="W634" i="4"/>
  <c r="V634" i="4"/>
  <c r="U634" i="4"/>
  <c r="S634" i="4"/>
  <c r="R634" i="4"/>
  <c r="Q634" i="4"/>
  <c r="O634" i="4"/>
  <c r="N634" i="4"/>
  <c r="M634" i="4"/>
  <c r="L634" i="4"/>
  <c r="K634" i="4"/>
  <c r="J634" i="4"/>
  <c r="I634" i="4"/>
  <c r="H634" i="4"/>
  <c r="AA633" i="4"/>
  <c r="W633" i="4"/>
  <c r="S633" i="4"/>
  <c r="AA632" i="4"/>
  <c r="Z632" i="4"/>
  <c r="Y632" i="4"/>
  <c r="W632" i="4"/>
  <c r="V632" i="4"/>
  <c r="U632" i="4"/>
  <c r="S632" i="4"/>
  <c r="R632" i="4"/>
  <c r="Q632" i="4"/>
  <c r="O632" i="4"/>
  <c r="N632" i="4"/>
  <c r="M632" i="4"/>
  <c r="L632" i="4"/>
  <c r="K632" i="4"/>
  <c r="J632" i="4"/>
  <c r="I632" i="4"/>
  <c r="H632" i="4"/>
  <c r="AA631" i="4"/>
  <c r="W631" i="4"/>
  <c r="S631" i="4"/>
  <c r="AA629" i="4"/>
  <c r="Z629" i="4"/>
  <c r="Y629" i="4"/>
  <c r="W629" i="4"/>
  <c r="V629" i="4"/>
  <c r="U629" i="4"/>
  <c r="S629" i="4"/>
  <c r="R629" i="4"/>
  <c r="Q629" i="4"/>
  <c r="O629" i="4"/>
  <c r="N629" i="4"/>
  <c r="M629" i="4"/>
  <c r="K629" i="4"/>
  <c r="J629" i="4"/>
  <c r="I629" i="4"/>
  <c r="AA628" i="4"/>
  <c r="Z628" i="4"/>
  <c r="Y628" i="4"/>
  <c r="W628" i="4"/>
  <c r="V628" i="4"/>
  <c r="U628" i="4"/>
  <c r="S628" i="4"/>
  <c r="R628" i="4"/>
  <c r="Q628" i="4"/>
  <c r="O628" i="4"/>
  <c r="N628" i="4"/>
  <c r="M628" i="4"/>
  <c r="L628" i="4"/>
  <c r="K628" i="4"/>
  <c r="J628" i="4"/>
  <c r="I628" i="4"/>
  <c r="H628" i="4"/>
  <c r="AA627" i="4"/>
  <c r="Z627" i="4"/>
  <c r="Y627" i="4"/>
  <c r="W627" i="4"/>
  <c r="V627" i="4"/>
  <c r="U627" i="4"/>
  <c r="S627" i="4"/>
  <c r="R627" i="4"/>
  <c r="Q627" i="4"/>
  <c r="O627" i="4"/>
  <c r="N627" i="4"/>
  <c r="M627" i="4"/>
  <c r="K627" i="4"/>
  <c r="J627" i="4"/>
  <c r="I627" i="4"/>
  <c r="AA626" i="4"/>
  <c r="Z626" i="4"/>
  <c r="Y626" i="4"/>
  <c r="W626" i="4"/>
  <c r="V626" i="4"/>
  <c r="U626" i="4"/>
  <c r="S626" i="4"/>
  <c r="R626" i="4"/>
  <c r="Q626" i="4"/>
  <c r="O626" i="4"/>
  <c r="N626" i="4"/>
  <c r="M626" i="4"/>
  <c r="L626" i="4"/>
  <c r="K626" i="4"/>
  <c r="J626" i="4"/>
  <c r="I626" i="4"/>
  <c r="H626" i="4"/>
  <c r="AA625" i="4"/>
  <c r="Z625" i="4"/>
  <c r="Y625" i="4"/>
  <c r="W625" i="4"/>
  <c r="V625" i="4"/>
  <c r="U625" i="4"/>
  <c r="S625" i="4"/>
  <c r="R625" i="4"/>
  <c r="Q625" i="4"/>
  <c r="O625" i="4"/>
  <c r="N625" i="4"/>
  <c r="M625" i="4"/>
  <c r="L625" i="4"/>
  <c r="K625" i="4"/>
  <c r="J625" i="4"/>
  <c r="I625" i="4"/>
  <c r="H625" i="4"/>
  <c r="AA623" i="4"/>
  <c r="Z623" i="4"/>
  <c r="Y623" i="4"/>
  <c r="W623" i="4"/>
  <c r="V623" i="4"/>
  <c r="U623" i="4"/>
  <c r="S623" i="4"/>
  <c r="R623" i="4"/>
  <c r="Q623" i="4"/>
  <c r="O623" i="4"/>
  <c r="N623" i="4"/>
  <c r="M623" i="4"/>
  <c r="K623" i="4"/>
  <c r="J623" i="4"/>
  <c r="I623" i="4"/>
  <c r="AA622" i="4"/>
  <c r="Z622" i="4"/>
  <c r="Y622" i="4"/>
  <c r="W622" i="4"/>
  <c r="V622" i="4"/>
  <c r="U622" i="4"/>
  <c r="S622" i="4"/>
  <c r="R622" i="4"/>
  <c r="Q622" i="4"/>
  <c r="O622" i="4"/>
  <c r="N622" i="4"/>
  <c r="M622" i="4"/>
  <c r="K622" i="4"/>
  <c r="J622" i="4"/>
  <c r="I622" i="4"/>
  <c r="AA621" i="4"/>
  <c r="Z621" i="4"/>
  <c r="Y621" i="4"/>
  <c r="W621" i="4"/>
  <c r="V621" i="4"/>
  <c r="U621" i="4"/>
  <c r="S621" i="4"/>
  <c r="R621" i="4"/>
  <c r="Q621" i="4"/>
  <c r="O621" i="4"/>
  <c r="N621" i="4"/>
  <c r="M621" i="4"/>
  <c r="L621" i="4"/>
  <c r="K621" i="4"/>
  <c r="J621" i="4"/>
  <c r="I621" i="4"/>
  <c r="H621" i="4"/>
  <c r="AA620" i="4"/>
  <c r="Z620" i="4"/>
  <c r="Y620" i="4"/>
  <c r="W620" i="4"/>
  <c r="V620" i="4"/>
  <c r="U620" i="4"/>
  <c r="S620" i="4"/>
  <c r="R620" i="4"/>
  <c r="Q620" i="4"/>
  <c r="O620" i="4"/>
  <c r="N620" i="4"/>
  <c r="M620" i="4"/>
  <c r="L620" i="4"/>
  <c r="K620" i="4"/>
  <c r="J620" i="4"/>
  <c r="I620" i="4"/>
  <c r="H620" i="4"/>
  <c r="AA619" i="4"/>
  <c r="Z619" i="4"/>
  <c r="Y619" i="4"/>
  <c r="W619" i="4"/>
  <c r="V619" i="4"/>
  <c r="U619" i="4"/>
  <c r="S619" i="4"/>
  <c r="R619" i="4"/>
  <c r="Q619" i="4"/>
  <c r="O619" i="4"/>
  <c r="N619" i="4"/>
  <c r="M619" i="4"/>
  <c r="L619" i="4"/>
  <c r="K619" i="4"/>
  <c r="J619" i="4"/>
  <c r="I619" i="4"/>
  <c r="H619" i="4"/>
  <c r="AA617" i="4"/>
  <c r="Z617" i="4"/>
  <c r="Y617" i="4"/>
  <c r="W617" i="4"/>
  <c r="V617" i="4"/>
  <c r="U617" i="4"/>
  <c r="S617" i="4"/>
  <c r="R617" i="4"/>
  <c r="Q617" i="4"/>
  <c r="O617" i="4"/>
  <c r="N617" i="4"/>
  <c r="M617" i="4"/>
  <c r="K617" i="4"/>
  <c r="J617" i="4"/>
  <c r="I617" i="4"/>
  <c r="AA616" i="4"/>
  <c r="Z616" i="4"/>
  <c r="Y616" i="4"/>
  <c r="W616" i="4"/>
  <c r="V616" i="4"/>
  <c r="U616" i="4"/>
  <c r="S616" i="4"/>
  <c r="R616" i="4"/>
  <c r="Q616" i="4"/>
  <c r="O616" i="4"/>
  <c r="N616" i="4"/>
  <c r="M616" i="4"/>
  <c r="L616" i="4"/>
  <c r="K616" i="4"/>
  <c r="J616" i="4"/>
  <c r="I616" i="4"/>
  <c r="H616" i="4"/>
  <c r="AA615" i="4"/>
  <c r="Z615" i="4"/>
  <c r="Y615" i="4"/>
  <c r="W615" i="4"/>
  <c r="V615" i="4"/>
  <c r="U615" i="4"/>
  <c r="S615" i="4"/>
  <c r="R615" i="4"/>
  <c r="Q615" i="4"/>
  <c r="O615" i="4"/>
  <c r="N615" i="4"/>
  <c r="M615" i="4"/>
  <c r="K615" i="4"/>
  <c r="J615" i="4"/>
  <c r="I615" i="4"/>
  <c r="AA614" i="4"/>
  <c r="Z614" i="4"/>
  <c r="Y614" i="4"/>
  <c r="W614" i="4"/>
  <c r="V614" i="4"/>
  <c r="U614" i="4"/>
  <c r="S614" i="4"/>
  <c r="R614" i="4"/>
  <c r="Q614" i="4"/>
  <c r="O614" i="4"/>
  <c r="N614" i="4"/>
  <c r="M614" i="4"/>
  <c r="L614" i="4"/>
  <c r="K614" i="4"/>
  <c r="J614" i="4"/>
  <c r="I614" i="4"/>
  <c r="H614" i="4"/>
  <c r="AA613" i="4"/>
  <c r="Z613" i="4"/>
  <c r="Y613" i="4"/>
  <c r="W613" i="4"/>
  <c r="V613" i="4"/>
  <c r="U613" i="4"/>
  <c r="S613" i="4"/>
  <c r="R613" i="4"/>
  <c r="Q613" i="4"/>
  <c r="O613" i="4"/>
  <c r="N613" i="4"/>
  <c r="M613" i="4"/>
  <c r="K613" i="4"/>
  <c r="J613" i="4"/>
  <c r="I613" i="4"/>
  <c r="AA611" i="4"/>
  <c r="W611" i="4"/>
  <c r="S611" i="4"/>
  <c r="AA610" i="4"/>
  <c r="Z610" i="4"/>
  <c r="Y610" i="4"/>
  <c r="W610" i="4"/>
  <c r="V610" i="4"/>
  <c r="U610" i="4"/>
  <c r="S610" i="4"/>
  <c r="R610" i="4"/>
  <c r="Q610" i="4"/>
  <c r="O610" i="4"/>
  <c r="N610" i="4"/>
  <c r="M610" i="4"/>
  <c r="L610" i="4"/>
  <c r="K610" i="4"/>
  <c r="J610" i="4"/>
  <c r="I610" i="4"/>
  <c r="H610" i="4"/>
  <c r="AA609" i="4"/>
  <c r="Z609" i="4"/>
  <c r="Y609" i="4"/>
  <c r="W609" i="4"/>
  <c r="V609" i="4"/>
  <c r="U609" i="4"/>
  <c r="S609" i="4"/>
  <c r="R609" i="4"/>
  <c r="Q609" i="4"/>
  <c r="O609" i="4"/>
  <c r="N609" i="4"/>
  <c r="M609" i="4"/>
  <c r="K609" i="4"/>
  <c r="J609" i="4"/>
  <c r="I609" i="4"/>
  <c r="AA608" i="4"/>
  <c r="Z608" i="4"/>
  <c r="Y608" i="4"/>
  <c r="W608" i="4"/>
  <c r="V608" i="4"/>
  <c r="U608" i="4"/>
  <c r="S608" i="4"/>
  <c r="R608" i="4"/>
  <c r="Q608" i="4"/>
  <c r="O608" i="4"/>
  <c r="N608" i="4"/>
  <c r="M608" i="4"/>
  <c r="L608" i="4"/>
  <c r="K608" i="4"/>
  <c r="J608" i="4"/>
  <c r="I608" i="4"/>
  <c r="H608" i="4"/>
  <c r="AA607" i="4"/>
  <c r="W607" i="4"/>
  <c r="S607" i="4"/>
  <c r="AS605" i="4"/>
  <c r="AI605" i="4"/>
  <c r="AZ604" i="4"/>
  <c r="AY604" i="4"/>
  <c r="AX604" i="4"/>
  <c r="AV604" i="4"/>
  <c r="AU604" i="4"/>
  <c r="AS604" i="4"/>
  <c r="AW604" i="4" s="1"/>
  <c r="AR604" i="4"/>
  <c r="AQ604" i="4"/>
  <c r="AP604" i="4"/>
  <c r="AO604" i="4"/>
  <c r="AM604" i="4"/>
  <c r="AL604" i="4"/>
  <c r="AI604" i="4"/>
  <c r="AK604" i="4" s="1"/>
  <c r="AZ603" i="4"/>
  <c r="AY603" i="4"/>
  <c r="AX603" i="4"/>
  <c r="AV603" i="4"/>
  <c r="AU603" i="4"/>
  <c r="AS603" i="4"/>
  <c r="AT603" i="4" s="1"/>
  <c r="AR603" i="4"/>
  <c r="AQ603" i="4"/>
  <c r="AP603" i="4"/>
  <c r="AO603" i="4"/>
  <c r="AM603" i="4"/>
  <c r="AL603" i="4"/>
  <c r="AK603" i="4"/>
  <c r="AI603" i="4"/>
  <c r="AN603" i="4" s="1"/>
  <c r="AZ602" i="4"/>
  <c r="AY602" i="4"/>
  <c r="AX602" i="4"/>
  <c r="AV602" i="4"/>
  <c r="AU602" i="4"/>
  <c r="AS602" i="4"/>
  <c r="AW602" i="4" s="1"/>
  <c r="AR602" i="4"/>
  <c r="AQ602" i="4"/>
  <c r="AP602" i="4"/>
  <c r="AO602" i="4"/>
  <c r="AM602" i="4"/>
  <c r="AL602" i="4"/>
  <c r="AI602" i="4"/>
  <c r="AK602" i="4" s="1"/>
  <c r="AY601" i="4"/>
  <c r="AX601" i="4"/>
  <c r="AS601" i="4"/>
  <c r="AU601" i="4" s="1"/>
  <c r="AI601" i="4"/>
  <c r="AZ599" i="4"/>
  <c r="AY599" i="4"/>
  <c r="AX599" i="4"/>
  <c r="AV599" i="4"/>
  <c r="AU599" i="4"/>
  <c r="AS599" i="4"/>
  <c r="AT599" i="4" s="1"/>
  <c r="AR599" i="4"/>
  <c r="AQ599" i="4"/>
  <c r="AP599" i="4"/>
  <c r="AO599" i="4"/>
  <c r="AM599" i="4"/>
  <c r="AL599" i="4"/>
  <c r="AI599" i="4"/>
  <c r="AZ598" i="4"/>
  <c r="AY598" i="4"/>
  <c r="AX598" i="4"/>
  <c r="AV598" i="4"/>
  <c r="AU598" i="4"/>
  <c r="AS598" i="4"/>
  <c r="AR598" i="4"/>
  <c r="AQ598" i="4"/>
  <c r="AP598" i="4"/>
  <c r="AO598" i="4"/>
  <c r="AM598" i="4"/>
  <c r="AL598" i="4"/>
  <c r="AI598" i="4"/>
  <c r="AK598" i="4" s="1"/>
  <c r="AZ597" i="4"/>
  <c r="AY597" i="4"/>
  <c r="AX597" i="4"/>
  <c r="AV597" i="4"/>
  <c r="AU597" i="4"/>
  <c r="AS597" i="4"/>
  <c r="AT597" i="4" s="1"/>
  <c r="AR597" i="4"/>
  <c r="AQ597" i="4"/>
  <c r="AP597" i="4"/>
  <c r="AO597" i="4"/>
  <c r="AM597" i="4"/>
  <c r="AL597" i="4"/>
  <c r="AI597" i="4"/>
  <c r="AZ596" i="4"/>
  <c r="AY596" i="4"/>
  <c r="AX596" i="4"/>
  <c r="AV596" i="4"/>
  <c r="AU596" i="4"/>
  <c r="AS596" i="4"/>
  <c r="AW596" i="4" s="1"/>
  <c r="AR596" i="4"/>
  <c r="AQ596" i="4"/>
  <c r="AP596" i="4"/>
  <c r="AO596" i="4"/>
  <c r="AM596" i="4"/>
  <c r="AL596" i="4"/>
  <c r="AI596" i="4"/>
  <c r="AK596" i="4" s="1"/>
  <c r="AZ595" i="4"/>
  <c r="AY595" i="4"/>
  <c r="AX595" i="4"/>
  <c r="AV595" i="4"/>
  <c r="AU595" i="4"/>
  <c r="AS595" i="4"/>
  <c r="AT595" i="4" s="1"/>
  <c r="AR595" i="4"/>
  <c r="AQ595" i="4"/>
  <c r="AP595" i="4"/>
  <c r="AO595" i="4"/>
  <c r="AM595" i="4"/>
  <c r="AL595" i="4"/>
  <c r="AI595" i="4"/>
  <c r="AK595" i="4" s="1"/>
  <c r="AZ593" i="4"/>
  <c r="AY593" i="4"/>
  <c r="AX593" i="4"/>
  <c r="AV593" i="4"/>
  <c r="AU593" i="4"/>
  <c r="AS593" i="4"/>
  <c r="AT593" i="4" s="1"/>
  <c r="AR593" i="4"/>
  <c r="AQ593" i="4"/>
  <c r="AP593" i="4"/>
  <c r="AO593" i="4"/>
  <c r="AM593" i="4"/>
  <c r="AL593" i="4"/>
  <c r="AI593" i="4"/>
  <c r="AZ592" i="4"/>
  <c r="AY592" i="4"/>
  <c r="AX592" i="4"/>
  <c r="AV592" i="4"/>
  <c r="AU592" i="4"/>
  <c r="AS592" i="4"/>
  <c r="AW592" i="4" s="1"/>
  <c r="AR592" i="4"/>
  <c r="AQ592" i="4"/>
  <c r="AP592" i="4"/>
  <c r="AO592" i="4"/>
  <c r="AM592" i="4"/>
  <c r="AL592" i="4"/>
  <c r="AI592" i="4"/>
  <c r="AK592" i="4" s="1"/>
  <c r="AZ591" i="4"/>
  <c r="AY591" i="4"/>
  <c r="AX591" i="4"/>
  <c r="AV591" i="4"/>
  <c r="AU591" i="4"/>
  <c r="AS591" i="4"/>
  <c r="AT591" i="4" s="1"/>
  <c r="AR591" i="4"/>
  <c r="AQ591" i="4"/>
  <c r="AP591" i="4"/>
  <c r="AO591" i="4"/>
  <c r="AM591" i="4"/>
  <c r="AL591" i="4"/>
  <c r="AK591" i="4"/>
  <c r="AI591" i="4"/>
  <c r="AN591" i="4" s="1"/>
  <c r="AZ590" i="4"/>
  <c r="AY590" i="4"/>
  <c r="AX590" i="4"/>
  <c r="AV590" i="4"/>
  <c r="AU590" i="4"/>
  <c r="AS590" i="4"/>
  <c r="AW590" i="4" s="1"/>
  <c r="AR590" i="4"/>
  <c r="AQ590" i="4"/>
  <c r="AP590" i="4"/>
  <c r="AO590" i="4"/>
  <c r="AM590" i="4"/>
  <c r="AL590" i="4"/>
  <c r="AI590" i="4"/>
  <c r="AK590" i="4" s="1"/>
  <c r="AZ589" i="4"/>
  <c r="AY589" i="4"/>
  <c r="AX589" i="4"/>
  <c r="AV589" i="4"/>
  <c r="AU589" i="4"/>
  <c r="AS589" i="4"/>
  <c r="AW589" i="4" s="1"/>
  <c r="AR589" i="4"/>
  <c r="AQ589" i="4"/>
  <c r="AP589" i="4"/>
  <c r="AO589" i="4"/>
  <c r="AM589" i="4"/>
  <c r="AL589" i="4"/>
  <c r="AI589" i="4"/>
  <c r="AL578" i="4"/>
  <c r="AZ587" i="4"/>
  <c r="AY587" i="4"/>
  <c r="AX587" i="4"/>
  <c r="AV587" i="4"/>
  <c r="AU587" i="4"/>
  <c r="AS587" i="4"/>
  <c r="AT587" i="4" s="1"/>
  <c r="AR587" i="4"/>
  <c r="AQ587" i="4"/>
  <c r="AP587" i="4"/>
  <c r="AO587" i="4"/>
  <c r="AM587" i="4"/>
  <c r="AL587" i="4"/>
  <c r="AI587" i="4"/>
  <c r="AN587" i="4" s="1"/>
  <c r="AZ586" i="4"/>
  <c r="AY586" i="4"/>
  <c r="AX586" i="4"/>
  <c r="AV586" i="4"/>
  <c r="AU586" i="4"/>
  <c r="AS586" i="4"/>
  <c r="AW586" i="4" s="1"/>
  <c r="AR586" i="4"/>
  <c r="AQ586" i="4"/>
  <c r="AP586" i="4"/>
  <c r="AO586" i="4"/>
  <c r="AM586" i="4"/>
  <c r="AL586" i="4"/>
  <c r="AI586" i="4"/>
  <c r="AK586" i="4" s="1"/>
  <c r="AZ585" i="4"/>
  <c r="AY585" i="4"/>
  <c r="AX585" i="4"/>
  <c r="AV585" i="4"/>
  <c r="AU585" i="4"/>
  <c r="AS585" i="4"/>
  <c r="AT585" i="4" s="1"/>
  <c r="AR585" i="4"/>
  <c r="AQ585" i="4"/>
  <c r="AP585" i="4"/>
  <c r="AO585" i="4"/>
  <c r="AM585" i="4"/>
  <c r="AL585" i="4"/>
  <c r="AI585" i="4"/>
  <c r="AK585" i="4" s="1"/>
  <c r="AZ584" i="4"/>
  <c r="AY584" i="4"/>
  <c r="AX584" i="4"/>
  <c r="AV584" i="4"/>
  <c r="AU584" i="4"/>
  <c r="AS584" i="4"/>
  <c r="AW584" i="4" s="1"/>
  <c r="AR584" i="4"/>
  <c r="AQ584" i="4"/>
  <c r="AP584" i="4"/>
  <c r="AO584" i="4"/>
  <c r="AM584" i="4"/>
  <c r="AL584" i="4"/>
  <c r="AI584" i="4"/>
  <c r="AK584" i="4" s="1"/>
  <c r="AZ583" i="4"/>
  <c r="AY583" i="4"/>
  <c r="AX583" i="4"/>
  <c r="AV583" i="4"/>
  <c r="AU583" i="4"/>
  <c r="AS583" i="4"/>
  <c r="AT583" i="4" s="1"/>
  <c r="AR583" i="4"/>
  <c r="AQ583" i="4"/>
  <c r="AP583" i="4"/>
  <c r="AO583" i="4"/>
  <c r="AM583" i="4"/>
  <c r="AL583" i="4"/>
  <c r="AI583" i="4"/>
  <c r="AS581" i="4"/>
  <c r="AX581" i="4" s="1"/>
  <c r="AI581" i="4"/>
  <c r="AZ580" i="4"/>
  <c r="AY580" i="4"/>
  <c r="AX580" i="4"/>
  <c r="AV580" i="4"/>
  <c r="AU580" i="4"/>
  <c r="AS580" i="4"/>
  <c r="AW580" i="4" s="1"/>
  <c r="AR580" i="4"/>
  <c r="AQ580" i="4"/>
  <c r="AP580" i="4"/>
  <c r="AO580" i="4"/>
  <c r="AM580" i="4"/>
  <c r="AL580" i="4"/>
  <c r="AI580" i="4"/>
  <c r="AK580" i="4" s="1"/>
  <c r="AZ579" i="4"/>
  <c r="AY579" i="4"/>
  <c r="AX579" i="4"/>
  <c r="AV579" i="4"/>
  <c r="AU579" i="4"/>
  <c r="AS579" i="4"/>
  <c r="AT579" i="4" s="1"/>
  <c r="AR579" i="4"/>
  <c r="AQ579" i="4"/>
  <c r="AP579" i="4"/>
  <c r="AO579" i="4"/>
  <c r="AM579" i="4"/>
  <c r="AL579" i="4"/>
  <c r="AI579" i="4"/>
  <c r="AK579" i="4" s="1"/>
  <c r="AZ578" i="4"/>
  <c r="AY578" i="4"/>
  <c r="AX578" i="4"/>
  <c r="AV578" i="4"/>
  <c r="AU578" i="4"/>
  <c r="AS578" i="4"/>
  <c r="AW578" i="4" s="1"/>
  <c r="AR578" i="4"/>
  <c r="AQ578" i="4"/>
  <c r="AP578" i="4"/>
  <c r="AO578" i="4"/>
  <c r="AM578" i="4"/>
  <c r="AI578" i="4"/>
  <c r="AK578" i="4" s="1"/>
  <c r="AS577" i="4"/>
  <c r="AI577" i="4"/>
  <c r="AL613" i="4" l="1"/>
  <c r="AN613" i="4" s="1"/>
  <c r="AQ613" i="4"/>
  <c r="AM613" i="4"/>
  <c r="AK613" i="4"/>
  <c r="AK609" i="4"/>
  <c r="AK621" i="4"/>
  <c r="AK619" i="4"/>
  <c r="AN627" i="4"/>
  <c r="AT596" i="4"/>
  <c r="AT626" i="4"/>
  <c r="AT628" i="4"/>
  <c r="AT610" i="4"/>
  <c r="AT602" i="4"/>
  <c r="AT604" i="4"/>
  <c r="AT622" i="4"/>
  <c r="AT590" i="4"/>
  <c r="AT625" i="4"/>
  <c r="AT589" i="4"/>
  <c r="AT614" i="4"/>
  <c r="AN595" i="4"/>
  <c r="BB109" i="4"/>
  <c r="BA109" i="4"/>
  <c r="AW598" i="4"/>
  <c r="AT598" i="4"/>
  <c r="AK625" i="4"/>
  <c r="AN625" i="4"/>
  <c r="AW601" i="4"/>
  <c r="AZ601" i="4"/>
  <c r="AV601" i="4"/>
  <c r="AW608" i="4"/>
  <c r="AT608" i="4"/>
  <c r="AK597" i="4"/>
  <c r="AN597" i="4"/>
  <c r="AN583" i="4"/>
  <c r="AK583" i="4"/>
  <c r="AK589" i="4"/>
  <c r="AN589" i="4"/>
  <c r="AN593" i="4"/>
  <c r="AK593" i="4"/>
  <c r="AN599" i="4"/>
  <c r="AK599" i="4"/>
  <c r="AX607" i="4"/>
  <c r="AK629" i="4"/>
  <c r="AN629" i="4"/>
  <c r="AW595" i="4"/>
  <c r="AU607" i="4"/>
  <c r="AY607" i="4"/>
  <c r="AR611" i="4"/>
  <c r="AO611" i="4"/>
  <c r="AP611" i="4" s="1"/>
  <c r="AK615" i="4"/>
  <c r="AN615" i="4"/>
  <c r="AW616" i="4"/>
  <c r="AT616" i="4"/>
  <c r="AW619" i="4"/>
  <c r="AQ631" i="4"/>
  <c r="AM631" i="4"/>
  <c r="AL631" i="4"/>
  <c r="AN631" i="4" s="1"/>
  <c r="AO631" i="4"/>
  <c r="AP631" i="4" s="1"/>
  <c r="AW632" i="4"/>
  <c r="AT632" i="4"/>
  <c r="AW634" i="4"/>
  <c r="AT634" i="4"/>
  <c r="AT592" i="4"/>
  <c r="AV607" i="4"/>
  <c r="AZ607" i="4"/>
  <c r="AK623" i="4"/>
  <c r="AN623" i="4"/>
  <c r="AK617" i="4"/>
  <c r="AO633" i="4"/>
  <c r="AP633" i="4" s="1"/>
  <c r="AR633" i="4"/>
  <c r="AN632" i="4"/>
  <c r="AL633" i="4"/>
  <c r="AN634" i="4"/>
  <c r="AX635" i="4"/>
  <c r="AM633" i="4"/>
  <c r="AU635" i="4"/>
  <c r="AY635" i="4"/>
  <c r="AV635" i="4"/>
  <c r="AK631" i="4"/>
  <c r="AW629" i="4"/>
  <c r="AN626" i="4"/>
  <c r="AT627" i="4"/>
  <c r="AN628" i="4"/>
  <c r="AW621" i="4"/>
  <c r="AW623" i="4"/>
  <c r="AN620" i="4"/>
  <c r="AN622" i="4"/>
  <c r="AW620" i="4"/>
  <c r="AW615" i="4"/>
  <c r="AW617" i="4"/>
  <c r="AK614" i="4"/>
  <c r="AK616" i="4"/>
  <c r="AW609" i="4"/>
  <c r="AN608" i="4"/>
  <c r="AN610" i="4"/>
  <c r="AL611" i="4"/>
  <c r="AN611" i="4" s="1"/>
  <c r="AM611" i="4"/>
  <c r="AQ611" i="4"/>
  <c r="J624" i="4"/>
  <c r="I630" i="4"/>
  <c r="J630" i="4"/>
  <c r="H629" i="4"/>
  <c r="L629" i="4"/>
  <c r="K630" i="4"/>
  <c r="H627" i="4"/>
  <c r="L627" i="4"/>
  <c r="K618" i="4"/>
  <c r="H623" i="4"/>
  <c r="L623" i="4"/>
  <c r="K624" i="4"/>
  <c r="I624" i="4"/>
  <c r="H622" i="4"/>
  <c r="L622" i="4"/>
  <c r="L624" i="4" s="1"/>
  <c r="J618" i="4"/>
  <c r="I618" i="4"/>
  <c r="H615" i="4"/>
  <c r="L615" i="4"/>
  <c r="H617" i="4"/>
  <c r="L617" i="4"/>
  <c r="H609" i="4"/>
  <c r="L609" i="4"/>
  <c r="AW603" i="4"/>
  <c r="AN602" i="4"/>
  <c r="AN604" i="4"/>
  <c r="AT601" i="4"/>
  <c r="AW597" i="4"/>
  <c r="AW599" i="4"/>
  <c r="AN596" i="4"/>
  <c r="AN598" i="4"/>
  <c r="AW591" i="4"/>
  <c r="AW593" i="4"/>
  <c r="AN592" i="4"/>
  <c r="AN590" i="4"/>
  <c r="AK587" i="4"/>
  <c r="AW583" i="4"/>
  <c r="AN585" i="4"/>
  <c r="AT586" i="4"/>
  <c r="AT584" i="4"/>
  <c r="AN579" i="4"/>
  <c r="AT580" i="4"/>
  <c r="AT578" i="4"/>
  <c r="AU581" i="4"/>
  <c r="AZ581" i="4"/>
  <c r="AV581" i="4"/>
  <c r="AY581" i="4"/>
  <c r="AW585" i="4"/>
  <c r="AW587" i="4"/>
  <c r="AN584" i="4"/>
  <c r="AN586" i="4"/>
  <c r="AW581" i="4"/>
  <c r="AN580" i="4"/>
  <c r="AW579" i="4"/>
  <c r="AN578" i="4"/>
  <c r="I108" i="3"/>
  <c r="AA605" i="4"/>
  <c r="W605" i="4"/>
  <c r="S605" i="4"/>
  <c r="AA604" i="4"/>
  <c r="Z604" i="4"/>
  <c r="Y604" i="4"/>
  <c r="W604" i="4"/>
  <c r="V604" i="4"/>
  <c r="U604" i="4"/>
  <c r="S604" i="4"/>
  <c r="R604" i="4"/>
  <c r="Q604" i="4"/>
  <c r="O604" i="4"/>
  <c r="N604" i="4"/>
  <c r="M604" i="4"/>
  <c r="L604" i="4"/>
  <c r="K604" i="4"/>
  <c r="J604" i="4"/>
  <c r="I604" i="4"/>
  <c r="H604" i="4"/>
  <c r="AA603" i="4"/>
  <c r="Z603" i="4"/>
  <c r="Y603" i="4"/>
  <c r="W603" i="4"/>
  <c r="V603" i="4"/>
  <c r="U603" i="4"/>
  <c r="S603" i="4"/>
  <c r="R603" i="4"/>
  <c r="Q603" i="4"/>
  <c r="O603" i="4"/>
  <c r="N603" i="4"/>
  <c r="M603" i="4"/>
  <c r="L603" i="4"/>
  <c r="K603" i="4"/>
  <c r="J603" i="4"/>
  <c r="I603" i="4"/>
  <c r="H603" i="4"/>
  <c r="AA602" i="4"/>
  <c r="Z602" i="4"/>
  <c r="Y602" i="4"/>
  <c r="W602" i="4"/>
  <c r="V602" i="4"/>
  <c r="U602" i="4"/>
  <c r="S602" i="4"/>
  <c r="R602" i="4"/>
  <c r="Q602" i="4"/>
  <c r="O602" i="4"/>
  <c r="N602" i="4"/>
  <c r="M602" i="4"/>
  <c r="L602" i="4"/>
  <c r="K602" i="4"/>
  <c r="J602" i="4"/>
  <c r="I602" i="4"/>
  <c r="H602" i="4"/>
  <c r="AA601" i="4"/>
  <c r="W601" i="4"/>
  <c r="S601" i="4"/>
  <c r="AA599" i="4"/>
  <c r="Z599" i="4"/>
  <c r="Y599" i="4"/>
  <c r="W599" i="4"/>
  <c r="V599" i="4"/>
  <c r="U599" i="4"/>
  <c r="S599" i="4"/>
  <c r="R599" i="4"/>
  <c r="Q599" i="4"/>
  <c r="O599" i="4"/>
  <c r="N599" i="4"/>
  <c r="M599" i="4"/>
  <c r="K599" i="4"/>
  <c r="J599" i="4"/>
  <c r="I599" i="4"/>
  <c r="AA598" i="4"/>
  <c r="Z598" i="4"/>
  <c r="Y598" i="4"/>
  <c r="W598" i="4"/>
  <c r="V598" i="4"/>
  <c r="U598" i="4"/>
  <c r="S598" i="4"/>
  <c r="R598" i="4"/>
  <c r="Q598" i="4"/>
  <c r="O598" i="4"/>
  <c r="N598" i="4"/>
  <c r="M598" i="4"/>
  <c r="L598" i="4"/>
  <c r="K598" i="4"/>
  <c r="J598" i="4"/>
  <c r="I598" i="4"/>
  <c r="H598" i="4"/>
  <c r="AA597" i="4"/>
  <c r="Z597" i="4"/>
  <c r="Y597" i="4"/>
  <c r="W597" i="4"/>
  <c r="V597" i="4"/>
  <c r="U597" i="4"/>
  <c r="S597" i="4"/>
  <c r="R597" i="4"/>
  <c r="Q597" i="4"/>
  <c r="O597" i="4"/>
  <c r="N597" i="4"/>
  <c r="M597" i="4"/>
  <c r="L597" i="4"/>
  <c r="K597" i="4"/>
  <c r="J597" i="4"/>
  <c r="I597" i="4"/>
  <c r="H597" i="4"/>
  <c r="AA596" i="4"/>
  <c r="Z596" i="4"/>
  <c r="Y596" i="4"/>
  <c r="W596" i="4"/>
  <c r="V596" i="4"/>
  <c r="U596" i="4"/>
  <c r="S596" i="4"/>
  <c r="R596" i="4"/>
  <c r="Q596" i="4"/>
  <c r="O596" i="4"/>
  <c r="N596" i="4"/>
  <c r="M596" i="4"/>
  <c r="L596" i="4"/>
  <c r="K596" i="4"/>
  <c r="J596" i="4"/>
  <c r="I596" i="4"/>
  <c r="H596" i="4"/>
  <c r="AA595" i="4"/>
  <c r="Z595" i="4"/>
  <c r="Y595" i="4"/>
  <c r="W595" i="4"/>
  <c r="V595" i="4"/>
  <c r="U595" i="4"/>
  <c r="S595" i="4"/>
  <c r="R595" i="4"/>
  <c r="Q595" i="4"/>
  <c r="O595" i="4"/>
  <c r="N595" i="4"/>
  <c r="M595" i="4"/>
  <c r="L595" i="4"/>
  <c r="K595" i="4"/>
  <c r="J595" i="4"/>
  <c r="I595" i="4"/>
  <c r="H595" i="4"/>
  <c r="AA593" i="4"/>
  <c r="Z593" i="4"/>
  <c r="Y593" i="4"/>
  <c r="W593" i="4"/>
  <c r="V593" i="4"/>
  <c r="U593" i="4"/>
  <c r="S593" i="4"/>
  <c r="R593" i="4"/>
  <c r="Q593" i="4"/>
  <c r="O593" i="4"/>
  <c r="N593" i="4"/>
  <c r="M593" i="4"/>
  <c r="K593" i="4"/>
  <c r="J593" i="4"/>
  <c r="I593" i="4"/>
  <c r="AA592" i="4"/>
  <c r="Z592" i="4"/>
  <c r="Y592" i="4"/>
  <c r="W592" i="4"/>
  <c r="V592" i="4"/>
  <c r="U592" i="4"/>
  <c r="S592" i="4"/>
  <c r="R592" i="4"/>
  <c r="Q592" i="4"/>
  <c r="O592" i="4"/>
  <c r="N592" i="4"/>
  <c r="M592" i="4"/>
  <c r="L592" i="4"/>
  <c r="K592" i="4"/>
  <c r="J592" i="4"/>
  <c r="I592" i="4"/>
  <c r="H592" i="4"/>
  <c r="AA591" i="4"/>
  <c r="Z591" i="4"/>
  <c r="Y591" i="4"/>
  <c r="W591" i="4"/>
  <c r="V591" i="4"/>
  <c r="U591" i="4"/>
  <c r="S591" i="4"/>
  <c r="R591" i="4"/>
  <c r="Q591" i="4"/>
  <c r="O591" i="4"/>
  <c r="N591" i="4"/>
  <c r="M591" i="4"/>
  <c r="L591" i="4"/>
  <c r="K591" i="4"/>
  <c r="J591" i="4"/>
  <c r="I591" i="4"/>
  <c r="H591" i="4"/>
  <c r="AA590" i="4"/>
  <c r="Z590" i="4"/>
  <c r="Y590" i="4"/>
  <c r="W590" i="4"/>
  <c r="V590" i="4"/>
  <c r="U590" i="4"/>
  <c r="S590" i="4"/>
  <c r="R590" i="4"/>
  <c r="Q590" i="4"/>
  <c r="O590" i="4"/>
  <c r="N590" i="4"/>
  <c r="M590" i="4"/>
  <c r="L590" i="4"/>
  <c r="K590" i="4"/>
  <c r="J590" i="4"/>
  <c r="I590" i="4"/>
  <c r="H590" i="4"/>
  <c r="AA589" i="4"/>
  <c r="Z589" i="4"/>
  <c r="Y589" i="4"/>
  <c r="W589" i="4"/>
  <c r="V589" i="4"/>
  <c r="U589" i="4"/>
  <c r="S589" i="4"/>
  <c r="R589" i="4"/>
  <c r="Q589" i="4"/>
  <c r="O589" i="4"/>
  <c r="N589" i="4"/>
  <c r="M589" i="4"/>
  <c r="L589" i="4"/>
  <c r="K589" i="4"/>
  <c r="J589" i="4"/>
  <c r="I589" i="4"/>
  <c r="H589" i="4"/>
  <c r="AA587" i="4"/>
  <c r="Z587" i="4"/>
  <c r="Y587" i="4"/>
  <c r="W587" i="4"/>
  <c r="V587" i="4"/>
  <c r="U587" i="4"/>
  <c r="S587" i="4"/>
  <c r="R587" i="4"/>
  <c r="Q587" i="4"/>
  <c r="O587" i="4"/>
  <c r="N587" i="4"/>
  <c r="M587" i="4"/>
  <c r="L587" i="4"/>
  <c r="K587" i="4"/>
  <c r="J587" i="4"/>
  <c r="I587" i="4"/>
  <c r="H587" i="4"/>
  <c r="AA586" i="4"/>
  <c r="Z586" i="4"/>
  <c r="Y586" i="4"/>
  <c r="W586" i="4"/>
  <c r="V586" i="4"/>
  <c r="U586" i="4"/>
  <c r="S586" i="4"/>
  <c r="R586" i="4"/>
  <c r="Q586" i="4"/>
  <c r="O586" i="4"/>
  <c r="N586" i="4"/>
  <c r="M586" i="4"/>
  <c r="L586" i="4"/>
  <c r="K586" i="4"/>
  <c r="J586" i="4"/>
  <c r="I586" i="4"/>
  <c r="H586" i="4"/>
  <c r="AA585" i="4"/>
  <c r="Z585" i="4"/>
  <c r="Y585" i="4"/>
  <c r="W585" i="4"/>
  <c r="V585" i="4"/>
  <c r="U585" i="4"/>
  <c r="S585" i="4"/>
  <c r="R585" i="4"/>
  <c r="Q585" i="4"/>
  <c r="O585" i="4"/>
  <c r="N585" i="4"/>
  <c r="M585" i="4"/>
  <c r="L585" i="4"/>
  <c r="K585" i="4"/>
  <c r="J585" i="4"/>
  <c r="I585" i="4"/>
  <c r="H585" i="4"/>
  <c r="AA584" i="4"/>
  <c r="Z584" i="4"/>
  <c r="Y584" i="4"/>
  <c r="W584" i="4"/>
  <c r="V584" i="4"/>
  <c r="U584" i="4"/>
  <c r="S584" i="4"/>
  <c r="R584" i="4"/>
  <c r="Q584" i="4"/>
  <c r="O584" i="4"/>
  <c r="N584" i="4"/>
  <c r="M584" i="4"/>
  <c r="K584" i="4"/>
  <c r="J584" i="4"/>
  <c r="I584" i="4"/>
  <c r="AA583" i="4"/>
  <c r="Z583" i="4"/>
  <c r="Y583" i="4"/>
  <c r="W583" i="4"/>
  <c r="V583" i="4"/>
  <c r="U583" i="4"/>
  <c r="S583" i="4"/>
  <c r="R583" i="4"/>
  <c r="Q583" i="4"/>
  <c r="O583" i="4"/>
  <c r="N583" i="4"/>
  <c r="M583" i="4"/>
  <c r="L583" i="4"/>
  <c r="K583" i="4"/>
  <c r="J583" i="4"/>
  <c r="I583" i="4"/>
  <c r="H583" i="4"/>
  <c r="AA581" i="4"/>
  <c r="W581" i="4"/>
  <c r="S581" i="4"/>
  <c r="AA580" i="4"/>
  <c r="Z580" i="4"/>
  <c r="Y580" i="4"/>
  <c r="W580" i="4"/>
  <c r="V580" i="4"/>
  <c r="U580" i="4"/>
  <c r="S580" i="4"/>
  <c r="R580" i="4"/>
  <c r="Q580" i="4"/>
  <c r="O580" i="4"/>
  <c r="N580" i="4"/>
  <c r="M580" i="4"/>
  <c r="L580" i="4"/>
  <c r="K580" i="4"/>
  <c r="J580" i="4"/>
  <c r="I580" i="4"/>
  <c r="H580" i="4"/>
  <c r="AA579" i="4"/>
  <c r="Z579" i="4"/>
  <c r="Y579" i="4"/>
  <c r="W579" i="4"/>
  <c r="V579" i="4"/>
  <c r="U579" i="4"/>
  <c r="S579" i="4"/>
  <c r="R579" i="4"/>
  <c r="Q579" i="4"/>
  <c r="O579" i="4"/>
  <c r="N579" i="4"/>
  <c r="M579" i="4"/>
  <c r="L579" i="4"/>
  <c r="K579" i="4"/>
  <c r="J579" i="4"/>
  <c r="I579" i="4"/>
  <c r="H579" i="4"/>
  <c r="AA578" i="4"/>
  <c r="Z578" i="4"/>
  <c r="Y578" i="4"/>
  <c r="W578" i="4"/>
  <c r="V578" i="4"/>
  <c r="U578" i="4"/>
  <c r="S578" i="4"/>
  <c r="R578" i="4"/>
  <c r="Q578" i="4"/>
  <c r="O578" i="4"/>
  <c r="N578" i="4"/>
  <c r="M578" i="4"/>
  <c r="L578" i="4"/>
  <c r="K578" i="4"/>
  <c r="J578" i="4"/>
  <c r="I578" i="4"/>
  <c r="H578" i="4"/>
  <c r="AA577" i="4"/>
  <c r="W577" i="4"/>
  <c r="S577" i="4"/>
  <c r="BT98" i="4"/>
  <c r="BS98" i="4"/>
  <c r="BR98" i="4"/>
  <c r="BQ98" i="4"/>
  <c r="BP98" i="4"/>
  <c r="BO98" i="4"/>
  <c r="BN98" i="4"/>
  <c r="BM98" i="4"/>
  <c r="BL98" i="4"/>
  <c r="BK98" i="4"/>
  <c r="BI98" i="4"/>
  <c r="BJ98" i="4" s="1"/>
  <c r="BT97" i="4"/>
  <c r="BS97" i="4"/>
  <c r="BR97" i="4"/>
  <c r="BQ97" i="4"/>
  <c r="BP97" i="4"/>
  <c r="BO97" i="4"/>
  <c r="BN97" i="4"/>
  <c r="BM97" i="4"/>
  <c r="BL97" i="4"/>
  <c r="BK97" i="4"/>
  <c r="BI97" i="4"/>
  <c r="BJ97" i="4" s="1"/>
  <c r="BN93" i="4"/>
  <c r="BM93" i="4"/>
  <c r="BL93" i="4"/>
  <c r="BK93" i="4"/>
  <c r="BI93" i="4"/>
  <c r="BJ93" i="4" s="1"/>
  <c r="BN92" i="4"/>
  <c r="BM92" i="4"/>
  <c r="BL92" i="4"/>
  <c r="BK92" i="4"/>
  <c r="BI92" i="4"/>
  <c r="BJ92" i="4" s="1"/>
  <c r="BN87" i="4"/>
  <c r="BM87" i="4"/>
  <c r="BL87" i="4"/>
  <c r="BK87" i="4"/>
  <c r="BI87" i="4"/>
  <c r="BJ87" i="4" s="1"/>
  <c r="BN85" i="4"/>
  <c r="BM85" i="4"/>
  <c r="BL85" i="4"/>
  <c r="BK85" i="4"/>
  <c r="BI85" i="4"/>
  <c r="BJ85" i="4" s="1"/>
  <c r="AS575" i="4"/>
  <c r="AO575" i="4"/>
  <c r="AP575" i="4" s="1"/>
  <c r="AI575" i="4"/>
  <c r="AZ574" i="4"/>
  <c r="AY574" i="4"/>
  <c r="AX574" i="4"/>
  <c r="AV574" i="4"/>
  <c r="AU574" i="4"/>
  <c r="AS574" i="4"/>
  <c r="AW574" i="4" s="1"/>
  <c r="AR574" i="4"/>
  <c r="AQ574" i="4"/>
  <c r="AP574" i="4"/>
  <c r="AO574" i="4"/>
  <c r="AM574" i="4"/>
  <c r="AL574" i="4"/>
  <c r="AI574" i="4"/>
  <c r="AN574" i="4" s="1"/>
  <c r="AZ573" i="4"/>
  <c r="AY573" i="4"/>
  <c r="AX573" i="4"/>
  <c r="AV573" i="4"/>
  <c r="AU573" i="4"/>
  <c r="AS573" i="4"/>
  <c r="AT573" i="4" s="1"/>
  <c r="AR573" i="4"/>
  <c r="AQ573" i="4"/>
  <c r="AP573" i="4"/>
  <c r="AO573" i="4"/>
  <c r="AM573" i="4"/>
  <c r="AL573" i="4"/>
  <c r="AK573" i="4"/>
  <c r="AI573" i="4"/>
  <c r="AN573" i="4" s="1"/>
  <c r="AZ572" i="4"/>
  <c r="AY572" i="4"/>
  <c r="AX572" i="4"/>
  <c r="AV572" i="4"/>
  <c r="AU572" i="4"/>
  <c r="AS572" i="4"/>
  <c r="AW572" i="4" s="1"/>
  <c r="AR572" i="4"/>
  <c r="AQ572" i="4"/>
  <c r="AP572" i="4"/>
  <c r="AO572" i="4"/>
  <c r="AM572" i="4"/>
  <c r="AL572" i="4"/>
  <c r="AI572" i="4"/>
  <c r="AK572" i="4" s="1"/>
  <c r="AS571" i="4"/>
  <c r="AO571" i="4"/>
  <c r="AP571" i="4" s="1"/>
  <c r="AL571" i="4"/>
  <c r="AI571" i="4"/>
  <c r="AR571" i="4" s="1"/>
  <c r="AZ569" i="4"/>
  <c r="AY569" i="4"/>
  <c r="AX569" i="4"/>
  <c r="AV569" i="4"/>
  <c r="AU569" i="4"/>
  <c r="AS569" i="4"/>
  <c r="AT569" i="4" s="1"/>
  <c r="AR569" i="4"/>
  <c r="AQ569" i="4"/>
  <c r="AP569" i="4"/>
  <c r="AO569" i="4"/>
  <c r="AN569" i="4"/>
  <c r="AM569" i="4"/>
  <c r="AL569" i="4"/>
  <c r="AK569" i="4"/>
  <c r="AI569" i="4"/>
  <c r="AZ568" i="4"/>
  <c r="AY568" i="4"/>
  <c r="AX568" i="4"/>
  <c r="AV568" i="4"/>
  <c r="AU568" i="4"/>
  <c r="AS568" i="4"/>
  <c r="AW568" i="4" s="1"/>
  <c r="AR568" i="4"/>
  <c r="AQ568" i="4"/>
  <c r="AP568" i="4"/>
  <c r="AO568" i="4"/>
  <c r="AM568" i="4"/>
  <c r="AL568" i="4"/>
  <c r="AI568" i="4"/>
  <c r="AK568" i="4" s="1"/>
  <c r="AZ567" i="4"/>
  <c r="AY567" i="4"/>
  <c r="AX567" i="4"/>
  <c r="AV567" i="4"/>
  <c r="AU567" i="4"/>
  <c r="AS567" i="4"/>
  <c r="AW567" i="4" s="1"/>
  <c r="AR567" i="4"/>
  <c r="AQ567" i="4"/>
  <c r="AP567" i="4"/>
  <c r="AO567" i="4"/>
  <c r="AM567" i="4"/>
  <c r="AL567" i="4"/>
  <c r="AI567" i="4"/>
  <c r="AK567" i="4" s="1"/>
  <c r="AZ566" i="4"/>
  <c r="AY566" i="4"/>
  <c r="AX566" i="4"/>
  <c r="AV566" i="4"/>
  <c r="AU566" i="4"/>
  <c r="AS566" i="4"/>
  <c r="AR566" i="4"/>
  <c r="AQ566" i="4"/>
  <c r="AP566" i="4"/>
  <c r="AO566" i="4"/>
  <c r="AM566" i="4"/>
  <c r="AL566" i="4"/>
  <c r="AI566" i="4"/>
  <c r="AK566" i="4" s="1"/>
  <c r="AZ565" i="4"/>
  <c r="AY565" i="4"/>
  <c r="AX565" i="4"/>
  <c r="AW565" i="4"/>
  <c r="AV565" i="4"/>
  <c r="AU565" i="4"/>
  <c r="AS565" i="4"/>
  <c r="AT565" i="4" s="1"/>
  <c r="AR565" i="4"/>
  <c r="AQ565" i="4"/>
  <c r="AP565" i="4"/>
  <c r="AO565" i="4"/>
  <c r="AN565" i="4"/>
  <c r="AM565" i="4"/>
  <c r="AL565" i="4"/>
  <c r="AK565" i="4"/>
  <c r="AI565" i="4"/>
  <c r="AZ563" i="4"/>
  <c r="AY563" i="4"/>
  <c r="AX563" i="4"/>
  <c r="AV563" i="4"/>
  <c r="AU563" i="4"/>
  <c r="AS563" i="4"/>
  <c r="AT563" i="4" s="1"/>
  <c r="AR563" i="4"/>
  <c r="AQ563" i="4"/>
  <c r="AP563" i="4"/>
  <c r="AO563" i="4"/>
  <c r="AM563" i="4"/>
  <c r="AL563" i="4"/>
  <c r="AI563" i="4"/>
  <c r="AZ562" i="4"/>
  <c r="AY562" i="4"/>
  <c r="AX562" i="4"/>
  <c r="AV562" i="4"/>
  <c r="AU562" i="4"/>
  <c r="AS562" i="4"/>
  <c r="AR562" i="4"/>
  <c r="AQ562" i="4"/>
  <c r="AP562" i="4"/>
  <c r="AO562" i="4"/>
  <c r="AM562" i="4"/>
  <c r="AL562" i="4"/>
  <c r="AI562" i="4"/>
  <c r="AN562" i="4" s="1"/>
  <c r="AZ561" i="4"/>
  <c r="AY561" i="4"/>
  <c r="AX561" i="4"/>
  <c r="AV561" i="4"/>
  <c r="AU561" i="4"/>
  <c r="AS561" i="4"/>
  <c r="AT561" i="4" s="1"/>
  <c r="AR561" i="4"/>
  <c r="AQ561" i="4"/>
  <c r="AP561" i="4"/>
  <c r="AO561" i="4"/>
  <c r="AM561" i="4"/>
  <c r="AL561" i="4"/>
  <c r="AI561" i="4"/>
  <c r="AZ560" i="4"/>
  <c r="AY560" i="4"/>
  <c r="AX560" i="4"/>
  <c r="AV560" i="4"/>
  <c r="AU560" i="4"/>
  <c r="AS560" i="4"/>
  <c r="AW560" i="4" s="1"/>
  <c r="AR560" i="4"/>
  <c r="AQ560" i="4"/>
  <c r="AP560" i="4"/>
  <c r="AO560" i="4"/>
  <c r="AM560" i="4"/>
  <c r="AL560" i="4"/>
  <c r="AI560" i="4"/>
  <c r="AN560" i="4" s="1"/>
  <c r="AZ559" i="4"/>
  <c r="AY559" i="4"/>
  <c r="AX559" i="4"/>
  <c r="AV559" i="4"/>
  <c r="AU559" i="4"/>
  <c r="AS559" i="4"/>
  <c r="AT559" i="4" s="1"/>
  <c r="AR559" i="4"/>
  <c r="AQ559" i="4"/>
  <c r="AP559" i="4"/>
  <c r="AO559" i="4"/>
  <c r="AM559" i="4"/>
  <c r="AL559" i="4"/>
  <c r="AI559" i="4"/>
  <c r="AK559" i="4" s="1"/>
  <c r="AZ557" i="4"/>
  <c r="AY557" i="4"/>
  <c r="AX557" i="4"/>
  <c r="AV557" i="4"/>
  <c r="AU557" i="4"/>
  <c r="AS557" i="4"/>
  <c r="AT557" i="4" s="1"/>
  <c r="AR557" i="4"/>
  <c r="AQ557" i="4"/>
  <c r="AP557" i="4"/>
  <c r="AO557" i="4"/>
  <c r="AM557" i="4"/>
  <c r="AL557" i="4"/>
  <c r="AI557" i="4"/>
  <c r="AZ556" i="4"/>
  <c r="AY556" i="4"/>
  <c r="AX556" i="4"/>
  <c r="AV556" i="4"/>
  <c r="AU556" i="4"/>
  <c r="AS556" i="4"/>
  <c r="AR556" i="4"/>
  <c r="AQ556" i="4"/>
  <c r="AP556" i="4"/>
  <c r="AO556" i="4"/>
  <c r="AM556" i="4"/>
  <c r="AL556" i="4"/>
  <c r="AI556" i="4"/>
  <c r="AN556" i="4" s="1"/>
  <c r="AZ555" i="4"/>
  <c r="AY555" i="4"/>
  <c r="AX555" i="4"/>
  <c r="AV555" i="4"/>
  <c r="AU555" i="4"/>
  <c r="AS555" i="4"/>
  <c r="AT555" i="4" s="1"/>
  <c r="AR555" i="4"/>
  <c r="AQ555" i="4"/>
  <c r="AP555" i="4"/>
  <c r="AO555" i="4"/>
  <c r="AM555" i="4"/>
  <c r="AL555" i="4"/>
  <c r="AI555" i="4"/>
  <c r="AN555" i="4" s="1"/>
  <c r="AZ554" i="4"/>
  <c r="AY554" i="4"/>
  <c r="AX554" i="4"/>
  <c r="AV554" i="4"/>
  <c r="AU554" i="4"/>
  <c r="AS554" i="4"/>
  <c r="AW554" i="4" s="1"/>
  <c r="AR554" i="4"/>
  <c r="AQ554" i="4"/>
  <c r="AP554" i="4"/>
  <c r="AO554" i="4"/>
  <c r="AM554" i="4"/>
  <c r="AL554" i="4"/>
  <c r="AI554" i="4"/>
  <c r="AN554" i="4" s="1"/>
  <c r="AZ553" i="4"/>
  <c r="AY553" i="4"/>
  <c r="AX553" i="4"/>
  <c r="AV553" i="4"/>
  <c r="AU553" i="4"/>
  <c r="AS553" i="4"/>
  <c r="AT553" i="4" s="1"/>
  <c r="AR553" i="4"/>
  <c r="AQ553" i="4"/>
  <c r="AP553" i="4"/>
  <c r="AO553" i="4"/>
  <c r="AN553" i="4"/>
  <c r="AM553" i="4"/>
  <c r="AL553" i="4"/>
  <c r="AK553" i="4"/>
  <c r="AI553" i="4"/>
  <c r="AS551" i="4"/>
  <c r="AO551" i="4"/>
  <c r="AP551" i="4" s="1"/>
  <c r="AL551" i="4"/>
  <c r="AN551" i="4" s="1"/>
  <c r="AI551" i="4"/>
  <c r="AR551" i="4" s="1"/>
  <c r="AZ550" i="4"/>
  <c r="AY550" i="4"/>
  <c r="AX550" i="4"/>
  <c r="AV550" i="4"/>
  <c r="AU550" i="4"/>
  <c r="AT550" i="4"/>
  <c r="AS550" i="4"/>
  <c r="AW550" i="4" s="1"/>
  <c r="AR550" i="4"/>
  <c r="AQ550" i="4"/>
  <c r="AP550" i="4"/>
  <c r="AO550" i="4"/>
  <c r="AM550" i="4"/>
  <c r="AL550" i="4"/>
  <c r="AI550" i="4"/>
  <c r="AK550" i="4" s="1"/>
  <c r="AZ549" i="4"/>
  <c r="AY549" i="4"/>
  <c r="AX549" i="4"/>
  <c r="AV549" i="4"/>
  <c r="AU549" i="4"/>
  <c r="AS549" i="4"/>
  <c r="AT549" i="4" s="1"/>
  <c r="AR549" i="4"/>
  <c r="AQ549" i="4"/>
  <c r="AP549" i="4"/>
  <c r="AO549" i="4"/>
  <c r="AN549" i="4"/>
  <c r="AM549" i="4"/>
  <c r="AL549" i="4"/>
  <c r="AK549" i="4"/>
  <c r="AI549" i="4"/>
  <c r="AZ548" i="4"/>
  <c r="AY548" i="4"/>
  <c r="AX548" i="4"/>
  <c r="AV548" i="4"/>
  <c r="AU548" i="4"/>
  <c r="AS548" i="4"/>
  <c r="AW548" i="4" s="1"/>
  <c r="AR548" i="4"/>
  <c r="AQ548" i="4"/>
  <c r="AP548" i="4"/>
  <c r="AO548" i="4"/>
  <c r="AM548" i="4"/>
  <c r="AL548" i="4"/>
  <c r="AI548" i="4"/>
  <c r="AK548" i="4" s="1"/>
  <c r="AS547" i="4"/>
  <c r="AI547" i="4"/>
  <c r="AQ547" i="4" s="1"/>
  <c r="AA575" i="4"/>
  <c r="W575" i="4"/>
  <c r="S575" i="4"/>
  <c r="AA574" i="4"/>
  <c r="Z574" i="4"/>
  <c r="Y574" i="4"/>
  <c r="W574" i="4"/>
  <c r="V574" i="4"/>
  <c r="U574" i="4"/>
  <c r="S574" i="4"/>
  <c r="R574" i="4"/>
  <c r="Q574" i="4"/>
  <c r="O574" i="4"/>
  <c r="N574" i="4"/>
  <c r="M574" i="4"/>
  <c r="L574" i="4"/>
  <c r="K574" i="4"/>
  <c r="J574" i="4"/>
  <c r="I574" i="4"/>
  <c r="H574" i="4"/>
  <c r="AA573" i="4"/>
  <c r="Z573" i="4"/>
  <c r="Y573" i="4"/>
  <c r="W573" i="4"/>
  <c r="V573" i="4"/>
  <c r="U573" i="4"/>
  <c r="S573" i="4"/>
  <c r="R573" i="4"/>
  <c r="Q573" i="4"/>
  <c r="O573" i="4"/>
  <c r="N573" i="4"/>
  <c r="M573" i="4"/>
  <c r="L573" i="4"/>
  <c r="K573" i="4"/>
  <c r="J573" i="4"/>
  <c r="I573" i="4"/>
  <c r="H573" i="4"/>
  <c r="AA572" i="4"/>
  <c r="Z572" i="4"/>
  <c r="Y572" i="4"/>
  <c r="W572" i="4"/>
  <c r="V572" i="4"/>
  <c r="U572" i="4"/>
  <c r="S572" i="4"/>
  <c r="R572" i="4"/>
  <c r="Q572" i="4"/>
  <c r="O572" i="4"/>
  <c r="N572" i="4"/>
  <c r="M572" i="4"/>
  <c r="L572" i="4"/>
  <c r="K572" i="4"/>
  <c r="J572" i="4"/>
  <c r="I572" i="4"/>
  <c r="H572" i="4"/>
  <c r="AA571" i="4"/>
  <c r="W571" i="4"/>
  <c r="S571" i="4"/>
  <c r="AA569" i="4"/>
  <c r="Z569" i="4"/>
  <c r="Y569" i="4"/>
  <c r="W569" i="4"/>
  <c r="V569" i="4"/>
  <c r="U569" i="4"/>
  <c r="S569" i="4"/>
  <c r="R569" i="4"/>
  <c r="Q569" i="4"/>
  <c r="O569" i="4"/>
  <c r="N569" i="4"/>
  <c r="M569" i="4"/>
  <c r="L569" i="4"/>
  <c r="K569" i="4"/>
  <c r="J569" i="4"/>
  <c r="I569" i="4"/>
  <c r="H569" i="4"/>
  <c r="AA568" i="4"/>
  <c r="Z568" i="4"/>
  <c r="Y568" i="4"/>
  <c r="W568" i="4"/>
  <c r="V568" i="4"/>
  <c r="U568" i="4"/>
  <c r="S568" i="4"/>
  <c r="R568" i="4"/>
  <c r="Q568" i="4"/>
  <c r="O568" i="4"/>
  <c r="N568" i="4"/>
  <c r="M568" i="4"/>
  <c r="K568" i="4"/>
  <c r="J568" i="4"/>
  <c r="I568" i="4"/>
  <c r="AA567" i="4"/>
  <c r="Z567" i="4"/>
  <c r="Y567" i="4"/>
  <c r="W567" i="4"/>
  <c r="V567" i="4"/>
  <c r="U567" i="4"/>
  <c r="S567" i="4"/>
  <c r="R567" i="4"/>
  <c r="Q567" i="4"/>
  <c r="O567" i="4"/>
  <c r="N567" i="4"/>
  <c r="M567" i="4"/>
  <c r="L567" i="4"/>
  <c r="K567" i="4"/>
  <c r="J567" i="4"/>
  <c r="I567" i="4"/>
  <c r="H567" i="4"/>
  <c r="AA566" i="4"/>
  <c r="Z566" i="4"/>
  <c r="Y566" i="4"/>
  <c r="W566" i="4"/>
  <c r="V566" i="4"/>
  <c r="U566" i="4"/>
  <c r="S566" i="4"/>
  <c r="R566" i="4"/>
  <c r="Q566" i="4"/>
  <c r="O566" i="4"/>
  <c r="N566" i="4"/>
  <c r="M566" i="4"/>
  <c r="L566" i="4"/>
  <c r="K566" i="4"/>
  <c r="J566" i="4"/>
  <c r="I566" i="4"/>
  <c r="H566" i="4"/>
  <c r="AA565" i="4"/>
  <c r="Z565" i="4"/>
  <c r="Y565" i="4"/>
  <c r="W565" i="4"/>
  <c r="V565" i="4"/>
  <c r="U565" i="4"/>
  <c r="S565" i="4"/>
  <c r="R565" i="4"/>
  <c r="Q565" i="4"/>
  <c r="O565" i="4"/>
  <c r="N565" i="4"/>
  <c r="M565" i="4"/>
  <c r="L565" i="4"/>
  <c r="K565" i="4"/>
  <c r="J565" i="4"/>
  <c r="I565" i="4"/>
  <c r="H565" i="4"/>
  <c r="AA563" i="4"/>
  <c r="Z563" i="4"/>
  <c r="Y563" i="4"/>
  <c r="W563" i="4"/>
  <c r="V563" i="4"/>
  <c r="U563" i="4"/>
  <c r="S563" i="4"/>
  <c r="R563" i="4"/>
  <c r="Q563" i="4"/>
  <c r="O563" i="4"/>
  <c r="N563" i="4"/>
  <c r="M563" i="4"/>
  <c r="K563" i="4"/>
  <c r="J563" i="4"/>
  <c r="I563" i="4"/>
  <c r="AA562" i="4"/>
  <c r="Z562" i="4"/>
  <c r="Y562" i="4"/>
  <c r="W562" i="4"/>
  <c r="V562" i="4"/>
  <c r="U562" i="4"/>
  <c r="S562" i="4"/>
  <c r="R562" i="4"/>
  <c r="Q562" i="4"/>
  <c r="O562" i="4"/>
  <c r="N562" i="4"/>
  <c r="M562" i="4"/>
  <c r="L562" i="4"/>
  <c r="K562" i="4"/>
  <c r="J562" i="4"/>
  <c r="I562" i="4"/>
  <c r="H562" i="4"/>
  <c r="AA561" i="4"/>
  <c r="Z561" i="4"/>
  <c r="Y561" i="4"/>
  <c r="W561" i="4"/>
  <c r="V561" i="4"/>
  <c r="U561" i="4"/>
  <c r="S561" i="4"/>
  <c r="R561" i="4"/>
  <c r="Q561" i="4"/>
  <c r="O561" i="4"/>
  <c r="N561" i="4"/>
  <c r="M561" i="4"/>
  <c r="L561" i="4"/>
  <c r="K561" i="4"/>
  <c r="J561" i="4"/>
  <c r="I561" i="4"/>
  <c r="H561" i="4"/>
  <c r="AA560" i="4"/>
  <c r="Z560" i="4"/>
  <c r="Y560" i="4"/>
  <c r="W560" i="4"/>
  <c r="V560" i="4"/>
  <c r="U560" i="4"/>
  <c r="S560" i="4"/>
  <c r="R560" i="4"/>
  <c r="Q560" i="4"/>
  <c r="O560" i="4"/>
  <c r="N560" i="4"/>
  <c r="M560" i="4"/>
  <c r="L560" i="4"/>
  <c r="K560" i="4"/>
  <c r="J560" i="4"/>
  <c r="I560" i="4"/>
  <c r="H560" i="4"/>
  <c r="AA559" i="4"/>
  <c r="Z559" i="4"/>
  <c r="Y559" i="4"/>
  <c r="W559" i="4"/>
  <c r="V559" i="4"/>
  <c r="U559" i="4"/>
  <c r="S559" i="4"/>
  <c r="R559" i="4"/>
  <c r="Q559" i="4"/>
  <c r="O559" i="4"/>
  <c r="N559" i="4"/>
  <c r="M559" i="4"/>
  <c r="L559" i="4"/>
  <c r="K559" i="4"/>
  <c r="J559" i="4"/>
  <c r="I559" i="4"/>
  <c r="H559" i="4"/>
  <c r="AA557" i="4"/>
  <c r="Z557" i="4"/>
  <c r="Y557" i="4"/>
  <c r="W557" i="4"/>
  <c r="V557" i="4"/>
  <c r="U557" i="4"/>
  <c r="S557" i="4"/>
  <c r="R557" i="4"/>
  <c r="Q557" i="4"/>
  <c r="O557" i="4"/>
  <c r="N557" i="4"/>
  <c r="M557" i="4"/>
  <c r="K557" i="4"/>
  <c r="J557" i="4"/>
  <c r="I557" i="4"/>
  <c r="AA556" i="4"/>
  <c r="Z556" i="4"/>
  <c r="Y556" i="4"/>
  <c r="W556" i="4"/>
  <c r="V556" i="4"/>
  <c r="U556" i="4"/>
  <c r="S556" i="4"/>
  <c r="R556" i="4"/>
  <c r="Q556" i="4"/>
  <c r="O556" i="4"/>
  <c r="N556" i="4"/>
  <c r="M556" i="4"/>
  <c r="L556" i="4"/>
  <c r="K556" i="4"/>
  <c r="J556" i="4"/>
  <c r="I556" i="4"/>
  <c r="H556" i="4"/>
  <c r="AA555" i="4"/>
  <c r="Z555" i="4"/>
  <c r="Y555" i="4"/>
  <c r="W555" i="4"/>
  <c r="V555" i="4"/>
  <c r="U555" i="4"/>
  <c r="S555" i="4"/>
  <c r="R555" i="4"/>
  <c r="Q555" i="4"/>
  <c r="O555" i="4"/>
  <c r="N555" i="4"/>
  <c r="M555" i="4"/>
  <c r="L555" i="4"/>
  <c r="K555" i="4"/>
  <c r="J555" i="4"/>
  <c r="I555" i="4"/>
  <c r="H555" i="4"/>
  <c r="AA554" i="4"/>
  <c r="Z554" i="4"/>
  <c r="Y554" i="4"/>
  <c r="W554" i="4"/>
  <c r="V554" i="4"/>
  <c r="U554" i="4"/>
  <c r="S554" i="4"/>
  <c r="R554" i="4"/>
  <c r="Q554" i="4"/>
  <c r="O554" i="4"/>
  <c r="N554" i="4"/>
  <c r="M554" i="4"/>
  <c r="L554" i="4"/>
  <c r="K554" i="4"/>
  <c r="J554" i="4"/>
  <c r="I554" i="4"/>
  <c r="H554" i="4"/>
  <c r="AA553" i="4"/>
  <c r="Z553" i="4"/>
  <c r="Y553" i="4"/>
  <c r="W553" i="4"/>
  <c r="V553" i="4"/>
  <c r="U553" i="4"/>
  <c r="S553" i="4"/>
  <c r="R553" i="4"/>
  <c r="Q553" i="4"/>
  <c r="O553" i="4"/>
  <c r="N553" i="4"/>
  <c r="M553" i="4"/>
  <c r="L553" i="4"/>
  <c r="K553" i="4"/>
  <c r="J553" i="4"/>
  <c r="I553" i="4"/>
  <c r="H553" i="4"/>
  <c r="AA551" i="4"/>
  <c r="W551" i="4"/>
  <c r="S551" i="4"/>
  <c r="AA550" i="4"/>
  <c r="Z550" i="4"/>
  <c r="Y550" i="4"/>
  <c r="W550" i="4"/>
  <c r="V550" i="4"/>
  <c r="U550" i="4"/>
  <c r="S550" i="4"/>
  <c r="R550" i="4"/>
  <c r="Q550" i="4"/>
  <c r="O550" i="4"/>
  <c r="N550" i="4"/>
  <c r="M550" i="4"/>
  <c r="L550" i="4"/>
  <c r="K550" i="4"/>
  <c r="J550" i="4"/>
  <c r="I550" i="4"/>
  <c r="H550" i="4"/>
  <c r="AA549" i="4"/>
  <c r="Z549" i="4"/>
  <c r="Y549" i="4"/>
  <c r="W549" i="4"/>
  <c r="V549" i="4"/>
  <c r="U549" i="4"/>
  <c r="S549" i="4"/>
  <c r="R549" i="4"/>
  <c r="Q549" i="4"/>
  <c r="O549" i="4"/>
  <c r="N549" i="4"/>
  <c r="M549" i="4"/>
  <c r="L549" i="4"/>
  <c r="K549" i="4"/>
  <c r="J549" i="4"/>
  <c r="I549" i="4"/>
  <c r="H549" i="4"/>
  <c r="AA548" i="4"/>
  <c r="Z548" i="4"/>
  <c r="Y548" i="4"/>
  <c r="W548" i="4"/>
  <c r="V548" i="4"/>
  <c r="U548" i="4"/>
  <c r="S548" i="4"/>
  <c r="R548" i="4"/>
  <c r="Q548" i="4"/>
  <c r="O548" i="4"/>
  <c r="N548" i="4"/>
  <c r="M548" i="4"/>
  <c r="L548" i="4"/>
  <c r="K548" i="4"/>
  <c r="J548" i="4"/>
  <c r="I548" i="4"/>
  <c r="H548" i="4"/>
  <c r="AA547" i="4"/>
  <c r="W547" i="4"/>
  <c r="S547" i="4"/>
  <c r="BT79" i="4"/>
  <c r="BS79" i="4"/>
  <c r="BR79" i="4"/>
  <c r="BQ79" i="4"/>
  <c r="BP79" i="4"/>
  <c r="BO79" i="4"/>
  <c r="BN79" i="4"/>
  <c r="BM79" i="4"/>
  <c r="BL79" i="4"/>
  <c r="BK79" i="4"/>
  <c r="BI79" i="4"/>
  <c r="BJ79" i="4" s="1"/>
  <c r="BT78" i="4"/>
  <c r="BS78" i="4"/>
  <c r="BR78" i="4"/>
  <c r="BQ78" i="4"/>
  <c r="BP78" i="4"/>
  <c r="BO78" i="4"/>
  <c r="BN78" i="4"/>
  <c r="BM78" i="4"/>
  <c r="BL78" i="4"/>
  <c r="BK78" i="4"/>
  <c r="BI78" i="4"/>
  <c r="BJ78" i="4" s="1"/>
  <c r="BN74" i="4"/>
  <c r="BM74" i="4"/>
  <c r="BL74" i="4"/>
  <c r="BK74" i="4"/>
  <c r="BI74" i="4"/>
  <c r="BJ74" i="4" s="1"/>
  <c r="BN73" i="4"/>
  <c r="BM73" i="4"/>
  <c r="BL73" i="4"/>
  <c r="BK73" i="4"/>
  <c r="BI73" i="4"/>
  <c r="BJ73" i="4" s="1"/>
  <c r="BN68" i="4"/>
  <c r="BM68" i="4"/>
  <c r="BL68" i="4"/>
  <c r="BK68" i="4"/>
  <c r="BI68" i="4"/>
  <c r="BJ68" i="4" s="1"/>
  <c r="BN66" i="4"/>
  <c r="BM66" i="4"/>
  <c r="BL66" i="4"/>
  <c r="BK66" i="4"/>
  <c r="BI66" i="4"/>
  <c r="BJ66" i="4" s="1"/>
  <c r="AS545" i="4"/>
  <c r="AI545" i="4"/>
  <c r="AR545" i="4" s="1"/>
  <c r="AZ544" i="4"/>
  <c r="AY544" i="4"/>
  <c r="AX544" i="4"/>
  <c r="AV544" i="4"/>
  <c r="AU544" i="4"/>
  <c r="AT544" i="4"/>
  <c r="AS544" i="4"/>
  <c r="AW544" i="4" s="1"/>
  <c r="AR544" i="4"/>
  <c r="AQ544" i="4"/>
  <c r="AP544" i="4"/>
  <c r="AO544" i="4"/>
  <c r="AM544" i="4"/>
  <c r="AL544" i="4"/>
  <c r="AI544" i="4"/>
  <c r="AK544" i="4" s="1"/>
  <c r="AZ543" i="4"/>
  <c r="AY543" i="4"/>
  <c r="AX543" i="4"/>
  <c r="AV543" i="4"/>
  <c r="AU543" i="4"/>
  <c r="AS543" i="4"/>
  <c r="AW543" i="4" s="1"/>
  <c r="AR543" i="4"/>
  <c r="AQ543" i="4"/>
  <c r="AP543" i="4"/>
  <c r="AO543" i="4"/>
  <c r="AN543" i="4"/>
  <c r="AM543" i="4"/>
  <c r="AL543" i="4"/>
  <c r="AI543" i="4"/>
  <c r="AK543" i="4" s="1"/>
  <c r="AZ542" i="4"/>
  <c r="AY542" i="4"/>
  <c r="AX542" i="4"/>
  <c r="AV542" i="4"/>
  <c r="AU542" i="4"/>
  <c r="AS542" i="4"/>
  <c r="AW542" i="4" s="1"/>
  <c r="AR542" i="4"/>
  <c r="AQ542" i="4"/>
  <c r="AP542" i="4"/>
  <c r="AO542" i="4"/>
  <c r="AM542" i="4"/>
  <c r="AL542" i="4"/>
  <c r="AI542" i="4"/>
  <c r="AK542" i="4" s="1"/>
  <c r="AS541" i="4"/>
  <c r="AO541" i="4"/>
  <c r="AP541" i="4" s="1"/>
  <c r="AI541" i="4"/>
  <c r="AR541" i="4" s="1"/>
  <c r="AZ539" i="4"/>
  <c r="AY539" i="4"/>
  <c r="AX539" i="4"/>
  <c r="AV539" i="4"/>
  <c r="AU539" i="4"/>
  <c r="AS539" i="4"/>
  <c r="AT539" i="4" s="1"/>
  <c r="AR539" i="4"/>
  <c r="AQ539" i="4"/>
  <c r="AP539" i="4"/>
  <c r="AO539" i="4"/>
  <c r="AM539" i="4"/>
  <c r="AL539" i="4"/>
  <c r="AK539" i="4"/>
  <c r="AI539" i="4"/>
  <c r="AN539" i="4" s="1"/>
  <c r="AZ538" i="4"/>
  <c r="AY538" i="4"/>
  <c r="AX538" i="4"/>
  <c r="AV538" i="4"/>
  <c r="AU538" i="4"/>
  <c r="AS538" i="4"/>
  <c r="AW538" i="4" s="1"/>
  <c r="AR538" i="4"/>
  <c r="AQ538" i="4"/>
  <c r="AP538" i="4"/>
  <c r="AO538" i="4"/>
  <c r="AM538" i="4"/>
  <c r="AL538" i="4"/>
  <c r="AI538" i="4"/>
  <c r="AK538" i="4" s="1"/>
  <c r="AZ537" i="4"/>
  <c r="AY537" i="4"/>
  <c r="AX537" i="4"/>
  <c r="AV537" i="4"/>
  <c r="AU537" i="4"/>
  <c r="AS537" i="4"/>
  <c r="AT537" i="4" s="1"/>
  <c r="AR537" i="4"/>
  <c r="AQ537" i="4"/>
  <c r="AP537" i="4"/>
  <c r="AO537" i="4"/>
  <c r="AM537" i="4"/>
  <c r="AL537" i="4"/>
  <c r="AI537" i="4"/>
  <c r="AK537" i="4" s="1"/>
  <c r="AZ536" i="4"/>
  <c r="AY536" i="4"/>
  <c r="AX536" i="4"/>
  <c r="AV536" i="4"/>
  <c r="AU536" i="4"/>
  <c r="AS536" i="4"/>
  <c r="AW536" i="4" s="1"/>
  <c r="AR536" i="4"/>
  <c r="AQ536" i="4"/>
  <c r="AP536" i="4"/>
  <c r="AO536" i="4"/>
  <c r="AM536" i="4"/>
  <c r="AL536" i="4"/>
  <c r="AI536" i="4"/>
  <c r="AK536" i="4" s="1"/>
  <c r="AZ535" i="4"/>
  <c r="AY535" i="4"/>
  <c r="AX535" i="4"/>
  <c r="AV535" i="4"/>
  <c r="AU535" i="4"/>
  <c r="AS535" i="4"/>
  <c r="AT535" i="4" s="1"/>
  <c r="AR535" i="4"/>
  <c r="AQ535" i="4"/>
  <c r="AP535" i="4"/>
  <c r="AO535" i="4"/>
  <c r="AM535" i="4"/>
  <c r="AL535" i="4"/>
  <c r="AK535" i="4"/>
  <c r="AI535" i="4"/>
  <c r="AN535" i="4" s="1"/>
  <c r="AZ533" i="4"/>
  <c r="AY533" i="4"/>
  <c r="AX533" i="4"/>
  <c r="AV533" i="4"/>
  <c r="AU533" i="4"/>
  <c r="AS533" i="4"/>
  <c r="AW533" i="4" s="1"/>
  <c r="AR533" i="4"/>
  <c r="AQ533" i="4"/>
  <c r="AP533" i="4"/>
  <c r="AO533" i="4"/>
  <c r="AM533" i="4"/>
  <c r="AL533" i="4"/>
  <c r="AI533" i="4"/>
  <c r="AN533" i="4" s="1"/>
  <c r="AZ532" i="4"/>
  <c r="AY532" i="4"/>
  <c r="AX532" i="4"/>
  <c r="AV532" i="4"/>
  <c r="AU532" i="4"/>
  <c r="AS532" i="4"/>
  <c r="AW532" i="4" s="1"/>
  <c r="AR532" i="4"/>
  <c r="AQ532" i="4"/>
  <c r="AP532" i="4"/>
  <c r="AO532" i="4"/>
  <c r="AM532" i="4"/>
  <c r="AL532" i="4"/>
  <c r="AI532" i="4"/>
  <c r="AK532" i="4" s="1"/>
  <c r="AZ531" i="4"/>
  <c r="AY531" i="4"/>
  <c r="AX531" i="4"/>
  <c r="AV531" i="4"/>
  <c r="AU531" i="4"/>
  <c r="AS531" i="4"/>
  <c r="AW531" i="4" s="1"/>
  <c r="AR531" i="4"/>
  <c r="AQ531" i="4"/>
  <c r="AP531" i="4"/>
  <c r="AO531" i="4"/>
  <c r="AM531" i="4"/>
  <c r="AL531" i="4"/>
  <c r="AI531" i="4"/>
  <c r="AK531" i="4" s="1"/>
  <c r="AZ530" i="4"/>
  <c r="AY530" i="4"/>
  <c r="AX530" i="4"/>
  <c r="AV530" i="4"/>
  <c r="AU530" i="4"/>
  <c r="AS530" i="4"/>
  <c r="AW530" i="4" s="1"/>
  <c r="AR530" i="4"/>
  <c r="AQ530" i="4"/>
  <c r="AP530" i="4"/>
  <c r="AO530" i="4"/>
  <c r="AM530" i="4"/>
  <c r="AL530" i="4"/>
  <c r="AI530" i="4"/>
  <c r="AK530" i="4" s="1"/>
  <c r="AZ529" i="4"/>
  <c r="AY529" i="4"/>
  <c r="AX529" i="4"/>
  <c r="AV529" i="4"/>
  <c r="AU529" i="4"/>
  <c r="AS529" i="4"/>
  <c r="AT529" i="4" s="1"/>
  <c r="AR529" i="4"/>
  <c r="AQ529" i="4"/>
  <c r="AP529" i="4"/>
  <c r="AO529" i="4"/>
  <c r="AM529" i="4"/>
  <c r="AL529" i="4"/>
  <c r="AK529" i="4"/>
  <c r="AI529" i="4"/>
  <c r="AN529" i="4" s="1"/>
  <c r="AZ527" i="4"/>
  <c r="AY527" i="4"/>
  <c r="AX527" i="4"/>
  <c r="AV527" i="4"/>
  <c r="AU527" i="4"/>
  <c r="AS527" i="4"/>
  <c r="AT527" i="4" s="1"/>
  <c r="AR527" i="4"/>
  <c r="AQ527" i="4"/>
  <c r="AP527" i="4"/>
  <c r="AO527" i="4"/>
  <c r="AM527" i="4"/>
  <c r="AL527" i="4"/>
  <c r="AI527" i="4"/>
  <c r="AN527" i="4" s="1"/>
  <c r="AZ526" i="4"/>
  <c r="AY526" i="4"/>
  <c r="AX526" i="4"/>
  <c r="AV526" i="4"/>
  <c r="AU526" i="4"/>
  <c r="AS526" i="4"/>
  <c r="AW526" i="4" s="1"/>
  <c r="AR526" i="4"/>
  <c r="AQ526" i="4"/>
  <c r="AP526" i="4"/>
  <c r="AO526" i="4"/>
  <c r="AM526" i="4"/>
  <c r="AL526" i="4"/>
  <c r="AI526" i="4"/>
  <c r="AK526" i="4" s="1"/>
  <c r="AZ525" i="4"/>
  <c r="AY525" i="4"/>
  <c r="AX525" i="4"/>
  <c r="AV525" i="4"/>
  <c r="AU525" i="4"/>
  <c r="AS525" i="4"/>
  <c r="AT525" i="4" s="1"/>
  <c r="AR525" i="4"/>
  <c r="AQ525" i="4"/>
  <c r="AP525" i="4"/>
  <c r="AO525" i="4"/>
  <c r="AM525" i="4"/>
  <c r="AL525" i="4"/>
  <c r="AI525" i="4"/>
  <c r="AK525" i="4" s="1"/>
  <c r="AZ524" i="4"/>
  <c r="AY524" i="4"/>
  <c r="AX524" i="4"/>
  <c r="AV524" i="4"/>
  <c r="AU524" i="4"/>
  <c r="AS524" i="4"/>
  <c r="AW524" i="4" s="1"/>
  <c r="AR524" i="4"/>
  <c r="AQ524" i="4"/>
  <c r="AP524" i="4"/>
  <c r="AO524" i="4"/>
  <c r="AM524" i="4"/>
  <c r="AL524" i="4"/>
  <c r="AI524" i="4"/>
  <c r="AK524" i="4" s="1"/>
  <c r="AZ523" i="4"/>
  <c r="AY523" i="4"/>
  <c r="AX523" i="4"/>
  <c r="AV523" i="4"/>
  <c r="AU523" i="4"/>
  <c r="AS523" i="4"/>
  <c r="AW523" i="4" s="1"/>
  <c r="AR523" i="4"/>
  <c r="AQ523" i="4"/>
  <c r="AP523" i="4"/>
  <c r="AO523" i="4"/>
  <c r="AM523" i="4"/>
  <c r="AL523" i="4"/>
  <c r="AI523" i="4"/>
  <c r="AK523" i="4" s="1"/>
  <c r="AS521" i="4"/>
  <c r="AI521" i="4"/>
  <c r="AR521" i="4" s="1"/>
  <c r="AZ520" i="4"/>
  <c r="AY520" i="4"/>
  <c r="AX520" i="4"/>
  <c r="AV520" i="4"/>
  <c r="AU520" i="4"/>
  <c r="AS520" i="4"/>
  <c r="AW520" i="4" s="1"/>
  <c r="AR520" i="4"/>
  <c r="AQ520" i="4"/>
  <c r="AP520" i="4"/>
  <c r="AO520" i="4"/>
  <c r="AM520" i="4"/>
  <c r="AL520" i="4"/>
  <c r="AI520" i="4"/>
  <c r="AK520" i="4" s="1"/>
  <c r="AZ519" i="4"/>
  <c r="AY519" i="4"/>
  <c r="AX519" i="4"/>
  <c r="AV519" i="4"/>
  <c r="AU519" i="4"/>
  <c r="AS519" i="4"/>
  <c r="AW519" i="4" s="1"/>
  <c r="AR519" i="4"/>
  <c r="AQ519" i="4"/>
  <c r="AP519" i="4"/>
  <c r="AO519" i="4"/>
  <c r="AM519" i="4"/>
  <c r="AL519" i="4"/>
  <c r="AI519" i="4"/>
  <c r="AK519" i="4" s="1"/>
  <c r="AZ518" i="4"/>
  <c r="AY518" i="4"/>
  <c r="AX518" i="4"/>
  <c r="AV518" i="4"/>
  <c r="AU518" i="4"/>
  <c r="AS518" i="4"/>
  <c r="AW518" i="4" s="1"/>
  <c r="AR518" i="4"/>
  <c r="AQ518" i="4"/>
  <c r="AP518" i="4"/>
  <c r="AO518" i="4"/>
  <c r="AM518" i="4"/>
  <c r="AL518" i="4"/>
  <c r="AI518" i="4"/>
  <c r="AK518" i="4" s="1"/>
  <c r="AS517" i="4"/>
  <c r="AI517" i="4"/>
  <c r="AO517" i="4" s="1"/>
  <c r="AP517" i="4" s="1"/>
  <c r="BC109" i="4" l="1"/>
  <c r="AT572" i="4"/>
  <c r="AT574" i="4"/>
  <c r="AT581" i="4"/>
  <c r="AT635" i="4"/>
  <c r="AT523" i="4"/>
  <c r="AR547" i="4"/>
  <c r="AN557" i="4"/>
  <c r="AK557" i="4"/>
  <c r="AO521" i="4"/>
  <c r="AP521" i="4" s="1"/>
  <c r="AW553" i="4"/>
  <c r="AT568" i="4"/>
  <c r="AM517" i="4"/>
  <c r="AT524" i="4"/>
  <c r="AN537" i="4"/>
  <c r="AT542" i="4"/>
  <c r="AL547" i="4"/>
  <c r="AN547" i="4" s="1"/>
  <c r="AT554" i="4"/>
  <c r="AK555" i="4"/>
  <c r="AW556" i="4"/>
  <c r="AT556" i="4"/>
  <c r="AL517" i="4"/>
  <c r="AT538" i="4"/>
  <c r="AO547" i="4"/>
  <c r="AP547" i="4" s="1"/>
  <c r="AT548" i="4"/>
  <c r="AN563" i="4"/>
  <c r="AK563" i="4"/>
  <c r="AN567" i="4"/>
  <c r="AW607" i="4"/>
  <c r="AT607" i="4"/>
  <c r="AQ517" i="4"/>
  <c r="AW529" i="4"/>
  <c r="AL541" i="4"/>
  <c r="AN541" i="4" s="1"/>
  <c r="K564" i="4"/>
  <c r="AM547" i="4"/>
  <c r="AW557" i="4"/>
  <c r="AN559" i="4"/>
  <c r="AK561" i="4"/>
  <c r="AN561" i="4"/>
  <c r="AW562" i="4"/>
  <c r="AT562" i="4"/>
  <c r="AW566" i="4"/>
  <c r="AT566" i="4"/>
  <c r="AR575" i="4"/>
  <c r="AL575" i="4"/>
  <c r="AN575" i="4" s="1"/>
  <c r="AW559" i="4"/>
  <c r="AM571" i="4"/>
  <c r="AK571" i="4" s="1"/>
  <c r="AQ571" i="4"/>
  <c r="BI113" i="4"/>
  <c r="BJ113" i="4" s="1"/>
  <c r="BI111" i="4"/>
  <c r="BJ111" i="4" s="1"/>
  <c r="BK109" i="4"/>
  <c r="BK111" i="4"/>
  <c r="BI109" i="4"/>
  <c r="BK113" i="4"/>
  <c r="AT560" i="4"/>
  <c r="AN571" i="4"/>
  <c r="AN633" i="4"/>
  <c r="AK633" i="4"/>
  <c r="AW635" i="4"/>
  <c r="AK611" i="4"/>
  <c r="H630" i="4"/>
  <c r="L630" i="4"/>
  <c r="H624" i="4"/>
  <c r="K588" i="4"/>
  <c r="K600" i="4"/>
  <c r="J600" i="4"/>
  <c r="I600" i="4"/>
  <c r="I594" i="4"/>
  <c r="J594" i="4"/>
  <c r="K594" i="4"/>
  <c r="H599" i="4"/>
  <c r="L599" i="4"/>
  <c r="L600" i="4" s="1"/>
  <c r="J588" i="4"/>
  <c r="I588" i="4"/>
  <c r="H593" i="4"/>
  <c r="L593" i="4"/>
  <c r="L594" i="4" s="1"/>
  <c r="H584" i="4"/>
  <c r="H588" i="4" s="1"/>
  <c r="L584" i="4"/>
  <c r="L588" i="4" s="1"/>
  <c r="AW573" i="4"/>
  <c r="AN572" i="4"/>
  <c r="AK574" i="4"/>
  <c r="AM575" i="4"/>
  <c r="AQ575" i="4"/>
  <c r="AW569" i="4"/>
  <c r="AN566" i="4"/>
  <c r="AT567" i="4"/>
  <c r="AN568" i="4"/>
  <c r="AW561" i="4"/>
  <c r="AK560" i="4"/>
  <c r="AK562" i="4"/>
  <c r="AW563" i="4"/>
  <c r="AK554" i="4"/>
  <c r="AK556" i="4"/>
  <c r="AW555" i="4"/>
  <c r="AW549" i="4"/>
  <c r="AN548" i="4"/>
  <c r="AN550" i="4"/>
  <c r="AM551" i="4"/>
  <c r="AK551" i="4" s="1"/>
  <c r="AQ551" i="4"/>
  <c r="K570" i="4"/>
  <c r="I570" i="4"/>
  <c r="J570" i="4"/>
  <c r="I564" i="4"/>
  <c r="J564" i="4"/>
  <c r="H568" i="4"/>
  <c r="L568" i="4"/>
  <c r="L570" i="4" s="1"/>
  <c r="H563" i="4"/>
  <c r="L563" i="4"/>
  <c r="L564" i="4" s="1"/>
  <c r="J558" i="4"/>
  <c r="I558" i="4"/>
  <c r="K558" i="4"/>
  <c r="H557" i="4"/>
  <c r="L557" i="4"/>
  <c r="L558" i="4" s="1"/>
  <c r="AW535" i="4"/>
  <c r="AR517" i="4"/>
  <c r="AN531" i="4"/>
  <c r="AT532" i="4"/>
  <c r="AK533" i="4"/>
  <c r="AT536" i="4"/>
  <c r="AM541" i="4"/>
  <c r="AQ541" i="4"/>
  <c r="AN517" i="4"/>
  <c r="AN519" i="4"/>
  <c r="AT520" i="4"/>
  <c r="AN523" i="4"/>
  <c r="AT518" i="4"/>
  <c r="AN525" i="4"/>
  <c r="AT526" i="4"/>
  <c r="AK527" i="4"/>
  <c r="AT530" i="4"/>
  <c r="AO545" i="4"/>
  <c r="AP545" i="4" s="1"/>
  <c r="AN542" i="4"/>
  <c r="AT543" i="4"/>
  <c r="AN544" i="4"/>
  <c r="AL545" i="4"/>
  <c r="AN545" i="4" s="1"/>
  <c r="AM545" i="4"/>
  <c r="AQ545" i="4"/>
  <c r="AW537" i="4"/>
  <c r="AW539" i="4"/>
  <c r="AN536" i="4"/>
  <c r="AN538" i="4"/>
  <c r="AN530" i="4"/>
  <c r="AT531" i="4"/>
  <c r="AN532" i="4"/>
  <c r="AT533" i="4"/>
  <c r="AW525" i="4"/>
  <c r="AW527" i="4"/>
  <c r="AN524" i="4"/>
  <c r="AN526" i="4"/>
  <c r="AN518" i="4"/>
  <c r="AT519" i="4"/>
  <c r="AN520" i="4"/>
  <c r="AL521" i="4"/>
  <c r="AM521" i="4"/>
  <c r="AQ521" i="4"/>
  <c r="Q112" i="3"/>
  <c r="Q110" i="3"/>
  <c r="N112" i="3"/>
  <c r="N110" i="3"/>
  <c r="K112" i="3"/>
  <c r="V112" i="3" s="1"/>
  <c r="W112" i="3" s="1"/>
  <c r="K110" i="3"/>
  <c r="Q116" i="3"/>
  <c r="Q114" i="3"/>
  <c r="N116" i="3"/>
  <c r="N114" i="3"/>
  <c r="K116" i="3"/>
  <c r="K114" i="3"/>
  <c r="Q105" i="3"/>
  <c r="N105" i="3"/>
  <c r="K105" i="3"/>
  <c r="AA545" i="4"/>
  <c r="W545" i="4"/>
  <c r="S545" i="4"/>
  <c r="AA544" i="4"/>
  <c r="Z544" i="4"/>
  <c r="Y544" i="4"/>
  <c r="W544" i="4"/>
  <c r="V544" i="4"/>
  <c r="U544" i="4"/>
  <c r="S544" i="4"/>
  <c r="R544" i="4"/>
  <c r="Q544" i="4"/>
  <c r="O544" i="4"/>
  <c r="N544" i="4"/>
  <c r="M544" i="4"/>
  <c r="L544" i="4"/>
  <c r="K544" i="4"/>
  <c r="J544" i="4"/>
  <c r="I544" i="4"/>
  <c r="H544" i="4"/>
  <c r="AA543" i="4"/>
  <c r="Z543" i="4"/>
  <c r="Y543" i="4"/>
  <c r="W543" i="4"/>
  <c r="V543" i="4"/>
  <c r="U543" i="4"/>
  <c r="S543" i="4"/>
  <c r="R543" i="4"/>
  <c r="Q543" i="4"/>
  <c r="O543" i="4"/>
  <c r="N543" i="4"/>
  <c r="M543" i="4"/>
  <c r="L543" i="4"/>
  <c r="K543" i="4"/>
  <c r="J543" i="4"/>
  <c r="I543" i="4"/>
  <c r="H543" i="4"/>
  <c r="AA542" i="4"/>
  <c r="Z542" i="4"/>
  <c r="Y542" i="4"/>
  <c r="W542" i="4"/>
  <c r="V542" i="4"/>
  <c r="U542" i="4"/>
  <c r="S542" i="4"/>
  <c r="R542" i="4"/>
  <c r="Q542" i="4"/>
  <c r="O542" i="4"/>
  <c r="N542" i="4"/>
  <c r="M542" i="4"/>
  <c r="L542" i="4"/>
  <c r="K542" i="4"/>
  <c r="J542" i="4"/>
  <c r="I542" i="4"/>
  <c r="H542" i="4"/>
  <c r="AA541" i="4"/>
  <c r="W541" i="4"/>
  <c r="S541" i="4"/>
  <c r="AA539" i="4"/>
  <c r="Z539" i="4"/>
  <c r="Y539" i="4"/>
  <c r="W539" i="4"/>
  <c r="V539" i="4"/>
  <c r="U539" i="4"/>
  <c r="S539" i="4"/>
  <c r="R539" i="4"/>
  <c r="Q539" i="4"/>
  <c r="O539" i="4"/>
  <c r="N539" i="4"/>
  <c r="M539" i="4"/>
  <c r="K539" i="4"/>
  <c r="J539" i="4"/>
  <c r="I539" i="4"/>
  <c r="AA538" i="4"/>
  <c r="Z538" i="4"/>
  <c r="Y538" i="4"/>
  <c r="W538" i="4"/>
  <c r="V538" i="4"/>
  <c r="U538" i="4"/>
  <c r="S538" i="4"/>
  <c r="R538" i="4"/>
  <c r="Q538" i="4"/>
  <c r="O538" i="4"/>
  <c r="N538" i="4"/>
  <c r="M538" i="4"/>
  <c r="L538" i="4"/>
  <c r="K538" i="4"/>
  <c r="J538" i="4"/>
  <c r="I538" i="4"/>
  <c r="H538" i="4"/>
  <c r="AA537" i="4"/>
  <c r="Z537" i="4"/>
  <c r="Y537" i="4"/>
  <c r="W537" i="4"/>
  <c r="V537" i="4"/>
  <c r="U537" i="4"/>
  <c r="S537" i="4"/>
  <c r="R537" i="4"/>
  <c r="Q537" i="4"/>
  <c r="O537" i="4"/>
  <c r="N537" i="4"/>
  <c r="M537" i="4"/>
  <c r="L537" i="4"/>
  <c r="K537" i="4"/>
  <c r="J537" i="4"/>
  <c r="I537" i="4"/>
  <c r="H537" i="4"/>
  <c r="AA536" i="4"/>
  <c r="Z536" i="4"/>
  <c r="Y536" i="4"/>
  <c r="W536" i="4"/>
  <c r="V536" i="4"/>
  <c r="U536" i="4"/>
  <c r="S536" i="4"/>
  <c r="R536" i="4"/>
  <c r="Q536" i="4"/>
  <c r="O536" i="4"/>
  <c r="N536" i="4"/>
  <c r="M536" i="4"/>
  <c r="L536" i="4"/>
  <c r="K536" i="4"/>
  <c r="J536" i="4"/>
  <c r="I536" i="4"/>
  <c r="H536" i="4"/>
  <c r="AA535" i="4"/>
  <c r="Z535" i="4"/>
  <c r="Y535" i="4"/>
  <c r="W535" i="4"/>
  <c r="V535" i="4"/>
  <c r="U535" i="4"/>
  <c r="S535" i="4"/>
  <c r="R535" i="4"/>
  <c r="Q535" i="4"/>
  <c r="O535" i="4"/>
  <c r="N535" i="4"/>
  <c r="M535" i="4"/>
  <c r="L535" i="4"/>
  <c r="K535" i="4"/>
  <c r="J535" i="4"/>
  <c r="I535" i="4"/>
  <c r="H535" i="4"/>
  <c r="AA533" i="4"/>
  <c r="Z533" i="4"/>
  <c r="Y533" i="4"/>
  <c r="W533" i="4"/>
  <c r="V533" i="4"/>
  <c r="U533" i="4"/>
  <c r="S533" i="4"/>
  <c r="R533" i="4"/>
  <c r="Q533" i="4"/>
  <c r="O533" i="4"/>
  <c r="N533" i="4"/>
  <c r="M533" i="4"/>
  <c r="K533" i="4"/>
  <c r="J533" i="4"/>
  <c r="I533" i="4"/>
  <c r="AA532" i="4"/>
  <c r="Z532" i="4"/>
  <c r="Y532" i="4"/>
  <c r="W532" i="4"/>
  <c r="V532" i="4"/>
  <c r="U532" i="4"/>
  <c r="S532" i="4"/>
  <c r="R532" i="4"/>
  <c r="Q532" i="4"/>
  <c r="O532" i="4"/>
  <c r="N532" i="4"/>
  <c r="M532" i="4"/>
  <c r="L532" i="4"/>
  <c r="K532" i="4"/>
  <c r="J532" i="4"/>
  <c r="I532" i="4"/>
  <c r="H532" i="4"/>
  <c r="AA531" i="4"/>
  <c r="Z531" i="4"/>
  <c r="Y531" i="4"/>
  <c r="W531" i="4"/>
  <c r="V531" i="4"/>
  <c r="U531" i="4"/>
  <c r="S531" i="4"/>
  <c r="R531" i="4"/>
  <c r="Q531" i="4"/>
  <c r="O531" i="4"/>
  <c r="N531" i="4"/>
  <c r="M531" i="4"/>
  <c r="L531" i="4"/>
  <c r="K531" i="4"/>
  <c r="J531" i="4"/>
  <c r="I531" i="4"/>
  <c r="H531" i="4"/>
  <c r="AA530" i="4"/>
  <c r="Z530" i="4"/>
  <c r="Y530" i="4"/>
  <c r="W530" i="4"/>
  <c r="V530" i="4"/>
  <c r="U530" i="4"/>
  <c r="S530" i="4"/>
  <c r="R530" i="4"/>
  <c r="Q530" i="4"/>
  <c r="O530" i="4"/>
  <c r="N530" i="4"/>
  <c r="M530" i="4"/>
  <c r="L530" i="4"/>
  <c r="K530" i="4"/>
  <c r="J530" i="4"/>
  <c r="I530" i="4"/>
  <c r="H530" i="4"/>
  <c r="AA529" i="4"/>
  <c r="Z529" i="4"/>
  <c r="Y529" i="4"/>
  <c r="W529" i="4"/>
  <c r="V529" i="4"/>
  <c r="U529" i="4"/>
  <c r="S529" i="4"/>
  <c r="R529" i="4"/>
  <c r="Q529" i="4"/>
  <c r="O529" i="4"/>
  <c r="N529" i="4"/>
  <c r="M529" i="4"/>
  <c r="L529" i="4"/>
  <c r="K529" i="4"/>
  <c r="J529" i="4"/>
  <c r="I529" i="4"/>
  <c r="H529" i="4"/>
  <c r="AA527" i="4"/>
  <c r="Z527" i="4"/>
  <c r="Y527" i="4"/>
  <c r="W527" i="4"/>
  <c r="V527" i="4"/>
  <c r="U527" i="4"/>
  <c r="S527" i="4"/>
  <c r="R527" i="4"/>
  <c r="Q527" i="4"/>
  <c r="O527" i="4"/>
  <c r="N527" i="4"/>
  <c r="M527" i="4"/>
  <c r="L527" i="4"/>
  <c r="K527" i="4"/>
  <c r="J527" i="4"/>
  <c r="I527" i="4"/>
  <c r="H527" i="4"/>
  <c r="AA526" i="4"/>
  <c r="Z526" i="4"/>
  <c r="Y526" i="4"/>
  <c r="W526" i="4"/>
  <c r="V526" i="4"/>
  <c r="U526" i="4"/>
  <c r="S526" i="4"/>
  <c r="R526" i="4"/>
  <c r="Q526" i="4"/>
  <c r="O526" i="4"/>
  <c r="N526" i="4"/>
  <c r="M526" i="4"/>
  <c r="L526" i="4"/>
  <c r="K526" i="4"/>
  <c r="J526" i="4"/>
  <c r="I526" i="4"/>
  <c r="H526" i="4"/>
  <c r="AA525" i="4"/>
  <c r="Z525" i="4"/>
  <c r="Y525" i="4"/>
  <c r="W525" i="4"/>
  <c r="V525" i="4"/>
  <c r="U525" i="4"/>
  <c r="S525" i="4"/>
  <c r="R525" i="4"/>
  <c r="Q525" i="4"/>
  <c r="O525" i="4"/>
  <c r="N525" i="4"/>
  <c r="M525" i="4"/>
  <c r="L525" i="4"/>
  <c r="K525" i="4"/>
  <c r="J525" i="4"/>
  <c r="I525" i="4"/>
  <c r="H525" i="4"/>
  <c r="AA524" i="4"/>
  <c r="Z524" i="4"/>
  <c r="Y524" i="4"/>
  <c r="W524" i="4"/>
  <c r="V524" i="4"/>
  <c r="U524" i="4"/>
  <c r="S524" i="4"/>
  <c r="R524" i="4"/>
  <c r="Q524" i="4"/>
  <c r="O524" i="4"/>
  <c r="N524" i="4"/>
  <c r="M524" i="4"/>
  <c r="L524" i="4"/>
  <c r="K524" i="4"/>
  <c r="J524" i="4"/>
  <c r="I524" i="4"/>
  <c r="H524" i="4"/>
  <c r="AA523" i="4"/>
  <c r="Z523" i="4"/>
  <c r="Y523" i="4"/>
  <c r="W523" i="4"/>
  <c r="V523" i="4"/>
  <c r="U523" i="4"/>
  <c r="S523" i="4"/>
  <c r="R523" i="4"/>
  <c r="Q523" i="4"/>
  <c r="O523" i="4"/>
  <c r="N523" i="4"/>
  <c r="M523" i="4"/>
  <c r="K523" i="4"/>
  <c r="J523" i="4"/>
  <c r="I523" i="4"/>
  <c r="AA521" i="4"/>
  <c r="W521" i="4"/>
  <c r="S521" i="4"/>
  <c r="AA520" i="4"/>
  <c r="Z520" i="4"/>
  <c r="Y520" i="4"/>
  <c r="W520" i="4"/>
  <c r="V520" i="4"/>
  <c r="U520" i="4"/>
  <c r="S520" i="4"/>
  <c r="R520" i="4"/>
  <c r="Q520" i="4"/>
  <c r="O520" i="4"/>
  <c r="N520" i="4"/>
  <c r="M520" i="4"/>
  <c r="L520" i="4"/>
  <c r="K520" i="4"/>
  <c r="J520" i="4"/>
  <c r="I520" i="4"/>
  <c r="H520" i="4"/>
  <c r="AA519" i="4"/>
  <c r="Z519" i="4"/>
  <c r="Y519" i="4"/>
  <c r="W519" i="4"/>
  <c r="V519" i="4"/>
  <c r="U519" i="4"/>
  <c r="S519" i="4"/>
  <c r="R519" i="4"/>
  <c r="Q519" i="4"/>
  <c r="O519" i="4"/>
  <c r="N519" i="4"/>
  <c r="M519" i="4"/>
  <c r="L519" i="4"/>
  <c r="K519" i="4"/>
  <c r="J519" i="4"/>
  <c r="I519" i="4"/>
  <c r="H519" i="4"/>
  <c r="AA518" i="4"/>
  <c r="Z518" i="4"/>
  <c r="Y518" i="4"/>
  <c r="W518" i="4"/>
  <c r="V518" i="4"/>
  <c r="U518" i="4"/>
  <c r="S518" i="4"/>
  <c r="R518" i="4"/>
  <c r="Q518" i="4"/>
  <c r="O518" i="4"/>
  <c r="N518" i="4"/>
  <c r="M518" i="4"/>
  <c r="L518" i="4"/>
  <c r="K518" i="4"/>
  <c r="J518" i="4"/>
  <c r="I518" i="4"/>
  <c r="H518" i="4"/>
  <c r="AA517" i="4"/>
  <c r="W517" i="4"/>
  <c r="S517" i="4"/>
  <c r="Q100" i="3"/>
  <c r="N100" i="3"/>
  <c r="K100" i="3"/>
  <c r="K96" i="3"/>
  <c r="K95" i="3"/>
  <c r="K94" i="3"/>
  <c r="G94" i="3"/>
  <c r="AS515" i="4"/>
  <c r="AO515" i="4"/>
  <c r="AP515" i="4" s="1"/>
  <c r="AI515" i="4"/>
  <c r="AR515" i="4" s="1"/>
  <c r="AZ514" i="4"/>
  <c r="AY514" i="4"/>
  <c r="AX514" i="4"/>
  <c r="AV514" i="4"/>
  <c r="AU514" i="4"/>
  <c r="AS514" i="4"/>
  <c r="AW514" i="4" s="1"/>
  <c r="AR514" i="4"/>
  <c r="AQ514" i="4"/>
  <c r="AP514" i="4"/>
  <c r="AO514" i="4"/>
  <c r="AM514" i="4"/>
  <c r="AL514" i="4"/>
  <c r="AI514" i="4"/>
  <c r="AK514" i="4" s="1"/>
  <c r="AZ513" i="4"/>
  <c r="AY513" i="4"/>
  <c r="AX513" i="4"/>
  <c r="AV513" i="4"/>
  <c r="AU513" i="4"/>
  <c r="AS513" i="4"/>
  <c r="AT513" i="4" s="1"/>
  <c r="AR513" i="4"/>
  <c r="AQ513" i="4"/>
  <c r="AP513" i="4"/>
  <c r="AO513" i="4"/>
  <c r="AM513" i="4"/>
  <c r="AL513" i="4"/>
  <c r="AI513" i="4"/>
  <c r="AN513" i="4" s="1"/>
  <c r="AZ512" i="4"/>
  <c r="AY512" i="4"/>
  <c r="AX512" i="4"/>
  <c r="AV512" i="4"/>
  <c r="AU512" i="4"/>
  <c r="AS512" i="4"/>
  <c r="AW512" i="4" s="1"/>
  <c r="AR512" i="4"/>
  <c r="AQ512" i="4"/>
  <c r="AP512" i="4"/>
  <c r="AO512" i="4"/>
  <c r="AM512" i="4"/>
  <c r="AL512" i="4"/>
  <c r="AI512" i="4"/>
  <c r="AK512" i="4" s="1"/>
  <c r="AS511" i="4"/>
  <c r="AR511" i="4"/>
  <c r="AQ511" i="4"/>
  <c r="AO511" i="4"/>
  <c r="AP511" i="4" s="1"/>
  <c r="AM511" i="4"/>
  <c r="AL511" i="4"/>
  <c r="AN511" i="4" s="1"/>
  <c r="AI511" i="4"/>
  <c r="AZ509" i="4"/>
  <c r="AY509" i="4"/>
  <c r="AX509" i="4"/>
  <c r="AV509" i="4"/>
  <c r="AU509" i="4"/>
  <c r="AS509" i="4"/>
  <c r="AW509" i="4" s="1"/>
  <c r="AR509" i="4"/>
  <c r="AQ509" i="4"/>
  <c r="AP509" i="4"/>
  <c r="AO509" i="4"/>
  <c r="AM509" i="4"/>
  <c r="AL509" i="4"/>
  <c r="AI509" i="4"/>
  <c r="AN509" i="4" s="1"/>
  <c r="AZ508" i="4"/>
  <c r="AY508" i="4"/>
  <c r="AX508" i="4"/>
  <c r="AV508" i="4"/>
  <c r="AU508" i="4"/>
  <c r="AS508" i="4"/>
  <c r="AW508" i="4" s="1"/>
  <c r="AR508" i="4"/>
  <c r="AQ508" i="4"/>
  <c r="AP508" i="4"/>
  <c r="AO508" i="4"/>
  <c r="AM508" i="4"/>
  <c r="AL508" i="4"/>
  <c r="AI508" i="4"/>
  <c r="AK508" i="4" s="1"/>
  <c r="AZ507" i="4"/>
  <c r="AY507" i="4"/>
  <c r="AX507" i="4"/>
  <c r="AV507" i="4"/>
  <c r="AU507" i="4"/>
  <c r="AS507" i="4"/>
  <c r="AW507" i="4" s="1"/>
  <c r="AR507" i="4"/>
  <c r="AQ507" i="4"/>
  <c r="AP507" i="4"/>
  <c r="AO507" i="4"/>
  <c r="AM507" i="4"/>
  <c r="AL507" i="4"/>
  <c r="AI507" i="4"/>
  <c r="AN507" i="4" s="1"/>
  <c r="AZ506" i="4"/>
  <c r="AY506" i="4"/>
  <c r="AX506" i="4"/>
  <c r="AV506" i="4"/>
  <c r="AU506" i="4"/>
  <c r="AS506" i="4"/>
  <c r="AW506" i="4" s="1"/>
  <c r="AR506" i="4"/>
  <c r="AQ506" i="4"/>
  <c r="AP506" i="4"/>
  <c r="AO506" i="4"/>
  <c r="AM506" i="4"/>
  <c r="AL506" i="4"/>
  <c r="AI506" i="4"/>
  <c r="AK506" i="4" s="1"/>
  <c r="AZ505" i="4"/>
  <c r="AY505" i="4"/>
  <c r="AX505" i="4"/>
  <c r="AV505" i="4"/>
  <c r="AU505" i="4"/>
  <c r="AS505" i="4"/>
  <c r="AW505" i="4" s="1"/>
  <c r="AR505" i="4"/>
  <c r="AQ505" i="4"/>
  <c r="AP505" i="4"/>
  <c r="AO505" i="4"/>
  <c r="AM505" i="4"/>
  <c r="AL505" i="4"/>
  <c r="AI505" i="4"/>
  <c r="AK505" i="4" s="1"/>
  <c r="AZ503" i="4"/>
  <c r="AY503" i="4"/>
  <c r="AX503" i="4"/>
  <c r="AV503" i="4"/>
  <c r="AU503" i="4"/>
  <c r="AS503" i="4"/>
  <c r="AT503" i="4" s="1"/>
  <c r="AR503" i="4"/>
  <c r="AQ503" i="4"/>
  <c r="AP503" i="4"/>
  <c r="AO503" i="4"/>
  <c r="AM503" i="4"/>
  <c r="AL503" i="4"/>
  <c r="AI503" i="4"/>
  <c r="AN503" i="4" s="1"/>
  <c r="AZ502" i="4"/>
  <c r="AY502" i="4"/>
  <c r="AX502" i="4"/>
  <c r="AV502" i="4"/>
  <c r="AU502" i="4"/>
  <c r="AS502" i="4"/>
  <c r="AW502" i="4" s="1"/>
  <c r="AR502" i="4"/>
  <c r="AQ502" i="4"/>
  <c r="AP502" i="4"/>
  <c r="AO502" i="4"/>
  <c r="AM502" i="4"/>
  <c r="AL502" i="4"/>
  <c r="AI502" i="4"/>
  <c r="AK502" i="4" s="1"/>
  <c r="AZ501" i="4"/>
  <c r="AY501" i="4"/>
  <c r="AX501" i="4"/>
  <c r="AV501" i="4"/>
  <c r="AU501" i="4"/>
  <c r="AS501" i="4"/>
  <c r="AT501" i="4" s="1"/>
  <c r="AR501" i="4"/>
  <c r="AQ501" i="4"/>
  <c r="AP501" i="4"/>
  <c r="AO501" i="4"/>
  <c r="AM501" i="4"/>
  <c r="AL501" i="4"/>
  <c r="AI501" i="4"/>
  <c r="AN501" i="4" s="1"/>
  <c r="AZ500" i="4"/>
  <c r="AY500" i="4"/>
  <c r="AX500" i="4"/>
  <c r="AV500" i="4"/>
  <c r="AU500" i="4"/>
  <c r="AS500" i="4"/>
  <c r="AW500" i="4" s="1"/>
  <c r="AR500" i="4"/>
  <c r="AQ500" i="4"/>
  <c r="AP500" i="4"/>
  <c r="AO500" i="4"/>
  <c r="AM500" i="4"/>
  <c r="AL500" i="4"/>
  <c r="AI500" i="4"/>
  <c r="AK500" i="4" s="1"/>
  <c r="AZ499" i="4"/>
  <c r="AY499" i="4"/>
  <c r="AX499" i="4"/>
  <c r="AV499" i="4"/>
  <c r="AU499" i="4"/>
  <c r="AS499" i="4"/>
  <c r="AW499" i="4" s="1"/>
  <c r="AR499" i="4"/>
  <c r="AQ499" i="4"/>
  <c r="AP499" i="4"/>
  <c r="AO499" i="4"/>
  <c r="AM499" i="4"/>
  <c r="AL499" i="4"/>
  <c r="AK499" i="4"/>
  <c r="AI499" i="4"/>
  <c r="AN499" i="4" s="1"/>
  <c r="AZ497" i="4"/>
  <c r="AY497" i="4"/>
  <c r="AX497" i="4"/>
  <c r="AV497" i="4"/>
  <c r="AU497" i="4"/>
  <c r="AS497" i="4"/>
  <c r="AT497" i="4" s="1"/>
  <c r="AR497" i="4"/>
  <c r="AQ497" i="4"/>
  <c r="AP497" i="4"/>
  <c r="AO497" i="4"/>
  <c r="AM497" i="4"/>
  <c r="AL497" i="4"/>
  <c r="AI497" i="4"/>
  <c r="AK497" i="4" s="1"/>
  <c r="AZ496" i="4"/>
  <c r="AY496" i="4"/>
  <c r="AX496" i="4"/>
  <c r="AV496" i="4"/>
  <c r="AU496" i="4"/>
  <c r="AS496" i="4"/>
  <c r="AW496" i="4" s="1"/>
  <c r="AR496" i="4"/>
  <c r="AQ496" i="4"/>
  <c r="AP496" i="4"/>
  <c r="AO496" i="4"/>
  <c r="AM496" i="4"/>
  <c r="AL496" i="4"/>
  <c r="AI496" i="4"/>
  <c r="AK496" i="4" s="1"/>
  <c r="AZ495" i="4"/>
  <c r="AY495" i="4"/>
  <c r="AX495" i="4"/>
  <c r="AV495" i="4"/>
  <c r="AU495" i="4"/>
  <c r="AS495" i="4"/>
  <c r="AT495" i="4" s="1"/>
  <c r="AR495" i="4"/>
  <c r="AQ495" i="4"/>
  <c r="AP495" i="4"/>
  <c r="AO495" i="4"/>
  <c r="AM495" i="4"/>
  <c r="AL495" i="4"/>
  <c r="AI495" i="4"/>
  <c r="AN495" i="4" s="1"/>
  <c r="AZ494" i="4"/>
  <c r="AY494" i="4"/>
  <c r="AX494" i="4"/>
  <c r="AV494" i="4"/>
  <c r="AU494" i="4"/>
  <c r="AS494" i="4"/>
  <c r="AW494" i="4" s="1"/>
  <c r="AR494" i="4"/>
  <c r="AQ494" i="4"/>
  <c r="AP494" i="4"/>
  <c r="AO494" i="4"/>
  <c r="AM494" i="4"/>
  <c r="AL494" i="4"/>
  <c r="AI494" i="4"/>
  <c r="AK494" i="4" s="1"/>
  <c r="AZ493" i="4"/>
  <c r="AY493" i="4"/>
  <c r="AX493" i="4"/>
  <c r="AV493" i="4"/>
  <c r="AU493" i="4"/>
  <c r="AS493" i="4"/>
  <c r="AW493" i="4" s="1"/>
  <c r="AR493" i="4"/>
  <c r="AQ493" i="4"/>
  <c r="AP493" i="4"/>
  <c r="AO493" i="4"/>
  <c r="AM493" i="4"/>
  <c r="AL493" i="4"/>
  <c r="AI493" i="4"/>
  <c r="AK493" i="4" s="1"/>
  <c r="O48" i="3"/>
  <c r="Q96" i="3"/>
  <c r="Q95" i="3"/>
  <c r="Q94" i="3"/>
  <c r="N96" i="3"/>
  <c r="N95" i="3"/>
  <c r="N94" i="3"/>
  <c r="L96" i="3"/>
  <c r="L95" i="3"/>
  <c r="L94" i="3"/>
  <c r="W116" i="3" l="1"/>
  <c r="V116" i="3"/>
  <c r="W110" i="3"/>
  <c r="V110" i="3"/>
  <c r="V105" i="3"/>
  <c r="W105" i="3"/>
  <c r="W95" i="3"/>
  <c r="V95" i="3"/>
  <c r="W96" i="3"/>
  <c r="V96" i="3"/>
  <c r="W94" i="3"/>
  <c r="V94" i="3"/>
  <c r="W100" i="3"/>
  <c r="V100" i="3"/>
  <c r="AK575" i="4"/>
  <c r="AK541" i="4"/>
  <c r="W43" i="3"/>
  <c r="V43" i="3"/>
  <c r="AT494" i="4"/>
  <c r="AK547" i="4"/>
  <c r="AK517" i="4"/>
  <c r="AT506" i="4"/>
  <c r="AT496" i="4"/>
  <c r="AT499" i="4"/>
  <c r="BI114" i="4"/>
  <c r="BJ109" i="4"/>
  <c r="BJ114" i="4" s="1"/>
  <c r="AK501" i="4"/>
  <c r="AT493" i="4"/>
  <c r="AT500" i="4"/>
  <c r="AT502" i="4"/>
  <c r="AT505" i="4"/>
  <c r="AK509" i="4"/>
  <c r="AT512" i="4"/>
  <c r="BB84" i="4"/>
  <c r="AK503" i="4"/>
  <c r="AK513" i="4"/>
  <c r="AK495" i="4"/>
  <c r="AK507" i="4"/>
  <c r="H600" i="4"/>
  <c r="H594" i="4"/>
  <c r="H570" i="4"/>
  <c r="H564" i="4"/>
  <c r="H558" i="4"/>
  <c r="AT514" i="4"/>
  <c r="AN497" i="4"/>
  <c r="AN505" i="4"/>
  <c r="AN493" i="4"/>
  <c r="AT508" i="4"/>
  <c r="AK545" i="4"/>
  <c r="AK521" i="4"/>
  <c r="AN521" i="4"/>
  <c r="K534" i="4"/>
  <c r="J534" i="4"/>
  <c r="I534" i="4"/>
  <c r="J540" i="4"/>
  <c r="I540" i="4"/>
  <c r="K540" i="4"/>
  <c r="H539" i="4"/>
  <c r="L539" i="4"/>
  <c r="L540" i="4" s="1"/>
  <c r="H533" i="4"/>
  <c r="L533" i="4"/>
  <c r="L534" i="4" s="1"/>
  <c r="H523" i="4"/>
  <c r="H528" i="4" s="1"/>
  <c r="L523" i="4"/>
  <c r="I528" i="4"/>
  <c r="J528" i="4"/>
  <c r="K528" i="4"/>
  <c r="AW513" i="4"/>
  <c r="AN512" i="4"/>
  <c r="AN514" i="4"/>
  <c r="AL515" i="4"/>
  <c r="AM515" i="4"/>
  <c r="AQ515" i="4"/>
  <c r="AN515" i="4"/>
  <c r="AK511" i="4"/>
  <c r="AN506" i="4"/>
  <c r="AT507" i="4"/>
  <c r="AN508" i="4"/>
  <c r="AT509" i="4"/>
  <c r="AW501" i="4"/>
  <c r="AW503" i="4"/>
  <c r="AN500" i="4"/>
  <c r="AN502" i="4"/>
  <c r="AW497" i="4"/>
  <c r="AN496" i="4"/>
  <c r="AW495" i="4"/>
  <c r="AN494" i="4"/>
  <c r="L277" i="4"/>
  <c r="H277" i="4"/>
  <c r="AS491" i="4"/>
  <c r="AI491" i="4"/>
  <c r="AR491" i="4" s="1"/>
  <c r="AZ490" i="4"/>
  <c r="AY490" i="4"/>
  <c r="AX490" i="4"/>
  <c r="AV490" i="4"/>
  <c r="AU490" i="4"/>
  <c r="AS490" i="4"/>
  <c r="AW490" i="4" s="1"/>
  <c r="AR490" i="4"/>
  <c r="AQ490" i="4"/>
  <c r="AP490" i="4"/>
  <c r="AO490" i="4"/>
  <c r="AM490" i="4"/>
  <c r="AL490" i="4"/>
  <c r="AI490" i="4"/>
  <c r="AN490" i="4" s="1"/>
  <c r="AZ489" i="4"/>
  <c r="AY489" i="4"/>
  <c r="AX489" i="4"/>
  <c r="AV489" i="4"/>
  <c r="AU489" i="4"/>
  <c r="AS489" i="4"/>
  <c r="AW489" i="4" s="1"/>
  <c r="AR489" i="4"/>
  <c r="AQ489" i="4"/>
  <c r="AP489" i="4"/>
  <c r="AO489" i="4"/>
  <c r="AM489" i="4"/>
  <c r="AL489" i="4"/>
  <c r="AI489" i="4"/>
  <c r="AN489" i="4" s="1"/>
  <c r="AZ488" i="4"/>
  <c r="AY488" i="4"/>
  <c r="AX488" i="4"/>
  <c r="AV488" i="4"/>
  <c r="AU488" i="4"/>
  <c r="AS488" i="4"/>
  <c r="AW488" i="4" s="1"/>
  <c r="AR488" i="4"/>
  <c r="AQ488" i="4"/>
  <c r="AP488" i="4"/>
  <c r="AO488" i="4"/>
  <c r="AM488" i="4"/>
  <c r="AL488" i="4"/>
  <c r="AI488" i="4"/>
  <c r="AK488" i="4" s="1"/>
  <c r="AS487" i="4"/>
  <c r="AI487" i="4"/>
  <c r="AR487" i="4" s="1"/>
  <c r="AA515" i="4"/>
  <c r="W515" i="4"/>
  <c r="S515" i="4"/>
  <c r="AA514" i="4"/>
  <c r="Z514" i="4"/>
  <c r="Y514" i="4"/>
  <c r="W514" i="4"/>
  <c r="V514" i="4"/>
  <c r="U514" i="4"/>
  <c r="S514" i="4"/>
  <c r="R514" i="4"/>
  <c r="Q514" i="4"/>
  <c r="O514" i="4"/>
  <c r="N514" i="4"/>
  <c r="M514" i="4"/>
  <c r="L514" i="4"/>
  <c r="K514" i="4"/>
  <c r="J514" i="4"/>
  <c r="I514" i="4"/>
  <c r="H514" i="4"/>
  <c r="AA513" i="4"/>
  <c r="Z513" i="4"/>
  <c r="Y513" i="4"/>
  <c r="W513" i="4"/>
  <c r="V513" i="4"/>
  <c r="U513" i="4"/>
  <c r="S513" i="4"/>
  <c r="R513" i="4"/>
  <c r="Q513" i="4"/>
  <c r="O513" i="4"/>
  <c r="N513" i="4"/>
  <c r="M513" i="4"/>
  <c r="L513" i="4"/>
  <c r="K513" i="4"/>
  <c r="J513" i="4"/>
  <c r="I513" i="4"/>
  <c r="H513" i="4"/>
  <c r="AA512" i="4"/>
  <c r="Z512" i="4"/>
  <c r="Y512" i="4"/>
  <c r="W512" i="4"/>
  <c r="V512" i="4"/>
  <c r="U512" i="4"/>
  <c r="S512" i="4"/>
  <c r="R512" i="4"/>
  <c r="Q512" i="4"/>
  <c r="O512" i="4"/>
  <c r="N512" i="4"/>
  <c r="M512" i="4"/>
  <c r="L512" i="4"/>
  <c r="K512" i="4"/>
  <c r="J512" i="4"/>
  <c r="I512" i="4"/>
  <c r="H512" i="4"/>
  <c r="AA511" i="4"/>
  <c r="W511" i="4"/>
  <c r="S511" i="4"/>
  <c r="AA509" i="4"/>
  <c r="Z509" i="4"/>
  <c r="Y509" i="4"/>
  <c r="W509" i="4"/>
  <c r="V509" i="4"/>
  <c r="U509" i="4"/>
  <c r="S509" i="4"/>
  <c r="R509" i="4"/>
  <c r="Q509" i="4"/>
  <c r="O509" i="4"/>
  <c r="N509" i="4"/>
  <c r="M509" i="4"/>
  <c r="K509" i="4"/>
  <c r="J509" i="4"/>
  <c r="I509" i="4"/>
  <c r="AA508" i="4"/>
  <c r="Z508" i="4"/>
  <c r="Y508" i="4"/>
  <c r="W508" i="4"/>
  <c r="V508" i="4"/>
  <c r="U508" i="4"/>
  <c r="S508" i="4"/>
  <c r="R508" i="4"/>
  <c r="Q508" i="4"/>
  <c r="O508" i="4"/>
  <c r="N508" i="4"/>
  <c r="M508" i="4"/>
  <c r="L508" i="4"/>
  <c r="K508" i="4"/>
  <c r="J508" i="4"/>
  <c r="I508" i="4"/>
  <c r="H508" i="4"/>
  <c r="AA507" i="4"/>
  <c r="Z507" i="4"/>
  <c r="Y507" i="4"/>
  <c r="W507" i="4"/>
  <c r="V507" i="4"/>
  <c r="U507" i="4"/>
  <c r="S507" i="4"/>
  <c r="R507" i="4"/>
  <c r="Q507" i="4"/>
  <c r="O507" i="4"/>
  <c r="N507" i="4"/>
  <c r="M507" i="4"/>
  <c r="L507" i="4"/>
  <c r="K507" i="4"/>
  <c r="J507" i="4"/>
  <c r="I507" i="4"/>
  <c r="H507" i="4"/>
  <c r="AA506" i="4"/>
  <c r="Z506" i="4"/>
  <c r="Y506" i="4"/>
  <c r="W506" i="4"/>
  <c r="V506" i="4"/>
  <c r="U506" i="4"/>
  <c r="S506" i="4"/>
  <c r="R506" i="4"/>
  <c r="Q506" i="4"/>
  <c r="O506" i="4"/>
  <c r="N506" i="4"/>
  <c r="M506" i="4"/>
  <c r="L506" i="4"/>
  <c r="K506" i="4"/>
  <c r="J506" i="4"/>
  <c r="I506" i="4"/>
  <c r="H506" i="4"/>
  <c r="AA505" i="4"/>
  <c r="Z505" i="4"/>
  <c r="Y505" i="4"/>
  <c r="W505" i="4"/>
  <c r="V505" i="4"/>
  <c r="U505" i="4"/>
  <c r="S505" i="4"/>
  <c r="R505" i="4"/>
  <c r="Q505" i="4"/>
  <c r="O505" i="4"/>
  <c r="N505" i="4"/>
  <c r="M505" i="4"/>
  <c r="L505" i="4"/>
  <c r="K505" i="4"/>
  <c r="J505" i="4"/>
  <c r="I505" i="4"/>
  <c r="H505" i="4"/>
  <c r="AA503" i="4"/>
  <c r="Z503" i="4"/>
  <c r="Y503" i="4"/>
  <c r="W503" i="4"/>
  <c r="V503" i="4"/>
  <c r="U503" i="4"/>
  <c r="S503" i="4"/>
  <c r="R503" i="4"/>
  <c r="Q503" i="4"/>
  <c r="O503" i="4"/>
  <c r="N503" i="4"/>
  <c r="M503" i="4"/>
  <c r="K503" i="4"/>
  <c r="J503" i="4"/>
  <c r="I503" i="4"/>
  <c r="AA502" i="4"/>
  <c r="Z502" i="4"/>
  <c r="Y502" i="4"/>
  <c r="W502" i="4"/>
  <c r="V502" i="4"/>
  <c r="U502" i="4"/>
  <c r="S502" i="4"/>
  <c r="R502" i="4"/>
  <c r="Q502" i="4"/>
  <c r="O502" i="4"/>
  <c r="N502" i="4"/>
  <c r="M502" i="4"/>
  <c r="L502" i="4"/>
  <c r="K502" i="4"/>
  <c r="J502" i="4"/>
  <c r="I502" i="4"/>
  <c r="H502" i="4"/>
  <c r="AA501" i="4"/>
  <c r="Z501" i="4"/>
  <c r="Y501" i="4"/>
  <c r="W501" i="4"/>
  <c r="V501" i="4"/>
  <c r="U501" i="4"/>
  <c r="S501" i="4"/>
  <c r="R501" i="4"/>
  <c r="Q501" i="4"/>
  <c r="O501" i="4"/>
  <c r="N501" i="4"/>
  <c r="M501" i="4"/>
  <c r="L501" i="4"/>
  <c r="K501" i="4"/>
  <c r="J501" i="4"/>
  <c r="I501" i="4"/>
  <c r="H501" i="4"/>
  <c r="AA500" i="4"/>
  <c r="Z500" i="4"/>
  <c r="Y500" i="4"/>
  <c r="W500" i="4"/>
  <c r="V500" i="4"/>
  <c r="U500" i="4"/>
  <c r="S500" i="4"/>
  <c r="R500" i="4"/>
  <c r="Q500" i="4"/>
  <c r="O500" i="4"/>
  <c r="N500" i="4"/>
  <c r="M500" i="4"/>
  <c r="L500" i="4"/>
  <c r="K500" i="4"/>
  <c r="J500" i="4"/>
  <c r="I500" i="4"/>
  <c r="H500" i="4"/>
  <c r="AA499" i="4"/>
  <c r="Z499" i="4"/>
  <c r="Y499" i="4"/>
  <c r="W499" i="4"/>
  <c r="V499" i="4"/>
  <c r="U499" i="4"/>
  <c r="S499" i="4"/>
  <c r="R499" i="4"/>
  <c r="Q499" i="4"/>
  <c r="O499" i="4"/>
  <c r="N499" i="4"/>
  <c r="M499" i="4"/>
  <c r="L499" i="4"/>
  <c r="K499" i="4"/>
  <c r="J499" i="4"/>
  <c r="H499" i="4"/>
  <c r="I499" i="4"/>
  <c r="AA497" i="4"/>
  <c r="W497" i="4"/>
  <c r="S497" i="4"/>
  <c r="AA496" i="4"/>
  <c r="Z496" i="4"/>
  <c r="Y496" i="4"/>
  <c r="W496" i="4"/>
  <c r="V496" i="4"/>
  <c r="U496" i="4"/>
  <c r="S496" i="4"/>
  <c r="R496" i="4"/>
  <c r="Q496" i="4"/>
  <c r="O496" i="4"/>
  <c r="N496" i="4"/>
  <c r="M496" i="4"/>
  <c r="L496" i="4"/>
  <c r="K496" i="4"/>
  <c r="J496" i="4"/>
  <c r="I496" i="4"/>
  <c r="H496" i="4"/>
  <c r="AA495" i="4"/>
  <c r="Z495" i="4"/>
  <c r="Y495" i="4"/>
  <c r="W495" i="4"/>
  <c r="V495" i="4"/>
  <c r="U495" i="4"/>
  <c r="S495" i="4"/>
  <c r="R495" i="4"/>
  <c r="Q495" i="4"/>
  <c r="O495" i="4"/>
  <c r="N495" i="4"/>
  <c r="M495" i="4"/>
  <c r="L495" i="4"/>
  <c r="K495" i="4"/>
  <c r="J495" i="4"/>
  <c r="I495" i="4"/>
  <c r="H495" i="4"/>
  <c r="AA494" i="4"/>
  <c r="Z494" i="4"/>
  <c r="Y494" i="4"/>
  <c r="W494" i="4"/>
  <c r="V494" i="4"/>
  <c r="U494" i="4"/>
  <c r="S494" i="4"/>
  <c r="R494" i="4"/>
  <c r="Q494" i="4"/>
  <c r="O494" i="4"/>
  <c r="N494" i="4"/>
  <c r="M494" i="4"/>
  <c r="L494" i="4"/>
  <c r="K494" i="4"/>
  <c r="J494" i="4"/>
  <c r="I494" i="4"/>
  <c r="H494" i="4"/>
  <c r="AA493" i="4"/>
  <c r="W493" i="4"/>
  <c r="S493" i="4"/>
  <c r="BA84" i="4" l="1"/>
  <c r="BC84" i="4" s="1"/>
  <c r="BK114" i="4"/>
  <c r="AM487" i="4"/>
  <c r="AK489" i="4"/>
  <c r="BK86" i="4"/>
  <c r="BI86" i="4"/>
  <c r="BI88" i="4"/>
  <c r="BK84" i="4"/>
  <c r="BK88" i="4"/>
  <c r="BI84" i="4"/>
  <c r="H540" i="4"/>
  <c r="H534" i="4"/>
  <c r="L528" i="4"/>
  <c r="AK515" i="4"/>
  <c r="AL491" i="4"/>
  <c r="AN491" i="4" s="1"/>
  <c r="AO487" i="4"/>
  <c r="AP487" i="4" s="1"/>
  <c r="AT488" i="4"/>
  <c r="AT490" i="4"/>
  <c r="AO491" i="4"/>
  <c r="AP491" i="4" s="1"/>
  <c r="AQ487" i="4"/>
  <c r="AL487" i="4"/>
  <c r="AN488" i="4"/>
  <c r="AT489" i="4"/>
  <c r="AK490" i="4"/>
  <c r="AM491" i="4"/>
  <c r="AQ491" i="4"/>
  <c r="I510" i="4"/>
  <c r="J510" i="4"/>
  <c r="K510" i="4"/>
  <c r="J504" i="4"/>
  <c r="K504" i="4"/>
  <c r="I504" i="4"/>
  <c r="H509" i="4"/>
  <c r="L509" i="4"/>
  <c r="L510" i="4" s="1"/>
  <c r="H503" i="4"/>
  <c r="H504" i="4" s="1"/>
  <c r="L503" i="4"/>
  <c r="L504" i="4" s="1"/>
  <c r="AA491" i="4"/>
  <c r="W491" i="4"/>
  <c r="S491" i="4"/>
  <c r="AA490" i="4"/>
  <c r="Z490" i="4"/>
  <c r="Y490" i="4"/>
  <c r="W490" i="4"/>
  <c r="V490" i="4"/>
  <c r="U490" i="4"/>
  <c r="S490" i="4"/>
  <c r="R490" i="4"/>
  <c r="Q490" i="4"/>
  <c r="O490" i="4"/>
  <c r="N490" i="4"/>
  <c r="M490" i="4"/>
  <c r="L490" i="4"/>
  <c r="K490" i="4"/>
  <c r="J490" i="4"/>
  <c r="I490" i="4"/>
  <c r="H490" i="4"/>
  <c r="AA489" i="4"/>
  <c r="Z489" i="4"/>
  <c r="Y489" i="4"/>
  <c r="W489" i="4"/>
  <c r="V489" i="4"/>
  <c r="U489" i="4"/>
  <c r="S489" i="4"/>
  <c r="R489" i="4"/>
  <c r="Q489" i="4"/>
  <c r="O489" i="4"/>
  <c r="N489" i="4"/>
  <c r="M489" i="4"/>
  <c r="L489" i="4"/>
  <c r="K489" i="4"/>
  <c r="J489" i="4"/>
  <c r="I489" i="4"/>
  <c r="H489" i="4"/>
  <c r="AA488" i="4"/>
  <c r="Z488" i="4"/>
  <c r="Y488" i="4"/>
  <c r="W488" i="4"/>
  <c r="V488" i="4"/>
  <c r="U488" i="4"/>
  <c r="S488" i="4"/>
  <c r="R488" i="4"/>
  <c r="Q488" i="4"/>
  <c r="O488" i="4"/>
  <c r="N488" i="4"/>
  <c r="M488" i="4"/>
  <c r="L488" i="4"/>
  <c r="K488" i="4"/>
  <c r="J488" i="4"/>
  <c r="I488" i="4"/>
  <c r="H488" i="4"/>
  <c r="AA487" i="4"/>
  <c r="W487" i="4"/>
  <c r="S487" i="4"/>
  <c r="BJ88" i="4" l="1"/>
  <c r="BJ86" i="4"/>
  <c r="BI89" i="4"/>
  <c r="BJ84" i="4"/>
  <c r="AN487" i="4"/>
  <c r="BB65" i="4"/>
  <c r="AK487" i="4"/>
  <c r="AK491" i="4"/>
  <c r="H510" i="4"/>
  <c r="BQ61" i="4"/>
  <c r="BQ59" i="4"/>
  <c r="BP61" i="4"/>
  <c r="BP59" i="4"/>
  <c r="BO61" i="4"/>
  <c r="BO59" i="4"/>
  <c r="BQ42" i="4"/>
  <c r="BQ40" i="4"/>
  <c r="BP42" i="4"/>
  <c r="BP40" i="4"/>
  <c r="BO42" i="4"/>
  <c r="BO40" i="4"/>
  <c r="BN61" i="4"/>
  <c r="BN59" i="4"/>
  <c r="BN55" i="4"/>
  <c r="BN53" i="4"/>
  <c r="BN49" i="4"/>
  <c r="BN47" i="4"/>
  <c r="BN42" i="4"/>
  <c r="BN40" i="4"/>
  <c r="BN36" i="4"/>
  <c r="BN35" i="4"/>
  <c r="BN34" i="4"/>
  <c r="BN30" i="4"/>
  <c r="BN29" i="4"/>
  <c r="BN28" i="4"/>
  <c r="BM61" i="4"/>
  <c r="BM59" i="4"/>
  <c r="BM55" i="4"/>
  <c r="BM53" i="4"/>
  <c r="BM49" i="4"/>
  <c r="BM47" i="4"/>
  <c r="BM42" i="4"/>
  <c r="BM40" i="4"/>
  <c r="BM36" i="4"/>
  <c r="BM35" i="4"/>
  <c r="BM34" i="4"/>
  <c r="BM30" i="4"/>
  <c r="BM29" i="4"/>
  <c r="BM28" i="4"/>
  <c r="BL30" i="4"/>
  <c r="BL29" i="4"/>
  <c r="BL28" i="4"/>
  <c r="BL36" i="4"/>
  <c r="BL35" i="4"/>
  <c r="BL34" i="4"/>
  <c r="BL42" i="4"/>
  <c r="BL40" i="4"/>
  <c r="BL49" i="4"/>
  <c r="BL47" i="4"/>
  <c r="BL55" i="4"/>
  <c r="BL53" i="4"/>
  <c r="BL61" i="4"/>
  <c r="BL59" i="4"/>
  <c r="BT61" i="4"/>
  <c r="BS61" i="4"/>
  <c r="BR61" i="4"/>
  <c r="BT59" i="4"/>
  <c r="BS59" i="4"/>
  <c r="BR59" i="4"/>
  <c r="BK61" i="4"/>
  <c r="BI61" i="4"/>
  <c r="BJ61" i="4" s="1"/>
  <c r="BK59" i="4"/>
  <c r="BI59" i="4"/>
  <c r="BJ59" i="4" s="1"/>
  <c r="BK55" i="4"/>
  <c r="BK53" i="4"/>
  <c r="BI55" i="4"/>
  <c r="BJ55" i="4" s="1"/>
  <c r="BI53" i="4"/>
  <c r="BJ53" i="4" s="1"/>
  <c r="BT55" i="4"/>
  <c r="BS55" i="4"/>
  <c r="BR55" i="4"/>
  <c r="BT53" i="4"/>
  <c r="BS53" i="4"/>
  <c r="BR53" i="4"/>
  <c r="BK49" i="4"/>
  <c r="BI49" i="4"/>
  <c r="BJ49" i="4" s="1"/>
  <c r="BK47" i="4"/>
  <c r="BI47" i="4"/>
  <c r="BJ47" i="4" s="1"/>
  <c r="BH51" i="4"/>
  <c r="BH44" i="4"/>
  <c r="AN57" i="5"/>
  <c r="AN43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BJ89" i="4" l="1"/>
  <c r="BK89" i="4"/>
  <c r="BA65" i="4"/>
  <c r="BC65" i="4" s="1"/>
  <c r="AS485" i="4"/>
  <c r="AI485" i="4"/>
  <c r="AR485" i="4" s="1"/>
  <c r="AZ484" i="4"/>
  <c r="AY484" i="4"/>
  <c r="AX484" i="4"/>
  <c r="AV484" i="4"/>
  <c r="AU484" i="4"/>
  <c r="AS484" i="4"/>
  <c r="AW484" i="4" s="1"/>
  <c r="AR484" i="4"/>
  <c r="AQ484" i="4"/>
  <c r="AP484" i="4"/>
  <c r="AO484" i="4"/>
  <c r="AM484" i="4"/>
  <c r="AL484" i="4"/>
  <c r="AI484" i="4"/>
  <c r="AK484" i="4" s="1"/>
  <c r="AS483" i="4"/>
  <c r="AI483" i="4"/>
  <c r="AR483" i="4" s="1"/>
  <c r="AZ482" i="4"/>
  <c r="AY482" i="4"/>
  <c r="AX482" i="4"/>
  <c r="AV482" i="4"/>
  <c r="AU482" i="4"/>
  <c r="AS482" i="4"/>
  <c r="AW482" i="4" s="1"/>
  <c r="AR482" i="4"/>
  <c r="AQ482" i="4"/>
  <c r="AP482" i="4"/>
  <c r="AO482" i="4"/>
  <c r="AM482" i="4"/>
  <c r="AL482" i="4"/>
  <c r="AI482" i="4"/>
  <c r="AN482" i="4" s="1"/>
  <c r="AS481" i="4"/>
  <c r="AX481" i="4" s="1"/>
  <c r="AI481" i="4"/>
  <c r="AZ479" i="4"/>
  <c r="AY479" i="4"/>
  <c r="AX479" i="4"/>
  <c r="AV479" i="4"/>
  <c r="AU479" i="4"/>
  <c r="AS479" i="4"/>
  <c r="AT479" i="4" s="1"/>
  <c r="AR479" i="4"/>
  <c r="AQ479" i="4"/>
  <c r="AP479" i="4"/>
  <c r="AO479" i="4"/>
  <c r="AM479" i="4"/>
  <c r="AL479" i="4"/>
  <c r="AK479" i="4"/>
  <c r="AI479" i="4"/>
  <c r="AN479" i="4" s="1"/>
  <c r="AZ478" i="4"/>
  <c r="AY478" i="4"/>
  <c r="AX478" i="4"/>
  <c r="AV478" i="4"/>
  <c r="AU478" i="4"/>
  <c r="AS478" i="4"/>
  <c r="AW478" i="4" s="1"/>
  <c r="AR478" i="4"/>
  <c r="AQ478" i="4"/>
  <c r="AP478" i="4"/>
  <c r="AO478" i="4"/>
  <c r="AM478" i="4"/>
  <c r="AL478" i="4"/>
  <c r="AI478" i="4"/>
  <c r="AK478" i="4" s="1"/>
  <c r="AZ477" i="4"/>
  <c r="AY477" i="4"/>
  <c r="AX477" i="4"/>
  <c r="AV477" i="4"/>
  <c r="AU477" i="4"/>
  <c r="AS477" i="4"/>
  <c r="AW477" i="4" s="1"/>
  <c r="AR477" i="4"/>
  <c r="AQ477" i="4"/>
  <c r="AP477" i="4"/>
  <c r="AO477" i="4"/>
  <c r="AN477" i="4"/>
  <c r="AM477" i="4"/>
  <c r="AL477" i="4"/>
  <c r="AI477" i="4"/>
  <c r="AK477" i="4" s="1"/>
  <c r="AZ476" i="4"/>
  <c r="AY476" i="4"/>
  <c r="AX476" i="4"/>
  <c r="AV476" i="4"/>
  <c r="AU476" i="4"/>
  <c r="AS476" i="4"/>
  <c r="AW476" i="4" s="1"/>
  <c r="AR476" i="4"/>
  <c r="AQ476" i="4"/>
  <c r="AP476" i="4"/>
  <c r="AO476" i="4"/>
  <c r="AM476" i="4"/>
  <c r="AL476" i="4"/>
  <c r="AI476" i="4"/>
  <c r="AK476" i="4" s="1"/>
  <c r="AZ475" i="4"/>
  <c r="AY475" i="4"/>
  <c r="AX475" i="4"/>
  <c r="AV475" i="4"/>
  <c r="AU475" i="4"/>
  <c r="AS475" i="4"/>
  <c r="AT475" i="4" s="1"/>
  <c r="AR475" i="4"/>
  <c r="AQ475" i="4"/>
  <c r="AP475" i="4"/>
  <c r="AO475" i="4"/>
  <c r="AM475" i="4"/>
  <c r="AL475" i="4"/>
  <c r="AK475" i="4"/>
  <c r="AI475" i="4"/>
  <c r="AN475" i="4" s="1"/>
  <c r="AZ473" i="4"/>
  <c r="AY473" i="4"/>
  <c r="AX473" i="4"/>
  <c r="AV473" i="4"/>
  <c r="AU473" i="4"/>
  <c r="AS473" i="4"/>
  <c r="AT473" i="4" s="1"/>
  <c r="AR473" i="4"/>
  <c r="AQ473" i="4"/>
  <c r="AP473" i="4"/>
  <c r="AO473" i="4"/>
  <c r="AM473" i="4"/>
  <c r="AL473" i="4"/>
  <c r="AI473" i="4"/>
  <c r="AN473" i="4" s="1"/>
  <c r="AZ472" i="4"/>
  <c r="AY472" i="4"/>
  <c r="AX472" i="4"/>
  <c r="AV472" i="4"/>
  <c r="AU472" i="4"/>
  <c r="AS472" i="4"/>
  <c r="AW472" i="4" s="1"/>
  <c r="AR472" i="4"/>
  <c r="AQ472" i="4"/>
  <c r="AP472" i="4"/>
  <c r="AO472" i="4"/>
  <c r="AM472" i="4"/>
  <c r="AL472" i="4"/>
  <c r="AI472" i="4"/>
  <c r="AK472" i="4" s="1"/>
  <c r="AZ471" i="4"/>
  <c r="AY471" i="4"/>
  <c r="AX471" i="4"/>
  <c r="AV471" i="4"/>
  <c r="AU471" i="4"/>
  <c r="AS471" i="4"/>
  <c r="AT471" i="4" s="1"/>
  <c r="AR471" i="4"/>
  <c r="AQ471" i="4"/>
  <c r="AP471" i="4"/>
  <c r="AO471" i="4"/>
  <c r="AM471" i="4"/>
  <c r="AL471" i="4"/>
  <c r="AI471" i="4"/>
  <c r="AK471" i="4" s="1"/>
  <c r="AZ470" i="4"/>
  <c r="AY470" i="4"/>
  <c r="AX470" i="4"/>
  <c r="AV470" i="4"/>
  <c r="AU470" i="4"/>
  <c r="AS470" i="4"/>
  <c r="AW470" i="4" s="1"/>
  <c r="AR470" i="4"/>
  <c r="AQ470" i="4"/>
  <c r="AP470" i="4"/>
  <c r="AO470" i="4"/>
  <c r="AM470" i="4"/>
  <c r="AL470" i="4"/>
  <c r="AI470" i="4"/>
  <c r="AK470" i="4" s="1"/>
  <c r="AZ469" i="4"/>
  <c r="AY469" i="4"/>
  <c r="AX469" i="4"/>
  <c r="AV469" i="4"/>
  <c r="AU469" i="4"/>
  <c r="AS469" i="4"/>
  <c r="AT469" i="4" s="1"/>
  <c r="AR469" i="4"/>
  <c r="AQ469" i="4"/>
  <c r="AP469" i="4"/>
  <c r="AO469" i="4"/>
  <c r="AM469" i="4"/>
  <c r="AM467" i="4"/>
  <c r="AM466" i="4"/>
  <c r="AM465" i="4"/>
  <c r="AM464" i="4"/>
  <c r="AM463" i="4"/>
  <c r="AM455" i="4"/>
  <c r="AM460" i="4"/>
  <c r="AM458" i="4"/>
  <c r="AL469" i="4"/>
  <c r="AK469" i="4"/>
  <c r="AI469" i="4"/>
  <c r="AN469" i="4" s="1"/>
  <c r="AZ467" i="4"/>
  <c r="AY467" i="4"/>
  <c r="AX467" i="4"/>
  <c r="AV467" i="4"/>
  <c r="AU467" i="4"/>
  <c r="AS467" i="4"/>
  <c r="AT467" i="4" s="1"/>
  <c r="AR467" i="4"/>
  <c r="AQ467" i="4"/>
  <c r="AP467" i="4"/>
  <c r="AO467" i="4"/>
  <c r="AL467" i="4"/>
  <c r="AI467" i="4"/>
  <c r="AN467" i="4" s="1"/>
  <c r="AZ466" i="4"/>
  <c r="AY466" i="4"/>
  <c r="AX466" i="4"/>
  <c r="AV466" i="4"/>
  <c r="AU466" i="4"/>
  <c r="AS466" i="4"/>
  <c r="AW466" i="4" s="1"/>
  <c r="AR466" i="4"/>
  <c r="AQ466" i="4"/>
  <c r="AP466" i="4"/>
  <c r="AO466" i="4"/>
  <c r="AL466" i="4"/>
  <c r="AI466" i="4"/>
  <c r="AN466" i="4" s="1"/>
  <c r="AZ465" i="4"/>
  <c r="AY465" i="4"/>
  <c r="AX465" i="4"/>
  <c r="AV465" i="4"/>
  <c r="AU465" i="4"/>
  <c r="AS465" i="4"/>
  <c r="AT465" i="4" s="1"/>
  <c r="AR465" i="4"/>
  <c r="AQ465" i="4"/>
  <c r="AP465" i="4"/>
  <c r="AO465" i="4"/>
  <c r="AL465" i="4"/>
  <c r="AI465" i="4"/>
  <c r="AK465" i="4" s="1"/>
  <c r="AZ464" i="4"/>
  <c r="AY464" i="4"/>
  <c r="AX464" i="4"/>
  <c r="AV464" i="4"/>
  <c r="AU464" i="4"/>
  <c r="AS464" i="4"/>
  <c r="AW464" i="4" s="1"/>
  <c r="AR464" i="4"/>
  <c r="AQ464" i="4"/>
  <c r="AP464" i="4"/>
  <c r="AO464" i="4"/>
  <c r="AL464" i="4"/>
  <c r="AI464" i="4"/>
  <c r="AN464" i="4" s="1"/>
  <c r="AZ463" i="4"/>
  <c r="AY463" i="4"/>
  <c r="AX463" i="4"/>
  <c r="AV463" i="4"/>
  <c r="AU463" i="4"/>
  <c r="AS463" i="4"/>
  <c r="AT463" i="4" s="1"/>
  <c r="AR463" i="4"/>
  <c r="AQ463" i="4"/>
  <c r="AP463" i="4"/>
  <c r="AO463" i="4"/>
  <c r="AL463" i="4"/>
  <c r="AI463" i="4"/>
  <c r="AN463" i="4" s="1"/>
  <c r="AS461" i="4"/>
  <c r="AI461" i="4"/>
  <c r="AR461" i="4" s="1"/>
  <c r="AZ460" i="4"/>
  <c r="AY460" i="4"/>
  <c r="AX460" i="4"/>
  <c r="AV460" i="4"/>
  <c r="AU460" i="4"/>
  <c r="AS460" i="4"/>
  <c r="AW460" i="4" s="1"/>
  <c r="AR460" i="4"/>
  <c r="AQ460" i="4"/>
  <c r="AP460" i="4"/>
  <c r="AO460" i="4"/>
  <c r="AL460" i="4"/>
  <c r="AI460" i="4"/>
  <c r="AK460" i="4" s="1"/>
  <c r="AS459" i="4"/>
  <c r="AZ459" i="4" s="1"/>
  <c r="AI459" i="4"/>
  <c r="AZ458" i="4"/>
  <c r="AY458" i="4"/>
  <c r="AX458" i="4"/>
  <c r="AV458" i="4"/>
  <c r="AU458" i="4"/>
  <c r="AS458" i="4"/>
  <c r="AW458" i="4" s="1"/>
  <c r="AR458" i="4"/>
  <c r="AQ458" i="4"/>
  <c r="AP458" i="4"/>
  <c r="AO458" i="4"/>
  <c r="AL458" i="4"/>
  <c r="AI458" i="4"/>
  <c r="AK458" i="4" s="1"/>
  <c r="AS457" i="4"/>
  <c r="AM427" i="4"/>
  <c r="AM428" i="4"/>
  <c r="AM429" i="4"/>
  <c r="AM430" i="4"/>
  <c r="AM431" i="4"/>
  <c r="AM433" i="4"/>
  <c r="AM434" i="4"/>
  <c r="AM435" i="4"/>
  <c r="AM436" i="4"/>
  <c r="AM437" i="4"/>
  <c r="AM439" i="4"/>
  <c r="AM440" i="4"/>
  <c r="AM441" i="4"/>
  <c r="AM442" i="4"/>
  <c r="AM443" i="4"/>
  <c r="AM445" i="4"/>
  <c r="AM446" i="4"/>
  <c r="AM447" i="4"/>
  <c r="AM448" i="4"/>
  <c r="AM449" i="4"/>
  <c r="AM451" i="4"/>
  <c r="AM452" i="4"/>
  <c r="AM453" i="4"/>
  <c r="AM454" i="4"/>
  <c r="AI457" i="4"/>
  <c r="AR457" i="4" s="1"/>
  <c r="AT458" i="4" l="1"/>
  <c r="AL457" i="4"/>
  <c r="AN457" i="4" s="1"/>
  <c r="AT478" i="4"/>
  <c r="AO485" i="4"/>
  <c r="AP485" i="4" s="1"/>
  <c r="AO457" i="4"/>
  <c r="AP457" i="4" s="1"/>
  <c r="AK466" i="4"/>
  <c r="AT470" i="4"/>
  <c r="AT466" i="4"/>
  <c r="AU481" i="4"/>
  <c r="AW481" i="4" s="1"/>
  <c r="BK69" i="4"/>
  <c r="BK67" i="4"/>
  <c r="BK65" i="4"/>
  <c r="BI69" i="4"/>
  <c r="BJ69" i="4" s="1"/>
  <c r="BI67" i="4"/>
  <c r="BI65" i="4"/>
  <c r="AW463" i="4"/>
  <c r="AW475" i="4"/>
  <c r="AQ457" i="4"/>
  <c r="AT460" i="4"/>
  <c r="AO461" i="4"/>
  <c r="AP461" i="4" s="1"/>
  <c r="AK463" i="4"/>
  <c r="AT464" i="4"/>
  <c r="AM457" i="4"/>
  <c r="AM461" i="4"/>
  <c r="AW469" i="4"/>
  <c r="AN471" i="4"/>
  <c r="AT472" i="4"/>
  <c r="AK473" i="4"/>
  <c r="AT476" i="4"/>
  <c r="AV481" i="4"/>
  <c r="AT482" i="4"/>
  <c r="AL483" i="4"/>
  <c r="AN483" i="4" s="1"/>
  <c r="AT484" i="4"/>
  <c r="AL485" i="4"/>
  <c r="AN485" i="4" s="1"/>
  <c r="AK464" i="4"/>
  <c r="AN465" i="4"/>
  <c r="AY481" i="4"/>
  <c r="AO483" i="4"/>
  <c r="AP483" i="4" s="1"/>
  <c r="AZ481" i="4"/>
  <c r="AN484" i="4"/>
  <c r="AK482" i="4"/>
  <c r="AM483" i="4"/>
  <c r="AQ483" i="4"/>
  <c r="AM485" i="4"/>
  <c r="AQ485" i="4"/>
  <c r="AW479" i="4"/>
  <c r="AN476" i="4"/>
  <c r="AT477" i="4"/>
  <c r="AN478" i="4"/>
  <c r="AW471" i="4"/>
  <c r="AW473" i="4"/>
  <c r="AN472" i="4"/>
  <c r="AN470" i="4"/>
  <c r="AW465" i="4"/>
  <c r="AK467" i="4"/>
  <c r="AW467" i="4"/>
  <c r="AN458" i="4"/>
  <c r="AX459" i="4"/>
  <c r="AN460" i="4"/>
  <c r="AL461" i="4"/>
  <c r="AN461" i="4" s="1"/>
  <c r="AU459" i="4"/>
  <c r="AW459" i="4" s="1"/>
  <c r="AY459" i="4"/>
  <c r="AQ461" i="4"/>
  <c r="AV459" i="4"/>
  <c r="AA485" i="4"/>
  <c r="W485" i="4"/>
  <c r="S485" i="4"/>
  <c r="AA484" i="4"/>
  <c r="Z484" i="4"/>
  <c r="Y484" i="4"/>
  <c r="W484" i="4"/>
  <c r="V484" i="4"/>
  <c r="U484" i="4"/>
  <c r="S484" i="4"/>
  <c r="R484" i="4"/>
  <c r="Q484" i="4"/>
  <c r="O484" i="4"/>
  <c r="N484" i="4"/>
  <c r="M484" i="4"/>
  <c r="L484" i="4"/>
  <c r="K484" i="4"/>
  <c r="J484" i="4"/>
  <c r="I484" i="4"/>
  <c r="H484" i="4"/>
  <c r="AA483" i="4"/>
  <c r="W483" i="4"/>
  <c r="S483" i="4"/>
  <c r="AA482" i="4"/>
  <c r="Z482" i="4"/>
  <c r="Y482" i="4"/>
  <c r="W482" i="4"/>
  <c r="V482" i="4"/>
  <c r="U482" i="4"/>
  <c r="S482" i="4"/>
  <c r="R482" i="4"/>
  <c r="Q482" i="4"/>
  <c r="O482" i="4"/>
  <c r="N482" i="4"/>
  <c r="M482" i="4"/>
  <c r="L482" i="4"/>
  <c r="K482" i="4"/>
  <c r="J482" i="4"/>
  <c r="I482" i="4"/>
  <c r="H482" i="4"/>
  <c r="AA481" i="4"/>
  <c r="W481" i="4"/>
  <c r="S481" i="4"/>
  <c r="AA479" i="4"/>
  <c r="W479" i="4"/>
  <c r="S479" i="4"/>
  <c r="AA478" i="4"/>
  <c r="W478" i="4"/>
  <c r="S478" i="4"/>
  <c r="AA477" i="4"/>
  <c r="Z477" i="4"/>
  <c r="Y477" i="4"/>
  <c r="W477" i="4"/>
  <c r="V477" i="4"/>
  <c r="U477" i="4"/>
  <c r="S477" i="4"/>
  <c r="R477" i="4"/>
  <c r="Q477" i="4"/>
  <c r="O477" i="4"/>
  <c r="N477" i="4"/>
  <c r="M477" i="4"/>
  <c r="L477" i="4"/>
  <c r="K477" i="4"/>
  <c r="J477" i="4"/>
  <c r="I477" i="4"/>
  <c r="H477" i="4"/>
  <c r="AA476" i="4"/>
  <c r="Z476" i="4"/>
  <c r="Y476" i="4"/>
  <c r="W476" i="4"/>
  <c r="V476" i="4"/>
  <c r="U476" i="4"/>
  <c r="S476" i="4"/>
  <c r="R476" i="4"/>
  <c r="Q476" i="4"/>
  <c r="O476" i="4"/>
  <c r="N476" i="4"/>
  <c r="M476" i="4"/>
  <c r="L476" i="4"/>
  <c r="K476" i="4"/>
  <c r="J476" i="4"/>
  <c r="I476" i="4"/>
  <c r="H476" i="4"/>
  <c r="AA475" i="4"/>
  <c r="W475" i="4"/>
  <c r="S475" i="4"/>
  <c r="AA473" i="4"/>
  <c r="W473" i="4"/>
  <c r="S473" i="4"/>
  <c r="AA472" i="4"/>
  <c r="Z472" i="4"/>
  <c r="Y472" i="4"/>
  <c r="W472" i="4"/>
  <c r="V472" i="4"/>
  <c r="U472" i="4"/>
  <c r="S472" i="4"/>
  <c r="R472" i="4"/>
  <c r="Q472" i="4"/>
  <c r="O472" i="4"/>
  <c r="N472" i="4"/>
  <c r="M472" i="4"/>
  <c r="L472" i="4"/>
  <c r="K472" i="4"/>
  <c r="J472" i="4"/>
  <c r="I472" i="4"/>
  <c r="H472" i="4"/>
  <c r="AA471" i="4"/>
  <c r="W471" i="4"/>
  <c r="S471" i="4"/>
  <c r="AA470" i="4"/>
  <c r="Z470" i="4"/>
  <c r="Y470" i="4"/>
  <c r="W470" i="4"/>
  <c r="V470" i="4"/>
  <c r="U470" i="4"/>
  <c r="S470" i="4"/>
  <c r="R470" i="4"/>
  <c r="Q470" i="4"/>
  <c r="O470" i="4"/>
  <c r="N470" i="4"/>
  <c r="M470" i="4"/>
  <c r="L470" i="4"/>
  <c r="K470" i="4"/>
  <c r="J470" i="4"/>
  <c r="I470" i="4"/>
  <c r="H470" i="4"/>
  <c r="AA469" i="4"/>
  <c r="W469" i="4"/>
  <c r="S469" i="4"/>
  <c r="AA467" i="4"/>
  <c r="W467" i="4"/>
  <c r="S467" i="4"/>
  <c r="AA466" i="4"/>
  <c r="Z466" i="4"/>
  <c r="Y466" i="4"/>
  <c r="W466" i="4"/>
  <c r="V466" i="4"/>
  <c r="U466" i="4"/>
  <c r="S466" i="4"/>
  <c r="R466" i="4"/>
  <c r="Q466" i="4"/>
  <c r="O466" i="4"/>
  <c r="N466" i="4"/>
  <c r="M466" i="4"/>
  <c r="L466" i="4"/>
  <c r="K466" i="4"/>
  <c r="J466" i="4"/>
  <c r="I466" i="4"/>
  <c r="H466" i="4"/>
  <c r="AA465" i="4"/>
  <c r="W465" i="4"/>
  <c r="S465" i="4"/>
  <c r="AA464" i="4"/>
  <c r="Z464" i="4"/>
  <c r="Y464" i="4"/>
  <c r="W464" i="4"/>
  <c r="V464" i="4"/>
  <c r="U464" i="4"/>
  <c r="S464" i="4"/>
  <c r="R464" i="4"/>
  <c r="Q464" i="4"/>
  <c r="O464" i="4"/>
  <c r="N464" i="4"/>
  <c r="M464" i="4"/>
  <c r="L464" i="4"/>
  <c r="K464" i="4"/>
  <c r="J464" i="4"/>
  <c r="I464" i="4"/>
  <c r="H464" i="4"/>
  <c r="AA463" i="4"/>
  <c r="W463" i="4"/>
  <c r="S463" i="4"/>
  <c r="AA461" i="4"/>
  <c r="W461" i="4"/>
  <c r="S461" i="4"/>
  <c r="AA460" i="4"/>
  <c r="Z460" i="4"/>
  <c r="Y460" i="4"/>
  <c r="W460" i="4"/>
  <c r="V460" i="4"/>
  <c r="U460" i="4"/>
  <c r="S460" i="4"/>
  <c r="R460" i="4"/>
  <c r="Q460" i="4"/>
  <c r="O460" i="4"/>
  <c r="N460" i="4"/>
  <c r="M460" i="4"/>
  <c r="L460" i="4"/>
  <c r="K460" i="4"/>
  <c r="J460" i="4"/>
  <c r="I460" i="4"/>
  <c r="H460" i="4"/>
  <c r="AA459" i="4"/>
  <c r="W459" i="4"/>
  <c r="S459" i="4"/>
  <c r="AA458" i="4"/>
  <c r="Z458" i="4"/>
  <c r="Y458" i="4"/>
  <c r="W458" i="4"/>
  <c r="V458" i="4"/>
  <c r="U458" i="4"/>
  <c r="S458" i="4"/>
  <c r="R458" i="4"/>
  <c r="Q458" i="4"/>
  <c r="O458" i="4"/>
  <c r="N458" i="4"/>
  <c r="M458" i="4"/>
  <c r="L458" i="4"/>
  <c r="K458" i="4"/>
  <c r="J458" i="4"/>
  <c r="I458" i="4"/>
  <c r="H458" i="4"/>
  <c r="AA457" i="4"/>
  <c r="W457" i="4"/>
  <c r="S457" i="4"/>
  <c r="AS455" i="4"/>
  <c r="AO455" i="4"/>
  <c r="AP455" i="4" s="1"/>
  <c r="AL455" i="4"/>
  <c r="AI455" i="4"/>
  <c r="AR455" i="4" s="1"/>
  <c r="AZ454" i="4"/>
  <c r="AY454" i="4"/>
  <c r="AX454" i="4"/>
  <c r="AV454" i="4"/>
  <c r="AU454" i="4"/>
  <c r="AS454" i="4"/>
  <c r="AT454" i="4" s="1"/>
  <c r="AR454" i="4"/>
  <c r="AQ454" i="4"/>
  <c r="AP454" i="4"/>
  <c r="AO454" i="4"/>
  <c r="AL454" i="4"/>
  <c r="AI454" i="4"/>
  <c r="AN454" i="4" s="1"/>
  <c r="AZ453" i="4"/>
  <c r="AY453" i="4"/>
  <c r="AX453" i="4"/>
  <c r="AV453" i="4"/>
  <c r="AU453" i="4"/>
  <c r="AS453" i="4"/>
  <c r="AT453" i="4" s="1"/>
  <c r="AR453" i="4"/>
  <c r="AQ453" i="4"/>
  <c r="AP453" i="4"/>
  <c r="AO453" i="4"/>
  <c r="AL453" i="4"/>
  <c r="AK453" i="4"/>
  <c r="AI453" i="4"/>
  <c r="AN453" i="4" s="1"/>
  <c r="AZ452" i="4"/>
  <c r="AY452" i="4"/>
  <c r="AX452" i="4"/>
  <c r="AV452" i="4"/>
  <c r="AU452" i="4"/>
  <c r="AS452" i="4"/>
  <c r="AT452" i="4" s="1"/>
  <c r="AR452" i="4"/>
  <c r="AQ452" i="4"/>
  <c r="AP452" i="4"/>
  <c r="AO452" i="4"/>
  <c r="AL452" i="4"/>
  <c r="AI452" i="4"/>
  <c r="AN452" i="4" s="1"/>
  <c r="AS451" i="4"/>
  <c r="AR451" i="4"/>
  <c r="AQ451" i="4"/>
  <c r="AO451" i="4"/>
  <c r="AP451" i="4" s="1"/>
  <c r="AL451" i="4"/>
  <c r="AI451" i="4"/>
  <c r="AZ449" i="4"/>
  <c r="AY449" i="4"/>
  <c r="AX449" i="4"/>
  <c r="AV449" i="4"/>
  <c r="AU449" i="4"/>
  <c r="AS449" i="4"/>
  <c r="AT449" i="4" s="1"/>
  <c r="AR449" i="4"/>
  <c r="AQ449" i="4"/>
  <c r="AP449" i="4"/>
  <c r="AO449" i="4"/>
  <c r="AL449" i="4"/>
  <c r="AI449" i="4"/>
  <c r="AN449" i="4" s="1"/>
  <c r="AZ448" i="4"/>
  <c r="AY448" i="4"/>
  <c r="AX448" i="4"/>
  <c r="AV448" i="4"/>
  <c r="AU448" i="4"/>
  <c r="AS448" i="4"/>
  <c r="AW448" i="4" s="1"/>
  <c r="AR448" i="4"/>
  <c r="AQ448" i="4"/>
  <c r="AP448" i="4"/>
  <c r="AO448" i="4"/>
  <c r="AL448" i="4"/>
  <c r="AI448" i="4"/>
  <c r="AK448" i="4" s="1"/>
  <c r="AZ447" i="4"/>
  <c r="AY447" i="4"/>
  <c r="AX447" i="4"/>
  <c r="AV447" i="4"/>
  <c r="AU447" i="4"/>
  <c r="AS447" i="4"/>
  <c r="AW447" i="4" s="1"/>
  <c r="AR447" i="4"/>
  <c r="AQ447" i="4"/>
  <c r="AP447" i="4"/>
  <c r="AO447" i="4"/>
  <c r="AL447" i="4"/>
  <c r="AK447" i="4"/>
  <c r="AI447" i="4"/>
  <c r="AN447" i="4" s="1"/>
  <c r="AZ446" i="4"/>
  <c r="AY446" i="4"/>
  <c r="AX446" i="4"/>
  <c r="AV446" i="4"/>
  <c r="AU446" i="4"/>
  <c r="AS446" i="4"/>
  <c r="AW446" i="4" s="1"/>
  <c r="AR446" i="4"/>
  <c r="AQ446" i="4"/>
  <c r="AP446" i="4"/>
  <c r="AO446" i="4"/>
  <c r="AL446" i="4"/>
  <c r="AI446" i="4"/>
  <c r="AK446" i="4" s="1"/>
  <c r="AZ445" i="4"/>
  <c r="AY445" i="4"/>
  <c r="AX445" i="4"/>
  <c r="AV445" i="4"/>
  <c r="AU445" i="4"/>
  <c r="AS445" i="4"/>
  <c r="AT445" i="4" s="1"/>
  <c r="AR445" i="4"/>
  <c r="AQ445" i="4"/>
  <c r="AP445" i="4"/>
  <c r="AO445" i="4"/>
  <c r="AL445" i="4"/>
  <c r="AI445" i="4"/>
  <c r="AN445" i="4" s="1"/>
  <c r="AZ443" i="4"/>
  <c r="AY443" i="4"/>
  <c r="AX443" i="4"/>
  <c r="AV443" i="4"/>
  <c r="AU443" i="4"/>
  <c r="AS443" i="4"/>
  <c r="AT443" i="4" s="1"/>
  <c r="AR443" i="4"/>
  <c r="AQ443" i="4"/>
  <c r="AP443" i="4"/>
  <c r="AO443" i="4"/>
  <c r="AL443" i="4"/>
  <c r="AI443" i="4"/>
  <c r="AK443" i="4" s="1"/>
  <c r="AZ442" i="4"/>
  <c r="AY442" i="4"/>
  <c r="AX442" i="4"/>
  <c r="AV442" i="4"/>
  <c r="AU442" i="4"/>
  <c r="AS442" i="4"/>
  <c r="AW442" i="4" s="1"/>
  <c r="AR442" i="4"/>
  <c r="AQ442" i="4"/>
  <c r="AP442" i="4"/>
  <c r="AO442" i="4"/>
  <c r="AL442" i="4"/>
  <c r="AI442" i="4"/>
  <c r="AK442" i="4" s="1"/>
  <c r="AZ441" i="4"/>
  <c r="AY441" i="4"/>
  <c r="AX441" i="4"/>
  <c r="AV441" i="4"/>
  <c r="AU441" i="4"/>
  <c r="AS441" i="4"/>
  <c r="AT441" i="4" s="1"/>
  <c r="AR441" i="4"/>
  <c r="AQ441" i="4"/>
  <c r="AP441" i="4"/>
  <c r="AO441" i="4"/>
  <c r="AL441" i="4"/>
  <c r="AI441" i="4"/>
  <c r="AK441" i="4" s="1"/>
  <c r="AZ440" i="4"/>
  <c r="AY440" i="4"/>
  <c r="AX440" i="4"/>
  <c r="AV440" i="4"/>
  <c r="AU440" i="4"/>
  <c r="AS440" i="4"/>
  <c r="AW440" i="4" s="1"/>
  <c r="AR440" i="4"/>
  <c r="AQ440" i="4"/>
  <c r="AP440" i="4"/>
  <c r="AO440" i="4"/>
  <c r="AL440" i="4"/>
  <c r="AI440" i="4"/>
  <c r="AN440" i="4" s="1"/>
  <c r="AZ439" i="4"/>
  <c r="AY439" i="4"/>
  <c r="AX439" i="4"/>
  <c r="AV439" i="4"/>
  <c r="AU439" i="4"/>
  <c r="AS439" i="4"/>
  <c r="AT439" i="4" s="1"/>
  <c r="AR439" i="4"/>
  <c r="AQ439" i="4"/>
  <c r="AP439" i="4"/>
  <c r="AO439" i="4"/>
  <c r="AL439" i="4"/>
  <c r="AI439" i="4"/>
  <c r="AK439" i="4" s="1"/>
  <c r="AZ437" i="4"/>
  <c r="AY437" i="4"/>
  <c r="AX437" i="4"/>
  <c r="AV437" i="4"/>
  <c r="AU437" i="4"/>
  <c r="AS437" i="4"/>
  <c r="AT437" i="4" s="1"/>
  <c r="AR437" i="4"/>
  <c r="AQ437" i="4"/>
  <c r="AP437" i="4"/>
  <c r="AO437" i="4"/>
  <c r="AL437" i="4"/>
  <c r="AI437" i="4"/>
  <c r="AN437" i="4" s="1"/>
  <c r="AZ436" i="4"/>
  <c r="AY436" i="4"/>
  <c r="AX436" i="4"/>
  <c r="AV436" i="4"/>
  <c r="AU436" i="4"/>
  <c r="AS436" i="4"/>
  <c r="AW436" i="4" s="1"/>
  <c r="AR436" i="4"/>
  <c r="AQ436" i="4"/>
  <c r="AP436" i="4"/>
  <c r="AO436" i="4"/>
  <c r="AL436" i="4"/>
  <c r="AI436" i="4"/>
  <c r="AN436" i="4" s="1"/>
  <c r="AZ435" i="4"/>
  <c r="AY435" i="4"/>
  <c r="AX435" i="4"/>
  <c r="AV435" i="4"/>
  <c r="AU435" i="4"/>
  <c r="AS435" i="4"/>
  <c r="AT435" i="4" s="1"/>
  <c r="AR435" i="4"/>
  <c r="AQ435" i="4"/>
  <c r="AP435" i="4"/>
  <c r="AO435" i="4"/>
  <c r="AL435" i="4"/>
  <c r="AK435" i="4"/>
  <c r="AI435" i="4"/>
  <c r="AN435" i="4" s="1"/>
  <c r="AZ434" i="4"/>
  <c r="AY434" i="4"/>
  <c r="AX434" i="4"/>
  <c r="AV434" i="4"/>
  <c r="AU434" i="4"/>
  <c r="AS434" i="4"/>
  <c r="AW434" i="4" s="1"/>
  <c r="AR434" i="4"/>
  <c r="AQ434" i="4"/>
  <c r="AP434" i="4"/>
  <c r="AO434" i="4"/>
  <c r="AL434" i="4"/>
  <c r="AI434" i="4"/>
  <c r="AK434" i="4" s="1"/>
  <c r="AZ433" i="4"/>
  <c r="AY433" i="4"/>
  <c r="AX433" i="4"/>
  <c r="AV433" i="4"/>
  <c r="AU433" i="4"/>
  <c r="AS433" i="4"/>
  <c r="AT433" i="4" s="1"/>
  <c r="AR433" i="4"/>
  <c r="AQ433" i="4"/>
  <c r="AP433" i="4"/>
  <c r="AO433" i="4"/>
  <c r="AL433" i="4"/>
  <c r="AI433" i="4"/>
  <c r="AN433" i="4" s="1"/>
  <c r="AS431" i="4"/>
  <c r="AO431" i="4"/>
  <c r="AP431" i="4" s="1"/>
  <c r="AI431" i="4"/>
  <c r="AR431" i="4" s="1"/>
  <c r="AZ430" i="4"/>
  <c r="AY430" i="4"/>
  <c r="AX430" i="4"/>
  <c r="AV430" i="4"/>
  <c r="AU430" i="4"/>
  <c r="AS430" i="4"/>
  <c r="AW430" i="4" s="1"/>
  <c r="AR430" i="4"/>
  <c r="AQ430" i="4"/>
  <c r="AP430" i="4"/>
  <c r="AO430" i="4"/>
  <c r="AL430" i="4"/>
  <c r="AI430" i="4"/>
  <c r="AK430" i="4" s="1"/>
  <c r="AZ429" i="4"/>
  <c r="AY429" i="4"/>
  <c r="AX429" i="4"/>
  <c r="AV429" i="4"/>
  <c r="AU429" i="4"/>
  <c r="AS429" i="4"/>
  <c r="AT429" i="4" s="1"/>
  <c r="AR429" i="4"/>
  <c r="AQ429" i="4"/>
  <c r="AP429" i="4"/>
  <c r="AO429" i="4"/>
  <c r="AL429" i="4"/>
  <c r="AI429" i="4"/>
  <c r="AK429" i="4" s="1"/>
  <c r="AZ428" i="4"/>
  <c r="AY428" i="4"/>
  <c r="AX428" i="4"/>
  <c r="AV428" i="4"/>
  <c r="AU428" i="4"/>
  <c r="AS428" i="4"/>
  <c r="AW428" i="4" s="1"/>
  <c r="AR428" i="4"/>
  <c r="AQ428" i="4"/>
  <c r="AP428" i="4"/>
  <c r="AO428" i="4"/>
  <c r="AL428" i="4"/>
  <c r="AI428" i="4"/>
  <c r="AK428" i="4" s="1"/>
  <c r="AS427" i="4"/>
  <c r="AR427" i="4"/>
  <c r="AQ427" i="4"/>
  <c r="AO427" i="4"/>
  <c r="AP427" i="4" s="1"/>
  <c r="AL427" i="4"/>
  <c r="AI427" i="4"/>
  <c r="AA455" i="4"/>
  <c r="W455" i="4"/>
  <c r="S455" i="4"/>
  <c r="L455" i="4"/>
  <c r="H455" i="4"/>
  <c r="AA454" i="4"/>
  <c r="Z454" i="4"/>
  <c r="Y454" i="4"/>
  <c r="W454" i="4"/>
  <c r="V454" i="4"/>
  <c r="U454" i="4"/>
  <c r="S454" i="4"/>
  <c r="R454" i="4"/>
  <c r="Q454" i="4"/>
  <c r="O454" i="4"/>
  <c r="N454" i="4"/>
  <c r="M454" i="4"/>
  <c r="L454" i="4"/>
  <c r="K454" i="4"/>
  <c r="J454" i="4"/>
  <c r="I454" i="4"/>
  <c r="H454" i="4"/>
  <c r="AA453" i="4"/>
  <c r="Z453" i="4"/>
  <c r="Y453" i="4"/>
  <c r="W453" i="4"/>
  <c r="V453" i="4"/>
  <c r="U453" i="4"/>
  <c r="S453" i="4"/>
  <c r="R453" i="4"/>
  <c r="Q453" i="4"/>
  <c r="O453" i="4"/>
  <c r="N453" i="4"/>
  <c r="M453" i="4"/>
  <c r="L453" i="4"/>
  <c r="K453" i="4"/>
  <c r="J453" i="4"/>
  <c r="I453" i="4"/>
  <c r="H453" i="4"/>
  <c r="AA452" i="4"/>
  <c r="Z452" i="4"/>
  <c r="Y452" i="4"/>
  <c r="W452" i="4"/>
  <c r="V452" i="4"/>
  <c r="U452" i="4"/>
  <c r="S452" i="4"/>
  <c r="R452" i="4"/>
  <c r="Q452" i="4"/>
  <c r="O452" i="4"/>
  <c r="N452" i="4"/>
  <c r="M452" i="4"/>
  <c r="L452" i="4"/>
  <c r="K452" i="4"/>
  <c r="J452" i="4"/>
  <c r="I452" i="4"/>
  <c r="H452" i="4"/>
  <c r="AA451" i="4"/>
  <c r="W451" i="4"/>
  <c r="S451" i="4"/>
  <c r="L451" i="4"/>
  <c r="H451" i="4"/>
  <c r="AA449" i="4"/>
  <c r="W449" i="4"/>
  <c r="S449" i="4"/>
  <c r="AA448" i="4"/>
  <c r="Z448" i="4"/>
  <c r="Y448" i="4"/>
  <c r="W448" i="4"/>
  <c r="V448" i="4"/>
  <c r="U448" i="4"/>
  <c r="S448" i="4"/>
  <c r="R448" i="4"/>
  <c r="Q448" i="4"/>
  <c r="O448" i="4"/>
  <c r="N448" i="4"/>
  <c r="M448" i="4"/>
  <c r="L448" i="4"/>
  <c r="K448" i="4"/>
  <c r="J448" i="4"/>
  <c r="I448" i="4"/>
  <c r="H448" i="4"/>
  <c r="AA447" i="4"/>
  <c r="Z447" i="4"/>
  <c r="Y447" i="4"/>
  <c r="W447" i="4"/>
  <c r="V447" i="4"/>
  <c r="U447" i="4"/>
  <c r="S447" i="4"/>
  <c r="R447" i="4"/>
  <c r="Q447" i="4"/>
  <c r="O447" i="4"/>
  <c r="N447" i="4"/>
  <c r="M447" i="4"/>
  <c r="L447" i="4"/>
  <c r="K447" i="4"/>
  <c r="J447" i="4"/>
  <c r="I447" i="4"/>
  <c r="H447" i="4"/>
  <c r="AA446" i="4"/>
  <c r="Z446" i="4"/>
  <c r="Y446" i="4"/>
  <c r="W446" i="4"/>
  <c r="V446" i="4"/>
  <c r="U446" i="4"/>
  <c r="S446" i="4"/>
  <c r="R446" i="4"/>
  <c r="Q446" i="4"/>
  <c r="O446" i="4"/>
  <c r="N446" i="4"/>
  <c r="M446" i="4"/>
  <c r="L446" i="4"/>
  <c r="K446" i="4"/>
  <c r="J446" i="4"/>
  <c r="I446" i="4"/>
  <c r="H446" i="4"/>
  <c r="AA445" i="4"/>
  <c r="W445" i="4"/>
  <c r="S445" i="4"/>
  <c r="AA443" i="4"/>
  <c r="W443" i="4"/>
  <c r="S443" i="4"/>
  <c r="AA442" i="4"/>
  <c r="Z442" i="4"/>
  <c r="Y442" i="4"/>
  <c r="W442" i="4"/>
  <c r="V442" i="4"/>
  <c r="U442" i="4"/>
  <c r="S442" i="4"/>
  <c r="R442" i="4"/>
  <c r="Q442" i="4"/>
  <c r="O442" i="4"/>
  <c r="N442" i="4"/>
  <c r="M442" i="4"/>
  <c r="L442" i="4"/>
  <c r="K442" i="4"/>
  <c r="J442" i="4"/>
  <c r="I442" i="4"/>
  <c r="H442" i="4"/>
  <c r="AA441" i="4"/>
  <c r="Z441" i="4"/>
  <c r="Y441" i="4"/>
  <c r="W441" i="4"/>
  <c r="V441" i="4"/>
  <c r="U441" i="4"/>
  <c r="S441" i="4"/>
  <c r="R441" i="4"/>
  <c r="Q441" i="4"/>
  <c r="O441" i="4"/>
  <c r="N441" i="4"/>
  <c r="M441" i="4"/>
  <c r="L441" i="4"/>
  <c r="K441" i="4"/>
  <c r="J441" i="4"/>
  <c r="I441" i="4"/>
  <c r="H441" i="4"/>
  <c r="AA440" i="4"/>
  <c r="Z440" i="4"/>
  <c r="Y440" i="4"/>
  <c r="W440" i="4"/>
  <c r="V440" i="4"/>
  <c r="U440" i="4"/>
  <c r="S440" i="4"/>
  <c r="R440" i="4"/>
  <c r="Q440" i="4"/>
  <c r="O440" i="4"/>
  <c r="N440" i="4"/>
  <c r="M440" i="4"/>
  <c r="L440" i="4"/>
  <c r="K440" i="4"/>
  <c r="J440" i="4"/>
  <c r="I440" i="4"/>
  <c r="H440" i="4"/>
  <c r="AA439" i="4"/>
  <c r="W439" i="4"/>
  <c r="S439" i="4"/>
  <c r="AA437" i="4"/>
  <c r="W437" i="4"/>
  <c r="S437" i="4"/>
  <c r="AA436" i="4"/>
  <c r="Z436" i="4"/>
  <c r="Y436" i="4"/>
  <c r="W436" i="4"/>
  <c r="V436" i="4"/>
  <c r="U436" i="4"/>
  <c r="S436" i="4"/>
  <c r="R436" i="4"/>
  <c r="Q436" i="4"/>
  <c r="O436" i="4"/>
  <c r="N436" i="4"/>
  <c r="M436" i="4"/>
  <c r="L436" i="4"/>
  <c r="K436" i="4"/>
  <c r="J436" i="4"/>
  <c r="I436" i="4"/>
  <c r="H436" i="4"/>
  <c r="AA435" i="4"/>
  <c r="Z435" i="4"/>
  <c r="Y435" i="4"/>
  <c r="W435" i="4"/>
  <c r="V435" i="4"/>
  <c r="U435" i="4"/>
  <c r="S435" i="4"/>
  <c r="R435" i="4"/>
  <c r="Q435" i="4"/>
  <c r="O435" i="4"/>
  <c r="N435" i="4"/>
  <c r="M435" i="4"/>
  <c r="L435" i="4"/>
  <c r="K435" i="4"/>
  <c r="J435" i="4"/>
  <c r="I435" i="4"/>
  <c r="H435" i="4"/>
  <c r="AA434" i="4"/>
  <c r="Z434" i="4"/>
  <c r="Y434" i="4"/>
  <c r="W434" i="4"/>
  <c r="V434" i="4"/>
  <c r="U434" i="4"/>
  <c r="S434" i="4"/>
  <c r="R434" i="4"/>
  <c r="Q434" i="4"/>
  <c r="O434" i="4"/>
  <c r="N434" i="4"/>
  <c r="M434" i="4"/>
  <c r="L434" i="4"/>
  <c r="K434" i="4"/>
  <c r="J434" i="4"/>
  <c r="I434" i="4"/>
  <c r="H434" i="4"/>
  <c r="W433" i="4"/>
  <c r="AA433" i="4"/>
  <c r="S433" i="4"/>
  <c r="AA431" i="4"/>
  <c r="W431" i="4"/>
  <c r="S431" i="4"/>
  <c r="AA430" i="4"/>
  <c r="Z430" i="4"/>
  <c r="Y430" i="4"/>
  <c r="W430" i="4"/>
  <c r="V430" i="4"/>
  <c r="U430" i="4"/>
  <c r="S430" i="4"/>
  <c r="R430" i="4"/>
  <c r="Q430" i="4"/>
  <c r="O430" i="4"/>
  <c r="N430" i="4"/>
  <c r="M430" i="4"/>
  <c r="L430" i="4"/>
  <c r="K430" i="4"/>
  <c r="J430" i="4"/>
  <c r="I430" i="4"/>
  <c r="H430" i="4"/>
  <c r="AA429" i="4"/>
  <c r="Z429" i="4"/>
  <c r="Y429" i="4"/>
  <c r="W429" i="4"/>
  <c r="V429" i="4"/>
  <c r="U429" i="4"/>
  <c r="S429" i="4"/>
  <c r="R429" i="4"/>
  <c r="Q429" i="4"/>
  <c r="O429" i="4"/>
  <c r="N429" i="4"/>
  <c r="M429" i="4"/>
  <c r="L429" i="4"/>
  <c r="K429" i="4"/>
  <c r="J429" i="4"/>
  <c r="I429" i="4"/>
  <c r="H429" i="4"/>
  <c r="AA428" i="4"/>
  <c r="Z428" i="4"/>
  <c r="Y428" i="4"/>
  <c r="W428" i="4"/>
  <c r="V428" i="4"/>
  <c r="U428" i="4"/>
  <c r="S428" i="4"/>
  <c r="R428" i="4"/>
  <c r="Q428" i="4"/>
  <c r="O428" i="4"/>
  <c r="N428" i="4"/>
  <c r="M428" i="4"/>
  <c r="L428" i="4"/>
  <c r="K428" i="4"/>
  <c r="J428" i="4"/>
  <c r="I428" i="4"/>
  <c r="H428" i="4"/>
  <c r="AA427" i="4"/>
  <c r="W427" i="4"/>
  <c r="S427" i="4"/>
  <c r="AS425" i="4"/>
  <c r="AO425" i="4"/>
  <c r="AP425" i="4" s="1"/>
  <c r="AI425" i="4"/>
  <c r="AR425" i="4" s="1"/>
  <c r="AZ424" i="4"/>
  <c r="AY424" i="4"/>
  <c r="AX424" i="4"/>
  <c r="AV424" i="4"/>
  <c r="AU424" i="4"/>
  <c r="AS424" i="4"/>
  <c r="AW424" i="4" s="1"/>
  <c r="AR424" i="4"/>
  <c r="AQ424" i="4"/>
  <c r="AP424" i="4"/>
  <c r="AO424" i="4"/>
  <c r="AM424" i="4"/>
  <c r="AL424" i="4"/>
  <c r="AI424" i="4"/>
  <c r="AK424" i="4" s="1"/>
  <c r="AZ423" i="4"/>
  <c r="AY423" i="4"/>
  <c r="AX423" i="4"/>
  <c r="AV423" i="4"/>
  <c r="AU423" i="4"/>
  <c r="AS423" i="4"/>
  <c r="AW423" i="4" s="1"/>
  <c r="AR423" i="4"/>
  <c r="AQ423" i="4"/>
  <c r="AP423" i="4"/>
  <c r="AO423" i="4"/>
  <c r="AM423" i="4"/>
  <c r="AL423" i="4"/>
  <c r="AI423" i="4"/>
  <c r="AN423" i="4" s="1"/>
  <c r="AZ422" i="4"/>
  <c r="AY422" i="4"/>
  <c r="AX422" i="4"/>
  <c r="AV422" i="4"/>
  <c r="AU422" i="4"/>
  <c r="AS422" i="4"/>
  <c r="AW422" i="4" s="1"/>
  <c r="AR422" i="4"/>
  <c r="AQ422" i="4"/>
  <c r="AP422" i="4"/>
  <c r="AO422" i="4"/>
  <c r="AM422" i="4"/>
  <c r="AL422" i="4"/>
  <c r="AI422" i="4"/>
  <c r="AK422" i="4" s="1"/>
  <c r="AS421" i="4"/>
  <c r="AR421" i="4"/>
  <c r="AQ421" i="4"/>
  <c r="AO421" i="4"/>
  <c r="AP421" i="4" s="1"/>
  <c r="AM421" i="4"/>
  <c r="AK421" i="4" s="1"/>
  <c r="AL421" i="4"/>
  <c r="AN421" i="4" s="1"/>
  <c r="AI421" i="4"/>
  <c r="AZ419" i="4"/>
  <c r="AY419" i="4"/>
  <c r="AX419" i="4"/>
  <c r="AV419" i="4"/>
  <c r="AU419" i="4"/>
  <c r="AS419" i="4"/>
  <c r="AW419" i="4" s="1"/>
  <c r="AR419" i="4"/>
  <c r="AQ419" i="4"/>
  <c r="AP419" i="4"/>
  <c r="AO419" i="4"/>
  <c r="AM419" i="4"/>
  <c r="AL419" i="4"/>
  <c r="AI419" i="4"/>
  <c r="AN419" i="4" s="1"/>
  <c r="AZ418" i="4"/>
  <c r="AY418" i="4"/>
  <c r="AX418" i="4"/>
  <c r="AV418" i="4"/>
  <c r="AU418" i="4"/>
  <c r="AS418" i="4"/>
  <c r="AW418" i="4" s="1"/>
  <c r="AR418" i="4"/>
  <c r="AQ418" i="4"/>
  <c r="AP418" i="4"/>
  <c r="AO418" i="4"/>
  <c r="AM418" i="4"/>
  <c r="AL418" i="4"/>
  <c r="AI418" i="4"/>
  <c r="AK418" i="4" s="1"/>
  <c r="AZ417" i="4"/>
  <c r="AY417" i="4"/>
  <c r="AX417" i="4"/>
  <c r="AV417" i="4"/>
  <c r="AU417" i="4"/>
  <c r="AS417" i="4"/>
  <c r="AT417" i="4" s="1"/>
  <c r="AR417" i="4"/>
  <c r="AQ417" i="4"/>
  <c r="AP417" i="4"/>
  <c r="AO417" i="4"/>
  <c r="AM417" i="4"/>
  <c r="AL417" i="4"/>
  <c r="AI417" i="4"/>
  <c r="AK417" i="4" s="1"/>
  <c r="AZ416" i="4"/>
  <c r="AY416" i="4"/>
  <c r="AX416" i="4"/>
  <c r="AV416" i="4"/>
  <c r="AU416" i="4"/>
  <c r="AS416" i="4"/>
  <c r="AW416" i="4" s="1"/>
  <c r="AR416" i="4"/>
  <c r="AQ416" i="4"/>
  <c r="AP416" i="4"/>
  <c r="AO416" i="4"/>
  <c r="AM416" i="4"/>
  <c r="AL416" i="4"/>
  <c r="AI416" i="4"/>
  <c r="AK416" i="4" s="1"/>
  <c r="AZ415" i="4"/>
  <c r="AY415" i="4"/>
  <c r="AX415" i="4"/>
  <c r="AV415" i="4"/>
  <c r="AU415" i="4"/>
  <c r="AS415" i="4"/>
  <c r="AT415" i="4" s="1"/>
  <c r="AR415" i="4"/>
  <c r="AQ415" i="4"/>
  <c r="AP415" i="4"/>
  <c r="AO415" i="4"/>
  <c r="AM415" i="4"/>
  <c r="AL415" i="4"/>
  <c r="AI415" i="4"/>
  <c r="AK415" i="4" s="1"/>
  <c r="AZ413" i="4"/>
  <c r="AY413" i="4"/>
  <c r="AX413" i="4"/>
  <c r="AV413" i="4"/>
  <c r="AU413" i="4"/>
  <c r="AS413" i="4"/>
  <c r="AT413" i="4" s="1"/>
  <c r="AR413" i="4"/>
  <c r="AQ413" i="4"/>
  <c r="AP413" i="4"/>
  <c r="AO413" i="4"/>
  <c r="AM413" i="4"/>
  <c r="AL413" i="4"/>
  <c r="AI413" i="4"/>
  <c r="AK413" i="4" s="1"/>
  <c r="AZ412" i="4"/>
  <c r="AY412" i="4"/>
  <c r="AX412" i="4"/>
  <c r="AV412" i="4"/>
  <c r="AU412" i="4"/>
  <c r="AS412" i="4"/>
  <c r="AW412" i="4" s="1"/>
  <c r="AR412" i="4"/>
  <c r="AQ412" i="4"/>
  <c r="AP412" i="4"/>
  <c r="AO412" i="4"/>
  <c r="AM412" i="4"/>
  <c r="AL412" i="4"/>
  <c r="AI412" i="4"/>
  <c r="AK412" i="4" s="1"/>
  <c r="AZ411" i="4"/>
  <c r="AY411" i="4"/>
  <c r="AX411" i="4"/>
  <c r="AV411" i="4"/>
  <c r="AU411" i="4"/>
  <c r="AS411" i="4"/>
  <c r="AW411" i="4" s="1"/>
  <c r="AR411" i="4"/>
  <c r="AQ411" i="4"/>
  <c r="AP411" i="4"/>
  <c r="AO411" i="4"/>
  <c r="AM411" i="4"/>
  <c r="AL411" i="4"/>
  <c r="AI411" i="4"/>
  <c r="AK411" i="4" s="1"/>
  <c r="AZ410" i="4"/>
  <c r="AY410" i="4"/>
  <c r="AX410" i="4"/>
  <c r="AV410" i="4"/>
  <c r="AU410" i="4"/>
  <c r="AS410" i="4"/>
  <c r="AW410" i="4" s="1"/>
  <c r="AR410" i="4"/>
  <c r="AQ410" i="4"/>
  <c r="AP410" i="4"/>
  <c r="AO410" i="4"/>
  <c r="AM410" i="4"/>
  <c r="AL410" i="4"/>
  <c r="AI410" i="4"/>
  <c r="AK410" i="4" s="1"/>
  <c r="AZ409" i="4"/>
  <c r="AY409" i="4"/>
  <c r="AX409" i="4"/>
  <c r="AV409" i="4"/>
  <c r="AU409" i="4"/>
  <c r="AS409" i="4"/>
  <c r="AT409" i="4" s="1"/>
  <c r="AR409" i="4"/>
  <c r="AQ409" i="4"/>
  <c r="AP409" i="4"/>
  <c r="AO409" i="4"/>
  <c r="AM409" i="4"/>
  <c r="AL409" i="4"/>
  <c r="AI409" i="4"/>
  <c r="AN409" i="4" s="1"/>
  <c r="AZ407" i="4"/>
  <c r="AY407" i="4"/>
  <c r="AX407" i="4"/>
  <c r="AV407" i="4"/>
  <c r="AU407" i="4"/>
  <c r="AS407" i="4"/>
  <c r="AT407" i="4" s="1"/>
  <c r="AR407" i="4"/>
  <c r="AQ407" i="4"/>
  <c r="AP407" i="4"/>
  <c r="AO407" i="4"/>
  <c r="AM407" i="4"/>
  <c r="AL407" i="4"/>
  <c r="AI407" i="4"/>
  <c r="AN407" i="4" s="1"/>
  <c r="AZ406" i="4"/>
  <c r="AY406" i="4"/>
  <c r="AX406" i="4"/>
  <c r="AV406" i="4"/>
  <c r="AU406" i="4"/>
  <c r="AS406" i="4"/>
  <c r="AT406" i="4" s="1"/>
  <c r="AR406" i="4"/>
  <c r="AQ406" i="4"/>
  <c r="AP406" i="4"/>
  <c r="AO406" i="4"/>
  <c r="AM406" i="4"/>
  <c r="AL406" i="4"/>
  <c r="AI406" i="4"/>
  <c r="AN406" i="4" s="1"/>
  <c r="AZ405" i="4"/>
  <c r="AY405" i="4"/>
  <c r="AX405" i="4"/>
  <c r="AV405" i="4"/>
  <c r="AU405" i="4"/>
  <c r="AS405" i="4"/>
  <c r="AT405" i="4" s="1"/>
  <c r="AR405" i="4"/>
  <c r="AQ405" i="4"/>
  <c r="AP405" i="4"/>
  <c r="AO405" i="4"/>
  <c r="AM405" i="4"/>
  <c r="AL405" i="4"/>
  <c r="AI405" i="4"/>
  <c r="AN405" i="4" s="1"/>
  <c r="AZ404" i="4"/>
  <c r="AY404" i="4"/>
  <c r="AX404" i="4"/>
  <c r="AV404" i="4"/>
  <c r="AU404" i="4"/>
  <c r="AS404" i="4"/>
  <c r="AT404" i="4" s="1"/>
  <c r="AR404" i="4"/>
  <c r="AQ404" i="4"/>
  <c r="AP404" i="4"/>
  <c r="AO404" i="4"/>
  <c r="AM404" i="4"/>
  <c r="AL404" i="4"/>
  <c r="AI404" i="4"/>
  <c r="AN404" i="4" s="1"/>
  <c r="AZ403" i="4"/>
  <c r="AY403" i="4"/>
  <c r="AX403" i="4"/>
  <c r="AV403" i="4"/>
  <c r="AU403" i="4"/>
  <c r="AS403" i="4"/>
  <c r="AT403" i="4" s="1"/>
  <c r="AR403" i="4"/>
  <c r="AQ403" i="4"/>
  <c r="AP403" i="4"/>
  <c r="AO403" i="4"/>
  <c r="AM403" i="4"/>
  <c r="AL403" i="4"/>
  <c r="AI403" i="4"/>
  <c r="AK403" i="4" s="1"/>
  <c r="AS401" i="4"/>
  <c r="AO401" i="4"/>
  <c r="AP401" i="4" s="1"/>
  <c r="AL401" i="4"/>
  <c r="AI401" i="4"/>
  <c r="AR401" i="4" s="1"/>
  <c r="AZ400" i="4"/>
  <c r="AY400" i="4"/>
  <c r="AX400" i="4"/>
  <c r="AV400" i="4"/>
  <c r="AU400" i="4"/>
  <c r="AS400" i="4"/>
  <c r="AW400" i="4" s="1"/>
  <c r="AR400" i="4"/>
  <c r="AQ400" i="4"/>
  <c r="AP400" i="4"/>
  <c r="AO400" i="4"/>
  <c r="AM400" i="4"/>
  <c r="AL400" i="4"/>
  <c r="AI400" i="4"/>
  <c r="AK400" i="4" s="1"/>
  <c r="AZ399" i="4"/>
  <c r="AY399" i="4"/>
  <c r="AX399" i="4"/>
  <c r="AV399" i="4"/>
  <c r="AU399" i="4"/>
  <c r="AS399" i="4"/>
  <c r="AT399" i="4" s="1"/>
  <c r="AR399" i="4"/>
  <c r="AQ399" i="4"/>
  <c r="AP399" i="4"/>
  <c r="AO399" i="4"/>
  <c r="AM399" i="4"/>
  <c r="AL399" i="4"/>
  <c r="AI399" i="4"/>
  <c r="AN399" i="4" s="1"/>
  <c r="AZ398" i="4"/>
  <c r="AY398" i="4"/>
  <c r="AX398" i="4"/>
  <c r="AV398" i="4"/>
  <c r="AU398" i="4"/>
  <c r="AS398" i="4"/>
  <c r="AW398" i="4" s="1"/>
  <c r="AR398" i="4"/>
  <c r="AQ398" i="4"/>
  <c r="AP398" i="4"/>
  <c r="AO398" i="4"/>
  <c r="AM398" i="4"/>
  <c r="AL398" i="4"/>
  <c r="AI398" i="4"/>
  <c r="AN398" i="4" s="1"/>
  <c r="AS397" i="4"/>
  <c r="AR397" i="4"/>
  <c r="AQ397" i="4"/>
  <c r="AO397" i="4"/>
  <c r="AP397" i="4" s="1"/>
  <c r="AM397" i="4"/>
  <c r="AL397" i="4"/>
  <c r="AI397" i="4"/>
  <c r="AK457" i="4" l="1"/>
  <c r="BJ67" i="4"/>
  <c r="AT428" i="4"/>
  <c r="AT434" i="4"/>
  <c r="BJ65" i="4"/>
  <c r="BI70" i="4"/>
  <c r="AK406" i="4"/>
  <c r="AT422" i="4"/>
  <c r="AN397" i="4"/>
  <c r="AK399" i="4"/>
  <c r="AK404" i="4"/>
  <c r="AT416" i="4"/>
  <c r="AN451" i="4"/>
  <c r="AN429" i="4"/>
  <c r="AK483" i="4"/>
  <c r="AT481" i="4"/>
  <c r="AW433" i="4"/>
  <c r="AN441" i="4"/>
  <c r="AN413" i="4"/>
  <c r="AN415" i="4"/>
  <c r="AK423" i="4"/>
  <c r="AK433" i="4"/>
  <c r="AT436" i="4"/>
  <c r="AK437" i="4"/>
  <c r="AN439" i="4"/>
  <c r="AN443" i="4"/>
  <c r="AW445" i="4"/>
  <c r="AT446" i="4"/>
  <c r="AK485" i="4"/>
  <c r="AT398" i="4"/>
  <c r="AN403" i="4"/>
  <c r="AT400" i="4"/>
  <c r="AW403" i="4"/>
  <c r="AK409" i="4"/>
  <c r="AW409" i="4"/>
  <c r="AN411" i="4"/>
  <c r="AT412" i="4"/>
  <c r="AW415" i="4"/>
  <c r="AN417" i="4"/>
  <c r="AT418" i="4"/>
  <c r="AK419" i="4"/>
  <c r="AT430" i="4"/>
  <c r="AW439" i="4"/>
  <c r="AT440" i="4"/>
  <c r="AK445" i="4"/>
  <c r="AT448" i="4"/>
  <c r="AK449" i="4"/>
  <c r="AT410" i="4"/>
  <c r="AT424" i="4"/>
  <c r="AT442" i="4"/>
  <c r="AT459" i="4"/>
  <c r="AK461" i="4"/>
  <c r="AN427" i="4"/>
  <c r="AK397" i="4"/>
  <c r="AK452" i="4"/>
  <c r="AW452" i="4"/>
  <c r="AK454" i="4"/>
  <c r="AW454" i="4"/>
  <c r="AK455" i="4"/>
  <c r="AQ455" i="4"/>
  <c r="AW453" i="4"/>
  <c r="AN455" i="4"/>
  <c r="AK451" i="4"/>
  <c r="AW449" i="4"/>
  <c r="AN446" i="4"/>
  <c r="AT447" i="4"/>
  <c r="AN448" i="4"/>
  <c r="AW441" i="4"/>
  <c r="AN442" i="4"/>
  <c r="AK440" i="4"/>
  <c r="AW443" i="4"/>
  <c r="AW435" i="4"/>
  <c r="AW437" i="4"/>
  <c r="AN434" i="4"/>
  <c r="AK436" i="4"/>
  <c r="AW429" i="4"/>
  <c r="AN428" i="4"/>
  <c r="AN430" i="4"/>
  <c r="AL431" i="4"/>
  <c r="AN431" i="4" s="1"/>
  <c r="AQ431" i="4"/>
  <c r="AK427" i="4"/>
  <c r="L456" i="4"/>
  <c r="H456" i="4"/>
  <c r="AN422" i="4"/>
  <c r="AT423" i="4"/>
  <c r="AN424" i="4"/>
  <c r="AL425" i="4"/>
  <c r="AN425" i="4" s="1"/>
  <c r="AM425" i="4"/>
  <c r="AQ425" i="4"/>
  <c r="AT419" i="4"/>
  <c r="AW417" i="4"/>
  <c r="AN416" i="4"/>
  <c r="AN418" i="4"/>
  <c r="AW413" i="4"/>
  <c r="AN410" i="4"/>
  <c r="AT411" i="4"/>
  <c r="AN412" i="4"/>
  <c r="AK405" i="4"/>
  <c r="AW405" i="4"/>
  <c r="AK407" i="4"/>
  <c r="AW407" i="4"/>
  <c r="AW404" i="4"/>
  <c r="AW406" i="4"/>
  <c r="AN400" i="4"/>
  <c r="AK398" i="4"/>
  <c r="AM401" i="4"/>
  <c r="AK401" i="4" s="1"/>
  <c r="AQ401" i="4"/>
  <c r="AW399" i="4"/>
  <c r="AN401" i="4"/>
  <c r="AA425" i="4"/>
  <c r="W425" i="4"/>
  <c r="S425" i="4"/>
  <c r="AA424" i="4"/>
  <c r="Z424" i="4"/>
  <c r="Y424" i="4"/>
  <c r="W424" i="4"/>
  <c r="V424" i="4"/>
  <c r="U424" i="4"/>
  <c r="S424" i="4"/>
  <c r="R424" i="4"/>
  <c r="Q424" i="4"/>
  <c r="O424" i="4"/>
  <c r="N424" i="4"/>
  <c r="M424" i="4"/>
  <c r="L424" i="4"/>
  <c r="K424" i="4"/>
  <c r="J424" i="4"/>
  <c r="I424" i="4"/>
  <c r="H424" i="4"/>
  <c r="AA423" i="4"/>
  <c r="Z423" i="4"/>
  <c r="Y423" i="4"/>
  <c r="W423" i="4"/>
  <c r="V423" i="4"/>
  <c r="U423" i="4"/>
  <c r="S423" i="4"/>
  <c r="R423" i="4"/>
  <c r="Q423" i="4"/>
  <c r="O423" i="4"/>
  <c r="N423" i="4"/>
  <c r="M423" i="4"/>
  <c r="L423" i="4"/>
  <c r="K423" i="4"/>
  <c r="J423" i="4"/>
  <c r="I423" i="4"/>
  <c r="H423" i="4"/>
  <c r="AA422" i="4"/>
  <c r="Z422" i="4"/>
  <c r="Y422" i="4"/>
  <c r="W422" i="4"/>
  <c r="V422" i="4"/>
  <c r="U422" i="4"/>
  <c r="S422" i="4"/>
  <c r="R422" i="4"/>
  <c r="Q422" i="4"/>
  <c r="O422" i="4"/>
  <c r="N422" i="4"/>
  <c r="M422" i="4"/>
  <c r="L422" i="4"/>
  <c r="K422" i="4"/>
  <c r="J422" i="4"/>
  <c r="I422" i="4"/>
  <c r="H422" i="4"/>
  <c r="AA421" i="4"/>
  <c r="W421" i="4"/>
  <c r="S421" i="4"/>
  <c r="AA419" i="4"/>
  <c r="W419" i="4"/>
  <c r="S419" i="4"/>
  <c r="AA418" i="4"/>
  <c r="Z418" i="4"/>
  <c r="Y418" i="4"/>
  <c r="W418" i="4"/>
  <c r="V418" i="4"/>
  <c r="U418" i="4"/>
  <c r="S418" i="4"/>
  <c r="R418" i="4"/>
  <c r="Q418" i="4"/>
  <c r="O418" i="4"/>
  <c r="N418" i="4"/>
  <c r="M418" i="4"/>
  <c r="L418" i="4"/>
  <c r="K418" i="4"/>
  <c r="J418" i="4"/>
  <c r="I418" i="4"/>
  <c r="H418" i="4"/>
  <c r="AA417" i="4"/>
  <c r="Z417" i="4"/>
  <c r="Y417" i="4"/>
  <c r="W417" i="4"/>
  <c r="V417" i="4"/>
  <c r="U417" i="4"/>
  <c r="S417" i="4"/>
  <c r="R417" i="4"/>
  <c r="Q417" i="4"/>
  <c r="O417" i="4"/>
  <c r="N417" i="4"/>
  <c r="M417" i="4"/>
  <c r="L417" i="4"/>
  <c r="K417" i="4"/>
  <c r="J417" i="4"/>
  <c r="I417" i="4"/>
  <c r="H417" i="4"/>
  <c r="AA416" i="4"/>
  <c r="Z416" i="4"/>
  <c r="Y416" i="4"/>
  <c r="W416" i="4"/>
  <c r="V416" i="4"/>
  <c r="U416" i="4"/>
  <c r="S416" i="4"/>
  <c r="R416" i="4"/>
  <c r="Q416" i="4"/>
  <c r="O416" i="4"/>
  <c r="N416" i="4"/>
  <c r="M416" i="4"/>
  <c r="L416" i="4"/>
  <c r="K416" i="4"/>
  <c r="J416" i="4"/>
  <c r="I416" i="4"/>
  <c r="H416" i="4"/>
  <c r="AA415" i="4"/>
  <c r="W415" i="4"/>
  <c r="S415" i="4"/>
  <c r="AA413" i="4"/>
  <c r="W413" i="4"/>
  <c r="S413" i="4"/>
  <c r="AA412" i="4"/>
  <c r="Z412" i="4"/>
  <c r="Y412" i="4"/>
  <c r="W412" i="4"/>
  <c r="V412" i="4"/>
  <c r="U412" i="4"/>
  <c r="S412" i="4"/>
  <c r="R412" i="4"/>
  <c r="Q412" i="4"/>
  <c r="O412" i="4"/>
  <c r="N412" i="4"/>
  <c r="M412" i="4"/>
  <c r="L412" i="4"/>
  <c r="K412" i="4"/>
  <c r="J412" i="4"/>
  <c r="I412" i="4"/>
  <c r="H412" i="4"/>
  <c r="AA411" i="4"/>
  <c r="Z411" i="4"/>
  <c r="Y411" i="4"/>
  <c r="W411" i="4"/>
  <c r="V411" i="4"/>
  <c r="U411" i="4"/>
  <c r="S411" i="4"/>
  <c r="R411" i="4"/>
  <c r="Q411" i="4"/>
  <c r="O411" i="4"/>
  <c r="N411" i="4"/>
  <c r="M411" i="4"/>
  <c r="L411" i="4"/>
  <c r="K411" i="4"/>
  <c r="J411" i="4"/>
  <c r="I411" i="4"/>
  <c r="H411" i="4"/>
  <c r="AA410" i="4"/>
  <c r="Z410" i="4"/>
  <c r="Y410" i="4"/>
  <c r="W410" i="4"/>
  <c r="V410" i="4"/>
  <c r="U410" i="4"/>
  <c r="S410" i="4"/>
  <c r="R410" i="4"/>
  <c r="Q410" i="4"/>
  <c r="O410" i="4"/>
  <c r="N410" i="4"/>
  <c r="M410" i="4"/>
  <c r="L410" i="4"/>
  <c r="K410" i="4"/>
  <c r="J410" i="4"/>
  <c r="I410" i="4"/>
  <c r="H410" i="4"/>
  <c r="AA409" i="4"/>
  <c r="W409" i="4"/>
  <c r="S409" i="4"/>
  <c r="AA407" i="4"/>
  <c r="W407" i="4"/>
  <c r="S407" i="4"/>
  <c r="AA406" i="4"/>
  <c r="Z406" i="4"/>
  <c r="Y406" i="4"/>
  <c r="W406" i="4"/>
  <c r="V406" i="4"/>
  <c r="U406" i="4"/>
  <c r="S406" i="4"/>
  <c r="R406" i="4"/>
  <c r="Q406" i="4"/>
  <c r="O406" i="4"/>
  <c r="N406" i="4"/>
  <c r="M406" i="4"/>
  <c r="L406" i="4"/>
  <c r="K406" i="4"/>
  <c r="J406" i="4"/>
  <c r="I406" i="4"/>
  <c r="H406" i="4"/>
  <c r="AA405" i="4"/>
  <c r="Z405" i="4"/>
  <c r="Y405" i="4"/>
  <c r="W405" i="4"/>
  <c r="V405" i="4"/>
  <c r="U405" i="4"/>
  <c r="S405" i="4"/>
  <c r="R405" i="4"/>
  <c r="Q405" i="4"/>
  <c r="O405" i="4"/>
  <c r="N405" i="4"/>
  <c r="M405" i="4"/>
  <c r="L405" i="4"/>
  <c r="K405" i="4"/>
  <c r="J405" i="4"/>
  <c r="I405" i="4"/>
  <c r="H405" i="4"/>
  <c r="AA404" i="4"/>
  <c r="Z404" i="4"/>
  <c r="Y404" i="4"/>
  <c r="W404" i="4"/>
  <c r="V404" i="4"/>
  <c r="U404" i="4"/>
  <c r="S404" i="4"/>
  <c r="R404" i="4"/>
  <c r="Q404" i="4"/>
  <c r="O404" i="4"/>
  <c r="N404" i="4"/>
  <c r="M404" i="4"/>
  <c r="L404" i="4"/>
  <c r="K404" i="4"/>
  <c r="J404" i="4"/>
  <c r="I404" i="4"/>
  <c r="H404" i="4"/>
  <c r="AA403" i="4"/>
  <c r="W403" i="4"/>
  <c r="S403" i="4"/>
  <c r="AA401" i="4"/>
  <c r="W401" i="4"/>
  <c r="S401" i="4"/>
  <c r="AA400" i="4"/>
  <c r="Z400" i="4"/>
  <c r="Y400" i="4"/>
  <c r="W400" i="4"/>
  <c r="V400" i="4"/>
  <c r="U400" i="4"/>
  <c r="S400" i="4"/>
  <c r="R400" i="4"/>
  <c r="Q400" i="4"/>
  <c r="O400" i="4"/>
  <c r="N400" i="4"/>
  <c r="M400" i="4"/>
  <c r="L400" i="4"/>
  <c r="K400" i="4"/>
  <c r="J400" i="4"/>
  <c r="I400" i="4"/>
  <c r="H400" i="4"/>
  <c r="AA399" i="4"/>
  <c r="Z399" i="4"/>
  <c r="Y399" i="4"/>
  <c r="W399" i="4"/>
  <c r="V399" i="4"/>
  <c r="U399" i="4"/>
  <c r="S399" i="4"/>
  <c r="R399" i="4"/>
  <c r="Q399" i="4"/>
  <c r="O399" i="4"/>
  <c r="N399" i="4"/>
  <c r="M399" i="4"/>
  <c r="L399" i="4"/>
  <c r="K399" i="4"/>
  <c r="J399" i="4"/>
  <c r="I399" i="4"/>
  <c r="H399" i="4"/>
  <c r="AA398" i="4"/>
  <c r="Z398" i="4"/>
  <c r="Y398" i="4"/>
  <c r="W398" i="4"/>
  <c r="V398" i="4"/>
  <c r="U398" i="4"/>
  <c r="S398" i="4"/>
  <c r="R398" i="4"/>
  <c r="Q398" i="4"/>
  <c r="O398" i="4"/>
  <c r="N398" i="4"/>
  <c r="M398" i="4"/>
  <c r="L398" i="4"/>
  <c r="K398" i="4"/>
  <c r="J398" i="4"/>
  <c r="I398" i="4"/>
  <c r="H398" i="4"/>
  <c r="AA397" i="4"/>
  <c r="W397" i="4"/>
  <c r="S397" i="4"/>
  <c r="AS395" i="4"/>
  <c r="AO395" i="4"/>
  <c r="AP395" i="4" s="1"/>
  <c r="AI395" i="4"/>
  <c r="AR395" i="4" s="1"/>
  <c r="AZ394" i="4"/>
  <c r="AY394" i="4"/>
  <c r="AX394" i="4"/>
  <c r="AV394" i="4"/>
  <c r="AU394" i="4"/>
  <c r="AS394" i="4"/>
  <c r="AT394" i="4" s="1"/>
  <c r="AR394" i="4"/>
  <c r="AQ394" i="4"/>
  <c r="AP394" i="4"/>
  <c r="AO394" i="4"/>
  <c r="AM394" i="4"/>
  <c r="AL394" i="4"/>
  <c r="AI394" i="4"/>
  <c r="AK394" i="4" s="1"/>
  <c r="AZ393" i="4"/>
  <c r="AY393" i="4"/>
  <c r="AX393" i="4"/>
  <c r="AV393" i="4"/>
  <c r="AU393" i="4"/>
  <c r="AS393" i="4"/>
  <c r="AW393" i="4" s="1"/>
  <c r="AR393" i="4"/>
  <c r="AQ393" i="4"/>
  <c r="AP393" i="4"/>
  <c r="AO393" i="4"/>
  <c r="AM393" i="4"/>
  <c r="AL393" i="4"/>
  <c r="AI393" i="4"/>
  <c r="AN393" i="4" s="1"/>
  <c r="AZ392" i="4"/>
  <c r="AY392" i="4"/>
  <c r="AX392" i="4"/>
  <c r="AV392" i="4"/>
  <c r="AU392" i="4"/>
  <c r="AS392" i="4"/>
  <c r="AW392" i="4" s="1"/>
  <c r="AR392" i="4"/>
  <c r="AQ392" i="4"/>
  <c r="AP392" i="4"/>
  <c r="AO392" i="4"/>
  <c r="AM392" i="4"/>
  <c r="AL392" i="4"/>
  <c r="AI392" i="4"/>
  <c r="AK392" i="4" s="1"/>
  <c r="AS391" i="4"/>
  <c r="AI391" i="4"/>
  <c r="AZ389" i="4"/>
  <c r="AY389" i="4"/>
  <c r="AX389" i="4"/>
  <c r="AV389" i="4"/>
  <c r="AU389" i="4"/>
  <c r="AS389" i="4"/>
  <c r="AW389" i="4" s="1"/>
  <c r="AR389" i="4"/>
  <c r="AQ389" i="4"/>
  <c r="AP389" i="4"/>
  <c r="AO389" i="4"/>
  <c r="AM389" i="4"/>
  <c r="AL389" i="4"/>
  <c r="AI389" i="4"/>
  <c r="AK389" i="4" s="1"/>
  <c r="AZ388" i="4"/>
  <c r="AY388" i="4"/>
  <c r="AX388" i="4"/>
  <c r="AV388" i="4"/>
  <c r="AU388" i="4"/>
  <c r="AS388" i="4"/>
  <c r="AW388" i="4" s="1"/>
  <c r="AR388" i="4"/>
  <c r="AQ388" i="4"/>
  <c r="AP388" i="4"/>
  <c r="AO388" i="4"/>
  <c r="AM388" i="4"/>
  <c r="AL388" i="4"/>
  <c r="AI388" i="4"/>
  <c r="AK388" i="4" s="1"/>
  <c r="AZ387" i="4"/>
  <c r="AY387" i="4"/>
  <c r="AX387" i="4"/>
  <c r="AV387" i="4"/>
  <c r="AU387" i="4"/>
  <c r="AS387" i="4"/>
  <c r="AT387" i="4" s="1"/>
  <c r="AR387" i="4"/>
  <c r="AQ387" i="4"/>
  <c r="AP387" i="4"/>
  <c r="AO387" i="4"/>
  <c r="AM387" i="4"/>
  <c r="AL387" i="4"/>
  <c r="AI387" i="4"/>
  <c r="AK387" i="4" s="1"/>
  <c r="AZ386" i="4"/>
  <c r="AY386" i="4"/>
  <c r="AX386" i="4"/>
  <c r="AV386" i="4"/>
  <c r="AU386" i="4"/>
  <c r="AS386" i="4"/>
  <c r="AW386" i="4" s="1"/>
  <c r="AR386" i="4"/>
  <c r="AQ386" i="4"/>
  <c r="AP386" i="4"/>
  <c r="AO386" i="4"/>
  <c r="AM386" i="4"/>
  <c r="AL386" i="4"/>
  <c r="AI386" i="4"/>
  <c r="AK386" i="4" s="1"/>
  <c r="AZ385" i="4"/>
  <c r="AY385" i="4"/>
  <c r="AX385" i="4"/>
  <c r="AV385" i="4"/>
  <c r="AU385" i="4"/>
  <c r="AS385" i="4"/>
  <c r="AT385" i="4" s="1"/>
  <c r="AR385" i="4"/>
  <c r="AQ385" i="4"/>
  <c r="AP385" i="4"/>
  <c r="AO385" i="4"/>
  <c r="AN385" i="4"/>
  <c r="AM385" i="4"/>
  <c r="AL385" i="4"/>
  <c r="AI385" i="4"/>
  <c r="AK385" i="4" s="1"/>
  <c r="AZ383" i="4"/>
  <c r="AY383" i="4"/>
  <c r="AX383" i="4"/>
  <c r="AV383" i="4"/>
  <c r="AU383" i="4"/>
  <c r="AS383" i="4"/>
  <c r="AT383" i="4" s="1"/>
  <c r="AR383" i="4"/>
  <c r="AQ383" i="4"/>
  <c r="AP383" i="4"/>
  <c r="AO383" i="4"/>
  <c r="AM383" i="4"/>
  <c r="AL383" i="4"/>
  <c r="AI383" i="4"/>
  <c r="AN383" i="4" s="1"/>
  <c r="AZ382" i="4"/>
  <c r="AY382" i="4"/>
  <c r="AX382" i="4"/>
  <c r="AV382" i="4"/>
  <c r="AU382" i="4"/>
  <c r="AS382" i="4"/>
  <c r="AW382" i="4" s="1"/>
  <c r="AR382" i="4"/>
  <c r="AQ382" i="4"/>
  <c r="AP382" i="4"/>
  <c r="AO382" i="4"/>
  <c r="AM382" i="4"/>
  <c r="AL382" i="4"/>
  <c r="AI382" i="4"/>
  <c r="AK382" i="4" s="1"/>
  <c r="AZ381" i="4"/>
  <c r="AY381" i="4"/>
  <c r="AX381" i="4"/>
  <c r="AV381" i="4"/>
  <c r="AU381" i="4"/>
  <c r="AS381" i="4"/>
  <c r="AT381" i="4" s="1"/>
  <c r="AR381" i="4"/>
  <c r="AQ381" i="4"/>
  <c r="AP381" i="4"/>
  <c r="AO381" i="4"/>
  <c r="AM381" i="4"/>
  <c r="AL381" i="4"/>
  <c r="AK381" i="4"/>
  <c r="AI381" i="4"/>
  <c r="AN381" i="4" s="1"/>
  <c r="AZ380" i="4"/>
  <c r="AY380" i="4"/>
  <c r="AX380" i="4"/>
  <c r="AV380" i="4"/>
  <c r="AU380" i="4"/>
  <c r="AS380" i="4"/>
  <c r="AW380" i="4" s="1"/>
  <c r="AR380" i="4"/>
  <c r="AQ380" i="4"/>
  <c r="AP380" i="4"/>
  <c r="AO380" i="4"/>
  <c r="AM380" i="4"/>
  <c r="AL380" i="4"/>
  <c r="AI380" i="4"/>
  <c r="AK380" i="4" s="1"/>
  <c r="AZ379" i="4"/>
  <c r="AY379" i="4"/>
  <c r="AX379" i="4"/>
  <c r="AV379" i="4"/>
  <c r="AU379" i="4"/>
  <c r="AS379" i="4"/>
  <c r="AW379" i="4" s="1"/>
  <c r="AR379" i="4"/>
  <c r="AQ379" i="4"/>
  <c r="AP379" i="4"/>
  <c r="AO379" i="4"/>
  <c r="AM379" i="4"/>
  <c r="AL379" i="4"/>
  <c r="AI379" i="4"/>
  <c r="AK379" i="4" s="1"/>
  <c r="AZ377" i="4"/>
  <c r="AY377" i="4"/>
  <c r="AX377" i="4"/>
  <c r="AV377" i="4"/>
  <c r="AU377" i="4"/>
  <c r="AS377" i="4"/>
  <c r="AT377" i="4" s="1"/>
  <c r="AR377" i="4"/>
  <c r="AQ377" i="4"/>
  <c r="AP377" i="4"/>
  <c r="AO377" i="4"/>
  <c r="AM377" i="4"/>
  <c r="AL377" i="4"/>
  <c r="AI377" i="4"/>
  <c r="AK377" i="4" s="1"/>
  <c r="AZ376" i="4"/>
  <c r="AY376" i="4"/>
  <c r="AX376" i="4"/>
  <c r="AV376" i="4"/>
  <c r="AU376" i="4"/>
  <c r="AS376" i="4"/>
  <c r="AW376" i="4" s="1"/>
  <c r="AR376" i="4"/>
  <c r="AQ376" i="4"/>
  <c r="AP376" i="4"/>
  <c r="AO376" i="4"/>
  <c r="AM376" i="4"/>
  <c r="AL376" i="4"/>
  <c r="AI376" i="4"/>
  <c r="AK376" i="4" s="1"/>
  <c r="AZ375" i="4"/>
  <c r="AY375" i="4"/>
  <c r="AX375" i="4"/>
  <c r="AV375" i="4"/>
  <c r="AU375" i="4"/>
  <c r="AS375" i="4"/>
  <c r="AT375" i="4" s="1"/>
  <c r="AR375" i="4"/>
  <c r="AQ375" i="4"/>
  <c r="AP375" i="4"/>
  <c r="AO375" i="4"/>
  <c r="AM375" i="4"/>
  <c r="AL375" i="4"/>
  <c r="AK375" i="4"/>
  <c r="AI375" i="4"/>
  <c r="AN375" i="4" s="1"/>
  <c r="AZ374" i="4"/>
  <c r="AY374" i="4"/>
  <c r="AX374" i="4"/>
  <c r="AV374" i="4"/>
  <c r="AU374" i="4"/>
  <c r="AS374" i="4"/>
  <c r="AW374" i="4" s="1"/>
  <c r="AR374" i="4"/>
  <c r="AQ374" i="4"/>
  <c r="AP374" i="4"/>
  <c r="AO374" i="4"/>
  <c r="AM374" i="4"/>
  <c r="AL374" i="4"/>
  <c r="AI374" i="4"/>
  <c r="AK374" i="4" s="1"/>
  <c r="AZ373" i="4"/>
  <c r="AY373" i="4"/>
  <c r="AX373" i="4"/>
  <c r="AV373" i="4"/>
  <c r="AU373" i="4"/>
  <c r="AS373" i="4"/>
  <c r="AW373" i="4" s="1"/>
  <c r="AR373" i="4"/>
  <c r="AQ373" i="4"/>
  <c r="AP373" i="4"/>
  <c r="AO373" i="4"/>
  <c r="AM373" i="4"/>
  <c r="AL373" i="4"/>
  <c r="AI373" i="4"/>
  <c r="AK373" i="4" s="1"/>
  <c r="AS371" i="4"/>
  <c r="AO371" i="4"/>
  <c r="AP371" i="4" s="1"/>
  <c r="AI371" i="4"/>
  <c r="AR371" i="4" s="1"/>
  <c r="AZ370" i="4"/>
  <c r="AY370" i="4"/>
  <c r="AX370" i="4"/>
  <c r="AV370" i="4"/>
  <c r="AU370" i="4"/>
  <c r="AS370" i="4"/>
  <c r="AW370" i="4" s="1"/>
  <c r="AR370" i="4"/>
  <c r="AQ370" i="4"/>
  <c r="AP370" i="4"/>
  <c r="AO370" i="4"/>
  <c r="AM370" i="4"/>
  <c r="AL370" i="4"/>
  <c r="AI370" i="4"/>
  <c r="AK370" i="4" s="1"/>
  <c r="AZ369" i="4"/>
  <c r="AY369" i="4"/>
  <c r="AX369" i="4"/>
  <c r="AV369" i="4"/>
  <c r="AU369" i="4"/>
  <c r="AS369" i="4"/>
  <c r="AW369" i="4" s="1"/>
  <c r="AR369" i="4"/>
  <c r="AQ369" i="4"/>
  <c r="AP369" i="4"/>
  <c r="AO369" i="4"/>
  <c r="AM369" i="4"/>
  <c r="AL369" i="4"/>
  <c r="AI369" i="4"/>
  <c r="AN369" i="4" s="1"/>
  <c r="AZ368" i="4"/>
  <c r="AY368" i="4"/>
  <c r="AX368" i="4"/>
  <c r="AV368" i="4"/>
  <c r="AU368" i="4"/>
  <c r="AS368" i="4"/>
  <c r="AW368" i="4" s="1"/>
  <c r="AR368" i="4"/>
  <c r="AQ368" i="4"/>
  <c r="AP368" i="4"/>
  <c r="AO368" i="4"/>
  <c r="AM368" i="4"/>
  <c r="AL368" i="4"/>
  <c r="AI368" i="4"/>
  <c r="AK368" i="4" s="1"/>
  <c r="AS367" i="4"/>
  <c r="AR367" i="4"/>
  <c r="AQ367" i="4"/>
  <c r="AO367" i="4"/>
  <c r="AP367" i="4" s="1"/>
  <c r="AM367" i="4"/>
  <c r="AL367" i="4"/>
  <c r="AI367" i="4"/>
  <c r="AT374" i="4" l="1"/>
  <c r="BJ70" i="4"/>
  <c r="AT380" i="4"/>
  <c r="BK70" i="4"/>
  <c r="AK393" i="4"/>
  <c r="AT373" i="4"/>
  <c r="AT379" i="4"/>
  <c r="AN389" i="4"/>
  <c r="AT370" i="4"/>
  <c r="AK369" i="4"/>
  <c r="AN373" i="4"/>
  <c r="AN377" i="4"/>
  <c r="AN379" i="4"/>
  <c r="AW385" i="4"/>
  <c r="AN387" i="4"/>
  <c r="AT388" i="4"/>
  <c r="AT392" i="4"/>
  <c r="AT368" i="4"/>
  <c r="AT376" i="4"/>
  <c r="AT382" i="4"/>
  <c r="AK383" i="4"/>
  <c r="AT386" i="4"/>
  <c r="AN367" i="4"/>
  <c r="AK431" i="4"/>
  <c r="AK425" i="4"/>
  <c r="AO391" i="4"/>
  <c r="AP391" i="4" s="1"/>
  <c r="AL391" i="4"/>
  <c r="AN391" i="4" s="1"/>
  <c r="AQ391" i="4"/>
  <c r="AM391" i="4"/>
  <c r="AR391" i="4"/>
  <c r="AN392" i="4"/>
  <c r="AT393" i="4"/>
  <c r="AN394" i="4"/>
  <c r="AL395" i="4"/>
  <c r="AW394" i="4"/>
  <c r="AM395" i="4"/>
  <c r="AQ395" i="4"/>
  <c r="AN395" i="4"/>
  <c r="AW387" i="4"/>
  <c r="AN386" i="4"/>
  <c r="AN388" i="4"/>
  <c r="AT389" i="4"/>
  <c r="AW381" i="4"/>
  <c r="AW383" i="4"/>
  <c r="AN380" i="4"/>
  <c r="AN382" i="4"/>
  <c r="AW375" i="4"/>
  <c r="AW377" i="4"/>
  <c r="AN374" i="4"/>
  <c r="AN376" i="4"/>
  <c r="AN368" i="4"/>
  <c r="AT369" i="4"/>
  <c r="AN370" i="4"/>
  <c r="AL371" i="4"/>
  <c r="AN371" i="4" s="1"/>
  <c r="AM371" i="4"/>
  <c r="AQ371" i="4"/>
  <c r="AK367" i="4"/>
  <c r="AA395" i="4"/>
  <c r="W395" i="4"/>
  <c r="S395" i="4"/>
  <c r="AA394" i="4"/>
  <c r="Z394" i="4"/>
  <c r="Y394" i="4"/>
  <c r="W394" i="4"/>
  <c r="V394" i="4"/>
  <c r="U394" i="4"/>
  <c r="S394" i="4"/>
  <c r="R394" i="4"/>
  <c r="Q394" i="4"/>
  <c r="O394" i="4"/>
  <c r="N394" i="4"/>
  <c r="M394" i="4"/>
  <c r="L394" i="4"/>
  <c r="K394" i="4"/>
  <c r="J394" i="4"/>
  <c r="I394" i="4"/>
  <c r="H394" i="4"/>
  <c r="AA393" i="4"/>
  <c r="Z393" i="4"/>
  <c r="Y393" i="4"/>
  <c r="W393" i="4"/>
  <c r="V393" i="4"/>
  <c r="U393" i="4"/>
  <c r="S393" i="4"/>
  <c r="R393" i="4"/>
  <c r="Q393" i="4"/>
  <c r="O393" i="4"/>
  <c r="N393" i="4"/>
  <c r="M393" i="4"/>
  <c r="L393" i="4"/>
  <c r="K393" i="4"/>
  <c r="J393" i="4"/>
  <c r="I393" i="4"/>
  <c r="H393" i="4"/>
  <c r="AA392" i="4"/>
  <c r="Z392" i="4"/>
  <c r="Y392" i="4"/>
  <c r="W392" i="4"/>
  <c r="V392" i="4"/>
  <c r="U392" i="4"/>
  <c r="S392" i="4"/>
  <c r="R392" i="4"/>
  <c r="Q392" i="4"/>
  <c r="O392" i="4"/>
  <c r="N392" i="4"/>
  <c r="M392" i="4"/>
  <c r="L392" i="4"/>
  <c r="K392" i="4"/>
  <c r="J392" i="4"/>
  <c r="I392" i="4"/>
  <c r="H392" i="4"/>
  <c r="AA391" i="4"/>
  <c r="W391" i="4"/>
  <c r="S391" i="4"/>
  <c r="AA389" i="4"/>
  <c r="W389" i="4"/>
  <c r="S389" i="4"/>
  <c r="AA388" i="4"/>
  <c r="Z388" i="4"/>
  <c r="Y388" i="4"/>
  <c r="W388" i="4"/>
  <c r="V388" i="4"/>
  <c r="U388" i="4"/>
  <c r="S388" i="4"/>
  <c r="R388" i="4"/>
  <c r="Q388" i="4"/>
  <c r="O388" i="4"/>
  <c r="N388" i="4"/>
  <c r="M388" i="4"/>
  <c r="L388" i="4"/>
  <c r="K388" i="4"/>
  <c r="J388" i="4"/>
  <c r="I388" i="4"/>
  <c r="H388" i="4"/>
  <c r="AA387" i="4"/>
  <c r="Z387" i="4"/>
  <c r="Y387" i="4"/>
  <c r="W387" i="4"/>
  <c r="V387" i="4"/>
  <c r="U387" i="4"/>
  <c r="S387" i="4"/>
  <c r="R387" i="4"/>
  <c r="Q387" i="4"/>
  <c r="O387" i="4"/>
  <c r="N387" i="4"/>
  <c r="M387" i="4"/>
  <c r="L387" i="4"/>
  <c r="K387" i="4"/>
  <c r="J387" i="4"/>
  <c r="I387" i="4"/>
  <c r="H387" i="4"/>
  <c r="AA386" i="4"/>
  <c r="Z386" i="4"/>
  <c r="Y386" i="4"/>
  <c r="W386" i="4"/>
  <c r="V386" i="4"/>
  <c r="U386" i="4"/>
  <c r="S386" i="4"/>
  <c r="R386" i="4"/>
  <c r="Q386" i="4"/>
  <c r="O386" i="4"/>
  <c r="N386" i="4"/>
  <c r="M386" i="4"/>
  <c r="L386" i="4"/>
  <c r="K386" i="4"/>
  <c r="J386" i="4"/>
  <c r="I386" i="4"/>
  <c r="H386" i="4"/>
  <c r="AA385" i="4"/>
  <c r="W385" i="4"/>
  <c r="S385" i="4"/>
  <c r="AA383" i="4"/>
  <c r="W383" i="4"/>
  <c r="S383" i="4"/>
  <c r="AA382" i="4"/>
  <c r="Z382" i="4"/>
  <c r="Y382" i="4"/>
  <c r="W382" i="4"/>
  <c r="V382" i="4"/>
  <c r="U382" i="4"/>
  <c r="S382" i="4"/>
  <c r="R382" i="4"/>
  <c r="Q382" i="4"/>
  <c r="O382" i="4"/>
  <c r="N382" i="4"/>
  <c r="M382" i="4"/>
  <c r="L382" i="4"/>
  <c r="K382" i="4"/>
  <c r="J382" i="4"/>
  <c r="I382" i="4"/>
  <c r="H382" i="4"/>
  <c r="AA381" i="4"/>
  <c r="Z381" i="4"/>
  <c r="Y381" i="4"/>
  <c r="W381" i="4"/>
  <c r="V381" i="4"/>
  <c r="U381" i="4"/>
  <c r="S381" i="4"/>
  <c r="R381" i="4"/>
  <c r="Q381" i="4"/>
  <c r="O381" i="4"/>
  <c r="N381" i="4"/>
  <c r="M381" i="4"/>
  <c r="L381" i="4"/>
  <c r="K381" i="4"/>
  <c r="J381" i="4"/>
  <c r="I381" i="4"/>
  <c r="H381" i="4"/>
  <c r="AA380" i="4"/>
  <c r="Z380" i="4"/>
  <c r="Y380" i="4"/>
  <c r="W380" i="4"/>
  <c r="V380" i="4"/>
  <c r="U380" i="4"/>
  <c r="S380" i="4"/>
  <c r="R380" i="4"/>
  <c r="Q380" i="4"/>
  <c r="O380" i="4"/>
  <c r="N380" i="4"/>
  <c r="M380" i="4"/>
  <c r="L380" i="4"/>
  <c r="K380" i="4"/>
  <c r="J380" i="4"/>
  <c r="I380" i="4"/>
  <c r="H380" i="4"/>
  <c r="AA379" i="4"/>
  <c r="W379" i="4"/>
  <c r="S379" i="4"/>
  <c r="AA377" i="4"/>
  <c r="W377" i="4"/>
  <c r="S377" i="4"/>
  <c r="AA376" i="4"/>
  <c r="Z376" i="4"/>
  <c r="Y376" i="4"/>
  <c r="W376" i="4"/>
  <c r="V376" i="4"/>
  <c r="U376" i="4"/>
  <c r="S376" i="4"/>
  <c r="R376" i="4"/>
  <c r="Q376" i="4"/>
  <c r="O376" i="4"/>
  <c r="N376" i="4"/>
  <c r="M376" i="4"/>
  <c r="L376" i="4"/>
  <c r="K376" i="4"/>
  <c r="J376" i="4"/>
  <c r="I376" i="4"/>
  <c r="H376" i="4"/>
  <c r="AA375" i="4"/>
  <c r="Z375" i="4"/>
  <c r="Y375" i="4"/>
  <c r="W375" i="4"/>
  <c r="V375" i="4"/>
  <c r="U375" i="4"/>
  <c r="S375" i="4"/>
  <c r="R375" i="4"/>
  <c r="Q375" i="4"/>
  <c r="O375" i="4"/>
  <c r="N375" i="4"/>
  <c r="M375" i="4"/>
  <c r="L375" i="4"/>
  <c r="K375" i="4"/>
  <c r="J375" i="4"/>
  <c r="I375" i="4"/>
  <c r="H375" i="4"/>
  <c r="AA374" i="4"/>
  <c r="Z374" i="4"/>
  <c r="Y374" i="4"/>
  <c r="W374" i="4"/>
  <c r="V374" i="4"/>
  <c r="U374" i="4"/>
  <c r="S374" i="4"/>
  <c r="R374" i="4"/>
  <c r="Q374" i="4"/>
  <c r="O374" i="4"/>
  <c r="N374" i="4"/>
  <c r="M374" i="4"/>
  <c r="L374" i="4"/>
  <c r="K374" i="4"/>
  <c r="J374" i="4"/>
  <c r="I374" i="4"/>
  <c r="H374" i="4"/>
  <c r="AA373" i="4"/>
  <c r="W373" i="4"/>
  <c r="S373" i="4"/>
  <c r="AA371" i="4"/>
  <c r="W371" i="4"/>
  <c r="S371" i="4"/>
  <c r="AA370" i="4"/>
  <c r="Z370" i="4"/>
  <c r="Y370" i="4"/>
  <c r="W370" i="4"/>
  <c r="V370" i="4"/>
  <c r="U370" i="4"/>
  <c r="S370" i="4"/>
  <c r="R370" i="4"/>
  <c r="Q370" i="4"/>
  <c r="O370" i="4"/>
  <c r="N370" i="4"/>
  <c r="M370" i="4"/>
  <c r="L370" i="4"/>
  <c r="K370" i="4"/>
  <c r="J370" i="4"/>
  <c r="I370" i="4"/>
  <c r="H370" i="4"/>
  <c r="AA369" i="4"/>
  <c r="Z369" i="4"/>
  <c r="Y369" i="4"/>
  <c r="W369" i="4"/>
  <c r="V369" i="4"/>
  <c r="U369" i="4"/>
  <c r="S369" i="4"/>
  <c r="R369" i="4"/>
  <c r="Q369" i="4"/>
  <c r="O369" i="4"/>
  <c r="N369" i="4"/>
  <c r="M369" i="4"/>
  <c r="L369" i="4"/>
  <c r="K369" i="4"/>
  <c r="J369" i="4"/>
  <c r="I369" i="4"/>
  <c r="H369" i="4"/>
  <c r="AA368" i="4"/>
  <c r="Z368" i="4"/>
  <c r="Y368" i="4"/>
  <c r="W368" i="4"/>
  <c r="V368" i="4"/>
  <c r="U368" i="4"/>
  <c r="S368" i="4"/>
  <c r="R368" i="4"/>
  <c r="Q368" i="4"/>
  <c r="O368" i="4"/>
  <c r="N368" i="4"/>
  <c r="M368" i="4"/>
  <c r="L368" i="4"/>
  <c r="K368" i="4"/>
  <c r="J368" i="4"/>
  <c r="I368" i="4"/>
  <c r="H368" i="4"/>
  <c r="AA367" i="4"/>
  <c r="W367" i="4"/>
  <c r="S367" i="4"/>
  <c r="K338" i="4"/>
  <c r="K339" i="4"/>
  <c r="K340" i="4"/>
  <c r="K343" i="4"/>
  <c r="K344" i="4"/>
  <c r="K345" i="4"/>
  <c r="K346" i="4"/>
  <c r="K347" i="4"/>
  <c r="K349" i="4"/>
  <c r="K350" i="4"/>
  <c r="K351" i="4"/>
  <c r="K352" i="4"/>
  <c r="K353" i="4"/>
  <c r="K355" i="4"/>
  <c r="K356" i="4"/>
  <c r="K357" i="4"/>
  <c r="K358" i="4"/>
  <c r="K359" i="4"/>
  <c r="K362" i="4"/>
  <c r="K363" i="4"/>
  <c r="K364" i="4"/>
  <c r="AS365" i="4"/>
  <c r="AO365" i="4"/>
  <c r="AP365" i="4" s="1"/>
  <c r="AI365" i="4"/>
  <c r="AQ365" i="4" s="1"/>
  <c r="AZ364" i="4"/>
  <c r="AY364" i="4"/>
  <c r="AX364" i="4"/>
  <c r="AV364" i="4"/>
  <c r="AU364" i="4"/>
  <c r="AS364" i="4"/>
  <c r="AW364" i="4" s="1"/>
  <c r="AR364" i="4"/>
  <c r="AQ364" i="4"/>
  <c r="AP364" i="4"/>
  <c r="AO364" i="4"/>
  <c r="AM364" i="4"/>
  <c r="AL364" i="4"/>
  <c r="AI364" i="4"/>
  <c r="AK364" i="4" s="1"/>
  <c r="AS363" i="4"/>
  <c r="AZ363" i="4" s="1"/>
  <c r="AR363" i="4"/>
  <c r="AO363" i="4"/>
  <c r="AP363" i="4" s="1"/>
  <c r="AL363" i="4"/>
  <c r="AI363" i="4"/>
  <c r="AQ363" i="4" s="1"/>
  <c r="AZ362" i="4"/>
  <c r="AY362" i="4"/>
  <c r="AX362" i="4"/>
  <c r="AV362" i="4"/>
  <c r="AU362" i="4"/>
  <c r="AS362" i="4"/>
  <c r="AW362" i="4" s="1"/>
  <c r="AR362" i="4"/>
  <c r="AQ362" i="4"/>
  <c r="AP362" i="4"/>
  <c r="AO362" i="4"/>
  <c r="AM362" i="4"/>
  <c r="AL362" i="4"/>
  <c r="AI362" i="4"/>
  <c r="AK362" i="4" s="1"/>
  <c r="AS361" i="4"/>
  <c r="AQ361" i="4"/>
  <c r="AL361" i="4"/>
  <c r="AI361" i="4"/>
  <c r="AO361" i="4" s="1"/>
  <c r="AP361" i="4" s="1"/>
  <c r="AZ359" i="4"/>
  <c r="AY359" i="4"/>
  <c r="AX359" i="4"/>
  <c r="AV359" i="4"/>
  <c r="AU359" i="4"/>
  <c r="AS359" i="4"/>
  <c r="AT359" i="4" s="1"/>
  <c r="AR359" i="4"/>
  <c r="AQ359" i="4"/>
  <c r="AP359" i="4"/>
  <c r="AO359" i="4"/>
  <c r="AM359" i="4"/>
  <c r="AL359" i="4"/>
  <c r="AI359" i="4"/>
  <c r="AN359" i="4" s="1"/>
  <c r="AZ358" i="4"/>
  <c r="AY358" i="4"/>
  <c r="AX358" i="4"/>
  <c r="AV358" i="4"/>
  <c r="AU358" i="4"/>
  <c r="AS358" i="4"/>
  <c r="AT358" i="4" s="1"/>
  <c r="AR358" i="4"/>
  <c r="AQ358" i="4"/>
  <c r="AP358" i="4"/>
  <c r="AO358" i="4"/>
  <c r="AM358" i="4"/>
  <c r="AL358" i="4"/>
  <c r="AI358" i="4"/>
  <c r="AK358" i="4" s="1"/>
  <c r="AZ357" i="4"/>
  <c r="AY357" i="4"/>
  <c r="AX357" i="4"/>
  <c r="AV357" i="4"/>
  <c r="AU357" i="4"/>
  <c r="AS357" i="4"/>
  <c r="AW357" i="4" s="1"/>
  <c r="AR357" i="4"/>
  <c r="AQ357" i="4"/>
  <c r="AP357" i="4"/>
  <c r="AO357" i="4"/>
  <c r="AM357" i="4"/>
  <c r="AL357" i="4"/>
  <c r="AI357" i="4"/>
  <c r="AN357" i="4" s="1"/>
  <c r="AZ356" i="4"/>
  <c r="AY356" i="4"/>
  <c r="AX356" i="4"/>
  <c r="AV356" i="4"/>
  <c r="AU356" i="4"/>
  <c r="AS356" i="4"/>
  <c r="AW356" i="4" s="1"/>
  <c r="AR356" i="4"/>
  <c r="AQ356" i="4"/>
  <c r="AP356" i="4"/>
  <c r="AO356" i="4"/>
  <c r="AM356" i="4"/>
  <c r="AL356" i="4"/>
  <c r="AI356" i="4"/>
  <c r="AK356" i="4" s="1"/>
  <c r="AZ355" i="4"/>
  <c r="AY355" i="4"/>
  <c r="AX355" i="4"/>
  <c r="AV355" i="4"/>
  <c r="AU355" i="4"/>
  <c r="AS355" i="4"/>
  <c r="AW355" i="4" s="1"/>
  <c r="AR355" i="4"/>
  <c r="AQ355" i="4"/>
  <c r="AP355" i="4"/>
  <c r="AO355" i="4"/>
  <c r="AM355" i="4"/>
  <c r="AL355" i="4"/>
  <c r="AI355" i="4"/>
  <c r="AK355" i="4" s="1"/>
  <c r="AZ353" i="4"/>
  <c r="AY353" i="4"/>
  <c r="AX353" i="4"/>
  <c r="AV353" i="4"/>
  <c r="AU353" i="4"/>
  <c r="AS353" i="4"/>
  <c r="AT353" i="4" s="1"/>
  <c r="AR353" i="4"/>
  <c r="AQ353" i="4"/>
  <c r="AP353" i="4"/>
  <c r="AO353" i="4"/>
  <c r="AM353" i="4"/>
  <c r="AL353" i="4"/>
  <c r="AK353" i="4"/>
  <c r="AI353" i="4"/>
  <c r="AN353" i="4" s="1"/>
  <c r="AZ352" i="4"/>
  <c r="AY352" i="4"/>
  <c r="AX352" i="4"/>
  <c r="AV352" i="4"/>
  <c r="AU352" i="4"/>
  <c r="AS352" i="4"/>
  <c r="AW352" i="4" s="1"/>
  <c r="AR352" i="4"/>
  <c r="AQ352" i="4"/>
  <c r="AP352" i="4"/>
  <c r="AO352" i="4"/>
  <c r="AM352" i="4"/>
  <c r="AL352" i="4"/>
  <c r="AI352" i="4"/>
  <c r="AK352" i="4" s="1"/>
  <c r="AZ351" i="4"/>
  <c r="AY351" i="4"/>
  <c r="AX351" i="4"/>
  <c r="AV351" i="4"/>
  <c r="AU351" i="4"/>
  <c r="AS351" i="4"/>
  <c r="AT351" i="4" s="1"/>
  <c r="AR351" i="4"/>
  <c r="AQ351" i="4"/>
  <c r="AP351" i="4"/>
  <c r="AO351" i="4"/>
  <c r="AM351" i="4"/>
  <c r="AL351" i="4"/>
  <c r="AI351" i="4"/>
  <c r="AK351" i="4" s="1"/>
  <c r="AZ350" i="4"/>
  <c r="AY350" i="4"/>
  <c r="AX350" i="4"/>
  <c r="AV350" i="4"/>
  <c r="AU350" i="4"/>
  <c r="AS350" i="4"/>
  <c r="AW350" i="4" s="1"/>
  <c r="AR350" i="4"/>
  <c r="AQ350" i="4"/>
  <c r="AP350" i="4"/>
  <c r="AO350" i="4"/>
  <c r="AM350" i="4"/>
  <c r="AL350" i="4"/>
  <c r="AI350" i="4"/>
  <c r="AN350" i="4" s="1"/>
  <c r="AZ349" i="4"/>
  <c r="AY349" i="4"/>
  <c r="AX349" i="4"/>
  <c r="AV349" i="4"/>
  <c r="AU349" i="4"/>
  <c r="AS349" i="4"/>
  <c r="AT349" i="4" s="1"/>
  <c r="AR349" i="4"/>
  <c r="AQ349" i="4"/>
  <c r="AP349" i="4"/>
  <c r="AO349" i="4"/>
  <c r="AM349" i="4"/>
  <c r="AL349" i="4"/>
  <c r="AI349" i="4"/>
  <c r="AK349" i="4" s="1"/>
  <c r="AZ347" i="4"/>
  <c r="AY347" i="4"/>
  <c r="AX347" i="4"/>
  <c r="AV347" i="4"/>
  <c r="AU347" i="4"/>
  <c r="AS347" i="4"/>
  <c r="AT347" i="4" s="1"/>
  <c r="AR347" i="4"/>
  <c r="AQ347" i="4"/>
  <c r="AP347" i="4"/>
  <c r="AO347" i="4"/>
  <c r="AM347" i="4"/>
  <c r="AL347" i="4"/>
  <c r="AI347" i="4"/>
  <c r="AN347" i="4" s="1"/>
  <c r="AZ346" i="4"/>
  <c r="AY346" i="4"/>
  <c r="AX346" i="4"/>
  <c r="AV346" i="4"/>
  <c r="AU346" i="4"/>
  <c r="AS346" i="4"/>
  <c r="AW346" i="4" s="1"/>
  <c r="AR346" i="4"/>
  <c r="AQ346" i="4"/>
  <c r="AP346" i="4"/>
  <c r="AO346" i="4"/>
  <c r="AM346" i="4"/>
  <c r="AL346" i="4"/>
  <c r="AI346" i="4"/>
  <c r="AK346" i="4" s="1"/>
  <c r="AZ345" i="4"/>
  <c r="AY345" i="4"/>
  <c r="AX345" i="4"/>
  <c r="AV345" i="4"/>
  <c r="AU345" i="4"/>
  <c r="AS345" i="4"/>
  <c r="AT345" i="4" s="1"/>
  <c r="AR345" i="4"/>
  <c r="AQ345" i="4"/>
  <c r="AP345" i="4"/>
  <c r="AO345" i="4"/>
  <c r="AM345" i="4"/>
  <c r="AL345" i="4"/>
  <c r="AI345" i="4"/>
  <c r="AK345" i="4" s="1"/>
  <c r="AZ344" i="4"/>
  <c r="AY344" i="4"/>
  <c r="AX344" i="4"/>
  <c r="AV344" i="4"/>
  <c r="AU344" i="4"/>
  <c r="AS344" i="4"/>
  <c r="AW344" i="4" s="1"/>
  <c r="AR344" i="4"/>
  <c r="AQ344" i="4"/>
  <c r="AP344" i="4"/>
  <c r="AO344" i="4"/>
  <c r="AM344" i="4"/>
  <c r="AL344" i="4"/>
  <c r="AI344" i="4"/>
  <c r="AK344" i="4" s="1"/>
  <c r="AZ343" i="4"/>
  <c r="AY343" i="4"/>
  <c r="AX343" i="4"/>
  <c r="AV343" i="4"/>
  <c r="AU343" i="4"/>
  <c r="AS343" i="4"/>
  <c r="AT343" i="4" s="1"/>
  <c r="AR343" i="4"/>
  <c r="AQ343" i="4"/>
  <c r="AP343" i="4"/>
  <c r="AO343" i="4"/>
  <c r="AM343" i="4"/>
  <c r="AL343" i="4"/>
  <c r="AI343" i="4"/>
  <c r="AK343" i="4" s="1"/>
  <c r="AS341" i="4"/>
  <c r="AI341" i="4"/>
  <c r="AR341" i="4" s="1"/>
  <c r="AZ340" i="4"/>
  <c r="AY340" i="4"/>
  <c r="AX340" i="4"/>
  <c r="AV340" i="4"/>
  <c r="AU340" i="4"/>
  <c r="AS340" i="4"/>
  <c r="AW340" i="4" s="1"/>
  <c r="AR340" i="4"/>
  <c r="AQ340" i="4"/>
  <c r="AP340" i="4"/>
  <c r="AO340" i="4"/>
  <c r="AM340" i="4"/>
  <c r="AL340" i="4"/>
  <c r="AI340" i="4"/>
  <c r="AK340" i="4" s="1"/>
  <c r="AZ339" i="4"/>
  <c r="AY339" i="4"/>
  <c r="AX339" i="4"/>
  <c r="AV339" i="4"/>
  <c r="AU339" i="4"/>
  <c r="AS339" i="4"/>
  <c r="AT339" i="4" s="1"/>
  <c r="AR339" i="4"/>
  <c r="AQ339" i="4"/>
  <c r="AP339" i="4"/>
  <c r="AO339" i="4"/>
  <c r="AM339" i="4"/>
  <c r="AL339" i="4"/>
  <c r="AI339" i="4"/>
  <c r="AK339" i="4" s="1"/>
  <c r="AZ338" i="4"/>
  <c r="AY338" i="4"/>
  <c r="AX338" i="4"/>
  <c r="AV338" i="4"/>
  <c r="AU338" i="4"/>
  <c r="AS338" i="4"/>
  <c r="AW338" i="4" s="1"/>
  <c r="AR338" i="4"/>
  <c r="AQ338" i="4"/>
  <c r="AP338" i="4"/>
  <c r="AO338" i="4"/>
  <c r="AM338" i="4"/>
  <c r="AL338" i="4"/>
  <c r="AI338" i="4"/>
  <c r="AK338" i="4" s="1"/>
  <c r="AS337" i="4"/>
  <c r="AR337" i="4"/>
  <c r="AM337" i="4"/>
  <c r="AI337" i="4"/>
  <c r="AQ337" i="4" s="1"/>
  <c r="AA365" i="4"/>
  <c r="W365" i="4"/>
  <c r="S365" i="4"/>
  <c r="AA364" i="4"/>
  <c r="Z364" i="4"/>
  <c r="Y364" i="4"/>
  <c r="W364" i="4"/>
  <c r="V364" i="4"/>
  <c r="U364" i="4"/>
  <c r="S364" i="4"/>
  <c r="R364" i="4"/>
  <c r="Q364" i="4"/>
  <c r="O364" i="4"/>
  <c r="N364" i="4"/>
  <c r="M364" i="4"/>
  <c r="L364" i="4"/>
  <c r="J364" i="4"/>
  <c r="I364" i="4"/>
  <c r="H364" i="4"/>
  <c r="AA363" i="4"/>
  <c r="Z363" i="4"/>
  <c r="Y363" i="4"/>
  <c r="W363" i="4"/>
  <c r="V363" i="4"/>
  <c r="U363" i="4"/>
  <c r="S363" i="4"/>
  <c r="R363" i="4"/>
  <c r="Q363" i="4"/>
  <c r="O363" i="4"/>
  <c r="N363" i="4"/>
  <c r="M363" i="4"/>
  <c r="J363" i="4"/>
  <c r="I363" i="4"/>
  <c r="AA362" i="4"/>
  <c r="Z362" i="4"/>
  <c r="Y362" i="4"/>
  <c r="W362" i="4"/>
  <c r="V362" i="4"/>
  <c r="U362" i="4"/>
  <c r="S362" i="4"/>
  <c r="R362" i="4"/>
  <c r="Q362" i="4"/>
  <c r="O362" i="4"/>
  <c r="N362" i="4"/>
  <c r="M362" i="4"/>
  <c r="L362" i="4"/>
  <c r="J362" i="4"/>
  <c r="I362" i="4"/>
  <c r="H362" i="4"/>
  <c r="AA361" i="4"/>
  <c r="W361" i="4"/>
  <c r="S361" i="4"/>
  <c r="AA359" i="4"/>
  <c r="W359" i="4"/>
  <c r="S359" i="4"/>
  <c r="AA358" i="4"/>
  <c r="Z358" i="4"/>
  <c r="Y358" i="4"/>
  <c r="W358" i="4"/>
  <c r="V358" i="4"/>
  <c r="U358" i="4"/>
  <c r="S358" i="4"/>
  <c r="R358" i="4"/>
  <c r="Q358" i="4"/>
  <c r="O358" i="4"/>
  <c r="N358" i="4"/>
  <c r="M358" i="4"/>
  <c r="L358" i="4"/>
  <c r="J358" i="4"/>
  <c r="I358" i="4"/>
  <c r="H358" i="4"/>
  <c r="AA357" i="4"/>
  <c r="Z357" i="4"/>
  <c r="Y357" i="4"/>
  <c r="W357" i="4"/>
  <c r="V357" i="4"/>
  <c r="U357" i="4"/>
  <c r="S357" i="4"/>
  <c r="R357" i="4"/>
  <c r="Q357" i="4"/>
  <c r="O357" i="4"/>
  <c r="N357" i="4"/>
  <c r="M357" i="4"/>
  <c r="L357" i="4"/>
  <c r="J357" i="4"/>
  <c r="I357" i="4"/>
  <c r="H357" i="4"/>
  <c r="AA356" i="4"/>
  <c r="Z356" i="4"/>
  <c r="Y356" i="4"/>
  <c r="W356" i="4"/>
  <c r="V356" i="4"/>
  <c r="U356" i="4"/>
  <c r="S356" i="4"/>
  <c r="R356" i="4"/>
  <c r="Q356" i="4"/>
  <c r="O356" i="4"/>
  <c r="N356" i="4"/>
  <c r="M356" i="4"/>
  <c r="L356" i="4"/>
  <c r="J356" i="4"/>
  <c r="I356" i="4"/>
  <c r="H356" i="4"/>
  <c r="AA355" i="4"/>
  <c r="W355" i="4"/>
  <c r="S355" i="4"/>
  <c r="AA353" i="4"/>
  <c r="W353" i="4"/>
  <c r="S353" i="4"/>
  <c r="AA352" i="4"/>
  <c r="Z352" i="4"/>
  <c r="Y352" i="4"/>
  <c r="W352" i="4"/>
  <c r="V352" i="4"/>
  <c r="U352" i="4"/>
  <c r="S352" i="4"/>
  <c r="R352" i="4"/>
  <c r="Q352" i="4"/>
  <c r="O352" i="4"/>
  <c r="N352" i="4"/>
  <c r="M352" i="4"/>
  <c r="L352" i="4"/>
  <c r="J352" i="4"/>
  <c r="I352" i="4"/>
  <c r="H352" i="4"/>
  <c r="AA351" i="4"/>
  <c r="Z351" i="4"/>
  <c r="Y351" i="4"/>
  <c r="W351" i="4"/>
  <c r="V351" i="4"/>
  <c r="U351" i="4"/>
  <c r="S351" i="4"/>
  <c r="R351" i="4"/>
  <c r="Q351" i="4"/>
  <c r="O351" i="4"/>
  <c r="N351" i="4"/>
  <c r="M351" i="4"/>
  <c r="L351" i="4"/>
  <c r="J351" i="4"/>
  <c r="I351" i="4"/>
  <c r="H351" i="4"/>
  <c r="AA350" i="4"/>
  <c r="Z350" i="4"/>
  <c r="Y350" i="4"/>
  <c r="W350" i="4"/>
  <c r="V350" i="4"/>
  <c r="U350" i="4"/>
  <c r="S350" i="4"/>
  <c r="R350" i="4"/>
  <c r="Q350" i="4"/>
  <c r="O350" i="4"/>
  <c r="N350" i="4"/>
  <c r="M350" i="4"/>
  <c r="L350" i="4"/>
  <c r="J350" i="4"/>
  <c r="I350" i="4"/>
  <c r="H350" i="4"/>
  <c r="AA349" i="4"/>
  <c r="W349" i="4"/>
  <c r="S349" i="4"/>
  <c r="AT362" i="4" l="1"/>
  <c r="AT364" i="4"/>
  <c r="AN355" i="4"/>
  <c r="AK357" i="4"/>
  <c r="AN349" i="4"/>
  <c r="AT338" i="4"/>
  <c r="AN361" i="4"/>
  <c r="AO337" i="4"/>
  <c r="AP337" i="4" s="1"/>
  <c r="AN343" i="4"/>
  <c r="AW349" i="4"/>
  <c r="AN351" i="4"/>
  <c r="AT352" i="4"/>
  <c r="AT355" i="4"/>
  <c r="AT356" i="4"/>
  <c r="AN339" i="4"/>
  <c r="AT340" i="4"/>
  <c r="AO341" i="4"/>
  <c r="AP341" i="4" s="1"/>
  <c r="AW343" i="4"/>
  <c r="AN345" i="4"/>
  <c r="AT346" i="4"/>
  <c r="AK347" i="4"/>
  <c r="AT350" i="4"/>
  <c r="AK359" i="4"/>
  <c r="AM361" i="4"/>
  <c r="AK361" i="4" s="1"/>
  <c r="AR361" i="4"/>
  <c r="AL337" i="4"/>
  <c r="AN337" i="4" s="1"/>
  <c r="AT344" i="4"/>
  <c r="AK391" i="4"/>
  <c r="H391" i="4"/>
  <c r="L391" i="4"/>
  <c r="AK395" i="4"/>
  <c r="AK371" i="4"/>
  <c r="H395" i="4"/>
  <c r="L395" i="4"/>
  <c r="AL365" i="4"/>
  <c r="AN365" i="4" s="1"/>
  <c r="AM365" i="4"/>
  <c r="AR365" i="4"/>
  <c r="AN363" i="4"/>
  <c r="AN362" i="4"/>
  <c r="AX363" i="4"/>
  <c r="AN364" i="4"/>
  <c r="AM363" i="4"/>
  <c r="AK363" i="4" s="1"/>
  <c r="AU363" i="4"/>
  <c r="AY363" i="4"/>
  <c r="AV363" i="4"/>
  <c r="AW359" i="4"/>
  <c r="AN356" i="4"/>
  <c r="AT357" i="4"/>
  <c r="AN358" i="4"/>
  <c r="AW358" i="4"/>
  <c r="AW351" i="4"/>
  <c r="AW353" i="4"/>
  <c r="AN352" i="4"/>
  <c r="AK350" i="4"/>
  <c r="AW345" i="4"/>
  <c r="AW347" i="4"/>
  <c r="AN344" i="4"/>
  <c r="AN346" i="4"/>
  <c r="AW339" i="4"/>
  <c r="AN338" i="4"/>
  <c r="AN340" i="4"/>
  <c r="AL341" i="4"/>
  <c r="AM341" i="4"/>
  <c r="AQ341" i="4"/>
  <c r="H363" i="4"/>
  <c r="L363" i="4"/>
  <c r="AA347" i="4"/>
  <c r="W347" i="4"/>
  <c r="S347" i="4"/>
  <c r="AA346" i="4"/>
  <c r="Z346" i="4"/>
  <c r="Y346" i="4"/>
  <c r="W346" i="4"/>
  <c r="V346" i="4"/>
  <c r="U346" i="4"/>
  <c r="S346" i="4"/>
  <c r="R346" i="4"/>
  <c r="Q346" i="4"/>
  <c r="O346" i="4"/>
  <c r="N346" i="4"/>
  <c r="M346" i="4"/>
  <c r="L346" i="4"/>
  <c r="J346" i="4"/>
  <c r="I346" i="4"/>
  <c r="H346" i="4"/>
  <c r="AA345" i="4"/>
  <c r="Z345" i="4"/>
  <c r="Y345" i="4"/>
  <c r="W345" i="4"/>
  <c r="V345" i="4"/>
  <c r="U345" i="4"/>
  <c r="S345" i="4"/>
  <c r="R345" i="4"/>
  <c r="Q345" i="4"/>
  <c r="O345" i="4"/>
  <c r="N345" i="4"/>
  <c r="M345" i="4"/>
  <c r="L345" i="4"/>
  <c r="J345" i="4"/>
  <c r="I345" i="4"/>
  <c r="H345" i="4"/>
  <c r="AA344" i="4"/>
  <c r="Z344" i="4"/>
  <c r="Y344" i="4"/>
  <c r="W344" i="4"/>
  <c r="V344" i="4"/>
  <c r="U344" i="4"/>
  <c r="S344" i="4"/>
  <c r="R344" i="4"/>
  <c r="Q344" i="4"/>
  <c r="O344" i="4"/>
  <c r="N344" i="4"/>
  <c r="M344" i="4"/>
  <c r="L344" i="4"/>
  <c r="J344" i="4"/>
  <c r="I344" i="4"/>
  <c r="H344" i="4"/>
  <c r="AA343" i="4"/>
  <c r="W343" i="4"/>
  <c r="S343" i="4"/>
  <c r="AA341" i="4"/>
  <c r="W341" i="4"/>
  <c r="S341" i="4"/>
  <c r="AA340" i="4"/>
  <c r="Z340" i="4"/>
  <c r="Y340" i="4"/>
  <c r="W340" i="4"/>
  <c r="V340" i="4"/>
  <c r="U340" i="4"/>
  <c r="S340" i="4"/>
  <c r="R340" i="4"/>
  <c r="Q340" i="4"/>
  <c r="O340" i="4"/>
  <c r="N340" i="4"/>
  <c r="M340" i="4"/>
  <c r="L340" i="4"/>
  <c r="J340" i="4"/>
  <c r="I340" i="4"/>
  <c r="H340" i="4"/>
  <c r="AA339" i="4"/>
  <c r="Z339" i="4"/>
  <c r="Y339" i="4"/>
  <c r="W339" i="4"/>
  <c r="V339" i="4"/>
  <c r="U339" i="4"/>
  <c r="S339" i="4"/>
  <c r="R339" i="4"/>
  <c r="Q339" i="4"/>
  <c r="O339" i="4"/>
  <c r="N339" i="4"/>
  <c r="M339" i="4"/>
  <c r="L339" i="4"/>
  <c r="J339" i="4"/>
  <c r="I339" i="4"/>
  <c r="H339" i="4"/>
  <c r="AA338" i="4"/>
  <c r="Z338" i="4"/>
  <c r="Y338" i="4"/>
  <c r="W338" i="4"/>
  <c r="V338" i="4"/>
  <c r="U338" i="4"/>
  <c r="S338" i="4"/>
  <c r="R338" i="4"/>
  <c r="Q338" i="4"/>
  <c r="O338" i="4"/>
  <c r="N338" i="4"/>
  <c r="M338" i="4"/>
  <c r="L338" i="4"/>
  <c r="J338" i="4"/>
  <c r="I338" i="4"/>
  <c r="H338" i="4"/>
  <c r="AA337" i="4"/>
  <c r="W337" i="4"/>
  <c r="S337" i="4"/>
  <c r="AK337" i="4" l="1"/>
  <c r="L396" i="4"/>
  <c r="H396" i="4"/>
  <c r="AK365" i="4"/>
  <c r="AT363" i="4"/>
  <c r="AW363" i="4" s="1"/>
  <c r="AN341" i="4"/>
  <c r="AK341" i="4"/>
  <c r="AS335" i="4" l="1"/>
  <c r="AO335" i="4"/>
  <c r="AP335" i="4" s="1"/>
  <c r="AI335" i="4"/>
  <c r="AR335" i="4" s="1"/>
  <c r="AZ334" i="4"/>
  <c r="AY334" i="4"/>
  <c r="AX334" i="4"/>
  <c r="AV334" i="4"/>
  <c r="AU334" i="4"/>
  <c r="AS334" i="4"/>
  <c r="AW334" i="4" s="1"/>
  <c r="AR334" i="4"/>
  <c r="AQ334" i="4"/>
  <c r="AP334" i="4"/>
  <c r="AO334" i="4"/>
  <c r="AM334" i="4"/>
  <c r="AL334" i="4"/>
  <c r="AI334" i="4"/>
  <c r="AK334" i="4" s="1"/>
  <c r="AZ333" i="4"/>
  <c r="AY333" i="4"/>
  <c r="AX333" i="4"/>
  <c r="AV333" i="4"/>
  <c r="AU333" i="4"/>
  <c r="AS333" i="4"/>
  <c r="AW333" i="4" s="1"/>
  <c r="AR333" i="4"/>
  <c r="AQ333" i="4"/>
  <c r="AP333" i="4"/>
  <c r="AO333" i="4"/>
  <c r="AM333" i="4"/>
  <c r="AL333" i="4"/>
  <c r="AI333" i="4"/>
  <c r="AN333" i="4" s="1"/>
  <c r="AZ332" i="4"/>
  <c r="AY332" i="4"/>
  <c r="AX332" i="4"/>
  <c r="AV332" i="4"/>
  <c r="AU332" i="4"/>
  <c r="AS332" i="4"/>
  <c r="AW332" i="4" s="1"/>
  <c r="AR332" i="4"/>
  <c r="AQ332" i="4"/>
  <c r="AP332" i="4"/>
  <c r="AO332" i="4"/>
  <c r="AM332" i="4"/>
  <c r="AL332" i="4"/>
  <c r="AI332" i="4"/>
  <c r="AK332" i="4" s="1"/>
  <c r="AS331" i="4"/>
  <c r="AI331" i="4"/>
  <c r="AO331" i="4" s="1"/>
  <c r="AP331" i="4" s="1"/>
  <c r="AZ329" i="4"/>
  <c r="AY329" i="4"/>
  <c r="AX329" i="4"/>
  <c r="AV329" i="4"/>
  <c r="AU329" i="4"/>
  <c r="AS329" i="4"/>
  <c r="AW329" i="4" s="1"/>
  <c r="AR329" i="4"/>
  <c r="AQ329" i="4"/>
  <c r="AP329" i="4"/>
  <c r="AO329" i="4"/>
  <c r="AM329" i="4"/>
  <c r="AL329" i="4"/>
  <c r="AI329" i="4"/>
  <c r="AK329" i="4" s="1"/>
  <c r="AZ328" i="4"/>
  <c r="AY328" i="4"/>
  <c r="AX328" i="4"/>
  <c r="AV328" i="4"/>
  <c r="AU328" i="4"/>
  <c r="AS328" i="4"/>
  <c r="AW328" i="4" s="1"/>
  <c r="AR328" i="4"/>
  <c r="AQ328" i="4"/>
  <c r="AP328" i="4"/>
  <c r="AO328" i="4"/>
  <c r="AM328" i="4"/>
  <c r="AL328" i="4"/>
  <c r="AI328" i="4"/>
  <c r="AK328" i="4" s="1"/>
  <c r="AZ327" i="4"/>
  <c r="AY327" i="4"/>
  <c r="AX327" i="4"/>
  <c r="AV327" i="4"/>
  <c r="AU327" i="4"/>
  <c r="AS327" i="4"/>
  <c r="AT327" i="4" s="1"/>
  <c r="AR327" i="4"/>
  <c r="AQ327" i="4"/>
  <c r="AP327" i="4"/>
  <c r="AO327" i="4"/>
  <c r="AM327" i="4"/>
  <c r="AL327" i="4"/>
  <c r="AI327" i="4"/>
  <c r="AK327" i="4" s="1"/>
  <c r="AZ326" i="4"/>
  <c r="AY326" i="4"/>
  <c r="AX326" i="4"/>
  <c r="AV326" i="4"/>
  <c r="AU326" i="4"/>
  <c r="AS326" i="4"/>
  <c r="AW326" i="4" s="1"/>
  <c r="AR326" i="4"/>
  <c r="AQ326" i="4"/>
  <c r="AP326" i="4"/>
  <c r="AO326" i="4"/>
  <c r="AM326" i="4"/>
  <c r="AL326" i="4"/>
  <c r="AI326" i="4"/>
  <c r="AN326" i="4" s="1"/>
  <c r="AZ325" i="4"/>
  <c r="AY325" i="4"/>
  <c r="AX325" i="4"/>
  <c r="AV325" i="4"/>
  <c r="AU325" i="4"/>
  <c r="AS325" i="4"/>
  <c r="AT325" i="4" s="1"/>
  <c r="AR325" i="4"/>
  <c r="AQ325" i="4"/>
  <c r="AP325" i="4"/>
  <c r="AO325" i="4"/>
  <c r="AM325" i="4"/>
  <c r="AL325" i="4"/>
  <c r="AI325" i="4"/>
  <c r="AK325" i="4" s="1"/>
  <c r="AZ323" i="4"/>
  <c r="AY323" i="4"/>
  <c r="AX323" i="4"/>
  <c r="AV323" i="4"/>
  <c r="AU323" i="4"/>
  <c r="AS323" i="4"/>
  <c r="AT323" i="4" s="1"/>
  <c r="AR323" i="4"/>
  <c r="AQ323" i="4"/>
  <c r="AP323" i="4"/>
  <c r="AO323" i="4"/>
  <c r="AM323" i="4"/>
  <c r="AL323" i="4"/>
  <c r="AI323" i="4"/>
  <c r="AN323" i="4" s="1"/>
  <c r="AZ322" i="4"/>
  <c r="AY322" i="4"/>
  <c r="AX322" i="4"/>
  <c r="AV322" i="4"/>
  <c r="AU322" i="4"/>
  <c r="AS322" i="4"/>
  <c r="AT322" i="4" s="1"/>
  <c r="AR322" i="4"/>
  <c r="AQ322" i="4"/>
  <c r="AP322" i="4"/>
  <c r="AO322" i="4"/>
  <c r="AM322" i="4"/>
  <c r="AL322" i="4"/>
  <c r="AI322" i="4"/>
  <c r="AK322" i="4" s="1"/>
  <c r="AZ321" i="4"/>
  <c r="AY321" i="4"/>
  <c r="AX321" i="4"/>
  <c r="AV321" i="4"/>
  <c r="AU321" i="4"/>
  <c r="AS321" i="4"/>
  <c r="AT321" i="4" s="1"/>
  <c r="AR321" i="4"/>
  <c r="AQ321" i="4"/>
  <c r="AP321" i="4"/>
  <c r="AO321" i="4"/>
  <c r="AM321" i="4"/>
  <c r="AL321" i="4"/>
  <c r="AI321" i="4"/>
  <c r="AN321" i="4" s="1"/>
  <c r="AZ320" i="4"/>
  <c r="AY320" i="4"/>
  <c r="AX320" i="4"/>
  <c r="AV320" i="4"/>
  <c r="AU320" i="4"/>
  <c r="AS320" i="4"/>
  <c r="AT320" i="4" s="1"/>
  <c r="AR320" i="4"/>
  <c r="AQ320" i="4"/>
  <c r="AP320" i="4"/>
  <c r="AO320" i="4"/>
  <c r="AM320" i="4"/>
  <c r="AL320" i="4"/>
  <c r="AI320" i="4"/>
  <c r="AK320" i="4" s="1"/>
  <c r="AZ319" i="4"/>
  <c r="AY319" i="4"/>
  <c r="AX319" i="4"/>
  <c r="AV319" i="4"/>
  <c r="AU319" i="4"/>
  <c r="AS319" i="4"/>
  <c r="AT319" i="4" s="1"/>
  <c r="AR319" i="4"/>
  <c r="AQ319" i="4"/>
  <c r="AP319" i="4"/>
  <c r="AO319" i="4"/>
  <c r="AM319" i="4"/>
  <c r="AL319" i="4"/>
  <c r="AL317" i="4"/>
  <c r="AL316" i="4"/>
  <c r="AL315" i="4"/>
  <c r="AL314" i="4"/>
  <c r="AL313" i="4"/>
  <c r="AI319" i="4"/>
  <c r="AN319" i="4" s="1"/>
  <c r="AZ317" i="4"/>
  <c r="AY317" i="4"/>
  <c r="AX317" i="4"/>
  <c r="AV317" i="4"/>
  <c r="AU317" i="4"/>
  <c r="AS317" i="4"/>
  <c r="AW317" i="4" s="1"/>
  <c r="AR317" i="4"/>
  <c r="AQ317" i="4"/>
  <c r="AP317" i="4"/>
  <c r="AO317" i="4"/>
  <c r="AM317" i="4"/>
  <c r="AI317" i="4"/>
  <c r="AK317" i="4" s="1"/>
  <c r="AZ316" i="4"/>
  <c r="AY316" i="4"/>
  <c r="AX316" i="4"/>
  <c r="AV316" i="4"/>
  <c r="AU316" i="4"/>
  <c r="AS316" i="4"/>
  <c r="AW316" i="4" s="1"/>
  <c r="AR316" i="4"/>
  <c r="AQ316" i="4"/>
  <c r="AP316" i="4"/>
  <c r="AO316" i="4"/>
  <c r="AM316" i="4"/>
  <c r="AI316" i="4"/>
  <c r="AK316" i="4" s="1"/>
  <c r="AZ315" i="4"/>
  <c r="AY315" i="4"/>
  <c r="AX315" i="4"/>
  <c r="AV315" i="4"/>
  <c r="AU315" i="4"/>
  <c r="AS315" i="4"/>
  <c r="AW315" i="4" s="1"/>
  <c r="AR315" i="4"/>
  <c r="AQ315" i="4"/>
  <c r="AP315" i="4"/>
  <c r="AO315" i="4"/>
  <c r="AM315" i="4"/>
  <c r="AI315" i="4"/>
  <c r="AN315" i="4" s="1"/>
  <c r="AZ314" i="4"/>
  <c r="AY314" i="4"/>
  <c r="AX314" i="4"/>
  <c r="AV314" i="4"/>
  <c r="AU314" i="4"/>
  <c r="AS314" i="4"/>
  <c r="AW314" i="4" s="1"/>
  <c r="AR314" i="4"/>
  <c r="AQ314" i="4"/>
  <c r="AP314" i="4"/>
  <c r="AO314" i="4"/>
  <c r="AM314" i="4"/>
  <c r="AI314" i="4"/>
  <c r="AK314" i="4" s="1"/>
  <c r="AZ313" i="4"/>
  <c r="AY313" i="4"/>
  <c r="AX313" i="4"/>
  <c r="AV313" i="4"/>
  <c r="AU313" i="4"/>
  <c r="AS313" i="4"/>
  <c r="AW313" i="4" s="1"/>
  <c r="AR313" i="4"/>
  <c r="AQ313" i="4"/>
  <c r="AO313" i="4"/>
  <c r="AP313" i="4"/>
  <c r="AM313" i="4"/>
  <c r="AI313" i="4"/>
  <c r="AK313" i="4" s="1"/>
  <c r="AS311" i="4"/>
  <c r="AI311" i="4"/>
  <c r="AR311" i="4" s="1"/>
  <c r="AZ310" i="4"/>
  <c r="AY310" i="4"/>
  <c r="AX310" i="4"/>
  <c r="AV310" i="4"/>
  <c r="AU310" i="4"/>
  <c r="AS310" i="4"/>
  <c r="AW310" i="4" s="1"/>
  <c r="AR310" i="4"/>
  <c r="AQ310" i="4"/>
  <c r="AP310" i="4"/>
  <c r="AO310" i="4"/>
  <c r="AM310" i="4"/>
  <c r="AL310" i="4"/>
  <c r="AI310" i="4"/>
  <c r="AK310" i="4" s="1"/>
  <c r="AZ309" i="4"/>
  <c r="AY309" i="4"/>
  <c r="AX309" i="4"/>
  <c r="AV309" i="4"/>
  <c r="AU309" i="4"/>
  <c r="AS309" i="4"/>
  <c r="AT309" i="4" s="1"/>
  <c r="AR309" i="4"/>
  <c r="AQ309" i="4"/>
  <c r="AP309" i="4"/>
  <c r="AO309" i="4"/>
  <c r="AM309" i="4"/>
  <c r="AL309" i="4"/>
  <c r="AI309" i="4"/>
  <c r="AK309" i="4" s="1"/>
  <c r="AZ308" i="4"/>
  <c r="AY308" i="4"/>
  <c r="AX308" i="4"/>
  <c r="AV308" i="4"/>
  <c r="AU308" i="4"/>
  <c r="AS308" i="4"/>
  <c r="AW308" i="4" s="1"/>
  <c r="AR308" i="4"/>
  <c r="AQ308" i="4"/>
  <c r="AP308" i="4"/>
  <c r="AO308" i="4"/>
  <c r="AM308" i="4"/>
  <c r="AL308" i="4"/>
  <c r="AI308" i="4"/>
  <c r="AK308" i="4" s="1"/>
  <c r="AS307" i="4"/>
  <c r="AR307" i="4"/>
  <c r="AO307" i="4"/>
  <c r="AP307" i="4" s="1"/>
  <c r="AM307" i="4"/>
  <c r="AL277" i="4"/>
  <c r="AL278" i="4"/>
  <c r="AL279" i="4"/>
  <c r="AL280" i="4"/>
  <c r="AL281" i="4"/>
  <c r="AL283" i="4"/>
  <c r="AL284" i="4"/>
  <c r="AL285" i="4"/>
  <c r="AL286" i="4"/>
  <c r="AL287" i="4"/>
  <c r="AL289" i="4"/>
  <c r="AL290" i="4"/>
  <c r="AL291" i="4"/>
  <c r="AL292" i="4"/>
  <c r="AL293" i="4"/>
  <c r="AL295" i="4"/>
  <c r="AL296" i="4"/>
  <c r="AL297" i="4"/>
  <c r="AL298" i="4"/>
  <c r="AL299" i="4"/>
  <c r="AL301" i="4"/>
  <c r="AL302" i="4"/>
  <c r="AL303" i="4"/>
  <c r="AL304" i="4"/>
  <c r="AL305" i="4"/>
  <c r="AL307" i="4"/>
  <c r="AI307" i="4"/>
  <c r="AQ307" i="4" s="1"/>
  <c r="AA335" i="4"/>
  <c r="W335" i="4"/>
  <c r="S335" i="4"/>
  <c r="AA334" i="4"/>
  <c r="Z334" i="4"/>
  <c r="Y334" i="4"/>
  <c r="W334" i="4"/>
  <c r="V334" i="4"/>
  <c r="U334" i="4"/>
  <c r="S334" i="4"/>
  <c r="R334" i="4"/>
  <c r="Q334" i="4"/>
  <c r="O334" i="4"/>
  <c r="N334" i="4"/>
  <c r="M334" i="4"/>
  <c r="L334" i="4"/>
  <c r="K334" i="4"/>
  <c r="J334" i="4"/>
  <c r="I334" i="4"/>
  <c r="H334" i="4"/>
  <c r="AA333" i="4"/>
  <c r="Z333" i="4"/>
  <c r="Y333" i="4"/>
  <c r="W333" i="4"/>
  <c r="V333" i="4"/>
  <c r="U333" i="4"/>
  <c r="S333" i="4"/>
  <c r="R333" i="4"/>
  <c r="Q333" i="4"/>
  <c r="O333" i="4"/>
  <c r="N333" i="4"/>
  <c r="M333" i="4"/>
  <c r="L333" i="4"/>
  <c r="K333" i="4"/>
  <c r="J333" i="4"/>
  <c r="I333" i="4"/>
  <c r="H333" i="4"/>
  <c r="AA332" i="4"/>
  <c r="Z332" i="4"/>
  <c r="Y332" i="4"/>
  <c r="W332" i="4"/>
  <c r="V332" i="4"/>
  <c r="U332" i="4"/>
  <c r="S332" i="4"/>
  <c r="R332" i="4"/>
  <c r="Q332" i="4"/>
  <c r="O332" i="4"/>
  <c r="N332" i="4"/>
  <c r="M332" i="4"/>
  <c r="L332" i="4"/>
  <c r="K332" i="4"/>
  <c r="J332" i="4"/>
  <c r="I332" i="4"/>
  <c r="H332" i="4"/>
  <c r="AA331" i="4"/>
  <c r="W331" i="4"/>
  <c r="S331" i="4"/>
  <c r="AA329" i="4"/>
  <c r="W329" i="4"/>
  <c r="S329" i="4"/>
  <c r="AA328" i="4"/>
  <c r="Z328" i="4"/>
  <c r="Y328" i="4"/>
  <c r="W328" i="4"/>
  <c r="V328" i="4"/>
  <c r="U328" i="4"/>
  <c r="S328" i="4"/>
  <c r="R328" i="4"/>
  <c r="Q328" i="4"/>
  <c r="O328" i="4"/>
  <c r="N328" i="4"/>
  <c r="M328" i="4"/>
  <c r="L328" i="4"/>
  <c r="K328" i="4"/>
  <c r="J328" i="4"/>
  <c r="I328" i="4"/>
  <c r="H328" i="4"/>
  <c r="AA327" i="4"/>
  <c r="Z327" i="4"/>
  <c r="Y327" i="4"/>
  <c r="W327" i="4"/>
  <c r="V327" i="4"/>
  <c r="U327" i="4"/>
  <c r="S327" i="4"/>
  <c r="R327" i="4"/>
  <c r="Q327" i="4"/>
  <c r="O327" i="4"/>
  <c r="N327" i="4"/>
  <c r="M327" i="4"/>
  <c r="L327" i="4"/>
  <c r="K327" i="4"/>
  <c r="J327" i="4"/>
  <c r="I327" i="4"/>
  <c r="H327" i="4"/>
  <c r="AA326" i="4"/>
  <c r="Z326" i="4"/>
  <c r="Y326" i="4"/>
  <c r="W326" i="4"/>
  <c r="V326" i="4"/>
  <c r="U326" i="4"/>
  <c r="S326" i="4"/>
  <c r="R326" i="4"/>
  <c r="Q326" i="4"/>
  <c r="O326" i="4"/>
  <c r="N326" i="4"/>
  <c r="M326" i="4"/>
  <c r="L326" i="4"/>
  <c r="K326" i="4"/>
  <c r="J326" i="4"/>
  <c r="I326" i="4"/>
  <c r="H326" i="4"/>
  <c r="AA325" i="4"/>
  <c r="W325" i="4"/>
  <c r="S325" i="4"/>
  <c r="AA323" i="4"/>
  <c r="W323" i="4"/>
  <c r="S323" i="4"/>
  <c r="AA322" i="4"/>
  <c r="Z322" i="4"/>
  <c r="Y322" i="4"/>
  <c r="W322" i="4"/>
  <c r="V322" i="4"/>
  <c r="U322" i="4"/>
  <c r="S322" i="4"/>
  <c r="R322" i="4"/>
  <c r="Q322" i="4"/>
  <c r="O322" i="4"/>
  <c r="N322" i="4"/>
  <c r="M322" i="4"/>
  <c r="L322" i="4"/>
  <c r="K322" i="4"/>
  <c r="J322" i="4"/>
  <c r="I322" i="4"/>
  <c r="H322" i="4"/>
  <c r="AA321" i="4"/>
  <c r="Z321" i="4"/>
  <c r="Y321" i="4"/>
  <c r="W321" i="4"/>
  <c r="V321" i="4"/>
  <c r="U321" i="4"/>
  <c r="S321" i="4"/>
  <c r="R321" i="4"/>
  <c r="Q321" i="4"/>
  <c r="O321" i="4"/>
  <c r="N321" i="4"/>
  <c r="M321" i="4"/>
  <c r="L321" i="4"/>
  <c r="K321" i="4"/>
  <c r="J321" i="4"/>
  <c r="I321" i="4"/>
  <c r="H321" i="4"/>
  <c r="AA320" i="4"/>
  <c r="Z320" i="4"/>
  <c r="Y320" i="4"/>
  <c r="W320" i="4"/>
  <c r="V320" i="4"/>
  <c r="U320" i="4"/>
  <c r="S320" i="4"/>
  <c r="R320" i="4"/>
  <c r="Q320" i="4"/>
  <c r="O320" i="4"/>
  <c r="N320" i="4"/>
  <c r="M320" i="4"/>
  <c r="L320" i="4"/>
  <c r="K320" i="4"/>
  <c r="J320" i="4"/>
  <c r="I320" i="4"/>
  <c r="H320" i="4"/>
  <c r="AA319" i="4"/>
  <c r="W319" i="4"/>
  <c r="S319" i="4"/>
  <c r="AA317" i="4"/>
  <c r="W317" i="4"/>
  <c r="S317" i="4"/>
  <c r="AA316" i="4"/>
  <c r="Z316" i="4"/>
  <c r="Y316" i="4"/>
  <c r="W316" i="4"/>
  <c r="V316" i="4"/>
  <c r="U316" i="4"/>
  <c r="S316" i="4"/>
  <c r="R316" i="4"/>
  <c r="Q316" i="4"/>
  <c r="O316" i="4"/>
  <c r="N316" i="4"/>
  <c r="M316" i="4"/>
  <c r="L316" i="4"/>
  <c r="K316" i="4"/>
  <c r="J316" i="4"/>
  <c r="I316" i="4"/>
  <c r="H316" i="4"/>
  <c r="AA315" i="4"/>
  <c r="Z315" i="4"/>
  <c r="Y315" i="4"/>
  <c r="W315" i="4"/>
  <c r="V315" i="4"/>
  <c r="U315" i="4"/>
  <c r="S315" i="4"/>
  <c r="R315" i="4"/>
  <c r="Q315" i="4"/>
  <c r="O315" i="4"/>
  <c r="N315" i="4"/>
  <c r="M315" i="4"/>
  <c r="L315" i="4"/>
  <c r="K315" i="4"/>
  <c r="J315" i="4"/>
  <c r="I315" i="4"/>
  <c r="H315" i="4"/>
  <c r="AA314" i="4"/>
  <c r="Z314" i="4"/>
  <c r="Y314" i="4"/>
  <c r="W314" i="4"/>
  <c r="V314" i="4"/>
  <c r="U314" i="4"/>
  <c r="S314" i="4"/>
  <c r="R314" i="4"/>
  <c r="Q314" i="4"/>
  <c r="O314" i="4"/>
  <c r="N314" i="4"/>
  <c r="M314" i="4"/>
  <c r="L314" i="4"/>
  <c r="K314" i="4"/>
  <c r="J314" i="4"/>
  <c r="I314" i="4"/>
  <c r="H314" i="4"/>
  <c r="AA313" i="4"/>
  <c r="W313" i="4"/>
  <c r="S313" i="4"/>
  <c r="AT313" i="4" l="1"/>
  <c r="AT332" i="4"/>
  <c r="AT328" i="4"/>
  <c r="AT334" i="4"/>
  <c r="AT316" i="4"/>
  <c r="AN309" i="4"/>
  <c r="AN327" i="4"/>
  <c r="AT310" i="4"/>
  <c r="AK323" i="4"/>
  <c r="AK333" i="4"/>
  <c r="AN313" i="4"/>
  <c r="AN317" i="4"/>
  <c r="AN307" i="4"/>
  <c r="AT314" i="4"/>
  <c r="AK315" i="4"/>
  <c r="AK319" i="4"/>
  <c r="AN325" i="4"/>
  <c r="AN329" i="4"/>
  <c r="AO311" i="4"/>
  <c r="AP311" i="4" s="1"/>
  <c r="AW319" i="4"/>
  <c r="AK321" i="4"/>
  <c r="AW325" i="4"/>
  <c r="AL331" i="4"/>
  <c r="AQ331" i="4"/>
  <c r="AT308" i="4"/>
  <c r="AT326" i="4"/>
  <c r="AM331" i="4"/>
  <c r="AR331" i="4"/>
  <c r="AN332" i="4"/>
  <c r="AT333" i="4"/>
  <c r="AN334" i="4"/>
  <c r="AL335" i="4"/>
  <c r="AN335" i="4" s="1"/>
  <c r="AM335" i="4"/>
  <c r="AQ335" i="4"/>
  <c r="AW327" i="4"/>
  <c r="AN328" i="4"/>
  <c r="AT329" i="4"/>
  <c r="AK326" i="4"/>
  <c r="AW321" i="4"/>
  <c r="AW323" i="4"/>
  <c r="AN320" i="4"/>
  <c r="AN322" i="4"/>
  <c r="AW320" i="4"/>
  <c r="AW322" i="4"/>
  <c r="AT315" i="4"/>
  <c r="AN316" i="4"/>
  <c r="AT317" i="4"/>
  <c r="AN314" i="4"/>
  <c r="AW309" i="4"/>
  <c r="AN308" i="4"/>
  <c r="AN310" i="4"/>
  <c r="AL311" i="4"/>
  <c r="AM311" i="4"/>
  <c r="AQ311" i="4"/>
  <c r="AN311" i="4"/>
  <c r="AK307" i="4"/>
  <c r="AA311" i="4"/>
  <c r="W311" i="4"/>
  <c r="S311" i="4"/>
  <c r="AA310" i="4"/>
  <c r="Z310" i="4"/>
  <c r="Y310" i="4"/>
  <c r="W310" i="4"/>
  <c r="V310" i="4"/>
  <c r="U310" i="4"/>
  <c r="S310" i="4"/>
  <c r="R310" i="4"/>
  <c r="Q310" i="4"/>
  <c r="O310" i="4"/>
  <c r="N310" i="4"/>
  <c r="M310" i="4"/>
  <c r="L310" i="4"/>
  <c r="K310" i="4"/>
  <c r="J310" i="4"/>
  <c r="I310" i="4"/>
  <c r="H310" i="4"/>
  <c r="AA309" i="4"/>
  <c r="Z309" i="4"/>
  <c r="Y309" i="4"/>
  <c r="W309" i="4"/>
  <c r="V309" i="4"/>
  <c r="U309" i="4"/>
  <c r="S309" i="4"/>
  <c r="R309" i="4"/>
  <c r="Q309" i="4"/>
  <c r="O309" i="4"/>
  <c r="N309" i="4"/>
  <c r="M309" i="4"/>
  <c r="L309" i="4"/>
  <c r="K309" i="4"/>
  <c r="J309" i="4"/>
  <c r="I309" i="4"/>
  <c r="H309" i="4"/>
  <c r="AA308" i="4"/>
  <c r="Z308" i="4"/>
  <c r="Y308" i="4"/>
  <c r="W308" i="4"/>
  <c r="V308" i="4"/>
  <c r="U308" i="4"/>
  <c r="S308" i="4"/>
  <c r="R308" i="4"/>
  <c r="Q308" i="4"/>
  <c r="O308" i="4"/>
  <c r="N308" i="4"/>
  <c r="M308" i="4"/>
  <c r="L308" i="4"/>
  <c r="K308" i="4"/>
  <c r="J308" i="4"/>
  <c r="I308" i="4"/>
  <c r="H308" i="4"/>
  <c r="AA307" i="4"/>
  <c r="W307" i="4"/>
  <c r="S307" i="4"/>
  <c r="AK331" i="4" l="1"/>
  <c r="AN331" i="4"/>
  <c r="AK335" i="4"/>
  <c r="AK311" i="4"/>
  <c r="AS305" i="4"/>
  <c r="AO305" i="4"/>
  <c r="AP305" i="4" s="1"/>
  <c r="AI305" i="4"/>
  <c r="AR305" i="4" s="1"/>
  <c r="AZ304" i="4"/>
  <c r="AY304" i="4"/>
  <c r="AX304" i="4"/>
  <c r="AV304" i="4"/>
  <c r="AU304" i="4"/>
  <c r="AS304" i="4"/>
  <c r="AW304" i="4" s="1"/>
  <c r="AR304" i="4"/>
  <c r="AQ304" i="4"/>
  <c r="AP304" i="4"/>
  <c r="AO304" i="4"/>
  <c r="AM304" i="4"/>
  <c r="AI304" i="4"/>
  <c r="AK304" i="4" s="1"/>
  <c r="AZ303" i="4"/>
  <c r="AY303" i="4"/>
  <c r="AX303" i="4"/>
  <c r="AV303" i="4"/>
  <c r="AU303" i="4"/>
  <c r="AS303" i="4"/>
  <c r="AT303" i="4" s="1"/>
  <c r="AR303" i="4"/>
  <c r="AQ303" i="4"/>
  <c r="AP303" i="4"/>
  <c r="AO303" i="4"/>
  <c r="AN303" i="4"/>
  <c r="AM303" i="4"/>
  <c r="AI303" i="4"/>
  <c r="AK303" i="4" s="1"/>
  <c r="AS302" i="4"/>
  <c r="AI302" i="4"/>
  <c r="AZ301" i="4"/>
  <c r="AY301" i="4"/>
  <c r="AX301" i="4"/>
  <c r="AV301" i="4"/>
  <c r="AU301" i="4"/>
  <c r="AS301" i="4"/>
  <c r="AI301" i="4"/>
  <c r="AZ299" i="4"/>
  <c r="AY299" i="4"/>
  <c r="AX299" i="4"/>
  <c r="AV299" i="4"/>
  <c r="AU299" i="4"/>
  <c r="AS299" i="4"/>
  <c r="AT299" i="4" s="1"/>
  <c r="AR299" i="4"/>
  <c r="AQ299" i="4"/>
  <c r="AP299" i="4"/>
  <c r="AO299" i="4"/>
  <c r="AM299" i="4"/>
  <c r="AI299" i="4"/>
  <c r="AN299" i="4" s="1"/>
  <c r="AZ298" i="4"/>
  <c r="AY298" i="4"/>
  <c r="AX298" i="4"/>
  <c r="AV298" i="4"/>
  <c r="AU298" i="4"/>
  <c r="AS298" i="4"/>
  <c r="AW298" i="4" s="1"/>
  <c r="AR298" i="4"/>
  <c r="AQ298" i="4"/>
  <c r="AP298" i="4"/>
  <c r="AO298" i="4"/>
  <c r="AM298" i="4"/>
  <c r="AI298" i="4"/>
  <c r="AK298" i="4" s="1"/>
  <c r="AZ297" i="4"/>
  <c r="AY297" i="4"/>
  <c r="AX297" i="4"/>
  <c r="AV297" i="4"/>
  <c r="AU297" i="4"/>
  <c r="AS297" i="4"/>
  <c r="AT297" i="4" s="1"/>
  <c r="AR297" i="4"/>
  <c r="AQ297" i="4"/>
  <c r="AP297" i="4"/>
  <c r="AO297" i="4"/>
  <c r="AM297" i="4"/>
  <c r="AI297" i="4"/>
  <c r="AN297" i="4" s="1"/>
  <c r="AZ296" i="4"/>
  <c r="AY296" i="4"/>
  <c r="AX296" i="4"/>
  <c r="AV296" i="4"/>
  <c r="AU296" i="4"/>
  <c r="AS296" i="4"/>
  <c r="AW296" i="4" s="1"/>
  <c r="AR296" i="4"/>
  <c r="AQ296" i="4"/>
  <c r="AP296" i="4"/>
  <c r="AO296" i="4"/>
  <c r="AM296" i="4"/>
  <c r="AI296" i="4"/>
  <c r="AK296" i="4" s="1"/>
  <c r="AZ295" i="4"/>
  <c r="AY295" i="4"/>
  <c r="AX295" i="4"/>
  <c r="AV295" i="4"/>
  <c r="AU295" i="4"/>
  <c r="AS295" i="4"/>
  <c r="AW295" i="4" s="1"/>
  <c r="AR295" i="4"/>
  <c r="AQ295" i="4"/>
  <c r="AP295" i="4"/>
  <c r="AO295" i="4"/>
  <c r="AM295" i="4"/>
  <c r="AI295" i="4"/>
  <c r="AN295" i="4" s="1"/>
  <c r="AS293" i="4"/>
  <c r="AZ293" i="4" s="1"/>
  <c r="AI293" i="4"/>
  <c r="AZ292" i="4"/>
  <c r="AY292" i="4"/>
  <c r="AX292" i="4"/>
  <c r="AV292" i="4"/>
  <c r="AU292" i="4"/>
  <c r="AS292" i="4"/>
  <c r="AW292" i="4" s="1"/>
  <c r="AR292" i="4"/>
  <c r="AQ292" i="4"/>
  <c r="AP292" i="4"/>
  <c r="AO292" i="4"/>
  <c r="AM292" i="4"/>
  <c r="AI292" i="4"/>
  <c r="AK292" i="4" s="1"/>
  <c r="AS291" i="4"/>
  <c r="AO291" i="4"/>
  <c r="AP291" i="4" s="1"/>
  <c r="AI291" i="4"/>
  <c r="AR291" i="4" s="1"/>
  <c r="AZ290" i="4"/>
  <c r="AY290" i="4"/>
  <c r="AX290" i="4"/>
  <c r="AV290" i="4"/>
  <c r="AU290" i="4"/>
  <c r="AS290" i="4"/>
  <c r="AW290" i="4" s="1"/>
  <c r="AR290" i="4"/>
  <c r="AQ290" i="4"/>
  <c r="AP290" i="4"/>
  <c r="AO290" i="4"/>
  <c r="AM290" i="4"/>
  <c r="AI290" i="4"/>
  <c r="AN290" i="4" s="1"/>
  <c r="AS289" i="4"/>
  <c r="AR289" i="4"/>
  <c r="AQ289" i="4"/>
  <c r="AO289" i="4"/>
  <c r="AP289" i="4" s="1"/>
  <c r="AM289" i="4"/>
  <c r="AI289" i="4"/>
  <c r="AZ286" i="4"/>
  <c r="AY286" i="4"/>
  <c r="AX286" i="4"/>
  <c r="AV286" i="4"/>
  <c r="AU286" i="4"/>
  <c r="AZ285" i="4"/>
  <c r="AY285" i="4"/>
  <c r="AX285" i="4"/>
  <c r="AV285" i="4"/>
  <c r="AU285" i="4"/>
  <c r="AZ284" i="4"/>
  <c r="AY284" i="4"/>
  <c r="AX284" i="4"/>
  <c r="AV284" i="4"/>
  <c r="AU284" i="4"/>
  <c r="AR287" i="4"/>
  <c r="AZ283" i="4"/>
  <c r="AY283" i="4"/>
  <c r="AX283" i="4"/>
  <c r="AV283" i="4"/>
  <c r="AU283" i="4"/>
  <c r="AS287" i="4"/>
  <c r="AO287" i="4"/>
  <c r="AP287" i="4" s="1"/>
  <c r="AI287" i="4"/>
  <c r="AS286" i="4"/>
  <c r="AT286" i="4" s="1"/>
  <c r="AR286" i="4"/>
  <c r="AQ286" i="4"/>
  <c r="AP286" i="4"/>
  <c r="AO286" i="4"/>
  <c r="AM286" i="4"/>
  <c r="AI286" i="4"/>
  <c r="AK286" i="4" s="1"/>
  <c r="AS285" i="4"/>
  <c r="AT285" i="4" s="1"/>
  <c r="AR285" i="4"/>
  <c r="AQ285" i="4"/>
  <c r="AP285" i="4"/>
  <c r="AO285" i="4"/>
  <c r="AM285" i="4"/>
  <c r="AK285" i="4"/>
  <c r="AI285" i="4"/>
  <c r="AN285" i="4" s="1"/>
  <c r="AS284" i="4"/>
  <c r="AW284" i="4" s="1"/>
  <c r="AR284" i="4"/>
  <c r="AQ284" i="4"/>
  <c r="AP284" i="4"/>
  <c r="AO284" i="4"/>
  <c r="AM284" i="4"/>
  <c r="AI284" i="4"/>
  <c r="AK284" i="4" s="1"/>
  <c r="AS283" i="4"/>
  <c r="AI283" i="4"/>
  <c r="AS281" i="4"/>
  <c r="AI281" i="4"/>
  <c r="AR281" i="4" s="1"/>
  <c r="AZ280" i="4"/>
  <c r="AY280" i="4"/>
  <c r="AX280" i="4"/>
  <c r="AV280" i="4"/>
  <c r="AU280" i="4"/>
  <c r="AS280" i="4"/>
  <c r="AW280" i="4" s="1"/>
  <c r="AR280" i="4"/>
  <c r="AQ280" i="4"/>
  <c r="AP280" i="4"/>
  <c r="AO280" i="4"/>
  <c r="AM280" i="4"/>
  <c r="AI280" i="4"/>
  <c r="AK280" i="4" s="1"/>
  <c r="AZ279" i="4"/>
  <c r="AY279" i="4"/>
  <c r="AX279" i="4"/>
  <c r="AV279" i="4"/>
  <c r="AU279" i="4"/>
  <c r="AS279" i="4"/>
  <c r="AT279" i="4" s="1"/>
  <c r="AR279" i="4"/>
  <c r="AQ279" i="4"/>
  <c r="AP279" i="4"/>
  <c r="AO279" i="4"/>
  <c r="AM279" i="4"/>
  <c r="AI279" i="4"/>
  <c r="AK279" i="4" s="1"/>
  <c r="AS278" i="4"/>
  <c r="AI278" i="4"/>
  <c r="AS277" i="4"/>
  <c r="AI277" i="4"/>
  <c r="BA52" i="4" l="1"/>
  <c r="AT290" i="4"/>
  <c r="AT292" i="4"/>
  <c r="AT295" i="4"/>
  <c r="AK299" i="4"/>
  <c r="AT298" i="4"/>
  <c r="AK295" i="4"/>
  <c r="AT284" i="4"/>
  <c r="AK297" i="4"/>
  <c r="AT304" i="4"/>
  <c r="AZ277" i="4"/>
  <c r="AW286" i="4"/>
  <c r="AW285" i="4"/>
  <c r="AT296" i="4"/>
  <c r="AW301" i="4"/>
  <c r="AW283" i="4"/>
  <c r="AW303" i="4"/>
  <c r="AN302" i="4"/>
  <c r="AR302" i="4"/>
  <c r="AN304" i="4"/>
  <c r="AN305" i="4"/>
  <c r="AM302" i="4"/>
  <c r="AK302" i="4" s="1"/>
  <c r="AQ302" i="4"/>
  <c r="AO302" i="4"/>
  <c r="AP302" i="4" s="1"/>
  <c r="AM305" i="4"/>
  <c r="AQ305" i="4"/>
  <c r="AT301" i="4"/>
  <c r="AN289" i="4"/>
  <c r="AW299" i="4"/>
  <c r="AN298" i="4"/>
  <c r="AW297" i="4"/>
  <c r="AN296" i="4"/>
  <c r="AN292" i="4"/>
  <c r="AX293" i="4"/>
  <c r="AK290" i="4"/>
  <c r="AM291" i="4"/>
  <c r="AK291" i="4" s="1"/>
  <c r="AQ291" i="4"/>
  <c r="AU293" i="4"/>
  <c r="AW293" i="4" s="1"/>
  <c r="AY293" i="4"/>
  <c r="AN291" i="4"/>
  <c r="AV293" i="4"/>
  <c r="AT293" i="4" s="1"/>
  <c r="AK289" i="4"/>
  <c r="AN284" i="4"/>
  <c r="AN286" i="4"/>
  <c r="AN287" i="4"/>
  <c r="AM287" i="4"/>
  <c r="AQ287" i="4"/>
  <c r="AT283" i="4"/>
  <c r="AN279" i="4"/>
  <c r="AT280" i="4"/>
  <c r="AN281" i="4"/>
  <c r="AO281" i="4"/>
  <c r="AP281" i="4" s="1"/>
  <c r="AX277" i="4"/>
  <c r="AU277" i="4"/>
  <c r="AW277" i="4" s="1"/>
  <c r="AY277" i="4"/>
  <c r="AV277" i="4"/>
  <c r="AT277" i="4" s="1"/>
  <c r="AW279" i="4"/>
  <c r="AN280" i="4"/>
  <c r="AM278" i="4"/>
  <c r="AK278" i="4" s="1"/>
  <c r="AQ278" i="4"/>
  <c r="AN278" i="4"/>
  <c r="AR278" i="4"/>
  <c r="AO278" i="4"/>
  <c r="AP278" i="4" s="1"/>
  <c r="AM281" i="4"/>
  <c r="AQ281" i="4"/>
  <c r="AA305" i="4"/>
  <c r="W305" i="4"/>
  <c r="S305" i="4"/>
  <c r="AA304" i="4"/>
  <c r="Z304" i="4"/>
  <c r="Y304" i="4"/>
  <c r="W304" i="4"/>
  <c r="V304" i="4"/>
  <c r="U304" i="4"/>
  <c r="S304" i="4"/>
  <c r="R304" i="4"/>
  <c r="Q304" i="4"/>
  <c r="O304" i="4"/>
  <c r="N304" i="4"/>
  <c r="M304" i="4"/>
  <c r="L304" i="4"/>
  <c r="K304" i="4"/>
  <c r="J304" i="4"/>
  <c r="I304" i="4"/>
  <c r="H304" i="4"/>
  <c r="AA303" i="4"/>
  <c r="Z303" i="4"/>
  <c r="Y303" i="4"/>
  <c r="W303" i="4"/>
  <c r="V303" i="4"/>
  <c r="U303" i="4"/>
  <c r="S303" i="4"/>
  <c r="R303" i="4"/>
  <c r="Q303" i="4"/>
  <c r="O303" i="4"/>
  <c r="N303" i="4"/>
  <c r="M303" i="4"/>
  <c r="L303" i="4"/>
  <c r="K303" i="4"/>
  <c r="J303" i="4"/>
  <c r="I303" i="4"/>
  <c r="H303" i="4"/>
  <c r="AA302" i="4"/>
  <c r="W302" i="4"/>
  <c r="S302" i="4"/>
  <c r="AA301" i="4"/>
  <c r="W301" i="4"/>
  <c r="S301" i="4"/>
  <c r="AA299" i="4"/>
  <c r="W299" i="4"/>
  <c r="S299" i="4"/>
  <c r="AA298" i="4"/>
  <c r="Z298" i="4"/>
  <c r="Y298" i="4"/>
  <c r="W298" i="4"/>
  <c r="V298" i="4"/>
  <c r="U298" i="4"/>
  <c r="S298" i="4"/>
  <c r="R298" i="4"/>
  <c r="Q298" i="4"/>
  <c r="O298" i="4"/>
  <c r="N298" i="4"/>
  <c r="M298" i="4"/>
  <c r="L298" i="4"/>
  <c r="K298" i="4"/>
  <c r="J298" i="4"/>
  <c r="I298" i="4"/>
  <c r="H298" i="4"/>
  <c r="AA297" i="4"/>
  <c r="Z297" i="4"/>
  <c r="Y297" i="4"/>
  <c r="W297" i="4"/>
  <c r="V297" i="4"/>
  <c r="U297" i="4"/>
  <c r="S297" i="4"/>
  <c r="R297" i="4"/>
  <c r="Q297" i="4"/>
  <c r="O297" i="4"/>
  <c r="N297" i="4"/>
  <c r="M297" i="4"/>
  <c r="L297" i="4"/>
  <c r="K297" i="4"/>
  <c r="J297" i="4"/>
  <c r="I297" i="4"/>
  <c r="H297" i="4"/>
  <c r="AA296" i="4"/>
  <c r="Z296" i="4"/>
  <c r="Y296" i="4"/>
  <c r="W296" i="4"/>
  <c r="V296" i="4"/>
  <c r="U296" i="4"/>
  <c r="S296" i="4"/>
  <c r="R296" i="4"/>
  <c r="Q296" i="4"/>
  <c r="O296" i="4"/>
  <c r="N296" i="4"/>
  <c r="M296" i="4"/>
  <c r="L296" i="4"/>
  <c r="K296" i="4"/>
  <c r="J296" i="4"/>
  <c r="I296" i="4"/>
  <c r="H296" i="4"/>
  <c r="AA295" i="4"/>
  <c r="W295" i="4"/>
  <c r="S295" i="4"/>
  <c r="AA293" i="4"/>
  <c r="W293" i="4"/>
  <c r="S293" i="4"/>
  <c r="AA292" i="4"/>
  <c r="Z292" i="4"/>
  <c r="Y292" i="4"/>
  <c r="W292" i="4"/>
  <c r="V292" i="4"/>
  <c r="U292" i="4"/>
  <c r="S292" i="4"/>
  <c r="R292" i="4"/>
  <c r="Q292" i="4"/>
  <c r="O292" i="4"/>
  <c r="N292" i="4"/>
  <c r="M292" i="4"/>
  <c r="L292" i="4"/>
  <c r="K292" i="4"/>
  <c r="J292" i="4"/>
  <c r="I292" i="4"/>
  <c r="H292" i="4"/>
  <c r="AA291" i="4"/>
  <c r="W291" i="4"/>
  <c r="S291" i="4"/>
  <c r="AA290" i="4"/>
  <c r="Z290" i="4"/>
  <c r="Y290" i="4"/>
  <c r="W290" i="4"/>
  <c r="V290" i="4"/>
  <c r="U290" i="4"/>
  <c r="S290" i="4"/>
  <c r="R290" i="4"/>
  <c r="Q290" i="4"/>
  <c r="O290" i="4"/>
  <c r="N290" i="4"/>
  <c r="M290" i="4"/>
  <c r="L290" i="4"/>
  <c r="K290" i="4"/>
  <c r="J290" i="4"/>
  <c r="I290" i="4"/>
  <c r="H290" i="4"/>
  <c r="AA289" i="4"/>
  <c r="W289" i="4"/>
  <c r="S289" i="4"/>
  <c r="AA287" i="4"/>
  <c r="W287" i="4"/>
  <c r="S287" i="4"/>
  <c r="AA286" i="4"/>
  <c r="Z286" i="4"/>
  <c r="Y286" i="4"/>
  <c r="W286" i="4"/>
  <c r="V286" i="4"/>
  <c r="U286" i="4"/>
  <c r="S286" i="4"/>
  <c r="R286" i="4"/>
  <c r="Q286" i="4"/>
  <c r="O286" i="4"/>
  <c r="N286" i="4"/>
  <c r="M286" i="4"/>
  <c r="L286" i="4"/>
  <c r="K286" i="4"/>
  <c r="J286" i="4"/>
  <c r="I286" i="4"/>
  <c r="H286" i="4"/>
  <c r="AA285" i="4"/>
  <c r="Z285" i="4"/>
  <c r="Y285" i="4"/>
  <c r="W285" i="4"/>
  <c r="V285" i="4"/>
  <c r="U285" i="4"/>
  <c r="S285" i="4"/>
  <c r="R285" i="4"/>
  <c r="Q285" i="4"/>
  <c r="O285" i="4"/>
  <c r="N285" i="4"/>
  <c r="M285" i="4"/>
  <c r="L285" i="4"/>
  <c r="K285" i="4"/>
  <c r="J285" i="4"/>
  <c r="I285" i="4"/>
  <c r="H285" i="4"/>
  <c r="AA284" i="4"/>
  <c r="Z284" i="4"/>
  <c r="Y284" i="4"/>
  <c r="W284" i="4"/>
  <c r="V284" i="4"/>
  <c r="U284" i="4"/>
  <c r="S284" i="4"/>
  <c r="R284" i="4"/>
  <c r="Q284" i="4"/>
  <c r="O284" i="4"/>
  <c r="N284" i="4"/>
  <c r="M284" i="4"/>
  <c r="L284" i="4"/>
  <c r="K284" i="4"/>
  <c r="J284" i="4"/>
  <c r="I284" i="4"/>
  <c r="H284" i="4"/>
  <c r="AA283" i="4"/>
  <c r="W283" i="4"/>
  <c r="S283" i="4"/>
  <c r="AA281" i="4"/>
  <c r="W281" i="4"/>
  <c r="S281" i="4"/>
  <c r="AA280" i="4"/>
  <c r="Z280" i="4"/>
  <c r="Y280" i="4"/>
  <c r="W280" i="4"/>
  <c r="V280" i="4"/>
  <c r="U280" i="4"/>
  <c r="S280" i="4"/>
  <c r="R280" i="4"/>
  <c r="Q280" i="4"/>
  <c r="O280" i="4"/>
  <c r="N280" i="4"/>
  <c r="M280" i="4"/>
  <c r="L280" i="4"/>
  <c r="K280" i="4"/>
  <c r="J280" i="4"/>
  <c r="I280" i="4"/>
  <c r="H280" i="4"/>
  <c r="AA279" i="4"/>
  <c r="Z279" i="4"/>
  <c r="Y279" i="4"/>
  <c r="W279" i="4"/>
  <c r="V279" i="4"/>
  <c r="U279" i="4"/>
  <c r="S279" i="4"/>
  <c r="R279" i="4"/>
  <c r="Q279" i="4"/>
  <c r="O279" i="4"/>
  <c r="N279" i="4"/>
  <c r="M279" i="4"/>
  <c r="L279" i="4"/>
  <c r="K279" i="4"/>
  <c r="J279" i="4"/>
  <c r="I279" i="4"/>
  <c r="H279" i="4"/>
  <c r="AA278" i="4"/>
  <c r="W278" i="4"/>
  <c r="S278" i="4"/>
  <c r="AA277" i="4"/>
  <c r="W277" i="4"/>
  <c r="S277" i="4"/>
  <c r="AK305" i="4" l="1"/>
  <c r="AK287" i="4"/>
  <c r="AK281" i="4"/>
  <c r="BT42" i="4" l="1"/>
  <c r="BS42" i="4"/>
  <c r="BR42" i="4"/>
  <c r="BT40" i="4"/>
  <c r="BS40" i="4"/>
  <c r="BR40" i="4"/>
  <c r="BK42" i="4"/>
  <c r="BI42" i="4"/>
  <c r="BJ42" i="4" s="1"/>
  <c r="BK40" i="4"/>
  <c r="BI40" i="4"/>
  <c r="BJ40" i="4" s="1"/>
  <c r="BK36" i="4"/>
  <c r="BI36" i="4"/>
  <c r="BJ36" i="4" s="1"/>
  <c r="BK35" i="4"/>
  <c r="BI35" i="4"/>
  <c r="BJ35" i="4" s="1"/>
  <c r="BK34" i="4"/>
  <c r="BI34" i="4"/>
  <c r="BJ34" i="4" s="1"/>
  <c r="BT36" i="4"/>
  <c r="BT35" i="4"/>
  <c r="BT34" i="4"/>
  <c r="BS36" i="4"/>
  <c r="BS35" i="4"/>
  <c r="BS34" i="4"/>
  <c r="BR36" i="4"/>
  <c r="BR35" i="4"/>
  <c r="BR34" i="4"/>
  <c r="BK30" i="4"/>
  <c r="BI30" i="4"/>
  <c r="BJ30" i="4" s="1"/>
  <c r="BK29" i="4"/>
  <c r="BI29" i="4"/>
  <c r="BJ29" i="4" s="1"/>
  <c r="BK28" i="4"/>
  <c r="BI28" i="4"/>
  <c r="BJ28" i="4" s="1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S273" i="4"/>
  <c r="AI273" i="4"/>
  <c r="AZ272" i="4"/>
  <c r="AY272" i="4"/>
  <c r="AX272" i="4"/>
  <c r="AV272" i="4"/>
  <c r="AU272" i="4"/>
  <c r="AS272" i="4"/>
  <c r="AW272" i="4" s="1"/>
  <c r="AR272" i="4"/>
  <c r="AQ272" i="4"/>
  <c r="AP272" i="4"/>
  <c r="AO272" i="4"/>
  <c r="AM272" i="4"/>
  <c r="AL272" i="4"/>
  <c r="AI272" i="4"/>
  <c r="AK272" i="4" s="1"/>
  <c r="AZ271" i="4"/>
  <c r="AY271" i="4"/>
  <c r="AX271" i="4"/>
  <c r="AV271" i="4"/>
  <c r="AU271" i="4"/>
  <c r="AS271" i="4"/>
  <c r="AT271" i="4" s="1"/>
  <c r="AR271" i="4"/>
  <c r="AQ271" i="4"/>
  <c r="AP271" i="4"/>
  <c r="AO271" i="4"/>
  <c r="AM271" i="4"/>
  <c r="AL271" i="4"/>
  <c r="AI271" i="4"/>
  <c r="AK271" i="4" s="1"/>
  <c r="AZ270" i="4"/>
  <c r="AY270" i="4"/>
  <c r="AX270" i="4"/>
  <c r="AV270" i="4"/>
  <c r="AU270" i="4"/>
  <c r="AS270" i="4"/>
  <c r="AW270" i="4" s="1"/>
  <c r="AR270" i="4"/>
  <c r="AQ270" i="4"/>
  <c r="AP270" i="4"/>
  <c r="AO270" i="4"/>
  <c r="AM270" i="4"/>
  <c r="AL270" i="4"/>
  <c r="AI270" i="4"/>
  <c r="AK270" i="4" s="1"/>
  <c r="AS269" i="4"/>
  <c r="AX269" i="4" s="1"/>
  <c r="AI269" i="4"/>
  <c r="AS267" i="4"/>
  <c r="AI267" i="4"/>
  <c r="AZ266" i="4"/>
  <c r="AY266" i="4"/>
  <c r="AX266" i="4"/>
  <c r="AV266" i="4"/>
  <c r="AU266" i="4"/>
  <c r="AS266" i="4"/>
  <c r="AW266" i="4" s="1"/>
  <c r="AR266" i="4"/>
  <c r="AQ266" i="4"/>
  <c r="AP266" i="4"/>
  <c r="AO266" i="4"/>
  <c r="AM266" i="4"/>
  <c r="AL266" i="4"/>
  <c r="AI266" i="4"/>
  <c r="AN266" i="4" s="1"/>
  <c r="AS265" i="4"/>
  <c r="AI265" i="4"/>
  <c r="AR265" i="4" s="1"/>
  <c r="AZ264" i="4"/>
  <c r="AY264" i="4"/>
  <c r="AX264" i="4"/>
  <c r="AV264" i="4"/>
  <c r="AU264" i="4"/>
  <c r="AS264" i="4"/>
  <c r="AW264" i="4" s="1"/>
  <c r="AR264" i="4"/>
  <c r="AQ264" i="4"/>
  <c r="AP264" i="4"/>
  <c r="AO264" i="4"/>
  <c r="AM264" i="4"/>
  <c r="AL264" i="4"/>
  <c r="AI264" i="4"/>
  <c r="AK264" i="4" s="1"/>
  <c r="AS263" i="4"/>
  <c r="AX263" i="4" s="1"/>
  <c r="AL261" i="4"/>
  <c r="AL260" i="4"/>
  <c r="AL259" i="4"/>
  <c r="AL258" i="4"/>
  <c r="AI263" i="4"/>
  <c r="AS261" i="4"/>
  <c r="AO261" i="4"/>
  <c r="AP261" i="4" s="1"/>
  <c r="AI261" i="4"/>
  <c r="AR261" i="4" s="1"/>
  <c r="AZ260" i="4"/>
  <c r="AY260" i="4"/>
  <c r="AX260" i="4"/>
  <c r="AV260" i="4"/>
  <c r="AU260" i="4"/>
  <c r="AS260" i="4"/>
  <c r="AW260" i="4" s="1"/>
  <c r="AR260" i="4"/>
  <c r="AQ260" i="4"/>
  <c r="AP260" i="4"/>
  <c r="AO260" i="4"/>
  <c r="AM260" i="4"/>
  <c r="AI260" i="4"/>
  <c r="AN260" i="4" s="1"/>
  <c r="AZ259" i="4"/>
  <c r="AY259" i="4"/>
  <c r="AX259" i="4"/>
  <c r="AV259" i="4"/>
  <c r="AU259" i="4"/>
  <c r="AS259" i="4"/>
  <c r="AT259" i="4" s="1"/>
  <c r="AR259" i="4"/>
  <c r="AQ259" i="4"/>
  <c r="AP259" i="4"/>
  <c r="AO259" i="4"/>
  <c r="AM259" i="4"/>
  <c r="AI259" i="4"/>
  <c r="AN259" i="4" s="1"/>
  <c r="AZ258" i="4"/>
  <c r="AY258" i="4"/>
  <c r="AX258" i="4"/>
  <c r="AV258" i="4"/>
  <c r="AU258" i="4"/>
  <c r="AS258" i="4"/>
  <c r="AW258" i="4" s="1"/>
  <c r="AR258" i="4"/>
  <c r="AQ258" i="4"/>
  <c r="AP258" i="4"/>
  <c r="AO258" i="4"/>
  <c r="AM258" i="4"/>
  <c r="AI258" i="4"/>
  <c r="AK258" i="4" s="1"/>
  <c r="AZ257" i="4"/>
  <c r="AY257" i="4"/>
  <c r="AX257" i="4"/>
  <c r="AV257" i="4"/>
  <c r="AU257" i="4"/>
  <c r="AS257" i="4"/>
  <c r="AI257" i="4"/>
  <c r="AS255" i="4"/>
  <c r="AI255" i="4"/>
  <c r="AZ254" i="4"/>
  <c r="AY254" i="4"/>
  <c r="AX254" i="4"/>
  <c r="AV254" i="4"/>
  <c r="AU254" i="4"/>
  <c r="AS254" i="4"/>
  <c r="AW254" i="4" s="1"/>
  <c r="AR254" i="4"/>
  <c r="AQ254" i="4"/>
  <c r="AP254" i="4"/>
  <c r="AO254" i="4"/>
  <c r="AM254" i="4"/>
  <c r="AL254" i="4"/>
  <c r="AI254" i="4"/>
  <c r="AK254" i="4" s="1"/>
  <c r="AS253" i="4"/>
  <c r="AZ253" i="4" s="1"/>
  <c r="AI253" i="4"/>
  <c r="AZ252" i="4"/>
  <c r="AY252" i="4"/>
  <c r="AX252" i="4"/>
  <c r="AV252" i="4"/>
  <c r="AU252" i="4"/>
  <c r="AS252" i="4"/>
  <c r="AW252" i="4" s="1"/>
  <c r="AR252" i="4"/>
  <c r="AQ252" i="4"/>
  <c r="AP252" i="4"/>
  <c r="AO252" i="4"/>
  <c r="AM252" i="4"/>
  <c r="AL252" i="4"/>
  <c r="AI252" i="4"/>
  <c r="AN252" i="4" s="1"/>
  <c r="AU245" i="4"/>
  <c r="AU246" i="4"/>
  <c r="AU247" i="4"/>
  <c r="AU248" i="4"/>
  <c r="AS251" i="4"/>
  <c r="AR251" i="4"/>
  <c r="AQ251" i="4"/>
  <c r="AO251" i="4"/>
  <c r="AP251" i="4" s="1"/>
  <c r="AM251" i="4"/>
  <c r="AL251" i="4"/>
  <c r="AI251" i="4"/>
  <c r="AS249" i="4"/>
  <c r="AO249" i="4"/>
  <c r="AP249" i="4" s="1"/>
  <c r="AI249" i="4"/>
  <c r="AR249" i="4" s="1"/>
  <c r="AZ248" i="4"/>
  <c r="AY248" i="4"/>
  <c r="AX248" i="4"/>
  <c r="AV248" i="4"/>
  <c r="AS248" i="4"/>
  <c r="AW248" i="4" s="1"/>
  <c r="AR248" i="4"/>
  <c r="AQ248" i="4"/>
  <c r="AP248" i="4"/>
  <c r="AO248" i="4"/>
  <c r="AM248" i="4"/>
  <c r="AL248" i="4"/>
  <c r="AI248" i="4"/>
  <c r="AK248" i="4" s="1"/>
  <c r="AZ247" i="4"/>
  <c r="AY247" i="4"/>
  <c r="AX247" i="4"/>
  <c r="AV247" i="4"/>
  <c r="AS247" i="4"/>
  <c r="AT247" i="4" s="1"/>
  <c r="AR247" i="4"/>
  <c r="AQ247" i="4"/>
  <c r="AP247" i="4"/>
  <c r="AO247" i="4"/>
  <c r="AM247" i="4"/>
  <c r="AL247" i="4"/>
  <c r="AI247" i="4"/>
  <c r="AK247" i="4" s="1"/>
  <c r="AZ246" i="4"/>
  <c r="AY246" i="4"/>
  <c r="AX246" i="4"/>
  <c r="AV246" i="4"/>
  <c r="AS246" i="4"/>
  <c r="AW246" i="4" s="1"/>
  <c r="AR246" i="4"/>
  <c r="AQ246" i="4"/>
  <c r="AP246" i="4"/>
  <c r="AO246" i="4"/>
  <c r="AM246" i="4"/>
  <c r="AL246" i="4"/>
  <c r="AI246" i="4"/>
  <c r="AK246" i="4" s="1"/>
  <c r="AZ245" i="4"/>
  <c r="AX245" i="4"/>
  <c r="AY245" i="4"/>
  <c r="AV245" i="4"/>
  <c r="AS245" i="4"/>
  <c r="AI245" i="4"/>
  <c r="AS243" i="4"/>
  <c r="AI243" i="4"/>
  <c r="AZ242" i="4"/>
  <c r="AY242" i="4"/>
  <c r="AX242" i="4"/>
  <c r="AV242" i="4"/>
  <c r="AU242" i="4"/>
  <c r="AS242" i="4"/>
  <c r="AW242" i="4" s="1"/>
  <c r="AR242" i="4"/>
  <c r="AQ242" i="4"/>
  <c r="AP242" i="4"/>
  <c r="AO242" i="4"/>
  <c r="AM242" i="4"/>
  <c r="AL242" i="4"/>
  <c r="AI242" i="4"/>
  <c r="AK242" i="4" s="1"/>
  <c r="AS241" i="4"/>
  <c r="AI241" i="4"/>
  <c r="AR241" i="4" s="1"/>
  <c r="AZ240" i="4"/>
  <c r="AY240" i="4"/>
  <c r="AX240" i="4"/>
  <c r="AV240" i="4"/>
  <c r="AU240" i="4"/>
  <c r="AS240" i="4"/>
  <c r="AW240" i="4" s="1"/>
  <c r="AR240" i="4"/>
  <c r="AQ240" i="4"/>
  <c r="AP240" i="4"/>
  <c r="AO240" i="4"/>
  <c r="AM240" i="4"/>
  <c r="AL240" i="4"/>
  <c r="AI240" i="4"/>
  <c r="AK240" i="4" s="1"/>
  <c r="AS239" i="4"/>
  <c r="AY239" i="4" s="1"/>
  <c r="AI239" i="4"/>
  <c r="AS237" i="4"/>
  <c r="AZ237" i="4" s="1"/>
  <c r="AI237" i="4"/>
  <c r="AZ236" i="4"/>
  <c r="AY236" i="4"/>
  <c r="AX236" i="4"/>
  <c r="AV236" i="4"/>
  <c r="AU236" i="4"/>
  <c r="AS236" i="4"/>
  <c r="AW236" i="4" s="1"/>
  <c r="AR236" i="4"/>
  <c r="AQ236" i="4"/>
  <c r="AP236" i="4"/>
  <c r="AO236" i="4"/>
  <c r="AM236" i="4"/>
  <c r="AL236" i="4"/>
  <c r="AI236" i="4"/>
  <c r="AK236" i="4" s="1"/>
  <c r="AZ235" i="4"/>
  <c r="AY235" i="4"/>
  <c r="AX235" i="4"/>
  <c r="AV235" i="4"/>
  <c r="AU235" i="4"/>
  <c r="AS235" i="4"/>
  <c r="AT235" i="4" s="1"/>
  <c r="AR235" i="4"/>
  <c r="AQ235" i="4"/>
  <c r="AP235" i="4"/>
  <c r="AO235" i="4"/>
  <c r="AM235" i="4"/>
  <c r="AL235" i="4"/>
  <c r="AI235" i="4"/>
  <c r="AK235" i="4" s="1"/>
  <c r="AZ234" i="4"/>
  <c r="AY234" i="4"/>
  <c r="AX234" i="4"/>
  <c r="AV234" i="4"/>
  <c r="AU234" i="4"/>
  <c r="AS234" i="4"/>
  <c r="AW234" i="4" s="1"/>
  <c r="AR234" i="4"/>
  <c r="AQ234" i="4"/>
  <c r="AP234" i="4"/>
  <c r="AO234" i="4"/>
  <c r="AM234" i="4"/>
  <c r="AL234" i="4"/>
  <c r="AI234" i="4"/>
  <c r="AK234" i="4" s="1"/>
  <c r="AS233" i="4"/>
  <c r="AI233" i="4"/>
  <c r="AZ231" i="4"/>
  <c r="AY231" i="4"/>
  <c r="AX231" i="4"/>
  <c r="AV231" i="4"/>
  <c r="AU231" i="4"/>
  <c r="AS231" i="4"/>
  <c r="AT231" i="4" s="1"/>
  <c r="AR231" i="4"/>
  <c r="AQ231" i="4"/>
  <c r="AP231" i="4"/>
  <c r="AO231" i="4"/>
  <c r="AM231" i="4"/>
  <c r="AL231" i="4"/>
  <c r="AI231" i="4"/>
  <c r="AN231" i="4" s="1"/>
  <c r="AZ230" i="4"/>
  <c r="AY230" i="4"/>
  <c r="AX230" i="4"/>
  <c r="AV230" i="4"/>
  <c r="AU230" i="4"/>
  <c r="AS230" i="4"/>
  <c r="AW230" i="4" s="1"/>
  <c r="AR230" i="4"/>
  <c r="AQ230" i="4"/>
  <c r="AP230" i="4"/>
  <c r="AO230" i="4"/>
  <c r="AM230" i="4"/>
  <c r="AL230" i="4"/>
  <c r="AI230" i="4"/>
  <c r="AK230" i="4" s="1"/>
  <c r="AS229" i="4"/>
  <c r="AI229" i="4"/>
  <c r="AS228" i="4"/>
  <c r="AI228" i="4"/>
  <c r="AL228" i="4" s="1"/>
  <c r="AS227" i="4"/>
  <c r="AI227" i="4"/>
  <c r="AS225" i="4"/>
  <c r="AO225" i="4"/>
  <c r="AP225" i="4" s="1"/>
  <c r="AI225" i="4"/>
  <c r="AR225" i="4" s="1"/>
  <c r="AZ224" i="4"/>
  <c r="AY224" i="4"/>
  <c r="AX224" i="4"/>
  <c r="AV224" i="4"/>
  <c r="AU224" i="4"/>
  <c r="AS224" i="4"/>
  <c r="AT224" i="4" s="1"/>
  <c r="AR224" i="4"/>
  <c r="AQ224" i="4"/>
  <c r="AP224" i="4"/>
  <c r="AO224" i="4"/>
  <c r="AM224" i="4"/>
  <c r="AL224" i="4"/>
  <c r="AI224" i="4"/>
  <c r="AK224" i="4" s="1"/>
  <c r="AS223" i="4"/>
  <c r="AI223" i="4"/>
  <c r="AS222" i="4"/>
  <c r="AI222" i="4"/>
  <c r="AS221" i="4"/>
  <c r="AI221" i="4"/>
  <c r="AZ219" i="4"/>
  <c r="AY219" i="4"/>
  <c r="AX219" i="4"/>
  <c r="AV219" i="4"/>
  <c r="AU219" i="4"/>
  <c r="AS219" i="4"/>
  <c r="AW219" i="4" s="1"/>
  <c r="AR219" i="4"/>
  <c r="AQ219" i="4"/>
  <c r="AP219" i="4"/>
  <c r="AO219" i="4"/>
  <c r="AM219" i="4"/>
  <c r="AL219" i="4"/>
  <c r="AI219" i="4"/>
  <c r="AN219" i="4" s="1"/>
  <c r="AZ218" i="4"/>
  <c r="AY218" i="4"/>
  <c r="AX218" i="4"/>
  <c r="AV218" i="4"/>
  <c r="AU218" i="4"/>
  <c r="AS218" i="4"/>
  <c r="AW218" i="4" s="1"/>
  <c r="AR218" i="4"/>
  <c r="AQ218" i="4"/>
  <c r="AP218" i="4"/>
  <c r="AO218" i="4"/>
  <c r="AM218" i="4"/>
  <c r="AL218" i="4"/>
  <c r="AI218" i="4"/>
  <c r="AK218" i="4" s="1"/>
  <c r="AS217" i="4"/>
  <c r="AR217" i="4"/>
  <c r="AO217" i="4"/>
  <c r="AP217" i="4" s="1"/>
  <c r="AL217" i="4"/>
  <c r="AI217" i="4"/>
  <c r="AQ217" i="4" s="1"/>
  <c r="AS216" i="4"/>
  <c r="AI216" i="4"/>
  <c r="AZ215" i="4"/>
  <c r="AY215" i="4"/>
  <c r="AX215" i="4"/>
  <c r="AV215" i="4"/>
  <c r="AU215" i="4"/>
  <c r="AS215" i="4"/>
  <c r="AW215" i="4" s="1"/>
  <c r="AI215" i="4"/>
  <c r="AS213" i="4"/>
  <c r="AZ213" i="4" s="1"/>
  <c r="AI213" i="4"/>
  <c r="AS212" i="4"/>
  <c r="AX212" i="4" s="1"/>
  <c r="AI212" i="4"/>
  <c r="AZ211" i="4"/>
  <c r="AY211" i="4"/>
  <c r="AX211" i="4"/>
  <c r="AV211" i="4"/>
  <c r="AU211" i="4"/>
  <c r="AS211" i="4"/>
  <c r="AT211" i="4" s="1"/>
  <c r="AR211" i="4"/>
  <c r="AQ211" i="4"/>
  <c r="AP211" i="4"/>
  <c r="AO211" i="4"/>
  <c r="AM211" i="4"/>
  <c r="AL211" i="4"/>
  <c r="AI211" i="4"/>
  <c r="AN211" i="4" s="1"/>
  <c r="AZ210" i="4"/>
  <c r="AY210" i="4"/>
  <c r="AX210" i="4"/>
  <c r="AV210" i="4"/>
  <c r="AU210" i="4"/>
  <c r="AS210" i="4"/>
  <c r="AW210" i="4" s="1"/>
  <c r="AR210" i="4"/>
  <c r="AQ210" i="4"/>
  <c r="AP210" i="4"/>
  <c r="AO210" i="4"/>
  <c r="AM210" i="4"/>
  <c r="AL210" i="4"/>
  <c r="AI210" i="4"/>
  <c r="AK210" i="4" s="1"/>
  <c r="AZ209" i="4"/>
  <c r="AY209" i="4"/>
  <c r="AX209" i="4"/>
  <c r="AV209" i="4"/>
  <c r="AU209" i="4"/>
  <c r="AS209" i="4"/>
  <c r="AT209" i="4" s="1"/>
  <c r="AR209" i="4"/>
  <c r="AQ209" i="4"/>
  <c r="AP209" i="4"/>
  <c r="AO209" i="4"/>
  <c r="AM209" i="4"/>
  <c r="AL209" i="4"/>
  <c r="AI209" i="4"/>
  <c r="AK209" i="4" s="1"/>
  <c r="AZ208" i="4"/>
  <c r="AY208" i="4"/>
  <c r="AX208" i="4"/>
  <c r="AV208" i="4"/>
  <c r="AU208" i="4"/>
  <c r="AS208" i="4"/>
  <c r="AW208" i="4" s="1"/>
  <c r="AR208" i="4"/>
  <c r="AQ208" i="4"/>
  <c r="AP208" i="4"/>
  <c r="AO208" i="4"/>
  <c r="AM208" i="4"/>
  <c r="AL208" i="4"/>
  <c r="AI208" i="4"/>
  <c r="AK208" i="4" s="1"/>
  <c r="AZ207" i="4"/>
  <c r="AY207" i="4"/>
  <c r="AX207" i="4"/>
  <c r="AV207" i="4"/>
  <c r="AU207" i="4"/>
  <c r="AS207" i="4"/>
  <c r="AW207" i="4" s="1"/>
  <c r="AR207" i="4"/>
  <c r="AQ207" i="4"/>
  <c r="AP207" i="4"/>
  <c r="AO207" i="4"/>
  <c r="AM207" i="4"/>
  <c r="AL207" i="4"/>
  <c r="AI207" i="4"/>
  <c r="AK207" i="4" s="1"/>
  <c r="AZ206" i="4"/>
  <c r="AY206" i="4"/>
  <c r="AX206" i="4"/>
  <c r="AV206" i="4"/>
  <c r="AU206" i="4"/>
  <c r="AS206" i="4"/>
  <c r="AW206" i="4" s="1"/>
  <c r="AR206" i="4"/>
  <c r="AQ206" i="4"/>
  <c r="AP206" i="4"/>
  <c r="AO206" i="4"/>
  <c r="AM206" i="4"/>
  <c r="AL206" i="4"/>
  <c r="AI206" i="4"/>
  <c r="AK206" i="4" s="1"/>
  <c r="AK211" i="4" l="1"/>
  <c r="AT210" i="4"/>
  <c r="AN209" i="4"/>
  <c r="AU212" i="4"/>
  <c r="AW212" i="4" s="1"/>
  <c r="AT240" i="4"/>
  <c r="AN251" i="4"/>
  <c r="AZ263" i="4"/>
  <c r="AY269" i="4"/>
  <c r="AW245" i="4"/>
  <c r="AK259" i="4"/>
  <c r="AT260" i="4"/>
  <c r="AU263" i="4"/>
  <c r="AT266" i="4"/>
  <c r="AU269" i="4"/>
  <c r="AW269" i="4" s="1"/>
  <c r="AZ269" i="4"/>
  <c r="AT246" i="4"/>
  <c r="AT258" i="4"/>
  <c r="AV263" i="4"/>
  <c r="AT264" i="4"/>
  <c r="AO265" i="4"/>
  <c r="AP265" i="4" s="1"/>
  <c r="AV269" i="4"/>
  <c r="AT248" i="4"/>
  <c r="AY263" i="4"/>
  <c r="AN247" i="4"/>
  <c r="AN271" i="4"/>
  <c r="AT272" i="4"/>
  <c r="AT252" i="4"/>
  <c r="AT254" i="4"/>
  <c r="AT270" i="4"/>
  <c r="AL265" i="4"/>
  <c r="AN265" i="4" s="1"/>
  <c r="AN235" i="4"/>
  <c r="AT236" i="4"/>
  <c r="AV239" i="4"/>
  <c r="AZ239" i="4"/>
  <c r="AK231" i="4"/>
  <c r="AT234" i="4"/>
  <c r="AT242" i="4"/>
  <c r="AK219" i="4"/>
  <c r="AT230" i="4"/>
  <c r="AX239" i="4"/>
  <c r="AL241" i="4"/>
  <c r="AN241" i="4" s="1"/>
  <c r="AU239" i="4"/>
  <c r="AO241" i="4"/>
  <c r="AP241" i="4" s="1"/>
  <c r="AW271" i="4"/>
  <c r="AN272" i="4"/>
  <c r="AN270" i="4"/>
  <c r="AW257" i="4"/>
  <c r="AN264" i="4"/>
  <c r="AM265" i="4"/>
  <c r="AQ265" i="4"/>
  <c r="AK266" i="4"/>
  <c r="AT257" i="4"/>
  <c r="AK251" i="4"/>
  <c r="AW259" i="4"/>
  <c r="AN258" i="4"/>
  <c r="AK260" i="4"/>
  <c r="AM261" i="4"/>
  <c r="AK261" i="4" s="1"/>
  <c r="AQ261" i="4"/>
  <c r="AN261" i="4"/>
  <c r="AX253" i="4"/>
  <c r="AN254" i="4"/>
  <c r="AK252" i="4"/>
  <c r="AU253" i="4"/>
  <c r="AW253" i="4" s="1"/>
  <c r="AY253" i="4"/>
  <c r="AV253" i="4"/>
  <c r="AT245" i="4"/>
  <c r="AW247" i="4"/>
  <c r="AN246" i="4"/>
  <c r="AN248" i="4"/>
  <c r="AL249" i="4"/>
  <c r="AM249" i="4"/>
  <c r="AQ249" i="4"/>
  <c r="AN249" i="4"/>
  <c r="AN240" i="4"/>
  <c r="AN242" i="4"/>
  <c r="AM241" i="4"/>
  <c r="AQ241" i="4"/>
  <c r="AW235" i="4"/>
  <c r="AN234" i="4"/>
  <c r="AN236" i="4"/>
  <c r="AX237" i="4"/>
  <c r="AU237" i="4"/>
  <c r="AY237" i="4"/>
  <c r="AV237" i="4"/>
  <c r="AM228" i="4"/>
  <c r="AK228" i="4" s="1"/>
  <c r="AQ228" i="4"/>
  <c r="AW231" i="4"/>
  <c r="AN228" i="4"/>
  <c r="AR228" i="4"/>
  <c r="AN230" i="4"/>
  <c r="AO228" i="4"/>
  <c r="AP228" i="4" s="1"/>
  <c r="AN207" i="4"/>
  <c r="AT208" i="4"/>
  <c r="AY212" i="4"/>
  <c r="AT218" i="4"/>
  <c r="AU221" i="4"/>
  <c r="AW221" i="4" s="1"/>
  <c r="AY221" i="4"/>
  <c r="AU227" i="4"/>
  <c r="AW227" i="4" s="1"/>
  <c r="AY227" i="4"/>
  <c r="AX227" i="4"/>
  <c r="AT206" i="4"/>
  <c r="AV221" i="4"/>
  <c r="AZ221" i="4"/>
  <c r="AV227" i="4"/>
  <c r="AZ227" i="4"/>
  <c r="AX221" i="4"/>
  <c r="AN217" i="4"/>
  <c r="AN224" i="4"/>
  <c r="AL225" i="4"/>
  <c r="AN225" i="4" s="1"/>
  <c r="AW224" i="4"/>
  <c r="AM225" i="4"/>
  <c r="AQ225" i="4"/>
  <c r="AN218" i="4"/>
  <c r="AT219" i="4"/>
  <c r="AM217" i="4"/>
  <c r="AK217" i="4" s="1"/>
  <c r="AT215" i="4"/>
  <c r="AW209" i="4"/>
  <c r="AW211" i="4"/>
  <c r="AN206" i="4"/>
  <c r="AN208" i="4"/>
  <c r="AN210" i="4"/>
  <c r="AV212" i="4"/>
  <c r="AZ212" i="4"/>
  <c r="AX213" i="4"/>
  <c r="AT207" i="4"/>
  <c r="AU213" i="4"/>
  <c r="AW213" i="4" s="1"/>
  <c r="AY213" i="4"/>
  <c r="AV213" i="4"/>
  <c r="AS205" i="4"/>
  <c r="AS204" i="4"/>
  <c r="AI205" i="4"/>
  <c r="AQ205" i="4" s="1"/>
  <c r="AI204" i="4"/>
  <c r="AZ202" i="4"/>
  <c r="AY202" i="4"/>
  <c r="AX202" i="4"/>
  <c r="AV202" i="4"/>
  <c r="AU202" i="4"/>
  <c r="AS202" i="4"/>
  <c r="AW202" i="4" s="1"/>
  <c r="AR202" i="4"/>
  <c r="AQ202" i="4"/>
  <c r="AP202" i="4"/>
  <c r="AO202" i="4"/>
  <c r="AM202" i="4"/>
  <c r="AL202" i="4"/>
  <c r="AI202" i="4"/>
  <c r="AK202" i="4" s="1"/>
  <c r="AZ201" i="4"/>
  <c r="AY201" i="4"/>
  <c r="AX201" i="4"/>
  <c r="AV201" i="4"/>
  <c r="AU201" i="4"/>
  <c r="AS201" i="4"/>
  <c r="AW201" i="4" s="1"/>
  <c r="AR201" i="4"/>
  <c r="AQ201" i="4"/>
  <c r="AP201" i="4"/>
  <c r="AO201" i="4"/>
  <c r="AM201" i="4"/>
  <c r="AL201" i="4"/>
  <c r="AI201" i="4"/>
  <c r="AK201" i="4" s="1"/>
  <c r="AZ200" i="4"/>
  <c r="AY200" i="4"/>
  <c r="AX200" i="4"/>
  <c r="AV200" i="4"/>
  <c r="AU200" i="4"/>
  <c r="AS200" i="4"/>
  <c r="AT200" i="4" s="1"/>
  <c r="AR200" i="4"/>
  <c r="AQ200" i="4"/>
  <c r="AP200" i="4"/>
  <c r="AO200" i="4"/>
  <c r="AM200" i="4"/>
  <c r="AL200" i="4"/>
  <c r="AI200" i="4"/>
  <c r="AK200" i="4" s="1"/>
  <c r="AZ199" i="4"/>
  <c r="AY199" i="4"/>
  <c r="AX199" i="4"/>
  <c r="AV199" i="4"/>
  <c r="AU199" i="4"/>
  <c r="AS199" i="4"/>
  <c r="AW199" i="4" s="1"/>
  <c r="AR199" i="4"/>
  <c r="AQ199" i="4"/>
  <c r="AP199" i="4"/>
  <c r="AO199" i="4"/>
  <c r="AM199" i="4"/>
  <c r="AL199" i="4"/>
  <c r="AI199" i="4"/>
  <c r="AK199" i="4" s="1"/>
  <c r="AZ198" i="4"/>
  <c r="AY198" i="4"/>
  <c r="AX198" i="4"/>
  <c r="AV198" i="4"/>
  <c r="AU198" i="4"/>
  <c r="AS198" i="4"/>
  <c r="AW198" i="4" s="1"/>
  <c r="AR198" i="4"/>
  <c r="AQ198" i="4"/>
  <c r="AP198" i="4"/>
  <c r="AO198" i="4"/>
  <c r="AM198" i="4"/>
  <c r="AL198" i="4"/>
  <c r="AI198" i="4"/>
  <c r="AK198" i="4" s="1"/>
  <c r="AS197" i="4"/>
  <c r="AI197" i="4"/>
  <c r="AZ196" i="4"/>
  <c r="AY196" i="4"/>
  <c r="AX196" i="4"/>
  <c r="AV196" i="4"/>
  <c r="AU196" i="4"/>
  <c r="AS196" i="4"/>
  <c r="AW196" i="4" s="1"/>
  <c r="AR196" i="4"/>
  <c r="AQ196" i="4"/>
  <c r="AP196" i="4"/>
  <c r="AO196" i="4"/>
  <c r="AM196" i="4"/>
  <c r="AL196" i="4"/>
  <c r="AI196" i="4"/>
  <c r="AK196" i="4" s="1"/>
  <c r="AS195" i="4"/>
  <c r="AY195" i="4" s="1"/>
  <c r="AI195" i="4"/>
  <c r="AZ194" i="4"/>
  <c r="AY194" i="4"/>
  <c r="AX194" i="4"/>
  <c r="AV194" i="4"/>
  <c r="AU194" i="4"/>
  <c r="AS194" i="4"/>
  <c r="AW194" i="4" s="1"/>
  <c r="AS193" i="4"/>
  <c r="AR194" i="4"/>
  <c r="AQ194" i="4"/>
  <c r="AP194" i="4"/>
  <c r="AO194" i="4"/>
  <c r="AM194" i="4"/>
  <c r="AL194" i="4"/>
  <c r="AI194" i="4"/>
  <c r="AN194" i="4" s="1"/>
  <c r="AI193" i="4"/>
  <c r="AO193" i="4" s="1"/>
  <c r="AP193" i="4" s="1"/>
  <c r="AS191" i="4"/>
  <c r="AI191" i="4"/>
  <c r="AY190" i="4"/>
  <c r="AU190" i="4"/>
  <c r="AS190" i="4"/>
  <c r="AX190" i="4" s="1"/>
  <c r="AI190" i="4"/>
  <c r="AZ189" i="4"/>
  <c r="AY189" i="4"/>
  <c r="AX189" i="4"/>
  <c r="AV189" i="4"/>
  <c r="AU189" i="4"/>
  <c r="AS189" i="4"/>
  <c r="AT189" i="4" s="1"/>
  <c r="AR189" i="4"/>
  <c r="AQ189" i="4"/>
  <c r="AP189" i="4"/>
  <c r="AO189" i="4"/>
  <c r="AM189" i="4"/>
  <c r="AL189" i="4"/>
  <c r="AI189" i="4"/>
  <c r="AN189" i="4" s="1"/>
  <c r="AZ188" i="4"/>
  <c r="AY188" i="4"/>
  <c r="AX188" i="4"/>
  <c r="AV188" i="4"/>
  <c r="AU188" i="4"/>
  <c r="AS188" i="4"/>
  <c r="AW188" i="4" s="1"/>
  <c r="AR188" i="4"/>
  <c r="AQ188" i="4"/>
  <c r="AP188" i="4"/>
  <c r="AO188" i="4"/>
  <c r="AM188" i="4"/>
  <c r="AL188" i="4"/>
  <c r="AI188" i="4"/>
  <c r="AK188" i="4" s="1"/>
  <c r="AZ187" i="4"/>
  <c r="AY187" i="4"/>
  <c r="AX187" i="4"/>
  <c r="AV187" i="4"/>
  <c r="AU187" i="4"/>
  <c r="AS187" i="4"/>
  <c r="AT187" i="4" s="1"/>
  <c r="AR187" i="4"/>
  <c r="AQ187" i="4"/>
  <c r="AP187" i="4"/>
  <c r="AO187" i="4"/>
  <c r="AM187" i="4"/>
  <c r="AL187" i="4"/>
  <c r="AI187" i="4"/>
  <c r="AN187" i="4" s="1"/>
  <c r="AZ186" i="4"/>
  <c r="AY186" i="4"/>
  <c r="AX186" i="4"/>
  <c r="AV186" i="4"/>
  <c r="AU186" i="4"/>
  <c r="AS186" i="4"/>
  <c r="AW186" i="4" s="1"/>
  <c r="AR186" i="4"/>
  <c r="AQ186" i="4"/>
  <c r="AP186" i="4"/>
  <c r="AO186" i="4"/>
  <c r="AM186" i="4"/>
  <c r="AL186" i="4"/>
  <c r="AI186" i="4"/>
  <c r="AK186" i="4" s="1"/>
  <c r="AS185" i="4"/>
  <c r="AZ185" i="4" s="1"/>
  <c r="AI185" i="4"/>
  <c r="AS184" i="4"/>
  <c r="AI184" i="4"/>
  <c r="AZ182" i="4"/>
  <c r="AY182" i="4"/>
  <c r="AX182" i="4"/>
  <c r="AV182" i="4"/>
  <c r="AU182" i="4"/>
  <c r="AS183" i="4"/>
  <c r="AS182" i="4"/>
  <c r="AR183" i="4"/>
  <c r="AQ183" i="4"/>
  <c r="AO183" i="4"/>
  <c r="AP183" i="4" s="1"/>
  <c r="AM183" i="4"/>
  <c r="AL183" i="4"/>
  <c r="AI183" i="4"/>
  <c r="AI182" i="4"/>
  <c r="AZ180" i="4"/>
  <c r="AY180" i="4"/>
  <c r="AX180" i="4"/>
  <c r="AV180" i="4"/>
  <c r="AU180" i="4"/>
  <c r="AS180" i="4"/>
  <c r="AT180" i="4" s="1"/>
  <c r="AR180" i="4"/>
  <c r="AQ180" i="4"/>
  <c r="AP180" i="4"/>
  <c r="AO180" i="4"/>
  <c r="AM180" i="4"/>
  <c r="AL180" i="4"/>
  <c r="AI180" i="4"/>
  <c r="AN180" i="4" s="1"/>
  <c r="AZ179" i="4"/>
  <c r="AY179" i="4"/>
  <c r="AX179" i="4"/>
  <c r="AV179" i="4"/>
  <c r="AU179" i="4"/>
  <c r="AS179" i="4"/>
  <c r="AW179" i="4" s="1"/>
  <c r="AR179" i="4"/>
  <c r="AQ179" i="4"/>
  <c r="AP179" i="4"/>
  <c r="AO179" i="4"/>
  <c r="AM179" i="4"/>
  <c r="AL179" i="4"/>
  <c r="AI179" i="4"/>
  <c r="AK179" i="4" s="1"/>
  <c r="AZ178" i="4"/>
  <c r="AY178" i="4"/>
  <c r="AX178" i="4"/>
  <c r="AV178" i="4"/>
  <c r="AU178" i="4"/>
  <c r="AS178" i="4"/>
  <c r="AT178" i="4" s="1"/>
  <c r="AR178" i="4"/>
  <c r="AQ178" i="4"/>
  <c r="AP178" i="4"/>
  <c r="AO178" i="4"/>
  <c r="AM178" i="4"/>
  <c r="AL178" i="4"/>
  <c r="AI178" i="4"/>
  <c r="AN178" i="4" s="1"/>
  <c r="AZ177" i="4"/>
  <c r="AY177" i="4"/>
  <c r="AX177" i="4"/>
  <c r="AV177" i="4"/>
  <c r="AU177" i="4"/>
  <c r="AS177" i="4"/>
  <c r="AW177" i="4" s="1"/>
  <c r="AR177" i="4"/>
  <c r="AQ177" i="4"/>
  <c r="AP177" i="4"/>
  <c r="AO177" i="4"/>
  <c r="AM177" i="4"/>
  <c r="AL177" i="4"/>
  <c r="AI177" i="4"/>
  <c r="AK177" i="4" s="1"/>
  <c r="AZ176" i="4"/>
  <c r="AY176" i="4"/>
  <c r="AX176" i="4"/>
  <c r="AV176" i="4"/>
  <c r="AU176" i="4"/>
  <c r="AS176" i="4"/>
  <c r="AT176" i="4" s="1"/>
  <c r="AR176" i="4"/>
  <c r="AQ176" i="4"/>
  <c r="AP176" i="4"/>
  <c r="AO176" i="4"/>
  <c r="AM176" i="4"/>
  <c r="AL176" i="4"/>
  <c r="AI176" i="4"/>
  <c r="AK176" i="4" s="1"/>
  <c r="AS175" i="4"/>
  <c r="AI175" i="4"/>
  <c r="AL175" i="4" s="1"/>
  <c r="AZ174" i="4"/>
  <c r="AY174" i="4"/>
  <c r="AX174" i="4"/>
  <c r="AV174" i="4"/>
  <c r="AU174" i="4"/>
  <c r="AS174" i="4"/>
  <c r="AW174" i="4" s="1"/>
  <c r="AR174" i="4"/>
  <c r="AQ174" i="4"/>
  <c r="AP174" i="4"/>
  <c r="AO174" i="4"/>
  <c r="AM174" i="4"/>
  <c r="AL174" i="4"/>
  <c r="AI174" i="4"/>
  <c r="AN174" i="4" s="1"/>
  <c r="AS173" i="4"/>
  <c r="AI173" i="4"/>
  <c r="AZ172" i="4"/>
  <c r="AZ171" i="4"/>
  <c r="AY172" i="4"/>
  <c r="AY171" i="4"/>
  <c r="AX172" i="4"/>
  <c r="AX171" i="4"/>
  <c r="AV172" i="4"/>
  <c r="AV171" i="4"/>
  <c r="AU172" i="4"/>
  <c r="AU171" i="4"/>
  <c r="AS172" i="4"/>
  <c r="AT172" i="4" s="1"/>
  <c r="AS171" i="4"/>
  <c r="AR172" i="4"/>
  <c r="AQ172" i="4"/>
  <c r="AP172" i="4"/>
  <c r="AO172" i="4"/>
  <c r="AM172" i="4"/>
  <c r="AL172" i="4"/>
  <c r="AI171" i="4"/>
  <c r="AI172" i="4"/>
  <c r="AK172" i="4" s="1"/>
  <c r="AT212" i="4" l="1"/>
  <c r="AT239" i="4"/>
  <c r="AK194" i="4"/>
  <c r="AK174" i="4"/>
  <c r="AK187" i="4"/>
  <c r="AT194" i="4"/>
  <c r="AN200" i="4"/>
  <c r="AW171" i="4"/>
  <c r="AW172" i="4"/>
  <c r="AK178" i="4"/>
  <c r="AN196" i="4"/>
  <c r="AN172" i="4"/>
  <c r="AT179" i="4"/>
  <c r="AT188" i="4"/>
  <c r="AT201" i="4"/>
  <c r="AX195" i="4"/>
  <c r="AT269" i="4"/>
  <c r="AT263" i="4"/>
  <c r="AW263" i="4"/>
  <c r="AK265" i="4"/>
  <c r="AT237" i="4"/>
  <c r="AK241" i="4"/>
  <c r="AW239" i="4"/>
  <c r="AT253" i="4"/>
  <c r="AK249" i="4"/>
  <c r="AT227" i="4"/>
  <c r="AW237" i="4"/>
  <c r="AT177" i="4"/>
  <c r="AK180" i="4"/>
  <c r="AT186" i="4"/>
  <c r="AK189" i="4"/>
  <c r="AL193" i="4"/>
  <c r="AN193" i="4" s="1"/>
  <c r="AN198" i="4"/>
  <c r="AT199" i="4"/>
  <c r="AM205" i="4"/>
  <c r="AO205" i="4"/>
  <c r="AP205" i="4" s="1"/>
  <c r="AR205" i="4"/>
  <c r="AN176" i="4"/>
  <c r="AQ193" i="4"/>
  <c r="AN202" i="4"/>
  <c r="AR193" i="4"/>
  <c r="AM193" i="4"/>
  <c r="AU195" i="4"/>
  <c r="AL205" i="4"/>
  <c r="AN205" i="4" s="1"/>
  <c r="AT221" i="4"/>
  <c r="AK225" i="4"/>
  <c r="AT213" i="4"/>
  <c r="AT182" i="4"/>
  <c r="AK183" i="4"/>
  <c r="AN183" i="4"/>
  <c r="AW182" i="4"/>
  <c r="AV195" i="4"/>
  <c r="AW200" i="4"/>
  <c r="AZ195" i="4"/>
  <c r="AT196" i="4"/>
  <c r="AT198" i="4"/>
  <c r="AN199" i="4"/>
  <c r="AN201" i="4"/>
  <c r="AT202" i="4"/>
  <c r="AW187" i="4"/>
  <c r="AW189" i="4"/>
  <c r="AX185" i="4"/>
  <c r="AN186" i="4"/>
  <c r="AN188" i="4"/>
  <c r="AV190" i="4"/>
  <c r="AT190" i="4" s="1"/>
  <c r="AZ190" i="4"/>
  <c r="AU185" i="4"/>
  <c r="AW185" i="4" s="1"/>
  <c r="AY185" i="4"/>
  <c r="AW190" i="4"/>
  <c r="AV185" i="4"/>
  <c r="AW176" i="4"/>
  <c r="AW178" i="4"/>
  <c r="AW180" i="4"/>
  <c r="AT174" i="4"/>
  <c r="AN175" i="4"/>
  <c r="AR175" i="4"/>
  <c r="AN177" i="4"/>
  <c r="AN179" i="4"/>
  <c r="AM175" i="4"/>
  <c r="AQ175" i="4"/>
  <c r="AK175" i="4"/>
  <c r="AO175" i="4"/>
  <c r="AP175" i="4" s="1"/>
  <c r="AT171" i="4"/>
  <c r="AS169" i="4"/>
  <c r="AI169" i="4"/>
  <c r="AQ169" i="4" s="1"/>
  <c r="AY168" i="4"/>
  <c r="AX168" i="4"/>
  <c r="AU168" i="4"/>
  <c r="AS168" i="4"/>
  <c r="AW168" i="4" s="1"/>
  <c r="AI168" i="4"/>
  <c r="AZ167" i="4"/>
  <c r="AY167" i="4"/>
  <c r="AX167" i="4"/>
  <c r="AV167" i="4"/>
  <c r="AU167" i="4"/>
  <c r="AS167" i="4"/>
  <c r="AT167" i="4" s="1"/>
  <c r="AR167" i="4"/>
  <c r="AQ167" i="4"/>
  <c r="AP167" i="4"/>
  <c r="AO167" i="4"/>
  <c r="AM167" i="4"/>
  <c r="AL167" i="4"/>
  <c r="AI167" i="4"/>
  <c r="AN167" i="4" s="1"/>
  <c r="AZ166" i="4"/>
  <c r="AY166" i="4"/>
  <c r="AX166" i="4"/>
  <c r="AV166" i="4"/>
  <c r="AU166" i="4"/>
  <c r="AS166" i="4"/>
  <c r="AW166" i="4" s="1"/>
  <c r="AR166" i="4"/>
  <c r="AQ166" i="4"/>
  <c r="AP166" i="4"/>
  <c r="AO166" i="4"/>
  <c r="AM166" i="4"/>
  <c r="AL166" i="4"/>
  <c r="AI166" i="4"/>
  <c r="AK166" i="4" s="1"/>
  <c r="AZ165" i="4"/>
  <c r="AY165" i="4"/>
  <c r="AX165" i="4"/>
  <c r="AV165" i="4"/>
  <c r="AU165" i="4"/>
  <c r="AS165" i="4"/>
  <c r="AW165" i="4" s="1"/>
  <c r="AR165" i="4"/>
  <c r="AQ165" i="4"/>
  <c r="AP165" i="4"/>
  <c r="AO165" i="4"/>
  <c r="AM165" i="4"/>
  <c r="AL165" i="4"/>
  <c r="AI165" i="4"/>
  <c r="AN165" i="4" s="1"/>
  <c r="AZ164" i="4"/>
  <c r="AY164" i="4"/>
  <c r="AX164" i="4"/>
  <c r="AV164" i="4"/>
  <c r="AU164" i="4"/>
  <c r="AS164" i="4"/>
  <c r="AW164" i="4" s="1"/>
  <c r="AR164" i="4"/>
  <c r="AQ164" i="4"/>
  <c r="AP164" i="4"/>
  <c r="AO164" i="4"/>
  <c r="AM164" i="4"/>
  <c r="AL164" i="4"/>
  <c r="AI164" i="4"/>
  <c r="AK164" i="4" s="1"/>
  <c r="AS163" i="4"/>
  <c r="AI163" i="4"/>
  <c r="AS162" i="4"/>
  <c r="AX162" i="4" s="1"/>
  <c r="AI162" i="4"/>
  <c r="AS161" i="4"/>
  <c r="AI161" i="4"/>
  <c r="AQ161" i="4" s="1"/>
  <c r="AS160" i="4"/>
  <c r="AI160" i="4"/>
  <c r="AA273" i="4"/>
  <c r="W273" i="4"/>
  <c r="S273" i="4"/>
  <c r="AA272" i="4"/>
  <c r="Z272" i="4"/>
  <c r="Y272" i="4"/>
  <c r="W272" i="4"/>
  <c r="V272" i="4"/>
  <c r="U272" i="4"/>
  <c r="S272" i="4"/>
  <c r="R272" i="4"/>
  <c r="Q272" i="4"/>
  <c r="O272" i="4"/>
  <c r="N272" i="4"/>
  <c r="M272" i="4"/>
  <c r="L272" i="4"/>
  <c r="K272" i="4"/>
  <c r="J272" i="4"/>
  <c r="I272" i="4"/>
  <c r="H272" i="4"/>
  <c r="AA271" i="4"/>
  <c r="W271" i="4"/>
  <c r="S271" i="4"/>
  <c r="AA270" i="4"/>
  <c r="Z270" i="4"/>
  <c r="Y270" i="4"/>
  <c r="W270" i="4"/>
  <c r="V270" i="4"/>
  <c r="U270" i="4"/>
  <c r="S270" i="4"/>
  <c r="R270" i="4"/>
  <c r="Q270" i="4"/>
  <c r="O270" i="4"/>
  <c r="N270" i="4"/>
  <c r="M270" i="4"/>
  <c r="L270" i="4"/>
  <c r="K270" i="4"/>
  <c r="J270" i="4"/>
  <c r="I270" i="4"/>
  <c r="H270" i="4"/>
  <c r="AA269" i="4"/>
  <c r="W269" i="4"/>
  <c r="S269" i="4"/>
  <c r="AA267" i="4"/>
  <c r="W267" i="4"/>
  <c r="S267" i="4"/>
  <c r="AA266" i="4"/>
  <c r="Z266" i="4"/>
  <c r="Y266" i="4"/>
  <c r="W266" i="4"/>
  <c r="V266" i="4"/>
  <c r="U266" i="4"/>
  <c r="S266" i="4"/>
  <c r="R266" i="4"/>
  <c r="Q266" i="4"/>
  <c r="O266" i="4"/>
  <c r="N266" i="4"/>
  <c r="M266" i="4"/>
  <c r="L266" i="4"/>
  <c r="K266" i="4"/>
  <c r="J266" i="4"/>
  <c r="I266" i="4"/>
  <c r="H266" i="4"/>
  <c r="AA265" i="4"/>
  <c r="W265" i="4"/>
  <c r="S265" i="4"/>
  <c r="AA264" i="4"/>
  <c r="W264" i="4"/>
  <c r="S264" i="4"/>
  <c r="AA263" i="4"/>
  <c r="W263" i="4"/>
  <c r="S263" i="4"/>
  <c r="AA261" i="4"/>
  <c r="W261" i="4"/>
  <c r="S261" i="4"/>
  <c r="AA260" i="4"/>
  <c r="Z260" i="4"/>
  <c r="Y260" i="4"/>
  <c r="W260" i="4"/>
  <c r="V260" i="4"/>
  <c r="U260" i="4"/>
  <c r="S260" i="4"/>
  <c r="R260" i="4"/>
  <c r="Q260" i="4"/>
  <c r="O260" i="4"/>
  <c r="N260" i="4"/>
  <c r="M260" i="4"/>
  <c r="L260" i="4"/>
  <c r="K260" i="4"/>
  <c r="J260" i="4"/>
  <c r="I260" i="4"/>
  <c r="H260" i="4"/>
  <c r="AA259" i="4"/>
  <c r="W259" i="4"/>
  <c r="S259" i="4"/>
  <c r="AA258" i="4"/>
  <c r="W258" i="4"/>
  <c r="S258" i="4"/>
  <c r="AA257" i="4"/>
  <c r="W257" i="4"/>
  <c r="S257" i="4"/>
  <c r="AA255" i="4"/>
  <c r="W255" i="4"/>
  <c r="S255" i="4"/>
  <c r="AA254" i="4"/>
  <c r="Z254" i="4"/>
  <c r="Y254" i="4"/>
  <c r="W254" i="4"/>
  <c r="V254" i="4"/>
  <c r="U254" i="4"/>
  <c r="S254" i="4"/>
  <c r="R254" i="4"/>
  <c r="Q254" i="4"/>
  <c r="O254" i="4"/>
  <c r="N254" i="4"/>
  <c r="M254" i="4"/>
  <c r="L254" i="4"/>
  <c r="K254" i="4"/>
  <c r="J254" i="4"/>
  <c r="I254" i="4"/>
  <c r="H254" i="4"/>
  <c r="AA253" i="4"/>
  <c r="W253" i="4"/>
  <c r="S253" i="4"/>
  <c r="AA252" i="4"/>
  <c r="W252" i="4"/>
  <c r="S252" i="4"/>
  <c r="AA251" i="4"/>
  <c r="W251" i="4"/>
  <c r="S251" i="4"/>
  <c r="AA249" i="4"/>
  <c r="W249" i="4"/>
  <c r="S249" i="4"/>
  <c r="AA248" i="4"/>
  <c r="Z248" i="4"/>
  <c r="Y248" i="4"/>
  <c r="W248" i="4"/>
  <c r="V248" i="4"/>
  <c r="U248" i="4"/>
  <c r="S248" i="4"/>
  <c r="R248" i="4"/>
  <c r="Q248" i="4"/>
  <c r="O248" i="4"/>
  <c r="N248" i="4"/>
  <c r="M248" i="4"/>
  <c r="L248" i="4"/>
  <c r="K248" i="4"/>
  <c r="J248" i="4"/>
  <c r="I248" i="4"/>
  <c r="H248" i="4"/>
  <c r="AA247" i="4"/>
  <c r="W247" i="4"/>
  <c r="S247" i="4"/>
  <c r="AA246" i="4"/>
  <c r="W246" i="4"/>
  <c r="S246" i="4"/>
  <c r="AA245" i="4"/>
  <c r="W245" i="4"/>
  <c r="S245" i="4"/>
  <c r="AM163" i="4" l="1"/>
  <c r="AR163" i="4"/>
  <c r="AO163" i="4"/>
  <c r="AP163" i="4" s="1"/>
  <c r="AL163" i="4"/>
  <c r="AQ163" i="4"/>
  <c r="AU162" i="4"/>
  <c r="AW162" i="4" s="1"/>
  <c r="AZ162" i="4"/>
  <c r="AV162" i="4"/>
  <c r="AY162" i="4"/>
  <c r="AT166" i="4"/>
  <c r="AT164" i="4"/>
  <c r="AK165" i="4"/>
  <c r="AK167" i="4"/>
  <c r="AK193" i="4"/>
  <c r="AT195" i="4"/>
  <c r="AW195" i="4" s="1"/>
  <c r="AK205" i="4"/>
  <c r="AT185" i="4"/>
  <c r="AO169" i="4"/>
  <c r="AP169" i="4" s="1"/>
  <c r="AR169" i="4"/>
  <c r="AW167" i="4"/>
  <c r="AN164" i="4"/>
  <c r="AT165" i="4"/>
  <c r="AN166" i="4"/>
  <c r="AV168" i="4"/>
  <c r="AT168" i="4" s="1"/>
  <c r="AZ168" i="4"/>
  <c r="AL169" i="4"/>
  <c r="AM169" i="4"/>
  <c r="AO161" i="4"/>
  <c r="AP161" i="4" s="1"/>
  <c r="AL161" i="4"/>
  <c r="AN161" i="4" s="1"/>
  <c r="AR161" i="4"/>
  <c r="AM161" i="4"/>
  <c r="AT162" i="4" l="1"/>
  <c r="AK163" i="4"/>
  <c r="AN163" i="4"/>
  <c r="AK161" i="4"/>
  <c r="AK169" i="4"/>
  <c r="AN169" i="4"/>
  <c r="AA243" i="4"/>
  <c r="W243" i="4"/>
  <c r="S243" i="4"/>
  <c r="AA242" i="4"/>
  <c r="W242" i="4"/>
  <c r="S242" i="4"/>
  <c r="AA241" i="4"/>
  <c r="W241" i="4"/>
  <c r="S241" i="4"/>
  <c r="AA240" i="4"/>
  <c r="W240" i="4"/>
  <c r="S240" i="4"/>
  <c r="AA239" i="4"/>
  <c r="W239" i="4"/>
  <c r="S239" i="4"/>
  <c r="AA237" i="4"/>
  <c r="W237" i="4"/>
  <c r="S237" i="4"/>
  <c r="AA236" i="4"/>
  <c r="Z236" i="4"/>
  <c r="Y236" i="4"/>
  <c r="W236" i="4"/>
  <c r="V236" i="4"/>
  <c r="U236" i="4"/>
  <c r="S236" i="4"/>
  <c r="R236" i="4"/>
  <c r="Q236" i="4"/>
  <c r="O236" i="4"/>
  <c r="N236" i="4"/>
  <c r="M236" i="4"/>
  <c r="L236" i="4"/>
  <c r="K236" i="4"/>
  <c r="J236" i="4"/>
  <c r="I236" i="4"/>
  <c r="H236" i="4"/>
  <c r="AA235" i="4"/>
  <c r="Z235" i="4"/>
  <c r="Y235" i="4"/>
  <c r="W235" i="4"/>
  <c r="V235" i="4"/>
  <c r="U235" i="4"/>
  <c r="S235" i="4"/>
  <c r="R235" i="4"/>
  <c r="Q235" i="4"/>
  <c r="O235" i="4"/>
  <c r="N235" i="4"/>
  <c r="M235" i="4"/>
  <c r="L235" i="4"/>
  <c r="K235" i="4"/>
  <c r="J235" i="4"/>
  <c r="I235" i="4"/>
  <c r="H235" i="4"/>
  <c r="AA234" i="4"/>
  <c r="W234" i="4"/>
  <c r="S234" i="4"/>
  <c r="AA233" i="4"/>
  <c r="W233" i="4"/>
  <c r="S233" i="4"/>
  <c r="AA231" i="4"/>
  <c r="W231" i="4"/>
  <c r="S231" i="4"/>
  <c r="AA230" i="4"/>
  <c r="Z230" i="4"/>
  <c r="Y230" i="4"/>
  <c r="W230" i="4"/>
  <c r="V230" i="4"/>
  <c r="U230" i="4"/>
  <c r="S230" i="4"/>
  <c r="R230" i="4"/>
  <c r="Q230" i="4"/>
  <c r="O230" i="4"/>
  <c r="N230" i="4"/>
  <c r="M230" i="4"/>
  <c r="L230" i="4"/>
  <c r="K230" i="4"/>
  <c r="J230" i="4"/>
  <c r="I230" i="4"/>
  <c r="H230" i="4"/>
  <c r="AA229" i="4"/>
  <c r="W229" i="4"/>
  <c r="S229" i="4"/>
  <c r="AA228" i="4"/>
  <c r="W228" i="4"/>
  <c r="S228" i="4"/>
  <c r="AA227" i="4"/>
  <c r="W227" i="4"/>
  <c r="S227" i="4"/>
  <c r="AA225" i="4"/>
  <c r="W225" i="4"/>
  <c r="S225" i="4"/>
  <c r="AA224" i="4"/>
  <c r="Z224" i="4"/>
  <c r="Y224" i="4"/>
  <c r="W224" i="4"/>
  <c r="V224" i="4"/>
  <c r="U224" i="4"/>
  <c r="S224" i="4"/>
  <c r="R224" i="4"/>
  <c r="Q224" i="4"/>
  <c r="O224" i="4"/>
  <c r="N224" i="4"/>
  <c r="M224" i="4"/>
  <c r="L224" i="4"/>
  <c r="K224" i="4"/>
  <c r="J224" i="4"/>
  <c r="I224" i="4"/>
  <c r="H224" i="4"/>
  <c r="AA223" i="4"/>
  <c r="W223" i="4"/>
  <c r="S223" i="4"/>
  <c r="AA222" i="4"/>
  <c r="W222" i="4"/>
  <c r="S222" i="4"/>
  <c r="AA221" i="4"/>
  <c r="W221" i="4"/>
  <c r="S221" i="4"/>
  <c r="AA219" i="4" l="1"/>
  <c r="W219" i="4"/>
  <c r="S219" i="4"/>
  <c r="AA218" i="4"/>
  <c r="Z218" i="4"/>
  <c r="Y218" i="4"/>
  <c r="W218" i="4"/>
  <c r="V218" i="4"/>
  <c r="U218" i="4"/>
  <c r="S218" i="4"/>
  <c r="R218" i="4"/>
  <c r="Q218" i="4"/>
  <c r="O218" i="4"/>
  <c r="N218" i="4"/>
  <c r="M218" i="4"/>
  <c r="L218" i="4"/>
  <c r="K218" i="4"/>
  <c r="J218" i="4"/>
  <c r="I218" i="4"/>
  <c r="H218" i="4"/>
  <c r="AA217" i="4"/>
  <c r="W217" i="4"/>
  <c r="S217" i="4"/>
  <c r="AA216" i="4"/>
  <c r="W216" i="4"/>
  <c r="S216" i="4"/>
  <c r="AA215" i="4"/>
  <c r="W215" i="4"/>
  <c r="S215" i="4"/>
  <c r="AA213" i="4" l="1"/>
  <c r="W213" i="4"/>
  <c r="S213" i="4"/>
  <c r="AA212" i="4"/>
  <c r="W212" i="4"/>
  <c r="S212" i="4"/>
  <c r="AA211" i="4"/>
  <c r="Z211" i="4"/>
  <c r="Y211" i="4"/>
  <c r="W211" i="4"/>
  <c r="V211" i="4"/>
  <c r="U211" i="4"/>
  <c r="S211" i="4"/>
  <c r="R211" i="4"/>
  <c r="Q211" i="4"/>
  <c r="O211" i="4"/>
  <c r="N211" i="4"/>
  <c r="M211" i="4"/>
  <c r="L211" i="4"/>
  <c r="K211" i="4"/>
  <c r="J211" i="4"/>
  <c r="I211" i="4"/>
  <c r="H211" i="4"/>
  <c r="AA210" i="4"/>
  <c r="Z210" i="4"/>
  <c r="Y210" i="4"/>
  <c r="W210" i="4"/>
  <c r="V210" i="4"/>
  <c r="U210" i="4"/>
  <c r="S210" i="4"/>
  <c r="R210" i="4"/>
  <c r="Q210" i="4"/>
  <c r="O210" i="4"/>
  <c r="N210" i="4"/>
  <c r="M210" i="4"/>
  <c r="L210" i="4"/>
  <c r="K210" i="4"/>
  <c r="J210" i="4"/>
  <c r="I210" i="4"/>
  <c r="H210" i="4"/>
  <c r="AA209" i="4"/>
  <c r="Z209" i="4"/>
  <c r="Y209" i="4"/>
  <c r="W209" i="4"/>
  <c r="V209" i="4"/>
  <c r="U209" i="4"/>
  <c r="S209" i="4"/>
  <c r="R209" i="4"/>
  <c r="Q209" i="4"/>
  <c r="O209" i="4"/>
  <c r="N209" i="4"/>
  <c r="M209" i="4"/>
  <c r="L209" i="4"/>
  <c r="K209" i="4"/>
  <c r="J209" i="4"/>
  <c r="I209" i="4"/>
  <c r="H209" i="4"/>
  <c r="AA208" i="4"/>
  <c r="Z208" i="4"/>
  <c r="Y208" i="4"/>
  <c r="W208" i="4"/>
  <c r="V208" i="4"/>
  <c r="U208" i="4"/>
  <c r="S208" i="4"/>
  <c r="R208" i="4"/>
  <c r="Q208" i="4"/>
  <c r="O208" i="4"/>
  <c r="N208" i="4"/>
  <c r="M208" i="4"/>
  <c r="L208" i="4"/>
  <c r="K208" i="4"/>
  <c r="J208" i="4"/>
  <c r="I208" i="4"/>
  <c r="H208" i="4"/>
  <c r="AA207" i="4"/>
  <c r="Z207" i="4"/>
  <c r="Y207" i="4"/>
  <c r="W207" i="4"/>
  <c r="V207" i="4"/>
  <c r="U207" i="4"/>
  <c r="S207" i="4"/>
  <c r="R207" i="4"/>
  <c r="Q207" i="4"/>
  <c r="O207" i="4"/>
  <c r="N207" i="4"/>
  <c r="M207" i="4"/>
  <c r="L207" i="4"/>
  <c r="K207" i="4"/>
  <c r="J207" i="4"/>
  <c r="I207" i="4"/>
  <c r="H207" i="4"/>
  <c r="AA206" i="4"/>
  <c r="Z206" i="4"/>
  <c r="Y206" i="4"/>
  <c r="W206" i="4"/>
  <c r="V206" i="4"/>
  <c r="U206" i="4"/>
  <c r="S206" i="4"/>
  <c r="R206" i="4"/>
  <c r="Q206" i="4"/>
  <c r="O206" i="4"/>
  <c r="N206" i="4"/>
  <c r="M206" i="4"/>
  <c r="L206" i="4"/>
  <c r="K206" i="4"/>
  <c r="J206" i="4"/>
  <c r="I206" i="4"/>
  <c r="H206" i="4"/>
  <c r="AA205" i="4"/>
  <c r="AA204" i="4"/>
  <c r="W205" i="4"/>
  <c r="W204" i="4"/>
  <c r="S205" i="4"/>
  <c r="S204" i="4"/>
  <c r="I200" i="4"/>
  <c r="AA202" i="4"/>
  <c r="W202" i="4"/>
  <c r="S202" i="4"/>
  <c r="AA201" i="4"/>
  <c r="W201" i="4"/>
  <c r="S201" i="4"/>
  <c r="AA200" i="4"/>
  <c r="Z200" i="4"/>
  <c r="Y200" i="4"/>
  <c r="W200" i="4"/>
  <c r="V200" i="4"/>
  <c r="U200" i="4"/>
  <c r="S200" i="4"/>
  <c r="R200" i="4"/>
  <c r="Q200" i="4"/>
  <c r="O200" i="4"/>
  <c r="N200" i="4"/>
  <c r="M200" i="4"/>
  <c r="L200" i="4"/>
  <c r="K200" i="4"/>
  <c r="J200" i="4"/>
  <c r="H200" i="4"/>
  <c r="AA199" i="4"/>
  <c r="Z199" i="4"/>
  <c r="Y199" i="4"/>
  <c r="W199" i="4"/>
  <c r="V199" i="4"/>
  <c r="U199" i="4"/>
  <c r="S199" i="4"/>
  <c r="R199" i="4"/>
  <c r="Q199" i="4"/>
  <c r="O199" i="4"/>
  <c r="N199" i="4"/>
  <c r="M199" i="4"/>
  <c r="L199" i="4"/>
  <c r="K199" i="4"/>
  <c r="J199" i="4"/>
  <c r="I199" i="4"/>
  <c r="H199" i="4"/>
  <c r="AA198" i="4"/>
  <c r="Z198" i="4"/>
  <c r="Y198" i="4"/>
  <c r="W198" i="4"/>
  <c r="V198" i="4"/>
  <c r="U198" i="4"/>
  <c r="S198" i="4"/>
  <c r="R198" i="4"/>
  <c r="Q198" i="4"/>
  <c r="O198" i="4"/>
  <c r="N198" i="4"/>
  <c r="M198" i="4"/>
  <c r="L198" i="4"/>
  <c r="K198" i="4"/>
  <c r="J198" i="4"/>
  <c r="I198" i="4"/>
  <c r="H198" i="4"/>
  <c r="AA197" i="4"/>
  <c r="W197" i="4"/>
  <c r="S197" i="4"/>
  <c r="AA196" i="4"/>
  <c r="Z196" i="4"/>
  <c r="Y196" i="4"/>
  <c r="W196" i="4"/>
  <c r="V196" i="4"/>
  <c r="U196" i="4"/>
  <c r="S196" i="4"/>
  <c r="R196" i="4"/>
  <c r="Q196" i="4"/>
  <c r="O196" i="4"/>
  <c r="N196" i="4"/>
  <c r="M196" i="4"/>
  <c r="L196" i="4"/>
  <c r="K196" i="4"/>
  <c r="J196" i="4"/>
  <c r="I196" i="4"/>
  <c r="H196" i="4"/>
  <c r="AA195" i="4"/>
  <c r="W195" i="4"/>
  <c r="S195" i="4"/>
  <c r="AA194" i="4"/>
  <c r="AA193" i="4"/>
  <c r="W194" i="4"/>
  <c r="W193" i="4"/>
  <c r="S194" i="4"/>
  <c r="S193" i="4"/>
  <c r="AA191" i="4"/>
  <c r="W191" i="4"/>
  <c r="S191" i="4"/>
  <c r="AA190" i="4"/>
  <c r="W190" i="4"/>
  <c r="S190" i="4"/>
  <c r="AA189" i="4"/>
  <c r="Z189" i="4"/>
  <c r="Y189" i="4"/>
  <c r="W189" i="4"/>
  <c r="V189" i="4"/>
  <c r="U189" i="4"/>
  <c r="S189" i="4"/>
  <c r="R189" i="4"/>
  <c r="Q189" i="4"/>
  <c r="O189" i="4"/>
  <c r="N189" i="4"/>
  <c r="M189" i="4"/>
  <c r="L189" i="4"/>
  <c r="K189" i="4"/>
  <c r="J189" i="4"/>
  <c r="I189" i="4"/>
  <c r="H189" i="4"/>
  <c r="AA188" i="4"/>
  <c r="Z188" i="4"/>
  <c r="Y188" i="4"/>
  <c r="W188" i="4"/>
  <c r="V188" i="4"/>
  <c r="U188" i="4"/>
  <c r="S188" i="4"/>
  <c r="R188" i="4"/>
  <c r="Q188" i="4"/>
  <c r="O188" i="4"/>
  <c r="N188" i="4"/>
  <c r="M188" i="4"/>
  <c r="L188" i="4"/>
  <c r="K188" i="4"/>
  <c r="J188" i="4"/>
  <c r="I188" i="4"/>
  <c r="H188" i="4"/>
  <c r="AA187" i="4"/>
  <c r="Z187" i="4"/>
  <c r="Y187" i="4"/>
  <c r="W187" i="4"/>
  <c r="V187" i="4"/>
  <c r="U187" i="4"/>
  <c r="S187" i="4"/>
  <c r="R187" i="4"/>
  <c r="Q187" i="4"/>
  <c r="O187" i="4"/>
  <c r="N187" i="4"/>
  <c r="M187" i="4"/>
  <c r="L187" i="4"/>
  <c r="K187" i="4"/>
  <c r="J187" i="4"/>
  <c r="I187" i="4"/>
  <c r="H187" i="4"/>
  <c r="AA186" i="4"/>
  <c r="Z186" i="4"/>
  <c r="Y186" i="4"/>
  <c r="W186" i="4"/>
  <c r="V186" i="4"/>
  <c r="U186" i="4"/>
  <c r="S186" i="4"/>
  <c r="R186" i="4"/>
  <c r="Q186" i="4"/>
  <c r="O186" i="4"/>
  <c r="N186" i="4"/>
  <c r="M186" i="4"/>
  <c r="L186" i="4"/>
  <c r="K186" i="4"/>
  <c r="J186" i="4"/>
  <c r="I186" i="4"/>
  <c r="H186" i="4"/>
  <c r="AA185" i="4"/>
  <c r="W185" i="4"/>
  <c r="S185" i="4"/>
  <c r="AA184" i="4"/>
  <c r="W184" i="4"/>
  <c r="S184" i="4"/>
  <c r="AA183" i="4"/>
  <c r="AA182" i="4"/>
  <c r="W183" i="4"/>
  <c r="W182" i="4"/>
  <c r="S183" i="4"/>
  <c r="S182" i="4"/>
  <c r="AM191" i="4" l="1"/>
  <c r="AR191" i="4"/>
  <c r="AQ191" i="4"/>
  <c r="AA180" i="4"/>
  <c r="Z180" i="4"/>
  <c r="Y180" i="4"/>
  <c r="W180" i="4"/>
  <c r="V180" i="4"/>
  <c r="U180" i="4"/>
  <c r="S180" i="4"/>
  <c r="R180" i="4"/>
  <c r="Q180" i="4"/>
  <c r="O180" i="4"/>
  <c r="N180" i="4"/>
  <c r="M180" i="4"/>
  <c r="L180" i="4"/>
  <c r="K180" i="4"/>
  <c r="J180" i="4"/>
  <c r="I180" i="4"/>
  <c r="H180" i="4"/>
  <c r="AA179" i="4"/>
  <c r="Z179" i="4"/>
  <c r="Y179" i="4"/>
  <c r="W179" i="4"/>
  <c r="V179" i="4"/>
  <c r="U179" i="4"/>
  <c r="S179" i="4"/>
  <c r="R179" i="4"/>
  <c r="Q179" i="4"/>
  <c r="O179" i="4"/>
  <c r="N179" i="4"/>
  <c r="M179" i="4"/>
  <c r="L179" i="4"/>
  <c r="K179" i="4"/>
  <c r="J179" i="4"/>
  <c r="I179" i="4"/>
  <c r="H179" i="4"/>
  <c r="AA178" i="4"/>
  <c r="Z178" i="4"/>
  <c r="Y178" i="4"/>
  <c r="W178" i="4"/>
  <c r="V178" i="4"/>
  <c r="U178" i="4"/>
  <c r="S178" i="4"/>
  <c r="R178" i="4"/>
  <c r="Q178" i="4"/>
  <c r="O178" i="4"/>
  <c r="N178" i="4"/>
  <c r="M178" i="4"/>
  <c r="L178" i="4"/>
  <c r="K178" i="4"/>
  <c r="J178" i="4"/>
  <c r="I178" i="4"/>
  <c r="H178" i="4"/>
  <c r="AA177" i="4"/>
  <c r="Z177" i="4"/>
  <c r="Y177" i="4"/>
  <c r="W177" i="4"/>
  <c r="V177" i="4"/>
  <c r="U177" i="4"/>
  <c r="S177" i="4"/>
  <c r="R177" i="4"/>
  <c r="Q177" i="4"/>
  <c r="O177" i="4"/>
  <c r="N177" i="4"/>
  <c r="M177" i="4"/>
  <c r="L177" i="4"/>
  <c r="K177" i="4"/>
  <c r="J177" i="4"/>
  <c r="I177" i="4"/>
  <c r="H177" i="4"/>
  <c r="AA176" i="4"/>
  <c r="W176" i="4"/>
  <c r="S176" i="4"/>
  <c r="AA175" i="4"/>
  <c r="W175" i="4"/>
  <c r="S175" i="4"/>
  <c r="AA174" i="4"/>
  <c r="Z174" i="4"/>
  <c r="Y174" i="4"/>
  <c r="W174" i="4"/>
  <c r="V174" i="4"/>
  <c r="U174" i="4"/>
  <c r="S174" i="4"/>
  <c r="R174" i="4"/>
  <c r="Q174" i="4"/>
  <c r="O174" i="4"/>
  <c r="N174" i="4"/>
  <c r="M174" i="4"/>
  <c r="L174" i="4"/>
  <c r="K174" i="4"/>
  <c r="J174" i="4"/>
  <c r="I174" i="4"/>
  <c r="H174" i="4"/>
  <c r="AA173" i="4"/>
  <c r="W173" i="4"/>
  <c r="S173" i="4"/>
  <c r="AA172" i="4"/>
  <c r="AA171" i="4"/>
  <c r="Z172" i="4"/>
  <c r="Y172" i="4"/>
  <c r="W172" i="4"/>
  <c r="W171" i="4"/>
  <c r="V172" i="4"/>
  <c r="U172" i="4"/>
  <c r="S171" i="4"/>
  <c r="S172" i="4"/>
  <c r="W160" i="4"/>
  <c r="W161" i="4"/>
  <c r="W162" i="4"/>
  <c r="W163" i="4"/>
  <c r="W164" i="4"/>
  <c r="W165" i="4"/>
  <c r="W166" i="4"/>
  <c r="W167" i="4"/>
  <c r="W169" i="4"/>
  <c r="W168" i="4"/>
  <c r="R172" i="4"/>
  <c r="Q172" i="4"/>
  <c r="O172" i="4"/>
  <c r="N172" i="4"/>
  <c r="M172" i="4"/>
  <c r="K172" i="4"/>
  <c r="J172" i="4"/>
  <c r="AA169" i="4"/>
  <c r="S169" i="4"/>
  <c r="AA168" i="4"/>
  <c r="S168" i="4"/>
  <c r="AA167" i="4"/>
  <c r="Z167" i="4"/>
  <c r="Y167" i="4"/>
  <c r="V167" i="4"/>
  <c r="U167" i="4"/>
  <c r="S167" i="4"/>
  <c r="R167" i="4"/>
  <c r="Q167" i="4"/>
  <c r="O167" i="4"/>
  <c r="N167" i="4"/>
  <c r="M167" i="4"/>
  <c r="L167" i="4"/>
  <c r="K167" i="4"/>
  <c r="J167" i="4"/>
  <c r="I167" i="4"/>
  <c r="H167" i="4"/>
  <c r="AA166" i="4"/>
  <c r="Z166" i="4"/>
  <c r="Y166" i="4"/>
  <c r="V166" i="4"/>
  <c r="U166" i="4"/>
  <c r="S166" i="4"/>
  <c r="R166" i="4"/>
  <c r="Q166" i="4"/>
  <c r="O166" i="4"/>
  <c r="N166" i="4"/>
  <c r="M166" i="4"/>
  <c r="L166" i="4"/>
  <c r="K166" i="4"/>
  <c r="J166" i="4"/>
  <c r="I166" i="4"/>
  <c r="H166" i="4"/>
  <c r="AA165" i="4"/>
  <c r="Z165" i="4"/>
  <c r="Y165" i="4"/>
  <c r="V165" i="4"/>
  <c r="U165" i="4"/>
  <c r="S165" i="4"/>
  <c r="R165" i="4"/>
  <c r="Q165" i="4"/>
  <c r="O165" i="4"/>
  <c r="N165" i="4"/>
  <c r="M165" i="4"/>
  <c r="L165" i="4"/>
  <c r="K165" i="4"/>
  <c r="J165" i="4"/>
  <c r="I165" i="4"/>
  <c r="H165" i="4"/>
  <c r="AA164" i="4"/>
  <c r="Z164" i="4"/>
  <c r="Y164" i="4"/>
  <c r="V164" i="4"/>
  <c r="U164" i="4"/>
  <c r="S164" i="4"/>
  <c r="R164" i="4"/>
  <c r="Q164" i="4"/>
  <c r="O164" i="4"/>
  <c r="N164" i="4"/>
  <c r="M164" i="4"/>
  <c r="L164" i="4"/>
  <c r="K164" i="4"/>
  <c r="J164" i="4"/>
  <c r="I164" i="4"/>
  <c r="H164" i="4"/>
  <c r="AA163" i="4"/>
  <c r="S163" i="4"/>
  <c r="AA162" i="4"/>
  <c r="S162" i="4"/>
  <c r="AA161" i="4"/>
  <c r="AA160" i="4"/>
  <c r="S161" i="4"/>
  <c r="S160" i="4"/>
  <c r="BK23" i="4" l="1"/>
  <c r="BT23" i="4"/>
  <c r="BS23" i="4"/>
  <c r="BR23" i="4"/>
  <c r="BQ23" i="4"/>
  <c r="BP23" i="4"/>
  <c r="BO23" i="4"/>
  <c r="BN23" i="4"/>
  <c r="BM23" i="4"/>
  <c r="BL23" i="4"/>
  <c r="BI23" i="4"/>
  <c r="BJ23" i="4" s="1"/>
  <c r="BR18" i="4"/>
  <c r="BR17" i="4"/>
  <c r="BK18" i="4"/>
  <c r="BK17" i="4"/>
  <c r="BI18" i="4"/>
  <c r="BJ18" i="4" s="1"/>
  <c r="BI17" i="4"/>
  <c r="BJ17" i="4" s="1"/>
  <c r="BI12" i="4"/>
  <c r="BJ12" i="4" s="1"/>
  <c r="BI11" i="4"/>
  <c r="BJ11" i="4" s="1"/>
  <c r="BN18" i="4"/>
  <c r="BN17" i="4"/>
  <c r="BM18" i="4"/>
  <c r="BM17" i="4"/>
  <c r="BL18" i="4"/>
  <c r="BL17" i="4"/>
  <c r="BT18" i="4"/>
  <c r="BT17" i="4"/>
  <c r="BS18" i="4"/>
  <c r="BS17" i="4"/>
  <c r="BK12" i="4"/>
  <c r="BK11" i="4"/>
  <c r="BQ12" i="4"/>
  <c r="BP12" i="4"/>
  <c r="BO12" i="4"/>
  <c r="BN12" i="4"/>
  <c r="BM12" i="4"/>
  <c r="BL12" i="4"/>
  <c r="BQ11" i="4"/>
  <c r="BP11" i="4"/>
  <c r="BO11" i="4"/>
  <c r="BN11" i="4"/>
  <c r="BM11" i="4"/>
  <c r="BL11" i="4"/>
  <c r="AN25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I22" i="7" l="1"/>
  <c r="O27" i="7" l="1"/>
  <c r="N27" i="7"/>
  <c r="M27" i="7"/>
  <c r="L27" i="7"/>
  <c r="K27" i="7"/>
  <c r="J27" i="7"/>
  <c r="I27" i="7"/>
  <c r="C27" i="7"/>
  <c r="H27" i="7" l="1"/>
  <c r="D27" i="7"/>
  <c r="G27" i="7"/>
  <c r="F27" i="7"/>
  <c r="E27" i="7"/>
  <c r="O22" i="7"/>
  <c r="N22" i="7"/>
  <c r="M22" i="7"/>
  <c r="L22" i="7"/>
  <c r="K22" i="7"/>
  <c r="J22" i="7"/>
  <c r="E158" i="4" l="1"/>
  <c r="AS156" i="4"/>
  <c r="AI156" i="4"/>
  <c r="AZ155" i="4"/>
  <c r="AY155" i="4"/>
  <c r="AX155" i="4"/>
  <c r="AV155" i="4"/>
  <c r="AU155" i="4"/>
  <c r="AS155" i="4"/>
  <c r="AW155" i="4" s="1"/>
  <c r="AR155" i="4"/>
  <c r="AQ155" i="4"/>
  <c r="AP155" i="4"/>
  <c r="AO155" i="4"/>
  <c r="AM155" i="4"/>
  <c r="AL155" i="4"/>
  <c r="AI155" i="4"/>
  <c r="AK155" i="4" s="1"/>
  <c r="AS154" i="4"/>
  <c r="AI154" i="4"/>
  <c r="AZ153" i="4"/>
  <c r="AY153" i="4"/>
  <c r="AX153" i="4"/>
  <c r="AV153" i="4"/>
  <c r="AU153" i="4"/>
  <c r="AS153" i="4"/>
  <c r="AW153" i="4" s="1"/>
  <c r="AR153" i="4"/>
  <c r="AQ153" i="4"/>
  <c r="AP153" i="4"/>
  <c r="AO153" i="4"/>
  <c r="AM153" i="4"/>
  <c r="AL153" i="4"/>
  <c r="AI153" i="4"/>
  <c r="AK153" i="4" s="1"/>
  <c r="AI152" i="4"/>
  <c r="AO152" i="4" s="1"/>
  <c r="AP152" i="4" s="1"/>
  <c r="AS152" i="4"/>
  <c r="AA156" i="4"/>
  <c r="W156" i="4"/>
  <c r="S156" i="4"/>
  <c r="AA155" i="4"/>
  <c r="Z155" i="4"/>
  <c r="Y155" i="4"/>
  <c r="W155" i="4"/>
  <c r="V155" i="4"/>
  <c r="U155" i="4"/>
  <c r="S155" i="4"/>
  <c r="R155" i="4"/>
  <c r="Q155" i="4"/>
  <c r="O155" i="4"/>
  <c r="N155" i="4"/>
  <c r="M155" i="4"/>
  <c r="L155" i="4"/>
  <c r="K155" i="4"/>
  <c r="J155" i="4"/>
  <c r="I155" i="4"/>
  <c r="H155" i="4"/>
  <c r="AA154" i="4"/>
  <c r="W154" i="4"/>
  <c r="S154" i="4"/>
  <c r="AA153" i="4"/>
  <c r="Z153" i="4"/>
  <c r="Y153" i="4"/>
  <c r="W153" i="4"/>
  <c r="V153" i="4"/>
  <c r="U153" i="4"/>
  <c r="S153" i="4"/>
  <c r="R153" i="4"/>
  <c r="Q153" i="4"/>
  <c r="O153" i="4"/>
  <c r="N153" i="4"/>
  <c r="M153" i="4"/>
  <c r="L153" i="4"/>
  <c r="K153" i="4"/>
  <c r="J153" i="4"/>
  <c r="I153" i="4"/>
  <c r="H153" i="4"/>
  <c r="AA152" i="4"/>
  <c r="W152" i="4"/>
  <c r="S152" i="4"/>
  <c r="AZ150" i="4"/>
  <c r="AY150" i="4"/>
  <c r="AX150" i="4"/>
  <c r="AV150" i="4"/>
  <c r="AU150" i="4"/>
  <c r="AS150" i="4"/>
  <c r="AT150" i="4" s="1"/>
  <c r="AR150" i="4"/>
  <c r="AQ150" i="4"/>
  <c r="AP150" i="4"/>
  <c r="AO150" i="4"/>
  <c r="AM150" i="4"/>
  <c r="AL150" i="4"/>
  <c r="AI150" i="4"/>
  <c r="AZ149" i="4"/>
  <c r="AY149" i="4"/>
  <c r="AX149" i="4"/>
  <c r="AV149" i="4"/>
  <c r="AU149" i="4"/>
  <c r="AS149" i="4"/>
  <c r="AW149" i="4" s="1"/>
  <c r="AR149" i="4"/>
  <c r="AQ149" i="4"/>
  <c r="AP149" i="4"/>
  <c r="AO149" i="4"/>
  <c r="AM149" i="4"/>
  <c r="AL149" i="4"/>
  <c r="AI149" i="4"/>
  <c r="AK149" i="4" s="1"/>
  <c r="AZ148" i="4"/>
  <c r="AY148" i="4"/>
  <c r="AX148" i="4"/>
  <c r="AV148" i="4"/>
  <c r="AU148" i="4"/>
  <c r="AS148" i="4"/>
  <c r="AW148" i="4" s="1"/>
  <c r="AR148" i="4"/>
  <c r="AQ148" i="4"/>
  <c r="AP148" i="4"/>
  <c r="AO148" i="4"/>
  <c r="AM148" i="4"/>
  <c r="AL148" i="4"/>
  <c r="AI148" i="4"/>
  <c r="AN148" i="4" s="1"/>
  <c r="AZ147" i="4"/>
  <c r="AY147" i="4"/>
  <c r="AX147" i="4"/>
  <c r="AV147" i="4"/>
  <c r="AU147" i="4"/>
  <c r="AS147" i="4"/>
  <c r="AW147" i="4" s="1"/>
  <c r="AR147" i="4"/>
  <c r="AQ147" i="4"/>
  <c r="AP147" i="4"/>
  <c r="AO147" i="4"/>
  <c r="AM147" i="4"/>
  <c r="AL147" i="4"/>
  <c r="AI147" i="4"/>
  <c r="AK147" i="4" s="1"/>
  <c r="AZ146" i="4"/>
  <c r="AY146" i="4"/>
  <c r="AX146" i="4"/>
  <c r="AV146" i="4"/>
  <c r="AU146" i="4"/>
  <c r="AS146" i="4"/>
  <c r="AT146" i="4" s="1"/>
  <c r="AR146" i="4"/>
  <c r="AQ146" i="4"/>
  <c r="AP146" i="4"/>
  <c r="AO146" i="4"/>
  <c r="AM146" i="4"/>
  <c r="AL146" i="4"/>
  <c r="AI146" i="4"/>
  <c r="AA150" i="4"/>
  <c r="Z150" i="4"/>
  <c r="Y150" i="4"/>
  <c r="W150" i="4"/>
  <c r="V150" i="4"/>
  <c r="U150" i="4"/>
  <c r="S150" i="4"/>
  <c r="R150" i="4"/>
  <c r="Q150" i="4"/>
  <c r="O150" i="4"/>
  <c r="N150" i="4"/>
  <c r="M150" i="4"/>
  <c r="L150" i="4"/>
  <c r="K150" i="4"/>
  <c r="J150" i="4"/>
  <c r="I150" i="4"/>
  <c r="H150" i="4"/>
  <c r="AA149" i="4"/>
  <c r="Z149" i="4"/>
  <c r="Y149" i="4"/>
  <c r="W149" i="4"/>
  <c r="V149" i="4"/>
  <c r="U149" i="4"/>
  <c r="S149" i="4"/>
  <c r="R149" i="4"/>
  <c r="Q149" i="4"/>
  <c r="O149" i="4"/>
  <c r="N149" i="4"/>
  <c r="M149" i="4"/>
  <c r="L149" i="4"/>
  <c r="K149" i="4"/>
  <c r="J149" i="4"/>
  <c r="I149" i="4"/>
  <c r="H149" i="4"/>
  <c r="AA148" i="4"/>
  <c r="Z148" i="4"/>
  <c r="Y148" i="4"/>
  <c r="W148" i="4"/>
  <c r="V148" i="4"/>
  <c r="U148" i="4"/>
  <c r="S148" i="4"/>
  <c r="R148" i="4"/>
  <c r="Q148" i="4"/>
  <c r="O148" i="4"/>
  <c r="N148" i="4"/>
  <c r="M148" i="4"/>
  <c r="L148" i="4"/>
  <c r="K148" i="4"/>
  <c r="J148" i="4"/>
  <c r="I148" i="4"/>
  <c r="H148" i="4"/>
  <c r="AA147" i="4"/>
  <c r="Z147" i="4"/>
  <c r="Y147" i="4"/>
  <c r="W147" i="4"/>
  <c r="V147" i="4"/>
  <c r="U147" i="4"/>
  <c r="S147" i="4"/>
  <c r="R147" i="4"/>
  <c r="Q147" i="4"/>
  <c r="O147" i="4"/>
  <c r="N147" i="4"/>
  <c r="M147" i="4"/>
  <c r="L147" i="4"/>
  <c r="K147" i="4"/>
  <c r="J147" i="4"/>
  <c r="I147" i="4"/>
  <c r="H147" i="4"/>
  <c r="AA146" i="4"/>
  <c r="Z146" i="4"/>
  <c r="Y146" i="4"/>
  <c r="W146" i="4"/>
  <c r="V146" i="4"/>
  <c r="U146" i="4"/>
  <c r="S146" i="4"/>
  <c r="R146" i="4"/>
  <c r="Q146" i="4"/>
  <c r="O146" i="4"/>
  <c r="N146" i="4"/>
  <c r="M146" i="4"/>
  <c r="L146" i="4"/>
  <c r="K146" i="4"/>
  <c r="J146" i="4"/>
  <c r="I146" i="4"/>
  <c r="H146" i="4"/>
  <c r="AZ144" i="4"/>
  <c r="AY144" i="4"/>
  <c r="AX144" i="4"/>
  <c r="AV144" i="4"/>
  <c r="AU144" i="4"/>
  <c r="AS144" i="4"/>
  <c r="AT144" i="4" s="1"/>
  <c r="AR144" i="4"/>
  <c r="AQ144" i="4"/>
  <c r="AP144" i="4"/>
  <c r="AO144" i="4"/>
  <c r="AM144" i="4"/>
  <c r="AL144" i="4"/>
  <c r="AI144" i="4"/>
  <c r="AN144" i="4" s="1"/>
  <c r="AZ143" i="4"/>
  <c r="AY143" i="4"/>
  <c r="AX143" i="4"/>
  <c r="AV143" i="4"/>
  <c r="AU143" i="4"/>
  <c r="AS143" i="4"/>
  <c r="AW143" i="4" s="1"/>
  <c r="AR143" i="4"/>
  <c r="AQ143" i="4"/>
  <c r="AP143" i="4"/>
  <c r="AO143" i="4"/>
  <c r="AM143" i="4"/>
  <c r="AL143" i="4"/>
  <c r="AI143" i="4"/>
  <c r="AK143" i="4" s="1"/>
  <c r="AZ142" i="4"/>
  <c r="AY142" i="4"/>
  <c r="AX142" i="4"/>
  <c r="AV142" i="4"/>
  <c r="AU142" i="4"/>
  <c r="AS142" i="4"/>
  <c r="AT142" i="4" s="1"/>
  <c r="AR142" i="4"/>
  <c r="AQ142" i="4"/>
  <c r="AP142" i="4"/>
  <c r="AO142" i="4"/>
  <c r="AM142" i="4"/>
  <c r="AL142" i="4"/>
  <c r="AI142" i="4"/>
  <c r="AZ141" i="4"/>
  <c r="AY141" i="4"/>
  <c r="AX141" i="4"/>
  <c r="AV141" i="4"/>
  <c r="AU141" i="4"/>
  <c r="AS141" i="4"/>
  <c r="AW141" i="4" s="1"/>
  <c r="AR141" i="4"/>
  <c r="AQ141" i="4"/>
  <c r="AP141" i="4"/>
  <c r="AO141" i="4"/>
  <c r="AM141" i="4"/>
  <c r="AL141" i="4"/>
  <c r="AI141" i="4"/>
  <c r="AK141" i="4" s="1"/>
  <c r="AZ140" i="4"/>
  <c r="AY140" i="4"/>
  <c r="AX140" i="4"/>
  <c r="AV140" i="4"/>
  <c r="AU140" i="4"/>
  <c r="AS140" i="4"/>
  <c r="AW140" i="4" s="1"/>
  <c r="AR140" i="4"/>
  <c r="AQ140" i="4"/>
  <c r="AP140" i="4"/>
  <c r="AO140" i="4"/>
  <c r="AM140" i="4"/>
  <c r="AL140" i="4"/>
  <c r="AI140" i="4"/>
  <c r="AN140" i="4" s="1"/>
  <c r="AA144" i="4"/>
  <c r="Z144" i="4"/>
  <c r="Y144" i="4"/>
  <c r="W144" i="4"/>
  <c r="V144" i="4"/>
  <c r="U144" i="4"/>
  <c r="S144" i="4"/>
  <c r="R144" i="4"/>
  <c r="Q144" i="4"/>
  <c r="O144" i="4"/>
  <c r="N144" i="4"/>
  <c r="M144" i="4"/>
  <c r="L144" i="4"/>
  <c r="K144" i="4"/>
  <c r="J144" i="4"/>
  <c r="I144" i="4"/>
  <c r="H144" i="4"/>
  <c r="AA143" i="4"/>
  <c r="Z143" i="4"/>
  <c r="Y143" i="4"/>
  <c r="W143" i="4"/>
  <c r="V143" i="4"/>
  <c r="U143" i="4"/>
  <c r="S143" i="4"/>
  <c r="R143" i="4"/>
  <c r="Q143" i="4"/>
  <c r="O143" i="4"/>
  <c r="N143" i="4"/>
  <c r="M143" i="4"/>
  <c r="L143" i="4"/>
  <c r="K143" i="4"/>
  <c r="J143" i="4"/>
  <c r="I143" i="4"/>
  <c r="H143" i="4"/>
  <c r="AA142" i="4"/>
  <c r="Z142" i="4"/>
  <c r="Y142" i="4"/>
  <c r="W142" i="4"/>
  <c r="V142" i="4"/>
  <c r="U142" i="4"/>
  <c r="S142" i="4"/>
  <c r="R142" i="4"/>
  <c r="Q142" i="4"/>
  <c r="O142" i="4"/>
  <c r="N142" i="4"/>
  <c r="M142" i="4"/>
  <c r="L142" i="4"/>
  <c r="K142" i="4"/>
  <c r="J142" i="4"/>
  <c r="I142" i="4"/>
  <c r="H142" i="4"/>
  <c r="AA141" i="4"/>
  <c r="Z141" i="4"/>
  <c r="Y141" i="4"/>
  <c r="W141" i="4"/>
  <c r="V141" i="4"/>
  <c r="U141" i="4"/>
  <c r="S141" i="4"/>
  <c r="R141" i="4"/>
  <c r="Q141" i="4"/>
  <c r="O141" i="4"/>
  <c r="N141" i="4"/>
  <c r="M141" i="4"/>
  <c r="L141" i="4"/>
  <c r="K141" i="4"/>
  <c r="J141" i="4"/>
  <c r="I141" i="4"/>
  <c r="H141" i="4"/>
  <c r="AA140" i="4"/>
  <c r="Z140" i="4"/>
  <c r="Y140" i="4"/>
  <c r="W140" i="4"/>
  <c r="V140" i="4"/>
  <c r="U140" i="4"/>
  <c r="S140" i="4"/>
  <c r="R140" i="4"/>
  <c r="Q140" i="4"/>
  <c r="O140" i="4"/>
  <c r="N140" i="4"/>
  <c r="M140" i="4"/>
  <c r="L140" i="4"/>
  <c r="K140" i="4"/>
  <c r="J140" i="4"/>
  <c r="I140" i="4"/>
  <c r="H140" i="4"/>
  <c r="AZ138" i="4"/>
  <c r="AY138" i="4"/>
  <c r="AX138" i="4"/>
  <c r="AV138" i="4"/>
  <c r="AU138" i="4"/>
  <c r="AS138" i="4"/>
  <c r="AT138" i="4" s="1"/>
  <c r="AR138" i="4"/>
  <c r="AQ138" i="4"/>
  <c r="AP138" i="4"/>
  <c r="AO138" i="4"/>
  <c r="AM138" i="4"/>
  <c r="AL138" i="4"/>
  <c r="AI138" i="4"/>
  <c r="AK138" i="4" s="1"/>
  <c r="AZ137" i="4"/>
  <c r="AY137" i="4"/>
  <c r="AX137" i="4"/>
  <c r="AV137" i="4"/>
  <c r="AU137" i="4"/>
  <c r="AS137" i="4"/>
  <c r="AW137" i="4" s="1"/>
  <c r="AR137" i="4"/>
  <c r="AQ137" i="4"/>
  <c r="AP137" i="4"/>
  <c r="AO137" i="4"/>
  <c r="AM137" i="4"/>
  <c r="AL137" i="4"/>
  <c r="AI137" i="4"/>
  <c r="AK137" i="4" s="1"/>
  <c r="AZ136" i="4"/>
  <c r="AY136" i="4"/>
  <c r="AX136" i="4"/>
  <c r="AV136" i="4"/>
  <c r="AU136" i="4"/>
  <c r="AS136" i="4"/>
  <c r="AT136" i="4" s="1"/>
  <c r="AR136" i="4"/>
  <c r="AQ136" i="4"/>
  <c r="AP136" i="4"/>
  <c r="AO136" i="4"/>
  <c r="AM136" i="4"/>
  <c r="AL136" i="4"/>
  <c r="AI136" i="4"/>
  <c r="AZ135" i="4"/>
  <c r="AY135" i="4"/>
  <c r="AX135" i="4"/>
  <c r="AV135" i="4"/>
  <c r="AU135" i="4"/>
  <c r="AS135" i="4"/>
  <c r="AW135" i="4" s="1"/>
  <c r="AR135" i="4"/>
  <c r="AQ135" i="4"/>
  <c r="AP135" i="4"/>
  <c r="AO135" i="4"/>
  <c r="AM135" i="4"/>
  <c r="AL135" i="4"/>
  <c r="AI135" i="4"/>
  <c r="AN135" i="4" s="1"/>
  <c r="AZ134" i="4"/>
  <c r="AY134" i="4"/>
  <c r="AX134" i="4"/>
  <c r="AV134" i="4"/>
  <c r="AU134" i="4"/>
  <c r="AS134" i="4"/>
  <c r="AT134" i="4" s="1"/>
  <c r="AR134" i="4"/>
  <c r="AQ134" i="4"/>
  <c r="AP134" i="4"/>
  <c r="AO134" i="4"/>
  <c r="AM134" i="4"/>
  <c r="AL134" i="4"/>
  <c r="AI134" i="4"/>
  <c r="AN134" i="4" s="1"/>
  <c r="AA138" i="4"/>
  <c r="Z138" i="4"/>
  <c r="Y138" i="4"/>
  <c r="W138" i="4"/>
  <c r="V138" i="4"/>
  <c r="U138" i="4"/>
  <c r="S138" i="4"/>
  <c r="R138" i="4"/>
  <c r="Q138" i="4"/>
  <c r="O138" i="4"/>
  <c r="N138" i="4"/>
  <c r="M138" i="4"/>
  <c r="L138" i="4"/>
  <c r="K138" i="4"/>
  <c r="J138" i="4"/>
  <c r="I138" i="4"/>
  <c r="H138" i="4"/>
  <c r="AA137" i="4"/>
  <c r="Z137" i="4"/>
  <c r="Y137" i="4"/>
  <c r="W137" i="4"/>
  <c r="V137" i="4"/>
  <c r="U137" i="4"/>
  <c r="S137" i="4"/>
  <c r="R137" i="4"/>
  <c r="Q137" i="4"/>
  <c r="O137" i="4"/>
  <c r="N137" i="4"/>
  <c r="M137" i="4"/>
  <c r="L137" i="4"/>
  <c r="K137" i="4"/>
  <c r="J137" i="4"/>
  <c r="I137" i="4"/>
  <c r="H137" i="4"/>
  <c r="AA136" i="4"/>
  <c r="Z136" i="4"/>
  <c r="Y136" i="4"/>
  <c r="W136" i="4"/>
  <c r="V136" i="4"/>
  <c r="U136" i="4"/>
  <c r="S136" i="4"/>
  <c r="R136" i="4"/>
  <c r="Q136" i="4"/>
  <c r="O136" i="4"/>
  <c r="N136" i="4"/>
  <c r="M136" i="4"/>
  <c r="L136" i="4"/>
  <c r="K136" i="4"/>
  <c r="J136" i="4"/>
  <c r="I136" i="4"/>
  <c r="H136" i="4"/>
  <c r="AA135" i="4"/>
  <c r="Z135" i="4"/>
  <c r="Y135" i="4"/>
  <c r="W135" i="4"/>
  <c r="V135" i="4"/>
  <c r="U135" i="4"/>
  <c r="S135" i="4"/>
  <c r="R135" i="4"/>
  <c r="Q135" i="4"/>
  <c r="O135" i="4"/>
  <c r="N135" i="4"/>
  <c r="M135" i="4"/>
  <c r="L135" i="4"/>
  <c r="K135" i="4"/>
  <c r="J135" i="4"/>
  <c r="I135" i="4"/>
  <c r="H135" i="4"/>
  <c r="AA134" i="4"/>
  <c r="Z134" i="4"/>
  <c r="Y134" i="4"/>
  <c r="W134" i="4"/>
  <c r="V134" i="4"/>
  <c r="U134" i="4"/>
  <c r="S134" i="4"/>
  <c r="R134" i="4"/>
  <c r="Q134" i="4"/>
  <c r="O134" i="4"/>
  <c r="N134" i="4"/>
  <c r="M134" i="4"/>
  <c r="L134" i="4"/>
  <c r="K134" i="4"/>
  <c r="J134" i="4"/>
  <c r="I134" i="4"/>
  <c r="H134" i="4"/>
  <c r="AS132" i="4"/>
  <c r="AI132" i="4"/>
  <c r="AZ131" i="4"/>
  <c r="AY131" i="4"/>
  <c r="AX131" i="4"/>
  <c r="AV131" i="4"/>
  <c r="AU131" i="4"/>
  <c r="AS131" i="4"/>
  <c r="AW131" i="4" s="1"/>
  <c r="AR131" i="4"/>
  <c r="AQ131" i="4"/>
  <c r="AP131" i="4"/>
  <c r="AO131" i="4"/>
  <c r="AM131" i="4"/>
  <c r="AL131" i="4"/>
  <c r="AI131" i="4"/>
  <c r="AK131" i="4" s="1"/>
  <c r="AS130" i="4"/>
  <c r="AI130" i="4"/>
  <c r="AS129" i="4"/>
  <c r="AX129" i="4" s="1"/>
  <c r="AI129" i="4"/>
  <c r="AS128" i="4"/>
  <c r="AI128" i="4"/>
  <c r="AA132" i="4"/>
  <c r="W132" i="4"/>
  <c r="S132" i="4"/>
  <c r="AA131" i="4"/>
  <c r="Z131" i="4"/>
  <c r="Y131" i="4"/>
  <c r="W131" i="4"/>
  <c r="V131" i="4"/>
  <c r="U131" i="4"/>
  <c r="S131" i="4"/>
  <c r="R131" i="4"/>
  <c r="Q131" i="4"/>
  <c r="O131" i="4"/>
  <c r="N131" i="4"/>
  <c r="M131" i="4"/>
  <c r="L131" i="4"/>
  <c r="K131" i="4"/>
  <c r="J131" i="4"/>
  <c r="I131" i="4"/>
  <c r="H131" i="4"/>
  <c r="AA130" i="4"/>
  <c r="W130" i="4"/>
  <c r="S130" i="4"/>
  <c r="AA129" i="4"/>
  <c r="W129" i="4"/>
  <c r="S129" i="4"/>
  <c r="AA128" i="4"/>
  <c r="W128" i="4"/>
  <c r="S128" i="4"/>
  <c r="AS126" i="4"/>
  <c r="AI126" i="4"/>
  <c r="AZ125" i="4"/>
  <c r="AY125" i="4"/>
  <c r="AX125" i="4"/>
  <c r="AV125" i="4"/>
  <c r="AU125" i="4"/>
  <c r="AS125" i="4"/>
  <c r="AT125" i="4" s="1"/>
  <c r="AR125" i="4"/>
  <c r="AQ125" i="4"/>
  <c r="AP125" i="4"/>
  <c r="AO125" i="4"/>
  <c r="AM125" i="4"/>
  <c r="AL125" i="4"/>
  <c r="AI125" i="4"/>
  <c r="AK125" i="4" s="1"/>
  <c r="AZ124" i="4"/>
  <c r="AY124" i="4"/>
  <c r="AX124" i="4"/>
  <c r="AV124" i="4"/>
  <c r="AU124" i="4"/>
  <c r="AS124" i="4"/>
  <c r="AT124" i="4" s="1"/>
  <c r="AR124" i="4"/>
  <c r="AQ124" i="4"/>
  <c r="AP124" i="4"/>
  <c r="AO124" i="4"/>
  <c r="AM124" i="4"/>
  <c r="AL124" i="4"/>
  <c r="AI124" i="4"/>
  <c r="AZ123" i="4"/>
  <c r="AY123" i="4"/>
  <c r="AX123" i="4"/>
  <c r="AV123" i="4"/>
  <c r="AU123" i="4"/>
  <c r="AS123" i="4"/>
  <c r="AT123" i="4" s="1"/>
  <c r="AR123" i="4"/>
  <c r="AQ123" i="4"/>
  <c r="AP123" i="4"/>
  <c r="AO123" i="4"/>
  <c r="AM123" i="4"/>
  <c r="AL123" i="4"/>
  <c r="AI123" i="4"/>
  <c r="AK123" i="4" s="1"/>
  <c r="AS122" i="4"/>
  <c r="AI122" i="4"/>
  <c r="AQ122" i="4" s="1"/>
  <c r="AA126" i="4"/>
  <c r="W126" i="4"/>
  <c r="S126" i="4"/>
  <c r="AA125" i="4"/>
  <c r="Z125" i="4"/>
  <c r="Y125" i="4"/>
  <c r="W125" i="4"/>
  <c r="V125" i="4"/>
  <c r="U125" i="4"/>
  <c r="S125" i="4"/>
  <c r="R125" i="4"/>
  <c r="Q125" i="4"/>
  <c r="O125" i="4"/>
  <c r="N125" i="4"/>
  <c r="M125" i="4"/>
  <c r="L125" i="4"/>
  <c r="K125" i="4"/>
  <c r="J125" i="4"/>
  <c r="I125" i="4"/>
  <c r="H125" i="4"/>
  <c r="AA124" i="4"/>
  <c r="Z124" i="4"/>
  <c r="Y124" i="4"/>
  <c r="W124" i="4"/>
  <c r="V124" i="4"/>
  <c r="U124" i="4"/>
  <c r="S124" i="4"/>
  <c r="R124" i="4"/>
  <c r="Q124" i="4"/>
  <c r="O124" i="4"/>
  <c r="N124" i="4"/>
  <c r="M124" i="4"/>
  <c r="L124" i="4"/>
  <c r="K124" i="4"/>
  <c r="J124" i="4"/>
  <c r="I124" i="4"/>
  <c r="H124" i="4"/>
  <c r="AA123" i="4"/>
  <c r="Z123" i="4"/>
  <c r="Y123" i="4"/>
  <c r="W123" i="4"/>
  <c r="V123" i="4"/>
  <c r="U123" i="4"/>
  <c r="S123" i="4"/>
  <c r="R123" i="4"/>
  <c r="Q123" i="4"/>
  <c r="O123" i="4"/>
  <c r="N123" i="4"/>
  <c r="M123" i="4"/>
  <c r="L123" i="4"/>
  <c r="K123" i="4"/>
  <c r="J123" i="4"/>
  <c r="I123" i="4"/>
  <c r="H123" i="4"/>
  <c r="AA122" i="4"/>
  <c r="W122" i="4"/>
  <c r="S122" i="4"/>
  <c r="AZ120" i="4"/>
  <c r="AY120" i="4"/>
  <c r="AX120" i="4"/>
  <c r="AV120" i="4"/>
  <c r="AU120" i="4"/>
  <c r="AS120" i="4"/>
  <c r="AT120" i="4" s="1"/>
  <c r="AR120" i="4"/>
  <c r="AQ120" i="4"/>
  <c r="AP120" i="4"/>
  <c r="AO120" i="4"/>
  <c r="AM120" i="4"/>
  <c r="AL120" i="4"/>
  <c r="AI120" i="4"/>
  <c r="AN120" i="4" s="1"/>
  <c r="AZ119" i="4"/>
  <c r="AY119" i="4"/>
  <c r="AX119" i="4"/>
  <c r="AV119" i="4"/>
  <c r="AU119" i="4"/>
  <c r="AS119" i="4"/>
  <c r="AW119" i="4" s="1"/>
  <c r="AR119" i="4"/>
  <c r="AQ119" i="4"/>
  <c r="AP119" i="4"/>
  <c r="AO119" i="4"/>
  <c r="AM119" i="4"/>
  <c r="AL119" i="4"/>
  <c r="AI119" i="4"/>
  <c r="AK119" i="4" s="1"/>
  <c r="AZ118" i="4"/>
  <c r="AY118" i="4"/>
  <c r="AX118" i="4"/>
  <c r="AV118" i="4"/>
  <c r="AU118" i="4"/>
  <c r="AS118" i="4"/>
  <c r="AW118" i="4" s="1"/>
  <c r="AR118" i="4"/>
  <c r="AQ118" i="4"/>
  <c r="AP118" i="4"/>
  <c r="AO118" i="4"/>
  <c r="AM118" i="4"/>
  <c r="AL118" i="4"/>
  <c r="AI118" i="4"/>
  <c r="AZ117" i="4"/>
  <c r="AY117" i="4"/>
  <c r="AX117" i="4"/>
  <c r="AV117" i="4"/>
  <c r="AU117" i="4"/>
  <c r="AS117" i="4"/>
  <c r="AW117" i="4" s="1"/>
  <c r="AR117" i="4"/>
  <c r="AQ117" i="4"/>
  <c r="AP117" i="4"/>
  <c r="AO117" i="4"/>
  <c r="AM117" i="4"/>
  <c r="AL117" i="4"/>
  <c r="AI117" i="4"/>
  <c r="AK117" i="4" s="1"/>
  <c r="AZ116" i="4"/>
  <c r="AY116" i="4"/>
  <c r="AX116" i="4"/>
  <c r="AV116" i="4"/>
  <c r="AU116" i="4"/>
  <c r="AS116" i="4"/>
  <c r="AT116" i="4" s="1"/>
  <c r="AR116" i="4"/>
  <c r="AQ116" i="4"/>
  <c r="AP116" i="4"/>
  <c r="AO116" i="4"/>
  <c r="AM116" i="4"/>
  <c r="AL116" i="4"/>
  <c r="AI116" i="4"/>
  <c r="AN116" i="4" s="1"/>
  <c r="AA120" i="4"/>
  <c r="Z120" i="4"/>
  <c r="Y120" i="4"/>
  <c r="W120" i="4"/>
  <c r="V120" i="4"/>
  <c r="U120" i="4"/>
  <c r="S120" i="4"/>
  <c r="R120" i="4"/>
  <c r="Q120" i="4"/>
  <c r="O120" i="4"/>
  <c r="N120" i="4"/>
  <c r="M120" i="4"/>
  <c r="L120" i="4"/>
  <c r="K120" i="4"/>
  <c r="J120" i="4"/>
  <c r="I120" i="4"/>
  <c r="H120" i="4"/>
  <c r="AA119" i="4"/>
  <c r="Z119" i="4"/>
  <c r="Y119" i="4"/>
  <c r="W119" i="4"/>
  <c r="V119" i="4"/>
  <c r="U119" i="4"/>
  <c r="S119" i="4"/>
  <c r="R119" i="4"/>
  <c r="Q119" i="4"/>
  <c r="O119" i="4"/>
  <c r="N119" i="4"/>
  <c r="M119" i="4"/>
  <c r="L119" i="4"/>
  <c r="K119" i="4"/>
  <c r="J119" i="4"/>
  <c r="I119" i="4"/>
  <c r="H119" i="4"/>
  <c r="AA118" i="4"/>
  <c r="Z118" i="4"/>
  <c r="Y118" i="4"/>
  <c r="W118" i="4"/>
  <c r="V118" i="4"/>
  <c r="U118" i="4"/>
  <c r="S118" i="4"/>
  <c r="R118" i="4"/>
  <c r="Q118" i="4"/>
  <c r="O118" i="4"/>
  <c r="N118" i="4"/>
  <c r="M118" i="4"/>
  <c r="L118" i="4"/>
  <c r="K118" i="4"/>
  <c r="J118" i="4"/>
  <c r="I118" i="4"/>
  <c r="H118" i="4"/>
  <c r="AA117" i="4"/>
  <c r="Z117" i="4"/>
  <c r="Y117" i="4"/>
  <c r="W117" i="4"/>
  <c r="V117" i="4"/>
  <c r="U117" i="4"/>
  <c r="S117" i="4"/>
  <c r="R117" i="4"/>
  <c r="Q117" i="4"/>
  <c r="O117" i="4"/>
  <c r="N117" i="4"/>
  <c r="M117" i="4"/>
  <c r="L117" i="4"/>
  <c r="K117" i="4"/>
  <c r="J117" i="4"/>
  <c r="I117" i="4"/>
  <c r="H117" i="4"/>
  <c r="AA116" i="4"/>
  <c r="Z116" i="4"/>
  <c r="Y116" i="4"/>
  <c r="W116" i="4"/>
  <c r="V116" i="4"/>
  <c r="U116" i="4"/>
  <c r="S116" i="4"/>
  <c r="Q116" i="4"/>
  <c r="R116" i="4"/>
  <c r="O116" i="4"/>
  <c r="N116" i="4"/>
  <c r="M116" i="4"/>
  <c r="L116" i="4"/>
  <c r="K116" i="4"/>
  <c r="J116" i="4"/>
  <c r="I116" i="4"/>
  <c r="H116" i="4"/>
  <c r="AZ114" i="4"/>
  <c r="AY114" i="4"/>
  <c r="AX114" i="4"/>
  <c r="AV114" i="4"/>
  <c r="AU114" i="4"/>
  <c r="AS114" i="4"/>
  <c r="AT114" i="4" s="1"/>
  <c r="AR114" i="4"/>
  <c r="AQ114" i="4"/>
  <c r="AP114" i="4"/>
  <c r="AO114" i="4"/>
  <c r="AM114" i="4"/>
  <c r="AL114" i="4"/>
  <c r="AI114" i="4"/>
  <c r="AN114" i="4" s="1"/>
  <c r="AZ113" i="4"/>
  <c r="AY113" i="4"/>
  <c r="AX113" i="4"/>
  <c r="AV113" i="4"/>
  <c r="AU113" i="4"/>
  <c r="AS113" i="4"/>
  <c r="AW113" i="4" s="1"/>
  <c r="AR113" i="4"/>
  <c r="AQ113" i="4"/>
  <c r="AP113" i="4"/>
  <c r="AO113" i="4"/>
  <c r="AM113" i="4"/>
  <c r="AL113" i="4"/>
  <c r="AI113" i="4"/>
  <c r="AK113" i="4" s="1"/>
  <c r="AZ112" i="4"/>
  <c r="AY112" i="4"/>
  <c r="AX112" i="4"/>
  <c r="AV112" i="4"/>
  <c r="AU112" i="4"/>
  <c r="AS112" i="4"/>
  <c r="AW112" i="4" s="1"/>
  <c r="AR112" i="4"/>
  <c r="AQ112" i="4"/>
  <c r="AP112" i="4"/>
  <c r="AO112" i="4"/>
  <c r="AM112" i="4"/>
  <c r="AL112" i="4"/>
  <c r="AI112" i="4"/>
  <c r="AK112" i="4" s="1"/>
  <c r="AZ111" i="4"/>
  <c r="AY111" i="4"/>
  <c r="AX111" i="4"/>
  <c r="AV111" i="4"/>
  <c r="AU111" i="4"/>
  <c r="AS111" i="4"/>
  <c r="AW111" i="4" s="1"/>
  <c r="AR111" i="4"/>
  <c r="AQ111" i="4"/>
  <c r="AP111" i="4"/>
  <c r="AO111" i="4"/>
  <c r="AM111" i="4"/>
  <c r="AL111" i="4"/>
  <c r="AI111" i="4"/>
  <c r="AK111" i="4" s="1"/>
  <c r="AY110" i="4"/>
  <c r="AZ110" i="4"/>
  <c r="AX110" i="4"/>
  <c r="AV110" i="4"/>
  <c r="AU110" i="4"/>
  <c r="AS110" i="4"/>
  <c r="AW110" i="4" s="1"/>
  <c r="AR110" i="4"/>
  <c r="AQ110" i="4"/>
  <c r="AP110" i="4"/>
  <c r="AO110" i="4"/>
  <c r="AM110" i="4"/>
  <c r="AL110" i="4"/>
  <c r="AI110" i="4"/>
  <c r="AN110" i="4" s="1"/>
  <c r="AA114" i="4"/>
  <c r="Z114" i="4"/>
  <c r="Y114" i="4"/>
  <c r="W114" i="4"/>
  <c r="V114" i="4"/>
  <c r="U114" i="4"/>
  <c r="S114" i="4"/>
  <c r="R114" i="4"/>
  <c r="Q114" i="4"/>
  <c r="O114" i="4"/>
  <c r="N114" i="4"/>
  <c r="M114" i="4"/>
  <c r="L114" i="4"/>
  <c r="K114" i="4"/>
  <c r="J114" i="4"/>
  <c r="I114" i="4"/>
  <c r="H114" i="4"/>
  <c r="AA113" i="4"/>
  <c r="Z113" i="4"/>
  <c r="Y113" i="4"/>
  <c r="W113" i="4"/>
  <c r="V113" i="4"/>
  <c r="U113" i="4"/>
  <c r="S113" i="4"/>
  <c r="R113" i="4"/>
  <c r="Q113" i="4"/>
  <c r="O113" i="4"/>
  <c r="N113" i="4"/>
  <c r="M113" i="4"/>
  <c r="L113" i="4"/>
  <c r="K113" i="4"/>
  <c r="J113" i="4"/>
  <c r="I113" i="4"/>
  <c r="H113" i="4"/>
  <c r="AA112" i="4"/>
  <c r="Z112" i="4"/>
  <c r="Y112" i="4"/>
  <c r="W112" i="4"/>
  <c r="V112" i="4"/>
  <c r="U112" i="4"/>
  <c r="S112" i="4"/>
  <c r="R112" i="4"/>
  <c r="Q112" i="4"/>
  <c r="O112" i="4"/>
  <c r="N112" i="4"/>
  <c r="M112" i="4"/>
  <c r="L112" i="4"/>
  <c r="K112" i="4"/>
  <c r="J112" i="4"/>
  <c r="I112" i="4"/>
  <c r="H112" i="4"/>
  <c r="AA111" i="4"/>
  <c r="Z111" i="4"/>
  <c r="Y111" i="4"/>
  <c r="W111" i="4"/>
  <c r="V111" i="4"/>
  <c r="U111" i="4"/>
  <c r="S111" i="4"/>
  <c r="R111" i="4"/>
  <c r="Q111" i="4"/>
  <c r="O111" i="4"/>
  <c r="N111" i="4"/>
  <c r="M111" i="4"/>
  <c r="L111" i="4"/>
  <c r="K111" i="4"/>
  <c r="J111" i="4"/>
  <c r="I111" i="4"/>
  <c r="H111" i="4"/>
  <c r="AA110" i="4"/>
  <c r="Z110" i="4"/>
  <c r="Y110" i="4"/>
  <c r="W110" i="4"/>
  <c r="V110" i="4"/>
  <c r="U110" i="4"/>
  <c r="S110" i="4"/>
  <c r="R110" i="4"/>
  <c r="Q110" i="4"/>
  <c r="O110" i="4"/>
  <c r="N110" i="4"/>
  <c r="M110" i="4"/>
  <c r="L110" i="4"/>
  <c r="K110" i="4"/>
  <c r="J110" i="4"/>
  <c r="I110" i="4"/>
  <c r="H110" i="4"/>
  <c r="AZ108" i="4"/>
  <c r="AI108" i="4"/>
  <c r="AN108" i="4" s="1"/>
  <c r="AY108" i="4"/>
  <c r="AX108" i="4"/>
  <c r="AV108" i="4"/>
  <c r="AU108" i="4"/>
  <c r="AS108" i="4"/>
  <c r="AT108" i="4" s="1"/>
  <c r="AR108" i="4"/>
  <c r="AQ108" i="4"/>
  <c r="AP108" i="4"/>
  <c r="AO108" i="4"/>
  <c r="AM108" i="4"/>
  <c r="AL108" i="4"/>
  <c r="AK108" i="4"/>
  <c r="AZ107" i="4"/>
  <c r="AY107" i="4"/>
  <c r="AX107" i="4"/>
  <c r="AV107" i="4"/>
  <c r="AU107" i="4"/>
  <c r="AS107" i="4"/>
  <c r="AW107" i="4" s="1"/>
  <c r="AR107" i="4"/>
  <c r="AQ107" i="4"/>
  <c r="AP107" i="4"/>
  <c r="AO107" i="4"/>
  <c r="AM107" i="4"/>
  <c r="AL107" i="4"/>
  <c r="AI107" i="4"/>
  <c r="AK107" i="4" s="1"/>
  <c r="AS106" i="4"/>
  <c r="AI106" i="4"/>
  <c r="AR106" i="4" s="1"/>
  <c r="AS105" i="4"/>
  <c r="AX105" i="4" s="1"/>
  <c r="AI105" i="4"/>
  <c r="AS104" i="4"/>
  <c r="AI104" i="4"/>
  <c r="AA108" i="4"/>
  <c r="Z108" i="4"/>
  <c r="Y108" i="4"/>
  <c r="W108" i="4"/>
  <c r="V108" i="4"/>
  <c r="U108" i="4"/>
  <c r="S108" i="4"/>
  <c r="R108" i="4"/>
  <c r="Q108" i="4"/>
  <c r="O108" i="4"/>
  <c r="N108" i="4"/>
  <c r="M108" i="4"/>
  <c r="L108" i="4"/>
  <c r="K108" i="4"/>
  <c r="J108" i="4"/>
  <c r="I108" i="4"/>
  <c r="H108" i="4"/>
  <c r="AA107" i="4"/>
  <c r="Z107" i="4"/>
  <c r="Y107" i="4"/>
  <c r="W107" i="4"/>
  <c r="V107" i="4"/>
  <c r="U107" i="4"/>
  <c r="S107" i="4"/>
  <c r="R107" i="4"/>
  <c r="Q107" i="4"/>
  <c r="O107" i="4"/>
  <c r="N107" i="4"/>
  <c r="M107" i="4"/>
  <c r="L107" i="4"/>
  <c r="K107" i="4"/>
  <c r="J107" i="4"/>
  <c r="I107" i="4"/>
  <c r="H107" i="4"/>
  <c r="AA106" i="4"/>
  <c r="W106" i="4"/>
  <c r="S106" i="4"/>
  <c r="AA105" i="4"/>
  <c r="W105" i="4"/>
  <c r="S105" i="4"/>
  <c r="AA104" i="4"/>
  <c r="W104" i="4"/>
  <c r="S104" i="4"/>
  <c r="AS102" i="4"/>
  <c r="AI102" i="4"/>
  <c r="AR102" i="4" s="1"/>
  <c r="AZ101" i="4"/>
  <c r="AY101" i="4"/>
  <c r="AX101" i="4"/>
  <c r="AV101" i="4"/>
  <c r="AU101" i="4"/>
  <c r="AS101" i="4"/>
  <c r="AW101" i="4" s="1"/>
  <c r="AR101" i="4"/>
  <c r="AQ101" i="4"/>
  <c r="AP101" i="4"/>
  <c r="AO101" i="4"/>
  <c r="AM101" i="4"/>
  <c r="AL101" i="4"/>
  <c r="AI101" i="4"/>
  <c r="AK101" i="4" s="1"/>
  <c r="AS100" i="4"/>
  <c r="AI100" i="4"/>
  <c r="AO100" i="4" s="1"/>
  <c r="AP100" i="4" s="1"/>
  <c r="AS99" i="4"/>
  <c r="AI99" i="4"/>
  <c r="AS98" i="4"/>
  <c r="AI98" i="4"/>
  <c r="AS96" i="4"/>
  <c r="AS95" i="4"/>
  <c r="AS94" i="4"/>
  <c r="AS93" i="4"/>
  <c r="AS92" i="4"/>
  <c r="AS90" i="4"/>
  <c r="AS89" i="4"/>
  <c r="AS88" i="4"/>
  <c r="AS87" i="4"/>
  <c r="AS86" i="4"/>
  <c r="AS84" i="4"/>
  <c r="AS83" i="4"/>
  <c r="AS82" i="4"/>
  <c r="AS81" i="4"/>
  <c r="AS80" i="4"/>
  <c r="AS78" i="4"/>
  <c r="AS77" i="4"/>
  <c r="AS76" i="4"/>
  <c r="AS75" i="4"/>
  <c r="AS74" i="4"/>
  <c r="AS72" i="4"/>
  <c r="AS71" i="4"/>
  <c r="AS70" i="4"/>
  <c r="AS69" i="4"/>
  <c r="AS68" i="4"/>
  <c r="AI96" i="4"/>
  <c r="AI92" i="4"/>
  <c r="AI95" i="4"/>
  <c r="AI94" i="4"/>
  <c r="AI93" i="4"/>
  <c r="AI90" i="4"/>
  <c r="AI89" i="4"/>
  <c r="AI88" i="4"/>
  <c r="AI87" i="4"/>
  <c r="AI86" i="4"/>
  <c r="AI84" i="4"/>
  <c r="AI83" i="4"/>
  <c r="AI82" i="4"/>
  <c r="AI81" i="4"/>
  <c r="AI80" i="4"/>
  <c r="AI74" i="4"/>
  <c r="AI78" i="4"/>
  <c r="AI77" i="4"/>
  <c r="AI76" i="4"/>
  <c r="AI75" i="4"/>
  <c r="AI72" i="4"/>
  <c r="AI71" i="4"/>
  <c r="AI70" i="4"/>
  <c r="AI69" i="4"/>
  <c r="AI68" i="4"/>
  <c r="AA102" i="4"/>
  <c r="W102" i="4"/>
  <c r="S102" i="4"/>
  <c r="AA101" i="4"/>
  <c r="Z101" i="4"/>
  <c r="Y101" i="4"/>
  <c r="W101" i="4"/>
  <c r="V101" i="4"/>
  <c r="U101" i="4"/>
  <c r="S101" i="4"/>
  <c r="R101" i="4"/>
  <c r="Q101" i="4"/>
  <c r="O101" i="4"/>
  <c r="N101" i="4"/>
  <c r="M101" i="4"/>
  <c r="L101" i="4"/>
  <c r="K101" i="4"/>
  <c r="J101" i="4"/>
  <c r="I101" i="4"/>
  <c r="H101" i="4"/>
  <c r="AA100" i="4"/>
  <c r="W100" i="4"/>
  <c r="S100" i="4"/>
  <c r="AA99" i="4"/>
  <c r="W99" i="4"/>
  <c r="S99" i="4"/>
  <c r="AA98" i="4"/>
  <c r="W98" i="4"/>
  <c r="S98" i="4"/>
  <c r="L71" i="4"/>
  <c r="L78" i="4"/>
  <c r="L77" i="4"/>
  <c r="L84" i="4"/>
  <c r="L83" i="4"/>
  <c r="L82" i="4"/>
  <c r="L81" i="4"/>
  <c r="L80" i="4"/>
  <c r="L90" i="4"/>
  <c r="L89" i="4"/>
  <c r="L88" i="4"/>
  <c r="L87" i="4"/>
  <c r="L86" i="4"/>
  <c r="L95" i="4"/>
  <c r="L94" i="4"/>
  <c r="L93" i="4"/>
  <c r="AO106" i="4" l="1"/>
  <c r="AP106" i="4" s="1"/>
  <c r="AU129" i="4"/>
  <c r="AW129" i="4" s="1"/>
  <c r="AZ129" i="4"/>
  <c r="AV129" i="4"/>
  <c r="AT129" i="4" s="1"/>
  <c r="AY129" i="4"/>
  <c r="AL106" i="4"/>
  <c r="AN106" i="4" s="1"/>
  <c r="AQ106" i="4"/>
  <c r="AM106" i="4"/>
  <c r="AY105" i="4"/>
  <c r="AU105" i="4"/>
  <c r="AZ105" i="4"/>
  <c r="AV105" i="4"/>
  <c r="AL100" i="4"/>
  <c r="AN100" i="4" s="1"/>
  <c r="AQ100" i="4"/>
  <c r="AM100" i="4"/>
  <c r="AR100" i="4"/>
  <c r="AK148" i="4"/>
  <c r="AK116" i="4"/>
  <c r="AM122" i="4"/>
  <c r="H145" i="4"/>
  <c r="L145" i="4"/>
  <c r="AK120" i="4"/>
  <c r="AO102" i="4"/>
  <c r="AP102" i="4" s="1"/>
  <c r="AR122" i="4"/>
  <c r="AK134" i="4"/>
  <c r="AN138" i="4"/>
  <c r="AL152" i="4"/>
  <c r="AN152" i="4" s="1"/>
  <c r="AK110" i="4"/>
  <c r="AK140" i="4"/>
  <c r="AM152" i="4"/>
  <c r="AR152" i="4"/>
  <c r="AK114" i="4"/>
  <c r="AL122" i="4"/>
  <c r="AN122" i="4" s="1"/>
  <c r="K145" i="4"/>
  <c r="AK144" i="4"/>
  <c r="AQ152" i="4"/>
  <c r="AK118" i="4"/>
  <c r="AN118" i="4"/>
  <c r="AK100" i="4"/>
  <c r="AK136" i="4"/>
  <c r="AN136" i="4"/>
  <c r="AK146" i="4"/>
  <c r="AN146" i="4"/>
  <c r="AN112" i="4"/>
  <c r="AN124" i="4"/>
  <c r="AK124" i="4"/>
  <c r="AR156" i="4"/>
  <c r="AO156" i="4"/>
  <c r="AP156" i="4" s="1"/>
  <c r="AR132" i="4"/>
  <c r="AO132" i="4"/>
  <c r="AP132" i="4" s="1"/>
  <c r="AL132" i="4"/>
  <c r="AN132" i="4" s="1"/>
  <c r="I145" i="4"/>
  <c r="AK142" i="4"/>
  <c r="AN142" i="4"/>
  <c r="AN150" i="4"/>
  <c r="AK150" i="4"/>
  <c r="AO122" i="4"/>
  <c r="AP122" i="4" s="1"/>
  <c r="K121" i="4"/>
  <c r="H121" i="4"/>
  <c r="L121" i="4"/>
  <c r="H139" i="4"/>
  <c r="L139" i="4"/>
  <c r="H115" i="4"/>
  <c r="L115" i="4"/>
  <c r="I139" i="4"/>
  <c r="J151" i="4"/>
  <c r="I115" i="4"/>
  <c r="J145" i="4"/>
  <c r="AT143" i="4"/>
  <c r="K151" i="4"/>
  <c r="AT153" i="4"/>
  <c r="J115" i="4"/>
  <c r="AT113" i="4"/>
  <c r="I121" i="4"/>
  <c r="J139" i="4"/>
  <c r="H151" i="4"/>
  <c r="L151" i="4"/>
  <c r="K115" i="4"/>
  <c r="J121" i="4"/>
  <c r="K139" i="4"/>
  <c r="I151" i="4"/>
  <c r="AT110" i="4"/>
  <c r="AT111" i="4"/>
  <c r="AW116" i="4"/>
  <c r="AT119" i="4"/>
  <c r="AT131" i="4"/>
  <c r="AT140" i="4"/>
  <c r="AT141" i="4"/>
  <c r="AW146" i="4"/>
  <c r="AT149" i="4"/>
  <c r="AT101" i="4"/>
  <c r="AT107" i="4"/>
  <c r="AT117" i="4"/>
  <c r="AW134" i="4"/>
  <c r="AT137" i="4"/>
  <c r="AT147" i="4"/>
  <c r="AT155" i="4"/>
  <c r="AT135" i="4"/>
  <c r="AN153" i="4"/>
  <c r="AN155" i="4"/>
  <c r="AL156" i="4"/>
  <c r="AN156" i="4" s="1"/>
  <c r="AM156" i="4"/>
  <c r="AQ156" i="4"/>
  <c r="AW150" i="4"/>
  <c r="AN147" i="4"/>
  <c r="AT148" i="4"/>
  <c r="AN149" i="4"/>
  <c r="AW142" i="4"/>
  <c r="AW144" i="4"/>
  <c r="AN141" i="4"/>
  <c r="AN143" i="4"/>
  <c r="AW138" i="4"/>
  <c r="AN137" i="4"/>
  <c r="AK135" i="4"/>
  <c r="AW136" i="4"/>
  <c r="AN131" i="4"/>
  <c r="AM132" i="4"/>
  <c r="AQ132" i="4"/>
  <c r="AW124" i="4"/>
  <c r="AN123" i="4"/>
  <c r="AN125" i="4"/>
  <c r="AW123" i="4"/>
  <c r="AW125" i="4"/>
  <c r="AW120" i="4"/>
  <c r="AN117" i="4"/>
  <c r="AT118" i="4"/>
  <c r="AN119" i="4"/>
  <c r="AW114" i="4"/>
  <c r="AN111" i="4"/>
  <c r="AT112" i="4"/>
  <c r="AN113" i="4"/>
  <c r="AW108" i="4"/>
  <c r="AN107" i="4"/>
  <c r="AN101" i="4"/>
  <c r="AL102" i="4"/>
  <c r="AN102" i="4" s="1"/>
  <c r="AM102" i="4"/>
  <c r="AQ102" i="4"/>
  <c r="AO96" i="4"/>
  <c r="AP96" i="4" s="1"/>
  <c r="AR96" i="4"/>
  <c r="AZ95" i="4"/>
  <c r="AY95" i="4"/>
  <c r="AX95" i="4"/>
  <c r="AV95" i="4"/>
  <c r="AU95" i="4"/>
  <c r="AT95" i="4"/>
  <c r="AW95" i="4"/>
  <c r="AR95" i="4"/>
  <c r="AQ95" i="4"/>
  <c r="AP95" i="4"/>
  <c r="AO95" i="4"/>
  <c r="AM95" i="4"/>
  <c r="AL95" i="4"/>
  <c r="AK95" i="4"/>
  <c r="AZ94" i="4"/>
  <c r="AY94" i="4"/>
  <c r="AX94" i="4"/>
  <c r="AV94" i="4"/>
  <c r="AU94" i="4"/>
  <c r="AT94" i="4"/>
  <c r="AR94" i="4"/>
  <c r="AQ94" i="4"/>
  <c r="AP94" i="4"/>
  <c r="AO94" i="4"/>
  <c r="AN94" i="4"/>
  <c r="AM94" i="4"/>
  <c r="AL94" i="4"/>
  <c r="AK94" i="4"/>
  <c r="AZ93" i="4"/>
  <c r="AY93" i="4"/>
  <c r="AX93" i="4"/>
  <c r="AV93" i="4"/>
  <c r="AU93" i="4"/>
  <c r="AT93" i="4"/>
  <c r="AW93" i="4"/>
  <c r="AR93" i="4"/>
  <c r="AQ93" i="4"/>
  <c r="AP93" i="4"/>
  <c r="AO93" i="4"/>
  <c r="AM93" i="4"/>
  <c r="AL93" i="4"/>
  <c r="AK93" i="4"/>
  <c r="AZ92" i="4"/>
  <c r="AY92" i="4"/>
  <c r="AX92" i="4"/>
  <c r="AV92" i="4"/>
  <c r="AU92" i="4"/>
  <c r="AA96" i="4"/>
  <c r="W96" i="4"/>
  <c r="S96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H95" i="4"/>
  <c r="AA94" i="4"/>
  <c r="Z94" i="4"/>
  <c r="Y94" i="4"/>
  <c r="W94" i="4"/>
  <c r="V94" i="4"/>
  <c r="U94" i="4"/>
  <c r="S94" i="4"/>
  <c r="R94" i="4"/>
  <c r="Q94" i="4"/>
  <c r="O94" i="4"/>
  <c r="N94" i="4"/>
  <c r="M94" i="4"/>
  <c r="K94" i="4"/>
  <c r="J94" i="4"/>
  <c r="I94" i="4"/>
  <c r="H94" i="4"/>
  <c r="AA93" i="4"/>
  <c r="Z93" i="4"/>
  <c r="Y93" i="4"/>
  <c r="W93" i="4"/>
  <c r="V93" i="4"/>
  <c r="U93" i="4"/>
  <c r="S93" i="4"/>
  <c r="R93" i="4"/>
  <c r="Q93" i="4"/>
  <c r="O93" i="4"/>
  <c r="N93" i="4"/>
  <c r="M93" i="4"/>
  <c r="K93" i="4"/>
  <c r="J93" i="4"/>
  <c r="I93" i="4"/>
  <c r="H93" i="4"/>
  <c r="AA92" i="4"/>
  <c r="W92" i="4"/>
  <c r="S92" i="4"/>
  <c r="AZ90" i="4"/>
  <c r="AY90" i="4"/>
  <c r="AX90" i="4"/>
  <c r="AW90" i="4"/>
  <c r="AV90" i="4"/>
  <c r="AU90" i="4"/>
  <c r="AT90" i="4"/>
  <c r="AR90" i="4"/>
  <c r="AQ90" i="4"/>
  <c r="AP90" i="4"/>
  <c r="AO90" i="4"/>
  <c r="AM90" i="4"/>
  <c r="AL90" i="4"/>
  <c r="AK90" i="4"/>
  <c r="AN90" i="4"/>
  <c r="AZ89" i="4"/>
  <c r="AY89" i="4"/>
  <c r="AX89" i="4"/>
  <c r="AV89" i="4"/>
  <c r="AU89" i="4"/>
  <c r="AT89" i="4"/>
  <c r="AW89" i="4"/>
  <c r="AR89" i="4"/>
  <c r="AQ89" i="4"/>
  <c r="AP89" i="4"/>
  <c r="AO89" i="4"/>
  <c r="AM89" i="4"/>
  <c r="AL89" i="4"/>
  <c r="AK89" i="4"/>
  <c r="AZ88" i="4"/>
  <c r="AY88" i="4"/>
  <c r="AX88" i="4"/>
  <c r="AV88" i="4"/>
  <c r="AU88" i="4"/>
  <c r="AW88" i="4"/>
  <c r="AR88" i="4"/>
  <c r="AQ88" i="4"/>
  <c r="AP88" i="4"/>
  <c r="AO88" i="4"/>
  <c r="AN88" i="4"/>
  <c r="AM88" i="4"/>
  <c r="AL88" i="4"/>
  <c r="AK88" i="4"/>
  <c r="AZ87" i="4"/>
  <c r="AY87" i="4"/>
  <c r="AX87" i="4"/>
  <c r="AV87" i="4"/>
  <c r="AU87" i="4"/>
  <c r="AT87" i="4"/>
  <c r="AW87" i="4"/>
  <c r="AR87" i="4"/>
  <c r="AQ87" i="4"/>
  <c r="AP87" i="4"/>
  <c r="AO87" i="4"/>
  <c r="AM87" i="4"/>
  <c r="AL87" i="4"/>
  <c r="AK87" i="4"/>
  <c r="AZ86" i="4"/>
  <c r="AY86" i="4"/>
  <c r="AX86" i="4"/>
  <c r="AW86" i="4"/>
  <c r="AV86" i="4"/>
  <c r="AU86" i="4"/>
  <c r="AT86" i="4"/>
  <c r="AR86" i="4"/>
  <c r="AQ86" i="4"/>
  <c r="AP86" i="4"/>
  <c r="AO86" i="4"/>
  <c r="AN86" i="4"/>
  <c r="AM86" i="4"/>
  <c r="AL86" i="4"/>
  <c r="AK86" i="4"/>
  <c r="AA90" i="4"/>
  <c r="Z90" i="4"/>
  <c r="Y90" i="4"/>
  <c r="W90" i="4"/>
  <c r="V90" i="4"/>
  <c r="U90" i="4"/>
  <c r="S90" i="4"/>
  <c r="R90" i="4"/>
  <c r="Q90" i="4"/>
  <c r="O90" i="4"/>
  <c r="N90" i="4"/>
  <c r="M90" i="4"/>
  <c r="K90" i="4"/>
  <c r="J90" i="4"/>
  <c r="I90" i="4"/>
  <c r="H90" i="4"/>
  <c r="AA89" i="4"/>
  <c r="Z89" i="4"/>
  <c r="Y89" i="4"/>
  <c r="W89" i="4"/>
  <c r="V89" i="4"/>
  <c r="U89" i="4"/>
  <c r="S89" i="4"/>
  <c r="R89" i="4"/>
  <c r="Q89" i="4"/>
  <c r="O89" i="4"/>
  <c r="N89" i="4"/>
  <c r="M89" i="4"/>
  <c r="K89" i="4"/>
  <c r="J89" i="4"/>
  <c r="I89" i="4"/>
  <c r="H89" i="4"/>
  <c r="AA88" i="4"/>
  <c r="Z88" i="4"/>
  <c r="Y88" i="4"/>
  <c r="W88" i="4"/>
  <c r="V88" i="4"/>
  <c r="U88" i="4"/>
  <c r="S88" i="4"/>
  <c r="R88" i="4"/>
  <c r="Q88" i="4"/>
  <c r="O88" i="4"/>
  <c r="N88" i="4"/>
  <c r="M88" i="4"/>
  <c r="K88" i="4"/>
  <c r="J88" i="4"/>
  <c r="I88" i="4"/>
  <c r="H88" i="4"/>
  <c r="AA87" i="4"/>
  <c r="Z87" i="4"/>
  <c r="Y87" i="4"/>
  <c r="W87" i="4"/>
  <c r="V87" i="4"/>
  <c r="U87" i="4"/>
  <c r="S87" i="4"/>
  <c r="R87" i="4"/>
  <c r="Q87" i="4"/>
  <c r="O87" i="4"/>
  <c r="N87" i="4"/>
  <c r="M87" i="4"/>
  <c r="K87" i="4"/>
  <c r="J87" i="4"/>
  <c r="I87" i="4"/>
  <c r="H87" i="4"/>
  <c r="AA86" i="4"/>
  <c r="Z86" i="4"/>
  <c r="Y86" i="4"/>
  <c r="W86" i="4"/>
  <c r="V86" i="4"/>
  <c r="U86" i="4"/>
  <c r="S86" i="4"/>
  <c r="R86" i="4"/>
  <c r="Q86" i="4"/>
  <c r="O86" i="4"/>
  <c r="N86" i="4"/>
  <c r="M86" i="4"/>
  <c r="L91" i="4"/>
  <c r="K86" i="4"/>
  <c r="J86" i="4"/>
  <c r="I86" i="4"/>
  <c r="H86" i="4"/>
  <c r="AZ84" i="4"/>
  <c r="AY84" i="4"/>
  <c r="AX84" i="4"/>
  <c r="AV84" i="4"/>
  <c r="AU84" i="4"/>
  <c r="AT84" i="4"/>
  <c r="AR84" i="4"/>
  <c r="AQ84" i="4"/>
  <c r="AP84" i="4"/>
  <c r="AO84" i="4"/>
  <c r="AM84" i="4"/>
  <c r="AL84" i="4"/>
  <c r="AK84" i="4"/>
  <c r="AN84" i="4"/>
  <c r="AZ83" i="4"/>
  <c r="AY83" i="4"/>
  <c r="AX83" i="4"/>
  <c r="AV83" i="4"/>
  <c r="AU83" i="4"/>
  <c r="AT83" i="4"/>
  <c r="AW83" i="4"/>
  <c r="AR83" i="4"/>
  <c r="AQ83" i="4"/>
  <c r="AP83" i="4"/>
  <c r="AO83" i="4"/>
  <c r="AM83" i="4"/>
  <c r="AL83" i="4"/>
  <c r="AK83" i="4"/>
  <c r="AZ82" i="4"/>
  <c r="AY82" i="4"/>
  <c r="AX82" i="4"/>
  <c r="AV82" i="4"/>
  <c r="AU82" i="4"/>
  <c r="AW82" i="4"/>
  <c r="AR82" i="4"/>
  <c r="AQ82" i="4"/>
  <c r="AP82" i="4"/>
  <c r="AO82" i="4"/>
  <c r="AN82" i="4"/>
  <c r="AM82" i="4"/>
  <c r="AL82" i="4"/>
  <c r="AK82" i="4"/>
  <c r="AZ81" i="4"/>
  <c r="AY81" i="4"/>
  <c r="AX81" i="4"/>
  <c r="AV81" i="4"/>
  <c r="AU81" i="4"/>
  <c r="AT81" i="4"/>
  <c r="AW81" i="4"/>
  <c r="AR81" i="4"/>
  <c r="AQ81" i="4"/>
  <c r="AP81" i="4"/>
  <c r="AO81" i="4"/>
  <c r="AM81" i="4"/>
  <c r="AL81" i="4"/>
  <c r="AK81" i="4"/>
  <c r="AZ80" i="4"/>
  <c r="AY80" i="4"/>
  <c r="AX80" i="4"/>
  <c r="AW80" i="4"/>
  <c r="AV80" i="4"/>
  <c r="AU80" i="4"/>
  <c r="AT80" i="4"/>
  <c r="AR80" i="4"/>
  <c r="AQ80" i="4"/>
  <c r="AP80" i="4"/>
  <c r="AO80" i="4"/>
  <c r="AN80" i="4"/>
  <c r="AM80" i="4"/>
  <c r="AL80" i="4"/>
  <c r="AK80" i="4"/>
  <c r="AA84" i="4"/>
  <c r="Z84" i="4"/>
  <c r="Y84" i="4"/>
  <c r="W84" i="4"/>
  <c r="V84" i="4"/>
  <c r="U84" i="4"/>
  <c r="S84" i="4"/>
  <c r="R84" i="4"/>
  <c r="Q84" i="4"/>
  <c r="O84" i="4"/>
  <c r="N84" i="4"/>
  <c r="M84" i="4"/>
  <c r="K84" i="4"/>
  <c r="J84" i="4"/>
  <c r="I84" i="4"/>
  <c r="H84" i="4"/>
  <c r="AA83" i="4"/>
  <c r="Z83" i="4"/>
  <c r="Y83" i="4"/>
  <c r="W83" i="4"/>
  <c r="V83" i="4"/>
  <c r="U83" i="4"/>
  <c r="S83" i="4"/>
  <c r="R83" i="4"/>
  <c r="Q83" i="4"/>
  <c r="O83" i="4"/>
  <c r="N83" i="4"/>
  <c r="M83" i="4"/>
  <c r="K83" i="4"/>
  <c r="J83" i="4"/>
  <c r="I83" i="4"/>
  <c r="H83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H82" i="4"/>
  <c r="AA81" i="4"/>
  <c r="Z81" i="4"/>
  <c r="Y81" i="4"/>
  <c r="W81" i="4"/>
  <c r="V81" i="4"/>
  <c r="U81" i="4"/>
  <c r="S81" i="4"/>
  <c r="R81" i="4"/>
  <c r="Q81" i="4"/>
  <c r="O81" i="4"/>
  <c r="N81" i="4"/>
  <c r="M81" i="4"/>
  <c r="K81" i="4"/>
  <c r="J81" i="4"/>
  <c r="I81" i="4"/>
  <c r="H81" i="4"/>
  <c r="AA80" i="4"/>
  <c r="Z80" i="4"/>
  <c r="Y80" i="4"/>
  <c r="W80" i="4"/>
  <c r="V80" i="4"/>
  <c r="U80" i="4"/>
  <c r="S80" i="4"/>
  <c r="R80" i="4"/>
  <c r="Q80" i="4"/>
  <c r="O80" i="4"/>
  <c r="N80" i="4"/>
  <c r="M80" i="4"/>
  <c r="K80" i="4"/>
  <c r="J80" i="4"/>
  <c r="I80" i="4"/>
  <c r="H80" i="4"/>
  <c r="AZ78" i="4"/>
  <c r="AY78" i="4"/>
  <c r="AX78" i="4"/>
  <c r="AV78" i="4"/>
  <c r="AU78" i="4"/>
  <c r="AT78" i="4"/>
  <c r="AR78" i="4"/>
  <c r="AQ78" i="4"/>
  <c r="AP78" i="4"/>
  <c r="AO78" i="4"/>
  <c r="AM78" i="4"/>
  <c r="AL78" i="4"/>
  <c r="AK78" i="4"/>
  <c r="AN78" i="4"/>
  <c r="AZ77" i="4"/>
  <c r="AY77" i="4"/>
  <c r="AX77" i="4"/>
  <c r="AV77" i="4"/>
  <c r="AU77" i="4"/>
  <c r="AT77" i="4"/>
  <c r="AW77" i="4"/>
  <c r="AR77" i="4"/>
  <c r="AQ77" i="4"/>
  <c r="AP77" i="4"/>
  <c r="AO77" i="4"/>
  <c r="AM77" i="4"/>
  <c r="AL77" i="4"/>
  <c r="AK77" i="4"/>
  <c r="AR76" i="4"/>
  <c r="AQ76" i="4"/>
  <c r="AO76" i="4"/>
  <c r="AP76" i="4" s="1"/>
  <c r="AM76" i="4"/>
  <c r="AL76" i="4"/>
  <c r="AZ75" i="4"/>
  <c r="AY75" i="4"/>
  <c r="AX75" i="4"/>
  <c r="AV75" i="4"/>
  <c r="AT75" i="4" s="1"/>
  <c r="AU75" i="4"/>
  <c r="AW75" i="4" s="1"/>
  <c r="AA78" i="4"/>
  <c r="Z78" i="4"/>
  <c r="Y78" i="4"/>
  <c r="W78" i="4"/>
  <c r="V78" i="4"/>
  <c r="U78" i="4"/>
  <c r="S78" i="4"/>
  <c r="R78" i="4"/>
  <c r="Q78" i="4"/>
  <c r="O78" i="4"/>
  <c r="N78" i="4"/>
  <c r="M78" i="4"/>
  <c r="K78" i="4"/>
  <c r="J78" i="4"/>
  <c r="I78" i="4"/>
  <c r="H78" i="4"/>
  <c r="AA77" i="4"/>
  <c r="Z77" i="4"/>
  <c r="Y77" i="4"/>
  <c r="W77" i="4"/>
  <c r="V77" i="4"/>
  <c r="U77" i="4"/>
  <c r="S77" i="4"/>
  <c r="R77" i="4"/>
  <c r="Q77" i="4"/>
  <c r="O77" i="4"/>
  <c r="N77" i="4"/>
  <c r="M77" i="4"/>
  <c r="K77" i="4"/>
  <c r="J77" i="4"/>
  <c r="I77" i="4"/>
  <c r="H77" i="4"/>
  <c r="AA76" i="4"/>
  <c r="W76" i="4"/>
  <c r="S76" i="4"/>
  <c r="AA75" i="4"/>
  <c r="W75" i="4"/>
  <c r="S75" i="4"/>
  <c r="AA74" i="4"/>
  <c r="W74" i="4"/>
  <c r="S74" i="4"/>
  <c r="AZ71" i="4"/>
  <c r="AY71" i="4"/>
  <c r="AX71" i="4"/>
  <c r="AV71" i="4"/>
  <c r="AU71" i="4"/>
  <c r="AT71" i="4"/>
  <c r="AW71" i="4"/>
  <c r="AR71" i="4"/>
  <c r="AQ71" i="4"/>
  <c r="AP71" i="4"/>
  <c r="AO71" i="4"/>
  <c r="AM71" i="4"/>
  <c r="AL71" i="4"/>
  <c r="AK71" i="4"/>
  <c r="AR70" i="4"/>
  <c r="AQ70" i="4"/>
  <c r="AP70" i="4"/>
  <c r="AO70" i="4"/>
  <c r="AM70" i="4"/>
  <c r="AL70" i="4"/>
  <c r="AN70" i="4" s="1"/>
  <c r="AZ69" i="4"/>
  <c r="AY69" i="4"/>
  <c r="AX69" i="4"/>
  <c r="AV69" i="4"/>
  <c r="AU69" i="4"/>
  <c r="AA72" i="4"/>
  <c r="W72" i="4"/>
  <c r="S72" i="4"/>
  <c r="AA71" i="4"/>
  <c r="Z71" i="4"/>
  <c r="Y71" i="4"/>
  <c r="W71" i="4"/>
  <c r="V71" i="4"/>
  <c r="U71" i="4"/>
  <c r="S71" i="4"/>
  <c r="R71" i="4"/>
  <c r="Q71" i="4"/>
  <c r="O71" i="4"/>
  <c r="N71" i="4"/>
  <c r="M71" i="4"/>
  <c r="K71" i="4"/>
  <c r="J71" i="4"/>
  <c r="I71" i="4"/>
  <c r="H71" i="4"/>
  <c r="AA70" i="4"/>
  <c r="W70" i="4"/>
  <c r="S70" i="4"/>
  <c r="AA69" i="4"/>
  <c r="W69" i="4"/>
  <c r="S69" i="4"/>
  <c r="AA68" i="4"/>
  <c r="W68" i="4"/>
  <c r="S68" i="4"/>
  <c r="AK106" i="4" l="1"/>
  <c r="AK76" i="4"/>
  <c r="AT69" i="4"/>
  <c r="AT105" i="4"/>
  <c r="AW105" i="4"/>
  <c r="AN76" i="4"/>
  <c r="AW69" i="4"/>
  <c r="AK70" i="4"/>
  <c r="AK152" i="4"/>
  <c r="AK122" i="4"/>
  <c r="AK132" i="4"/>
  <c r="H85" i="4"/>
  <c r="J91" i="4"/>
  <c r="I85" i="4"/>
  <c r="K91" i="4"/>
  <c r="J85" i="4"/>
  <c r="H91" i="4"/>
  <c r="I91" i="4"/>
  <c r="K85" i="4"/>
  <c r="AK156" i="4"/>
  <c r="AK102" i="4"/>
  <c r="AT92" i="4"/>
  <c r="AW92" i="4"/>
  <c r="L85" i="4"/>
  <c r="AW94" i="4"/>
  <c r="AN93" i="4"/>
  <c r="AN95" i="4"/>
  <c r="AL96" i="4"/>
  <c r="AN96" i="4" s="1"/>
  <c r="AM96" i="4"/>
  <c r="AQ96" i="4"/>
  <c r="AN87" i="4"/>
  <c r="AT88" i="4"/>
  <c r="AN89" i="4"/>
  <c r="AW84" i="4"/>
  <c r="AN81" i="4"/>
  <c r="AT82" i="4"/>
  <c r="AN83" i="4"/>
  <c r="AW78" i="4"/>
  <c r="AN77" i="4"/>
  <c r="AN71" i="4"/>
  <c r="AS66" i="4"/>
  <c r="AZ66" i="4" s="1"/>
  <c r="AI66" i="4"/>
  <c r="AZ65" i="4"/>
  <c r="AY65" i="4"/>
  <c r="AX65" i="4"/>
  <c r="AV65" i="4"/>
  <c r="AU65" i="4"/>
  <c r="AS65" i="4"/>
  <c r="AW65" i="4" s="1"/>
  <c r="AR65" i="4"/>
  <c r="AQ65" i="4"/>
  <c r="AP65" i="4"/>
  <c r="AO65" i="4"/>
  <c r="AM65" i="4"/>
  <c r="AL65" i="4"/>
  <c r="AI65" i="4"/>
  <c r="AK65" i="4" s="1"/>
  <c r="AS64" i="4"/>
  <c r="AI64" i="4"/>
  <c r="AR64" i="4" s="1"/>
  <c r="AZ63" i="4"/>
  <c r="AY63" i="4"/>
  <c r="AX63" i="4"/>
  <c r="AV63" i="4"/>
  <c r="AU63" i="4"/>
  <c r="AS63" i="4"/>
  <c r="AW63" i="4" s="1"/>
  <c r="AR63" i="4"/>
  <c r="AQ63" i="4"/>
  <c r="AP63" i="4"/>
  <c r="AO63" i="4"/>
  <c r="AM63" i="4"/>
  <c r="AL63" i="4"/>
  <c r="AI63" i="4"/>
  <c r="AK63" i="4" s="1"/>
  <c r="AI62" i="4"/>
  <c r="AS62" i="4"/>
  <c r="AA66" i="4"/>
  <c r="W66" i="4"/>
  <c r="S66" i="4"/>
  <c r="AA65" i="4"/>
  <c r="Z65" i="4"/>
  <c r="Y65" i="4"/>
  <c r="W65" i="4"/>
  <c r="V65" i="4"/>
  <c r="U65" i="4"/>
  <c r="S65" i="4"/>
  <c r="R65" i="4"/>
  <c r="Q65" i="4"/>
  <c r="O65" i="4"/>
  <c r="N65" i="4"/>
  <c r="M65" i="4"/>
  <c r="L65" i="4"/>
  <c r="K65" i="4"/>
  <c r="J65" i="4"/>
  <c r="I65" i="4"/>
  <c r="H65" i="4"/>
  <c r="AA64" i="4"/>
  <c r="W64" i="4"/>
  <c r="S64" i="4"/>
  <c r="AA63" i="4"/>
  <c r="Z63" i="4"/>
  <c r="Y63" i="4"/>
  <c r="W63" i="4"/>
  <c r="V63" i="4"/>
  <c r="U63" i="4"/>
  <c r="S63" i="4"/>
  <c r="R63" i="4"/>
  <c r="Q63" i="4"/>
  <c r="O63" i="4"/>
  <c r="N63" i="4"/>
  <c r="M63" i="4"/>
  <c r="L63" i="4"/>
  <c r="K63" i="4"/>
  <c r="J63" i="4"/>
  <c r="I63" i="4"/>
  <c r="H63" i="4"/>
  <c r="AA62" i="4"/>
  <c r="W62" i="4"/>
  <c r="S62" i="4"/>
  <c r="AZ60" i="4"/>
  <c r="AY60" i="4"/>
  <c r="AX60" i="4"/>
  <c r="AV60" i="4"/>
  <c r="AU60" i="4"/>
  <c r="AS60" i="4"/>
  <c r="AW60" i="4" s="1"/>
  <c r="AR60" i="4"/>
  <c r="AQ60" i="4"/>
  <c r="AP60" i="4"/>
  <c r="AO60" i="4"/>
  <c r="AM60" i="4"/>
  <c r="AL60" i="4"/>
  <c r="AI60" i="4"/>
  <c r="AN60" i="4" s="1"/>
  <c r="AZ59" i="4"/>
  <c r="AY59" i="4"/>
  <c r="AX59" i="4"/>
  <c r="AV59" i="4"/>
  <c r="AU59" i="4"/>
  <c r="AS59" i="4"/>
  <c r="AW59" i="4" s="1"/>
  <c r="AR59" i="4"/>
  <c r="AQ59" i="4"/>
  <c r="AP59" i="4"/>
  <c r="AO59" i="4"/>
  <c r="AM59" i="4"/>
  <c r="AL59" i="4"/>
  <c r="AI59" i="4"/>
  <c r="AK59" i="4" s="1"/>
  <c r="AZ58" i="4"/>
  <c r="AY58" i="4"/>
  <c r="AX58" i="4"/>
  <c r="AV58" i="4"/>
  <c r="AU58" i="4"/>
  <c r="AS58" i="4"/>
  <c r="AT58" i="4" s="1"/>
  <c r="AR58" i="4"/>
  <c r="AQ58" i="4"/>
  <c r="AP58" i="4"/>
  <c r="AO58" i="4"/>
  <c r="AM58" i="4"/>
  <c r="AL58" i="4"/>
  <c r="AI58" i="4"/>
  <c r="AN58" i="4" s="1"/>
  <c r="AZ57" i="4"/>
  <c r="AY57" i="4"/>
  <c r="AX57" i="4"/>
  <c r="AV57" i="4"/>
  <c r="AU57" i="4"/>
  <c r="AS57" i="4"/>
  <c r="AW57" i="4" s="1"/>
  <c r="AR57" i="4"/>
  <c r="AQ57" i="4"/>
  <c r="AP57" i="4"/>
  <c r="AO57" i="4"/>
  <c r="AM57" i="4"/>
  <c r="AL57" i="4"/>
  <c r="AI57" i="4"/>
  <c r="AK57" i="4" s="1"/>
  <c r="AZ56" i="4"/>
  <c r="AY56" i="4"/>
  <c r="AX56" i="4"/>
  <c r="AV56" i="4"/>
  <c r="AU56" i="4"/>
  <c r="AS56" i="4"/>
  <c r="AW56" i="4" s="1"/>
  <c r="AR56" i="4"/>
  <c r="AQ56" i="4"/>
  <c r="AP56" i="4"/>
  <c r="AO56" i="4"/>
  <c r="AM56" i="4"/>
  <c r="AL56" i="4"/>
  <c r="AI56" i="4"/>
  <c r="AK56" i="4" s="1"/>
  <c r="AA60" i="4"/>
  <c r="Z60" i="4"/>
  <c r="Y60" i="4"/>
  <c r="W60" i="4"/>
  <c r="V60" i="4"/>
  <c r="U60" i="4"/>
  <c r="S60" i="4"/>
  <c r="R60" i="4"/>
  <c r="Q60" i="4"/>
  <c r="O60" i="4"/>
  <c r="N60" i="4"/>
  <c r="M60" i="4"/>
  <c r="L60" i="4"/>
  <c r="K60" i="4"/>
  <c r="J60" i="4"/>
  <c r="I60" i="4"/>
  <c r="H60" i="4"/>
  <c r="AA59" i="4"/>
  <c r="Z59" i="4"/>
  <c r="Y59" i="4"/>
  <c r="W59" i="4"/>
  <c r="V59" i="4"/>
  <c r="U59" i="4"/>
  <c r="S59" i="4"/>
  <c r="R59" i="4"/>
  <c r="Q59" i="4"/>
  <c r="O59" i="4"/>
  <c r="N59" i="4"/>
  <c r="M59" i="4"/>
  <c r="L59" i="4"/>
  <c r="K59" i="4"/>
  <c r="J59" i="4"/>
  <c r="I59" i="4"/>
  <c r="H59" i="4"/>
  <c r="AA58" i="4"/>
  <c r="Z58" i="4"/>
  <c r="Y58" i="4"/>
  <c r="W58" i="4"/>
  <c r="V58" i="4"/>
  <c r="U58" i="4"/>
  <c r="S58" i="4"/>
  <c r="R58" i="4"/>
  <c r="Q58" i="4"/>
  <c r="O58" i="4"/>
  <c r="N58" i="4"/>
  <c r="M58" i="4"/>
  <c r="L58" i="4"/>
  <c r="K58" i="4"/>
  <c r="J58" i="4"/>
  <c r="I58" i="4"/>
  <c r="H58" i="4"/>
  <c r="AA57" i="4"/>
  <c r="Z57" i="4"/>
  <c r="Y57" i="4"/>
  <c r="W57" i="4"/>
  <c r="V57" i="4"/>
  <c r="U57" i="4"/>
  <c r="S57" i="4"/>
  <c r="R57" i="4"/>
  <c r="Q57" i="4"/>
  <c r="O57" i="4"/>
  <c r="N57" i="4"/>
  <c r="M57" i="4"/>
  <c r="L57" i="4"/>
  <c r="K57" i="4"/>
  <c r="J57" i="4"/>
  <c r="I57" i="4"/>
  <c r="H57" i="4"/>
  <c r="AA56" i="4"/>
  <c r="Z56" i="4"/>
  <c r="Y56" i="4"/>
  <c r="W56" i="4"/>
  <c r="V56" i="4"/>
  <c r="U56" i="4"/>
  <c r="S56" i="4"/>
  <c r="R56" i="4"/>
  <c r="Q56" i="4"/>
  <c r="O56" i="4"/>
  <c r="N56" i="4"/>
  <c r="M56" i="4"/>
  <c r="L56" i="4"/>
  <c r="K56" i="4"/>
  <c r="J56" i="4"/>
  <c r="I56" i="4"/>
  <c r="H56" i="4"/>
  <c r="AZ54" i="4"/>
  <c r="AY54" i="4"/>
  <c r="AX54" i="4"/>
  <c r="AV54" i="4"/>
  <c r="AU54" i="4"/>
  <c r="AS54" i="4"/>
  <c r="AT54" i="4" s="1"/>
  <c r="AR54" i="4"/>
  <c r="AQ54" i="4"/>
  <c r="AP54" i="4"/>
  <c r="AO54" i="4"/>
  <c r="AM54" i="4"/>
  <c r="AL54" i="4"/>
  <c r="AI54" i="4"/>
  <c r="AN54" i="4" s="1"/>
  <c r="AZ53" i="4"/>
  <c r="AY53" i="4"/>
  <c r="AX53" i="4"/>
  <c r="AV53" i="4"/>
  <c r="AU53" i="4"/>
  <c r="AS53" i="4"/>
  <c r="AW53" i="4" s="1"/>
  <c r="AR53" i="4"/>
  <c r="AQ53" i="4"/>
  <c r="AP53" i="4"/>
  <c r="AO53" i="4"/>
  <c r="AM53" i="4"/>
  <c r="AL53" i="4"/>
  <c r="AI53" i="4"/>
  <c r="AK53" i="4" s="1"/>
  <c r="AZ52" i="4"/>
  <c r="AY52" i="4"/>
  <c r="AX52" i="4"/>
  <c r="AV52" i="4"/>
  <c r="AU52" i="4"/>
  <c r="AS52" i="4"/>
  <c r="AT52" i="4" s="1"/>
  <c r="AR52" i="4"/>
  <c r="AQ52" i="4"/>
  <c r="AP52" i="4"/>
  <c r="AO52" i="4"/>
  <c r="AM52" i="4"/>
  <c r="AL52" i="4"/>
  <c r="AI52" i="4"/>
  <c r="AN52" i="4" s="1"/>
  <c r="AZ51" i="4"/>
  <c r="AY51" i="4"/>
  <c r="AX51" i="4"/>
  <c r="AV51" i="4"/>
  <c r="AU51" i="4"/>
  <c r="AS51" i="4"/>
  <c r="AW51" i="4" s="1"/>
  <c r="AR51" i="4"/>
  <c r="AQ51" i="4"/>
  <c r="AP51" i="4"/>
  <c r="AO51" i="4"/>
  <c r="AM51" i="4"/>
  <c r="AL51" i="4"/>
  <c r="AI51" i="4"/>
  <c r="AK51" i="4" s="1"/>
  <c r="AZ50" i="4"/>
  <c r="AY50" i="4"/>
  <c r="AX50" i="4"/>
  <c r="AV50" i="4"/>
  <c r="AU50" i="4"/>
  <c r="AS50" i="4"/>
  <c r="AW50" i="4" s="1"/>
  <c r="AR50" i="4"/>
  <c r="AQ50" i="4"/>
  <c r="AP50" i="4"/>
  <c r="AO50" i="4"/>
  <c r="AM50" i="4"/>
  <c r="AL50" i="4"/>
  <c r="AI50" i="4"/>
  <c r="AN50" i="4" s="1"/>
  <c r="AA54" i="4"/>
  <c r="Z54" i="4"/>
  <c r="Y54" i="4"/>
  <c r="W54" i="4"/>
  <c r="V54" i="4"/>
  <c r="U54" i="4"/>
  <c r="S54" i="4"/>
  <c r="R54" i="4"/>
  <c r="Q54" i="4"/>
  <c r="O54" i="4"/>
  <c r="N54" i="4"/>
  <c r="M54" i="4"/>
  <c r="L54" i="4"/>
  <c r="K54" i="4"/>
  <c r="J54" i="4"/>
  <c r="I54" i="4"/>
  <c r="H54" i="4"/>
  <c r="AA53" i="4"/>
  <c r="Z53" i="4"/>
  <c r="Y53" i="4"/>
  <c r="W53" i="4"/>
  <c r="V53" i="4"/>
  <c r="U53" i="4"/>
  <c r="S53" i="4"/>
  <c r="R53" i="4"/>
  <c r="Q53" i="4"/>
  <c r="O53" i="4"/>
  <c r="N53" i="4"/>
  <c r="M53" i="4"/>
  <c r="L53" i="4"/>
  <c r="K53" i="4"/>
  <c r="J53" i="4"/>
  <c r="I53" i="4"/>
  <c r="H53" i="4"/>
  <c r="AA52" i="4"/>
  <c r="Z52" i="4"/>
  <c r="Y52" i="4"/>
  <c r="W52" i="4"/>
  <c r="V52" i="4"/>
  <c r="U52" i="4"/>
  <c r="S52" i="4"/>
  <c r="R52" i="4"/>
  <c r="Q52" i="4"/>
  <c r="O52" i="4"/>
  <c r="N52" i="4"/>
  <c r="M52" i="4"/>
  <c r="L52" i="4"/>
  <c r="K52" i="4"/>
  <c r="J52" i="4"/>
  <c r="I52" i="4"/>
  <c r="H52" i="4"/>
  <c r="AA51" i="4"/>
  <c r="Z51" i="4"/>
  <c r="Y51" i="4"/>
  <c r="W51" i="4"/>
  <c r="V51" i="4"/>
  <c r="U51" i="4"/>
  <c r="S51" i="4"/>
  <c r="R51" i="4"/>
  <c r="Q51" i="4"/>
  <c r="O51" i="4"/>
  <c r="N51" i="4"/>
  <c r="M51" i="4"/>
  <c r="L51" i="4"/>
  <c r="K51" i="4"/>
  <c r="J51" i="4"/>
  <c r="I51" i="4"/>
  <c r="H51" i="4"/>
  <c r="AA50" i="4"/>
  <c r="Z50" i="4"/>
  <c r="Y50" i="4"/>
  <c r="W50" i="4"/>
  <c r="V50" i="4"/>
  <c r="U50" i="4"/>
  <c r="S50" i="4"/>
  <c r="R50" i="4"/>
  <c r="Q50" i="4"/>
  <c r="O50" i="4"/>
  <c r="N50" i="4"/>
  <c r="M50" i="4"/>
  <c r="L50" i="4"/>
  <c r="K50" i="4"/>
  <c r="J50" i="4"/>
  <c r="I50" i="4"/>
  <c r="H50" i="4"/>
  <c r="AS48" i="4"/>
  <c r="AI48" i="4"/>
  <c r="AR48" i="4" s="1"/>
  <c r="AZ47" i="4"/>
  <c r="AY47" i="4"/>
  <c r="AX47" i="4"/>
  <c r="AV47" i="4"/>
  <c r="AU47" i="4"/>
  <c r="AS47" i="4"/>
  <c r="AW47" i="4" s="1"/>
  <c r="AR47" i="4"/>
  <c r="AQ47" i="4"/>
  <c r="AP47" i="4"/>
  <c r="AO47" i="4"/>
  <c r="AM47" i="4"/>
  <c r="AL47" i="4"/>
  <c r="AI47" i="4"/>
  <c r="AK47" i="4" s="1"/>
  <c r="AS46" i="4"/>
  <c r="AI46" i="4"/>
  <c r="AZ45" i="4"/>
  <c r="AY45" i="4"/>
  <c r="AX45" i="4"/>
  <c r="AV45" i="4"/>
  <c r="AU45" i="4"/>
  <c r="AS45" i="4"/>
  <c r="AW45" i="4" s="1"/>
  <c r="AR45" i="4"/>
  <c r="AQ45" i="4"/>
  <c r="AP45" i="4"/>
  <c r="AO45" i="4"/>
  <c r="AM45" i="4"/>
  <c r="AL45" i="4"/>
  <c r="AI45" i="4"/>
  <c r="AK45" i="4" s="1"/>
  <c r="AS44" i="4"/>
  <c r="AX44" i="4" s="1"/>
  <c r="AI44" i="4"/>
  <c r="AA48" i="4"/>
  <c r="W48" i="4"/>
  <c r="S48" i="4"/>
  <c r="AA47" i="4"/>
  <c r="Z47" i="4"/>
  <c r="Y47" i="4"/>
  <c r="W47" i="4"/>
  <c r="V47" i="4"/>
  <c r="U47" i="4"/>
  <c r="S47" i="4"/>
  <c r="R47" i="4"/>
  <c r="Q47" i="4"/>
  <c r="O47" i="4"/>
  <c r="N47" i="4"/>
  <c r="M47" i="4"/>
  <c r="L47" i="4"/>
  <c r="K47" i="4"/>
  <c r="J47" i="4"/>
  <c r="I47" i="4"/>
  <c r="H47" i="4"/>
  <c r="AA46" i="4"/>
  <c r="W46" i="4"/>
  <c r="S46" i="4"/>
  <c r="AA45" i="4"/>
  <c r="Z45" i="4"/>
  <c r="Y45" i="4"/>
  <c r="W45" i="4"/>
  <c r="V45" i="4"/>
  <c r="U45" i="4"/>
  <c r="S45" i="4"/>
  <c r="R45" i="4"/>
  <c r="Q45" i="4"/>
  <c r="O45" i="4"/>
  <c r="N45" i="4"/>
  <c r="M45" i="4"/>
  <c r="L45" i="4"/>
  <c r="K45" i="4"/>
  <c r="J45" i="4"/>
  <c r="I45" i="4"/>
  <c r="H45" i="4"/>
  <c r="AA44" i="4"/>
  <c r="W44" i="4"/>
  <c r="S44" i="4"/>
  <c r="AV41" i="4"/>
  <c r="AU41" i="4"/>
  <c r="AM41" i="4"/>
  <c r="AL41" i="4"/>
  <c r="AT56" i="4" l="1"/>
  <c r="AK96" i="4"/>
  <c r="AT65" i="4"/>
  <c r="AT63" i="4"/>
  <c r="AO64" i="4"/>
  <c r="AP64" i="4" s="1"/>
  <c r="AN63" i="4"/>
  <c r="AL64" i="4"/>
  <c r="AN65" i="4"/>
  <c r="AX66" i="4"/>
  <c r="AM64" i="4"/>
  <c r="AQ64" i="4"/>
  <c r="AU66" i="4"/>
  <c r="AY66" i="4"/>
  <c r="AV66" i="4"/>
  <c r="AU44" i="4"/>
  <c r="AW44" i="4" s="1"/>
  <c r="AN56" i="4"/>
  <c r="AY44" i="4"/>
  <c r="J61" i="4"/>
  <c r="H55" i="4"/>
  <c r="AT47" i="4"/>
  <c r="I55" i="4"/>
  <c r="K61" i="4"/>
  <c r="AT57" i="4"/>
  <c r="AK58" i="4"/>
  <c r="J55" i="4"/>
  <c r="AT45" i="4"/>
  <c r="K55" i="4"/>
  <c r="AK50" i="4"/>
  <c r="AT51" i="4"/>
  <c r="AK52" i="4"/>
  <c r="I61" i="4"/>
  <c r="H61" i="4"/>
  <c r="AT59" i="4"/>
  <c r="AK60" i="4"/>
  <c r="AV44" i="4"/>
  <c r="AZ44" i="4"/>
  <c r="AT50" i="4"/>
  <c r="AO48" i="4"/>
  <c r="AP48" i="4" s="1"/>
  <c r="AT53" i="4"/>
  <c r="AK54" i="4"/>
  <c r="AW58" i="4"/>
  <c r="AN57" i="4"/>
  <c r="AN59" i="4"/>
  <c r="AT60" i="4"/>
  <c r="AW52" i="4"/>
  <c r="AW54" i="4"/>
  <c r="AN51" i="4"/>
  <c r="AN53" i="4"/>
  <c r="AN45" i="4"/>
  <c r="AN47" i="4"/>
  <c r="AL48" i="4"/>
  <c r="AN48" i="4" s="1"/>
  <c r="AM48" i="4"/>
  <c r="AQ48" i="4"/>
  <c r="AS42" i="4"/>
  <c r="AZ41" i="4"/>
  <c r="AY41" i="4"/>
  <c r="AX41" i="4"/>
  <c r="AS41" i="4"/>
  <c r="AW41" i="4" s="1"/>
  <c r="AR41" i="4"/>
  <c r="AQ41" i="4"/>
  <c r="AP41" i="4"/>
  <c r="AO41" i="4"/>
  <c r="AS40" i="4"/>
  <c r="AS39" i="4"/>
  <c r="AS38" i="4"/>
  <c r="AI42" i="4"/>
  <c r="AI41" i="4"/>
  <c r="AN41" i="4" s="1"/>
  <c r="AI40" i="4"/>
  <c r="AQ40" i="4" s="1"/>
  <c r="AI39" i="4"/>
  <c r="AI38" i="4"/>
  <c r="S42" i="4"/>
  <c r="S41" i="4"/>
  <c r="S40" i="4"/>
  <c r="S39" i="4"/>
  <c r="S38" i="4"/>
  <c r="R41" i="4"/>
  <c r="P12" i="4"/>
  <c r="K41" i="4"/>
  <c r="O41" i="4"/>
  <c r="S8" i="4"/>
  <c r="O35" i="4"/>
  <c r="O34" i="4"/>
  <c r="O33" i="4"/>
  <c r="O30" i="4"/>
  <c r="O29" i="4"/>
  <c r="O28" i="4"/>
  <c r="O27" i="4"/>
  <c r="O23" i="4"/>
  <c r="O22" i="4"/>
  <c r="O21" i="4"/>
  <c r="O18" i="4"/>
  <c r="O17" i="4"/>
  <c r="O12" i="4"/>
  <c r="O11" i="4"/>
  <c r="K35" i="4"/>
  <c r="K34" i="4"/>
  <c r="K33" i="4"/>
  <c r="K30" i="4"/>
  <c r="K29" i="4"/>
  <c r="K28" i="4"/>
  <c r="K27" i="4"/>
  <c r="K23" i="4"/>
  <c r="K22" i="4"/>
  <c r="K21" i="4"/>
  <c r="K18" i="4"/>
  <c r="K17" i="4"/>
  <c r="K12" i="4"/>
  <c r="K11" i="4"/>
  <c r="AA42" i="4"/>
  <c r="W42" i="4"/>
  <c r="AA41" i="4"/>
  <c r="Z41" i="4"/>
  <c r="Y41" i="4"/>
  <c r="W41" i="4"/>
  <c r="V41" i="4"/>
  <c r="U41" i="4"/>
  <c r="Q41" i="4"/>
  <c r="N41" i="4"/>
  <c r="M41" i="4"/>
  <c r="L41" i="4"/>
  <c r="J41" i="4"/>
  <c r="I41" i="4"/>
  <c r="H41" i="4"/>
  <c r="AA40" i="4"/>
  <c r="W40" i="4"/>
  <c r="AA39" i="4"/>
  <c r="W39" i="4"/>
  <c r="AA38" i="4"/>
  <c r="W38" i="4"/>
  <c r="AZ35" i="4"/>
  <c r="AY35" i="4"/>
  <c r="AX35" i="4"/>
  <c r="AV35" i="4"/>
  <c r="AU35" i="4"/>
  <c r="AZ34" i="4"/>
  <c r="AY34" i="4"/>
  <c r="AX34" i="4"/>
  <c r="AV34" i="4"/>
  <c r="AU34" i="4"/>
  <c r="AZ33" i="4"/>
  <c r="AY33" i="4"/>
  <c r="AX33" i="4"/>
  <c r="AV33" i="4"/>
  <c r="AU33" i="4"/>
  <c r="AR35" i="4"/>
  <c r="AQ35" i="4"/>
  <c r="AP35" i="4"/>
  <c r="AO35" i="4"/>
  <c r="AM35" i="4"/>
  <c r="AL35" i="4"/>
  <c r="AR34" i="4"/>
  <c r="AQ34" i="4"/>
  <c r="AP34" i="4"/>
  <c r="AO34" i="4"/>
  <c r="AM34" i="4"/>
  <c r="AL34" i="4"/>
  <c r="AR33" i="4"/>
  <c r="AQ33" i="4"/>
  <c r="AP33" i="4"/>
  <c r="AO33" i="4"/>
  <c r="AM33" i="4"/>
  <c r="AL33" i="4"/>
  <c r="AS36" i="4"/>
  <c r="AX36" i="4" s="1"/>
  <c r="AS35" i="4"/>
  <c r="AT35" i="4" s="1"/>
  <c r="AS34" i="4"/>
  <c r="AW34" i="4" s="1"/>
  <c r="AS33" i="4"/>
  <c r="AT33" i="4" s="1"/>
  <c r="AS32" i="4"/>
  <c r="AI36" i="4"/>
  <c r="AI35" i="4"/>
  <c r="AK35" i="4" s="1"/>
  <c r="AI34" i="4"/>
  <c r="AK34" i="4" s="1"/>
  <c r="AI33" i="4"/>
  <c r="AN33" i="4" s="1"/>
  <c r="AI32" i="4"/>
  <c r="AA36" i="4"/>
  <c r="W36" i="4"/>
  <c r="S36" i="4"/>
  <c r="AA35" i="4"/>
  <c r="Z35" i="4"/>
  <c r="Y35" i="4"/>
  <c r="W35" i="4"/>
  <c r="V35" i="4"/>
  <c r="U35" i="4"/>
  <c r="S35" i="4"/>
  <c r="R35" i="4"/>
  <c r="Q35" i="4"/>
  <c r="N35" i="4"/>
  <c r="M35" i="4"/>
  <c r="L35" i="4"/>
  <c r="J35" i="4"/>
  <c r="I35" i="4"/>
  <c r="H35" i="4"/>
  <c r="AA34" i="4"/>
  <c r="Z34" i="4"/>
  <c r="Y34" i="4"/>
  <c r="W34" i="4"/>
  <c r="V34" i="4"/>
  <c r="U34" i="4"/>
  <c r="S34" i="4"/>
  <c r="R34" i="4"/>
  <c r="Q34" i="4"/>
  <c r="N34" i="4"/>
  <c r="M34" i="4"/>
  <c r="L34" i="4"/>
  <c r="J34" i="4"/>
  <c r="I34" i="4"/>
  <c r="H34" i="4"/>
  <c r="AA33" i="4"/>
  <c r="Z33" i="4"/>
  <c r="Y33" i="4"/>
  <c r="W33" i="4"/>
  <c r="V33" i="4"/>
  <c r="U33" i="4"/>
  <c r="S33" i="4"/>
  <c r="R33" i="4"/>
  <c r="Q33" i="4"/>
  <c r="N33" i="4"/>
  <c r="M33" i="4"/>
  <c r="L33" i="4"/>
  <c r="J33" i="4"/>
  <c r="I33" i="4"/>
  <c r="H33" i="4"/>
  <c r="AA32" i="4"/>
  <c r="W32" i="4"/>
  <c r="S32" i="4"/>
  <c r="AZ30" i="4"/>
  <c r="AY30" i="4"/>
  <c r="AX30" i="4"/>
  <c r="AV30" i="4"/>
  <c r="AU30" i="4"/>
  <c r="AZ29" i="4"/>
  <c r="AY29" i="4"/>
  <c r="AX29" i="4"/>
  <c r="AV29" i="4"/>
  <c r="AU29" i="4"/>
  <c r="AZ28" i="4"/>
  <c r="AY28" i="4"/>
  <c r="AX28" i="4"/>
  <c r="AV28" i="4"/>
  <c r="AU28" i="4"/>
  <c r="AZ27" i="4"/>
  <c r="AY27" i="4"/>
  <c r="AX27" i="4"/>
  <c r="AV27" i="4"/>
  <c r="AU27" i="4"/>
  <c r="AU23" i="4"/>
  <c r="AU22" i="4"/>
  <c r="AU21" i="4"/>
  <c r="AR30" i="4"/>
  <c r="AQ30" i="4"/>
  <c r="AP30" i="4"/>
  <c r="AO30" i="4"/>
  <c r="AM30" i="4"/>
  <c r="AL30" i="4"/>
  <c r="AR29" i="4"/>
  <c r="AQ29" i="4"/>
  <c r="AP29" i="4"/>
  <c r="AO29" i="4"/>
  <c r="AM29" i="4"/>
  <c r="AL29" i="4"/>
  <c r="AR28" i="4"/>
  <c r="AQ28" i="4"/>
  <c r="AO28" i="4"/>
  <c r="AP28" i="4" s="1"/>
  <c r="AM28" i="4"/>
  <c r="AL28" i="4"/>
  <c r="AR27" i="4"/>
  <c r="AQ27" i="4"/>
  <c r="AP27" i="4"/>
  <c r="AO27" i="4"/>
  <c r="AM27" i="4"/>
  <c r="AL27" i="4"/>
  <c r="AS26" i="4"/>
  <c r="AV26" i="4" s="1"/>
  <c r="AS30" i="4"/>
  <c r="AW30" i="4" s="1"/>
  <c r="AS29" i="4"/>
  <c r="AT29" i="4" s="1"/>
  <c r="AS28" i="4"/>
  <c r="AT28" i="4" s="1"/>
  <c r="AS27" i="4"/>
  <c r="AT27" i="4" s="1"/>
  <c r="AI30" i="4"/>
  <c r="AK30" i="4" s="1"/>
  <c r="AI29" i="4"/>
  <c r="AK29" i="4" s="1"/>
  <c r="AI28" i="4"/>
  <c r="AN28" i="4" s="1"/>
  <c r="AI27" i="4"/>
  <c r="AK27" i="4" s="1"/>
  <c r="AI26" i="4"/>
  <c r="AA30" i="4"/>
  <c r="Z30" i="4"/>
  <c r="Y30" i="4"/>
  <c r="W30" i="4"/>
  <c r="V30" i="4"/>
  <c r="U30" i="4"/>
  <c r="S30" i="4"/>
  <c r="R30" i="4"/>
  <c r="Q30" i="4"/>
  <c r="AA29" i="4"/>
  <c r="Z29" i="4"/>
  <c r="Y29" i="4"/>
  <c r="W29" i="4"/>
  <c r="V29" i="4"/>
  <c r="U29" i="4"/>
  <c r="S29" i="4"/>
  <c r="R29" i="4"/>
  <c r="Q29" i="4"/>
  <c r="AA28" i="4"/>
  <c r="W28" i="4"/>
  <c r="S28" i="4"/>
  <c r="AA27" i="4"/>
  <c r="Z27" i="4"/>
  <c r="Y27" i="4"/>
  <c r="W27" i="4"/>
  <c r="V27" i="4"/>
  <c r="U27" i="4"/>
  <c r="S27" i="4"/>
  <c r="R27" i="4"/>
  <c r="Q27" i="4"/>
  <c r="AA26" i="4"/>
  <c r="W26" i="4"/>
  <c r="S26" i="4"/>
  <c r="N30" i="4"/>
  <c r="M30" i="4"/>
  <c r="L30" i="4"/>
  <c r="J30" i="4"/>
  <c r="I30" i="4"/>
  <c r="H30" i="4"/>
  <c r="N29" i="4"/>
  <c r="M29" i="4"/>
  <c r="L29" i="4"/>
  <c r="J29" i="4"/>
  <c r="I29" i="4"/>
  <c r="H29" i="4"/>
  <c r="N27" i="4"/>
  <c r="M27" i="4"/>
  <c r="L27" i="4"/>
  <c r="J27" i="4"/>
  <c r="I27" i="4"/>
  <c r="H27" i="4"/>
  <c r="AZ23" i="4"/>
  <c r="AY23" i="4"/>
  <c r="AX23" i="4"/>
  <c r="AV23" i="4"/>
  <c r="AZ22" i="4"/>
  <c r="AY22" i="4"/>
  <c r="AX22" i="4"/>
  <c r="AV22" i="4"/>
  <c r="AZ21" i="4"/>
  <c r="AY21" i="4"/>
  <c r="AX21" i="4"/>
  <c r="AV21" i="4"/>
  <c r="AS24" i="4"/>
  <c r="AS23" i="4"/>
  <c r="AT23" i="4" s="1"/>
  <c r="AS22" i="4"/>
  <c r="AW22" i="4" s="1"/>
  <c r="AS21" i="4"/>
  <c r="AT21" i="4" s="1"/>
  <c r="AS20" i="4"/>
  <c r="AZ20" i="4" s="1"/>
  <c r="AR23" i="4"/>
  <c r="AQ23" i="4"/>
  <c r="AP23" i="4"/>
  <c r="AO23" i="4"/>
  <c r="AM23" i="4"/>
  <c r="AL23" i="4"/>
  <c r="AR22" i="4"/>
  <c r="AQ22" i="4"/>
  <c r="AP22" i="4"/>
  <c r="AO22" i="4"/>
  <c r="AM22" i="4"/>
  <c r="AL22" i="4"/>
  <c r="AR21" i="4"/>
  <c r="AQ21" i="4"/>
  <c r="AP21" i="4"/>
  <c r="AO21" i="4"/>
  <c r="AM21" i="4"/>
  <c r="AL21" i="4"/>
  <c r="AI24" i="4"/>
  <c r="AO24" i="4" s="1"/>
  <c r="AP24" i="4" s="1"/>
  <c r="AI23" i="4"/>
  <c r="AN23" i="4" s="1"/>
  <c r="AI22" i="4"/>
  <c r="AN22" i="4" s="1"/>
  <c r="AI21" i="4"/>
  <c r="AK21" i="4" s="1"/>
  <c r="AI20" i="4"/>
  <c r="AA24" i="4"/>
  <c r="W24" i="4"/>
  <c r="S24" i="4"/>
  <c r="AA23" i="4"/>
  <c r="Z23" i="4"/>
  <c r="Y23" i="4"/>
  <c r="W23" i="4"/>
  <c r="V23" i="4"/>
  <c r="U23" i="4"/>
  <c r="S23" i="4"/>
  <c r="R23" i="4"/>
  <c r="Q23" i="4"/>
  <c r="AA22" i="4"/>
  <c r="Z22" i="4"/>
  <c r="Y22" i="4"/>
  <c r="W22" i="4"/>
  <c r="V22" i="4"/>
  <c r="U22" i="4"/>
  <c r="S22" i="4"/>
  <c r="R22" i="4"/>
  <c r="Q22" i="4"/>
  <c r="AA21" i="4"/>
  <c r="Z21" i="4"/>
  <c r="Y21" i="4"/>
  <c r="W21" i="4"/>
  <c r="V21" i="4"/>
  <c r="U21" i="4"/>
  <c r="S21" i="4"/>
  <c r="R21" i="4"/>
  <c r="Q21" i="4"/>
  <c r="AA20" i="4"/>
  <c r="W20" i="4"/>
  <c r="S20" i="4"/>
  <c r="N23" i="4"/>
  <c r="M23" i="4"/>
  <c r="L23" i="4"/>
  <c r="J23" i="4"/>
  <c r="I23" i="4"/>
  <c r="H23" i="4"/>
  <c r="N22" i="4"/>
  <c r="M22" i="4"/>
  <c r="L22" i="4"/>
  <c r="J22" i="4"/>
  <c r="I22" i="4"/>
  <c r="H22" i="4"/>
  <c r="N21" i="4"/>
  <c r="M21" i="4"/>
  <c r="L21" i="4"/>
  <c r="J21" i="4"/>
  <c r="I21" i="4"/>
  <c r="H21" i="4"/>
  <c r="AZ17" i="4"/>
  <c r="AY17" i="4"/>
  <c r="AX17" i="4"/>
  <c r="AV17" i="4"/>
  <c r="AU17" i="4"/>
  <c r="AU11" i="4"/>
  <c r="AS14" i="4"/>
  <c r="AS18" i="4"/>
  <c r="AS17" i="4"/>
  <c r="AW17" i="4" s="1"/>
  <c r="AS16" i="4"/>
  <c r="AS15" i="4"/>
  <c r="AR17" i="4"/>
  <c r="AQ17" i="4"/>
  <c r="AP17" i="4"/>
  <c r="AO17" i="4"/>
  <c r="AM17" i="4"/>
  <c r="AL17" i="4"/>
  <c r="AI18" i="4"/>
  <c r="AO18" i="4" s="1"/>
  <c r="AP18" i="4" s="1"/>
  <c r="AI17" i="4"/>
  <c r="AK17" i="4" s="1"/>
  <c r="AI16" i="4"/>
  <c r="AI15" i="4"/>
  <c r="AI14" i="4"/>
  <c r="AI8" i="4"/>
  <c r="P11" i="4"/>
  <c r="AO40" i="4" l="1"/>
  <c r="AP40" i="4" s="1"/>
  <c r="AM40" i="4"/>
  <c r="AL40" i="4"/>
  <c r="AN40" i="4" s="1"/>
  <c r="AR40" i="4"/>
  <c r="AT66" i="4"/>
  <c r="AK23" i="4"/>
  <c r="AK33" i="4"/>
  <c r="AN64" i="4"/>
  <c r="AK64" i="4"/>
  <c r="AW66" i="4"/>
  <c r="AO42" i="4"/>
  <c r="AP42" i="4" s="1"/>
  <c r="AM42" i="4"/>
  <c r="AL42" i="4"/>
  <c r="AV20" i="4"/>
  <c r="AK22" i="4"/>
  <c r="AW33" i="4"/>
  <c r="AN34" i="4"/>
  <c r="AW21" i="4"/>
  <c r="AN35" i="4"/>
  <c r="AX20" i="4"/>
  <c r="AN21" i="4"/>
  <c r="AY20" i="4"/>
  <c r="AY36" i="4"/>
  <c r="AU20" i="4"/>
  <c r="AW29" i="4"/>
  <c r="AT34" i="4"/>
  <c r="AQ24" i="4"/>
  <c r="AN27" i="4"/>
  <c r="AW35" i="4"/>
  <c r="AU36" i="4"/>
  <c r="AW36" i="4" s="1"/>
  <c r="AZ36" i="4"/>
  <c r="AT22" i="4"/>
  <c r="AL24" i="4"/>
  <c r="AN24" i="4" s="1"/>
  <c r="AR24" i="4"/>
  <c r="AM24" i="4"/>
  <c r="AW23" i="4"/>
  <c r="AN29" i="4"/>
  <c r="AN30" i="4"/>
  <c r="AW27" i="4"/>
  <c r="AV36" i="4"/>
  <c r="AT17" i="4"/>
  <c r="AT30" i="4"/>
  <c r="AK48" i="4"/>
  <c r="AT44" i="4"/>
  <c r="AQ42" i="4"/>
  <c r="AT41" i="4"/>
  <c r="AR42" i="4"/>
  <c r="AK41" i="4"/>
  <c r="AX26" i="4"/>
  <c r="AU26" i="4"/>
  <c r="AT26" i="4" s="1"/>
  <c r="AY26" i="4"/>
  <c r="AZ26" i="4"/>
  <c r="AK28" i="4"/>
  <c r="AW28" i="4"/>
  <c r="AL18" i="4"/>
  <c r="AN18" i="4" s="1"/>
  <c r="AQ18" i="4"/>
  <c r="AN17" i="4"/>
  <c r="AR18" i="4"/>
  <c r="AM18" i="4"/>
  <c r="AA18" i="4"/>
  <c r="W18" i="4"/>
  <c r="S18" i="4"/>
  <c r="AA17" i="4"/>
  <c r="Z17" i="4"/>
  <c r="Y17" i="4"/>
  <c r="W17" i="4"/>
  <c r="V17" i="4"/>
  <c r="U17" i="4"/>
  <c r="S17" i="4"/>
  <c r="R17" i="4"/>
  <c r="Q17" i="4"/>
  <c r="AA16" i="4"/>
  <c r="W16" i="4"/>
  <c r="S16" i="4"/>
  <c r="AA15" i="4"/>
  <c r="W15" i="4"/>
  <c r="S15" i="4"/>
  <c r="N17" i="4"/>
  <c r="M17" i="4"/>
  <c r="L17" i="4"/>
  <c r="J17" i="4"/>
  <c r="I17" i="4"/>
  <c r="H17" i="4"/>
  <c r="AA14" i="4"/>
  <c r="W14" i="4"/>
  <c r="S14" i="4"/>
  <c r="AA12" i="4"/>
  <c r="AA11" i="4"/>
  <c r="AA10" i="4"/>
  <c r="AA9" i="4"/>
  <c r="AA8" i="4"/>
  <c r="S12" i="4"/>
  <c r="S11" i="4"/>
  <c r="S10" i="4"/>
  <c r="S9" i="4"/>
  <c r="W12" i="4"/>
  <c r="W11" i="4"/>
  <c r="W10" i="4"/>
  <c r="W9" i="4"/>
  <c r="W8" i="4"/>
  <c r="AV11" i="4"/>
  <c r="AK40" i="4" l="1"/>
  <c r="AK24" i="4"/>
  <c r="AT20" i="4"/>
  <c r="AW20" i="4"/>
  <c r="AT36" i="4"/>
  <c r="AN42" i="4"/>
  <c r="AK42" i="4"/>
  <c r="AW26" i="4"/>
  <c r="AK18" i="4"/>
  <c r="G116" i="3"/>
  <c r="H116" i="3" s="1"/>
  <c r="G114" i="3"/>
  <c r="H114" i="3" s="1"/>
  <c r="G110" i="3"/>
  <c r="H110" i="3" s="1"/>
  <c r="G105" i="3"/>
  <c r="H105" i="3" s="1"/>
  <c r="G100" i="3"/>
  <c r="H100" i="3" s="1"/>
  <c r="G90" i="3"/>
  <c r="G86" i="3"/>
  <c r="G84" i="3"/>
  <c r="G80" i="3"/>
  <c r="G75" i="3"/>
  <c r="G71" i="3"/>
  <c r="G69" i="3"/>
  <c r="G65" i="3"/>
  <c r="G60" i="3"/>
  <c r="G56" i="3"/>
  <c r="H56" i="3" s="1"/>
  <c r="G55" i="3"/>
  <c r="H55" i="3" s="1"/>
  <c r="G54" i="3"/>
  <c r="H54" i="3" s="1"/>
  <c r="H36" i="3"/>
  <c r="G36" i="3"/>
  <c r="H35" i="3"/>
  <c r="G35" i="3"/>
  <c r="G34" i="3"/>
  <c r="H34" i="3" s="1"/>
  <c r="H31" i="3"/>
  <c r="H30" i="3"/>
  <c r="H29" i="3"/>
  <c r="H26" i="3"/>
  <c r="H25" i="3"/>
  <c r="G31" i="3"/>
  <c r="G30" i="3"/>
  <c r="G29" i="3"/>
  <c r="G26" i="3"/>
  <c r="G25" i="3"/>
  <c r="H21" i="3"/>
  <c r="G21" i="3"/>
  <c r="H20" i="3"/>
  <c r="G20" i="3"/>
  <c r="H16" i="3"/>
  <c r="G16" i="3"/>
  <c r="H15" i="3"/>
  <c r="G15" i="3"/>
  <c r="G12" i="3"/>
  <c r="AM11" i="4"/>
  <c r="AL11" i="4"/>
  <c r="N11" i="4"/>
  <c r="M11" i="4"/>
  <c r="H12" i="3" l="1"/>
  <c r="L11" i="4"/>
  <c r="J11" i="4"/>
  <c r="I11" i="4"/>
  <c r="H11" i="4"/>
  <c r="AZ11" i="4"/>
  <c r="AR11" i="4"/>
  <c r="AY11" i="4"/>
  <c r="AQ11" i="4"/>
  <c r="AX11" i="4" l="1"/>
  <c r="AS8" i="4"/>
  <c r="AP11" i="4"/>
  <c r="AO11" i="4"/>
  <c r="AS12" i="4" l="1"/>
  <c r="AT12" i="4" s="1"/>
  <c r="AS11" i="4"/>
  <c r="AS10" i="4"/>
  <c r="AS9" i="4"/>
  <c r="AI12" i="4"/>
  <c r="AI11" i="4"/>
  <c r="AI10" i="4"/>
  <c r="AI9" i="4"/>
  <c r="AW11" i="4" l="1"/>
  <c r="AT11" i="4"/>
  <c r="AK11" i="4"/>
  <c r="AN11" i="4"/>
  <c r="Z11" i="4"/>
  <c r="Y11" i="4"/>
  <c r="V11" i="4"/>
  <c r="U11" i="4"/>
  <c r="R11" i="4"/>
  <c r="Q11" i="4"/>
  <c r="I116" i="3" l="1"/>
  <c r="T116" i="3" s="1"/>
  <c r="J115" i="3"/>
  <c r="I114" i="3"/>
  <c r="T114" i="3" s="1"/>
  <c r="J111" i="3"/>
  <c r="I111" i="3"/>
  <c r="J110" i="3"/>
  <c r="I110" i="3"/>
  <c r="T110" i="3" s="1"/>
  <c r="J109" i="3"/>
  <c r="I109" i="3"/>
  <c r="J106" i="3"/>
  <c r="I106" i="3"/>
  <c r="I105" i="3"/>
  <c r="T105" i="3" s="1"/>
  <c r="J104" i="3"/>
  <c r="I104" i="3"/>
  <c r="J101" i="3"/>
  <c r="I101" i="3"/>
  <c r="J100" i="3"/>
  <c r="I100" i="3"/>
  <c r="T100" i="3" s="1"/>
  <c r="J99" i="3"/>
  <c r="I99" i="3"/>
  <c r="J96" i="3"/>
  <c r="I96" i="3"/>
  <c r="G96" i="3" s="1"/>
  <c r="H96" i="3" s="1"/>
  <c r="J94" i="3"/>
  <c r="I94" i="3"/>
  <c r="J91" i="3"/>
  <c r="I91" i="3"/>
  <c r="I90" i="3"/>
  <c r="T90" i="3" s="1"/>
  <c r="J89" i="3"/>
  <c r="I89" i="3"/>
  <c r="I88" i="3"/>
  <c r="J86" i="3"/>
  <c r="I86" i="3"/>
  <c r="T86" i="3" s="1"/>
  <c r="J85" i="3"/>
  <c r="I85" i="3"/>
  <c r="J84" i="3"/>
  <c r="I84" i="3"/>
  <c r="T84" i="3" s="1"/>
  <c r="J81" i="3"/>
  <c r="I81" i="3"/>
  <c r="J80" i="3"/>
  <c r="I80" i="3"/>
  <c r="T80" i="3" s="1"/>
  <c r="J79" i="3"/>
  <c r="I79" i="3"/>
  <c r="S76" i="3"/>
  <c r="S74" i="3"/>
  <c r="Y74" i="3" s="1"/>
  <c r="J76" i="3"/>
  <c r="I76" i="3"/>
  <c r="I75" i="3"/>
  <c r="T75" i="3" s="1"/>
  <c r="J74" i="3"/>
  <c r="I74" i="3"/>
  <c r="G92" i="3" l="1"/>
  <c r="I92" i="3" s="1"/>
  <c r="T92" i="3" s="1"/>
  <c r="J116" i="3"/>
  <c r="G115" i="3"/>
  <c r="J114" i="3"/>
  <c r="T111" i="3"/>
  <c r="G111" i="3"/>
  <c r="H111" i="3" s="1"/>
  <c r="T109" i="3"/>
  <c r="G109" i="3"/>
  <c r="H109" i="3" s="1"/>
  <c r="T106" i="3"/>
  <c r="G106" i="3"/>
  <c r="H106" i="3" s="1"/>
  <c r="J105" i="3"/>
  <c r="T104" i="3"/>
  <c r="G104" i="3"/>
  <c r="H104" i="3" s="1"/>
  <c r="T101" i="3"/>
  <c r="G101" i="3"/>
  <c r="H101" i="3" s="1"/>
  <c r="T99" i="3"/>
  <c r="G99" i="3"/>
  <c r="H99" i="3" s="1"/>
  <c r="T96" i="3"/>
  <c r="G95" i="3"/>
  <c r="T94" i="3"/>
  <c r="H94" i="3"/>
  <c r="T88" i="3"/>
  <c r="G88" i="3"/>
  <c r="T91" i="3"/>
  <c r="G91" i="3"/>
  <c r="J90" i="3"/>
  <c r="T89" i="3"/>
  <c r="G89" i="3"/>
  <c r="J88" i="3"/>
  <c r="T85" i="3"/>
  <c r="G85" i="3"/>
  <c r="T81" i="3"/>
  <c r="G81" i="3"/>
  <c r="T79" i="3"/>
  <c r="G79" i="3"/>
  <c r="Y76" i="3"/>
  <c r="T76" i="3"/>
  <c r="G76" i="3"/>
  <c r="J75" i="3"/>
  <c r="T74" i="3"/>
  <c r="G74" i="3"/>
  <c r="G82" i="3"/>
  <c r="G77" i="3"/>
  <c r="Q71" i="3"/>
  <c r="S71" i="3" s="1"/>
  <c r="Y71" i="3" s="1"/>
  <c r="P71" i="3"/>
  <c r="X71" i="3" s="1"/>
  <c r="N71" i="3"/>
  <c r="K71" i="3"/>
  <c r="J71" i="3"/>
  <c r="I71" i="3"/>
  <c r="T71" i="3" s="1"/>
  <c r="S70" i="3"/>
  <c r="Y70" i="3" s="1"/>
  <c r="P70" i="3"/>
  <c r="X70" i="3" s="1"/>
  <c r="M70" i="3"/>
  <c r="U70" i="3" s="1"/>
  <c r="K70" i="3"/>
  <c r="J70" i="3"/>
  <c r="I70" i="3"/>
  <c r="I69" i="3"/>
  <c r="T69" i="3" s="1"/>
  <c r="S66" i="3"/>
  <c r="Y66" i="3" s="1"/>
  <c r="P66" i="3"/>
  <c r="X66" i="3" s="1"/>
  <c r="M66" i="3"/>
  <c r="U66" i="3" s="1"/>
  <c r="J66" i="3"/>
  <c r="I66" i="3"/>
  <c r="Q65" i="3"/>
  <c r="S65" i="3" s="1"/>
  <c r="Y65" i="3" s="1"/>
  <c r="N65" i="3"/>
  <c r="P65" i="3" s="1"/>
  <c r="X65" i="3" s="1"/>
  <c r="K65" i="3"/>
  <c r="I65" i="3"/>
  <c r="T65" i="3" s="1"/>
  <c r="S64" i="3"/>
  <c r="Y64" i="3" s="1"/>
  <c r="Q64" i="3"/>
  <c r="P64" i="3"/>
  <c r="X64" i="3" s="1"/>
  <c r="M64" i="3"/>
  <c r="U64" i="3" s="1"/>
  <c r="K64" i="3"/>
  <c r="J64" i="3"/>
  <c r="I64" i="3"/>
  <c r="M71" i="3" l="1"/>
  <c r="U71" i="3" s="1"/>
  <c r="W71" i="3"/>
  <c r="V71" i="3"/>
  <c r="V70" i="3"/>
  <c r="W70" i="3"/>
  <c r="M65" i="3"/>
  <c r="U65" i="3" s="1"/>
  <c r="V65" i="3"/>
  <c r="W65" i="3"/>
  <c r="W64" i="3"/>
  <c r="V64" i="3"/>
  <c r="H115" i="3"/>
  <c r="I115" i="3" s="1"/>
  <c r="T115" i="3" s="1"/>
  <c r="J92" i="3"/>
  <c r="H95" i="3"/>
  <c r="J95" i="3" s="1"/>
  <c r="I95" i="3"/>
  <c r="T95" i="3" s="1"/>
  <c r="I82" i="3"/>
  <c r="T82" i="3" s="1"/>
  <c r="I77" i="3"/>
  <c r="T77" i="3" s="1"/>
  <c r="J82" i="3"/>
  <c r="J77" i="3"/>
  <c r="Q70" i="3"/>
  <c r="T70" i="3"/>
  <c r="G70" i="3"/>
  <c r="N70" i="3"/>
  <c r="J69" i="3"/>
  <c r="T66" i="3"/>
  <c r="G66" i="3"/>
  <c r="N66" i="3"/>
  <c r="K66" i="3"/>
  <c r="Q66" i="3"/>
  <c r="J65" i="3"/>
  <c r="T64" i="3"/>
  <c r="G64" i="3"/>
  <c r="N64" i="3"/>
  <c r="G112" i="3"/>
  <c r="G107" i="3"/>
  <c r="I87" i="3"/>
  <c r="G83" i="3"/>
  <c r="N69" i="3"/>
  <c r="P69" i="3" s="1"/>
  <c r="X69" i="3" s="1"/>
  <c r="J61" i="3"/>
  <c r="J59" i="3"/>
  <c r="S61" i="3"/>
  <c r="Y61" i="3" s="1"/>
  <c r="P61" i="3"/>
  <c r="X61" i="3" s="1"/>
  <c r="M61" i="3"/>
  <c r="U61" i="3" s="1"/>
  <c r="I61" i="3"/>
  <c r="Q60" i="3"/>
  <c r="N60" i="3"/>
  <c r="K60" i="3"/>
  <c r="I60" i="3"/>
  <c r="T60" i="3" s="1"/>
  <c r="S59" i="3"/>
  <c r="P59" i="3"/>
  <c r="M59" i="3"/>
  <c r="K59" i="3" s="1"/>
  <c r="W66" i="3" l="1"/>
  <c r="V66" i="3"/>
  <c r="W59" i="3"/>
  <c r="V59" i="3"/>
  <c r="W60" i="3"/>
  <c r="V60" i="3"/>
  <c r="M60" i="3"/>
  <c r="U60" i="3" s="1"/>
  <c r="J108" i="3"/>
  <c r="H107" i="3"/>
  <c r="I107" i="3" s="1"/>
  <c r="T107" i="3" s="1"/>
  <c r="I83" i="3"/>
  <c r="T83" i="3" s="1"/>
  <c r="J83" i="3"/>
  <c r="T87" i="3"/>
  <c r="G87" i="3"/>
  <c r="J67" i="3"/>
  <c r="S60" i="3"/>
  <c r="Y60" i="3" s="1"/>
  <c r="P60" i="3"/>
  <c r="X60" i="3" s="1"/>
  <c r="U59" i="3"/>
  <c r="X59" i="3"/>
  <c r="Y59" i="3"/>
  <c r="N61" i="3"/>
  <c r="T61" i="3"/>
  <c r="G61" i="3"/>
  <c r="K61" i="3"/>
  <c r="Q61" i="3"/>
  <c r="J60" i="3"/>
  <c r="Q59" i="3"/>
  <c r="H112" i="3"/>
  <c r="I112" i="3" s="1"/>
  <c r="B12" i="6" s="1"/>
  <c r="H12" i="6" s="1"/>
  <c r="J87" i="3"/>
  <c r="I72" i="3"/>
  <c r="G68" i="3"/>
  <c r="I68" i="3" s="1"/>
  <c r="T68" i="3" s="1"/>
  <c r="N59" i="3"/>
  <c r="V61" i="3" l="1"/>
  <c r="W61" i="3"/>
  <c r="T108" i="3"/>
  <c r="G108" i="3"/>
  <c r="H108" i="3" s="1"/>
  <c r="J107" i="3"/>
  <c r="J68" i="3"/>
  <c r="T72" i="3"/>
  <c r="G72" i="3"/>
  <c r="T112" i="3"/>
  <c r="J112" i="3"/>
  <c r="J72" i="3"/>
  <c r="S57" i="3"/>
  <c r="Y57" i="3" s="1"/>
  <c r="P57" i="3"/>
  <c r="O57" i="3" s="1"/>
  <c r="M57" i="3"/>
  <c r="U57" i="3" s="1"/>
  <c r="J57" i="3"/>
  <c r="I57" i="3"/>
  <c r="G57" i="3" s="1"/>
  <c r="H57" i="3" s="1"/>
  <c r="Y56" i="3"/>
  <c r="X56" i="3"/>
  <c r="S56" i="3"/>
  <c r="R56" i="3"/>
  <c r="Q56" i="3"/>
  <c r="P56" i="3"/>
  <c r="O56" i="3"/>
  <c r="N56" i="3"/>
  <c r="M56" i="3"/>
  <c r="U56" i="3" s="1"/>
  <c r="L56" i="3"/>
  <c r="K56" i="3"/>
  <c r="J56" i="3"/>
  <c r="I56" i="3"/>
  <c r="T56" i="3" s="1"/>
  <c r="Y55" i="3"/>
  <c r="X55" i="3"/>
  <c r="S55" i="3"/>
  <c r="R55" i="3"/>
  <c r="Q55" i="3"/>
  <c r="P55" i="3"/>
  <c r="O55" i="3"/>
  <c r="N55" i="3"/>
  <c r="M55" i="3"/>
  <c r="U55" i="3" s="1"/>
  <c r="L55" i="3"/>
  <c r="K55" i="3"/>
  <c r="J55" i="3"/>
  <c r="I55" i="3"/>
  <c r="T55" i="3" s="1"/>
  <c r="Y54" i="3"/>
  <c r="X54" i="3"/>
  <c r="S54" i="3"/>
  <c r="Q54" i="3"/>
  <c r="R54" i="3" s="1"/>
  <c r="P54" i="3"/>
  <c r="N54" i="3"/>
  <c r="O54" i="3" s="1"/>
  <c r="M54" i="3"/>
  <c r="U54" i="3" s="1"/>
  <c r="K54" i="3"/>
  <c r="J54" i="3"/>
  <c r="I54" i="3"/>
  <c r="T54" i="3" s="1"/>
  <c r="I51" i="3"/>
  <c r="G51" i="3" s="1"/>
  <c r="H51" i="3" s="1"/>
  <c r="J49" i="3"/>
  <c r="J45" i="3"/>
  <c r="I45" i="3"/>
  <c r="G45" i="3" s="1"/>
  <c r="L54" i="3" l="1"/>
  <c r="V54" i="3" s="1"/>
  <c r="W54" i="3" s="1"/>
  <c r="T49" i="3"/>
  <c r="G49" i="3"/>
  <c r="H45" i="3"/>
  <c r="T51" i="3"/>
  <c r="G46" i="3"/>
  <c r="J51" i="3"/>
  <c r="N57" i="3"/>
  <c r="L57" i="3"/>
  <c r="K57" i="3" s="1"/>
  <c r="T57" i="3"/>
  <c r="X57" i="3"/>
  <c r="R57" i="3"/>
  <c r="Q57" i="3" s="1"/>
  <c r="J62" i="3" l="1"/>
  <c r="I62" i="3"/>
  <c r="G53" i="3"/>
  <c r="I49" i="3"/>
  <c r="H49" i="3"/>
  <c r="H46" i="3"/>
  <c r="G48" i="3"/>
  <c r="T62" i="3" l="1"/>
  <c r="G62" i="3"/>
  <c r="H53" i="3"/>
  <c r="I53" i="3" s="1"/>
  <c r="T53" i="3" s="1"/>
  <c r="J41" i="3"/>
  <c r="H48" i="3"/>
  <c r="I48" i="3" s="1"/>
  <c r="T48" i="3" s="1"/>
  <c r="I46" i="3"/>
  <c r="J46" i="3" s="1"/>
  <c r="S36" i="3"/>
  <c r="R36" i="3"/>
  <c r="Q36" i="3"/>
  <c r="P36" i="3"/>
  <c r="O36" i="3"/>
  <c r="N36" i="3"/>
  <c r="M36" i="3"/>
  <c r="L36" i="3"/>
  <c r="K36" i="3"/>
  <c r="J36" i="3"/>
  <c r="I36" i="3"/>
  <c r="S35" i="3"/>
  <c r="R35" i="3"/>
  <c r="Q35" i="3"/>
  <c r="P35" i="3"/>
  <c r="O35" i="3"/>
  <c r="N35" i="3"/>
  <c r="M35" i="3"/>
  <c r="L35" i="3"/>
  <c r="K35" i="3"/>
  <c r="J35" i="3"/>
  <c r="I35" i="3"/>
  <c r="S34" i="3"/>
  <c r="R34" i="3"/>
  <c r="Q34" i="3"/>
  <c r="P34" i="3"/>
  <c r="O34" i="3"/>
  <c r="N34" i="3"/>
  <c r="M34" i="3"/>
  <c r="L34" i="3"/>
  <c r="K34" i="3"/>
  <c r="J34" i="3"/>
  <c r="I34" i="3"/>
  <c r="V34" i="3" l="1"/>
  <c r="W34" i="3"/>
  <c r="J53" i="3"/>
  <c r="J48" i="3"/>
  <c r="J43" i="3"/>
  <c r="I37" i="3"/>
  <c r="J31" i="3"/>
  <c r="J30" i="3"/>
  <c r="J29" i="3"/>
  <c r="I31" i="3"/>
  <c r="I30" i="3"/>
  <c r="I29" i="3"/>
  <c r="G33" i="3" l="1"/>
  <c r="J37" i="3"/>
  <c r="G37" i="3"/>
  <c r="H37" i="3" s="1"/>
  <c r="G32" i="3"/>
  <c r="J26" i="3"/>
  <c r="J25" i="3"/>
  <c r="J24" i="3"/>
  <c r="I26" i="3"/>
  <c r="I25" i="3"/>
  <c r="I24" i="3"/>
  <c r="G24" i="3" s="1"/>
  <c r="H24" i="3" s="1"/>
  <c r="J21" i="3"/>
  <c r="J20" i="3"/>
  <c r="J19" i="3"/>
  <c r="I21" i="3"/>
  <c r="I20" i="3"/>
  <c r="I19" i="3"/>
  <c r="G19" i="3" s="1"/>
  <c r="H19" i="3" s="1"/>
  <c r="I16" i="3"/>
  <c r="I15" i="3"/>
  <c r="I14" i="3"/>
  <c r="G14" i="3" s="1"/>
  <c r="J16" i="3"/>
  <c r="J15" i="3"/>
  <c r="J14" i="3"/>
  <c r="I12" i="3"/>
  <c r="J12" i="3" s="1"/>
  <c r="H32" i="3" l="1"/>
  <c r="H14" i="3"/>
  <c r="H33" i="3"/>
  <c r="I33" i="3" s="1"/>
  <c r="G27" i="3"/>
  <c r="H27" i="3" l="1"/>
  <c r="J33" i="3"/>
  <c r="I32" i="3"/>
  <c r="I27" i="3"/>
  <c r="J17" i="3" l="1"/>
  <c r="I28" i="3"/>
  <c r="J32" i="3"/>
  <c r="I10" i="3"/>
  <c r="J27" i="3"/>
  <c r="A13" i="6"/>
  <c r="A12" i="6"/>
  <c r="A11" i="6"/>
  <c r="A10" i="6"/>
  <c r="A9" i="6"/>
  <c r="R116" i="3"/>
  <c r="R114" i="3"/>
  <c r="O116" i="3"/>
  <c r="O114" i="3"/>
  <c r="L116" i="3"/>
  <c r="R110" i="3"/>
  <c r="O110" i="3"/>
  <c r="L110" i="3"/>
  <c r="R105" i="3"/>
  <c r="R100" i="3"/>
  <c r="O105" i="3"/>
  <c r="O100" i="3"/>
  <c r="L105" i="3"/>
  <c r="L114" i="3"/>
  <c r="Q90" i="3"/>
  <c r="Q86" i="3"/>
  <c r="Q84" i="3"/>
  <c r="Q80" i="3"/>
  <c r="N90" i="3"/>
  <c r="N86" i="3"/>
  <c r="N84" i="3"/>
  <c r="N80" i="3"/>
  <c r="N75" i="3"/>
  <c r="K90" i="3"/>
  <c r="K86" i="3"/>
  <c r="K84" i="3"/>
  <c r="K80" i="3"/>
  <c r="K75" i="3"/>
  <c r="W84" i="3" l="1"/>
  <c r="V84" i="3"/>
  <c r="W86" i="3"/>
  <c r="V86" i="3"/>
  <c r="W80" i="3"/>
  <c r="V80" i="3"/>
  <c r="V75" i="3"/>
  <c r="W75" i="3"/>
  <c r="J10" i="3"/>
  <c r="G10" i="3"/>
  <c r="H10" i="3" s="1"/>
  <c r="J28" i="3"/>
  <c r="G28" i="3"/>
  <c r="H28" i="3" s="1"/>
  <c r="J18" i="3"/>
  <c r="BH139" i="4"/>
  <c r="BH133" i="4"/>
  <c r="BH127" i="4"/>
  <c r="C631" i="4"/>
  <c r="C625" i="4"/>
  <c r="C619" i="4"/>
  <c r="C613" i="4"/>
  <c r="C607" i="4"/>
  <c r="S115" i="3"/>
  <c r="P115" i="3"/>
  <c r="M115" i="3"/>
  <c r="S114" i="3"/>
  <c r="Y114" i="3" s="1"/>
  <c r="P114" i="3"/>
  <c r="X114" i="3" s="1"/>
  <c r="M114" i="3"/>
  <c r="U114" i="3" s="1"/>
  <c r="BH120" i="4"/>
  <c r="AS73" i="5"/>
  <c r="AS72" i="5"/>
  <c r="AS71" i="5"/>
  <c r="AS70" i="5"/>
  <c r="AS69" i="5"/>
  <c r="BH114" i="4"/>
  <c r="BH108" i="4"/>
  <c r="W114" i="3" l="1"/>
  <c r="V114" i="3"/>
  <c r="AJ621" i="4"/>
  <c r="AJ619" i="4"/>
  <c r="AJ622" i="4"/>
  <c r="AJ623" i="4"/>
  <c r="AJ620" i="4"/>
  <c r="AJ626" i="4"/>
  <c r="AJ628" i="4"/>
  <c r="AJ627" i="4"/>
  <c r="AJ629" i="4"/>
  <c r="AJ625" i="4"/>
  <c r="AJ614" i="4"/>
  <c r="AJ616" i="4"/>
  <c r="AJ615" i="4"/>
  <c r="AJ617" i="4"/>
  <c r="AJ613" i="4"/>
  <c r="AJ611" i="4"/>
  <c r="V611" i="4"/>
  <c r="Q611" i="4"/>
  <c r="K611" i="4"/>
  <c r="V607" i="4"/>
  <c r="Q607" i="4"/>
  <c r="K607" i="4"/>
  <c r="AJ607" i="4"/>
  <c r="Z611" i="4"/>
  <c r="U611" i="4"/>
  <c r="O611" i="4"/>
  <c r="J611" i="4"/>
  <c r="Z607" i="4"/>
  <c r="U607" i="4"/>
  <c r="O607" i="4"/>
  <c r="J607" i="4"/>
  <c r="J612" i="4" s="1"/>
  <c r="AJ608" i="4"/>
  <c r="R611" i="4"/>
  <c r="I607" i="4"/>
  <c r="M611" i="4"/>
  <c r="Y607" i="4"/>
  <c r="I611" i="4"/>
  <c r="M607" i="4"/>
  <c r="Y611" i="4"/>
  <c r="N611" i="4"/>
  <c r="R607" i="4"/>
  <c r="AJ610" i="4"/>
  <c r="AJ609" i="4"/>
  <c r="N607" i="4"/>
  <c r="AJ634" i="4"/>
  <c r="AJ632" i="4"/>
  <c r="AJ631" i="4"/>
  <c r="V635" i="4"/>
  <c r="Q635" i="4"/>
  <c r="K635" i="4"/>
  <c r="AE634" i="4"/>
  <c r="F634" i="4"/>
  <c r="R633" i="4"/>
  <c r="M633" i="4"/>
  <c r="F633" i="4"/>
  <c r="AB632" i="4"/>
  <c r="X632" i="4"/>
  <c r="T632" i="4"/>
  <c r="G632" i="4"/>
  <c r="P632" i="4" s="1"/>
  <c r="Z631" i="4"/>
  <c r="U631" i="4"/>
  <c r="O631" i="4"/>
  <c r="K631" i="4"/>
  <c r="F631" i="4"/>
  <c r="Y635" i="4"/>
  <c r="N635" i="4"/>
  <c r="AC634" i="4"/>
  <c r="U633" i="4"/>
  <c r="J633" i="4"/>
  <c r="Z635" i="4"/>
  <c r="U635" i="4"/>
  <c r="O635" i="4"/>
  <c r="J635" i="4"/>
  <c r="AD634" i="4"/>
  <c r="V633" i="4"/>
  <c r="Q633" i="4"/>
  <c r="K633" i="4"/>
  <c r="AE632" i="4"/>
  <c r="F632" i="4"/>
  <c r="Y631" i="4"/>
  <c r="N631" i="4"/>
  <c r="J631" i="4"/>
  <c r="AJ635" i="4"/>
  <c r="AJ633" i="4"/>
  <c r="I635" i="4"/>
  <c r="Z633" i="4"/>
  <c r="O633" i="4"/>
  <c r="AB634" i="4"/>
  <c r="X634" i="4"/>
  <c r="T634" i="4"/>
  <c r="G634" i="4"/>
  <c r="P634" i="4" s="1"/>
  <c r="AC632" i="4"/>
  <c r="Q631" i="4"/>
  <c r="R631" i="4"/>
  <c r="R635" i="4"/>
  <c r="N633" i="4"/>
  <c r="V631" i="4"/>
  <c r="M631" i="4"/>
  <c r="M635" i="4"/>
  <c r="Y633" i="4"/>
  <c r="I633" i="4"/>
  <c r="F635" i="4"/>
  <c r="AD632" i="4"/>
  <c r="I631" i="4"/>
  <c r="AC628" i="4"/>
  <c r="AE626" i="4"/>
  <c r="F626" i="4"/>
  <c r="AB625" i="4"/>
  <c r="X625" i="4"/>
  <c r="AD628" i="4"/>
  <c r="F627" i="4"/>
  <c r="AC627" i="4" s="1"/>
  <c r="AB626" i="4"/>
  <c r="T626" i="4"/>
  <c r="AC625" i="4"/>
  <c r="F629" i="4"/>
  <c r="AE629" i="4" s="1"/>
  <c r="AB628" i="4"/>
  <c r="X628" i="4"/>
  <c r="T628" i="4"/>
  <c r="AD626" i="4"/>
  <c r="AE625" i="4"/>
  <c r="AE628" i="4"/>
  <c r="G628" i="4"/>
  <c r="P628" i="4" s="1"/>
  <c r="AC626" i="4"/>
  <c r="AD625" i="4"/>
  <c r="F628" i="4"/>
  <c r="X626" i="4"/>
  <c r="G626" i="4"/>
  <c r="P626" i="4" s="1"/>
  <c r="F625" i="4"/>
  <c r="X629" i="4"/>
  <c r="AC629" i="4"/>
  <c r="AB627" i="4"/>
  <c r="AB629" i="4"/>
  <c r="AD629" i="4"/>
  <c r="AD627" i="4"/>
  <c r="T625" i="4"/>
  <c r="AE627" i="4"/>
  <c r="G625" i="4"/>
  <c r="X627" i="4"/>
  <c r="T629" i="4"/>
  <c r="G627" i="4"/>
  <c r="P627" i="4" s="1"/>
  <c r="G629" i="4"/>
  <c r="P629" i="4" s="1"/>
  <c r="T627" i="4"/>
  <c r="AE621" i="4"/>
  <c r="G621" i="4"/>
  <c r="P621" i="4" s="1"/>
  <c r="AC620" i="4"/>
  <c r="AD619" i="4"/>
  <c r="F623" i="4"/>
  <c r="AE623" i="4" s="1"/>
  <c r="F622" i="4"/>
  <c r="AB622" i="4" s="1"/>
  <c r="X621" i="4"/>
  <c r="AE619" i="4"/>
  <c r="AD621" i="4"/>
  <c r="F621" i="4"/>
  <c r="AB620" i="4"/>
  <c r="X620" i="4"/>
  <c r="T620" i="4"/>
  <c r="G620" i="4"/>
  <c r="P620" i="4" s="1"/>
  <c r="AC619" i="4"/>
  <c r="F619" i="4"/>
  <c r="AD620" i="4"/>
  <c r="AC621" i="4"/>
  <c r="AE620" i="4"/>
  <c r="F620" i="4"/>
  <c r="AB619" i="4"/>
  <c r="X619" i="4"/>
  <c r="AB621" i="4"/>
  <c r="T621" i="4"/>
  <c r="X623" i="4"/>
  <c r="AD622" i="4"/>
  <c r="G619" i="4"/>
  <c r="AB623" i="4"/>
  <c r="AE622" i="4"/>
  <c r="AC623" i="4"/>
  <c r="X622" i="4"/>
  <c r="AD623" i="4"/>
  <c r="AC622" i="4"/>
  <c r="T619" i="4"/>
  <c r="G622" i="4"/>
  <c r="P622" i="4" s="1"/>
  <c r="T622" i="4"/>
  <c r="G623" i="4"/>
  <c r="P623" i="4" s="1"/>
  <c r="T623" i="4"/>
  <c r="AD616" i="4"/>
  <c r="AE614" i="4"/>
  <c r="F614" i="4"/>
  <c r="F616" i="4"/>
  <c r="F615" i="4"/>
  <c r="AE615" i="4" s="1"/>
  <c r="AB614" i="4"/>
  <c r="T614" i="4"/>
  <c r="F613" i="4"/>
  <c r="AC616" i="4"/>
  <c r="AD614" i="4"/>
  <c r="AD613" i="4"/>
  <c r="F617" i="4"/>
  <c r="AE617" i="4" s="1"/>
  <c r="AB616" i="4"/>
  <c r="X616" i="4"/>
  <c r="T616" i="4"/>
  <c r="G616" i="4"/>
  <c r="P616" i="4" s="1"/>
  <c r="AC614" i="4"/>
  <c r="AE616" i="4"/>
  <c r="X614" i="4"/>
  <c r="G614" i="4"/>
  <c r="P614" i="4" s="1"/>
  <c r="X613" i="4"/>
  <c r="AC615" i="4"/>
  <c r="T613" i="4"/>
  <c r="AB613" i="4"/>
  <c r="AC617" i="4"/>
  <c r="G613" i="4"/>
  <c r="X615" i="4"/>
  <c r="X617" i="4"/>
  <c r="AD615" i="4"/>
  <c r="AE613" i="4"/>
  <c r="AB615" i="4"/>
  <c r="AB617" i="4"/>
  <c r="AD617" i="4"/>
  <c r="G617" i="4"/>
  <c r="P617" i="4" s="1"/>
  <c r="T615" i="4"/>
  <c r="G615" i="4"/>
  <c r="P615" i="4" s="1"/>
  <c r="T617" i="4"/>
  <c r="U115" i="3"/>
  <c r="Y115" i="3"/>
  <c r="X115" i="3"/>
  <c r="AC610" i="4"/>
  <c r="AE608" i="4"/>
  <c r="G608" i="4"/>
  <c r="P608" i="4" s="1"/>
  <c r="F607" i="4"/>
  <c r="F611" i="4"/>
  <c r="AB610" i="4"/>
  <c r="X610" i="4"/>
  <c r="T610" i="4"/>
  <c r="AD608" i="4"/>
  <c r="F608" i="4"/>
  <c r="AE610" i="4"/>
  <c r="G610" i="4"/>
  <c r="P610" i="4" s="1"/>
  <c r="AC608" i="4"/>
  <c r="AD610" i="4"/>
  <c r="F610" i="4"/>
  <c r="F609" i="4"/>
  <c r="AC609" i="4" s="1"/>
  <c r="AB608" i="4"/>
  <c r="X608" i="4"/>
  <c r="T608" i="4"/>
  <c r="X609" i="4"/>
  <c r="AB609" i="4"/>
  <c r="AE609" i="4"/>
  <c r="T609" i="4" s="1"/>
  <c r="AD609" i="4"/>
  <c r="G609" i="4"/>
  <c r="P609" i="4" s="1"/>
  <c r="C30" i="7"/>
  <c r="C29" i="7"/>
  <c r="C28" i="7"/>
  <c r="C601" i="4"/>
  <c r="C595" i="4"/>
  <c r="C589" i="4"/>
  <c r="C583" i="4"/>
  <c r="C577" i="4"/>
  <c r="S111" i="3"/>
  <c r="P111" i="3"/>
  <c r="M111" i="3"/>
  <c r="S110" i="3"/>
  <c r="Y110" i="3" s="1"/>
  <c r="P110" i="3"/>
  <c r="X110" i="3" s="1"/>
  <c r="M110" i="3"/>
  <c r="U110" i="3" s="1"/>
  <c r="S109" i="3"/>
  <c r="P109" i="3"/>
  <c r="M109" i="3"/>
  <c r="BH101" i="4"/>
  <c r="BH89" i="4"/>
  <c r="BH95" i="4"/>
  <c r="AC613" i="4" l="1"/>
  <c r="AC618" i="4" s="1"/>
  <c r="H613" i="4"/>
  <c r="H618" i="4" s="1"/>
  <c r="L613" i="4"/>
  <c r="L618" i="4" s="1"/>
  <c r="AX613" i="4"/>
  <c r="AU613" i="4"/>
  <c r="AZ613" i="4"/>
  <c r="AV613" i="4"/>
  <c r="AY613" i="4"/>
  <c r="K636" i="4"/>
  <c r="J30" i="7"/>
  <c r="E30" i="7"/>
  <c r="F30" i="7"/>
  <c r="H30" i="7"/>
  <c r="D30" i="7"/>
  <c r="G30" i="7"/>
  <c r="O29" i="7"/>
  <c r="G29" i="7"/>
  <c r="E29" i="7"/>
  <c r="H29" i="7"/>
  <c r="F29" i="7"/>
  <c r="D29" i="7"/>
  <c r="M28" i="7"/>
  <c r="E28" i="7"/>
  <c r="G28" i="7"/>
  <c r="H28" i="7"/>
  <c r="D28" i="7"/>
  <c r="F28" i="7"/>
  <c r="F630" i="4"/>
  <c r="E630" i="4" s="1"/>
  <c r="AJ592" i="4"/>
  <c r="AJ591" i="4"/>
  <c r="AJ593" i="4"/>
  <c r="AJ589" i="4"/>
  <c r="AJ590" i="4"/>
  <c r="AJ596" i="4"/>
  <c r="AJ598" i="4"/>
  <c r="AJ597" i="4"/>
  <c r="AJ595" i="4"/>
  <c r="AJ599" i="4"/>
  <c r="I636" i="4"/>
  <c r="J636" i="4"/>
  <c r="I612" i="4"/>
  <c r="K612" i="4"/>
  <c r="AJ587" i="4"/>
  <c r="AJ585" i="4"/>
  <c r="AJ583" i="4"/>
  <c r="AJ584" i="4"/>
  <c r="AJ586" i="4"/>
  <c r="F636" i="4"/>
  <c r="E636" i="4" s="1"/>
  <c r="AJ581" i="4"/>
  <c r="AJ579" i="4"/>
  <c r="AJ577" i="4"/>
  <c r="AJ578" i="4"/>
  <c r="AJ580" i="4"/>
  <c r="R581" i="4"/>
  <c r="M581" i="4"/>
  <c r="Z577" i="4"/>
  <c r="V577" i="4"/>
  <c r="O577" i="4"/>
  <c r="J577" i="4"/>
  <c r="V581" i="4"/>
  <c r="Q581" i="4"/>
  <c r="K581" i="4"/>
  <c r="Y577" i="4"/>
  <c r="N577" i="4"/>
  <c r="I577" i="4"/>
  <c r="Z581" i="4"/>
  <c r="I581" i="4"/>
  <c r="R577" i="4"/>
  <c r="N581" i="4"/>
  <c r="M577" i="4"/>
  <c r="U581" i="4"/>
  <c r="K577" i="4"/>
  <c r="Y581" i="4"/>
  <c r="O581" i="4"/>
  <c r="Q577" i="4"/>
  <c r="U577" i="4"/>
  <c r="J581" i="4"/>
  <c r="AJ604" i="4"/>
  <c r="AJ603" i="4"/>
  <c r="AJ605" i="4"/>
  <c r="AJ602" i="4"/>
  <c r="AJ601" i="4"/>
  <c r="R605" i="4"/>
  <c r="M605" i="4"/>
  <c r="F605" i="4"/>
  <c r="AB604" i="4"/>
  <c r="X604" i="4"/>
  <c r="T604" i="4"/>
  <c r="G604" i="4"/>
  <c r="P604" i="4" s="1"/>
  <c r="AC603" i="4"/>
  <c r="AD602" i="4"/>
  <c r="V601" i="4"/>
  <c r="Q601" i="4"/>
  <c r="K601" i="4"/>
  <c r="V605" i="4"/>
  <c r="Q605" i="4"/>
  <c r="K605" i="4"/>
  <c r="AE604" i="4"/>
  <c r="F604" i="4"/>
  <c r="AB603" i="4"/>
  <c r="X603" i="4"/>
  <c r="T603" i="4"/>
  <c r="G603" i="4"/>
  <c r="P603" i="4" s="1"/>
  <c r="AC602" i="4"/>
  <c r="Z601" i="4"/>
  <c r="U601" i="4"/>
  <c r="O601" i="4"/>
  <c r="J601" i="4"/>
  <c r="N605" i="4"/>
  <c r="AC604" i="4"/>
  <c r="F602" i="4"/>
  <c r="I601" i="4"/>
  <c r="Z605" i="4"/>
  <c r="I605" i="4"/>
  <c r="AE602" i="4"/>
  <c r="Y601" i="4"/>
  <c r="Y605" i="4"/>
  <c r="AD604" i="4"/>
  <c r="AD603" i="4"/>
  <c r="X602" i="4"/>
  <c r="G602" i="4"/>
  <c r="P602" i="4" s="1"/>
  <c r="U605" i="4"/>
  <c r="J605" i="4"/>
  <c r="F603" i="4"/>
  <c r="R601" i="4"/>
  <c r="F601" i="4"/>
  <c r="L601" i="4" s="1"/>
  <c r="AE603" i="4"/>
  <c r="N601" i="4"/>
  <c r="O605" i="4"/>
  <c r="AB602" i="4"/>
  <c r="T602" i="4"/>
  <c r="M601" i="4"/>
  <c r="H605" i="4"/>
  <c r="H601" i="4"/>
  <c r="X624" i="4"/>
  <c r="F624" i="4"/>
  <c r="E624" i="4" s="1"/>
  <c r="AD618" i="4"/>
  <c r="P625" i="4"/>
  <c r="G630" i="4"/>
  <c r="P630" i="4" s="1"/>
  <c r="AB624" i="4"/>
  <c r="AE624" i="4"/>
  <c r="AD624" i="4"/>
  <c r="X618" i="4"/>
  <c r="P619" i="4"/>
  <c r="G624" i="4"/>
  <c r="P624" i="4" s="1"/>
  <c r="AE618" i="4"/>
  <c r="AB618" i="4"/>
  <c r="P613" i="4"/>
  <c r="G618" i="4"/>
  <c r="P618" i="4" s="1"/>
  <c r="F618" i="4"/>
  <c r="E618" i="4" s="1"/>
  <c r="F612" i="4"/>
  <c r="E612" i="4" s="1"/>
  <c r="T618" i="4"/>
  <c r="O30" i="7"/>
  <c r="N30" i="7"/>
  <c r="L30" i="7"/>
  <c r="I30" i="7"/>
  <c r="K30" i="7"/>
  <c r="M30" i="7"/>
  <c r="AB599" i="4"/>
  <c r="X599" i="4"/>
  <c r="AC598" i="4"/>
  <c r="AD597" i="4"/>
  <c r="F597" i="4"/>
  <c r="AB596" i="4"/>
  <c r="X596" i="4"/>
  <c r="T596" i="4"/>
  <c r="G596" i="4"/>
  <c r="P596" i="4" s="1"/>
  <c r="AC595" i="4"/>
  <c r="F595" i="4"/>
  <c r="AE598" i="4"/>
  <c r="F598" i="4"/>
  <c r="X597" i="4"/>
  <c r="T597" i="4"/>
  <c r="AD596" i="4"/>
  <c r="AC596" i="4"/>
  <c r="AD595" i="4"/>
  <c r="F599" i="4"/>
  <c r="AE599" i="4" s="1"/>
  <c r="AB598" i="4"/>
  <c r="X598" i="4"/>
  <c r="T598" i="4"/>
  <c r="G598" i="4"/>
  <c r="P598" i="4" s="1"/>
  <c r="AC597" i="4"/>
  <c r="AE596" i="4"/>
  <c r="F596" i="4"/>
  <c r="AB595" i="4"/>
  <c r="X595" i="4"/>
  <c r="AB597" i="4"/>
  <c r="AE595" i="4"/>
  <c r="AD598" i="4"/>
  <c r="AE597" i="4"/>
  <c r="G597" i="4"/>
  <c r="P597" i="4" s="1"/>
  <c r="G595" i="4"/>
  <c r="AC599" i="4"/>
  <c r="T599" i="4" s="1"/>
  <c r="AD599" i="4"/>
  <c r="T595" i="4"/>
  <c r="G599" i="4"/>
  <c r="P599" i="4" s="1"/>
  <c r="AE592" i="4"/>
  <c r="G592" i="4"/>
  <c r="P592" i="4" s="1"/>
  <c r="AC591" i="4"/>
  <c r="AE590" i="4"/>
  <c r="G590" i="4"/>
  <c r="P590" i="4" s="1"/>
  <c r="AC589" i="4"/>
  <c r="F589" i="4"/>
  <c r="AD592" i="4"/>
  <c r="F592" i="4"/>
  <c r="AB591" i="4"/>
  <c r="X591" i="4"/>
  <c r="T591" i="4"/>
  <c r="AD590" i="4"/>
  <c r="F590" i="4"/>
  <c r="AB589" i="4"/>
  <c r="X589" i="4"/>
  <c r="AD591" i="4"/>
  <c r="F591" i="4"/>
  <c r="AB590" i="4"/>
  <c r="T590" i="4"/>
  <c r="AC592" i="4"/>
  <c r="AE591" i="4"/>
  <c r="G591" i="4"/>
  <c r="P591" i="4" s="1"/>
  <c r="AC590" i="4"/>
  <c r="AE589" i="4"/>
  <c r="F593" i="4"/>
  <c r="AD593" i="4" s="1"/>
  <c r="AB592" i="4"/>
  <c r="X592" i="4"/>
  <c r="T592" i="4"/>
  <c r="X590" i="4"/>
  <c r="AD589" i="4"/>
  <c r="T589" i="4"/>
  <c r="X593" i="4"/>
  <c r="G589" i="4"/>
  <c r="AC593" i="4"/>
  <c r="AE593" i="4"/>
  <c r="AB593" i="4"/>
  <c r="G593" i="4"/>
  <c r="P593" i="4" s="1"/>
  <c r="T593" i="4"/>
  <c r="U111" i="3"/>
  <c r="L111" i="3"/>
  <c r="K111" i="3" s="1"/>
  <c r="X111" i="3"/>
  <c r="N111" i="3"/>
  <c r="O111" i="3"/>
  <c r="Y111" i="3"/>
  <c r="Q111" i="3"/>
  <c r="R111" i="3"/>
  <c r="AC587" i="4"/>
  <c r="AD586" i="4"/>
  <c r="AE585" i="4"/>
  <c r="F585" i="4"/>
  <c r="F584" i="4"/>
  <c r="AC584" i="4" s="1"/>
  <c r="AB587" i="4"/>
  <c r="X587" i="4"/>
  <c r="T587" i="4"/>
  <c r="G587" i="4"/>
  <c r="P587" i="4" s="1"/>
  <c r="AC586" i="4"/>
  <c r="AD585" i="4"/>
  <c r="AE583" i="4"/>
  <c r="AD587" i="4"/>
  <c r="AE586" i="4"/>
  <c r="F586" i="4"/>
  <c r="X585" i="4"/>
  <c r="F583" i="4"/>
  <c r="AD583" i="4" s="1"/>
  <c r="AE587" i="4"/>
  <c r="F587" i="4"/>
  <c r="AB586" i="4"/>
  <c r="X586" i="4"/>
  <c r="T586" i="4"/>
  <c r="G586" i="4"/>
  <c r="P586" i="4" s="1"/>
  <c r="AC585" i="4"/>
  <c r="AB585" i="4"/>
  <c r="T585" i="4"/>
  <c r="G585" i="4"/>
  <c r="P585" i="4" s="1"/>
  <c r="AC583" i="4"/>
  <c r="T583" i="4" s="1"/>
  <c r="AE584" i="4"/>
  <c r="X584" i="4"/>
  <c r="X583" i="4"/>
  <c r="AD584" i="4"/>
  <c r="AB584" i="4"/>
  <c r="AB583" i="4"/>
  <c r="G583" i="4"/>
  <c r="G584" i="4"/>
  <c r="P584" i="4" s="1"/>
  <c r="T584" i="4"/>
  <c r="AE580" i="4"/>
  <c r="F580" i="4"/>
  <c r="AB579" i="4"/>
  <c r="X579" i="4"/>
  <c r="T579" i="4"/>
  <c r="G579" i="4"/>
  <c r="P579" i="4" s="1"/>
  <c r="AC578" i="4"/>
  <c r="X580" i="4"/>
  <c r="G580" i="4"/>
  <c r="P580" i="4" s="1"/>
  <c r="AD580" i="4"/>
  <c r="AE579" i="4"/>
  <c r="F579" i="4"/>
  <c r="AB578" i="4"/>
  <c r="X578" i="4"/>
  <c r="T578" i="4"/>
  <c r="G578" i="4"/>
  <c r="P578" i="4" s="1"/>
  <c r="F577" i="4"/>
  <c r="AC580" i="4"/>
  <c r="AD579" i="4"/>
  <c r="AE578" i="4"/>
  <c r="F578" i="4"/>
  <c r="F581" i="4"/>
  <c r="AB580" i="4"/>
  <c r="T580" i="4"/>
  <c r="AC579" i="4"/>
  <c r="AD578" i="4"/>
  <c r="Y109" i="3"/>
  <c r="R109" i="3"/>
  <c r="Q109" i="3" s="1"/>
  <c r="U109" i="3"/>
  <c r="K109" i="3"/>
  <c r="L109" i="3"/>
  <c r="X109" i="3"/>
  <c r="N109" i="3"/>
  <c r="O109" i="3"/>
  <c r="K29" i="7"/>
  <c r="L29" i="7"/>
  <c r="J29" i="7"/>
  <c r="N29" i="7"/>
  <c r="I29" i="7"/>
  <c r="M29" i="7"/>
  <c r="O28" i="7"/>
  <c r="L28" i="7"/>
  <c r="J28" i="7"/>
  <c r="I28" i="7"/>
  <c r="K28" i="7"/>
  <c r="N28" i="7"/>
  <c r="AC624" i="4"/>
  <c r="T624" i="4"/>
  <c r="C571" i="4"/>
  <c r="C565" i="4"/>
  <c r="C559" i="4"/>
  <c r="C553" i="4"/>
  <c r="C547" i="4"/>
  <c r="S106" i="3"/>
  <c r="P106" i="3"/>
  <c r="M106" i="3"/>
  <c r="S105" i="3"/>
  <c r="Y105" i="3" s="1"/>
  <c r="P105" i="3"/>
  <c r="X105" i="3" s="1"/>
  <c r="M105" i="3"/>
  <c r="U105" i="3" s="1"/>
  <c r="BH82" i="4"/>
  <c r="BH76" i="4"/>
  <c r="BH70" i="4"/>
  <c r="C541" i="4"/>
  <c r="C535" i="4"/>
  <c r="C529" i="4"/>
  <c r="C523" i="4"/>
  <c r="C517" i="4"/>
  <c r="I25" i="7" s="1"/>
  <c r="S101" i="3"/>
  <c r="P101" i="3"/>
  <c r="M101" i="3"/>
  <c r="L101" i="3"/>
  <c r="S100" i="3"/>
  <c r="Y100" i="3" s="1"/>
  <c r="P100" i="3"/>
  <c r="X100" i="3" s="1"/>
  <c r="L100" i="3"/>
  <c r="M100" i="3" s="1"/>
  <c r="U100" i="3" s="1"/>
  <c r="S99" i="3"/>
  <c r="P99" i="3"/>
  <c r="M99" i="3"/>
  <c r="L99" i="3" s="1"/>
  <c r="AT613" i="4" l="1"/>
  <c r="AW613" i="4"/>
  <c r="W109" i="3"/>
  <c r="V109" i="3"/>
  <c r="V111" i="3"/>
  <c r="W111" i="3"/>
  <c r="F594" i="4"/>
  <c r="E594" i="4" s="1"/>
  <c r="O26" i="7"/>
  <c r="K26" i="7"/>
  <c r="N26" i="7"/>
  <c r="J26" i="7"/>
  <c r="I26" i="7"/>
  <c r="M26" i="7"/>
  <c r="L26" i="7"/>
  <c r="C26" i="7"/>
  <c r="AL577" i="4"/>
  <c r="I582" i="4"/>
  <c r="F600" i="4"/>
  <c r="E600" i="4" s="1"/>
  <c r="F606" i="4"/>
  <c r="E606" i="4" s="1"/>
  <c r="I606" i="4"/>
  <c r="J606" i="4"/>
  <c r="K582" i="4"/>
  <c r="L605" i="4"/>
  <c r="G605" i="4" s="1"/>
  <c r="P605" i="4" s="1"/>
  <c r="AJ566" i="4"/>
  <c r="AJ568" i="4"/>
  <c r="AJ569" i="4"/>
  <c r="AJ567" i="4"/>
  <c r="AJ565" i="4"/>
  <c r="F588" i="4"/>
  <c r="E588" i="4" s="1"/>
  <c r="AE600" i="4"/>
  <c r="X600" i="4"/>
  <c r="AC600" i="4"/>
  <c r="AB600" i="4"/>
  <c r="T600" i="4"/>
  <c r="J582" i="4"/>
  <c r="AJ556" i="4"/>
  <c r="AJ557" i="4"/>
  <c r="AJ554" i="4"/>
  <c r="AJ555" i="4"/>
  <c r="AJ553" i="4"/>
  <c r="AM605" i="4"/>
  <c r="AV605" i="4"/>
  <c r="AU605" i="4"/>
  <c r="AL605" i="4"/>
  <c r="AJ560" i="4"/>
  <c r="AJ562" i="4"/>
  <c r="AJ561" i="4"/>
  <c r="AJ563" i="4"/>
  <c r="AJ559" i="4"/>
  <c r="AJ551" i="4"/>
  <c r="Y551" i="4"/>
  <c r="N551" i="4"/>
  <c r="I551" i="4"/>
  <c r="V547" i="4"/>
  <c r="Q547" i="4"/>
  <c r="K547" i="4"/>
  <c r="AJ547" i="4"/>
  <c r="V551" i="4"/>
  <c r="Q551" i="4"/>
  <c r="I547" i="4"/>
  <c r="AJ550" i="4"/>
  <c r="AJ549" i="4"/>
  <c r="U551" i="4"/>
  <c r="J551" i="4"/>
  <c r="R551" i="4"/>
  <c r="M551" i="4"/>
  <c r="Z547" i="4"/>
  <c r="U547" i="4"/>
  <c r="O547" i="4"/>
  <c r="J547" i="4"/>
  <c r="AJ548" i="4"/>
  <c r="K551" i="4"/>
  <c r="Y547" i="4"/>
  <c r="N547" i="4"/>
  <c r="Z551" i="4"/>
  <c r="O551" i="4"/>
  <c r="R547" i="4"/>
  <c r="M547" i="4"/>
  <c r="AJ574" i="4"/>
  <c r="AJ573" i="4"/>
  <c r="AJ575" i="4"/>
  <c r="V575" i="4"/>
  <c r="Q575" i="4"/>
  <c r="K575" i="4"/>
  <c r="AE574" i="4"/>
  <c r="G574" i="4"/>
  <c r="P574" i="4" s="1"/>
  <c r="AC573" i="4"/>
  <c r="AD572" i="4"/>
  <c r="F572" i="4"/>
  <c r="Z571" i="4"/>
  <c r="U571" i="4"/>
  <c r="O571" i="4"/>
  <c r="K571" i="4"/>
  <c r="F571" i="4"/>
  <c r="AJ572" i="4"/>
  <c r="Y575" i="4"/>
  <c r="N575" i="4"/>
  <c r="AC574" i="4"/>
  <c r="AE573" i="4"/>
  <c r="F573" i="4"/>
  <c r="AB572" i="4"/>
  <c r="T572" i="4"/>
  <c r="R571" i="4"/>
  <c r="I571" i="4"/>
  <c r="AJ571" i="4"/>
  <c r="F575" i="4"/>
  <c r="H575" i="4" s="1"/>
  <c r="AE572" i="4"/>
  <c r="Z575" i="4"/>
  <c r="U575" i="4"/>
  <c r="O575" i="4"/>
  <c r="J575" i="4"/>
  <c r="AD574" i="4"/>
  <c r="F574" i="4"/>
  <c r="AB573" i="4"/>
  <c r="X573" i="4"/>
  <c r="T573" i="4"/>
  <c r="G573" i="4"/>
  <c r="P573" i="4" s="1"/>
  <c r="AC572" i="4"/>
  <c r="Y571" i="4"/>
  <c r="N571" i="4"/>
  <c r="J571" i="4"/>
  <c r="I575" i="4"/>
  <c r="I576" i="4" s="1"/>
  <c r="X572" i="4"/>
  <c r="M571" i="4"/>
  <c r="R575" i="4"/>
  <c r="M575" i="4"/>
  <c r="AB574" i="4"/>
  <c r="X574" i="4"/>
  <c r="T574" i="4"/>
  <c r="AD573" i="4"/>
  <c r="G572" i="4"/>
  <c r="P572" i="4" s="1"/>
  <c r="V571" i="4"/>
  <c r="Q571" i="4"/>
  <c r="L575" i="4"/>
  <c r="G601" i="4"/>
  <c r="H606" i="4"/>
  <c r="AL601" i="4"/>
  <c r="AM601" i="4"/>
  <c r="K606" i="4"/>
  <c r="AL581" i="4"/>
  <c r="AM581" i="4"/>
  <c r="L581" i="4"/>
  <c r="H581" i="4"/>
  <c r="AU577" i="4"/>
  <c r="BB115" i="4" s="1"/>
  <c r="AV577" i="4"/>
  <c r="L577" i="4"/>
  <c r="H577" i="4"/>
  <c r="AM577" i="4"/>
  <c r="AD600" i="4"/>
  <c r="P595" i="4"/>
  <c r="G600" i="4"/>
  <c r="P600" i="4" s="1"/>
  <c r="X594" i="4"/>
  <c r="AC588" i="4"/>
  <c r="F582" i="4"/>
  <c r="E582" i="4" s="1"/>
  <c r="AD594" i="4"/>
  <c r="AB594" i="4"/>
  <c r="AC594" i="4"/>
  <c r="AE594" i="4"/>
  <c r="P589" i="4"/>
  <c r="G594" i="4"/>
  <c r="P594" i="4" s="1"/>
  <c r="P583" i="4"/>
  <c r="G588" i="4"/>
  <c r="P588" i="4" s="1"/>
  <c r="T594" i="4"/>
  <c r="T588" i="4"/>
  <c r="X588" i="4"/>
  <c r="AB588" i="4"/>
  <c r="AE588" i="4"/>
  <c r="AD588" i="4"/>
  <c r="AC569" i="4"/>
  <c r="AE567" i="4"/>
  <c r="F567" i="4"/>
  <c r="AB566" i="4"/>
  <c r="X566" i="4"/>
  <c r="T566" i="4"/>
  <c r="G566" i="4"/>
  <c r="P566" i="4" s="1"/>
  <c r="AC565" i="4"/>
  <c r="F565" i="4"/>
  <c r="AB569" i="4"/>
  <c r="X569" i="4"/>
  <c r="T569" i="4"/>
  <c r="AD567" i="4"/>
  <c r="AE566" i="4"/>
  <c r="F566" i="4"/>
  <c r="AB565" i="4"/>
  <c r="X565" i="4"/>
  <c r="AD569" i="4"/>
  <c r="AB567" i="4"/>
  <c r="T567" i="4"/>
  <c r="G567" i="4"/>
  <c r="P567" i="4" s="1"/>
  <c r="AE569" i="4"/>
  <c r="G569" i="4"/>
  <c r="P569" i="4" s="1"/>
  <c r="AC567" i="4"/>
  <c r="AD566" i="4"/>
  <c r="AE565" i="4"/>
  <c r="F569" i="4"/>
  <c r="F568" i="4"/>
  <c r="X567" i="4"/>
  <c r="AC566" i="4"/>
  <c r="AD565" i="4"/>
  <c r="AE568" i="4"/>
  <c r="T565" i="4"/>
  <c r="AB568" i="4"/>
  <c r="G565" i="4"/>
  <c r="AC568" i="4"/>
  <c r="AD568" i="4"/>
  <c r="X568" i="4"/>
  <c r="T568" i="4"/>
  <c r="G568" i="4"/>
  <c r="P568" i="4" s="1"/>
  <c r="F561" i="4"/>
  <c r="AD562" i="4"/>
  <c r="AD561" i="4"/>
  <c r="AD560" i="4"/>
  <c r="AD559" i="4"/>
  <c r="AC559" i="4"/>
  <c r="F560" i="4"/>
  <c r="AC562" i="4"/>
  <c r="AC561" i="4"/>
  <c r="AC560" i="4"/>
  <c r="AB559" i="4"/>
  <c r="X559" i="4"/>
  <c r="G561" i="4"/>
  <c r="P561" i="4" s="1"/>
  <c r="F562" i="4"/>
  <c r="AE562" i="4"/>
  <c r="AE561" i="4"/>
  <c r="AE560" i="4"/>
  <c r="AE559" i="4"/>
  <c r="F563" i="4"/>
  <c r="F559" i="4"/>
  <c r="AD563" i="4"/>
  <c r="AB562" i="4"/>
  <c r="X562" i="4"/>
  <c r="T562" i="4"/>
  <c r="G562" i="4"/>
  <c r="P562" i="4" s="1"/>
  <c r="AB561" i="4"/>
  <c r="X561" i="4"/>
  <c r="T561" i="4"/>
  <c r="AB560" i="4"/>
  <c r="X560" i="4"/>
  <c r="T560" i="4"/>
  <c r="G560" i="4"/>
  <c r="P560" i="4" s="1"/>
  <c r="AE563" i="4"/>
  <c r="AB563" i="4"/>
  <c r="AC563" i="4"/>
  <c r="T559" i="4"/>
  <c r="G559" i="4"/>
  <c r="X563" i="4"/>
  <c r="G563" i="4"/>
  <c r="P563" i="4" s="1"/>
  <c r="T563" i="4"/>
  <c r="Y106" i="3"/>
  <c r="R106" i="3"/>
  <c r="Q106" i="3" s="1"/>
  <c r="X106" i="3"/>
  <c r="N106" i="3"/>
  <c r="O106" i="3"/>
  <c r="U106" i="3"/>
  <c r="K106" i="3"/>
  <c r="L106" i="3"/>
  <c r="AE556" i="4"/>
  <c r="G556" i="4"/>
  <c r="P556" i="4" s="1"/>
  <c r="AC555" i="4"/>
  <c r="AD554" i="4"/>
  <c r="AB556" i="4"/>
  <c r="AE554" i="4"/>
  <c r="AD556" i="4"/>
  <c r="F556" i="4"/>
  <c r="AB555" i="4"/>
  <c r="X555" i="4"/>
  <c r="T555" i="4"/>
  <c r="G555" i="4"/>
  <c r="P555" i="4" s="1"/>
  <c r="AC554" i="4"/>
  <c r="F553" i="4"/>
  <c r="AE553" i="4" s="1"/>
  <c r="F557" i="4"/>
  <c r="AD557" i="4" s="1"/>
  <c r="T556" i="4"/>
  <c r="AC556" i="4"/>
  <c r="AE555" i="4"/>
  <c r="F555" i="4"/>
  <c r="AB554" i="4"/>
  <c r="X554" i="4"/>
  <c r="T554" i="4"/>
  <c r="G554" i="4"/>
  <c r="P554" i="4" s="1"/>
  <c r="X556" i="4"/>
  <c r="AD555" i="4"/>
  <c r="F554" i="4"/>
  <c r="AC553" i="4"/>
  <c r="T553" i="4"/>
  <c r="AD553" i="4"/>
  <c r="X557" i="4"/>
  <c r="G553" i="4"/>
  <c r="AB553" i="4"/>
  <c r="AE557" i="4"/>
  <c r="AB557" i="4"/>
  <c r="X553" i="4"/>
  <c r="AC557" i="4"/>
  <c r="T557" i="4"/>
  <c r="G557" i="4"/>
  <c r="P557" i="4" s="1"/>
  <c r="F551" i="4"/>
  <c r="AB550" i="4"/>
  <c r="X550" i="4"/>
  <c r="T550" i="4"/>
  <c r="G550" i="4"/>
  <c r="P550" i="4" s="1"/>
  <c r="AC549" i="4"/>
  <c r="AD548" i="4"/>
  <c r="F547" i="4"/>
  <c r="AD549" i="4"/>
  <c r="F548" i="4"/>
  <c r="AE550" i="4"/>
  <c r="F550" i="4"/>
  <c r="AB549" i="4"/>
  <c r="X549" i="4"/>
  <c r="T549" i="4"/>
  <c r="G549" i="4"/>
  <c r="P549" i="4" s="1"/>
  <c r="AC548" i="4"/>
  <c r="AE548" i="4"/>
  <c r="AD550" i="4"/>
  <c r="AE549" i="4"/>
  <c r="F549" i="4"/>
  <c r="AB548" i="4"/>
  <c r="X548" i="4"/>
  <c r="T548" i="4"/>
  <c r="G548" i="4"/>
  <c r="P548" i="4" s="1"/>
  <c r="AC550" i="4"/>
  <c r="AJ530" i="4"/>
  <c r="AJ533" i="4"/>
  <c r="AJ529" i="4"/>
  <c r="AJ532" i="4"/>
  <c r="AJ531" i="4"/>
  <c r="AJ518" i="4"/>
  <c r="AJ517" i="4"/>
  <c r="AJ520" i="4"/>
  <c r="AJ519" i="4"/>
  <c r="AJ521" i="4"/>
  <c r="Y521" i="4"/>
  <c r="N521" i="4"/>
  <c r="I521" i="4"/>
  <c r="Z517" i="4"/>
  <c r="U517" i="4"/>
  <c r="O517" i="4"/>
  <c r="J517" i="4"/>
  <c r="U521" i="4"/>
  <c r="J521" i="4"/>
  <c r="K517" i="4"/>
  <c r="R521" i="4"/>
  <c r="M521" i="4"/>
  <c r="Y517" i="4"/>
  <c r="N517" i="4"/>
  <c r="I517" i="4"/>
  <c r="O521" i="4"/>
  <c r="V517" i="4"/>
  <c r="V521" i="4"/>
  <c r="Q521" i="4"/>
  <c r="K521" i="4"/>
  <c r="R517" i="4"/>
  <c r="M517" i="4"/>
  <c r="Z521" i="4"/>
  <c r="Q517" i="4"/>
  <c r="AJ542" i="4"/>
  <c r="AJ541" i="4"/>
  <c r="AJ544" i="4"/>
  <c r="AJ543" i="4"/>
  <c r="AJ545" i="4"/>
  <c r="Y545" i="4"/>
  <c r="N545" i="4"/>
  <c r="I545" i="4"/>
  <c r="AC544" i="4"/>
  <c r="AD543" i="4"/>
  <c r="AE542" i="4"/>
  <c r="F542" i="4"/>
  <c r="R541" i="4"/>
  <c r="M541" i="4"/>
  <c r="F541" i="4"/>
  <c r="U545" i="4"/>
  <c r="AD544" i="4"/>
  <c r="AE543" i="4"/>
  <c r="AB542" i="4"/>
  <c r="X542" i="4"/>
  <c r="G542" i="4"/>
  <c r="P542" i="4" s="1"/>
  <c r="Y541" i="4"/>
  <c r="I541" i="4"/>
  <c r="R545" i="4"/>
  <c r="M545" i="4"/>
  <c r="F545" i="4"/>
  <c r="AB544" i="4"/>
  <c r="X544" i="4"/>
  <c r="T544" i="4"/>
  <c r="G544" i="4"/>
  <c r="P544" i="4" s="1"/>
  <c r="AC543" i="4"/>
  <c r="AD542" i="4"/>
  <c r="V541" i="4"/>
  <c r="Q541" i="4"/>
  <c r="K541" i="4"/>
  <c r="Z545" i="4"/>
  <c r="J545" i="4"/>
  <c r="F543" i="4"/>
  <c r="T542" i="4"/>
  <c r="V545" i="4"/>
  <c r="Q545" i="4"/>
  <c r="K545" i="4"/>
  <c r="AE544" i="4"/>
  <c r="F544" i="4"/>
  <c r="AB543" i="4"/>
  <c r="X543" i="4"/>
  <c r="T543" i="4"/>
  <c r="G543" i="4"/>
  <c r="P543" i="4" s="1"/>
  <c r="AC542" i="4"/>
  <c r="Z541" i="4"/>
  <c r="U541" i="4"/>
  <c r="O541" i="4"/>
  <c r="J541" i="4"/>
  <c r="O545" i="4"/>
  <c r="N541" i="4"/>
  <c r="AJ524" i="4"/>
  <c r="AJ526" i="4"/>
  <c r="AJ525" i="4"/>
  <c r="AJ527" i="4"/>
  <c r="AJ523" i="4"/>
  <c r="AJ539" i="4"/>
  <c r="AJ535" i="4"/>
  <c r="AJ538" i="4"/>
  <c r="AJ536" i="4"/>
  <c r="AJ537" i="4"/>
  <c r="AD538" i="4"/>
  <c r="AE537" i="4"/>
  <c r="F537" i="4"/>
  <c r="AB536" i="4"/>
  <c r="X536" i="4"/>
  <c r="T536" i="4"/>
  <c r="G536" i="4"/>
  <c r="P536" i="4" s="1"/>
  <c r="AC535" i="4"/>
  <c r="AC538" i="4"/>
  <c r="AD537" i="4"/>
  <c r="AE536" i="4"/>
  <c r="F536" i="4"/>
  <c r="AB537" i="4"/>
  <c r="T537" i="4"/>
  <c r="G537" i="4"/>
  <c r="P537" i="4" s="1"/>
  <c r="AD535" i="4"/>
  <c r="F535" i="4"/>
  <c r="F539" i="4"/>
  <c r="AD539" i="4" s="1"/>
  <c r="AB538" i="4"/>
  <c r="X538" i="4"/>
  <c r="T538" i="4"/>
  <c r="G538" i="4"/>
  <c r="P538" i="4" s="1"/>
  <c r="AC537" i="4"/>
  <c r="AD536" i="4"/>
  <c r="AE535" i="4"/>
  <c r="AE538" i="4"/>
  <c r="F538" i="4"/>
  <c r="X537" i="4"/>
  <c r="AC536" i="4"/>
  <c r="X535" i="4"/>
  <c r="X539" i="4"/>
  <c r="AB539" i="4"/>
  <c r="AB535" i="4"/>
  <c r="AE539" i="4"/>
  <c r="AC539" i="4"/>
  <c r="T535" i="4"/>
  <c r="G535" i="4"/>
  <c r="T539" i="4"/>
  <c r="G539" i="4"/>
  <c r="P539" i="4" s="1"/>
  <c r="AD532" i="4"/>
  <c r="AE531" i="4"/>
  <c r="F531" i="4"/>
  <c r="AB530" i="4"/>
  <c r="X530" i="4"/>
  <c r="T530" i="4"/>
  <c r="G530" i="4"/>
  <c r="P530" i="4" s="1"/>
  <c r="AC529" i="4"/>
  <c r="F529" i="4"/>
  <c r="AE532" i="4"/>
  <c r="AC532" i="4"/>
  <c r="AD531" i="4"/>
  <c r="AE530" i="4"/>
  <c r="F530" i="4"/>
  <c r="AB529" i="4"/>
  <c r="X529" i="4"/>
  <c r="F532" i="4"/>
  <c r="AB531" i="4"/>
  <c r="X531" i="4"/>
  <c r="T531" i="4"/>
  <c r="G531" i="4"/>
  <c r="P531" i="4" s="1"/>
  <c r="AC530" i="4"/>
  <c r="AD529" i="4"/>
  <c r="F533" i="4"/>
  <c r="AD533" i="4" s="1"/>
  <c r="AB532" i="4"/>
  <c r="X532" i="4"/>
  <c r="T532" i="4"/>
  <c r="G532" i="4"/>
  <c r="P532" i="4" s="1"/>
  <c r="AC531" i="4"/>
  <c r="AD530" i="4"/>
  <c r="AE529" i="4"/>
  <c r="AE533" i="4"/>
  <c r="AB533" i="4"/>
  <c r="AC533" i="4"/>
  <c r="T529" i="4"/>
  <c r="X533" i="4"/>
  <c r="G529" i="4"/>
  <c r="G533" i="4"/>
  <c r="P533" i="4" s="1"/>
  <c r="T533" i="4"/>
  <c r="X101" i="3"/>
  <c r="N101" i="3"/>
  <c r="O101" i="3"/>
  <c r="Y101" i="3"/>
  <c r="R101" i="3"/>
  <c r="Q101" i="3" s="1"/>
  <c r="U101" i="3"/>
  <c r="K101" i="3"/>
  <c r="F526" i="4"/>
  <c r="AD527" i="4"/>
  <c r="AD526" i="4"/>
  <c r="AD525" i="4"/>
  <c r="AD524" i="4"/>
  <c r="F525" i="4"/>
  <c r="AC527" i="4"/>
  <c r="AC526" i="4"/>
  <c r="AC525" i="4"/>
  <c r="AC524" i="4"/>
  <c r="F523" i="4"/>
  <c r="AE527" i="4"/>
  <c r="AE526" i="4"/>
  <c r="AE525" i="4"/>
  <c r="AE524" i="4"/>
  <c r="F527" i="4"/>
  <c r="F524" i="4"/>
  <c r="AB526" i="4"/>
  <c r="X526" i="4"/>
  <c r="T526" i="4"/>
  <c r="G526" i="4"/>
  <c r="P526" i="4" s="1"/>
  <c r="AB525" i="4"/>
  <c r="X525" i="4"/>
  <c r="T525" i="4"/>
  <c r="G525" i="4"/>
  <c r="P525" i="4" s="1"/>
  <c r="AB524" i="4"/>
  <c r="X524" i="4"/>
  <c r="T524" i="4"/>
  <c r="G524" i="4"/>
  <c r="P524" i="4" s="1"/>
  <c r="AE523" i="4"/>
  <c r="AD523" i="4"/>
  <c r="T527" i="4"/>
  <c r="X527" i="4"/>
  <c r="G527" i="4"/>
  <c r="P527" i="4" s="1"/>
  <c r="AC523" i="4"/>
  <c r="X523" i="4"/>
  <c r="AB527" i="4"/>
  <c r="AB523" i="4"/>
  <c r="G523" i="4"/>
  <c r="T523" i="4"/>
  <c r="F521" i="4"/>
  <c r="AB520" i="4"/>
  <c r="X520" i="4"/>
  <c r="T520" i="4"/>
  <c r="G520" i="4"/>
  <c r="P520" i="4" s="1"/>
  <c r="AC519" i="4"/>
  <c r="AD518" i="4"/>
  <c r="AE520" i="4"/>
  <c r="F520" i="4"/>
  <c r="AB519" i="4"/>
  <c r="X519" i="4"/>
  <c r="T519" i="4"/>
  <c r="G519" i="4"/>
  <c r="P519" i="4" s="1"/>
  <c r="AC518" i="4"/>
  <c r="AD520" i="4"/>
  <c r="AE519" i="4"/>
  <c r="F519" i="4"/>
  <c r="AB518" i="4"/>
  <c r="X518" i="4"/>
  <c r="T518" i="4"/>
  <c r="G518" i="4"/>
  <c r="P518" i="4" s="1"/>
  <c r="AC520" i="4"/>
  <c r="AD519" i="4"/>
  <c r="AE518" i="4"/>
  <c r="F518" i="4"/>
  <c r="F517" i="4"/>
  <c r="Y99" i="3"/>
  <c r="R99" i="3"/>
  <c r="Q99" i="3" s="1"/>
  <c r="U99" i="3"/>
  <c r="K99" i="3"/>
  <c r="X99" i="3"/>
  <c r="O99" i="3"/>
  <c r="N99" i="3" s="1"/>
  <c r="O25" i="7"/>
  <c r="K25" i="7"/>
  <c r="M25" i="7"/>
  <c r="N25" i="7"/>
  <c r="J25" i="7"/>
  <c r="L25" i="7"/>
  <c r="C25" i="7"/>
  <c r="BE84" i="4"/>
  <c r="BF84" i="4"/>
  <c r="C511" i="4"/>
  <c r="C505" i="4"/>
  <c r="C499" i="4"/>
  <c r="C493" i="4"/>
  <c r="C487" i="4"/>
  <c r="I24" i="7" s="1"/>
  <c r="P94" i="3"/>
  <c r="S96" i="3"/>
  <c r="P96" i="3"/>
  <c r="M96" i="3"/>
  <c r="S94" i="3"/>
  <c r="M94" i="3"/>
  <c r="C481" i="4"/>
  <c r="C475" i="4"/>
  <c r="C469" i="4"/>
  <c r="C463" i="4"/>
  <c r="C457" i="4"/>
  <c r="I21" i="7" s="1"/>
  <c r="S91" i="3"/>
  <c r="P91" i="3"/>
  <c r="M91" i="3"/>
  <c r="S90" i="3"/>
  <c r="Y90" i="3" s="1"/>
  <c r="P90" i="3"/>
  <c r="X90" i="3" s="1"/>
  <c r="M90" i="3"/>
  <c r="S88" i="3"/>
  <c r="P88" i="3"/>
  <c r="M88" i="3"/>
  <c r="K88" i="3" s="1"/>
  <c r="W106" i="3" l="1"/>
  <c r="V106" i="3"/>
  <c r="F540" i="4"/>
  <c r="E540" i="4" s="1"/>
  <c r="C23" i="7"/>
  <c r="O23" i="7"/>
  <c r="K23" i="7"/>
  <c r="N23" i="7"/>
  <c r="J23" i="7"/>
  <c r="M23" i="7"/>
  <c r="I23" i="7"/>
  <c r="L23" i="7"/>
  <c r="V99" i="3"/>
  <c r="W99" i="3"/>
  <c r="V101" i="3"/>
  <c r="W101" i="3"/>
  <c r="F570" i="4"/>
  <c r="E570" i="4" s="1"/>
  <c r="AB564" i="4"/>
  <c r="F528" i="4"/>
  <c r="E528" i="4" s="1"/>
  <c r="F546" i="4"/>
  <c r="E546" i="4" s="1"/>
  <c r="U90" i="3"/>
  <c r="V90" i="3" s="1"/>
  <c r="I522" i="4"/>
  <c r="G575" i="4"/>
  <c r="P575" i="4" s="1"/>
  <c r="F576" i="4"/>
  <c r="E576" i="4" s="1"/>
  <c r="AK605" i="4"/>
  <c r="AN605" i="4" s="1"/>
  <c r="BB103" i="4"/>
  <c r="AD570" i="4"/>
  <c r="H571" i="4"/>
  <c r="H576" i="4" s="1"/>
  <c r="L571" i="4"/>
  <c r="K576" i="4"/>
  <c r="I552" i="4"/>
  <c r="X570" i="4"/>
  <c r="F558" i="4"/>
  <c r="E558" i="4" s="1"/>
  <c r="F564" i="4"/>
  <c r="E564" i="4" s="1"/>
  <c r="AE570" i="4"/>
  <c r="AB570" i="4"/>
  <c r="AU575" i="4"/>
  <c r="AV575" i="4"/>
  <c r="AV571" i="4"/>
  <c r="AU571" i="4"/>
  <c r="J552" i="4"/>
  <c r="L606" i="4"/>
  <c r="BM84" i="4"/>
  <c r="BM88" i="4"/>
  <c r="BM86" i="4"/>
  <c r="G581" i="4"/>
  <c r="P581" i="4" s="1"/>
  <c r="BN88" i="4"/>
  <c r="BN84" i="4"/>
  <c r="BN86" i="4"/>
  <c r="AK601" i="4"/>
  <c r="AN601" i="4" s="1"/>
  <c r="P601" i="4"/>
  <c r="G606" i="4"/>
  <c r="P606" i="4" s="1"/>
  <c r="J576" i="4"/>
  <c r="K552" i="4"/>
  <c r="AT605" i="4"/>
  <c r="AW605" i="4" s="1"/>
  <c r="L582" i="4"/>
  <c r="AK581" i="4"/>
  <c r="AN581" i="4" s="1"/>
  <c r="AK577" i="4"/>
  <c r="H582" i="4"/>
  <c r="G12" i="6" s="1"/>
  <c r="G577" i="4"/>
  <c r="AT577" i="4"/>
  <c r="F552" i="4"/>
  <c r="E552" i="4" s="1"/>
  <c r="AC570" i="4"/>
  <c r="X564" i="4"/>
  <c r="AC564" i="4"/>
  <c r="P565" i="4"/>
  <c r="G570" i="4"/>
  <c r="P570" i="4" s="1"/>
  <c r="AE564" i="4"/>
  <c r="AD564" i="4"/>
  <c r="P559" i="4"/>
  <c r="G564" i="4"/>
  <c r="P564" i="4" s="1"/>
  <c r="T570" i="4"/>
  <c r="P553" i="4"/>
  <c r="G558" i="4"/>
  <c r="P558" i="4" s="1"/>
  <c r="T564" i="4"/>
  <c r="J522" i="4"/>
  <c r="AJ466" i="4"/>
  <c r="AJ465" i="4"/>
  <c r="AJ463" i="4"/>
  <c r="AJ467" i="4"/>
  <c r="AJ464" i="4"/>
  <c r="AJ470" i="4"/>
  <c r="AJ469" i="4"/>
  <c r="AJ473" i="4"/>
  <c r="AJ472" i="4"/>
  <c r="AJ471" i="4"/>
  <c r="AD507" i="4"/>
  <c r="AJ508" i="4"/>
  <c r="AJ507" i="4"/>
  <c r="AJ506" i="4"/>
  <c r="AD506" i="4"/>
  <c r="AJ509" i="4"/>
  <c r="AJ505" i="4"/>
  <c r="AD509" i="4"/>
  <c r="AD505" i="4"/>
  <c r="AD508" i="4"/>
  <c r="AJ479" i="4"/>
  <c r="AJ475" i="4"/>
  <c r="AJ478" i="4"/>
  <c r="AJ476" i="4"/>
  <c r="AJ477" i="4"/>
  <c r="AJ459" i="4"/>
  <c r="AJ460" i="4"/>
  <c r="AJ457" i="4"/>
  <c r="AJ458" i="4"/>
  <c r="AJ461" i="4"/>
  <c r="AJ485" i="4"/>
  <c r="AJ483" i="4"/>
  <c r="AJ481" i="4"/>
  <c r="AJ484" i="4"/>
  <c r="AJ482" i="4"/>
  <c r="V485" i="4"/>
  <c r="Q485" i="4"/>
  <c r="K485" i="4"/>
  <c r="AE484" i="4"/>
  <c r="F484" i="4"/>
  <c r="R483" i="4"/>
  <c r="M483" i="4"/>
  <c r="F483" i="4"/>
  <c r="L483" i="4" s="1"/>
  <c r="AB482" i="4"/>
  <c r="X482" i="4"/>
  <c r="T482" i="4"/>
  <c r="G482" i="4"/>
  <c r="P482" i="4" s="1"/>
  <c r="Y481" i="4"/>
  <c r="N481" i="4"/>
  <c r="I481" i="4"/>
  <c r="R485" i="4"/>
  <c r="F485" i="4"/>
  <c r="H485" i="4" s="1"/>
  <c r="AB484" i="4"/>
  <c r="X484" i="4"/>
  <c r="T484" i="4"/>
  <c r="G484" i="4"/>
  <c r="P484" i="4" s="1"/>
  <c r="N483" i="4"/>
  <c r="AC482" i="4"/>
  <c r="Z481" i="4"/>
  <c r="O481" i="4"/>
  <c r="Z485" i="4"/>
  <c r="U485" i="4"/>
  <c r="O485" i="4"/>
  <c r="J485" i="4"/>
  <c r="AD484" i="4"/>
  <c r="V483" i="4"/>
  <c r="Q483" i="4"/>
  <c r="K483" i="4"/>
  <c r="AE482" i="4"/>
  <c r="F482" i="4"/>
  <c r="R481" i="4"/>
  <c r="M481" i="4"/>
  <c r="F481" i="4"/>
  <c r="H481" i="4" s="1"/>
  <c r="M485" i="4"/>
  <c r="Y483" i="4"/>
  <c r="I483" i="4"/>
  <c r="U481" i="4"/>
  <c r="J481" i="4"/>
  <c r="Y485" i="4"/>
  <c r="N485" i="4"/>
  <c r="I485" i="4"/>
  <c r="AC484" i="4"/>
  <c r="Z483" i="4"/>
  <c r="U483" i="4"/>
  <c r="O483" i="4"/>
  <c r="J483" i="4"/>
  <c r="AD482" i="4"/>
  <c r="V481" i="4"/>
  <c r="Q481" i="4"/>
  <c r="K481" i="4"/>
  <c r="L481" i="4"/>
  <c r="H483" i="4"/>
  <c r="AD497" i="4"/>
  <c r="AD493" i="4"/>
  <c r="AJ496" i="4"/>
  <c r="AJ495" i="4"/>
  <c r="AD494" i="4"/>
  <c r="AD496" i="4"/>
  <c r="AJ497" i="4"/>
  <c r="AJ493" i="4"/>
  <c r="AJ494" i="4"/>
  <c r="AD495" i="4"/>
  <c r="AE540" i="4"/>
  <c r="K546" i="4"/>
  <c r="K522" i="4"/>
  <c r="AD500" i="4"/>
  <c r="AJ502" i="4"/>
  <c r="AJ501" i="4"/>
  <c r="AD501" i="4"/>
  <c r="AD503" i="4"/>
  <c r="AD499" i="4"/>
  <c r="AJ503" i="4"/>
  <c r="AJ499" i="4"/>
  <c r="AJ500" i="4"/>
  <c r="AD502" i="4"/>
  <c r="J546" i="4"/>
  <c r="I546" i="4"/>
  <c r="AD490" i="4"/>
  <c r="AD488" i="4"/>
  <c r="AD489" i="4"/>
  <c r="AD511" i="4"/>
  <c r="AD515" i="4"/>
  <c r="AD514" i="4"/>
  <c r="AJ512" i="4"/>
  <c r="AJ511" i="4"/>
  <c r="AD513" i="4"/>
  <c r="AJ514" i="4"/>
  <c r="AJ513" i="4"/>
  <c r="AD512" i="4"/>
  <c r="AJ515" i="4"/>
  <c r="X540" i="4"/>
  <c r="AC540" i="4"/>
  <c r="AB540" i="4"/>
  <c r="F522" i="4"/>
  <c r="E522" i="4" s="1"/>
  <c r="F534" i="4"/>
  <c r="E534" i="4" s="1"/>
  <c r="AD540" i="4"/>
  <c r="AE534" i="4"/>
  <c r="P535" i="4"/>
  <c r="G540" i="4"/>
  <c r="P540" i="4" s="1"/>
  <c r="AD534" i="4"/>
  <c r="X534" i="4"/>
  <c r="AB534" i="4"/>
  <c r="AB528" i="4"/>
  <c r="X528" i="4"/>
  <c r="P529" i="4"/>
  <c r="G534" i="4"/>
  <c r="P534" i="4" s="1"/>
  <c r="T540" i="4"/>
  <c r="AE528" i="4"/>
  <c r="AD528" i="4"/>
  <c r="P523" i="4"/>
  <c r="G528" i="4"/>
  <c r="P528" i="4" s="1"/>
  <c r="AC534" i="4"/>
  <c r="T534" i="4"/>
  <c r="AC528" i="4"/>
  <c r="T528" i="4"/>
  <c r="R515" i="4"/>
  <c r="M515" i="4"/>
  <c r="F515" i="4"/>
  <c r="AB514" i="4"/>
  <c r="X514" i="4"/>
  <c r="T514" i="4"/>
  <c r="G514" i="4"/>
  <c r="P514" i="4" s="1"/>
  <c r="AC513" i="4"/>
  <c r="V511" i="4"/>
  <c r="Q511" i="4"/>
  <c r="K511" i="4"/>
  <c r="N515" i="4"/>
  <c r="F511" i="4"/>
  <c r="V515" i="4"/>
  <c r="Q515" i="4"/>
  <c r="K515" i="4"/>
  <c r="AE514" i="4"/>
  <c r="F514" i="4"/>
  <c r="AB513" i="4"/>
  <c r="X513" i="4"/>
  <c r="T513" i="4"/>
  <c r="G513" i="4"/>
  <c r="P513" i="4" s="1"/>
  <c r="AC512" i="4"/>
  <c r="Z511" i="4"/>
  <c r="U511" i="4"/>
  <c r="O511" i="4"/>
  <c r="J511" i="4"/>
  <c r="AC514" i="4"/>
  <c r="AE512" i="4"/>
  <c r="R511" i="4"/>
  <c r="Z515" i="4"/>
  <c r="U515" i="4"/>
  <c r="O515" i="4"/>
  <c r="J515" i="4"/>
  <c r="AE513" i="4"/>
  <c r="F513" i="4"/>
  <c r="AB512" i="4"/>
  <c r="X512" i="4"/>
  <c r="T512" i="4"/>
  <c r="G512" i="4"/>
  <c r="P512" i="4" s="1"/>
  <c r="Y511" i="4"/>
  <c r="N511" i="4"/>
  <c r="I511" i="4"/>
  <c r="Y515" i="4"/>
  <c r="I515" i="4"/>
  <c r="F512" i="4"/>
  <c r="M511" i="4"/>
  <c r="O24" i="7"/>
  <c r="K24" i="7"/>
  <c r="J24" i="7"/>
  <c r="C24" i="7"/>
  <c r="N24" i="7"/>
  <c r="M24" i="7"/>
  <c r="L24" i="7"/>
  <c r="N487" i="4"/>
  <c r="AJ490" i="4"/>
  <c r="I487" i="4"/>
  <c r="AJ487" i="4"/>
  <c r="M487" i="4"/>
  <c r="AJ491" i="4"/>
  <c r="AJ489" i="4"/>
  <c r="J487" i="4"/>
  <c r="AJ488" i="4"/>
  <c r="AE508" i="4"/>
  <c r="G508" i="4"/>
  <c r="P508" i="4" s="1"/>
  <c r="AC507" i="4"/>
  <c r="F506" i="4"/>
  <c r="AB505" i="4"/>
  <c r="X505" i="4"/>
  <c r="F509" i="4"/>
  <c r="AC509" i="4" s="1"/>
  <c r="T508" i="4"/>
  <c r="F508" i="4"/>
  <c r="AB507" i="4"/>
  <c r="X507" i="4"/>
  <c r="T507" i="4"/>
  <c r="G507" i="4"/>
  <c r="P507" i="4" s="1"/>
  <c r="AC506" i="4"/>
  <c r="AE505" i="4"/>
  <c r="AB508" i="4"/>
  <c r="X508" i="4"/>
  <c r="F505" i="4"/>
  <c r="AC508" i="4"/>
  <c r="AE507" i="4"/>
  <c r="F507" i="4"/>
  <c r="AB506" i="4"/>
  <c r="X506" i="4"/>
  <c r="T506" i="4"/>
  <c r="AE506" i="4"/>
  <c r="G506" i="4"/>
  <c r="P506" i="4" s="1"/>
  <c r="AC505" i="4"/>
  <c r="T505" i="4"/>
  <c r="G505" i="4"/>
  <c r="AE509" i="4"/>
  <c r="AB509" i="4"/>
  <c r="X509" i="4"/>
  <c r="G509" i="4"/>
  <c r="P509" i="4" s="1"/>
  <c r="T509" i="4"/>
  <c r="AC502" i="4"/>
  <c r="AE500" i="4"/>
  <c r="F500" i="4"/>
  <c r="AB499" i="4"/>
  <c r="X499" i="4"/>
  <c r="F499" i="4"/>
  <c r="F503" i="4"/>
  <c r="AE503" i="4" s="1"/>
  <c r="AB502" i="4"/>
  <c r="X502" i="4"/>
  <c r="T502" i="4"/>
  <c r="G502" i="4"/>
  <c r="P502" i="4" s="1"/>
  <c r="AC501" i="4"/>
  <c r="AE499" i="4"/>
  <c r="AE501" i="4"/>
  <c r="F501" i="4"/>
  <c r="X500" i="4"/>
  <c r="G500" i="4"/>
  <c r="P500" i="4" s="1"/>
  <c r="AE502" i="4"/>
  <c r="F502" i="4"/>
  <c r="AB501" i="4"/>
  <c r="X501" i="4"/>
  <c r="T501" i="4"/>
  <c r="G501" i="4"/>
  <c r="P501" i="4" s="1"/>
  <c r="AC500" i="4"/>
  <c r="AB500" i="4"/>
  <c r="T500" i="4"/>
  <c r="AC499" i="4"/>
  <c r="AB503" i="4"/>
  <c r="AC503" i="4"/>
  <c r="G499" i="4"/>
  <c r="X503" i="4"/>
  <c r="T499" i="4"/>
  <c r="T503" i="4"/>
  <c r="G503" i="4"/>
  <c r="P503" i="4" s="1"/>
  <c r="X96" i="3"/>
  <c r="O96" i="3"/>
  <c r="Y96" i="3"/>
  <c r="R96" i="3"/>
  <c r="U96" i="3"/>
  <c r="R497" i="4"/>
  <c r="M497" i="4"/>
  <c r="F497" i="4"/>
  <c r="AE497" i="4" s="1"/>
  <c r="AB496" i="4"/>
  <c r="X496" i="4"/>
  <c r="T496" i="4"/>
  <c r="G496" i="4"/>
  <c r="P496" i="4" s="1"/>
  <c r="AC495" i="4"/>
  <c r="AE493" i="4"/>
  <c r="R493" i="4"/>
  <c r="M493" i="4"/>
  <c r="F493" i="4"/>
  <c r="O497" i="4"/>
  <c r="AE495" i="4"/>
  <c r="F495" i="4"/>
  <c r="Z493" i="4"/>
  <c r="O493" i="4"/>
  <c r="N497" i="4"/>
  <c r="AC496" i="4"/>
  <c r="AE494" i="4"/>
  <c r="Y493" i="4"/>
  <c r="V497" i="4"/>
  <c r="Q497" i="4"/>
  <c r="K497" i="4"/>
  <c r="AE496" i="4"/>
  <c r="F496" i="4"/>
  <c r="AB495" i="4"/>
  <c r="X495" i="4"/>
  <c r="T495" i="4"/>
  <c r="G495" i="4"/>
  <c r="P495" i="4" s="1"/>
  <c r="AC494" i="4"/>
  <c r="V493" i="4"/>
  <c r="Q493" i="4"/>
  <c r="K493" i="4"/>
  <c r="Z497" i="4"/>
  <c r="U497" i="4"/>
  <c r="J497" i="4"/>
  <c r="AB494" i="4"/>
  <c r="X494" i="4"/>
  <c r="T494" i="4"/>
  <c r="G494" i="4"/>
  <c r="P494" i="4" s="1"/>
  <c r="U493" i="4"/>
  <c r="J493" i="4"/>
  <c r="Y497" i="4"/>
  <c r="I497" i="4"/>
  <c r="F494" i="4"/>
  <c r="N493" i="4"/>
  <c r="I493" i="4"/>
  <c r="AB493" i="4"/>
  <c r="AB497" i="4"/>
  <c r="AC497" i="4"/>
  <c r="H497" i="4"/>
  <c r="H493" i="4"/>
  <c r="AC493" i="4"/>
  <c r="T493" i="4" s="1"/>
  <c r="L493" i="4"/>
  <c r="X493" i="4"/>
  <c r="X497" i="4"/>
  <c r="L497" i="4"/>
  <c r="T497" i="4"/>
  <c r="G497" i="4"/>
  <c r="P497" i="4" s="1"/>
  <c r="R95" i="3"/>
  <c r="Z491" i="4"/>
  <c r="U491" i="4"/>
  <c r="O491" i="4"/>
  <c r="J491" i="4"/>
  <c r="AE489" i="4"/>
  <c r="F489" i="4"/>
  <c r="AB488" i="4"/>
  <c r="X488" i="4"/>
  <c r="T488" i="4"/>
  <c r="G488" i="4"/>
  <c r="P488" i="4" s="1"/>
  <c r="Y487" i="4"/>
  <c r="U487" i="4"/>
  <c r="O487" i="4"/>
  <c r="K487" i="4"/>
  <c r="F487" i="4"/>
  <c r="AE490" i="4"/>
  <c r="F490" i="4"/>
  <c r="X489" i="4"/>
  <c r="Q487" i="4"/>
  <c r="Y491" i="4"/>
  <c r="N491" i="4"/>
  <c r="I491" i="4"/>
  <c r="AC490" i="4"/>
  <c r="AE488" i="4"/>
  <c r="F488" i="4"/>
  <c r="M491" i="4"/>
  <c r="F491" i="4"/>
  <c r="AB490" i="4"/>
  <c r="X490" i="4"/>
  <c r="T490" i="4"/>
  <c r="G490" i="4"/>
  <c r="P490" i="4" s="1"/>
  <c r="AC489" i="4"/>
  <c r="R487" i="4"/>
  <c r="V491" i="4"/>
  <c r="Q491" i="4"/>
  <c r="K491" i="4"/>
  <c r="AB489" i="4"/>
  <c r="T489" i="4"/>
  <c r="AC488" i="4"/>
  <c r="V487" i="4"/>
  <c r="R491" i="4"/>
  <c r="G489" i="4"/>
  <c r="P489" i="4" s="1"/>
  <c r="Z487" i="4"/>
  <c r="X94" i="3"/>
  <c r="O94" i="3"/>
  <c r="Y94" i="3"/>
  <c r="R94" i="3"/>
  <c r="U94" i="3"/>
  <c r="X88" i="3"/>
  <c r="N88" i="3"/>
  <c r="U88" i="3"/>
  <c r="V88" i="3" s="1"/>
  <c r="W88" i="3" s="1"/>
  <c r="Y88" i="3"/>
  <c r="Q88" i="3"/>
  <c r="V479" i="4"/>
  <c r="Q479" i="4"/>
  <c r="K479" i="4"/>
  <c r="V478" i="4"/>
  <c r="Q478" i="4"/>
  <c r="K478" i="4"/>
  <c r="AE477" i="4"/>
  <c r="F477" i="4"/>
  <c r="AB476" i="4"/>
  <c r="X476" i="4"/>
  <c r="T476" i="4"/>
  <c r="G476" i="4"/>
  <c r="P476" i="4" s="1"/>
  <c r="AC475" i="4"/>
  <c r="Y475" i="4"/>
  <c r="U475" i="4"/>
  <c r="O475" i="4"/>
  <c r="K475" i="4"/>
  <c r="F475" i="4"/>
  <c r="L475" i="4" s="1"/>
  <c r="Y479" i="4"/>
  <c r="N479" i="4"/>
  <c r="I479" i="4"/>
  <c r="I478" i="4"/>
  <c r="AD476" i="4"/>
  <c r="M475" i="4"/>
  <c r="Z479" i="4"/>
  <c r="U479" i="4"/>
  <c r="O479" i="4"/>
  <c r="J479" i="4"/>
  <c r="Z478" i="4"/>
  <c r="U478" i="4"/>
  <c r="O478" i="4"/>
  <c r="J478" i="4"/>
  <c r="AD477" i="4"/>
  <c r="AE476" i="4"/>
  <c r="F476" i="4"/>
  <c r="AB475" i="4"/>
  <c r="X475" i="4"/>
  <c r="N475" i="4"/>
  <c r="J475" i="4"/>
  <c r="Y478" i="4"/>
  <c r="I475" i="4"/>
  <c r="R479" i="4"/>
  <c r="M479" i="4"/>
  <c r="F479" i="4"/>
  <c r="AE479" i="4" s="1"/>
  <c r="R478" i="4"/>
  <c r="M478" i="4"/>
  <c r="F478" i="4"/>
  <c r="AE478" i="4" s="1"/>
  <c r="AB477" i="4"/>
  <c r="X477" i="4"/>
  <c r="T477" i="4"/>
  <c r="G477" i="4"/>
  <c r="P477" i="4" s="1"/>
  <c r="AC476" i="4"/>
  <c r="AD475" i="4"/>
  <c r="Z475" i="4"/>
  <c r="V475" i="4"/>
  <c r="Q475" i="4"/>
  <c r="H475" i="4"/>
  <c r="N478" i="4"/>
  <c r="AC477" i="4"/>
  <c r="AE475" i="4"/>
  <c r="R475" i="4"/>
  <c r="X479" i="4"/>
  <c r="L479" i="4"/>
  <c r="X478" i="4"/>
  <c r="AC478" i="4"/>
  <c r="G475" i="4"/>
  <c r="AB479" i="4"/>
  <c r="AC479" i="4"/>
  <c r="AB478" i="4"/>
  <c r="AD478" i="4"/>
  <c r="T475" i="4"/>
  <c r="AD479" i="4"/>
  <c r="L478" i="4"/>
  <c r="G479" i="4"/>
  <c r="T479" i="4"/>
  <c r="T478" i="4"/>
  <c r="G478" i="4"/>
  <c r="Z473" i="4"/>
  <c r="U473" i="4"/>
  <c r="O473" i="4"/>
  <c r="J473" i="4"/>
  <c r="AD472" i="4"/>
  <c r="V471" i="4"/>
  <c r="Q471" i="4"/>
  <c r="K471" i="4"/>
  <c r="AE470" i="4"/>
  <c r="G470" i="4"/>
  <c r="P470" i="4" s="1"/>
  <c r="AC469" i="4"/>
  <c r="Y469" i="4"/>
  <c r="U469" i="4"/>
  <c r="O469" i="4"/>
  <c r="K469" i="4"/>
  <c r="F469" i="4"/>
  <c r="R473" i="4"/>
  <c r="X472" i="4"/>
  <c r="G472" i="4"/>
  <c r="P472" i="4" s="1"/>
  <c r="Y471" i="4"/>
  <c r="AC470" i="4"/>
  <c r="R469" i="4"/>
  <c r="R471" i="4"/>
  <c r="AB470" i="4"/>
  <c r="X470" i="4"/>
  <c r="V469" i="4"/>
  <c r="H469" i="4"/>
  <c r="Y473" i="4"/>
  <c r="N473" i="4"/>
  <c r="I473" i="4"/>
  <c r="AC472" i="4"/>
  <c r="Z471" i="4"/>
  <c r="U471" i="4"/>
  <c r="O471" i="4"/>
  <c r="J471" i="4"/>
  <c r="AD470" i="4"/>
  <c r="F470" i="4"/>
  <c r="AB469" i="4"/>
  <c r="X469" i="4"/>
  <c r="N469" i="4"/>
  <c r="J469" i="4"/>
  <c r="M473" i="4"/>
  <c r="F473" i="4"/>
  <c r="AE473" i="4" s="1"/>
  <c r="AB472" i="4"/>
  <c r="T472" i="4"/>
  <c r="N471" i="4"/>
  <c r="I471" i="4"/>
  <c r="AE469" i="4"/>
  <c r="M469" i="4"/>
  <c r="I469" i="4"/>
  <c r="V473" i="4"/>
  <c r="Q473" i="4"/>
  <c r="K473" i="4"/>
  <c r="AE472" i="4"/>
  <c r="F472" i="4"/>
  <c r="M471" i="4"/>
  <c r="F471" i="4"/>
  <c r="AC471" i="4" s="1"/>
  <c r="T470" i="4"/>
  <c r="AD469" i="4"/>
  <c r="Z469" i="4"/>
  <c r="Q469" i="4"/>
  <c r="AB473" i="4"/>
  <c r="AD471" i="4"/>
  <c r="X471" i="4"/>
  <c r="AC473" i="4"/>
  <c r="AE471" i="4"/>
  <c r="AB471" i="4"/>
  <c r="AD473" i="4"/>
  <c r="H471" i="4"/>
  <c r="T469" i="4"/>
  <c r="X473" i="4"/>
  <c r="L471" i="4"/>
  <c r="G469" i="4"/>
  <c r="G473" i="4"/>
  <c r="T473" i="4"/>
  <c r="T471" i="4"/>
  <c r="G471" i="4"/>
  <c r="P471" i="4" s="1"/>
  <c r="X91" i="3"/>
  <c r="N91" i="3"/>
  <c r="Y91" i="3"/>
  <c r="Q91" i="3"/>
  <c r="U91" i="3"/>
  <c r="K91" i="3"/>
  <c r="Z467" i="4"/>
  <c r="U467" i="4"/>
  <c r="O467" i="4"/>
  <c r="J467" i="4"/>
  <c r="AD466" i="4"/>
  <c r="F466" i="4"/>
  <c r="R465" i="4"/>
  <c r="M465" i="4"/>
  <c r="F465" i="4"/>
  <c r="AD465" i="4" s="1"/>
  <c r="AB464" i="4"/>
  <c r="X464" i="4"/>
  <c r="T464" i="4"/>
  <c r="AD463" i="4"/>
  <c r="Y463" i="4"/>
  <c r="U463" i="4"/>
  <c r="O463" i="4"/>
  <c r="K463" i="4"/>
  <c r="F463" i="4"/>
  <c r="AC463" i="4" s="1"/>
  <c r="Q467" i="4"/>
  <c r="V463" i="4"/>
  <c r="Y467" i="4"/>
  <c r="N467" i="4"/>
  <c r="I467" i="4"/>
  <c r="AC466" i="4"/>
  <c r="V465" i="4"/>
  <c r="Q465" i="4"/>
  <c r="K465" i="4"/>
  <c r="AE464" i="4"/>
  <c r="G464" i="4"/>
  <c r="P464" i="4" s="1"/>
  <c r="AB463" i="4"/>
  <c r="X463" i="4"/>
  <c r="N463" i="4"/>
  <c r="J463" i="4"/>
  <c r="AE466" i="4"/>
  <c r="Y465" i="4"/>
  <c r="AC464" i="4"/>
  <c r="AE463" i="4"/>
  <c r="Z463" i="4"/>
  <c r="L463" i="4"/>
  <c r="H463" i="4"/>
  <c r="R467" i="4"/>
  <c r="M467" i="4"/>
  <c r="F467" i="4"/>
  <c r="AE467" i="4" s="1"/>
  <c r="AB466" i="4"/>
  <c r="X466" i="4"/>
  <c r="T466" i="4"/>
  <c r="Z465" i="4"/>
  <c r="U465" i="4"/>
  <c r="O465" i="4"/>
  <c r="J465" i="4"/>
  <c r="AD464" i="4"/>
  <c r="F464" i="4"/>
  <c r="R463" i="4"/>
  <c r="M463" i="4"/>
  <c r="I463" i="4"/>
  <c r="V467" i="4"/>
  <c r="K467" i="4"/>
  <c r="G466" i="4"/>
  <c r="P466" i="4" s="1"/>
  <c r="N465" i="4"/>
  <c r="I465" i="4"/>
  <c r="Q463" i="4"/>
  <c r="X467" i="4"/>
  <c r="AE465" i="4"/>
  <c r="AB465" i="4"/>
  <c r="AB467" i="4"/>
  <c r="H465" i="4"/>
  <c r="AC465" i="4"/>
  <c r="H467" i="4"/>
  <c r="AC467" i="4"/>
  <c r="L465" i="4"/>
  <c r="T463" i="4"/>
  <c r="L467" i="4"/>
  <c r="AD467" i="4"/>
  <c r="X465" i="4"/>
  <c r="G463" i="4"/>
  <c r="T467" i="4"/>
  <c r="T465" i="4"/>
  <c r="G465" i="4"/>
  <c r="P465" i="4" s="1"/>
  <c r="G467" i="4"/>
  <c r="P467" i="4" s="1"/>
  <c r="V461" i="4"/>
  <c r="Q461" i="4"/>
  <c r="K461" i="4"/>
  <c r="AE460" i="4"/>
  <c r="F460" i="4"/>
  <c r="R459" i="4"/>
  <c r="M459" i="4"/>
  <c r="F459" i="4"/>
  <c r="AC459" i="4" s="1"/>
  <c r="AB458" i="4"/>
  <c r="X458" i="4"/>
  <c r="T458" i="4"/>
  <c r="G458" i="4"/>
  <c r="P458" i="4" s="1"/>
  <c r="R457" i="4"/>
  <c r="M457" i="4"/>
  <c r="I457" i="4"/>
  <c r="R461" i="4"/>
  <c r="T460" i="4"/>
  <c r="G460" i="4"/>
  <c r="P460" i="4" s="1"/>
  <c r="Y459" i="4"/>
  <c r="AC458" i="4"/>
  <c r="Y457" i="4"/>
  <c r="Z461" i="4"/>
  <c r="U461" i="4"/>
  <c r="O461" i="4"/>
  <c r="J461" i="4"/>
  <c r="AD460" i="4"/>
  <c r="V459" i="4"/>
  <c r="Q459" i="4"/>
  <c r="K459" i="4"/>
  <c r="AE458" i="4"/>
  <c r="F458" i="4"/>
  <c r="V457" i="4"/>
  <c r="Q457" i="4"/>
  <c r="M461" i="4"/>
  <c r="AB460" i="4"/>
  <c r="X460" i="4"/>
  <c r="N459" i="4"/>
  <c r="N457" i="4"/>
  <c r="Y461" i="4"/>
  <c r="N461" i="4"/>
  <c r="I461" i="4"/>
  <c r="AC460" i="4"/>
  <c r="Z459" i="4"/>
  <c r="U459" i="4"/>
  <c r="O459" i="4"/>
  <c r="J459" i="4"/>
  <c r="AD458" i="4"/>
  <c r="Z457" i="4"/>
  <c r="U457" i="4"/>
  <c r="O457" i="4"/>
  <c r="K457" i="4"/>
  <c r="F457" i="4"/>
  <c r="H457" i="4" s="1"/>
  <c r="F461" i="4"/>
  <c r="AE461" i="4" s="1"/>
  <c r="I459" i="4"/>
  <c r="J457" i="4"/>
  <c r="L459" i="4"/>
  <c r="N21" i="7"/>
  <c r="J21" i="7"/>
  <c r="M21" i="7"/>
  <c r="L21" i="7"/>
  <c r="C21" i="7"/>
  <c r="O21" i="7"/>
  <c r="K21" i="7"/>
  <c r="S104" i="3"/>
  <c r="C451" i="4"/>
  <c r="C445" i="4"/>
  <c r="C439" i="4"/>
  <c r="C433" i="4"/>
  <c r="C427" i="4"/>
  <c r="S86" i="3"/>
  <c r="Y86" i="3" s="1"/>
  <c r="P86" i="3"/>
  <c r="X86" i="3" s="1"/>
  <c r="M86" i="3"/>
  <c r="U86" i="3" s="1"/>
  <c r="S85" i="3"/>
  <c r="P85" i="3"/>
  <c r="M85" i="3"/>
  <c r="S84" i="3"/>
  <c r="Y84" i="3" s="1"/>
  <c r="P84" i="3"/>
  <c r="X84" i="3" s="1"/>
  <c r="M84" i="3"/>
  <c r="U84" i="3" s="1"/>
  <c r="C421" i="4"/>
  <c r="C415" i="4"/>
  <c r="C409" i="4"/>
  <c r="C403" i="4"/>
  <c r="C397" i="4"/>
  <c r="S81" i="3"/>
  <c r="P81" i="3"/>
  <c r="M81" i="3"/>
  <c r="S80" i="3"/>
  <c r="Y80" i="3" s="1"/>
  <c r="P80" i="3"/>
  <c r="X80" i="3" s="1"/>
  <c r="M80" i="3"/>
  <c r="U80" i="3" s="1"/>
  <c r="S79" i="3"/>
  <c r="P79" i="3"/>
  <c r="M79" i="3"/>
  <c r="L485" i="4" l="1"/>
  <c r="W91" i="3"/>
  <c r="V91" i="3"/>
  <c r="H23" i="7"/>
  <c r="E23" i="7"/>
  <c r="D23" i="7"/>
  <c r="G23" i="7"/>
  <c r="F23" i="7"/>
  <c r="G21" i="7"/>
  <c r="D21" i="7"/>
  <c r="F21" i="7"/>
  <c r="E21" i="7"/>
  <c r="H21" i="7"/>
  <c r="AT575" i="4"/>
  <c r="AW575" i="4" s="1"/>
  <c r="W90" i="3"/>
  <c r="G571" i="4"/>
  <c r="P571" i="4" s="1"/>
  <c r="K486" i="4"/>
  <c r="F486" i="4"/>
  <c r="E486" i="4" s="1"/>
  <c r="L576" i="4"/>
  <c r="G483" i="4"/>
  <c r="P483" i="4" s="1"/>
  <c r="F454" i="4"/>
  <c r="F452" i="4"/>
  <c r="F455" i="4"/>
  <c r="F453" i="4"/>
  <c r="F451" i="4"/>
  <c r="AB459" i="4"/>
  <c r="AW577" i="4"/>
  <c r="BA115" i="4"/>
  <c r="AN577" i="4"/>
  <c r="BA103" i="4"/>
  <c r="AT571" i="4"/>
  <c r="AW571" i="4"/>
  <c r="AE459" i="4"/>
  <c r="BM89" i="4"/>
  <c r="F423" i="4"/>
  <c r="F424" i="4"/>
  <c r="F422" i="4"/>
  <c r="F421" i="4"/>
  <c r="F425" i="4"/>
  <c r="AD459" i="4"/>
  <c r="BN89" i="4"/>
  <c r="P577" i="4"/>
  <c r="G582" i="4"/>
  <c r="Y104" i="3"/>
  <c r="N20" i="7"/>
  <c r="J20" i="7"/>
  <c r="C20" i="7"/>
  <c r="K20" i="7"/>
  <c r="M20" i="7"/>
  <c r="I20" i="7"/>
  <c r="L20" i="7"/>
  <c r="O20" i="7"/>
  <c r="AJ416" i="4"/>
  <c r="AJ418" i="4"/>
  <c r="AJ417" i="4"/>
  <c r="AJ419" i="4"/>
  <c r="AJ415" i="4"/>
  <c r="N19" i="7"/>
  <c r="J19" i="7"/>
  <c r="I19" i="7"/>
  <c r="M19" i="7"/>
  <c r="C19" i="7"/>
  <c r="O19" i="7"/>
  <c r="L19" i="7"/>
  <c r="K19" i="7"/>
  <c r="AJ440" i="4"/>
  <c r="AJ443" i="4"/>
  <c r="AJ439" i="4"/>
  <c r="AJ441" i="4"/>
  <c r="AJ442" i="4"/>
  <c r="G485" i="4"/>
  <c r="P485" i="4" s="1"/>
  <c r="AV483" i="4"/>
  <c r="AU483" i="4"/>
  <c r="AJ410" i="4"/>
  <c r="AJ412" i="4"/>
  <c r="AJ411" i="4"/>
  <c r="AJ409" i="4"/>
  <c r="AJ413" i="4"/>
  <c r="AJ407" i="4"/>
  <c r="AJ404" i="4"/>
  <c r="AJ403" i="4"/>
  <c r="AJ405" i="4"/>
  <c r="AJ406" i="4"/>
  <c r="AJ448" i="4"/>
  <c r="AJ447" i="4"/>
  <c r="AJ446" i="4"/>
  <c r="AJ449" i="4"/>
  <c r="AJ445" i="4"/>
  <c r="L486" i="4"/>
  <c r="J486" i="4"/>
  <c r="I486" i="4"/>
  <c r="AL481" i="4"/>
  <c r="AM481" i="4"/>
  <c r="AJ435" i="4"/>
  <c r="AJ436" i="4"/>
  <c r="AJ434" i="4"/>
  <c r="AJ437" i="4"/>
  <c r="AJ433" i="4"/>
  <c r="AU461" i="4"/>
  <c r="F468" i="4"/>
  <c r="E468" i="4" s="1"/>
  <c r="G481" i="4"/>
  <c r="H486" i="4"/>
  <c r="AU485" i="4"/>
  <c r="AV485" i="4"/>
  <c r="F516" i="4"/>
  <c r="E516" i="4" s="1"/>
  <c r="K492" i="4"/>
  <c r="J516" i="4"/>
  <c r="K516" i="4"/>
  <c r="I516" i="4"/>
  <c r="AE510" i="4"/>
  <c r="X510" i="4"/>
  <c r="F510" i="4"/>
  <c r="E510" i="4" s="1"/>
  <c r="I468" i="4"/>
  <c r="I474" i="4"/>
  <c r="AZ457" i="4"/>
  <c r="AZ461" i="4"/>
  <c r="AR459" i="4"/>
  <c r="AY457" i="4"/>
  <c r="AY461" i="4"/>
  <c r="AQ459" i="4"/>
  <c r="X459" i="4"/>
  <c r="AU457" i="4"/>
  <c r="AM459" i="4"/>
  <c r="AO459" i="4"/>
  <c r="AP459" i="4" s="1"/>
  <c r="AL459" i="4"/>
  <c r="AV461" i="4"/>
  <c r="AT461" i="4" s="1"/>
  <c r="AW461" i="4" s="1"/>
  <c r="AV457" i="4"/>
  <c r="K498" i="4"/>
  <c r="F492" i="4"/>
  <c r="E492" i="4" s="1"/>
  <c r="F498" i="4"/>
  <c r="E498" i="4" s="1"/>
  <c r="AC504" i="4"/>
  <c r="AD510" i="4"/>
  <c r="AC510" i="4"/>
  <c r="AB510" i="4"/>
  <c r="AB504" i="4"/>
  <c r="T504" i="4"/>
  <c r="T510" i="4"/>
  <c r="AC498" i="4"/>
  <c r="P505" i="4"/>
  <c r="G510" i="4"/>
  <c r="P510" i="4" s="1"/>
  <c r="X504" i="4"/>
  <c r="AB498" i="4"/>
  <c r="AD504" i="4"/>
  <c r="AE504" i="4"/>
  <c r="F504" i="4"/>
  <c r="E504" i="4" s="1"/>
  <c r="P499" i="4"/>
  <c r="G504" i="4"/>
  <c r="P504" i="4" s="1"/>
  <c r="H498" i="4"/>
  <c r="G493" i="4"/>
  <c r="L498" i="4"/>
  <c r="I498" i="4"/>
  <c r="J498" i="4"/>
  <c r="BE65" i="4"/>
  <c r="S95" i="3"/>
  <c r="Y95" i="3" s="1"/>
  <c r="I492" i="4"/>
  <c r="J492" i="4"/>
  <c r="X461" i="4"/>
  <c r="AD461" i="4"/>
  <c r="AB461" i="4"/>
  <c r="L461" i="4"/>
  <c r="AC461" i="4"/>
  <c r="I462" i="4"/>
  <c r="AB457" i="4"/>
  <c r="X457" i="4"/>
  <c r="X462" i="4" s="1"/>
  <c r="AD457" i="4"/>
  <c r="AE457" i="4"/>
  <c r="AC457" i="4"/>
  <c r="K480" i="4"/>
  <c r="L480" i="4"/>
  <c r="J480" i="4"/>
  <c r="P478" i="4"/>
  <c r="X480" i="4"/>
  <c r="H478" i="4"/>
  <c r="AC480" i="4"/>
  <c r="AE480" i="4"/>
  <c r="AB480" i="4"/>
  <c r="P475" i="4"/>
  <c r="G480" i="4"/>
  <c r="P480" i="4" s="1"/>
  <c r="AC474" i="4"/>
  <c r="H479" i="4"/>
  <c r="I480" i="4"/>
  <c r="F480" i="4"/>
  <c r="E480" i="4" s="1"/>
  <c r="P479" i="4"/>
  <c r="K474" i="4"/>
  <c r="X474" i="4"/>
  <c r="AB474" i="4"/>
  <c r="J474" i="4"/>
  <c r="AE474" i="4"/>
  <c r="F474" i="4"/>
  <c r="E474" i="4" s="1"/>
  <c r="AD474" i="4"/>
  <c r="L473" i="4"/>
  <c r="H473" i="4"/>
  <c r="H474" i="4" s="1"/>
  <c r="L469" i="4"/>
  <c r="P469" i="4"/>
  <c r="G474" i="4"/>
  <c r="P474" i="4" s="1"/>
  <c r="P473" i="4"/>
  <c r="T480" i="4"/>
  <c r="AD480" i="4"/>
  <c r="J468" i="4"/>
  <c r="K468" i="4"/>
  <c r="H468" i="4"/>
  <c r="L468" i="4"/>
  <c r="P463" i="4"/>
  <c r="G468" i="4"/>
  <c r="P468" i="4" s="1"/>
  <c r="T474" i="4"/>
  <c r="J462" i="4"/>
  <c r="K462" i="4"/>
  <c r="F462" i="4"/>
  <c r="E462" i="4" s="1"/>
  <c r="H459" i="4"/>
  <c r="G459" i="4" s="1"/>
  <c r="P459" i="4" s="1"/>
  <c r="H461" i="4"/>
  <c r="L457" i="4"/>
  <c r="AJ453" i="4"/>
  <c r="R455" i="4"/>
  <c r="M455" i="4"/>
  <c r="I455" i="4"/>
  <c r="AD454" i="4"/>
  <c r="AE453" i="4"/>
  <c r="AB452" i="4"/>
  <c r="X452" i="4"/>
  <c r="T452" i="4"/>
  <c r="G452" i="4"/>
  <c r="P452" i="4" s="1"/>
  <c r="AB451" i="4"/>
  <c r="X451" i="4"/>
  <c r="N451" i="4"/>
  <c r="J451" i="4"/>
  <c r="N455" i="4"/>
  <c r="AB453" i="4"/>
  <c r="AD451" i="4"/>
  <c r="Y451" i="4"/>
  <c r="K451" i="4"/>
  <c r="AJ454" i="4"/>
  <c r="V455" i="4"/>
  <c r="Q455" i="4"/>
  <c r="AC454" i="4"/>
  <c r="AD453" i="4"/>
  <c r="AE452" i="4"/>
  <c r="R451" i="4"/>
  <c r="M451" i="4"/>
  <c r="I451" i="4"/>
  <c r="J455" i="4"/>
  <c r="X453" i="4"/>
  <c r="G453" i="4"/>
  <c r="P453" i="4" s="1"/>
  <c r="AC452" i="4"/>
  <c r="O451" i="4"/>
  <c r="AJ452" i="4"/>
  <c r="Z455" i="4"/>
  <c r="U455" i="4"/>
  <c r="O455" i="4"/>
  <c r="K455" i="4"/>
  <c r="AB454" i="4"/>
  <c r="X454" i="4"/>
  <c r="T454" i="4"/>
  <c r="G454" i="4"/>
  <c r="P454" i="4" s="1"/>
  <c r="AC453" i="4"/>
  <c r="AD452" i="4"/>
  <c r="AE451" i="4"/>
  <c r="Z451" i="4"/>
  <c r="V451" i="4"/>
  <c r="Q451" i="4"/>
  <c r="AJ455" i="4"/>
  <c r="AJ451" i="4"/>
  <c r="AV451" i="4" s="1"/>
  <c r="Y455" i="4"/>
  <c r="AE454" i="4"/>
  <c r="T453" i="4"/>
  <c r="U451" i="4"/>
  <c r="AC451" i="4"/>
  <c r="AD455" i="4"/>
  <c r="AE455" i="4"/>
  <c r="X455" i="4"/>
  <c r="T451" i="4"/>
  <c r="G455" i="4"/>
  <c r="P455" i="4" s="1"/>
  <c r="AB455" i="4"/>
  <c r="AC455" i="4"/>
  <c r="G451" i="4"/>
  <c r="T455" i="4"/>
  <c r="AU451" i="4"/>
  <c r="AU455" i="4"/>
  <c r="AV455" i="4"/>
  <c r="AJ430" i="4"/>
  <c r="AJ429" i="4"/>
  <c r="AJ427" i="4"/>
  <c r="AJ431" i="4"/>
  <c r="AJ428" i="4"/>
  <c r="AJ424" i="4"/>
  <c r="AJ423" i="4"/>
  <c r="AJ422" i="4"/>
  <c r="AJ421" i="4"/>
  <c r="AU421" i="4" s="1"/>
  <c r="AJ425" i="4"/>
  <c r="V425" i="4"/>
  <c r="Q425" i="4"/>
  <c r="K425" i="4"/>
  <c r="AE424" i="4"/>
  <c r="AB423" i="4"/>
  <c r="X423" i="4"/>
  <c r="T423" i="4"/>
  <c r="G423" i="4"/>
  <c r="P423" i="4" s="1"/>
  <c r="AC422" i="4"/>
  <c r="Z421" i="4"/>
  <c r="U421" i="4"/>
  <c r="O421" i="4"/>
  <c r="J421" i="4"/>
  <c r="Z425" i="4"/>
  <c r="U425" i="4"/>
  <c r="O425" i="4"/>
  <c r="J425" i="4"/>
  <c r="J426" i="4" s="1"/>
  <c r="AD424" i="4"/>
  <c r="AE423" i="4"/>
  <c r="AB422" i="4"/>
  <c r="X422" i="4"/>
  <c r="T422" i="4"/>
  <c r="G422" i="4"/>
  <c r="P422" i="4" s="1"/>
  <c r="Y421" i="4"/>
  <c r="N421" i="4"/>
  <c r="I421" i="4"/>
  <c r="Y425" i="4"/>
  <c r="N425" i="4"/>
  <c r="I425" i="4"/>
  <c r="AC424" i="4"/>
  <c r="AD423" i="4"/>
  <c r="AE422" i="4"/>
  <c r="R421" i="4"/>
  <c r="M421" i="4"/>
  <c r="R425" i="4"/>
  <c r="M425" i="4"/>
  <c r="AB424" i="4"/>
  <c r="X424" i="4"/>
  <c r="T424" i="4"/>
  <c r="G424" i="4"/>
  <c r="P424" i="4" s="1"/>
  <c r="AC423" i="4"/>
  <c r="AD422" i="4"/>
  <c r="V421" i="4"/>
  <c r="Q421" i="4"/>
  <c r="K421" i="4"/>
  <c r="AV425" i="4"/>
  <c r="AV421" i="4"/>
  <c r="AJ397" i="4"/>
  <c r="AJ400" i="4"/>
  <c r="AJ399" i="4"/>
  <c r="AJ401" i="4"/>
  <c r="AJ398" i="4"/>
  <c r="V449" i="4"/>
  <c r="Q449" i="4"/>
  <c r="K449" i="4"/>
  <c r="AE448" i="4"/>
  <c r="G448" i="4"/>
  <c r="P448" i="4" s="1"/>
  <c r="AC447" i="4"/>
  <c r="AE446" i="4"/>
  <c r="G446" i="4"/>
  <c r="P446" i="4" s="1"/>
  <c r="AC445" i="4"/>
  <c r="Y445" i="4"/>
  <c r="U445" i="4"/>
  <c r="O445" i="4"/>
  <c r="K445" i="4"/>
  <c r="F445" i="4"/>
  <c r="F449" i="4"/>
  <c r="AD449" i="4" s="1"/>
  <c r="T448" i="4"/>
  <c r="AB446" i="4"/>
  <c r="AD445" i="4"/>
  <c r="Z445" i="4"/>
  <c r="Z449" i="4"/>
  <c r="U449" i="4"/>
  <c r="O449" i="4"/>
  <c r="J449" i="4"/>
  <c r="AD448" i="4"/>
  <c r="F448" i="4"/>
  <c r="AB447" i="4"/>
  <c r="X447" i="4"/>
  <c r="T447" i="4"/>
  <c r="AD446" i="4"/>
  <c r="F446" i="4"/>
  <c r="AB445" i="4"/>
  <c r="X445" i="4"/>
  <c r="N445" i="4"/>
  <c r="J445" i="4"/>
  <c r="AB448" i="4"/>
  <c r="AD447" i="4"/>
  <c r="T446" i="4"/>
  <c r="Q445" i="4"/>
  <c r="Y449" i="4"/>
  <c r="N449" i="4"/>
  <c r="I449" i="4"/>
  <c r="AC448" i="4"/>
  <c r="AE447" i="4"/>
  <c r="G447" i="4"/>
  <c r="P447" i="4" s="1"/>
  <c r="AC446" i="4"/>
  <c r="AE445" i="4"/>
  <c r="V445" i="4"/>
  <c r="R445" i="4"/>
  <c r="M445" i="4"/>
  <c r="I445" i="4"/>
  <c r="R449" i="4"/>
  <c r="M449" i="4"/>
  <c r="X448" i="4"/>
  <c r="F447" i="4"/>
  <c r="X446" i="4"/>
  <c r="L445" i="4"/>
  <c r="H445" i="4"/>
  <c r="AE449" i="4"/>
  <c r="AB449" i="4"/>
  <c r="H449" i="4"/>
  <c r="AC449" i="4"/>
  <c r="L449" i="4"/>
  <c r="T445" i="4"/>
  <c r="X449" i="4"/>
  <c r="G445" i="4"/>
  <c r="T449" i="4"/>
  <c r="G449" i="4"/>
  <c r="P449" i="4" s="1"/>
  <c r="Y443" i="4"/>
  <c r="N443" i="4"/>
  <c r="I443" i="4"/>
  <c r="AC442" i="4"/>
  <c r="AD441" i="4"/>
  <c r="AE440" i="4"/>
  <c r="F440" i="4"/>
  <c r="AB439" i="4"/>
  <c r="X439" i="4"/>
  <c r="N439" i="4"/>
  <c r="J439" i="4"/>
  <c r="U443" i="4"/>
  <c r="J443" i="4"/>
  <c r="AD442" i="4"/>
  <c r="T440" i="4"/>
  <c r="G440" i="4"/>
  <c r="P440" i="4" s="1"/>
  <c r="AC439" i="4"/>
  <c r="Y439" i="4"/>
  <c r="F439" i="4"/>
  <c r="R443" i="4"/>
  <c r="M443" i="4"/>
  <c r="F443" i="4"/>
  <c r="AD443" i="4" s="1"/>
  <c r="AB442" i="4"/>
  <c r="X442" i="4"/>
  <c r="T442" i="4"/>
  <c r="G442" i="4"/>
  <c r="P442" i="4" s="1"/>
  <c r="AC441" i="4"/>
  <c r="AD440" i="4"/>
  <c r="AE439" i="4"/>
  <c r="R439" i="4"/>
  <c r="M439" i="4"/>
  <c r="I439" i="4"/>
  <c r="Z443" i="4"/>
  <c r="O443" i="4"/>
  <c r="AB440" i="4"/>
  <c r="U439" i="4"/>
  <c r="K439" i="4"/>
  <c r="V443" i="4"/>
  <c r="Q443" i="4"/>
  <c r="K443" i="4"/>
  <c r="AE442" i="4"/>
  <c r="F442" i="4"/>
  <c r="AB441" i="4"/>
  <c r="X441" i="4"/>
  <c r="T441" i="4"/>
  <c r="G441" i="4"/>
  <c r="P441" i="4" s="1"/>
  <c r="AC440" i="4"/>
  <c r="AD439" i="4"/>
  <c r="Z439" i="4"/>
  <c r="V439" i="4"/>
  <c r="Q439" i="4"/>
  <c r="L439" i="4"/>
  <c r="H439" i="4"/>
  <c r="AE441" i="4"/>
  <c r="F441" i="4"/>
  <c r="X440" i="4"/>
  <c r="O439" i="4"/>
  <c r="AE443" i="4"/>
  <c r="AB443" i="4"/>
  <c r="H443" i="4"/>
  <c r="L443" i="4"/>
  <c r="T439" i="4"/>
  <c r="X443" i="4"/>
  <c r="G439" i="4"/>
  <c r="AC443" i="4"/>
  <c r="T443" i="4"/>
  <c r="G443" i="4"/>
  <c r="P443" i="4" s="1"/>
  <c r="R437" i="4"/>
  <c r="M437" i="4"/>
  <c r="F437" i="4"/>
  <c r="AD437" i="4" s="1"/>
  <c r="AB436" i="4"/>
  <c r="X436" i="4"/>
  <c r="T436" i="4"/>
  <c r="AD435" i="4"/>
  <c r="AE434" i="4"/>
  <c r="F434" i="4"/>
  <c r="Z433" i="4"/>
  <c r="N433" i="4"/>
  <c r="I433" i="4"/>
  <c r="AE435" i="4"/>
  <c r="T434" i="4"/>
  <c r="G434" i="4"/>
  <c r="P434" i="4" s="1"/>
  <c r="U433" i="4"/>
  <c r="V437" i="4"/>
  <c r="Q437" i="4"/>
  <c r="K437" i="4"/>
  <c r="AE436" i="4"/>
  <c r="G436" i="4"/>
  <c r="P436" i="4" s="1"/>
  <c r="AC435" i="4"/>
  <c r="AD434" i="4"/>
  <c r="AC433" i="4"/>
  <c r="Y433" i="4"/>
  <c r="R433" i="4"/>
  <c r="M433" i="4"/>
  <c r="F433" i="4"/>
  <c r="AB433" i="4" s="1"/>
  <c r="Y437" i="4"/>
  <c r="N437" i="4"/>
  <c r="I437" i="4"/>
  <c r="AC436" i="4"/>
  <c r="F435" i="4"/>
  <c r="AB434" i="4"/>
  <c r="O433" i="4"/>
  <c r="Z437" i="4"/>
  <c r="U437" i="4"/>
  <c r="O437" i="4"/>
  <c r="J437" i="4"/>
  <c r="AD436" i="4"/>
  <c r="F436" i="4"/>
  <c r="AB435" i="4"/>
  <c r="X435" i="4"/>
  <c r="T435" i="4"/>
  <c r="G435" i="4"/>
  <c r="P435" i="4" s="1"/>
  <c r="AC434" i="4"/>
  <c r="V433" i="4"/>
  <c r="Q433" i="4"/>
  <c r="K433" i="4"/>
  <c r="X434" i="4"/>
  <c r="J433" i="4"/>
  <c r="X437" i="4"/>
  <c r="G433" i="4"/>
  <c r="AE437" i="4"/>
  <c r="AB437" i="4"/>
  <c r="AD433" i="4"/>
  <c r="H437" i="4"/>
  <c r="AC437" i="4"/>
  <c r="AE433" i="4"/>
  <c r="X433" i="4"/>
  <c r="L437" i="4"/>
  <c r="T433" i="4"/>
  <c r="H433" i="4"/>
  <c r="G437" i="4"/>
  <c r="P437" i="4" s="1"/>
  <c r="T437" i="4"/>
  <c r="Y85" i="3"/>
  <c r="Q85" i="3"/>
  <c r="X85" i="3"/>
  <c r="N85" i="3"/>
  <c r="U85" i="3"/>
  <c r="K85" i="3"/>
  <c r="Y431" i="4"/>
  <c r="N431" i="4"/>
  <c r="I431" i="4"/>
  <c r="AC430" i="4"/>
  <c r="AE429" i="4"/>
  <c r="F429" i="4"/>
  <c r="AB428" i="4"/>
  <c r="X428" i="4"/>
  <c r="T428" i="4"/>
  <c r="G428" i="4"/>
  <c r="P428" i="4" s="1"/>
  <c r="Y427" i="4"/>
  <c r="U427" i="4"/>
  <c r="O427" i="4"/>
  <c r="K427" i="4"/>
  <c r="F427" i="4"/>
  <c r="V431" i="4"/>
  <c r="Q431" i="4"/>
  <c r="K431" i="4"/>
  <c r="K432" i="4" s="1"/>
  <c r="G430" i="4"/>
  <c r="P430" i="4" s="1"/>
  <c r="R427" i="4"/>
  <c r="AD430" i="4"/>
  <c r="AB429" i="4"/>
  <c r="T429" i="4"/>
  <c r="Q427" i="4"/>
  <c r="R431" i="4"/>
  <c r="M431" i="4"/>
  <c r="F431" i="4"/>
  <c r="AB430" i="4"/>
  <c r="X430" i="4"/>
  <c r="T430" i="4"/>
  <c r="AD429" i="4"/>
  <c r="AE428" i="4"/>
  <c r="F428" i="4"/>
  <c r="N427" i="4"/>
  <c r="J427" i="4"/>
  <c r="AE430" i="4"/>
  <c r="AC429" i="4"/>
  <c r="AD428" i="4"/>
  <c r="M427" i="4"/>
  <c r="I427" i="4"/>
  <c r="Z431" i="4"/>
  <c r="O431" i="4"/>
  <c r="J431" i="4"/>
  <c r="J432" i="4" s="1"/>
  <c r="F430" i="4"/>
  <c r="AC428" i="4"/>
  <c r="V427" i="4"/>
  <c r="U431" i="4"/>
  <c r="X429" i="4"/>
  <c r="G429" i="4"/>
  <c r="P429" i="4" s="1"/>
  <c r="Z427" i="4"/>
  <c r="H431" i="4"/>
  <c r="L431" i="4"/>
  <c r="G431" i="4" s="1"/>
  <c r="V419" i="4"/>
  <c r="Q419" i="4"/>
  <c r="K419" i="4"/>
  <c r="AE418" i="4"/>
  <c r="F418" i="4"/>
  <c r="AB417" i="4"/>
  <c r="X417" i="4"/>
  <c r="T417" i="4"/>
  <c r="G417" i="4"/>
  <c r="P417" i="4" s="1"/>
  <c r="AC416" i="4"/>
  <c r="AD415" i="4"/>
  <c r="Z415" i="4"/>
  <c r="V415" i="4"/>
  <c r="Q415" i="4"/>
  <c r="F419" i="4"/>
  <c r="AD419" i="4" s="1"/>
  <c r="X418" i="4"/>
  <c r="R415" i="4"/>
  <c r="Z419" i="4"/>
  <c r="U419" i="4"/>
  <c r="O419" i="4"/>
  <c r="J419" i="4"/>
  <c r="AD418" i="4"/>
  <c r="AE417" i="4"/>
  <c r="F417" i="4"/>
  <c r="AB416" i="4"/>
  <c r="X416" i="4"/>
  <c r="T416" i="4"/>
  <c r="G416" i="4"/>
  <c r="P416" i="4" s="1"/>
  <c r="AC415" i="4"/>
  <c r="Y415" i="4"/>
  <c r="U415" i="4"/>
  <c r="O415" i="4"/>
  <c r="K415" i="4"/>
  <c r="F415" i="4"/>
  <c r="H415" i="4" s="1"/>
  <c r="M419" i="4"/>
  <c r="AB418" i="4"/>
  <c r="T418" i="4"/>
  <c r="G418" i="4"/>
  <c r="P418" i="4" s="1"/>
  <c r="AC417" i="4"/>
  <c r="AD416" i="4"/>
  <c r="I415" i="4"/>
  <c r="Y419" i="4"/>
  <c r="N419" i="4"/>
  <c r="I419" i="4"/>
  <c r="AC418" i="4"/>
  <c r="AD417" i="4"/>
  <c r="AE416" i="4"/>
  <c r="F416" i="4"/>
  <c r="AB415" i="4"/>
  <c r="X415" i="4"/>
  <c r="N415" i="4"/>
  <c r="J415" i="4"/>
  <c r="R419" i="4"/>
  <c r="AE415" i="4"/>
  <c r="M415" i="4"/>
  <c r="X419" i="4"/>
  <c r="G415" i="4"/>
  <c r="AE419" i="4"/>
  <c r="AB419" i="4"/>
  <c r="H419" i="4"/>
  <c r="AC419" i="4"/>
  <c r="T415" i="4"/>
  <c r="G419" i="4"/>
  <c r="P419" i="4" s="1"/>
  <c r="T419" i="4"/>
  <c r="V413" i="4"/>
  <c r="Q413" i="4"/>
  <c r="K413" i="4"/>
  <c r="AE412" i="4"/>
  <c r="G412" i="4"/>
  <c r="P412" i="4" s="1"/>
  <c r="AC411" i="4"/>
  <c r="AE410" i="4"/>
  <c r="G410" i="4"/>
  <c r="P410" i="4" s="1"/>
  <c r="AC409" i="4"/>
  <c r="Y409" i="4"/>
  <c r="U409" i="4"/>
  <c r="O409" i="4"/>
  <c r="K409" i="4"/>
  <c r="F409" i="4"/>
  <c r="M413" i="4"/>
  <c r="AB412" i="4"/>
  <c r="T412" i="4"/>
  <c r="AB410" i="4"/>
  <c r="AD409" i="4"/>
  <c r="Z409" i="4"/>
  <c r="L409" i="4"/>
  <c r="Z413" i="4"/>
  <c r="U413" i="4"/>
  <c r="O413" i="4"/>
  <c r="J413" i="4"/>
  <c r="AD412" i="4"/>
  <c r="F412" i="4"/>
  <c r="AB411" i="4"/>
  <c r="X411" i="4"/>
  <c r="T411" i="4"/>
  <c r="AD410" i="4"/>
  <c r="F410" i="4"/>
  <c r="AB409" i="4"/>
  <c r="X409" i="4"/>
  <c r="N409" i="4"/>
  <c r="J409" i="4"/>
  <c r="R413" i="4"/>
  <c r="X412" i="4"/>
  <c r="AD411" i="4"/>
  <c r="F411" i="4"/>
  <c r="X410" i="4"/>
  <c r="V409" i="4"/>
  <c r="H409" i="4"/>
  <c r="Y413" i="4"/>
  <c r="N413" i="4"/>
  <c r="I413" i="4"/>
  <c r="AC412" i="4"/>
  <c r="AE411" i="4"/>
  <c r="G411" i="4"/>
  <c r="P411" i="4" s="1"/>
  <c r="AC410" i="4"/>
  <c r="AE409" i="4"/>
  <c r="R409" i="4"/>
  <c r="M409" i="4"/>
  <c r="I409" i="4"/>
  <c r="F413" i="4"/>
  <c r="AD413" i="4" s="1"/>
  <c r="T410" i="4"/>
  <c r="Q409" i="4"/>
  <c r="AE413" i="4"/>
  <c r="AB413" i="4"/>
  <c r="H413" i="4"/>
  <c r="AC413" i="4"/>
  <c r="T409" i="4"/>
  <c r="X413" i="4"/>
  <c r="G409" i="4"/>
  <c r="T413" i="4"/>
  <c r="G413" i="4"/>
  <c r="Y81" i="3"/>
  <c r="Q81" i="3"/>
  <c r="X81" i="3"/>
  <c r="N81" i="3"/>
  <c r="U81" i="3"/>
  <c r="K81" i="3"/>
  <c r="Y407" i="4"/>
  <c r="N407" i="4"/>
  <c r="I407" i="4"/>
  <c r="AC406" i="4"/>
  <c r="AD405" i="4"/>
  <c r="AE404" i="4"/>
  <c r="F404" i="4"/>
  <c r="R403" i="4"/>
  <c r="M403" i="4"/>
  <c r="I403" i="4"/>
  <c r="Z407" i="4"/>
  <c r="O407" i="4"/>
  <c r="F405" i="4"/>
  <c r="J403" i="4"/>
  <c r="R407" i="4"/>
  <c r="M407" i="4"/>
  <c r="F407" i="4"/>
  <c r="AE407" i="4" s="1"/>
  <c r="AB406" i="4"/>
  <c r="X406" i="4"/>
  <c r="T406" i="4"/>
  <c r="G406" i="4"/>
  <c r="P406" i="4" s="1"/>
  <c r="AC405" i="4"/>
  <c r="AD404" i="4"/>
  <c r="AE403" i="4"/>
  <c r="Z403" i="4"/>
  <c r="V403" i="4"/>
  <c r="Q403" i="4"/>
  <c r="V407" i="4"/>
  <c r="Q407" i="4"/>
  <c r="K407" i="4"/>
  <c r="AE406" i="4"/>
  <c r="F406" i="4"/>
  <c r="AB405" i="4"/>
  <c r="X405" i="4"/>
  <c r="T405" i="4"/>
  <c r="G405" i="4"/>
  <c r="P405" i="4" s="1"/>
  <c r="AC404" i="4"/>
  <c r="AD403" i="4"/>
  <c r="Y403" i="4"/>
  <c r="U403" i="4"/>
  <c r="O403" i="4"/>
  <c r="K403" i="4"/>
  <c r="F403" i="4"/>
  <c r="AC403" i="4" s="1"/>
  <c r="U407" i="4"/>
  <c r="J407" i="4"/>
  <c r="AD406" i="4"/>
  <c r="AE405" i="4"/>
  <c r="AB404" i="4"/>
  <c r="X404" i="4"/>
  <c r="T404" i="4"/>
  <c r="G404" i="4"/>
  <c r="P404" i="4" s="1"/>
  <c r="AB403" i="4"/>
  <c r="X403" i="4"/>
  <c r="N403" i="4"/>
  <c r="X407" i="4"/>
  <c r="AC407" i="4"/>
  <c r="AB407" i="4"/>
  <c r="AD407" i="4"/>
  <c r="H407" i="4"/>
  <c r="T403" i="4"/>
  <c r="L407" i="4"/>
  <c r="G403" i="4"/>
  <c r="G407" i="4"/>
  <c r="P407" i="4" s="1"/>
  <c r="T407" i="4"/>
  <c r="Z401" i="4"/>
  <c r="U401" i="4"/>
  <c r="O401" i="4"/>
  <c r="J401" i="4"/>
  <c r="AD400" i="4"/>
  <c r="AE399" i="4"/>
  <c r="G399" i="4"/>
  <c r="P399" i="4" s="1"/>
  <c r="AC398" i="4"/>
  <c r="Z397" i="4"/>
  <c r="V397" i="4"/>
  <c r="Q397" i="4"/>
  <c r="Q401" i="4"/>
  <c r="K401" i="4"/>
  <c r="R397" i="4"/>
  <c r="Y401" i="4"/>
  <c r="N401" i="4"/>
  <c r="I401" i="4"/>
  <c r="AC400" i="4"/>
  <c r="AD399" i="4"/>
  <c r="F399" i="4"/>
  <c r="AB398" i="4"/>
  <c r="X398" i="4"/>
  <c r="T398" i="4"/>
  <c r="G398" i="4"/>
  <c r="P398" i="4" s="1"/>
  <c r="Y397" i="4"/>
  <c r="U397" i="4"/>
  <c r="O397" i="4"/>
  <c r="K397" i="4"/>
  <c r="F397" i="4"/>
  <c r="V401" i="4"/>
  <c r="AE400" i="4"/>
  <c r="F400" i="4"/>
  <c r="AB399" i="4"/>
  <c r="X399" i="4"/>
  <c r="T399" i="4"/>
  <c r="AD398" i="4"/>
  <c r="M397" i="4"/>
  <c r="R401" i="4"/>
  <c r="M401" i="4"/>
  <c r="F401" i="4"/>
  <c r="AB400" i="4"/>
  <c r="X400" i="4"/>
  <c r="T400" i="4"/>
  <c r="G400" i="4"/>
  <c r="P400" i="4" s="1"/>
  <c r="AC399" i="4"/>
  <c r="AE398" i="4"/>
  <c r="F398" i="4"/>
  <c r="N397" i="4"/>
  <c r="J397" i="4"/>
  <c r="I397" i="4"/>
  <c r="U79" i="3"/>
  <c r="K79" i="3"/>
  <c r="X79" i="3"/>
  <c r="N79" i="3"/>
  <c r="Y79" i="3"/>
  <c r="Q79" i="3"/>
  <c r="R104" i="3"/>
  <c r="Q104" i="3" s="1"/>
  <c r="AE498" i="4"/>
  <c r="AD498" i="4"/>
  <c r="X498" i="4"/>
  <c r="T498" i="4"/>
  <c r="BF65" i="4"/>
  <c r="C391" i="4"/>
  <c r="C385" i="4"/>
  <c r="C379" i="4"/>
  <c r="C373" i="4"/>
  <c r="C367" i="4"/>
  <c r="Q76" i="3"/>
  <c r="Q75" i="3"/>
  <c r="S75" i="3" s="1"/>
  <c r="Y75" i="3" s="1"/>
  <c r="P76" i="3"/>
  <c r="P75" i="3"/>
  <c r="X75" i="3" s="1"/>
  <c r="M76" i="3"/>
  <c r="M75" i="3"/>
  <c r="U75" i="3" s="1"/>
  <c r="C361" i="4"/>
  <c r="C355" i="4"/>
  <c r="C349" i="4"/>
  <c r="C343" i="4"/>
  <c r="C337" i="4"/>
  <c r="W85" i="3" l="1"/>
  <c r="V85" i="3"/>
  <c r="W79" i="3"/>
  <c r="V79" i="3"/>
  <c r="W81" i="3"/>
  <c r="V81" i="3"/>
  <c r="G576" i="4"/>
  <c r="P576" i="4" s="1"/>
  <c r="T459" i="4"/>
  <c r="F426" i="4"/>
  <c r="E426" i="4" s="1"/>
  <c r="I420" i="4"/>
  <c r="F444" i="4"/>
  <c r="E444" i="4" s="1"/>
  <c r="T450" i="4"/>
  <c r="AC450" i="4"/>
  <c r="AD450" i="4"/>
  <c r="AE462" i="4"/>
  <c r="BI104" i="4"/>
  <c r="BI105" i="4"/>
  <c r="BK103" i="4"/>
  <c r="BI103" i="4"/>
  <c r="BC103" i="4"/>
  <c r="F395" i="4"/>
  <c r="F393" i="4"/>
  <c r="F394" i="4"/>
  <c r="F392" i="4"/>
  <c r="F391" i="4"/>
  <c r="P582" i="4"/>
  <c r="F12" i="6"/>
  <c r="BI119" i="4"/>
  <c r="BK115" i="4"/>
  <c r="BI117" i="4"/>
  <c r="BI115" i="4"/>
  <c r="BC115" i="4"/>
  <c r="F456" i="4"/>
  <c r="P451" i="4"/>
  <c r="G456" i="4"/>
  <c r="P456" i="4" s="1"/>
  <c r="BM65" i="4"/>
  <c r="BM69" i="4"/>
  <c r="BM67" i="4"/>
  <c r="BN69" i="4"/>
  <c r="BN67" i="4"/>
  <c r="BN65" i="4"/>
  <c r="AJ338" i="4"/>
  <c r="AJ340" i="4"/>
  <c r="AJ339" i="4"/>
  <c r="AJ337" i="4"/>
  <c r="K337" i="4"/>
  <c r="K341" i="4"/>
  <c r="AJ341" i="4"/>
  <c r="AJ344" i="4"/>
  <c r="AJ346" i="4"/>
  <c r="AJ345" i="4"/>
  <c r="AJ347" i="4"/>
  <c r="AJ343" i="4"/>
  <c r="AJ380" i="4"/>
  <c r="AJ382" i="4"/>
  <c r="AJ381" i="4"/>
  <c r="AJ383" i="4"/>
  <c r="AJ379" i="4"/>
  <c r="T444" i="4"/>
  <c r="AT485" i="4"/>
  <c r="AW485" i="4" s="1"/>
  <c r="AJ357" i="4"/>
  <c r="AJ358" i="4"/>
  <c r="AJ355" i="4"/>
  <c r="AJ359" i="4"/>
  <c r="AJ356" i="4"/>
  <c r="AJ353" i="4"/>
  <c r="AJ349" i="4"/>
  <c r="AJ350" i="4"/>
  <c r="AJ352" i="4"/>
  <c r="AJ351" i="4"/>
  <c r="AJ389" i="4"/>
  <c r="AJ385" i="4"/>
  <c r="AJ386" i="4"/>
  <c r="AJ388" i="4"/>
  <c r="AJ387" i="4"/>
  <c r="J456" i="4"/>
  <c r="AT483" i="4"/>
  <c r="AW483" i="4" s="1"/>
  <c r="G486" i="4"/>
  <c r="P486" i="4" s="1"/>
  <c r="P481" i="4"/>
  <c r="F361" i="4"/>
  <c r="AJ365" i="4"/>
  <c r="AJ362" i="4"/>
  <c r="AJ361" i="4"/>
  <c r="V365" i="4"/>
  <c r="Q365" i="4"/>
  <c r="F365" i="4"/>
  <c r="L365" i="4" s="1"/>
  <c r="AB364" i="4"/>
  <c r="X364" i="4"/>
  <c r="T364" i="4"/>
  <c r="F364" i="4"/>
  <c r="AE362" i="4"/>
  <c r="AE361" i="4"/>
  <c r="R361" i="4"/>
  <c r="M361" i="4"/>
  <c r="H361" i="4"/>
  <c r="AJ363" i="4"/>
  <c r="Z365" i="4"/>
  <c r="U365" i="4"/>
  <c r="O365" i="4"/>
  <c r="J365" i="4"/>
  <c r="AE364" i="4"/>
  <c r="AD362" i="4"/>
  <c r="AD361" i="4"/>
  <c r="Z361" i="4"/>
  <c r="V361" i="4"/>
  <c r="Q361" i="4"/>
  <c r="L361" i="4"/>
  <c r="G361" i="4" s="1"/>
  <c r="Y365" i="4"/>
  <c r="AB365" i="4" s="1"/>
  <c r="N365" i="4"/>
  <c r="I365" i="4"/>
  <c r="AD364" i="4"/>
  <c r="AC362" i="4"/>
  <c r="G362" i="4"/>
  <c r="P362" i="4" s="1"/>
  <c r="AC361" i="4"/>
  <c r="Y361" i="4"/>
  <c r="U361" i="4"/>
  <c r="O361" i="4"/>
  <c r="J361" i="4"/>
  <c r="J366" i="4" s="1"/>
  <c r="K361" i="4"/>
  <c r="K365" i="4"/>
  <c r="AJ364" i="4"/>
  <c r="R365" i="4"/>
  <c r="M365" i="4"/>
  <c r="H365" i="4"/>
  <c r="G365" i="4" s="1"/>
  <c r="P365" i="4" s="1"/>
  <c r="AC364" i="4"/>
  <c r="G364" i="4"/>
  <c r="P364" i="4" s="1"/>
  <c r="F363" i="4"/>
  <c r="AC363" i="4" s="1"/>
  <c r="AB362" i="4"/>
  <c r="X362" i="4"/>
  <c r="T362" i="4"/>
  <c r="F362" i="4"/>
  <c r="AB361" i="4"/>
  <c r="X361" i="4"/>
  <c r="N361" i="4"/>
  <c r="I361" i="4"/>
  <c r="AD363" i="4"/>
  <c r="AB363" i="4"/>
  <c r="AD365" i="4"/>
  <c r="AE365" i="4"/>
  <c r="X365" i="4"/>
  <c r="T361" i="4"/>
  <c r="AE363" i="4"/>
  <c r="X363" i="4"/>
  <c r="G363" i="4"/>
  <c r="P363" i="4" s="1"/>
  <c r="T363" i="4"/>
  <c r="AJ374" i="4"/>
  <c r="AJ376" i="4"/>
  <c r="AJ375" i="4"/>
  <c r="AJ377" i="4"/>
  <c r="AJ373" i="4"/>
  <c r="K444" i="4"/>
  <c r="AK481" i="4"/>
  <c r="AN481" i="4" s="1"/>
  <c r="AX457" i="4"/>
  <c r="AX461" i="4"/>
  <c r="BB46" i="4"/>
  <c r="AK459" i="4"/>
  <c r="AT457" i="4"/>
  <c r="AB462" i="4"/>
  <c r="AD462" i="4"/>
  <c r="P493" i="4"/>
  <c r="G498" i="4"/>
  <c r="P498" i="4" s="1"/>
  <c r="L462" i="4"/>
  <c r="G461" i="4"/>
  <c r="P461" i="4" s="1"/>
  <c r="T461" i="4"/>
  <c r="AC462" i="4"/>
  <c r="T457" i="4"/>
  <c r="G457" i="4"/>
  <c r="H480" i="4"/>
  <c r="L474" i="4"/>
  <c r="H462" i="4"/>
  <c r="AB450" i="4"/>
  <c r="K456" i="4"/>
  <c r="K426" i="4"/>
  <c r="X450" i="4"/>
  <c r="I456" i="4"/>
  <c r="AT455" i="4"/>
  <c r="AW455" i="4"/>
  <c r="AW451" i="4"/>
  <c r="AT451" i="4"/>
  <c r="H427" i="4"/>
  <c r="H432" i="4" s="1"/>
  <c r="AV427" i="4"/>
  <c r="AU427" i="4"/>
  <c r="AE444" i="4"/>
  <c r="AU431" i="4"/>
  <c r="AV431" i="4"/>
  <c r="AW421" i="4"/>
  <c r="AT421" i="4"/>
  <c r="AU425" i="4"/>
  <c r="I426" i="4"/>
  <c r="AC420" i="4"/>
  <c r="AD420" i="4"/>
  <c r="AJ393" i="4"/>
  <c r="AJ394" i="4"/>
  <c r="AJ391" i="4"/>
  <c r="AJ395" i="4"/>
  <c r="AU395" i="4" s="1"/>
  <c r="AJ392" i="4"/>
  <c r="Y395" i="4"/>
  <c r="N395" i="4"/>
  <c r="I395" i="4"/>
  <c r="AC394" i="4"/>
  <c r="AD393" i="4"/>
  <c r="AE392" i="4"/>
  <c r="R391" i="4"/>
  <c r="M391" i="4"/>
  <c r="R395" i="4"/>
  <c r="M395" i="4"/>
  <c r="AB394" i="4"/>
  <c r="X394" i="4"/>
  <c r="T394" i="4"/>
  <c r="G394" i="4"/>
  <c r="P394" i="4" s="1"/>
  <c r="AC393" i="4"/>
  <c r="AD392" i="4"/>
  <c r="V391" i="4"/>
  <c r="Q391" i="4"/>
  <c r="K391" i="4"/>
  <c r="V395" i="4"/>
  <c r="Q395" i="4"/>
  <c r="K395" i="4"/>
  <c r="AE394" i="4"/>
  <c r="AB393" i="4"/>
  <c r="X393" i="4"/>
  <c r="T393" i="4"/>
  <c r="G393" i="4"/>
  <c r="P393" i="4" s="1"/>
  <c r="AC392" i="4"/>
  <c r="Z391" i="4"/>
  <c r="U391" i="4"/>
  <c r="O391" i="4"/>
  <c r="AV391" i="4" s="1"/>
  <c r="J391" i="4"/>
  <c r="Z395" i="4"/>
  <c r="U395" i="4"/>
  <c r="O395" i="4"/>
  <c r="J395" i="4"/>
  <c r="J396" i="4" s="1"/>
  <c r="AD394" i="4"/>
  <c r="AE393" i="4"/>
  <c r="AB392" i="4"/>
  <c r="X392" i="4"/>
  <c r="T392" i="4"/>
  <c r="G392" i="4"/>
  <c r="P392" i="4" s="1"/>
  <c r="Y391" i="4"/>
  <c r="N391" i="4"/>
  <c r="I391" i="4"/>
  <c r="AD395" i="4"/>
  <c r="AB391" i="4"/>
  <c r="AD391" i="4"/>
  <c r="AE391" i="4"/>
  <c r="X391" i="4"/>
  <c r="AC395" i="4"/>
  <c r="AX395" i="4" s="1"/>
  <c r="AC391" i="4"/>
  <c r="T391" i="4" s="1"/>
  <c r="X395" i="4"/>
  <c r="AE395" i="4"/>
  <c r="AB395" i="4"/>
  <c r="G391" i="4"/>
  <c r="T395" i="4"/>
  <c r="G395" i="4"/>
  <c r="P395" i="4" s="1"/>
  <c r="AU391" i="4"/>
  <c r="AJ370" i="4"/>
  <c r="AJ369" i="4"/>
  <c r="AJ371" i="4"/>
  <c r="AJ367" i="4"/>
  <c r="AJ368" i="4"/>
  <c r="F450" i="4"/>
  <c r="H450" i="4"/>
  <c r="AE450" i="4"/>
  <c r="J450" i="4"/>
  <c r="I450" i="4"/>
  <c r="X444" i="4"/>
  <c r="AC444" i="4"/>
  <c r="L450" i="4"/>
  <c r="H438" i="4"/>
  <c r="AD444" i="4"/>
  <c r="K450" i="4"/>
  <c r="P445" i="4"/>
  <c r="G450" i="4"/>
  <c r="P450" i="4" s="1"/>
  <c r="H444" i="4"/>
  <c r="X438" i="4"/>
  <c r="AB444" i="4"/>
  <c r="P439" i="4"/>
  <c r="G444" i="4"/>
  <c r="P444" i="4" s="1"/>
  <c r="I444" i="4"/>
  <c r="AD438" i="4"/>
  <c r="L444" i="4"/>
  <c r="J444" i="4"/>
  <c r="F438" i="4"/>
  <c r="E438" i="4" s="1"/>
  <c r="I438" i="4"/>
  <c r="AB438" i="4"/>
  <c r="AC438" i="4"/>
  <c r="L433" i="4"/>
  <c r="L438" i="4" s="1"/>
  <c r="J438" i="4"/>
  <c r="K438" i="4"/>
  <c r="P433" i="4"/>
  <c r="G438" i="4"/>
  <c r="P438" i="4" s="1"/>
  <c r="P431" i="4"/>
  <c r="F432" i="4"/>
  <c r="E432" i="4" s="1"/>
  <c r="L427" i="4"/>
  <c r="I432" i="4"/>
  <c r="T438" i="4"/>
  <c r="AE438" i="4"/>
  <c r="AB420" i="4"/>
  <c r="T420" i="4"/>
  <c r="H420" i="4"/>
  <c r="F420" i="4"/>
  <c r="E420" i="4" s="1"/>
  <c r="L419" i="4"/>
  <c r="X420" i="4"/>
  <c r="P415" i="4"/>
  <c r="G420" i="4"/>
  <c r="P420" i="4" s="1"/>
  <c r="J420" i="4"/>
  <c r="L415" i="4"/>
  <c r="K420" i="4"/>
  <c r="X414" i="4"/>
  <c r="AC414" i="4"/>
  <c r="F414" i="4"/>
  <c r="E414" i="4" s="1"/>
  <c r="H414" i="4"/>
  <c r="T414" i="4"/>
  <c r="AE414" i="4"/>
  <c r="AB414" i="4"/>
  <c r="P413" i="4"/>
  <c r="K414" i="4"/>
  <c r="L413" i="4"/>
  <c r="L414" i="4" s="1"/>
  <c r="I414" i="4"/>
  <c r="P409" i="4"/>
  <c r="G414" i="4"/>
  <c r="P414" i="4" s="1"/>
  <c r="J414" i="4"/>
  <c r="AE420" i="4"/>
  <c r="J408" i="4"/>
  <c r="F408" i="4"/>
  <c r="E408" i="4" s="1"/>
  <c r="X408" i="4"/>
  <c r="AC408" i="4"/>
  <c r="P403" i="4"/>
  <c r="G408" i="4"/>
  <c r="P408" i="4" s="1"/>
  <c r="K408" i="4"/>
  <c r="L403" i="4"/>
  <c r="L408" i="4" s="1"/>
  <c r="I408" i="4"/>
  <c r="H403" i="4"/>
  <c r="H408" i="4" s="1"/>
  <c r="AD414" i="4"/>
  <c r="K402" i="4"/>
  <c r="J402" i="4"/>
  <c r="F402" i="4"/>
  <c r="E402" i="4" s="1"/>
  <c r="I402" i="4"/>
  <c r="T408" i="4"/>
  <c r="AD408" i="4"/>
  <c r="AB408" i="4"/>
  <c r="AE408" i="4"/>
  <c r="Y389" i="4"/>
  <c r="N389" i="4"/>
  <c r="I389" i="4"/>
  <c r="AC388" i="4"/>
  <c r="AE387" i="4"/>
  <c r="F387" i="4"/>
  <c r="AB386" i="4"/>
  <c r="X386" i="4"/>
  <c r="T386" i="4"/>
  <c r="G386" i="4"/>
  <c r="P386" i="4" s="1"/>
  <c r="Y385" i="4"/>
  <c r="N385" i="4"/>
  <c r="I385" i="4"/>
  <c r="R389" i="4"/>
  <c r="M389" i="4"/>
  <c r="F389" i="4"/>
  <c r="L389" i="4" s="1"/>
  <c r="AB388" i="4"/>
  <c r="X388" i="4"/>
  <c r="T388" i="4"/>
  <c r="AD387" i="4"/>
  <c r="AE386" i="4"/>
  <c r="F386" i="4"/>
  <c r="R385" i="4"/>
  <c r="M385" i="4"/>
  <c r="F385" i="4"/>
  <c r="V389" i="4"/>
  <c r="Q389" i="4"/>
  <c r="K389" i="4"/>
  <c r="AE388" i="4"/>
  <c r="G388" i="4"/>
  <c r="P388" i="4" s="1"/>
  <c r="AC387" i="4"/>
  <c r="AD386" i="4"/>
  <c r="V385" i="4"/>
  <c r="Q385" i="4"/>
  <c r="K385" i="4"/>
  <c r="J385" i="4"/>
  <c r="Z389" i="4"/>
  <c r="U389" i="4"/>
  <c r="O389" i="4"/>
  <c r="J389" i="4"/>
  <c r="AD388" i="4"/>
  <c r="F388" i="4"/>
  <c r="AB387" i="4"/>
  <c r="X387" i="4"/>
  <c r="T387" i="4"/>
  <c r="G387" i="4"/>
  <c r="P387" i="4" s="1"/>
  <c r="AC386" i="4"/>
  <c r="Z385" i="4"/>
  <c r="U385" i="4"/>
  <c r="O385" i="4"/>
  <c r="L385" i="4"/>
  <c r="H385" i="4"/>
  <c r="AB389" i="4"/>
  <c r="AB385" i="4"/>
  <c r="G385" i="4"/>
  <c r="AE385" i="4"/>
  <c r="AD385" i="4"/>
  <c r="AC385" i="4"/>
  <c r="AD389" i="4"/>
  <c r="AC389" i="4"/>
  <c r="AE389" i="4"/>
  <c r="Z383" i="4"/>
  <c r="U383" i="4"/>
  <c r="O383" i="4"/>
  <c r="J383" i="4"/>
  <c r="AD382" i="4"/>
  <c r="AE381" i="4"/>
  <c r="F381" i="4"/>
  <c r="AB380" i="4"/>
  <c r="X380" i="4"/>
  <c r="T380" i="4"/>
  <c r="G380" i="4"/>
  <c r="P380" i="4" s="1"/>
  <c r="AC379" i="4"/>
  <c r="R379" i="4"/>
  <c r="M379" i="4"/>
  <c r="I379" i="4"/>
  <c r="R383" i="4"/>
  <c r="M383" i="4"/>
  <c r="F383" i="4"/>
  <c r="AD383" i="4" s="1"/>
  <c r="AB382" i="4"/>
  <c r="X382" i="4"/>
  <c r="T382" i="4"/>
  <c r="G382" i="4"/>
  <c r="P382" i="4" s="1"/>
  <c r="AC381" i="4"/>
  <c r="AD380" i="4"/>
  <c r="Z379" i="4"/>
  <c r="O379" i="4"/>
  <c r="F379" i="4"/>
  <c r="T381" i="4"/>
  <c r="G381" i="4"/>
  <c r="P381" i="4" s="1"/>
  <c r="N379" i="4"/>
  <c r="J379" i="4"/>
  <c r="Y383" i="4"/>
  <c r="N383" i="4"/>
  <c r="I383" i="4"/>
  <c r="AC382" i="4"/>
  <c r="AD381" i="4"/>
  <c r="AE380" i="4"/>
  <c r="F380" i="4"/>
  <c r="V379" i="4"/>
  <c r="Q379" i="4"/>
  <c r="L379" i="4"/>
  <c r="H379" i="4"/>
  <c r="AE379" i="4"/>
  <c r="U379" i="4"/>
  <c r="X379" i="4" s="1"/>
  <c r="K379" i="4"/>
  <c r="V383" i="4"/>
  <c r="Q383" i="4"/>
  <c r="K383" i="4"/>
  <c r="AE382" i="4"/>
  <c r="F382" i="4"/>
  <c r="AB381" i="4"/>
  <c r="X381" i="4"/>
  <c r="AC380" i="4"/>
  <c r="AD379" i="4"/>
  <c r="Y379" i="4"/>
  <c r="AB379" i="4"/>
  <c r="H383" i="4"/>
  <c r="AE383" i="4"/>
  <c r="AB383" i="4"/>
  <c r="T379" i="4"/>
  <c r="L383" i="4"/>
  <c r="L384" i="4" s="1"/>
  <c r="X383" i="4"/>
  <c r="G379" i="4"/>
  <c r="AC383" i="4"/>
  <c r="G383" i="4"/>
  <c r="P383" i="4" s="1"/>
  <c r="T383" i="4"/>
  <c r="U76" i="3"/>
  <c r="T385" i="4" s="1"/>
  <c r="K76" i="3"/>
  <c r="X76" i="3"/>
  <c r="X385" i="4" s="1"/>
  <c r="N76" i="3"/>
  <c r="V377" i="4"/>
  <c r="Q377" i="4"/>
  <c r="K377" i="4"/>
  <c r="AE376" i="4"/>
  <c r="F376" i="4"/>
  <c r="AB375" i="4"/>
  <c r="X375" i="4"/>
  <c r="T375" i="4"/>
  <c r="AD374" i="4"/>
  <c r="AE373" i="4"/>
  <c r="Y373" i="4"/>
  <c r="U373" i="4"/>
  <c r="O373" i="4"/>
  <c r="J373" i="4"/>
  <c r="F377" i="4"/>
  <c r="AE377" i="4" s="1"/>
  <c r="AB376" i="4"/>
  <c r="T376" i="4"/>
  <c r="AC375" i="4"/>
  <c r="AE374" i="4"/>
  <c r="F374" i="4"/>
  <c r="Q373" i="4"/>
  <c r="Z377" i="4"/>
  <c r="U377" i="4"/>
  <c r="O377" i="4"/>
  <c r="J377" i="4"/>
  <c r="AD376" i="4"/>
  <c r="AE375" i="4"/>
  <c r="G375" i="4"/>
  <c r="P375" i="4" s="1"/>
  <c r="AC374" i="4"/>
  <c r="AB373" i="4"/>
  <c r="X373" i="4"/>
  <c r="N373" i="4"/>
  <c r="I373" i="4"/>
  <c r="R377" i="4"/>
  <c r="M377" i="4"/>
  <c r="X376" i="4"/>
  <c r="G376" i="4"/>
  <c r="P376" i="4" s="1"/>
  <c r="V373" i="4"/>
  <c r="K373" i="4"/>
  <c r="Y377" i="4"/>
  <c r="N377" i="4"/>
  <c r="I377" i="4"/>
  <c r="AC376" i="4"/>
  <c r="AD375" i="4"/>
  <c r="F375" i="4"/>
  <c r="AB374" i="4"/>
  <c r="X374" i="4"/>
  <c r="T374" i="4"/>
  <c r="G374" i="4"/>
  <c r="P374" i="4" s="1"/>
  <c r="R373" i="4"/>
  <c r="M373" i="4"/>
  <c r="F373" i="4"/>
  <c r="AD373" i="4" s="1"/>
  <c r="Z373" i="4"/>
  <c r="AC373" i="4"/>
  <c r="T373" i="4" s="1"/>
  <c r="L373" i="4"/>
  <c r="AD377" i="4"/>
  <c r="X377" i="4"/>
  <c r="AC377" i="4"/>
  <c r="AB377" i="4"/>
  <c r="H377" i="4"/>
  <c r="H373" i="4"/>
  <c r="L377" i="4"/>
  <c r="G373" i="4"/>
  <c r="T377" i="4"/>
  <c r="G377" i="4"/>
  <c r="P377" i="4" s="1"/>
  <c r="Z371" i="4"/>
  <c r="U371" i="4"/>
  <c r="O371" i="4"/>
  <c r="J371" i="4"/>
  <c r="AD370" i="4"/>
  <c r="AE369" i="4"/>
  <c r="F369" i="4"/>
  <c r="AB368" i="4"/>
  <c r="X368" i="4"/>
  <c r="T368" i="4"/>
  <c r="G368" i="4"/>
  <c r="P368" i="4" s="1"/>
  <c r="Y367" i="4"/>
  <c r="U367" i="4"/>
  <c r="O367" i="4"/>
  <c r="K367" i="4"/>
  <c r="Q371" i="4"/>
  <c r="AE370" i="4"/>
  <c r="F370" i="4"/>
  <c r="AB369" i="4"/>
  <c r="X369" i="4"/>
  <c r="T369" i="4"/>
  <c r="G369" i="4"/>
  <c r="P369" i="4" s="1"/>
  <c r="AC368" i="4"/>
  <c r="V367" i="4"/>
  <c r="Y371" i="4"/>
  <c r="N371" i="4"/>
  <c r="I371" i="4"/>
  <c r="AC370" i="4"/>
  <c r="AD369" i="4"/>
  <c r="AE368" i="4"/>
  <c r="F368" i="4"/>
  <c r="N367" i="4"/>
  <c r="F367" i="4"/>
  <c r="H367" i="4" s="1"/>
  <c r="V371" i="4"/>
  <c r="K371" i="4"/>
  <c r="AD367" i="4"/>
  <c r="Q367" i="4"/>
  <c r="R371" i="4"/>
  <c r="M371" i="4"/>
  <c r="F371" i="4"/>
  <c r="AC371" i="4" s="1"/>
  <c r="AB370" i="4"/>
  <c r="X370" i="4"/>
  <c r="T370" i="4"/>
  <c r="G370" i="4"/>
  <c r="P370" i="4" s="1"/>
  <c r="AC369" i="4"/>
  <c r="AD368" i="4"/>
  <c r="R367" i="4"/>
  <c r="M367" i="4"/>
  <c r="J367" i="4"/>
  <c r="Z367" i="4"/>
  <c r="I367" i="4"/>
  <c r="AD371" i="4"/>
  <c r="H371" i="4"/>
  <c r="N18" i="7"/>
  <c r="J18" i="7"/>
  <c r="M18" i="7"/>
  <c r="I18" i="7"/>
  <c r="L18" i="7"/>
  <c r="C18" i="7"/>
  <c r="O18" i="7"/>
  <c r="K18" i="7"/>
  <c r="Z359" i="4"/>
  <c r="U359" i="4"/>
  <c r="O359" i="4"/>
  <c r="J359" i="4"/>
  <c r="AD358" i="4"/>
  <c r="F358" i="4"/>
  <c r="AB357" i="4"/>
  <c r="X357" i="4"/>
  <c r="T357" i="4"/>
  <c r="G357" i="4"/>
  <c r="P357" i="4" s="1"/>
  <c r="AC356" i="4"/>
  <c r="AD355" i="4"/>
  <c r="Z355" i="4"/>
  <c r="V355" i="4"/>
  <c r="Q355" i="4"/>
  <c r="F355" i="4"/>
  <c r="L355" i="4" s="1"/>
  <c r="Q359" i="4"/>
  <c r="AE355" i="4"/>
  <c r="R355" i="4"/>
  <c r="Y359" i="4"/>
  <c r="N359" i="4"/>
  <c r="I359" i="4"/>
  <c r="AC358" i="4"/>
  <c r="AE357" i="4"/>
  <c r="F357" i="4"/>
  <c r="AB356" i="4"/>
  <c r="X356" i="4"/>
  <c r="T356" i="4"/>
  <c r="G356" i="4"/>
  <c r="P356" i="4" s="1"/>
  <c r="AC355" i="4"/>
  <c r="Y355" i="4"/>
  <c r="U355" i="4"/>
  <c r="O355" i="4"/>
  <c r="K360" i="4"/>
  <c r="M355" i="4"/>
  <c r="R359" i="4"/>
  <c r="M359" i="4"/>
  <c r="F359" i="4"/>
  <c r="AE359" i="4" s="1"/>
  <c r="AB358" i="4"/>
  <c r="X358" i="4"/>
  <c r="T358" i="4"/>
  <c r="AD357" i="4"/>
  <c r="AE356" i="4"/>
  <c r="F356" i="4"/>
  <c r="AB355" i="4"/>
  <c r="X355" i="4"/>
  <c r="N355" i="4"/>
  <c r="J355" i="4"/>
  <c r="V359" i="4"/>
  <c r="AE358" i="4"/>
  <c r="G358" i="4"/>
  <c r="P358" i="4" s="1"/>
  <c r="AC357" i="4"/>
  <c r="AD356" i="4"/>
  <c r="I355" i="4"/>
  <c r="H359" i="4"/>
  <c r="AD359" i="4"/>
  <c r="AB359" i="4"/>
  <c r="L359" i="4"/>
  <c r="T355" i="4"/>
  <c r="X359" i="4"/>
  <c r="AC359" i="4"/>
  <c r="G355" i="4"/>
  <c r="P355" i="4" s="1"/>
  <c r="T359" i="4"/>
  <c r="G359" i="4"/>
  <c r="P359" i="4" s="1"/>
  <c r="Y353" i="4"/>
  <c r="AB353" i="4" s="1"/>
  <c r="N353" i="4"/>
  <c r="I353" i="4"/>
  <c r="AD352" i="4"/>
  <c r="AE351" i="4"/>
  <c r="F351" i="4"/>
  <c r="AB350" i="4"/>
  <c r="X350" i="4"/>
  <c r="T350" i="4"/>
  <c r="G350" i="4"/>
  <c r="P350" i="4" s="1"/>
  <c r="AC349" i="4"/>
  <c r="Q349" i="4"/>
  <c r="H349" i="4"/>
  <c r="O349" i="4"/>
  <c r="F349" i="4"/>
  <c r="L349" i="4" s="1"/>
  <c r="U353" i="4"/>
  <c r="X353" i="4" s="1"/>
  <c r="AE352" i="4"/>
  <c r="F352" i="4"/>
  <c r="AB351" i="4"/>
  <c r="X351" i="4"/>
  <c r="Y349" i="4"/>
  <c r="AB349" i="4" s="1"/>
  <c r="R349" i="4"/>
  <c r="R353" i="4"/>
  <c r="M353" i="4"/>
  <c r="AC352" i="4"/>
  <c r="AD351" i="4"/>
  <c r="AE350" i="4"/>
  <c r="F350" i="4"/>
  <c r="V349" i="4"/>
  <c r="O353" i="4"/>
  <c r="T351" i="4"/>
  <c r="G351" i="4"/>
  <c r="P351" i="4" s="1"/>
  <c r="AD349" i="4"/>
  <c r="M349" i="4"/>
  <c r="V353" i="4"/>
  <c r="Q353" i="4"/>
  <c r="F353" i="4"/>
  <c r="AE353" i="4" s="1"/>
  <c r="AB352" i="4"/>
  <c r="X352" i="4"/>
  <c r="T352" i="4"/>
  <c r="G352" i="4"/>
  <c r="P352" i="4" s="1"/>
  <c r="AC351" i="4"/>
  <c r="AD350" i="4"/>
  <c r="AE349" i="4"/>
  <c r="Z349" i="4"/>
  <c r="U349" i="4"/>
  <c r="X349" i="4" s="1"/>
  <c r="N349" i="4"/>
  <c r="J349" i="4"/>
  <c r="Z353" i="4"/>
  <c r="J353" i="4"/>
  <c r="AC350" i="4"/>
  <c r="I349" i="4"/>
  <c r="AC353" i="4"/>
  <c r="AD353" i="4"/>
  <c r="T349" i="4"/>
  <c r="G349" i="4"/>
  <c r="P349" i="4" s="1"/>
  <c r="G353" i="4"/>
  <c r="T353" i="4"/>
  <c r="V347" i="4"/>
  <c r="Q347" i="4"/>
  <c r="AE346" i="4"/>
  <c r="F346" i="4"/>
  <c r="AB345" i="4"/>
  <c r="X345" i="4"/>
  <c r="T345" i="4"/>
  <c r="G345" i="4"/>
  <c r="P345" i="4" s="1"/>
  <c r="AC344" i="4"/>
  <c r="AE343" i="4"/>
  <c r="Z343" i="4"/>
  <c r="J343" i="4"/>
  <c r="Z347" i="4"/>
  <c r="U347" i="4"/>
  <c r="O347" i="4"/>
  <c r="J347" i="4"/>
  <c r="AD346" i="4"/>
  <c r="AE345" i="4"/>
  <c r="F345" i="4"/>
  <c r="AB344" i="4"/>
  <c r="X344" i="4"/>
  <c r="T344" i="4"/>
  <c r="AD343" i="4"/>
  <c r="Y343" i="4"/>
  <c r="N343" i="4"/>
  <c r="K348" i="4"/>
  <c r="Y347" i="4"/>
  <c r="N347" i="4"/>
  <c r="I347" i="4"/>
  <c r="AC346" i="4"/>
  <c r="AD345" i="4"/>
  <c r="AE344" i="4"/>
  <c r="G344" i="4"/>
  <c r="P344" i="4" s="1"/>
  <c r="AC343" i="4"/>
  <c r="R343" i="4"/>
  <c r="M343" i="4"/>
  <c r="I343" i="4"/>
  <c r="I348" i="4" s="1"/>
  <c r="R347" i="4"/>
  <c r="M347" i="4"/>
  <c r="F347" i="4"/>
  <c r="AE347" i="4" s="1"/>
  <c r="AB346" i="4"/>
  <c r="X346" i="4"/>
  <c r="T346" i="4"/>
  <c r="G346" i="4"/>
  <c r="P346" i="4" s="1"/>
  <c r="AC345" i="4"/>
  <c r="AD344" i="4"/>
  <c r="F344" i="4"/>
  <c r="V343" i="4"/>
  <c r="Q343" i="4"/>
  <c r="H343" i="4"/>
  <c r="U343" i="4"/>
  <c r="O343" i="4"/>
  <c r="F343" i="4"/>
  <c r="L343" i="4" s="1"/>
  <c r="X343" i="4"/>
  <c r="H347" i="4"/>
  <c r="X347" i="4"/>
  <c r="T343" i="4"/>
  <c r="AB343" i="4"/>
  <c r="AB347" i="4"/>
  <c r="G343" i="4"/>
  <c r="AC347" i="4"/>
  <c r="L347" i="4"/>
  <c r="AD347" i="4"/>
  <c r="T347" i="4"/>
  <c r="G347" i="4"/>
  <c r="V341" i="4"/>
  <c r="Q341" i="4"/>
  <c r="AD340" i="4"/>
  <c r="AE339" i="4"/>
  <c r="AB338" i="4"/>
  <c r="T338" i="4"/>
  <c r="R337" i="4"/>
  <c r="Q337" i="4"/>
  <c r="Z341" i="4"/>
  <c r="U341" i="4"/>
  <c r="O341" i="4"/>
  <c r="J341" i="4"/>
  <c r="AC340" i="4"/>
  <c r="AE338" i="4"/>
  <c r="F338" i="4"/>
  <c r="Y341" i="4"/>
  <c r="N341" i="4"/>
  <c r="F341" i="4"/>
  <c r="AB340" i="4"/>
  <c r="X340" i="4"/>
  <c r="T340" i="4"/>
  <c r="G340" i="4"/>
  <c r="P340" i="4" s="1"/>
  <c r="AC339" i="4"/>
  <c r="AD338" i="4"/>
  <c r="Z337" i="4"/>
  <c r="U337" i="4"/>
  <c r="O337" i="4"/>
  <c r="F337" i="4"/>
  <c r="AD337" i="4" s="1"/>
  <c r="X338" i="4"/>
  <c r="M337" i="4"/>
  <c r="AD339" i="4"/>
  <c r="L337" i="4"/>
  <c r="I341" i="4"/>
  <c r="R341" i="4"/>
  <c r="M341" i="4"/>
  <c r="AE340" i="4"/>
  <c r="F340" i="4"/>
  <c r="AB339" i="4"/>
  <c r="X339" i="4"/>
  <c r="T339" i="4"/>
  <c r="G339" i="4"/>
  <c r="P339" i="4" s="1"/>
  <c r="AC338" i="4"/>
  <c r="Y337" i="4"/>
  <c r="AB337" i="4" s="1"/>
  <c r="N337" i="4"/>
  <c r="J337" i="4"/>
  <c r="F339" i="4"/>
  <c r="G338" i="4"/>
  <c r="P338" i="4" s="1"/>
  <c r="I337" i="4"/>
  <c r="V337" i="4"/>
  <c r="AE341" i="4"/>
  <c r="H341" i="4"/>
  <c r="K77" i="3"/>
  <c r="N77" i="3"/>
  <c r="E450" i="4"/>
  <c r="AB558" i="4"/>
  <c r="V77" i="3" l="1"/>
  <c r="W77" i="3"/>
  <c r="V76" i="3"/>
  <c r="W76" i="3"/>
  <c r="F18" i="7"/>
  <c r="E18" i="7"/>
  <c r="H18" i="7"/>
  <c r="D18" i="7"/>
  <c r="G18" i="7"/>
  <c r="BK119" i="4"/>
  <c r="BJ119" i="4" s="1"/>
  <c r="BK105" i="4"/>
  <c r="BJ105" i="4"/>
  <c r="BI120" i="4"/>
  <c r="BJ115" i="4"/>
  <c r="BK104" i="4"/>
  <c r="BJ104" i="4" s="1"/>
  <c r="F366" i="4"/>
  <c r="E366" i="4" s="1"/>
  <c r="BK117" i="4"/>
  <c r="BJ117" i="4" s="1"/>
  <c r="F396" i="4"/>
  <c r="E396" i="4" s="1"/>
  <c r="BJ103" i="4"/>
  <c r="BI108" i="4"/>
  <c r="F348" i="4"/>
  <c r="E348" i="4" s="1"/>
  <c r="I390" i="4"/>
  <c r="F354" i="4"/>
  <c r="E354" i="4" s="1"/>
  <c r="F384" i="4"/>
  <c r="E384" i="4" s="1"/>
  <c r="I366" i="4"/>
  <c r="P391" i="4"/>
  <c r="G396" i="4"/>
  <c r="P396" i="4" s="1"/>
  <c r="AB360" i="4"/>
  <c r="I396" i="4"/>
  <c r="BN70" i="4"/>
  <c r="AU361" i="4"/>
  <c r="K366" i="4"/>
  <c r="L366" i="4"/>
  <c r="H366" i="4"/>
  <c r="AV361" i="4"/>
  <c r="BM70" i="4"/>
  <c r="L341" i="4"/>
  <c r="L342" i="4" s="1"/>
  <c r="AV341" i="4"/>
  <c r="AU341" i="4"/>
  <c r="AT341" i="4" s="1"/>
  <c r="AW341" i="4" s="1"/>
  <c r="AC365" i="4"/>
  <c r="T365" i="4" s="1"/>
  <c r="AV365" i="4"/>
  <c r="AU365" i="4"/>
  <c r="K396" i="4"/>
  <c r="H337" i="4"/>
  <c r="H342" i="4" s="1"/>
  <c r="AV337" i="4"/>
  <c r="AC360" i="4"/>
  <c r="J390" i="4"/>
  <c r="P361" i="4"/>
  <c r="G366" i="4"/>
  <c r="P366" i="4" s="1"/>
  <c r="AU337" i="4"/>
  <c r="T462" i="4"/>
  <c r="AN459" i="4"/>
  <c r="AW457" i="4"/>
  <c r="P457" i="4"/>
  <c r="G462" i="4"/>
  <c r="P462" i="4" s="1"/>
  <c r="AT427" i="4"/>
  <c r="AW427" i="4"/>
  <c r="AW431" i="4"/>
  <c r="AT431" i="4"/>
  <c r="AW425" i="4"/>
  <c r="AT425" i="4"/>
  <c r="L420" i="4"/>
  <c r="AB390" i="4"/>
  <c r="AW395" i="4"/>
  <c r="AT391" i="4"/>
  <c r="AW391" i="4" s="1"/>
  <c r="AE390" i="4"/>
  <c r="AV395" i="4"/>
  <c r="AT395" i="4" s="1"/>
  <c r="P77" i="3"/>
  <c r="X77" i="3" s="1"/>
  <c r="AY395" i="4"/>
  <c r="AY391" i="4"/>
  <c r="M77" i="3"/>
  <c r="U77" i="3" s="1"/>
  <c r="AX391" i="4"/>
  <c r="L432" i="4"/>
  <c r="G427" i="4"/>
  <c r="G371" i="4"/>
  <c r="P371" i="4" s="1"/>
  <c r="X371" i="4"/>
  <c r="AE371" i="4"/>
  <c r="F372" i="4"/>
  <c r="E372" i="4" s="1"/>
  <c r="AB371" i="4"/>
  <c r="L371" i="4"/>
  <c r="T371" i="4"/>
  <c r="AC367" i="4"/>
  <c r="T367" i="4" s="1"/>
  <c r="AE367" i="4"/>
  <c r="X367" i="4"/>
  <c r="AB367" i="4"/>
  <c r="AC390" i="4"/>
  <c r="K390" i="4"/>
  <c r="H389" i="4"/>
  <c r="G389" i="4" s="1"/>
  <c r="P389" i="4" s="1"/>
  <c r="F390" i="4"/>
  <c r="E390" i="4" s="1"/>
  <c r="P385" i="4"/>
  <c r="AB384" i="4"/>
  <c r="AD390" i="4"/>
  <c r="L390" i="4"/>
  <c r="T389" i="4"/>
  <c r="T390" i="4" s="1"/>
  <c r="H384" i="4"/>
  <c r="X389" i="4"/>
  <c r="X390" i="4" s="1"/>
  <c r="X384" i="4"/>
  <c r="AE384" i="4"/>
  <c r="AC384" i="4"/>
  <c r="J384" i="4"/>
  <c r="I384" i="4"/>
  <c r="K384" i="4"/>
  <c r="AD384" i="4"/>
  <c r="L378" i="4"/>
  <c r="P379" i="4"/>
  <c r="G384" i="4"/>
  <c r="P384" i="4" s="1"/>
  <c r="I378" i="4"/>
  <c r="F378" i="4"/>
  <c r="E378" i="4" s="1"/>
  <c r="H378" i="4"/>
  <c r="P373" i="4"/>
  <c r="G378" i="4"/>
  <c r="P378" i="4" s="1"/>
  <c r="K378" i="4"/>
  <c r="J378" i="4"/>
  <c r="T384" i="4"/>
  <c r="K372" i="4"/>
  <c r="H372" i="4"/>
  <c r="J372" i="4"/>
  <c r="L367" i="4"/>
  <c r="I372" i="4"/>
  <c r="G341" i="4"/>
  <c r="P341" i="4" s="1"/>
  <c r="I342" i="4"/>
  <c r="AC341" i="4"/>
  <c r="AD341" i="4"/>
  <c r="T341" i="4" s="1"/>
  <c r="X341" i="4"/>
  <c r="AB341" i="4"/>
  <c r="AB342" i="4" s="1"/>
  <c r="X337" i="4"/>
  <c r="AE337" i="4"/>
  <c r="AC337" i="4"/>
  <c r="AE360" i="4"/>
  <c r="AD360" i="4"/>
  <c r="I360" i="4"/>
  <c r="J360" i="4"/>
  <c r="F360" i="4"/>
  <c r="E360" i="4" s="1"/>
  <c r="G360" i="4"/>
  <c r="P360" i="4" s="1"/>
  <c r="L360" i="4"/>
  <c r="H355" i="4"/>
  <c r="H360" i="4" s="1"/>
  <c r="J354" i="4"/>
  <c r="K354" i="4"/>
  <c r="X354" i="4"/>
  <c r="AC354" i="4"/>
  <c r="AB354" i="4"/>
  <c r="L353" i="4"/>
  <c r="L354" i="4" s="1"/>
  <c r="I354" i="4"/>
  <c r="G354" i="4"/>
  <c r="P354" i="4" s="1"/>
  <c r="P353" i="4"/>
  <c r="H353" i="4"/>
  <c r="H354" i="4" s="1"/>
  <c r="X360" i="4"/>
  <c r="T360" i="4"/>
  <c r="H348" i="4"/>
  <c r="J348" i="4"/>
  <c r="L348" i="4"/>
  <c r="P347" i="4"/>
  <c r="P343" i="4"/>
  <c r="G348" i="4"/>
  <c r="P348" i="4" s="1"/>
  <c r="J342" i="4"/>
  <c r="AD354" i="4"/>
  <c r="T354" i="4"/>
  <c r="AE354" i="4"/>
  <c r="K342" i="4"/>
  <c r="F342" i="4"/>
  <c r="E342" i="4" s="1"/>
  <c r="AD348" i="4"/>
  <c r="AE348" i="4"/>
  <c r="X348" i="4"/>
  <c r="AC348" i="4"/>
  <c r="AB366" i="4"/>
  <c r="AB348" i="4"/>
  <c r="X396" i="4"/>
  <c r="AB396" i="4"/>
  <c r="AC396" i="4"/>
  <c r="AE396" i="4"/>
  <c r="AD396" i="4"/>
  <c r="AB378" i="4"/>
  <c r="X366" i="4"/>
  <c r="BJ108" i="4" l="1"/>
  <c r="BK108" i="4" s="1"/>
  <c r="L12" i="6"/>
  <c r="N12" i="6" s="1"/>
  <c r="BK120" i="4"/>
  <c r="BJ120" i="4"/>
  <c r="M12" i="6" s="1"/>
  <c r="AT361" i="4"/>
  <c r="AW361" i="4" s="1"/>
  <c r="X342" i="4"/>
  <c r="G337" i="4"/>
  <c r="G342" i="4" s="1"/>
  <c r="P342" i="4" s="1"/>
  <c r="AT337" i="4"/>
  <c r="BB52" i="4"/>
  <c r="AT365" i="4"/>
  <c r="AW365" i="4" s="1"/>
  <c r="L372" i="4"/>
  <c r="P427" i="4"/>
  <c r="G432" i="4"/>
  <c r="P432" i="4" s="1"/>
  <c r="G367" i="4"/>
  <c r="G390" i="4"/>
  <c r="P390" i="4" s="1"/>
  <c r="H390" i="4"/>
  <c r="T337" i="4"/>
  <c r="AD342" i="4"/>
  <c r="AD366" i="4"/>
  <c r="AE342" i="4"/>
  <c r="AC366" i="4"/>
  <c r="AE366" i="4"/>
  <c r="AC342" i="4"/>
  <c r="T396" i="4"/>
  <c r="C331" i="4"/>
  <c r="C325" i="4"/>
  <c r="C319" i="4"/>
  <c r="C313" i="4"/>
  <c r="C307" i="4"/>
  <c r="P337" i="4" l="1"/>
  <c r="AJ320" i="4"/>
  <c r="AJ323" i="4"/>
  <c r="AJ321" i="4"/>
  <c r="AJ322" i="4"/>
  <c r="AJ319" i="4"/>
  <c r="AW337" i="4"/>
  <c r="BC52" i="4"/>
  <c r="AJ334" i="4"/>
  <c r="AJ333" i="4"/>
  <c r="AJ335" i="4"/>
  <c r="AJ331" i="4"/>
  <c r="AJ332" i="4"/>
  <c r="AJ326" i="4"/>
  <c r="AJ328" i="4"/>
  <c r="AJ327" i="4"/>
  <c r="AJ329" i="4"/>
  <c r="AJ325" i="4"/>
  <c r="AJ308" i="4"/>
  <c r="AJ310" i="4"/>
  <c r="AJ309" i="4"/>
  <c r="AJ307" i="4"/>
  <c r="AJ311" i="4"/>
  <c r="AJ316" i="4"/>
  <c r="AJ314" i="4"/>
  <c r="AJ317" i="4"/>
  <c r="AJ313" i="4"/>
  <c r="AJ315" i="4"/>
  <c r="P367" i="4"/>
  <c r="G372" i="4"/>
  <c r="P372" i="4" s="1"/>
  <c r="R335" i="4"/>
  <c r="M335" i="4"/>
  <c r="F335" i="4"/>
  <c r="L335" i="4" s="1"/>
  <c r="AB334" i="4"/>
  <c r="X334" i="4"/>
  <c r="T334" i="4"/>
  <c r="G334" i="4"/>
  <c r="P334" i="4" s="1"/>
  <c r="AC333" i="4"/>
  <c r="AD332" i="4"/>
  <c r="R331" i="4"/>
  <c r="M331" i="4"/>
  <c r="I331" i="4"/>
  <c r="N335" i="4"/>
  <c r="F332" i="4"/>
  <c r="N331" i="4"/>
  <c r="V335" i="4"/>
  <c r="Q335" i="4"/>
  <c r="K335" i="4"/>
  <c r="AE334" i="4"/>
  <c r="F334" i="4"/>
  <c r="AB333" i="4"/>
  <c r="X333" i="4"/>
  <c r="T333" i="4"/>
  <c r="G333" i="4"/>
  <c r="P333" i="4" s="1"/>
  <c r="AC332" i="4"/>
  <c r="Z331" i="4"/>
  <c r="V331" i="4"/>
  <c r="Q331" i="4"/>
  <c r="I335" i="4"/>
  <c r="AD333" i="4"/>
  <c r="AE332" i="4"/>
  <c r="Z335" i="4"/>
  <c r="U335" i="4"/>
  <c r="O335" i="4"/>
  <c r="J335" i="4"/>
  <c r="AD334" i="4"/>
  <c r="AE333" i="4"/>
  <c r="F333" i="4"/>
  <c r="AB332" i="4"/>
  <c r="X332" i="4"/>
  <c r="T332" i="4"/>
  <c r="G332" i="4"/>
  <c r="P332" i="4" s="1"/>
  <c r="Y331" i="4"/>
  <c r="U331" i="4"/>
  <c r="O331" i="4"/>
  <c r="K331" i="4"/>
  <c r="K336" i="4" s="1"/>
  <c r="F331" i="4"/>
  <c r="Y335" i="4"/>
  <c r="AC334" i="4"/>
  <c r="J331" i="4"/>
  <c r="AD335" i="4"/>
  <c r="F327" i="4"/>
  <c r="Z329" i="4"/>
  <c r="U329" i="4"/>
  <c r="O329" i="4"/>
  <c r="J329" i="4"/>
  <c r="AD328" i="4"/>
  <c r="AE327" i="4"/>
  <c r="AE326" i="4"/>
  <c r="AE325" i="4"/>
  <c r="R325" i="4"/>
  <c r="M325" i="4"/>
  <c r="I325" i="4"/>
  <c r="Q329" i="4"/>
  <c r="AE328" i="4"/>
  <c r="AB327" i="4"/>
  <c r="AB325" i="4"/>
  <c r="F326" i="4"/>
  <c r="Y329" i="4"/>
  <c r="N329" i="4"/>
  <c r="I329" i="4"/>
  <c r="I330" i="4" s="1"/>
  <c r="AC328" i="4"/>
  <c r="AD327" i="4"/>
  <c r="AD326" i="4"/>
  <c r="AD325" i="4"/>
  <c r="Z325" i="4"/>
  <c r="V325" i="4"/>
  <c r="Q325" i="4"/>
  <c r="F328" i="4"/>
  <c r="V329" i="4"/>
  <c r="K329" i="4"/>
  <c r="G328" i="4"/>
  <c r="P328" i="4" s="1"/>
  <c r="T327" i="4"/>
  <c r="X326" i="4"/>
  <c r="N325" i="4"/>
  <c r="F329" i="4"/>
  <c r="F325" i="4"/>
  <c r="H325" i="4" s="1"/>
  <c r="R329" i="4"/>
  <c r="M329" i="4"/>
  <c r="AC329" i="4"/>
  <c r="AB328" i="4"/>
  <c r="X328" i="4"/>
  <c r="T328" i="4"/>
  <c r="AC327" i="4"/>
  <c r="AC326" i="4"/>
  <c r="AC325" i="4"/>
  <c r="Y325" i="4"/>
  <c r="U325" i="4"/>
  <c r="O325" i="4"/>
  <c r="K325" i="4"/>
  <c r="X327" i="4"/>
  <c r="G327" i="4"/>
  <c r="P327" i="4" s="1"/>
  <c r="AB326" i="4"/>
  <c r="T326" i="4"/>
  <c r="G326" i="4"/>
  <c r="P326" i="4" s="1"/>
  <c r="X325" i="4"/>
  <c r="J325" i="4"/>
  <c r="H329" i="4"/>
  <c r="T325" i="4"/>
  <c r="G325" i="4"/>
  <c r="AE329" i="4"/>
  <c r="AB329" i="4"/>
  <c r="L329" i="4"/>
  <c r="AD329" i="4"/>
  <c r="X329" i="4"/>
  <c r="G329" i="4"/>
  <c r="T329" i="4"/>
  <c r="F322" i="4"/>
  <c r="F320" i="4"/>
  <c r="AC323" i="4"/>
  <c r="R323" i="4"/>
  <c r="M323" i="4"/>
  <c r="I323" i="4"/>
  <c r="AC322" i="4"/>
  <c r="AB321" i="4"/>
  <c r="X321" i="4"/>
  <c r="T321" i="4"/>
  <c r="AE320" i="4"/>
  <c r="AD319" i="4"/>
  <c r="Y319" i="4"/>
  <c r="N319" i="4"/>
  <c r="J319" i="4"/>
  <c r="F319" i="4"/>
  <c r="H323" i="4"/>
  <c r="X322" i="4"/>
  <c r="AD320" i="4"/>
  <c r="AC319" i="4"/>
  <c r="R319" i="4"/>
  <c r="F323" i="4"/>
  <c r="L323" i="4" s="1"/>
  <c r="F321" i="4"/>
  <c r="AE323" i="4"/>
  <c r="Z323" i="4"/>
  <c r="U323" i="4"/>
  <c r="O323" i="4"/>
  <c r="K323" i="4"/>
  <c r="AE322" i="4"/>
  <c r="AD321" i="4"/>
  <c r="AC320" i="4"/>
  <c r="V319" i="4"/>
  <c r="Q319" i="4"/>
  <c r="L319" i="4"/>
  <c r="L324" i="4" s="1"/>
  <c r="H319" i="4"/>
  <c r="G321" i="4"/>
  <c r="P321" i="4" s="1"/>
  <c r="V323" i="4"/>
  <c r="Q323" i="4"/>
  <c r="AB322" i="4"/>
  <c r="T322" i="4"/>
  <c r="AE321" i="4"/>
  <c r="M319" i="4"/>
  <c r="G322" i="4"/>
  <c r="P322" i="4" s="1"/>
  <c r="G320" i="4"/>
  <c r="P320" i="4" s="1"/>
  <c r="AD323" i="4"/>
  <c r="Y323" i="4"/>
  <c r="N323" i="4"/>
  <c r="J323" i="4"/>
  <c r="AD322" i="4"/>
  <c r="AC321" i="4"/>
  <c r="AB320" i="4"/>
  <c r="X320" i="4"/>
  <c r="T320" i="4"/>
  <c r="AE319" i="4"/>
  <c r="Z319" i="4"/>
  <c r="U319" i="4"/>
  <c r="O319" i="4"/>
  <c r="K319" i="4"/>
  <c r="I319" i="4"/>
  <c r="X319" i="4"/>
  <c r="T323" i="4"/>
  <c r="X323" i="4"/>
  <c r="T319" i="4"/>
  <c r="AB319" i="4"/>
  <c r="G323" i="4"/>
  <c r="G319" i="4"/>
  <c r="AB323" i="4"/>
  <c r="R317" i="4"/>
  <c r="M317" i="4"/>
  <c r="F317" i="4"/>
  <c r="AE317" i="4" s="1"/>
  <c r="AB316" i="4"/>
  <c r="X316" i="4"/>
  <c r="T316" i="4"/>
  <c r="G316" i="4"/>
  <c r="P316" i="4" s="1"/>
  <c r="AC315" i="4"/>
  <c r="AE314" i="4"/>
  <c r="F314" i="4"/>
  <c r="Y313" i="4"/>
  <c r="N313" i="4"/>
  <c r="I313" i="4"/>
  <c r="AE313" i="4"/>
  <c r="R313" i="4"/>
  <c r="J317" i="4"/>
  <c r="AE315" i="4"/>
  <c r="V313" i="4"/>
  <c r="K313" i="4"/>
  <c r="AC316" i="4"/>
  <c r="AD315" i="4"/>
  <c r="AB314" i="4"/>
  <c r="T314" i="4"/>
  <c r="Z313" i="4"/>
  <c r="O313" i="4"/>
  <c r="V317" i="4"/>
  <c r="Q317" i="4"/>
  <c r="K317" i="4"/>
  <c r="AE316" i="4"/>
  <c r="F316" i="4"/>
  <c r="AB315" i="4"/>
  <c r="X315" i="4"/>
  <c r="T315" i="4"/>
  <c r="AD314" i="4"/>
  <c r="M313" i="4"/>
  <c r="Z317" i="4"/>
  <c r="U317" i="4"/>
  <c r="O317" i="4"/>
  <c r="AD316" i="4"/>
  <c r="G315" i="4"/>
  <c r="P315" i="4" s="1"/>
  <c r="AC314" i="4"/>
  <c r="Q313" i="4"/>
  <c r="F313" i="4"/>
  <c r="AD313" i="4" s="1"/>
  <c r="Y317" i="4"/>
  <c r="N317" i="4"/>
  <c r="I317" i="4"/>
  <c r="F315" i="4"/>
  <c r="X314" i="4"/>
  <c r="G314" i="4"/>
  <c r="P314" i="4" s="1"/>
  <c r="U313" i="4"/>
  <c r="J313" i="4"/>
  <c r="AB313" i="4"/>
  <c r="AD317" i="4"/>
  <c r="AB317" i="4"/>
  <c r="X313" i="4"/>
  <c r="H317" i="4"/>
  <c r="AC317" i="4"/>
  <c r="AC313" i="4"/>
  <c r="T313" i="4" s="1"/>
  <c r="X317" i="4"/>
  <c r="T317" i="4"/>
  <c r="G317" i="4"/>
  <c r="P317" i="4" s="1"/>
  <c r="G313" i="4"/>
  <c r="N311" i="4"/>
  <c r="AC310" i="4"/>
  <c r="T308" i="4"/>
  <c r="R307" i="4"/>
  <c r="F308" i="4"/>
  <c r="AC309" i="4"/>
  <c r="U307" i="4"/>
  <c r="R311" i="4"/>
  <c r="M311" i="4"/>
  <c r="F311" i="4"/>
  <c r="AB310" i="4"/>
  <c r="X310" i="4"/>
  <c r="T310" i="4"/>
  <c r="AD309" i="4"/>
  <c r="AE308" i="4"/>
  <c r="V307" i="4"/>
  <c r="G310" i="4"/>
  <c r="P310" i="4" s="1"/>
  <c r="AD308" i="4"/>
  <c r="O307" i="4"/>
  <c r="V311" i="4"/>
  <c r="Q311" i="4"/>
  <c r="K311" i="4"/>
  <c r="K307" i="4"/>
  <c r="Z311" i="4"/>
  <c r="U311" i="4"/>
  <c r="O311" i="4"/>
  <c r="J311" i="4"/>
  <c r="AD310" i="4"/>
  <c r="F310" i="4"/>
  <c r="AB309" i="4"/>
  <c r="X309" i="4"/>
  <c r="T309" i="4"/>
  <c r="G309" i="4"/>
  <c r="P309" i="4" s="1"/>
  <c r="AC308" i="4"/>
  <c r="Y307" i="4"/>
  <c r="N307" i="4"/>
  <c r="J307" i="4"/>
  <c r="Y311" i="4"/>
  <c r="I311" i="4"/>
  <c r="AE309" i="4"/>
  <c r="F309" i="4"/>
  <c r="AB308" i="4"/>
  <c r="X308" i="4"/>
  <c r="G308" i="4"/>
  <c r="P308" i="4" s="1"/>
  <c r="M307" i="4"/>
  <c r="I307" i="4"/>
  <c r="Q307" i="4"/>
  <c r="AE310" i="4"/>
  <c r="Z307" i="4"/>
  <c r="AB307" i="4" s="1"/>
  <c r="F307" i="4"/>
  <c r="X307" i="4"/>
  <c r="O17" i="7"/>
  <c r="K17" i="7"/>
  <c r="J17" i="7"/>
  <c r="N17" i="7"/>
  <c r="M17" i="7"/>
  <c r="I17" i="7"/>
  <c r="C17" i="7"/>
  <c r="L17" i="7"/>
  <c r="T342" i="4"/>
  <c r="T366" i="4"/>
  <c r="H330" i="4" l="1"/>
  <c r="J336" i="4"/>
  <c r="AB335" i="4"/>
  <c r="AE307" i="4"/>
  <c r="F312" i="4"/>
  <c r="E312" i="4" s="1"/>
  <c r="I312" i="4"/>
  <c r="AE311" i="4"/>
  <c r="I324" i="4"/>
  <c r="X335" i="4"/>
  <c r="I336" i="4"/>
  <c r="BI52" i="4"/>
  <c r="BI54" i="4"/>
  <c r="BI56" i="4"/>
  <c r="L331" i="4"/>
  <c r="L336" i="4" s="1"/>
  <c r="AC335" i="4"/>
  <c r="AE335" i="4"/>
  <c r="T335" i="4" s="1"/>
  <c r="AB331" i="4"/>
  <c r="AC331" i="4"/>
  <c r="AD331" i="4"/>
  <c r="X331" i="4"/>
  <c r="AE331" i="4"/>
  <c r="L311" i="4"/>
  <c r="X311" i="4"/>
  <c r="AC311" i="4"/>
  <c r="AB311" i="4"/>
  <c r="AD311" i="4"/>
  <c r="H311" i="4"/>
  <c r="G311" i="4" s="1"/>
  <c r="P311" i="4" s="1"/>
  <c r="AD307" i="4"/>
  <c r="AC307" i="4"/>
  <c r="F324" i="4"/>
  <c r="E324" i="4" s="1"/>
  <c r="P325" i="4"/>
  <c r="F330" i="4"/>
  <c r="E330" i="4" s="1"/>
  <c r="AE330" i="4"/>
  <c r="L307" i="4"/>
  <c r="L312" i="4" s="1"/>
  <c r="X330" i="4"/>
  <c r="AC330" i="4"/>
  <c r="T330" i="4"/>
  <c r="AD330" i="4"/>
  <c r="AB330" i="4"/>
  <c r="H324" i="4"/>
  <c r="F336" i="4"/>
  <c r="E336" i="4" s="1"/>
  <c r="H335" i="4"/>
  <c r="G335" i="4" s="1"/>
  <c r="P335" i="4" s="1"/>
  <c r="H331" i="4"/>
  <c r="K330" i="4"/>
  <c r="L325" i="4"/>
  <c r="L330" i="4" s="1"/>
  <c r="G330" i="4"/>
  <c r="P330" i="4" s="1"/>
  <c r="P329" i="4"/>
  <c r="AB324" i="4"/>
  <c r="X324" i="4"/>
  <c r="T324" i="4"/>
  <c r="AD324" i="4"/>
  <c r="J330" i="4"/>
  <c r="J324" i="4"/>
  <c r="K324" i="4"/>
  <c r="P323" i="4"/>
  <c r="AC324" i="4"/>
  <c r="AE318" i="4"/>
  <c r="G324" i="4"/>
  <c r="P324" i="4" s="1"/>
  <c r="P319" i="4"/>
  <c r="J318" i="4"/>
  <c r="K318" i="4"/>
  <c r="I318" i="4"/>
  <c r="L313" i="4"/>
  <c r="H313" i="4"/>
  <c r="H318" i="4" s="1"/>
  <c r="F318" i="4"/>
  <c r="E318" i="4" s="1"/>
  <c r="L317" i="4"/>
  <c r="P313" i="4"/>
  <c r="G318" i="4"/>
  <c r="P318" i="4" s="1"/>
  <c r="AE324" i="4"/>
  <c r="J312" i="4"/>
  <c r="K312" i="4"/>
  <c r="H307" i="4"/>
  <c r="AB318" i="4"/>
  <c r="AD318" i="4"/>
  <c r="AC318" i="4"/>
  <c r="X318" i="4"/>
  <c r="AB336" i="4" l="1"/>
  <c r="BK54" i="4"/>
  <c r="BJ54" i="4" s="1"/>
  <c r="BK52" i="4"/>
  <c r="BJ52" i="4" s="1"/>
  <c r="BI57" i="4"/>
  <c r="BK57" i="4" s="1"/>
  <c r="BK56" i="4"/>
  <c r="BJ56" i="4" s="1"/>
  <c r="AC336" i="4"/>
  <c r="X336" i="4"/>
  <c r="T331" i="4"/>
  <c r="T336" i="4" s="1"/>
  <c r="G331" i="4"/>
  <c r="G336" i="4" s="1"/>
  <c r="H336" i="4"/>
  <c r="T307" i="4"/>
  <c r="AE336" i="4"/>
  <c r="AD336" i="4"/>
  <c r="T311" i="4"/>
  <c r="H312" i="4"/>
  <c r="G307" i="4"/>
  <c r="L318" i="4"/>
  <c r="T318" i="4"/>
  <c r="BJ57" i="4" l="1"/>
  <c r="P331" i="4"/>
  <c r="P336" i="4"/>
  <c r="P307" i="4"/>
  <c r="G312" i="4"/>
  <c r="P312" i="4" s="1"/>
  <c r="BQ55" i="4"/>
  <c r="BP55" i="4"/>
  <c r="BO55" i="4"/>
  <c r="BQ49" i="4"/>
  <c r="BP49" i="4"/>
  <c r="BO49" i="4"/>
  <c r="BH63" i="4"/>
  <c r="BH57" i="4"/>
  <c r="C301" i="4" l="1"/>
  <c r="C295" i="4"/>
  <c r="C289" i="4"/>
  <c r="C283" i="4"/>
  <c r="C277" i="4"/>
  <c r="AJ299" i="4" l="1"/>
  <c r="AJ295" i="4"/>
  <c r="AJ296" i="4"/>
  <c r="AJ297" i="4"/>
  <c r="AJ298" i="4"/>
  <c r="O15" i="7"/>
  <c r="K15" i="7"/>
  <c r="M15" i="7"/>
  <c r="I15" i="7"/>
  <c r="C15" i="7"/>
  <c r="N15" i="7"/>
  <c r="J15" i="7"/>
  <c r="L15" i="7"/>
  <c r="O16" i="7"/>
  <c r="K16" i="7"/>
  <c r="M16" i="7"/>
  <c r="I16" i="7"/>
  <c r="N16" i="7"/>
  <c r="J16" i="7"/>
  <c r="L16" i="7"/>
  <c r="C16" i="7"/>
  <c r="AJ301" i="4"/>
  <c r="AJ304" i="4"/>
  <c r="AJ303" i="4"/>
  <c r="AJ305" i="4"/>
  <c r="AJ302" i="4"/>
  <c r="AJ285" i="4"/>
  <c r="AJ283" i="4"/>
  <c r="AJ287" i="4"/>
  <c r="AJ286" i="4"/>
  <c r="AJ284" i="4"/>
  <c r="AJ292" i="4"/>
  <c r="AJ290" i="4"/>
  <c r="AJ293" i="4"/>
  <c r="AJ291" i="4"/>
  <c r="AJ289" i="4"/>
  <c r="AJ280" i="4"/>
  <c r="AJ278" i="4"/>
  <c r="AJ277" i="4"/>
  <c r="AJ281" i="4"/>
  <c r="AJ279" i="4"/>
  <c r="R278" i="4"/>
  <c r="M278" i="4"/>
  <c r="N278" i="4"/>
  <c r="V278" i="4"/>
  <c r="Q278" i="4"/>
  <c r="K278" i="4"/>
  <c r="J278" i="4"/>
  <c r="I278" i="4"/>
  <c r="Z278" i="4"/>
  <c r="U278" i="4"/>
  <c r="O278" i="4"/>
  <c r="Y278" i="4"/>
  <c r="Z299" i="4"/>
  <c r="U299" i="4"/>
  <c r="O299" i="4"/>
  <c r="J299" i="4"/>
  <c r="AD298" i="4"/>
  <c r="AE297" i="4"/>
  <c r="F297" i="4"/>
  <c r="AB296" i="4"/>
  <c r="X296" i="4"/>
  <c r="T296" i="4"/>
  <c r="G296" i="4"/>
  <c r="P296" i="4" s="1"/>
  <c r="Y295" i="4"/>
  <c r="N295" i="4"/>
  <c r="I295" i="4"/>
  <c r="AE298" i="4"/>
  <c r="AB297" i="4"/>
  <c r="X297" i="4"/>
  <c r="G297" i="4"/>
  <c r="P297" i="4" s="1"/>
  <c r="Z295" i="4"/>
  <c r="J295" i="4"/>
  <c r="Y299" i="4"/>
  <c r="N299" i="4"/>
  <c r="I299" i="4"/>
  <c r="AC298" i="4"/>
  <c r="AD297" i="4"/>
  <c r="AE296" i="4"/>
  <c r="F296" i="4"/>
  <c r="R295" i="4"/>
  <c r="M295" i="4"/>
  <c r="F295" i="4"/>
  <c r="Q299" i="4"/>
  <c r="F298" i="4"/>
  <c r="T297" i="4"/>
  <c r="AC296" i="4"/>
  <c r="U295" i="4"/>
  <c r="R299" i="4"/>
  <c r="M299" i="4"/>
  <c r="F299" i="4"/>
  <c r="AB298" i="4"/>
  <c r="X298" i="4"/>
  <c r="T298" i="4"/>
  <c r="G298" i="4"/>
  <c r="P298" i="4" s="1"/>
  <c r="AC297" i="4"/>
  <c r="AD296" i="4"/>
  <c r="V295" i="4"/>
  <c r="Q295" i="4"/>
  <c r="K295" i="4"/>
  <c r="V299" i="4"/>
  <c r="K299" i="4"/>
  <c r="O295" i="4"/>
  <c r="AD299" i="4"/>
  <c r="AD295" i="4"/>
  <c r="AE295" i="4"/>
  <c r="AC295" i="4"/>
  <c r="AE299" i="4"/>
  <c r="AC299" i="4"/>
  <c r="X299" i="4"/>
  <c r="AB299" i="4"/>
  <c r="AB295" i="4"/>
  <c r="T295" i="4"/>
  <c r="X295" i="4"/>
  <c r="T299" i="4"/>
  <c r="V305" i="4"/>
  <c r="Q305" i="4"/>
  <c r="K305" i="4"/>
  <c r="AE304" i="4"/>
  <c r="G304" i="4"/>
  <c r="P304" i="4" s="1"/>
  <c r="AC303" i="4"/>
  <c r="V302" i="4"/>
  <c r="Q302" i="4"/>
  <c r="K302" i="4"/>
  <c r="V301" i="4"/>
  <c r="Q301" i="4"/>
  <c r="K301" i="4"/>
  <c r="Z305" i="4"/>
  <c r="U305" i="4"/>
  <c r="O305" i="4"/>
  <c r="J305" i="4"/>
  <c r="AD304" i="4"/>
  <c r="F304" i="4"/>
  <c r="AB303" i="4"/>
  <c r="X303" i="4"/>
  <c r="T303" i="4"/>
  <c r="Z302" i="4"/>
  <c r="U302" i="4"/>
  <c r="O302" i="4"/>
  <c r="J302" i="4"/>
  <c r="Z301" i="4"/>
  <c r="U301" i="4"/>
  <c r="O301" i="4"/>
  <c r="J301" i="4"/>
  <c r="Y305" i="4"/>
  <c r="N305" i="4"/>
  <c r="I305" i="4"/>
  <c r="AC304" i="4"/>
  <c r="AE303" i="4"/>
  <c r="G303" i="4"/>
  <c r="P303" i="4" s="1"/>
  <c r="Y302" i="4"/>
  <c r="N302" i="4"/>
  <c r="I302" i="4"/>
  <c r="Y301" i="4"/>
  <c r="N301" i="4"/>
  <c r="I301" i="4"/>
  <c r="R305" i="4"/>
  <c r="M305" i="4"/>
  <c r="F305" i="4"/>
  <c r="AB304" i="4"/>
  <c r="X304" i="4"/>
  <c r="T304" i="4"/>
  <c r="AD303" i="4"/>
  <c r="F303" i="4"/>
  <c r="R302" i="4"/>
  <c r="M302" i="4"/>
  <c r="F302" i="4"/>
  <c r="R301" i="4"/>
  <c r="M301" i="4"/>
  <c r="F301" i="4"/>
  <c r="R293" i="4"/>
  <c r="M293" i="4"/>
  <c r="F293" i="4"/>
  <c r="AB292" i="4"/>
  <c r="X292" i="4"/>
  <c r="T292" i="4"/>
  <c r="G292" i="4"/>
  <c r="P292" i="4" s="1"/>
  <c r="Y291" i="4"/>
  <c r="AB291" i="4" s="1"/>
  <c r="N291" i="4"/>
  <c r="I291" i="4"/>
  <c r="AC290" i="4"/>
  <c r="Y289" i="4"/>
  <c r="N289" i="4"/>
  <c r="J289" i="4"/>
  <c r="AD292" i="4"/>
  <c r="K291" i="4"/>
  <c r="Y293" i="4"/>
  <c r="Z291" i="4"/>
  <c r="J291" i="4"/>
  <c r="AE289" i="4"/>
  <c r="U289" i="4"/>
  <c r="F289" i="4"/>
  <c r="V293" i="4"/>
  <c r="Q293" i="4"/>
  <c r="K293" i="4"/>
  <c r="AE292" i="4"/>
  <c r="F292" i="4"/>
  <c r="R291" i="4"/>
  <c r="M291" i="4"/>
  <c r="F291" i="4"/>
  <c r="AB290" i="4"/>
  <c r="X290" i="4"/>
  <c r="T290" i="4"/>
  <c r="G290" i="4"/>
  <c r="P290" i="4" s="1"/>
  <c r="R289" i="4"/>
  <c r="M289" i="4"/>
  <c r="I289" i="4"/>
  <c r="Q291" i="4"/>
  <c r="F290" i="4"/>
  <c r="V289" i="4"/>
  <c r="N293" i="4"/>
  <c r="I293" i="4"/>
  <c r="U291" i="4"/>
  <c r="AD290" i="4"/>
  <c r="Z289" i="4"/>
  <c r="K289" i="4"/>
  <c r="Z293" i="4"/>
  <c r="U293" i="4"/>
  <c r="X293" i="4" s="1"/>
  <c r="O293" i="4"/>
  <c r="J293" i="4"/>
  <c r="V291" i="4"/>
  <c r="AE290" i="4"/>
  <c r="Q289" i="4"/>
  <c r="AC292" i="4"/>
  <c r="O291" i="4"/>
  <c r="O289" i="4"/>
  <c r="AD291" i="4"/>
  <c r="L291" i="4"/>
  <c r="AE291" i="4"/>
  <c r="X291" i="4"/>
  <c r="L293" i="4"/>
  <c r="AD293" i="4"/>
  <c r="H291" i="4"/>
  <c r="AB293" i="4"/>
  <c r="H293" i="4"/>
  <c r="AC293" i="4"/>
  <c r="AO293" i="4" s="1"/>
  <c r="AP293" i="4" s="1"/>
  <c r="Z287" i="4"/>
  <c r="U287" i="4"/>
  <c r="O287" i="4"/>
  <c r="J287" i="4"/>
  <c r="K287" i="4"/>
  <c r="Y287" i="4"/>
  <c r="N287" i="4"/>
  <c r="I287" i="4"/>
  <c r="R287" i="4"/>
  <c r="M287" i="4"/>
  <c r="V287" i="4"/>
  <c r="Q287" i="4"/>
  <c r="R281" i="4"/>
  <c r="M281" i="4"/>
  <c r="F281" i="4"/>
  <c r="AC281" i="4" s="1"/>
  <c r="AB280" i="4"/>
  <c r="X280" i="4"/>
  <c r="T280" i="4"/>
  <c r="G280" i="4"/>
  <c r="P280" i="4" s="1"/>
  <c r="AC279" i="4"/>
  <c r="AD278" i="4"/>
  <c r="R277" i="4"/>
  <c r="M277" i="4"/>
  <c r="F277" i="4"/>
  <c r="K277" i="4"/>
  <c r="N281" i="4"/>
  <c r="AE278" i="4"/>
  <c r="F278" i="4"/>
  <c r="AV278" i="4" s="1"/>
  <c r="N277" i="4"/>
  <c r="V281" i="4"/>
  <c r="Q281" i="4"/>
  <c r="K281" i="4"/>
  <c r="AE280" i="4"/>
  <c r="F280" i="4"/>
  <c r="AB279" i="4"/>
  <c r="X279" i="4"/>
  <c r="T279" i="4"/>
  <c r="G279" i="4"/>
  <c r="P279" i="4" s="1"/>
  <c r="AC278" i="4"/>
  <c r="U277" i="4"/>
  <c r="Q277" i="4"/>
  <c r="J277" i="4"/>
  <c r="Y281" i="4"/>
  <c r="I281" i="4"/>
  <c r="Y277" i="4"/>
  <c r="I277" i="4"/>
  <c r="Z281" i="4"/>
  <c r="AB281" i="4" s="1"/>
  <c r="U281" i="4"/>
  <c r="O281" i="4"/>
  <c r="J281" i="4"/>
  <c r="AD280" i="4"/>
  <c r="AE279" i="4"/>
  <c r="F279" i="4"/>
  <c r="AB278" i="4"/>
  <c r="X278" i="4"/>
  <c r="Z277" i="4"/>
  <c r="V277" i="4"/>
  <c r="O277" i="4"/>
  <c r="AC280" i="4"/>
  <c r="AD279" i="4"/>
  <c r="H281" i="4"/>
  <c r="AC277" i="4"/>
  <c r="L281" i="4"/>
  <c r="AD277" i="4"/>
  <c r="AD281" i="4"/>
  <c r="AE281" i="4"/>
  <c r="AC286" i="4"/>
  <c r="AE285" i="4"/>
  <c r="G285" i="4"/>
  <c r="P285" i="4" s="1"/>
  <c r="AC284" i="4"/>
  <c r="O283" i="4"/>
  <c r="K283" i="4"/>
  <c r="F283" i="4"/>
  <c r="AB285" i="4"/>
  <c r="T285" i="4"/>
  <c r="Y283" i="4"/>
  <c r="F287" i="4"/>
  <c r="AB286" i="4"/>
  <c r="X286" i="4"/>
  <c r="T286" i="4"/>
  <c r="AD285" i="4"/>
  <c r="F285" i="4"/>
  <c r="AB284" i="4"/>
  <c r="X284" i="4"/>
  <c r="T284" i="4"/>
  <c r="R283" i="4"/>
  <c r="N283" i="4"/>
  <c r="J283" i="4"/>
  <c r="AD286" i="4"/>
  <c r="F286" i="4"/>
  <c r="F284" i="4"/>
  <c r="L283" i="4"/>
  <c r="H283" i="4"/>
  <c r="AE286" i="4"/>
  <c r="G286" i="4"/>
  <c r="P286" i="4" s="1"/>
  <c r="AC285" i="4"/>
  <c r="AE284" i="4"/>
  <c r="G284" i="4"/>
  <c r="P284" i="4" s="1"/>
  <c r="Z283" i="4"/>
  <c r="V283" i="4"/>
  <c r="Q283" i="4"/>
  <c r="M283" i="4"/>
  <c r="I283" i="4"/>
  <c r="X285" i="4"/>
  <c r="AD284" i="4"/>
  <c r="U283" i="4"/>
  <c r="AC283" i="4"/>
  <c r="AD283" i="4"/>
  <c r="F15" i="7" l="1"/>
  <c r="D15" i="7"/>
  <c r="G15" i="7"/>
  <c r="H15" i="7"/>
  <c r="E15" i="7"/>
  <c r="K288" i="4"/>
  <c r="AO283" i="4"/>
  <c r="AP283" i="4" s="1"/>
  <c r="F300" i="4"/>
  <c r="L302" i="4"/>
  <c r="AV302" i="4"/>
  <c r="AU302" i="4"/>
  <c r="H305" i="4"/>
  <c r="AV305" i="4"/>
  <c r="AU305" i="4"/>
  <c r="AT305" i="4" s="1"/>
  <c r="AW305" i="4" s="1"/>
  <c r="L301" i="4"/>
  <c r="F306" i="4"/>
  <c r="E306" i="4" s="1"/>
  <c r="AM301" i="4"/>
  <c r="AC287" i="4"/>
  <c r="AY287" i="4"/>
  <c r="AZ287" i="4"/>
  <c r="I306" i="4"/>
  <c r="AE293" i="4"/>
  <c r="AR293" i="4"/>
  <c r="AQ293" i="4"/>
  <c r="AM293" i="4"/>
  <c r="AK293" i="4" s="1"/>
  <c r="AN293" i="4" s="1"/>
  <c r="AC291" i="4"/>
  <c r="AV291" i="4"/>
  <c r="AU291" i="4"/>
  <c r="AT291" i="4" s="1"/>
  <c r="AW291" i="4" s="1"/>
  <c r="AZ291" i="4"/>
  <c r="AY291" i="4"/>
  <c r="L289" i="4"/>
  <c r="L294" i="4" s="1"/>
  <c r="AV289" i="4"/>
  <c r="AU289" i="4"/>
  <c r="AY289" i="4"/>
  <c r="AZ289" i="4"/>
  <c r="AX291" i="4"/>
  <c r="AE300" i="4"/>
  <c r="H301" i="4"/>
  <c r="K306" i="4"/>
  <c r="G293" i="4"/>
  <c r="P293" i="4" s="1"/>
  <c r="T293" i="4"/>
  <c r="G291" i="4"/>
  <c r="P291" i="4" s="1"/>
  <c r="T291" i="4"/>
  <c r="AC289" i="4"/>
  <c r="AX289" i="4" s="1"/>
  <c r="AD289" i="4"/>
  <c r="X289" i="4"/>
  <c r="AB289" i="4"/>
  <c r="K294" i="4"/>
  <c r="H302" i="4"/>
  <c r="G302" i="4" s="1"/>
  <c r="P302" i="4" s="1"/>
  <c r="AD287" i="4"/>
  <c r="AE283" i="4"/>
  <c r="T283" i="4" s="1"/>
  <c r="AR283" i="4"/>
  <c r="AQ283" i="4"/>
  <c r="AB287" i="4"/>
  <c r="AU278" i="4"/>
  <c r="AT278" i="4" s="1"/>
  <c r="AW278" i="4" s="1"/>
  <c r="I288" i="4"/>
  <c r="X283" i="4"/>
  <c r="AB277" i="4"/>
  <c r="AV281" i="4"/>
  <c r="AD300" i="4"/>
  <c r="X281" i="4"/>
  <c r="AU281" i="4"/>
  <c r="I300" i="4"/>
  <c r="T300" i="4"/>
  <c r="E300" i="4"/>
  <c r="X300" i="4"/>
  <c r="AC300" i="4"/>
  <c r="K300" i="4"/>
  <c r="J300" i="4"/>
  <c r="T278" i="4"/>
  <c r="AE277" i="4"/>
  <c r="T277" i="4" s="1"/>
  <c r="AM277" i="4"/>
  <c r="T281" i="4"/>
  <c r="G281" i="4"/>
  <c r="P281" i="4" s="1"/>
  <c r="L278" i="4"/>
  <c r="H278" i="4"/>
  <c r="H282" i="4" s="1"/>
  <c r="X277" i="4"/>
  <c r="L305" i="4"/>
  <c r="G305" i="4" s="1"/>
  <c r="P305" i="4" s="1"/>
  <c r="J306" i="4"/>
  <c r="I294" i="4"/>
  <c r="J294" i="4"/>
  <c r="F294" i="4"/>
  <c r="E294" i="4" s="1"/>
  <c r="H289" i="4"/>
  <c r="AB300" i="4"/>
  <c r="J288" i="4"/>
  <c r="I282" i="4"/>
  <c r="F282" i="4"/>
  <c r="E282" i="4" s="1"/>
  <c r="G283" i="4"/>
  <c r="X287" i="4"/>
  <c r="AE287" i="4"/>
  <c r="F288" i="4"/>
  <c r="E288" i="4" s="1"/>
  <c r="L287" i="4"/>
  <c r="L288" i="4" s="1"/>
  <c r="H287" i="4"/>
  <c r="J282" i="4"/>
  <c r="AB283" i="4"/>
  <c r="G277" i="4"/>
  <c r="P277" i="4" s="1"/>
  <c r="K282" i="4"/>
  <c r="F276" i="4"/>
  <c r="F275" i="4"/>
  <c r="E276" i="4"/>
  <c r="E275" i="4"/>
  <c r="C276" i="4"/>
  <c r="C275" i="4"/>
  <c r="AN301" i="4" l="1"/>
  <c r="AK301" i="4"/>
  <c r="AT302" i="4"/>
  <c r="AW302" i="4" s="1"/>
  <c r="L282" i="4"/>
  <c r="P283" i="4"/>
  <c r="AX287" i="4"/>
  <c r="AW289" i="4"/>
  <c r="AT289" i="4"/>
  <c r="L306" i="4"/>
  <c r="H306" i="4"/>
  <c r="G301" i="4"/>
  <c r="G306" i="4" s="1"/>
  <c r="P306" i="4" s="1"/>
  <c r="T289" i="4"/>
  <c r="H294" i="4"/>
  <c r="G289" i="4"/>
  <c r="G294" i="4" s="1"/>
  <c r="T287" i="4"/>
  <c r="AT281" i="4"/>
  <c r="AW281" i="4"/>
  <c r="AK277" i="4"/>
  <c r="G278" i="4"/>
  <c r="P278" i="4" s="1"/>
  <c r="H288" i="4"/>
  <c r="G287" i="4"/>
  <c r="G288" i="4" s="1"/>
  <c r="C13" i="7"/>
  <c r="I13" i="7"/>
  <c r="N13" i="7"/>
  <c r="J13" i="7"/>
  <c r="K13" i="7"/>
  <c r="M13" i="7"/>
  <c r="L13" i="7"/>
  <c r="O13" i="7"/>
  <c r="M14" i="7"/>
  <c r="L14" i="7"/>
  <c r="O14" i="7"/>
  <c r="K14" i="7"/>
  <c r="C14" i="7"/>
  <c r="N14" i="7"/>
  <c r="J14" i="7"/>
  <c r="I14" i="7"/>
  <c r="C269" i="4"/>
  <c r="C263" i="4"/>
  <c r="C257" i="4"/>
  <c r="C251" i="4"/>
  <c r="AC255" i="4" s="1"/>
  <c r="F14" i="7" l="1"/>
  <c r="H14" i="7"/>
  <c r="G14" i="7"/>
  <c r="E14" i="7"/>
  <c r="D14" i="7"/>
  <c r="G13" i="7"/>
  <c r="E13" i="7"/>
  <c r="H13" i="7"/>
  <c r="F13" i="7"/>
  <c r="D13" i="7"/>
  <c r="AN277" i="4"/>
  <c r="G282" i="4"/>
  <c r="P301" i="4"/>
  <c r="P289" i="4"/>
  <c r="P294" i="4"/>
  <c r="P287" i="4"/>
  <c r="P288" i="4"/>
  <c r="AJ265" i="4"/>
  <c r="AJ266" i="4"/>
  <c r="AJ263" i="4"/>
  <c r="AJ267" i="4"/>
  <c r="AJ264" i="4"/>
  <c r="R265" i="4"/>
  <c r="M265" i="4"/>
  <c r="V265" i="4"/>
  <c r="Q265" i="4"/>
  <c r="K265" i="4"/>
  <c r="Z265" i="4"/>
  <c r="U265" i="4"/>
  <c r="O265" i="4"/>
  <c r="J265" i="4"/>
  <c r="Y265" i="4"/>
  <c r="N265" i="4"/>
  <c r="I265" i="4"/>
  <c r="AJ269" i="4"/>
  <c r="AJ272" i="4"/>
  <c r="AJ270" i="4"/>
  <c r="AJ273" i="4"/>
  <c r="AJ271" i="4"/>
  <c r="AJ260" i="4"/>
  <c r="AJ257" i="4"/>
  <c r="AJ259" i="4"/>
  <c r="AJ261" i="4"/>
  <c r="AJ258" i="4"/>
  <c r="R261" i="4"/>
  <c r="V261" i="4"/>
  <c r="K261" i="4"/>
  <c r="Z261" i="4"/>
  <c r="U261" i="4"/>
  <c r="O261" i="4"/>
  <c r="J261" i="4"/>
  <c r="Y261" i="4"/>
  <c r="N261" i="4"/>
  <c r="I261" i="4"/>
  <c r="M261" i="4"/>
  <c r="Q261" i="4"/>
  <c r="AJ253" i="4"/>
  <c r="AJ252" i="4"/>
  <c r="AJ251" i="4"/>
  <c r="AJ254" i="4"/>
  <c r="AJ255" i="4"/>
  <c r="Y273" i="4"/>
  <c r="N273" i="4"/>
  <c r="I273" i="4"/>
  <c r="AB272" i="4"/>
  <c r="X272" i="4"/>
  <c r="T272" i="4"/>
  <c r="G272" i="4"/>
  <c r="P272" i="4" s="1"/>
  <c r="R271" i="4"/>
  <c r="M271" i="4"/>
  <c r="AE270" i="4"/>
  <c r="V269" i="4"/>
  <c r="Q269" i="4"/>
  <c r="K269" i="4"/>
  <c r="F272" i="4"/>
  <c r="U273" i="4"/>
  <c r="AC272" i="4"/>
  <c r="Y271" i="4"/>
  <c r="I271" i="4"/>
  <c r="M269" i="4"/>
  <c r="R273" i="4"/>
  <c r="M273" i="4"/>
  <c r="AE272" i="4"/>
  <c r="V271" i="4"/>
  <c r="Q271" i="4"/>
  <c r="K271" i="4"/>
  <c r="AD270" i="4"/>
  <c r="Z269" i="4"/>
  <c r="U269" i="4"/>
  <c r="O269" i="4"/>
  <c r="J269" i="4"/>
  <c r="F271" i="4"/>
  <c r="Z273" i="4"/>
  <c r="J273" i="4"/>
  <c r="N271" i="4"/>
  <c r="AB270" i="4"/>
  <c r="X270" i="4"/>
  <c r="G270" i="4"/>
  <c r="P270" i="4" s="1"/>
  <c r="F273" i="4"/>
  <c r="V273" i="4"/>
  <c r="Q273" i="4"/>
  <c r="K273" i="4"/>
  <c r="AD272" i="4"/>
  <c r="Z271" i="4"/>
  <c r="U271" i="4"/>
  <c r="O271" i="4"/>
  <c r="J271" i="4"/>
  <c r="AC270" i="4"/>
  <c r="Y269" i="4"/>
  <c r="N269" i="4"/>
  <c r="I269" i="4"/>
  <c r="F270" i="4"/>
  <c r="O273" i="4"/>
  <c r="T270" i="4"/>
  <c r="R269" i="4"/>
  <c r="F269" i="4"/>
  <c r="V267" i="4"/>
  <c r="Q267" i="4"/>
  <c r="K267" i="4"/>
  <c r="AD266" i="4"/>
  <c r="Z264" i="4"/>
  <c r="U264" i="4"/>
  <c r="O264" i="4"/>
  <c r="J264" i="4"/>
  <c r="Y263" i="4"/>
  <c r="N263" i="4"/>
  <c r="I263" i="4"/>
  <c r="F264" i="4"/>
  <c r="AE266" i="4"/>
  <c r="V264" i="4"/>
  <c r="Z263" i="4"/>
  <c r="O263" i="4"/>
  <c r="Z267" i="4"/>
  <c r="U267" i="4"/>
  <c r="O267" i="4"/>
  <c r="J267" i="4"/>
  <c r="AC266" i="4"/>
  <c r="Y264" i="4"/>
  <c r="N264" i="4"/>
  <c r="I264" i="4"/>
  <c r="R263" i="4"/>
  <c r="M263" i="4"/>
  <c r="F267" i="4"/>
  <c r="F263" i="4"/>
  <c r="R267" i="4"/>
  <c r="Q264" i="4"/>
  <c r="U263" i="4"/>
  <c r="J263" i="4"/>
  <c r="Y267" i="4"/>
  <c r="N267" i="4"/>
  <c r="I267" i="4"/>
  <c r="AB266" i="4"/>
  <c r="X266" i="4"/>
  <c r="T266" i="4"/>
  <c r="G266" i="4"/>
  <c r="P266" i="4" s="1"/>
  <c r="R264" i="4"/>
  <c r="M264" i="4"/>
  <c r="V263" i="4"/>
  <c r="Q263" i="4"/>
  <c r="K263" i="4"/>
  <c r="F266" i="4"/>
  <c r="M267" i="4"/>
  <c r="K264" i="4"/>
  <c r="F265" i="4"/>
  <c r="H264" i="4"/>
  <c r="L267" i="4"/>
  <c r="H263" i="4"/>
  <c r="L263" i="4"/>
  <c r="H267" i="4"/>
  <c r="S51" i="3"/>
  <c r="AE260" i="4"/>
  <c r="AE259" i="4"/>
  <c r="Z259" i="4"/>
  <c r="U259" i="4"/>
  <c r="X259" i="4" s="1"/>
  <c r="O259" i="4"/>
  <c r="K259" i="4"/>
  <c r="AE258" i="4"/>
  <c r="Z258" i="4"/>
  <c r="U258" i="4"/>
  <c r="X258" i="4" s="1"/>
  <c r="O258" i="4"/>
  <c r="K258" i="4"/>
  <c r="R257" i="4"/>
  <c r="M257" i="4"/>
  <c r="I257" i="4"/>
  <c r="F259" i="4"/>
  <c r="AB260" i="4"/>
  <c r="X260" i="4"/>
  <c r="T260" i="4"/>
  <c r="V259" i="4"/>
  <c r="J257" i="4"/>
  <c r="AE261" i="4"/>
  <c r="AD260" i="4"/>
  <c r="AD259" i="4"/>
  <c r="Y259" i="4"/>
  <c r="AB259" i="4" s="1"/>
  <c r="N259" i="4"/>
  <c r="J259" i="4"/>
  <c r="AD258" i="4"/>
  <c r="Y258" i="4"/>
  <c r="AB258" i="4" s="1"/>
  <c r="N258" i="4"/>
  <c r="J258" i="4"/>
  <c r="Z257" i="4"/>
  <c r="V257" i="4"/>
  <c r="Q257" i="4"/>
  <c r="F258" i="4"/>
  <c r="H258" i="4" s="1"/>
  <c r="F261" i="4"/>
  <c r="L259" i="4"/>
  <c r="H259" i="4"/>
  <c r="V258" i="4"/>
  <c r="N257" i="4"/>
  <c r="AD261" i="4"/>
  <c r="AC260" i="4"/>
  <c r="AC259" i="4"/>
  <c r="R259" i="4"/>
  <c r="M259" i="4"/>
  <c r="I259" i="4"/>
  <c r="AC258" i="4"/>
  <c r="R258" i="4"/>
  <c r="M258" i="4"/>
  <c r="I258" i="4"/>
  <c r="Y257" i="4"/>
  <c r="U257" i="4"/>
  <c r="O257" i="4"/>
  <c r="K257" i="4"/>
  <c r="F257" i="4"/>
  <c r="L257" i="4" s="1"/>
  <c r="AC261" i="4"/>
  <c r="G260" i="4"/>
  <c r="P260" i="4" s="1"/>
  <c r="Q259" i="4"/>
  <c r="Q258" i="4"/>
  <c r="F260" i="4"/>
  <c r="T259" i="4"/>
  <c r="G259" i="4"/>
  <c r="P259" i="4" s="1"/>
  <c r="T258" i="4"/>
  <c r="G258" i="4"/>
  <c r="P258" i="4" s="1"/>
  <c r="R255" i="4"/>
  <c r="M255" i="4"/>
  <c r="I255" i="4"/>
  <c r="AC254" i="4"/>
  <c r="R253" i="4"/>
  <c r="M253" i="4"/>
  <c r="I253" i="4"/>
  <c r="AC252" i="4"/>
  <c r="R252" i="4"/>
  <c r="M252" i="4"/>
  <c r="I252" i="4"/>
  <c r="R251" i="4"/>
  <c r="M251" i="4"/>
  <c r="I251" i="4"/>
  <c r="F254" i="4"/>
  <c r="N255" i="4"/>
  <c r="AD254" i="4"/>
  <c r="N253" i="4"/>
  <c r="Y252" i="4"/>
  <c r="AB252" i="4" s="1"/>
  <c r="N251" i="4"/>
  <c r="V255" i="4"/>
  <c r="Q255" i="4"/>
  <c r="AB254" i="4"/>
  <c r="X254" i="4"/>
  <c r="T254" i="4"/>
  <c r="G254" i="4"/>
  <c r="P254" i="4" s="1"/>
  <c r="V253" i="4"/>
  <c r="Q253" i="4"/>
  <c r="V252" i="4"/>
  <c r="Q252" i="4"/>
  <c r="V251" i="4"/>
  <c r="Q251" i="4"/>
  <c r="F253" i="4"/>
  <c r="K252" i="4"/>
  <c r="U251" i="4"/>
  <c r="K251" i="4"/>
  <c r="F252" i="4"/>
  <c r="L252" i="4" s="1"/>
  <c r="Y255" i="4"/>
  <c r="J255" i="4"/>
  <c r="Y253" i="4"/>
  <c r="AD252" i="4"/>
  <c r="N252" i="4"/>
  <c r="Y251" i="4"/>
  <c r="F255" i="4"/>
  <c r="F251" i="4"/>
  <c r="Z255" i="4"/>
  <c r="U255" i="4"/>
  <c r="O255" i="4"/>
  <c r="K255" i="4"/>
  <c r="AE254" i="4"/>
  <c r="Z253" i="4"/>
  <c r="U253" i="4"/>
  <c r="O253" i="4"/>
  <c r="K253" i="4"/>
  <c r="AE252" i="4"/>
  <c r="Z252" i="4"/>
  <c r="U252" i="4"/>
  <c r="X252" i="4" s="1"/>
  <c r="O252" i="4"/>
  <c r="Z251" i="4"/>
  <c r="O251" i="4"/>
  <c r="J253" i="4"/>
  <c r="J252" i="4"/>
  <c r="J251" i="4"/>
  <c r="T252" i="4"/>
  <c r="G252" i="4"/>
  <c r="P252" i="4" s="1"/>
  <c r="N46" i="3"/>
  <c r="O46" i="3" s="1"/>
  <c r="Q44" i="3"/>
  <c r="F274" i="4" l="1"/>
  <c r="E274" i="4" s="1"/>
  <c r="L51" i="3"/>
  <c r="K51" i="3" s="1"/>
  <c r="P282" i="4"/>
  <c r="AL267" i="4"/>
  <c r="AM267" i="4"/>
  <c r="AE265" i="4"/>
  <c r="AU265" i="4"/>
  <c r="AV265" i="4"/>
  <c r="AC265" i="4"/>
  <c r="AM263" i="4"/>
  <c r="AL263" i="4"/>
  <c r="I274" i="4"/>
  <c r="AV267" i="4"/>
  <c r="AU267" i="4"/>
  <c r="L265" i="4"/>
  <c r="H265" i="4"/>
  <c r="AD265" i="4"/>
  <c r="R51" i="3"/>
  <c r="AV251" i="4"/>
  <c r="AU251" i="4"/>
  <c r="L255" i="4"/>
  <c r="AU255" i="4"/>
  <c r="AW255" i="4" s="1"/>
  <c r="AV255" i="4"/>
  <c r="AT255" i="4" s="1"/>
  <c r="AM255" i="4"/>
  <c r="AL255" i="4"/>
  <c r="AN255" i="4" s="1"/>
  <c r="L253" i="4"/>
  <c r="AL253" i="4"/>
  <c r="AM253" i="4"/>
  <c r="L261" i="4"/>
  <c r="H261" i="4"/>
  <c r="T261" i="4"/>
  <c r="X261" i="4"/>
  <c r="AB261" i="4"/>
  <c r="AE257" i="4"/>
  <c r="AE262" i="4" s="1"/>
  <c r="AC257" i="4"/>
  <c r="AB257" i="4"/>
  <c r="AD257" i="4"/>
  <c r="X257" i="4"/>
  <c r="U50" i="3"/>
  <c r="F268" i="4"/>
  <c r="E268" i="4" s="1"/>
  <c r="G267" i="4"/>
  <c r="P267" i="4" s="1"/>
  <c r="G263" i="4"/>
  <c r="P263" i="4" s="1"/>
  <c r="P46" i="3"/>
  <c r="X46" i="3" s="1"/>
  <c r="L264" i="4"/>
  <c r="G264" i="4" s="1"/>
  <c r="I268" i="4"/>
  <c r="K268" i="4"/>
  <c r="J268" i="4"/>
  <c r="J274" i="4"/>
  <c r="K274" i="4"/>
  <c r="F262" i="4"/>
  <c r="E262" i="4" s="1"/>
  <c r="Y51" i="3"/>
  <c r="U51" i="3"/>
  <c r="K262" i="4"/>
  <c r="I262" i="4"/>
  <c r="J262" i="4"/>
  <c r="H257" i="4"/>
  <c r="L258" i="4"/>
  <c r="I256" i="4"/>
  <c r="J256" i="4"/>
  <c r="K256" i="4"/>
  <c r="F256" i="4"/>
  <c r="E256" i="4" s="1"/>
  <c r="H251" i="4"/>
  <c r="H252" i="4"/>
  <c r="H253" i="4"/>
  <c r="G253" i="4" s="1"/>
  <c r="P253" i="4" s="1"/>
  <c r="H255" i="4"/>
  <c r="G255" i="4" s="1"/>
  <c r="P255" i="4" s="1"/>
  <c r="L251" i="4"/>
  <c r="V51" i="3" l="1"/>
  <c r="W51" i="3" s="1"/>
  <c r="U46" i="3"/>
  <c r="Q51" i="3"/>
  <c r="AZ265" i="4" s="1"/>
  <c r="AR267" i="4"/>
  <c r="T265" i="4"/>
  <c r="AK267" i="4"/>
  <c r="AN267" i="4" s="1"/>
  <c r="AT265" i="4"/>
  <c r="AW265" i="4" s="1"/>
  <c r="AT267" i="4"/>
  <c r="AW267" i="4" s="1"/>
  <c r="AK263" i="4"/>
  <c r="AN263" i="4" s="1"/>
  <c r="AX261" i="4"/>
  <c r="G265" i="4"/>
  <c r="P265" i="4" s="1"/>
  <c r="H268" i="4"/>
  <c r="L256" i="4"/>
  <c r="L262" i="4"/>
  <c r="AB262" i="4"/>
  <c r="G261" i="4"/>
  <c r="P261" i="4" s="1"/>
  <c r="T257" i="4"/>
  <c r="T262" i="4" s="1"/>
  <c r="AC262" i="4"/>
  <c r="AO257" i="4"/>
  <c r="AP257" i="4" s="1"/>
  <c r="X262" i="4"/>
  <c r="AK253" i="4"/>
  <c r="AN253" i="4" s="1"/>
  <c r="AK255" i="4"/>
  <c r="AW251" i="4"/>
  <c r="AT251" i="4"/>
  <c r="AD262" i="4"/>
  <c r="H262" i="4"/>
  <c r="G257" i="4"/>
  <c r="G251" i="4"/>
  <c r="G256" i="4" s="1"/>
  <c r="P264" i="4"/>
  <c r="L268" i="4"/>
  <c r="H256" i="4"/>
  <c r="C245" i="4"/>
  <c r="AZ267" i="4" l="1"/>
  <c r="V46" i="3"/>
  <c r="W46" i="3" s="1"/>
  <c r="AR263" i="4"/>
  <c r="G268" i="4"/>
  <c r="P268" i="4" s="1"/>
  <c r="P257" i="4"/>
  <c r="G262" i="4"/>
  <c r="P262" i="4" s="1"/>
  <c r="AJ247" i="4"/>
  <c r="AJ248" i="4"/>
  <c r="AJ246" i="4"/>
  <c r="AJ245" i="4"/>
  <c r="AJ249" i="4"/>
  <c r="R249" i="4"/>
  <c r="M249" i="4"/>
  <c r="O249" i="4"/>
  <c r="N249" i="4"/>
  <c r="V249" i="4"/>
  <c r="Q249" i="4"/>
  <c r="K249" i="4"/>
  <c r="J249" i="4"/>
  <c r="Y249" i="4"/>
  <c r="I249" i="4"/>
  <c r="Z249" i="4"/>
  <c r="U249" i="4"/>
  <c r="P251" i="4"/>
  <c r="P256" i="4"/>
  <c r="M245" i="4"/>
  <c r="AB248" i="4"/>
  <c r="X248" i="4"/>
  <c r="T248" i="4"/>
  <c r="G248" i="4"/>
  <c r="P248" i="4" s="1"/>
  <c r="V247" i="4"/>
  <c r="Q247" i="4"/>
  <c r="V246" i="4"/>
  <c r="Q246" i="4"/>
  <c r="K245" i="4"/>
  <c r="F248" i="4"/>
  <c r="K246" i="4"/>
  <c r="J245" i="4"/>
  <c r="O245" i="4"/>
  <c r="AD248" i="4"/>
  <c r="Y247" i="4"/>
  <c r="J247" i="4"/>
  <c r="N246" i="4"/>
  <c r="Z245" i="4"/>
  <c r="Q245" i="4"/>
  <c r="I245" i="4"/>
  <c r="N245" i="4"/>
  <c r="AE248" i="4"/>
  <c r="AE247" i="4"/>
  <c r="Z247" i="4"/>
  <c r="U247" i="4"/>
  <c r="O247" i="4"/>
  <c r="K247" i="4"/>
  <c r="AE246" i="4"/>
  <c r="Z246" i="4"/>
  <c r="U246" i="4"/>
  <c r="O246" i="4"/>
  <c r="R245" i="4"/>
  <c r="F247" i="4"/>
  <c r="H247" i="4" s="1"/>
  <c r="AD249" i="4"/>
  <c r="AD247" i="4"/>
  <c r="N247" i="4"/>
  <c r="AD246" i="4"/>
  <c r="Y246" i="4"/>
  <c r="J246" i="4"/>
  <c r="V245" i="4"/>
  <c r="F246" i="4"/>
  <c r="H246" i="4" s="1"/>
  <c r="F249" i="4"/>
  <c r="F245" i="4"/>
  <c r="AC248" i="4"/>
  <c r="AC247" i="4"/>
  <c r="R247" i="4"/>
  <c r="M247" i="4"/>
  <c r="I247" i="4"/>
  <c r="AC246" i="4"/>
  <c r="R246" i="4"/>
  <c r="M246" i="4"/>
  <c r="I246" i="4"/>
  <c r="AC245" i="4"/>
  <c r="Y245" i="4"/>
  <c r="U245" i="4"/>
  <c r="AB246" i="4"/>
  <c r="T247" i="4"/>
  <c r="AB247" i="4"/>
  <c r="X246" i="4"/>
  <c r="G247" i="4"/>
  <c r="P247" i="4" s="1"/>
  <c r="X247" i="4"/>
  <c r="T246" i="4"/>
  <c r="G246" i="4"/>
  <c r="P246" i="4" s="1"/>
  <c r="AD245" i="4" l="1"/>
  <c r="AM245" i="4"/>
  <c r="AL245" i="4"/>
  <c r="AB249" i="4"/>
  <c r="AV249" i="4"/>
  <c r="AU249" i="4"/>
  <c r="AT249" i="4" s="1"/>
  <c r="AW249" i="4" s="1"/>
  <c r="X249" i="4"/>
  <c r="AE249" i="4"/>
  <c r="L249" i="4"/>
  <c r="H249" i="4"/>
  <c r="G249" i="4" s="1"/>
  <c r="P249" i="4" s="1"/>
  <c r="AC249" i="4"/>
  <c r="X245" i="4"/>
  <c r="AB245" i="4"/>
  <c r="AE245" i="4"/>
  <c r="T245" i="4" s="1"/>
  <c r="K250" i="4"/>
  <c r="J250" i="4"/>
  <c r="I250" i="4"/>
  <c r="F250" i="4"/>
  <c r="E250" i="4" s="1"/>
  <c r="L245" i="4"/>
  <c r="L246" i="4"/>
  <c r="L247" i="4"/>
  <c r="H245" i="4"/>
  <c r="AN245" i="4" l="1"/>
  <c r="AK245" i="4"/>
  <c r="T249" i="4"/>
  <c r="H250" i="4"/>
  <c r="G245" i="4"/>
  <c r="L250" i="4"/>
  <c r="P245" i="4" l="1"/>
  <c r="G250" i="4"/>
  <c r="P250" i="4" s="1"/>
  <c r="C239" i="4"/>
  <c r="C233" i="4"/>
  <c r="C227" i="4"/>
  <c r="C221" i="4"/>
  <c r="C215" i="4"/>
  <c r="AJ237" i="4" l="1"/>
  <c r="AJ235" i="4"/>
  <c r="AJ233" i="4"/>
  <c r="AJ236" i="4"/>
  <c r="AJ234" i="4"/>
  <c r="AJ243" i="4"/>
  <c r="AJ241" i="4"/>
  <c r="AJ242" i="4"/>
  <c r="AJ239" i="4"/>
  <c r="AJ240" i="4"/>
  <c r="AJ227" i="4"/>
  <c r="AJ230" i="4"/>
  <c r="AJ228" i="4"/>
  <c r="AJ229" i="4"/>
  <c r="AJ231" i="4"/>
  <c r="AJ222" i="4"/>
  <c r="AJ225" i="4"/>
  <c r="AJ221" i="4"/>
  <c r="AJ224" i="4"/>
  <c r="AJ223" i="4"/>
  <c r="Y223" i="4"/>
  <c r="N223" i="4"/>
  <c r="I223" i="4"/>
  <c r="M223" i="4"/>
  <c r="Z223" i="4"/>
  <c r="R223" i="4"/>
  <c r="U223" i="4"/>
  <c r="J223" i="4"/>
  <c r="V223" i="4"/>
  <c r="Q223" i="4"/>
  <c r="K223" i="4"/>
  <c r="O223" i="4"/>
  <c r="AJ219" i="4"/>
  <c r="AJ217" i="4"/>
  <c r="AJ215" i="4"/>
  <c r="AJ218" i="4"/>
  <c r="AJ216" i="4"/>
  <c r="V217" i="4"/>
  <c r="K217" i="4"/>
  <c r="O216" i="4"/>
  <c r="Z217" i="4"/>
  <c r="U217" i="4"/>
  <c r="O217" i="4"/>
  <c r="J217" i="4"/>
  <c r="N216" i="4"/>
  <c r="Y217" i="4"/>
  <c r="N217" i="4"/>
  <c r="I217" i="4"/>
  <c r="R216" i="4"/>
  <c r="M216" i="4"/>
  <c r="I216" i="4"/>
  <c r="R217" i="4"/>
  <c r="M217" i="4"/>
  <c r="V216" i="4"/>
  <c r="Q216" i="4"/>
  <c r="K216" i="4"/>
  <c r="Q217" i="4"/>
  <c r="Z216" i="4"/>
  <c r="U216" i="4"/>
  <c r="J216" i="4"/>
  <c r="Y216" i="4"/>
  <c r="Z243" i="4"/>
  <c r="U243" i="4"/>
  <c r="O243" i="4"/>
  <c r="J243" i="4"/>
  <c r="Y242" i="4"/>
  <c r="N242" i="4"/>
  <c r="I242" i="4"/>
  <c r="R241" i="4"/>
  <c r="M241" i="4"/>
  <c r="V240" i="4"/>
  <c r="Q240" i="4"/>
  <c r="K240" i="4"/>
  <c r="U239" i="4"/>
  <c r="O239" i="4"/>
  <c r="Y243" i="4"/>
  <c r="N243" i="4"/>
  <c r="I243" i="4"/>
  <c r="R242" i="4"/>
  <c r="M242" i="4"/>
  <c r="V241" i="4"/>
  <c r="Q241" i="4"/>
  <c r="K241" i="4"/>
  <c r="Z240" i="4"/>
  <c r="U240" i="4"/>
  <c r="O240" i="4"/>
  <c r="J240" i="4"/>
  <c r="Y239" i="4"/>
  <c r="N239" i="4"/>
  <c r="I239" i="4"/>
  <c r="R243" i="4"/>
  <c r="M243" i="4"/>
  <c r="V242" i="4"/>
  <c r="Q242" i="4"/>
  <c r="K242" i="4"/>
  <c r="Z241" i="4"/>
  <c r="U241" i="4"/>
  <c r="O241" i="4"/>
  <c r="J241" i="4"/>
  <c r="Y240" i="4"/>
  <c r="N240" i="4"/>
  <c r="I240" i="4"/>
  <c r="R239" i="4"/>
  <c r="M239" i="4"/>
  <c r="F243" i="4"/>
  <c r="F239" i="4"/>
  <c r="V243" i="4"/>
  <c r="Q243" i="4"/>
  <c r="K243" i="4"/>
  <c r="Z242" i="4"/>
  <c r="U242" i="4"/>
  <c r="O242" i="4"/>
  <c r="J242" i="4"/>
  <c r="Y241" i="4"/>
  <c r="N241" i="4"/>
  <c r="I241" i="4"/>
  <c r="R240" i="4"/>
  <c r="M240" i="4"/>
  <c r="V239" i="4"/>
  <c r="Q239" i="4"/>
  <c r="K239" i="4"/>
  <c r="F242" i="4"/>
  <c r="Z239" i="4"/>
  <c r="J239" i="4"/>
  <c r="F241" i="4"/>
  <c r="F240" i="4"/>
  <c r="Z237" i="4"/>
  <c r="U237" i="4"/>
  <c r="O237" i="4"/>
  <c r="J237" i="4"/>
  <c r="AC236" i="4"/>
  <c r="AC235" i="4"/>
  <c r="Y234" i="4"/>
  <c r="N234" i="4"/>
  <c r="I234" i="4"/>
  <c r="R233" i="4"/>
  <c r="M233" i="4"/>
  <c r="F237" i="4"/>
  <c r="F235" i="4"/>
  <c r="Y237" i="4"/>
  <c r="N237" i="4"/>
  <c r="I237" i="4"/>
  <c r="AB236" i="4"/>
  <c r="X236" i="4"/>
  <c r="T236" i="4"/>
  <c r="G236" i="4"/>
  <c r="P236" i="4" s="1"/>
  <c r="AB235" i="4"/>
  <c r="X235" i="4"/>
  <c r="T235" i="4"/>
  <c r="G235" i="4"/>
  <c r="P235" i="4" s="1"/>
  <c r="R234" i="4"/>
  <c r="M234" i="4"/>
  <c r="V233" i="4"/>
  <c r="Q233" i="4"/>
  <c r="K233" i="4"/>
  <c r="F234" i="4"/>
  <c r="F233" i="4"/>
  <c r="R237" i="4"/>
  <c r="M237" i="4"/>
  <c r="AE236" i="4"/>
  <c r="AE235" i="4"/>
  <c r="V234" i="4"/>
  <c r="Q234" i="4"/>
  <c r="K234" i="4"/>
  <c r="Z233" i="4"/>
  <c r="U233" i="4"/>
  <c r="O233" i="4"/>
  <c r="J233" i="4"/>
  <c r="V237" i="4"/>
  <c r="Q237" i="4"/>
  <c r="K237" i="4"/>
  <c r="AD236" i="4"/>
  <c r="AD235" i="4"/>
  <c r="Z234" i="4"/>
  <c r="U234" i="4"/>
  <c r="O234" i="4"/>
  <c r="J234" i="4"/>
  <c r="Y233" i="4"/>
  <c r="N233" i="4"/>
  <c r="I233" i="4"/>
  <c r="F236" i="4"/>
  <c r="F230" i="4"/>
  <c r="V231" i="4"/>
  <c r="Q231" i="4"/>
  <c r="K231" i="4"/>
  <c r="AD230" i="4"/>
  <c r="Z229" i="4"/>
  <c r="U229" i="4"/>
  <c r="O229" i="4"/>
  <c r="J229" i="4"/>
  <c r="Y228" i="4"/>
  <c r="N228" i="4"/>
  <c r="I228" i="4"/>
  <c r="R227" i="4"/>
  <c r="M227" i="4"/>
  <c r="F229" i="4"/>
  <c r="Z231" i="4"/>
  <c r="U231" i="4"/>
  <c r="O231" i="4"/>
  <c r="J231" i="4"/>
  <c r="AC230" i="4"/>
  <c r="Y229" i="4"/>
  <c r="N229" i="4"/>
  <c r="I229" i="4"/>
  <c r="R228" i="4"/>
  <c r="M228" i="4"/>
  <c r="V227" i="4"/>
  <c r="Q227" i="4"/>
  <c r="K227" i="4"/>
  <c r="AE230" i="4"/>
  <c r="V229" i="4"/>
  <c r="K229" i="4"/>
  <c r="O228" i="4"/>
  <c r="N227" i="4"/>
  <c r="F227" i="4"/>
  <c r="F228" i="4"/>
  <c r="Y231" i="4"/>
  <c r="N231" i="4"/>
  <c r="I231" i="4"/>
  <c r="AB230" i="4"/>
  <c r="X230" i="4"/>
  <c r="T230" i="4"/>
  <c r="G230" i="4"/>
  <c r="P230" i="4" s="1"/>
  <c r="R229" i="4"/>
  <c r="M229" i="4"/>
  <c r="V228" i="4"/>
  <c r="Q228" i="4"/>
  <c r="K228" i="4"/>
  <c r="Z227" i="4"/>
  <c r="U227" i="4"/>
  <c r="O227" i="4"/>
  <c r="J227" i="4"/>
  <c r="F231" i="4"/>
  <c r="H231" i="4"/>
  <c r="R231" i="4"/>
  <c r="M231" i="4"/>
  <c r="Q229" i="4"/>
  <c r="Z228" i="4"/>
  <c r="U228" i="4"/>
  <c r="J228" i="4"/>
  <c r="Y227" i="4"/>
  <c r="I227" i="4"/>
  <c r="Y225" i="4"/>
  <c r="U225" i="4"/>
  <c r="O225" i="4"/>
  <c r="K225" i="4"/>
  <c r="AE224" i="4"/>
  <c r="Z222" i="4"/>
  <c r="U222" i="4"/>
  <c r="N225" i="4"/>
  <c r="J225" i="4"/>
  <c r="AD224" i="4"/>
  <c r="Y222" i="4"/>
  <c r="N222" i="4"/>
  <c r="J222" i="4"/>
  <c r="Z221" i="4"/>
  <c r="V221" i="4"/>
  <c r="Q221" i="4"/>
  <c r="F222" i="4"/>
  <c r="R225" i="4"/>
  <c r="M225" i="4"/>
  <c r="I225" i="4"/>
  <c r="AC224" i="4"/>
  <c r="R222" i="4"/>
  <c r="M222" i="4"/>
  <c r="I222" i="4"/>
  <c r="Y221" i="4"/>
  <c r="U221" i="4"/>
  <c r="O221" i="4"/>
  <c r="K221" i="4"/>
  <c r="F225" i="4"/>
  <c r="F221" i="4"/>
  <c r="Z225" i="4"/>
  <c r="V225" i="4"/>
  <c r="Q225" i="4"/>
  <c r="AB224" i="4"/>
  <c r="X224" i="4"/>
  <c r="T224" i="4"/>
  <c r="G224" i="4"/>
  <c r="P224" i="4" s="1"/>
  <c r="AB223" i="4"/>
  <c r="V222" i="4"/>
  <c r="Q222" i="4"/>
  <c r="N221" i="4"/>
  <c r="J221" i="4"/>
  <c r="F224" i="4"/>
  <c r="O222" i="4"/>
  <c r="K222" i="4"/>
  <c r="R221" i="4"/>
  <c r="M221" i="4"/>
  <c r="I221" i="4"/>
  <c r="F223" i="4"/>
  <c r="R219" i="4"/>
  <c r="M219" i="4"/>
  <c r="F219" i="4"/>
  <c r="AE219" i="4" s="1"/>
  <c r="AB218" i="4"/>
  <c r="X218" i="4"/>
  <c r="T218" i="4"/>
  <c r="G218" i="4"/>
  <c r="P218" i="4" s="1"/>
  <c r="AE216" i="4"/>
  <c r="F216" i="4"/>
  <c r="N215" i="4"/>
  <c r="J215" i="4"/>
  <c r="M215" i="4"/>
  <c r="V215" i="4"/>
  <c r="I219" i="4"/>
  <c r="F217" i="4"/>
  <c r="AC217" i="4" s="1"/>
  <c r="U215" i="4"/>
  <c r="F215" i="4"/>
  <c r="AC215" i="4" s="1"/>
  <c r="V219" i="4"/>
  <c r="Q219" i="4"/>
  <c r="K219" i="4"/>
  <c r="AE218" i="4"/>
  <c r="F218" i="4"/>
  <c r="AB217" i="4"/>
  <c r="X217" i="4"/>
  <c r="AD216" i="4"/>
  <c r="R215" i="4"/>
  <c r="I215" i="4"/>
  <c r="Q215" i="4"/>
  <c r="N219" i="4"/>
  <c r="AC218" i="4"/>
  <c r="X216" i="4"/>
  <c r="Y215" i="4"/>
  <c r="K215" i="4"/>
  <c r="Z219" i="4"/>
  <c r="U219" i="4"/>
  <c r="O219" i="4"/>
  <c r="J219" i="4"/>
  <c r="AD218" i="4"/>
  <c r="AE217" i="4"/>
  <c r="AC216" i="4"/>
  <c r="Z215" i="4"/>
  <c r="Y219" i="4"/>
  <c r="AD217" i="4"/>
  <c r="AB216" i="4"/>
  <c r="O215" i="4"/>
  <c r="H219" i="4"/>
  <c r="X219" i="4"/>
  <c r="AC219" i="4"/>
  <c r="AB219" i="4"/>
  <c r="AD219" i="4"/>
  <c r="L219" i="4"/>
  <c r="T219" i="4"/>
  <c r="G219" i="4"/>
  <c r="P219" i="4" s="1"/>
  <c r="BQ36" i="4"/>
  <c r="BQ35" i="4"/>
  <c r="BP36" i="4"/>
  <c r="BP35" i="4"/>
  <c r="BO36" i="4"/>
  <c r="BO35" i="4"/>
  <c r="BQ30" i="4"/>
  <c r="BQ29" i="4"/>
  <c r="BP30" i="4"/>
  <c r="BP29" i="4"/>
  <c r="BO30" i="4"/>
  <c r="BO29" i="4"/>
  <c r="BH32" i="4"/>
  <c r="AQ233" i="4" l="1"/>
  <c r="AL233" i="4"/>
  <c r="AM233" i="4"/>
  <c r="AY233" i="4"/>
  <c r="AV233" i="4"/>
  <c r="AL237" i="4"/>
  <c r="AU233" i="4"/>
  <c r="AQ237" i="4"/>
  <c r="AM237" i="4"/>
  <c r="AK237" i="4" s="1"/>
  <c r="AN237" i="4" s="1"/>
  <c r="AU228" i="4"/>
  <c r="AV228" i="4"/>
  <c r="AT228" i="4" s="1"/>
  <c r="AW228" i="4" s="1"/>
  <c r="AU229" i="4"/>
  <c r="AV229" i="4"/>
  <c r="AL229" i="4"/>
  <c r="AM229" i="4"/>
  <c r="AE223" i="4"/>
  <c r="H225" i="4"/>
  <c r="AC223" i="4"/>
  <c r="AD223" i="4"/>
  <c r="K244" i="4"/>
  <c r="AL227" i="4"/>
  <c r="AM227" i="4"/>
  <c r="AZ222" i="4"/>
  <c r="AX222" i="4"/>
  <c r="AE225" i="4"/>
  <c r="X225" i="4"/>
  <c r="L225" i="4"/>
  <c r="G225" i="4" s="1"/>
  <c r="P225" i="4" s="1"/>
  <c r="AD225" i="4"/>
  <c r="AB225" i="4"/>
  <c r="AC225" i="4"/>
  <c r="L223" i="4"/>
  <c r="H223" i="4"/>
  <c r="X223" i="4"/>
  <c r="J244" i="4"/>
  <c r="I244" i="4"/>
  <c r="F244" i="4"/>
  <c r="E244" i="4" s="1"/>
  <c r="J226" i="4"/>
  <c r="I226" i="4"/>
  <c r="L217" i="4"/>
  <c r="H217" i="4"/>
  <c r="T217" i="4"/>
  <c r="L216" i="4"/>
  <c r="H216" i="4"/>
  <c r="T216" i="4"/>
  <c r="AD215" i="4"/>
  <c r="H215" i="4"/>
  <c r="AE215" i="4"/>
  <c r="L215" i="4"/>
  <c r="X215" i="4"/>
  <c r="AB215" i="4"/>
  <c r="I238" i="4"/>
  <c r="J238" i="4"/>
  <c r="K238" i="4"/>
  <c r="F238" i="4"/>
  <c r="E238" i="4" s="1"/>
  <c r="K232" i="4"/>
  <c r="I220" i="4"/>
  <c r="J232" i="4"/>
  <c r="I232" i="4"/>
  <c r="K226" i="4"/>
  <c r="AD228" i="4"/>
  <c r="AC228" i="4"/>
  <c r="L228" i="4"/>
  <c r="H228" i="4"/>
  <c r="AE228" i="4"/>
  <c r="X228" i="4"/>
  <c r="AB228" i="4"/>
  <c r="F226" i="4"/>
  <c r="E226" i="4" s="1"/>
  <c r="AE227" i="4"/>
  <c r="X227" i="4"/>
  <c r="AC227" i="4"/>
  <c r="AB227" i="4"/>
  <c r="H227" i="4"/>
  <c r="L227" i="4"/>
  <c r="AD227" i="4"/>
  <c r="F232" i="4"/>
  <c r="E232" i="4" s="1"/>
  <c r="AE231" i="4"/>
  <c r="AB231" i="4"/>
  <c r="AC231" i="4"/>
  <c r="X231" i="4"/>
  <c r="L231" i="4"/>
  <c r="G231" i="4" s="1"/>
  <c r="P231" i="4" s="1"/>
  <c r="AD231" i="4"/>
  <c r="AD229" i="4"/>
  <c r="AC229" i="4"/>
  <c r="L229" i="4"/>
  <c r="H229" i="4"/>
  <c r="AE229" i="4"/>
  <c r="X229" i="4"/>
  <c r="AB229" i="4"/>
  <c r="J220" i="4"/>
  <c r="F220" i="4"/>
  <c r="E220" i="4" s="1"/>
  <c r="K220" i="4"/>
  <c r="BH38" i="4"/>
  <c r="F159" i="4"/>
  <c r="F158" i="4"/>
  <c r="E159" i="4"/>
  <c r="C204" i="4"/>
  <c r="C193" i="4"/>
  <c r="C182" i="4"/>
  <c r="AK233" i="4" l="1"/>
  <c r="AN233" i="4" s="1"/>
  <c r="AT233" i="4"/>
  <c r="AW233" i="4" s="1"/>
  <c r="AN229" i="4"/>
  <c r="AK229" i="4"/>
  <c r="AT229" i="4"/>
  <c r="AW229" i="4" s="1"/>
  <c r="AK227" i="4"/>
  <c r="AN227" i="4" s="1"/>
  <c r="AJ213" i="4"/>
  <c r="AJ211" i="4"/>
  <c r="AJ212" i="4"/>
  <c r="AJ206" i="4"/>
  <c r="AJ209" i="4"/>
  <c r="AJ208" i="4"/>
  <c r="AJ207" i="4"/>
  <c r="AJ210" i="4"/>
  <c r="X207" i="4"/>
  <c r="AJ204" i="4"/>
  <c r="X211" i="4"/>
  <c r="AJ205" i="4"/>
  <c r="X209" i="4"/>
  <c r="Y205" i="4"/>
  <c r="V205" i="4"/>
  <c r="Q205" i="4"/>
  <c r="N205" i="4"/>
  <c r="K205" i="4"/>
  <c r="I204" i="4"/>
  <c r="R204" i="4"/>
  <c r="Y204" i="4"/>
  <c r="V204" i="4"/>
  <c r="Q204" i="4"/>
  <c r="N204" i="4"/>
  <c r="K204" i="4"/>
  <c r="O204" i="4"/>
  <c r="Z205" i="4"/>
  <c r="U205" i="4"/>
  <c r="R205" i="4"/>
  <c r="O205" i="4"/>
  <c r="M205" i="4"/>
  <c r="J205" i="4"/>
  <c r="Z204" i="4"/>
  <c r="U204" i="4"/>
  <c r="M204" i="4"/>
  <c r="J204" i="4"/>
  <c r="T223" i="4"/>
  <c r="AJ194" i="4"/>
  <c r="AJ197" i="4"/>
  <c r="AJ196" i="4"/>
  <c r="AJ193" i="4"/>
  <c r="AJ202" i="4"/>
  <c r="AJ199" i="4"/>
  <c r="AJ198" i="4"/>
  <c r="AJ195" i="4"/>
  <c r="AJ201" i="4"/>
  <c r="AJ200" i="4"/>
  <c r="Y197" i="4"/>
  <c r="N197" i="4"/>
  <c r="I197" i="4"/>
  <c r="Z195" i="4"/>
  <c r="U195" i="4"/>
  <c r="O195" i="4"/>
  <c r="J195" i="4"/>
  <c r="Z197" i="4"/>
  <c r="J197" i="4"/>
  <c r="V195" i="4"/>
  <c r="R197" i="4"/>
  <c r="M197" i="4"/>
  <c r="Y195" i="4"/>
  <c r="N195" i="4"/>
  <c r="I195" i="4"/>
  <c r="O197" i="4"/>
  <c r="Q195" i="4"/>
  <c r="V197" i="4"/>
  <c r="Q197" i="4"/>
  <c r="K197" i="4"/>
  <c r="R195" i="4"/>
  <c r="M195" i="4"/>
  <c r="U197" i="4"/>
  <c r="K195" i="4"/>
  <c r="G228" i="4"/>
  <c r="P228" i="4" s="1"/>
  <c r="G223" i="4"/>
  <c r="P223" i="4" s="1"/>
  <c r="T225" i="4"/>
  <c r="G216" i="4"/>
  <c r="P216" i="4" s="1"/>
  <c r="T215" i="4"/>
  <c r="L220" i="4"/>
  <c r="G217" i="4"/>
  <c r="P217" i="4" s="1"/>
  <c r="H220" i="4"/>
  <c r="G215" i="4"/>
  <c r="AJ188" i="4"/>
  <c r="AJ187" i="4"/>
  <c r="AJ186" i="4"/>
  <c r="AJ191" i="4"/>
  <c r="AJ189" i="4"/>
  <c r="AJ183" i="4"/>
  <c r="AJ190" i="4"/>
  <c r="AJ185" i="4"/>
  <c r="AJ182" i="4"/>
  <c r="AJ184" i="4"/>
  <c r="R191" i="4"/>
  <c r="M191" i="4"/>
  <c r="R185" i="4"/>
  <c r="M185" i="4"/>
  <c r="V184" i="4"/>
  <c r="K184" i="4"/>
  <c r="U184" i="4"/>
  <c r="Y184" i="4"/>
  <c r="V191" i="4"/>
  <c r="Q191" i="4"/>
  <c r="K191" i="4"/>
  <c r="V185" i="4"/>
  <c r="Q185" i="4"/>
  <c r="Z184" i="4"/>
  <c r="J184" i="4"/>
  <c r="N184" i="4"/>
  <c r="Z191" i="4"/>
  <c r="U191" i="4"/>
  <c r="O191" i="4"/>
  <c r="J191" i="4"/>
  <c r="Z185" i="4"/>
  <c r="U185" i="4"/>
  <c r="O185" i="4"/>
  <c r="J185" i="4"/>
  <c r="I184" i="4"/>
  <c r="Y191" i="4"/>
  <c r="N191" i="4"/>
  <c r="Y185" i="4"/>
  <c r="N185" i="4"/>
  <c r="R184" i="4"/>
  <c r="M184" i="4"/>
  <c r="Q184" i="4"/>
  <c r="K185" i="4"/>
  <c r="O184" i="4"/>
  <c r="X194" i="4"/>
  <c r="X198" i="4"/>
  <c r="X202" i="4"/>
  <c r="X200" i="4"/>
  <c r="X196" i="4"/>
  <c r="X201" i="4"/>
  <c r="X199" i="4"/>
  <c r="V213" i="4"/>
  <c r="Q213" i="4"/>
  <c r="K213" i="4"/>
  <c r="Y212" i="4"/>
  <c r="N212" i="4"/>
  <c r="I212" i="4"/>
  <c r="AB211" i="4"/>
  <c r="T211" i="4"/>
  <c r="G211" i="4"/>
  <c r="P211" i="4" s="1"/>
  <c r="AB210" i="4"/>
  <c r="X210" i="4"/>
  <c r="T210" i="4"/>
  <c r="G210" i="4"/>
  <c r="P210" i="4" s="1"/>
  <c r="AB209" i="4"/>
  <c r="T209" i="4"/>
  <c r="G209" i="4"/>
  <c r="P209" i="4" s="1"/>
  <c r="AB208" i="4"/>
  <c r="X208" i="4"/>
  <c r="T208" i="4"/>
  <c r="G208" i="4"/>
  <c r="P208" i="4" s="1"/>
  <c r="AB207" i="4"/>
  <c r="T207" i="4"/>
  <c r="G207" i="4"/>
  <c r="P207" i="4" s="1"/>
  <c r="AB206" i="4"/>
  <c r="X206" i="4"/>
  <c r="T206" i="4"/>
  <c r="G206" i="4"/>
  <c r="P206" i="4" s="1"/>
  <c r="F212" i="4"/>
  <c r="F204" i="4"/>
  <c r="M213" i="4"/>
  <c r="O212" i="4"/>
  <c r="Z213" i="4"/>
  <c r="U213" i="4"/>
  <c r="O213" i="4"/>
  <c r="J213" i="4"/>
  <c r="R212" i="4"/>
  <c r="M212" i="4"/>
  <c r="AE211" i="4"/>
  <c r="AE210" i="4"/>
  <c r="AE209" i="4"/>
  <c r="AE208" i="4"/>
  <c r="AE207" i="4"/>
  <c r="AE206" i="4"/>
  <c r="F208" i="4"/>
  <c r="Z212" i="4"/>
  <c r="J212" i="4"/>
  <c r="AC210" i="4"/>
  <c r="AC209" i="4"/>
  <c r="AC207" i="4"/>
  <c r="Y213" i="4"/>
  <c r="N213" i="4"/>
  <c r="V212" i="4"/>
  <c r="Q212" i="4"/>
  <c r="K212" i="4"/>
  <c r="AD211" i="4"/>
  <c r="AD210" i="4"/>
  <c r="AD209" i="4"/>
  <c r="AD208" i="4"/>
  <c r="AD207" i="4"/>
  <c r="AD206" i="4"/>
  <c r="R213" i="4"/>
  <c r="U212" i="4"/>
  <c r="AC211" i="4"/>
  <c r="AC208" i="4"/>
  <c r="AC206" i="4"/>
  <c r="F210" i="4"/>
  <c r="F206" i="4"/>
  <c r="AE191" i="4"/>
  <c r="V190" i="4"/>
  <c r="Q190" i="4"/>
  <c r="K190" i="4"/>
  <c r="AE189" i="4"/>
  <c r="AB188" i="4"/>
  <c r="X188" i="4"/>
  <c r="T188" i="4"/>
  <c r="G188" i="4"/>
  <c r="P188" i="4" s="1"/>
  <c r="AC187" i="4"/>
  <c r="AD186" i="4"/>
  <c r="Z183" i="4"/>
  <c r="U183" i="4"/>
  <c r="R183" i="4"/>
  <c r="O183" i="4"/>
  <c r="M183" i="4"/>
  <c r="J183" i="4"/>
  <c r="M182" i="4"/>
  <c r="J182" i="4"/>
  <c r="F190" i="4"/>
  <c r="AB189" i="4"/>
  <c r="X189" i="4"/>
  <c r="T189" i="4"/>
  <c r="G189" i="4"/>
  <c r="P189" i="4" s="1"/>
  <c r="AC188" i="4"/>
  <c r="AE186" i="4"/>
  <c r="AB185" i="4"/>
  <c r="Q182" i="4"/>
  <c r="F182" i="4"/>
  <c r="AD191" i="4"/>
  <c r="Z190" i="4"/>
  <c r="U190" i="4"/>
  <c r="O190" i="4"/>
  <c r="J190" i="4"/>
  <c r="AD189" i="4"/>
  <c r="AE188" i="4"/>
  <c r="F188" i="4"/>
  <c r="AB187" i="4"/>
  <c r="X187" i="4"/>
  <c r="T187" i="4"/>
  <c r="G187" i="4"/>
  <c r="P187" i="4" s="1"/>
  <c r="AC186" i="4"/>
  <c r="F184" i="4"/>
  <c r="AE184" i="4" s="1"/>
  <c r="Z182" i="4"/>
  <c r="U182" i="4"/>
  <c r="R182" i="4"/>
  <c r="O182" i="4"/>
  <c r="M190" i="4"/>
  <c r="V182" i="4"/>
  <c r="N182" i="4"/>
  <c r="AC191" i="4"/>
  <c r="Y190" i="4"/>
  <c r="N190" i="4"/>
  <c r="I190" i="4"/>
  <c r="AC189" i="4"/>
  <c r="AD188" i="4"/>
  <c r="AE187" i="4"/>
  <c r="AB186" i="4"/>
  <c r="X186" i="4"/>
  <c r="T186" i="4"/>
  <c r="G186" i="4"/>
  <c r="P186" i="4" s="1"/>
  <c r="Y183" i="4"/>
  <c r="V183" i="4"/>
  <c r="Q183" i="4"/>
  <c r="N183" i="4"/>
  <c r="K183" i="4"/>
  <c r="I182" i="4"/>
  <c r="AB191" i="4"/>
  <c r="R190" i="4"/>
  <c r="AD187" i="4"/>
  <c r="F186" i="4"/>
  <c r="Y182" i="4"/>
  <c r="K182" i="4"/>
  <c r="I183" i="4"/>
  <c r="G229" i="4"/>
  <c r="P229" i="4" s="1"/>
  <c r="L232" i="4"/>
  <c r="T227" i="4"/>
  <c r="T228" i="4"/>
  <c r="T229" i="4"/>
  <c r="G227" i="4"/>
  <c r="H232" i="4"/>
  <c r="T231" i="4"/>
  <c r="Z202" i="4"/>
  <c r="U202" i="4"/>
  <c r="O202" i="4"/>
  <c r="J202" i="4"/>
  <c r="Y201" i="4"/>
  <c r="N201" i="4"/>
  <c r="I201" i="4"/>
  <c r="AC200" i="4"/>
  <c r="G200" i="4"/>
  <c r="P200" i="4" s="1"/>
  <c r="AC199" i="4"/>
  <c r="AD198" i="4"/>
  <c r="AC196" i="4"/>
  <c r="AE194" i="4"/>
  <c r="AC194" i="4"/>
  <c r="Y194" i="4"/>
  <c r="U193" i="4"/>
  <c r="R193" i="4"/>
  <c r="N193" i="4"/>
  <c r="J193" i="4"/>
  <c r="Z201" i="4"/>
  <c r="J201" i="4"/>
  <c r="AD196" i="4"/>
  <c r="R194" i="4"/>
  <c r="J194" i="4"/>
  <c r="Y202" i="4"/>
  <c r="N202" i="4"/>
  <c r="R201" i="4"/>
  <c r="M201" i="4"/>
  <c r="F201" i="4"/>
  <c r="AB200" i="4"/>
  <c r="T200" i="4"/>
  <c r="AB199" i="4"/>
  <c r="T199" i="4"/>
  <c r="G199" i="4"/>
  <c r="P199" i="4" s="1"/>
  <c r="AC198" i="4"/>
  <c r="F197" i="4"/>
  <c r="AB196" i="4"/>
  <c r="T196" i="4"/>
  <c r="Y193" i="4"/>
  <c r="V194" i="4"/>
  <c r="Q194" i="4"/>
  <c r="O194" i="4"/>
  <c r="M194" i="4"/>
  <c r="K194" i="4"/>
  <c r="F193" i="4"/>
  <c r="V202" i="4"/>
  <c r="Q202" i="4"/>
  <c r="K202" i="4"/>
  <c r="O201" i="4"/>
  <c r="G198" i="4"/>
  <c r="F195" i="4"/>
  <c r="U194" i="4"/>
  <c r="H194" i="4"/>
  <c r="R202" i="4"/>
  <c r="M202" i="4"/>
  <c r="V201" i="4"/>
  <c r="Q201" i="4"/>
  <c r="K201" i="4"/>
  <c r="AE200" i="4"/>
  <c r="AE199" i="4"/>
  <c r="F199" i="4"/>
  <c r="AB198" i="4"/>
  <c r="T198" i="4"/>
  <c r="AE196" i="4"/>
  <c r="G196" i="4"/>
  <c r="AD194" i="4"/>
  <c r="AB194" i="4"/>
  <c r="Z194" i="4"/>
  <c r="V193" i="4"/>
  <c r="Q193" i="4"/>
  <c r="O193" i="4"/>
  <c r="M193" i="4"/>
  <c r="K193" i="4"/>
  <c r="I193" i="4"/>
  <c r="U201" i="4"/>
  <c r="AD200" i="4"/>
  <c r="AD199" i="4"/>
  <c r="AE198" i="4"/>
  <c r="Z193" i="4"/>
  <c r="N194" i="4"/>
  <c r="AD201" i="4"/>
  <c r="I202" i="4"/>
  <c r="AB201" i="4"/>
  <c r="L202" i="4"/>
  <c r="AC202" i="4"/>
  <c r="H201" i="4"/>
  <c r="G201" i="4" s="1"/>
  <c r="P201" i="4" s="1"/>
  <c r="AD202" i="4"/>
  <c r="AB202" i="4"/>
  <c r="H202" i="4"/>
  <c r="L201" i="4"/>
  <c r="AC201" i="4"/>
  <c r="T201" i="4" s="1"/>
  <c r="AE201" i="4"/>
  <c r="T202" i="4"/>
  <c r="T194" i="4"/>
  <c r="G194" i="4"/>
  <c r="G202" i="4"/>
  <c r="P202" i="4" s="1"/>
  <c r="C12" i="7"/>
  <c r="I12" i="7" s="1"/>
  <c r="C171" i="4"/>
  <c r="C160" i="4"/>
  <c r="U163" i="4" l="1"/>
  <c r="O163" i="4"/>
  <c r="J163" i="4"/>
  <c r="V162" i="4"/>
  <c r="Q162" i="4"/>
  <c r="Z163" i="4"/>
  <c r="N163" i="4"/>
  <c r="U162" i="4"/>
  <c r="O162" i="4"/>
  <c r="J162" i="4"/>
  <c r="K162" i="4"/>
  <c r="Y163" i="4"/>
  <c r="R163" i="4"/>
  <c r="M163" i="4"/>
  <c r="Z162" i="4"/>
  <c r="N162" i="4"/>
  <c r="I162" i="4"/>
  <c r="V163" i="4"/>
  <c r="Q163" i="4"/>
  <c r="K163" i="4"/>
  <c r="Y162" i="4"/>
  <c r="R162" i="4"/>
  <c r="M162" i="4"/>
  <c r="I213" i="4"/>
  <c r="I205" i="4"/>
  <c r="P215" i="4"/>
  <c r="G220" i="4"/>
  <c r="P220" i="4" s="1"/>
  <c r="J214" i="4"/>
  <c r="P198" i="4"/>
  <c r="P196" i="4"/>
  <c r="AJ180" i="4"/>
  <c r="AJ173" i="4"/>
  <c r="AJ172" i="4"/>
  <c r="AJ175" i="4"/>
  <c r="AJ174" i="4"/>
  <c r="AJ171" i="4"/>
  <c r="AJ178" i="4"/>
  <c r="F171" i="4"/>
  <c r="AJ177" i="4"/>
  <c r="AJ176" i="4"/>
  <c r="AJ179" i="4"/>
  <c r="AO191" i="4"/>
  <c r="AP191" i="4" s="1"/>
  <c r="H191" i="4"/>
  <c r="I191" i="4"/>
  <c r="L191" i="4"/>
  <c r="X191" i="4"/>
  <c r="T191" i="4"/>
  <c r="AD184" i="4"/>
  <c r="L185" i="4"/>
  <c r="H185" i="4"/>
  <c r="I185" i="4"/>
  <c r="AE185" i="4"/>
  <c r="AC185" i="4"/>
  <c r="X185" i="4"/>
  <c r="AD185" i="4"/>
  <c r="AC184" i="4"/>
  <c r="L184" i="4"/>
  <c r="H184" i="4"/>
  <c r="AB184" i="4"/>
  <c r="T184" i="4"/>
  <c r="X184" i="4"/>
  <c r="K192" i="4"/>
  <c r="J192" i="4"/>
  <c r="AJ164" i="4"/>
  <c r="AJ166" i="4"/>
  <c r="AJ165" i="4"/>
  <c r="AJ160" i="4"/>
  <c r="AJ168" i="4"/>
  <c r="AJ167" i="4"/>
  <c r="AJ161" i="4"/>
  <c r="AJ163" i="4"/>
  <c r="AJ169" i="4"/>
  <c r="AJ162" i="4"/>
  <c r="K214" i="4"/>
  <c r="F175" i="4"/>
  <c r="AE175" i="4" s="1"/>
  <c r="K203" i="4"/>
  <c r="P227" i="4"/>
  <c r="G232" i="4"/>
  <c r="P232" i="4" s="1"/>
  <c r="J203" i="4"/>
  <c r="L194" i="4"/>
  <c r="P194" i="4"/>
  <c r="I194" i="4"/>
  <c r="I203" i="4" s="1"/>
  <c r="AE202" i="4"/>
  <c r="R169" i="4"/>
  <c r="M169" i="4"/>
  <c r="Y168" i="4"/>
  <c r="R168" i="4"/>
  <c r="M168" i="4"/>
  <c r="F168" i="4"/>
  <c r="H168" i="4" s="1"/>
  <c r="AB167" i="4"/>
  <c r="X167" i="4"/>
  <c r="AB166" i="4"/>
  <c r="X166" i="4"/>
  <c r="F166" i="4"/>
  <c r="AB165" i="4"/>
  <c r="X165" i="4"/>
  <c r="AB164" i="4"/>
  <c r="X164" i="4"/>
  <c r="F164" i="4"/>
  <c r="Y161" i="4"/>
  <c r="U161" i="4"/>
  <c r="R161" i="4"/>
  <c r="O161" i="4"/>
  <c r="M161" i="4"/>
  <c r="K161" i="4"/>
  <c r="N169" i="4"/>
  <c r="Z168" i="4"/>
  <c r="I168" i="4"/>
  <c r="AC164" i="4"/>
  <c r="F162" i="4"/>
  <c r="Q160" i="4"/>
  <c r="J160" i="4"/>
  <c r="AE169" i="4"/>
  <c r="V169" i="4"/>
  <c r="Q169" i="4"/>
  <c r="K169" i="4"/>
  <c r="V168" i="4"/>
  <c r="Q168" i="4"/>
  <c r="K168" i="4"/>
  <c r="AE167" i="4"/>
  <c r="AE166" i="4"/>
  <c r="AE165" i="4"/>
  <c r="AE164" i="4"/>
  <c r="AE163" i="4"/>
  <c r="Y160" i="4"/>
  <c r="U160" i="4"/>
  <c r="R160" i="4"/>
  <c r="O160" i="4"/>
  <c r="M160" i="4"/>
  <c r="K160" i="4"/>
  <c r="I160" i="4"/>
  <c r="AC165" i="4"/>
  <c r="T165" i="4"/>
  <c r="G165" i="4"/>
  <c r="P165" i="4" s="1"/>
  <c r="V160" i="4"/>
  <c r="L168" i="4"/>
  <c r="AD169" i="4"/>
  <c r="Z169" i="4"/>
  <c r="U169" i="4"/>
  <c r="O169" i="4"/>
  <c r="J169" i="4"/>
  <c r="U168" i="4"/>
  <c r="O168" i="4"/>
  <c r="J168" i="4"/>
  <c r="AD167" i="4"/>
  <c r="AD166" i="4"/>
  <c r="AD165" i="4"/>
  <c r="AD164" i="4"/>
  <c r="Z161" i="4"/>
  <c r="V161" i="4"/>
  <c r="X161" i="4" s="1"/>
  <c r="Q161" i="4"/>
  <c r="N161" i="4"/>
  <c r="J161" i="4"/>
  <c r="AC169" i="4"/>
  <c r="Y169" i="4"/>
  <c r="N168" i="4"/>
  <c r="AC167" i="4"/>
  <c r="T167" i="4"/>
  <c r="G167" i="4"/>
  <c r="P167" i="4" s="1"/>
  <c r="AC166" i="4"/>
  <c r="T166" i="4"/>
  <c r="G166" i="4"/>
  <c r="P166" i="4" s="1"/>
  <c r="T164" i="4"/>
  <c r="G164" i="4"/>
  <c r="P164" i="4" s="1"/>
  <c r="Z160" i="4"/>
  <c r="AB160" i="4" s="1"/>
  <c r="N160" i="4"/>
  <c r="F160" i="4"/>
  <c r="AC161" i="4" s="1"/>
  <c r="X168" i="4"/>
  <c r="AB168" i="4"/>
  <c r="AE168" i="4"/>
  <c r="X163" i="4"/>
  <c r="AC163" i="4"/>
  <c r="AC168" i="4"/>
  <c r="AD162" i="4"/>
  <c r="AB163" i="4"/>
  <c r="AD168" i="4"/>
  <c r="AE162" i="4"/>
  <c r="X162" i="4"/>
  <c r="AE180" i="4"/>
  <c r="G180" i="4"/>
  <c r="P180" i="4" s="1"/>
  <c r="AB179" i="4"/>
  <c r="X179" i="4"/>
  <c r="T179" i="4"/>
  <c r="G179" i="4"/>
  <c r="P179" i="4" s="1"/>
  <c r="AB178" i="4"/>
  <c r="X178" i="4"/>
  <c r="T178" i="4"/>
  <c r="G178" i="4"/>
  <c r="P178" i="4" s="1"/>
  <c r="AB177" i="4"/>
  <c r="X177" i="4"/>
  <c r="T177" i="4"/>
  <c r="G177" i="4"/>
  <c r="P177" i="4" s="1"/>
  <c r="V176" i="4"/>
  <c r="Q176" i="4"/>
  <c r="Z175" i="4"/>
  <c r="U175" i="4"/>
  <c r="O175" i="4"/>
  <c r="J175" i="4"/>
  <c r="AC174" i="4"/>
  <c r="R173" i="4"/>
  <c r="M173" i="4"/>
  <c r="I173" i="4"/>
  <c r="AE171" i="4"/>
  <c r="AC171" i="4"/>
  <c r="Y171" i="4"/>
  <c r="U171" i="4"/>
  <c r="AD180" i="4"/>
  <c r="AE179" i="4"/>
  <c r="AE178" i="4"/>
  <c r="AE177" i="4"/>
  <c r="AE176" i="4"/>
  <c r="Z176" i="4"/>
  <c r="U176" i="4"/>
  <c r="O176" i="4"/>
  <c r="K176" i="4"/>
  <c r="AD175" i="4"/>
  <c r="Y175" i="4"/>
  <c r="N175" i="4"/>
  <c r="I175" i="4"/>
  <c r="AB174" i="4"/>
  <c r="X174" i="4"/>
  <c r="T174" i="4"/>
  <c r="G174" i="4"/>
  <c r="V173" i="4"/>
  <c r="Q173" i="4"/>
  <c r="AD172" i="4"/>
  <c r="AB172" i="4"/>
  <c r="X172" i="4"/>
  <c r="T172" i="4"/>
  <c r="R171" i="4"/>
  <c r="N171" i="4"/>
  <c r="L171" i="4"/>
  <c r="J171" i="4"/>
  <c r="AC180" i="4"/>
  <c r="AD179" i="4"/>
  <c r="AD178" i="4"/>
  <c r="AD177" i="4"/>
  <c r="AD176" i="4"/>
  <c r="Y176" i="4"/>
  <c r="AB176" i="4" s="1"/>
  <c r="N176" i="4"/>
  <c r="J176" i="4"/>
  <c r="R175" i="4"/>
  <c r="M175" i="4"/>
  <c r="AE174" i="4"/>
  <c r="Z173" i="4"/>
  <c r="U173" i="4"/>
  <c r="O173" i="4"/>
  <c r="K173" i="4"/>
  <c r="AD171" i="4"/>
  <c r="Z171" i="4"/>
  <c r="V171" i="4"/>
  <c r="X171" i="4" s="1"/>
  <c r="G172" i="4"/>
  <c r="AB180" i="4"/>
  <c r="X180" i="4"/>
  <c r="T180" i="4"/>
  <c r="AC179" i="4"/>
  <c r="AC178" i="4"/>
  <c r="AC177" i="4"/>
  <c r="AC176" i="4"/>
  <c r="R176" i="4"/>
  <c r="M176" i="4"/>
  <c r="V175" i="4"/>
  <c r="Q175" i="4"/>
  <c r="K175" i="4"/>
  <c r="AD174" i="4"/>
  <c r="Y173" i="4"/>
  <c r="N173" i="4"/>
  <c r="J173" i="4"/>
  <c r="AE172" i="4"/>
  <c r="AC172" i="4"/>
  <c r="Q171" i="4"/>
  <c r="O171" i="4"/>
  <c r="M171" i="4"/>
  <c r="K171" i="4"/>
  <c r="I171" i="4"/>
  <c r="F179" i="4"/>
  <c r="F177" i="4"/>
  <c r="F173" i="4"/>
  <c r="X176" i="4"/>
  <c r="T176" i="4"/>
  <c r="O12" i="7"/>
  <c r="K12" i="7"/>
  <c r="N12" i="7"/>
  <c r="L12" i="7"/>
  <c r="M12" i="7"/>
  <c r="J12" i="7"/>
  <c r="C11" i="7"/>
  <c r="C10" i="7"/>
  <c r="L163" i="4" l="1"/>
  <c r="I163" i="4"/>
  <c r="H163" i="4"/>
  <c r="AB162" i="4"/>
  <c r="AC162" i="4"/>
  <c r="T162" i="4" s="1"/>
  <c r="AD163" i="4"/>
  <c r="T163" i="4" s="1"/>
  <c r="L162" i="4"/>
  <c r="H162" i="4"/>
  <c r="L11" i="7"/>
  <c r="G11" i="7"/>
  <c r="F11" i="7"/>
  <c r="D11" i="7"/>
  <c r="E11" i="7"/>
  <c r="L10" i="7"/>
  <c r="I214" i="4"/>
  <c r="T185" i="4"/>
  <c r="G184" i="4"/>
  <c r="P184" i="4" s="1"/>
  <c r="AL191" i="4"/>
  <c r="AK191" i="4" s="1"/>
  <c r="I192" i="4"/>
  <c r="G191" i="4"/>
  <c r="P191" i="4" s="1"/>
  <c r="G185" i="4"/>
  <c r="P185" i="4" s="1"/>
  <c r="H175" i="4"/>
  <c r="L173" i="4"/>
  <c r="L175" i="4"/>
  <c r="G175" i="4" s="1"/>
  <c r="P175" i="4" s="1"/>
  <c r="X175" i="4"/>
  <c r="T171" i="4"/>
  <c r="AB171" i="4"/>
  <c r="AB175" i="4"/>
  <c r="AC175" i="4"/>
  <c r="AD173" i="4"/>
  <c r="X173" i="4"/>
  <c r="AB173" i="4"/>
  <c r="AE173" i="4"/>
  <c r="AC173" i="4"/>
  <c r="G168" i="4"/>
  <c r="P168" i="4" s="1"/>
  <c r="AB169" i="4"/>
  <c r="X169" i="4"/>
  <c r="T169" i="4"/>
  <c r="T168" i="4"/>
  <c r="AY160" i="4"/>
  <c r="AU160" i="4"/>
  <c r="AZ160" i="4"/>
  <c r="AV160" i="4"/>
  <c r="AE161" i="4"/>
  <c r="X160" i="4"/>
  <c r="AD161" i="4"/>
  <c r="AE160" i="4"/>
  <c r="AB161" i="4"/>
  <c r="L160" i="4"/>
  <c r="AD160" i="4"/>
  <c r="AC160" i="4"/>
  <c r="K170" i="4"/>
  <c r="J170" i="4"/>
  <c r="L169" i="4"/>
  <c r="I161" i="4"/>
  <c r="I169" i="4"/>
  <c r="H161" i="4"/>
  <c r="H160" i="4"/>
  <c r="G160" i="4" s="1"/>
  <c r="P160" i="4" s="1"/>
  <c r="L161" i="4"/>
  <c r="H169" i="4"/>
  <c r="H171" i="4"/>
  <c r="G171" i="4" s="1"/>
  <c r="P171" i="4" s="1"/>
  <c r="I172" i="4"/>
  <c r="L172" i="4"/>
  <c r="H172" i="4"/>
  <c r="K181" i="4"/>
  <c r="I176" i="4"/>
  <c r="G176" i="4" s="1"/>
  <c r="P176" i="4" s="1"/>
  <c r="J181" i="4"/>
  <c r="P172" i="4"/>
  <c r="H173" i="4"/>
  <c r="G173" i="4" s="1"/>
  <c r="P173" i="4" s="1"/>
  <c r="P174" i="4"/>
  <c r="H176" i="4"/>
  <c r="L176" i="4"/>
  <c r="O10" i="7"/>
  <c r="N10" i="7"/>
  <c r="O11" i="7"/>
  <c r="N11" i="7"/>
  <c r="M11" i="7"/>
  <c r="M10" i="7"/>
  <c r="K11" i="7"/>
  <c r="K10" i="7"/>
  <c r="J10" i="7"/>
  <c r="J11" i="7"/>
  <c r="I11" i="7"/>
  <c r="I10" i="7"/>
  <c r="G163" i="4" l="1"/>
  <c r="P163" i="4" s="1"/>
  <c r="AO162" i="4"/>
  <c r="AP162" i="4" s="1"/>
  <c r="AX163" i="4"/>
  <c r="G162" i="4"/>
  <c r="P162" i="4" s="1"/>
  <c r="AN191" i="4"/>
  <c r="T173" i="4"/>
  <c r="T175" i="4"/>
  <c r="T161" i="4"/>
  <c r="G169" i="4"/>
  <c r="P169" i="4" s="1"/>
  <c r="AT160" i="4"/>
  <c r="AW160" i="4"/>
  <c r="AX160" i="4"/>
  <c r="T160" i="4"/>
  <c r="G161" i="4"/>
  <c r="L170" i="4"/>
  <c r="I170" i="4"/>
  <c r="H170" i="4"/>
  <c r="I181" i="4"/>
  <c r="L181" i="4"/>
  <c r="G181" i="4"/>
  <c r="H181" i="4"/>
  <c r="P181" i="4" l="1"/>
  <c r="P161" i="4"/>
  <c r="G170" i="4"/>
  <c r="P170" i="4" l="1"/>
  <c r="A8" i="6"/>
  <c r="A7" i="6"/>
  <c r="A6" i="6"/>
  <c r="C159" i="4" l="1"/>
  <c r="C158" i="4"/>
  <c r="J8" i="7" l="1"/>
  <c r="O8" i="7"/>
  <c r="M8" i="7"/>
  <c r="K8" i="7"/>
  <c r="C8" i="7"/>
  <c r="N8" i="7"/>
  <c r="L8" i="7"/>
  <c r="I8" i="7"/>
  <c r="C9" i="7"/>
  <c r="N9" i="7"/>
  <c r="L9" i="7"/>
  <c r="J9" i="7"/>
  <c r="I9" i="7"/>
  <c r="O9" i="7"/>
  <c r="M9" i="7"/>
  <c r="K9" i="7"/>
  <c r="C152" i="4"/>
  <c r="C146" i="4"/>
  <c r="C140" i="4"/>
  <c r="C134" i="4"/>
  <c r="C128" i="4"/>
  <c r="C122" i="4"/>
  <c r="C116" i="4"/>
  <c r="C110" i="4"/>
  <c r="C104" i="4"/>
  <c r="C98" i="4"/>
  <c r="C92" i="4"/>
  <c r="C86" i="4"/>
  <c r="C80" i="4"/>
  <c r="C74" i="4"/>
  <c r="C68" i="4"/>
  <c r="C62" i="4"/>
  <c r="R31" i="3"/>
  <c r="Q31" i="3"/>
  <c r="R26" i="3"/>
  <c r="Q26" i="3"/>
  <c r="R21" i="3"/>
  <c r="Q21" i="3"/>
  <c r="O31" i="3"/>
  <c r="N31" i="3"/>
  <c r="O26" i="3"/>
  <c r="N26" i="3"/>
  <c r="O21" i="3"/>
  <c r="N21" i="3"/>
  <c r="Y129" i="4" l="1"/>
  <c r="N129" i="4"/>
  <c r="I129" i="4"/>
  <c r="U129" i="4"/>
  <c r="J129" i="4"/>
  <c r="R129" i="4"/>
  <c r="M129" i="4"/>
  <c r="V129" i="4"/>
  <c r="Q129" i="4"/>
  <c r="K129" i="4"/>
  <c r="Z129" i="4"/>
  <c r="O129" i="4"/>
  <c r="Z106" i="4"/>
  <c r="U106" i="4"/>
  <c r="O106" i="4"/>
  <c r="J106" i="4"/>
  <c r="Y105" i="4"/>
  <c r="N105" i="4"/>
  <c r="I105" i="4"/>
  <c r="R104" i="4"/>
  <c r="M104" i="4"/>
  <c r="Y106" i="4"/>
  <c r="N106" i="4"/>
  <c r="I106" i="4"/>
  <c r="R105" i="4"/>
  <c r="M105" i="4"/>
  <c r="V104" i="4"/>
  <c r="Q104" i="4"/>
  <c r="K104" i="4"/>
  <c r="R106" i="4"/>
  <c r="M106" i="4"/>
  <c r="V105" i="4"/>
  <c r="Q105" i="4"/>
  <c r="K105" i="4"/>
  <c r="Z104" i="4"/>
  <c r="U104" i="4"/>
  <c r="O104" i="4"/>
  <c r="J104" i="4"/>
  <c r="V106" i="4"/>
  <c r="Q106" i="4"/>
  <c r="K106" i="4"/>
  <c r="Z105" i="4"/>
  <c r="U105" i="4"/>
  <c r="O105" i="4"/>
  <c r="J105" i="4"/>
  <c r="Y104" i="4"/>
  <c r="N104" i="4"/>
  <c r="I104" i="4"/>
  <c r="I109" i="4" s="1"/>
  <c r="Z100" i="4"/>
  <c r="U100" i="4"/>
  <c r="O100" i="4"/>
  <c r="J100" i="4"/>
  <c r="Y99" i="4"/>
  <c r="N99" i="4"/>
  <c r="Y100" i="4"/>
  <c r="N100" i="4"/>
  <c r="I100" i="4"/>
  <c r="R99" i="4"/>
  <c r="M99" i="4"/>
  <c r="O99" i="4"/>
  <c r="R100" i="4"/>
  <c r="M100" i="4"/>
  <c r="V99" i="4"/>
  <c r="Q99" i="4"/>
  <c r="K99" i="4"/>
  <c r="I99" i="4"/>
  <c r="V100" i="4"/>
  <c r="Q100" i="4"/>
  <c r="K100" i="4"/>
  <c r="Z99" i="4"/>
  <c r="U99" i="4"/>
  <c r="J99" i="4"/>
  <c r="Y76" i="4"/>
  <c r="N76" i="4"/>
  <c r="I76" i="4"/>
  <c r="R75" i="4"/>
  <c r="M75" i="4"/>
  <c r="V74" i="4"/>
  <c r="Q74" i="4"/>
  <c r="K74" i="4"/>
  <c r="R76" i="4"/>
  <c r="M76" i="4"/>
  <c r="V75" i="4"/>
  <c r="Q75" i="4"/>
  <c r="K75" i="4"/>
  <c r="Z74" i="4"/>
  <c r="U74" i="4"/>
  <c r="O74" i="4"/>
  <c r="J74" i="4"/>
  <c r="V76" i="4"/>
  <c r="Q76" i="4"/>
  <c r="K76" i="4"/>
  <c r="Z75" i="4"/>
  <c r="U75" i="4"/>
  <c r="O75" i="4"/>
  <c r="J75" i="4"/>
  <c r="Y74" i="4"/>
  <c r="N74" i="4"/>
  <c r="I74" i="4"/>
  <c r="Z76" i="4"/>
  <c r="U76" i="4"/>
  <c r="O76" i="4"/>
  <c r="J76" i="4"/>
  <c r="Y75" i="4"/>
  <c r="N75" i="4"/>
  <c r="I75" i="4"/>
  <c r="R74" i="4"/>
  <c r="M74" i="4"/>
  <c r="Z70" i="4"/>
  <c r="U70" i="4"/>
  <c r="O70" i="4"/>
  <c r="J70" i="4"/>
  <c r="Y69" i="4"/>
  <c r="N69" i="4"/>
  <c r="I69" i="4"/>
  <c r="K70" i="4"/>
  <c r="O69" i="4"/>
  <c r="Y70" i="4"/>
  <c r="N70" i="4"/>
  <c r="I70" i="4"/>
  <c r="R69" i="4"/>
  <c r="M69" i="4"/>
  <c r="Q70" i="4"/>
  <c r="Z69" i="4"/>
  <c r="J69" i="4"/>
  <c r="R70" i="4"/>
  <c r="M70" i="4"/>
  <c r="V69" i="4"/>
  <c r="Q69" i="4"/>
  <c r="K69" i="4"/>
  <c r="V70" i="4"/>
  <c r="U69" i="4"/>
  <c r="H9" i="7"/>
  <c r="D9" i="7"/>
  <c r="F9" i="7"/>
  <c r="E9" i="7"/>
  <c r="G9" i="7"/>
  <c r="H8" i="7"/>
  <c r="D8" i="7"/>
  <c r="E8" i="7"/>
  <c r="F207" i="4"/>
  <c r="F194" i="4"/>
  <c r="F191" i="4"/>
  <c r="F187" i="4"/>
  <c r="F183" i="4"/>
  <c r="F185" i="4"/>
  <c r="F209" i="4"/>
  <c r="F213" i="4"/>
  <c r="F205" i="4"/>
  <c r="F198" i="4"/>
  <c r="F189" i="4"/>
  <c r="F172" i="4"/>
  <c r="F211" i="4"/>
  <c r="F202" i="4"/>
  <c r="F200" i="4"/>
  <c r="F196" i="4"/>
  <c r="F180" i="4"/>
  <c r="F163" i="4"/>
  <c r="F152" i="4"/>
  <c r="F178" i="4"/>
  <c r="F167" i="4"/>
  <c r="F176" i="4"/>
  <c r="F165" i="4"/>
  <c r="F174" i="4"/>
  <c r="F161" i="4"/>
  <c r="F169" i="4"/>
  <c r="AJ64" i="4"/>
  <c r="AJ62" i="4"/>
  <c r="Z66" i="4"/>
  <c r="U66" i="4"/>
  <c r="O66" i="4"/>
  <c r="J66" i="4"/>
  <c r="AD65" i="4"/>
  <c r="V64" i="4"/>
  <c r="Q64" i="4"/>
  <c r="K64" i="4"/>
  <c r="AE63" i="4"/>
  <c r="F63" i="4"/>
  <c r="R62" i="4"/>
  <c r="N62" i="4"/>
  <c r="F62" i="4"/>
  <c r="R66" i="4"/>
  <c r="F66" i="4"/>
  <c r="AB65" i="4"/>
  <c r="X65" i="4"/>
  <c r="G65" i="4"/>
  <c r="P65" i="4" s="1"/>
  <c r="I64" i="4"/>
  <c r="U62" i="4"/>
  <c r="K62" i="4"/>
  <c r="AJ66" i="4"/>
  <c r="Q66" i="4"/>
  <c r="AE65" i="4"/>
  <c r="F65" i="4"/>
  <c r="M64" i="4"/>
  <c r="AB63" i="4"/>
  <c r="T63" i="4"/>
  <c r="Y62" i="4"/>
  <c r="O62" i="4"/>
  <c r="AJ65" i="4"/>
  <c r="Y66" i="4"/>
  <c r="N66" i="4"/>
  <c r="I66" i="4"/>
  <c r="AC65" i="4"/>
  <c r="Z64" i="4"/>
  <c r="U64" i="4"/>
  <c r="O64" i="4"/>
  <c r="J64" i="4"/>
  <c r="AD63" i="4"/>
  <c r="V62" i="4"/>
  <c r="Q62" i="4"/>
  <c r="M62" i="4"/>
  <c r="AJ63" i="4"/>
  <c r="M66" i="4"/>
  <c r="T65" i="4"/>
  <c r="Y64" i="4"/>
  <c r="N64" i="4"/>
  <c r="AC63" i="4"/>
  <c r="Z62" i="4"/>
  <c r="I62" i="4"/>
  <c r="V66" i="4"/>
  <c r="K66" i="4"/>
  <c r="R64" i="4"/>
  <c r="F64" i="4"/>
  <c r="X63" i="4"/>
  <c r="G63" i="4"/>
  <c r="P63" i="4" s="1"/>
  <c r="J62" i="4"/>
  <c r="AJ138" i="4"/>
  <c r="AJ135" i="4"/>
  <c r="AJ134" i="4"/>
  <c r="AC138" i="4"/>
  <c r="AD137" i="4"/>
  <c r="AE136" i="4"/>
  <c r="F136" i="4"/>
  <c r="AB135" i="4"/>
  <c r="X135" i="4"/>
  <c r="T135" i="4"/>
  <c r="G135" i="4"/>
  <c r="P135" i="4" s="1"/>
  <c r="AC134" i="4"/>
  <c r="AB138" i="4"/>
  <c r="X138" i="4"/>
  <c r="T138" i="4"/>
  <c r="G138" i="4"/>
  <c r="P138" i="4" s="1"/>
  <c r="AC137" i="4"/>
  <c r="AD136" i="4"/>
  <c r="AE135" i="4"/>
  <c r="F135" i="4"/>
  <c r="AB134" i="4"/>
  <c r="X134" i="4"/>
  <c r="T134" i="4"/>
  <c r="G134" i="4"/>
  <c r="AJ137" i="4"/>
  <c r="AJ136" i="4"/>
  <c r="AE138" i="4"/>
  <c r="F138" i="4"/>
  <c r="AB137" i="4"/>
  <c r="X137" i="4"/>
  <c r="T137" i="4"/>
  <c r="G137" i="4"/>
  <c r="P137" i="4" s="1"/>
  <c r="AC136" i="4"/>
  <c r="AD135" i="4"/>
  <c r="AE134" i="4"/>
  <c r="F134" i="4"/>
  <c r="AE137" i="4"/>
  <c r="AC135" i="4"/>
  <c r="F137" i="4"/>
  <c r="AD138" i="4"/>
  <c r="AB136" i="4"/>
  <c r="X136" i="4"/>
  <c r="T136" i="4"/>
  <c r="G136" i="4"/>
  <c r="P136" i="4" s="1"/>
  <c r="AD134" i="4"/>
  <c r="AJ68" i="4"/>
  <c r="Y72" i="4"/>
  <c r="N72" i="4"/>
  <c r="I72" i="4"/>
  <c r="AC71" i="4"/>
  <c r="G71" i="4"/>
  <c r="P71" i="4" s="1"/>
  <c r="AC70" i="4"/>
  <c r="Y68" i="4"/>
  <c r="N68" i="4"/>
  <c r="I68" i="4"/>
  <c r="V72" i="4"/>
  <c r="K72" i="4"/>
  <c r="K68" i="4"/>
  <c r="AJ72" i="4"/>
  <c r="AJ69" i="4"/>
  <c r="F68" i="4"/>
  <c r="R72" i="4"/>
  <c r="M72" i="4"/>
  <c r="F72" i="4"/>
  <c r="AB71" i="4"/>
  <c r="X71" i="4"/>
  <c r="T71" i="4"/>
  <c r="F71" i="4"/>
  <c r="AB70" i="4"/>
  <c r="X70" i="4"/>
  <c r="F70" i="4"/>
  <c r="F69" i="4"/>
  <c r="AE69" i="4" s="1"/>
  <c r="R68" i="4"/>
  <c r="M68" i="4"/>
  <c r="Q72" i="4"/>
  <c r="AE71" i="4"/>
  <c r="AE70" i="4"/>
  <c r="V68" i="4"/>
  <c r="Q68" i="4"/>
  <c r="J72" i="4"/>
  <c r="AD70" i="4"/>
  <c r="O72" i="4"/>
  <c r="U72" i="4"/>
  <c r="AD71" i="4"/>
  <c r="Z68" i="4"/>
  <c r="O68" i="4"/>
  <c r="AJ71" i="4"/>
  <c r="AJ70" i="4"/>
  <c r="J68" i="4"/>
  <c r="Z72" i="4"/>
  <c r="U68" i="4"/>
  <c r="AE93" i="4"/>
  <c r="F96" i="4"/>
  <c r="F92" i="4"/>
  <c r="F95" i="4"/>
  <c r="F93" i="4"/>
  <c r="AE94" i="4"/>
  <c r="F94" i="4"/>
  <c r="AE95" i="4"/>
  <c r="Z96" i="4"/>
  <c r="U96" i="4"/>
  <c r="O96" i="4"/>
  <c r="J96" i="4"/>
  <c r="AB95" i="4"/>
  <c r="X95" i="4"/>
  <c r="T95" i="4"/>
  <c r="AD94" i="4"/>
  <c r="AB93" i="4"/>
  <c r="X93" i="4"/>
  <c r="T93" i="4"/>
  <c r="V92" i="4"/>
  <c r="Q92" i="4"/>
  <c r="K92" i="4"/>
  <c r="M96" i="4"/>
  <c r="X94" i="4"/>
  <c r="Y92" i="4"/>
  <c r="N92" i="4"/>
  <c r="AJ95" i="4"/>
  <c r="AJ94" i="4"/>
  <c r="Y96" i="4"/>
  <c r="N96" i="4"/>
  <c r="I96" i="4"/>
  <c r="AC94" i="4"/>
  <c r="G94" i="4"/>
  <c r="P94" i="4" s="1"/>
  <c r="Z92" i="4"/>
  <c r="U92" i="4"/>
  <c r="O92" i="4"/>
  <c r="J92" i="4"/>
  <c r="AJ96" i="4"/>
  <c r="AJ92" i="4"/>
  <c r="R96" i="4"/>
  <c r="AD95" i="4"/>
  <c r="AB94" i="4"/>
  <c r="T94" i="4"/>
  <c r="AD93" i="4"/>
  <c r="I92" i="4"/>
  <c r="V96" i="4"/>
  <c r="AC95" i="4"/>
  <c r="M92" i="4"/>
  <c r="G93" i="4"/>
  <c r="P93" i="4" s="1"/>
  <c r="R92" i="4"/>
  <c r="G95" i="4"/>
  <c r="P95" i="4" s="1"/>
  <c r="Q96" i="4"/>
  <c r="AC93" i="4"/>
  <c r="AJ93" i="4"/>
  <c r="K96" i="4"/>
  <c r="AC120" i="4"/>
  <c r="AD119" i="4"/>
  <c r="AE118" i="4"/>
  <c r="F118" i="4"/>
  <c r="AB117" i="4"/>
  <c r="X117" i="4"/>
  <c r="T117" i="4"/>
  <c r="G117" i="4"/>
  <c r="P117" i="4" s="1"/>
  <c r="AC116" i="4"/>
  <c r="AJ119" i="4"/>
  <c r="AJ118" i="4"/>
  <c r="AB120" i="4"/>
  <c r="X120" i="4"/>
  <c r="T120" i="4"/>
  <c r="G120" i="4"/>
  <c r="P120" i="4" s="1"/>
  <c r="AC119" i="4"/>
  <c r="AD118" i="4"/>
  <c r="AE117" i="4"/>
  <c r="F117" i="4"/>
  <c r="AB116" i="4"/>
  <c r="X116" i="4"/>
  <c r="T116" i="4"/>
  <c r="G116" i="4"/>
  <c r="AJ120" i="4"/>
  <c r="AJ117" i="4"/>
  <c r="AJ116" i="4"/>
  <c r="F119" i="4"/>
  <c r="AC117" i="4"/>
  <c r="AE120" i="4"/>
  <c r="AB118" i="4"/>
  <c r="T118" i="4"/>
  <c r="AE116" i="4"/>
  <c r="AB119" i="4"/>
  <c r="T119" i="4"/>
  <c r="F120" i="4"/>
  <c r="AC118" i="4"/>
  <c r="F116" i="4"/>
  <c r="AE119" i="4"/>
  <c r="X118" i="4"/>
  <c r="G118" i="4"/>
  <c r="P118" i="4" s="1"/>
  <c r="AD120" i="4"/>
  <c r="X119" i="4"/>
  <c r="G119" i="4"/>
  <c r="P119" i="4" s="1"/>
  <c r="AD117" i="4"/>
  <c r="AD116" i="4"/>
  <c r="F141" i="4"/>
  <c r="AJ144" i="4"/>
  <c r="AJ141" i="4"/>
  <c r="AJ140" i="4"/>
  <c r="AC144" i="4"/>
  <c r="AC143" i="4"/>
  <c r="AC142" i="4"/>
  <c r="AC141" i="4"/>
  <c r="AC140" i="4"/>
  <c r="F144" i="4"/>
  <c r="F140" i="4"/>
  <c r="AB144" i="4"/>
  <c r="X144" i="4"/>
  <c r="T144" i="4"/>
  <c r="G144" i="4"/>
  <c r="P144" i="4" s="1"/>
  <c r="AB143" i="4"/>
  <c r="X143" i="4"/>
  <c r="T143" i="4"/>
  <c r="G143" i="4"/>
  <c r="P143" i="4" s="1"/>
  <c r="AB142" i="4"/>
  <c r="X142" i="4"/>
  <c r="T142" i="4"/>
  <c r="G142" i="4"/>
  <c r="P142" i="4" s="1"/>
  <c r="AB141" i="4"/>
  <c r="X141" i="4"/>
  <c r="T141" i="4"/>
  <c r="G141" i="4"/>
  <c r="P141" i="4" s="1"/>
  <c r="AB140" i="4"/>
  <c r="X140" i="4"/>
  <c r="T140" i="4"/>
  <c r="G140" i="4"/>
  <c r="F143" i="4"/>
  <c r="AJ143" i="4"/>
  <c r="AJ142" i="4"/>
  <c r="AE144" i="4"/>
  <c r="AE143" i="4"/>
  <c r="AE142" i="4"/>
  <c r="AE141" i="4"/>
  <c r="AE140" i="4"/>
  <c r="F142" i="4"/>
  <c r="AD144" i="4"/>
  <c r="AD142" i="4"/>
  <c r="AD140" i="4"/>
  <c r="AD143" i="4"/>
  <c r="AD141" i="4"/>
  <c r="AJ114" i="4"/>
  <c r="AJ111" i="4"/>
  <c r="AJ110" i="4"/>
  <c r="AC114" i="4"/>
  <c r="AD113" i="4"/>
  <c r="AE112" i="4"/>
  <c r="F112" i="4"/>
  <c r="AB111" i="4"/>
  <c r="X111" i="4"/>
  <c r="T111" i="4"/>
  <c r="G111" i="4"/>
  <c r="P111" i="4" s="1"/>
  <c r="AC110" i="4"/>
  <c r="AB114" i="4"/>
  <c r="X114" i="4"/>
  <c r="T114" i="4"/>
  <c r="G114" i="4"/>
  <c r="P114" i="4" s="1"/>
  <c r="AC113" i="4"/>
  <c r="AD112" i="4"/>
  <c r="AE111" i="4"/>
  <c r="F111" i="4"/>
  <c r="AB110" i="4"/>
  <c r="X110" i="4"/>
  <c r="T110" i="4"/>
  <c r="G110" i="4"/>
  <c r="AJ113" i="4"/>
  <c r="AE114" i="4"/>
  <c r="AE113" i="4"/>
  <c r="AB112" i="4"/>
  <c r="X112" i="4"/>
  <c r="T112" i="4"/>
  <c r="G112" i="4"/>
  <c r="P112" i="4" s="1"/>
  <c r="AE110" i="4"/>
  <c r="F113" i="4"/>
  <c r="AJ112" i="4"/>
  <c r="F114" i="4"/>
  <c r="AC112" i="4"/>
  <c r="AD114" i="4"/>
  <c r="AB113" i="4"/>
  <c r="X113" i="4"/>
  <c r="T113" i="4"/>
  <c r="G113" i="4"/>
  <c r="P113" i="4" s="1"/>
  <c r="AD111" i="4"/>
  <c r="AD110" i="4"/>
  <c r="AC111" i="4"/>
  <c r="F110" i="4"/>
  <c r="AE77" i="4"/>
  <c r="F77" i="4"/>
  <c r="F76" i="4"/>
  <c r="AC76" i="4" s="1"/>
  <c r="AE78" i="4"/>
  <c r="F74" i="4"/>
  <c r="AE74" i="4" s="1"/>
  <c r="F75" i="4"/>
  <c r="AE75" i="4"/>
  <c r="F78" i="4"/>
  <c r="AJ78" i="4"/>
  <c r="AC78" i="4"/>
  <c r="G78" i="4"/>
  <c r="P78" i="4" s="1"/>
  <c r="AJ74" i="4"/>
  <c r="AC77" i="4"/>
  <c r="AJ75" i="4"/>
  <c r="AB78" i="4"/>
  <c r="X78" i="4"/>
  <c r="T78" i="4"/>
  <c r="AD77" i="4"/>
  <c r="AB76" i="4"/>
  <c r="AD75" i="4"/>
  <c r="G77" i="4"/>
  <c r="P77" i="4" s="1"/>
  <c r="AC75" i="4"/>
  <c r="AD78" i="4"/>
  <c r="AJ76" i="4"/>
  <c r="AB77" i="4"/>
  <c r="X77" i="4"/>
  <c r="T77" i="4"/>
  <c r="AB75" i="4"/>
  <c r="X75" i="4"/>
  <c r="AJ77" i="4"/>
  <c r="Y102" i="4"/>
  <c r="N102" i="4"/>
  <c r="I102" i="4"/>
  <c r="AC101" i="4"/>
  <c r="AJ101" i="4"/>
  <c r="AJ100" i="4"/>
  <c r="R102" i="4"/>
  <c r="M102" i="4"/>
  <c r="F102" i="4"/>
  <c r="AB101" i="4"/>
  <c r="X101" i="4"/>
  <c r="T101" i="4"/>
  <c r="F101" i="4"/>
  <c r="F100" i="4"/>
  <c r="X100" i="4" s="1"/>
  <c r="F99" i="4"/>
  <c r="AD99" i="4" s="1"/>
  <c r="Q102" i="4"/>
  <c r="AE101" i="4"/>
  <c r="AD100" i="4"/>
  <c r="U102" i="4"/>
  <c r="AE99" i="4"/>
  <c r="G101" i="4"/>
  <c r="P101" i="4" s="1"/>
  <c r="Z102" i="4"/>
  <c r="V102" i="4"/>
  <c r="O102" i="4"/>
  <c r="AD101" i="4"/>
  <c r="AJ98" i="4"/>
  <c r="K102" i="4"/>
  <c r="AJ102" i="4"/>
  <c r="AJ99" i="4"/>
  <c r="J102" i="4"/>
  <c r="AJ123" i="4"/>
  <c r="AJ122" i="4"/>
  <c r="Y126" i="4"/>
  <c r="N126" i="4"/>
  <c r="I126" i="4"/>
  <c r="AJ126" i="4"/>
  <c r="R126" i="4"/>
  <c r="M126" i="4"/>
  <c r="F126" i="4"/>
  <c r="V126" i="4"/>
  <c r="O126" i="4"/>
  <c r="AD125" i="4"/>
  <c r="AE124" i="4"/>
  <c r="F124" i="4"/>
  <c r="AB123" i="4"/>
  <c r="X123" i="4"/>
  <c r="T123" i="4"/>
  <c r="G123" i="4"/>
  <c r="P123" i="4" s="1"/>
  <c r="Y122" i="4"/>
  <c r="N122" i="4"/>
  <c r="I122" i="4"/>
  <c r="AJ124" i="4"/>
  <c r="U126" i="4"/>
  <c r="K126" i="4"/>
  <c r="AC125" i="4"/>
  <c r="AD124" i="4"/>
  <c r="AE123" i="4"/>
  <c r="F123" i="4"/>
  <c r="R122" i="4"/>
  <c r="M122" i="4"/>
  <c r="F122" i="4"/>
  <c r="Z126" i="4"/>
  <c r="J126" i="4"/>
  <c r="AC124" i="4"/>
  <c r="V122" i="4"/>
  <c r="O122" i="4"/>
  <c r="Z122" i="4"/>
  <c r="F125" i="4"/>
  <c r="AC123" i="4"/>
  <c r="AE125" i="4"/>
  <c r="AB124" i="4"/>
  <c r="X124" i="4"/>
  <c r="T124" i="4"/>
  <c r="G124" i="4"/>
  <c r="P124" i="4" s="1"/>
  <c r="U122" i="4"/>
  <c r="K122" i="4"/>
  <c r="AJ125" i="4"/>
  <c r="AB125" i="4"/>
  <c r="X125" i="4"/>
  <c r="T125" i="4"/>
  <c r="G125" i="4"/>
  <c r="P125" i="4" s="1"/>
  <c r="AD123" i="4"/>
  <c r="J122" i="4"/>
  <c r="J127" i="4" s="1"/>
  <c r="Q126" i="4"/>
  <c r="Q122" i="4"/>
  <c r="AJ149" i="4"/>
  <c r="AJ148" i="4"/>
  <c r="AE150" i="4"/>
  <c r="F150" i="4"/>
  <c r="AB149" i="4"/>
  <c r="X149" i="4"/>
  <c r="T149" i="4"/>
  <c r="G149" i="4"/>
  <c r="P149" i="4" s="1"/>
  <c r="AC148" i="4"/>
  <c r="AD147" i="4"/>
  <c r="AE146" i="4"/>
  <c r="F146" i="4"/>
  <c r="AD150" i="4"/>
  <c r="AE149" i="4"/>
  <c r="F149" i="4"/>
  <c r="AB148" i="4"/>
  <c r="X148" i="4"/>
  <c r="T148" i="4"/>
  <c r="G148" i="4"/>
  <c r="P148" i="4" s="1"/>
  <c r="AC147" i="4"/>
  <c r="AD146" i="4"/>
  <c r="AJ150" i="4"/>
  <c r="AJ147" i="4"/>
  <c r="AJ146" i="4"/>
  <c r="AC150" i="4"/>
  <c r="AD149" i="4"/>
  <c r="AE148" i="4"/>
  <c r="F148" i="4"/>
  <c r="AB147" i="4"/>
  <c r="X147" i="4"/>
  <c r="T147" i="4"/>
  <c r="G147" i="4"/>
  <c r="P147" i="4" s="1"/>
  <c r="AC146" i="4"/>
  <c r="AC149" i="4"/>
  <c r="AE147" i="4"/>
  <c r="AB150" i="4"/>
  <c r="X150" i="4"/>
  <c r="T150" i="4"/>
  <c r="G150" i="4"/>
  <c r="P150" i="4" s="1"/>
  <c r="F147" i="4"/>
  <c r="AD148" i="4"/>
  <c r="AB146" i="4"/>
  <c r="X146" i="4"/>
  <c r="T146" i="4"/>
  <c r="G146" i="4"/>
  <c r="AE87" i="4"/>
  <c r="F87" i="4"/>
  <c r="G90" i="4"/>
  <c r="P90" i="4" s="1"/>
  <c r="AE90" i="4"/>
  <c r="AE86" i="4"/>
  <c r="F90" i="4"/>
  <c r="F86" i="4"/>
  <c r="AE88" i="4"/>
  <c r="AE89" i="4"/>
  <c r="F89" i="4"/>
  <c r="F88" i="4"/>
  <c r="AJ89" i="4"/>
  <c r="AJ88" i="4"/>
  <c r="AB90" i="4"/>
  <c r="X90" i="4"/>
  <c r="T90" i="4"/>
  <c r="AD89" i="4"/>
  <c r="AB88" i="4"/>
  <c r="X88" i="4"/>
  <c r="T88" i="4"/>
  <c r="AD87" i="4"/>
  <c r="AB86" i="4"/>
  <c r="X86" i="4"/>
  <c r="T86" i="4"/>
  <c r="G86" i="4"/>
  <c r="AD90" i="4"/>
  <c r="T89" i="4"/>
  <c r="AJ90" i="4"/>
  <c r="AC89" i="4"/>
  <c r="G89" i="4"/>
  <c r="P89" i="4" s="1"/>
  <c r="AC87" i="4"/>
  <c r="G87" i="4"/>
  <c r="P87" i="4" s="1"/>
  <c r="AJ87" i="4"/>
  <c r="AB89" i="4"/>
  <c r="X89" i="4"/>
  <c r="AD88" i="4"/>
  <c r="AB87" i="4"/>
  <c r="X87" i="4"/>
  <c r="T87" i="4"/>
  <c r="AD86" i="4"/>
  <c r="AC88" i="4"/>
  <c r="AJ86" i="4"/>
  <c r="G88" i="4"/>
  <c r="P88" i="4" s="1"/>
  <c r="AC90" i="4"/>
  <c r="AC86" i="4"/>
  <c r="G84" i="4"/>
  <c r="P84" i="4" s="1"/>
  <c r="AE82" i="4"/>
  <c r="F82" i="4"/>
  <c r="AE81" i="4"/>
  <c r="F81" i="4"/>
  <c r="F83" i="4"/>
  <c r="AE83" i="4"/>
  <c r="AE84" i="4"/>
  <c r="F80" i="4"/>
  <c r="AE80" i="4"/>
  <c r="F84" i="4"/>
  <c r="AJ80" i="4"/>
  <c r="AC83" i="4"/>
  <c r="G83" i="4"/>
  <c r="P83" i="4" s="1"/>
  <c r="AC81" i="4"/>
  <c r="G81" i="4"/>
  <c r="P81" i="4" s="1"/>
  <c r="AC84" i="4"/>
  <c r="G82" i="4"/>
  <c r="P82" i="4" s="1"/>
  <c r="G80" i="4"/>
  <c r="AJ83" i="4"/>
  <c r="AJ82" i="4"/>
  <c r="AD84" i="4"/>
  <c r="AB83" i="4"/>
  <c r="X83" i="4"/>
  <c r="T83" i="4"/>
  <c r="AD82" i="4"/>
  <c r="AB81" i="4"/>
  <c r="X81" i="4"/>
  <c r="T81" i="4"/>
  <c r="AD80" i="4"/>
  <c r="AJ84" i="4"/>
  <c r="AC82" i="4"/>
  <c r="AC80" i="4"/>
  <c r="AB84" i="4"/>
  <c r="X84" i="4"/>
  <c r="T84" i="4"/>
  <c r="AB82" i="4"/>
  <c r="X82" i="4"/>
  <c r="T82" i="4"/>
  <c r="AB80" i="4"/>
  <c r="X80" i="4"/>
  <c r="T80" i="4"/>
  <c r="AD83" i="4"/>
  <c r="AJ81" i="4"/>
  <c r="AD81" i="4"/>
  <c r="AJ107" i="4"/>
  <c r="AJ106" i="4"/>
  <c r="AE108" i="4"/>
  <c r="F108" i="4"/>
  <c r="AB107" i="4"/>
  <c r="X107" i="4"/>
  <c r="T107" i="4"/>
  <c r="G107" i="4"/>
  <c r="P107" i="4" s="1"/>
  <c r="AE104" i="4"/>
  <c r="AD108" i="4"/>
  <c r="AE107" i="4"/>
  <c r="F107" i="4"/>
  <c r="F104" i="4"/>
  <c r="AD104" i="4" s="1"/>
  <c r="AJ105" i="4"/>
  <c r="AC107" i="4"/>
  <c r="F105" i="4"/>
  <c r="AB105" i="4" s="1"/>
  <c r="X108" i="4"/>
  <c r="X104" i="4"/>
  <c r="AD107" i="4"/>
  <c r="AC108" i="4"/>
  <c r="F106" i="4"/>
  <c r="AD106" i="4" s="1"/>
  <c r="AB108" i="4"/>
  <c r="T108" i="4"/>
  <c r="G108" i="4"/>
  <c r="P108" i="4" s="1"/>
  <c r="AE106" i="4"/>
  <c r="AB104" i="4"/>
  <c r="AJ108" i="4"/>
  <c r="AJ104" i="4"/>
  <c r="AJ131" i="4"/>
  <c r="AJ128" i="4"/>
  <c r="Y132" i="4"/>
  <c r="N132" i="4"/>
  <c r="I132" i="4"/>
  <c r="AC131" i="4"/>
  <c r="Z130" i="4"/>
  <c r="U130" i="4"/>
  <c r="O130" i="4"/>
  <c r="J130" i="4"/>
  <c r="V128" i="4"/>
  <c r="Q128" i="4"/>
  <c r="K128" i="4"/>
  <c r="AJ129" i="4"/>
  <c r="R132" i="4"/>
  <c r="M132" i="4"/>
  <c r="F132" i="4"/>
  <c r="AB131" i="4"/>
  <c r="X131" i="4"/>
  <c r="T131" i="4"/>
  <c r="G131" i="4"/>
  <c r="P131" i="4" s="1"/>
  <c r="Y130" i="4"/>
  <c r="N130" i="4"/>
  <c r="I130" i="4"/>
  <c r="Z128" i="4"/>
  <c r="U128" i="4"/>
  <c r="O128" i="4"/>
  <c r="J128" i="4"/>
  <c r="AJ132" i="4"/>
  <c r="V132" i="4"/>
  <c r="Q132" i="4"/>
  <c r="K132" i="4"/>
  <c r="AE131" i="4"/>
  <c r="F131" i="4"/>
  <c r="R130" i="4"/>
  <c r="M130" i="4"/>
  <c r="F130" i="4"/>
  <c r="Y128" i="4"/>
  <c r="N128" i="4"/>
  <c r="I128" i="4"/>
  <c r="AJ130" i="4"/>
  <c r="U132" i="4"/>
  <c r="AD131" i="4"/>
  <c r="V130" i="4"/>
  <c r="F128" i="4"/>
  <c r="K130" i="4"/>
  <c r="Q130" i="4"/>
  <c r="M128" i="4"/>
  <c r="O132" i="4"/>
  <c r="Z132" i="4"/>
  <c r="J132" i="4"/>
  <c r="F129" i="4"/>
  <c r="AC129" i="4" s="1"/>
  <c r="R128" i="4"/>
  <c r="AJ155" i="4"/>
  <c r="AJ152" i="4"/>
  <c r="Z156" i="4"/>
  <c r="U156" i="4"/>
  <c r="O156" i="4"/>
  <c r="J156" i="4"/>
  <c r="AD155" i="4"/>
  <c r="V154" i="4"/>
  <c r="Q154" i="4"/>
  <c r="K154" i="4"/>
  <c r="AE153" i="4"/>
  <c r="F153" i="4"/>
  <c r="R152" i="4"/>
  <c r="M152" i="4"/>
  <c r="AJ153" i="4"/>
  <c r="Y156" i="4"/>
  <c r="N156" i="4"/>
  <c r="I156" i="4"/>
  <c r="AC155" i="4"/>
  <c r="Z154" i="4"/>
  <c r="U154" i="4"/>
  <c r="O154" i="4"/>
  <c r="J154" i="4"/>
  <c r="AD153" i="4"/>
  <c r="V152" i="4"/>
  <c r="Q152" i="4"/>
  <c r="K152" i="4"/>
  <c r="AJ156" i="4"/>
  <c r="R156" i="4"/>
  <c r="M156" i="4"/>
  <c r="F156" i="4"/>
  <c r="AB155" i="4"/>
  <c r="X155" i="4"/>
  <c r="T155" i="4"/>
  <c r="G155" i="4"/>
  <c r="P155" i="4" s="1"/>
  <c r="Y154" i="4"/>
  <c r="N154" i="4"/>
  <c r="I154" i="4"/>
  <c r="AC153" i="4"/>
  <c r="Z152" i="4"/>
  <c r="U152" i="4"/>
  <c r="O152" i="4"/>
  <c r="J152" i="4"/>
  <c r="V156" i="4"/>
  <c r="AE155" i="4"/>
  <c r="F154" i="4"/>
  <c r="R154" i="4"/>
  <c r="AJ154" i="4"/>
  <c r="AB153" i="4"/>
  <c r="X153" i="4"/>
  <c r="T153" i="4"/>
  <c r="G153" i="4"/>
  <c r="P153" i="4" s="1"/>
  <c r="Q156" i="4"/>
  <c r="F155" i="4"/>
  <c r="K156" i="4"/>
  <c r="Y152" i="4"/>
  <c r="I152" i="4"/>
  <c r="M154" i="4"/>
  <c r="N152" i="4"/>
  <c r="R98" i="4"/>
  <c r="N98" i="4"/>
  <c r="K98" i="4"/>
  <c r="K103" i="4" s="1"/>
  <c r="F98" i="4"/>
  <c r="Z98" i="4"/>
  <c r="V98" i="4"/>
  <c r="Q98" i="4"/>
  <c r="M98" i="4"/>
  <c r="J98" i="4"/>
  <c r="Y98" i="4"/>
  <c r="U98" i="4"/>
  <c r="I98" i="4"/>
  <c r="O98" i="4"/>
  <c r="Y34" i="3"/>
  <c r="T34" i="3"/>
  <c r="T37" i="3"/>
  <c r="Y36" i="3"/>
  <c r="X36" i="3"/>
  <c r="U36" i="3"/>
  <c r="T36" i="3"/>
  <c r="Y35" i="3"/>
  <c r="X35" i="3"/>
  <c r="U35" i="3"/>
  <c r="T35" i="3"/>
  <c r="X34" i="3"/>
  <c r="U34" i="3"/>
  <c r="Y31" i="3"/>
  <c r="X31" i="3"/>
  <c r="U31" i="3"/>
  <c r="T31" i="3"/>
  <c r="S31" i="3"/>
  <c r="P31" i="3"/>
  <c r="M31" i="3"/>
  <c r="L31" i="3"/>
  <c r="K31" i="3"/>
  <c r="T27" i="3"/>
  <c r="Y26" i="3"/>
  <c r="X26" i="3"/>
  <c r="U26" i="3"/>
  <c r="T26" i="3"/>
  <c r="S26" i="3"/>
  <c r="P26" i="3"/>
  <c r="M26" i="3"/>
  <c r="L26" i="3"/>
  <c r="K26" i="3"/>
  <c r="Y21" i="3"/>
  <c r="X21" i="3"/>
  <c r="U21" i="3"/>
  <c r="T21" i="3"/>
  <c r="S21" i="3"/>
  <c r="P21" i="3"/>
  <c r="M21" i="3"/>
  <c r="L21" i="3"/>
  <c r="K21" i="3"/>
  <c r="I79" i="4" l="1"/>
  <c r="K79" i="4"/>
  <c r="J79" i="4"/>
  <c r="K109" i="4"/>
  <c r="J109" i="4"/>
  <c r="I103" i="4"/>
  <c r="AE129" i="4"/>
  <c r="AD129" i="4"/>
  <c r="L129" i="4"/>
  <c r="H129" i="4"/>
  <c r="AM129" i="4"/>
  <c r="AL129" i="4"/>
  <c r="X129" i="4"/>
  <c r="AB129" i="4"/>
  <c r="AU128" i="4"/>
  <c r="AV128" i="4"/>
  <c r="AC106" i="4"/>
  <c r="T106" i="4" s="1"/>
  <c r="AC105" i="4"/>
  <c r="AE105" i="4"/>
  <c r="X105" i="4"/>
  <c r="AD105" i="4"/>
  <c r="AC104" i="4"/>
  <c r="T104" i="4" s="1"/>
  <c r="L106" i="4"/>
  <c r="H106" i="4"/>
  <c r="AU106" i="4"/>
  <c r="AV106" i="4"/>
  <c r="AB106" i="4"/>
  <c r="X106" i="4"/>
  <c r="L105" i="4"/>
  <c r="H105" i="4"/>
  <c r="AM105" i="4"/>
  <c r="AL105" i="4"/>
  <c r="L104" i="4"/>
  <c r="H104" i="4"/>
  <c r="AM104" i="4"/>
  <c r="AL104" i="4"/>
  <c r="AU104" i="4"/>
  <c r="AV104" i="4"/>
  <c r="AB100" i="4"/>
  <c r="AE100" i="4"/>
  <c r="AC100" i="4"/>
  <c r="T100" i="4" s="1"/>
  <c r="F103" i="4"/>
  <c r="E103" i="4" s="1"/>
  <c r="L100" i="4"/>
  <c r="H100" i="4"/>
  <c r="AX99" i="4"/>
  <c r="AZ99" i="4"/>
  <c r="AV99" i="4"/>
  <c r="AY99" i="4"/>
  <c r="AU99" i="4"/>
  <c r="AC99" i="4"/>
  <c r="T99" i="4" s="1"/>
  <c r="X99" i="4"/>
  <c r="AB99" i="4"/>
  <c r="L99" i="4"/>
  <c r="H99" i="4"/>
  <c r="T75" i="4"/>
  <c r="AD74" i="4"/>
  <c r="AC74" i="4"/>
  <c r="T74" i="4" s="1"/>
  <c r="X74" i="4"/>
  <c r="AB74" i="4"/>
  <c r="T70" i="4"/>
  <c r="AB69" i="4"/>
  <c r="AC69" i="4"/>
  <c r="AD69" i="4"/>
  <c r="X69" i="4"/>
  <c r="AE76" i="4"/>
  <c r="AD76" i="4"/>
  <c r="L76" i="4"/>
  <c r="AV76" i="4"/>
  <c r="H76" i="4"/>
  <c r="AU76" i="4"/>
  <c r="X76" i="4"/>
  <c r="L75" i="4"/>
  <c r="H75" i="4"/>
  <c r="AM75" i="4"/>
  <c r="AL75" i="4"/>
  <c r="L74" i="4"/>
  <c r="AV74" i="4"/>
  <c r="AM74" i="4"/>
  <c r="AU74" i="4"/>
  <c r="AL74" i="4"/>
  <c r="H74" i="4"/>
  <c r="L70" i="4"/>
  <c r="H70" i="4"/>
  <c r="L69" i="4"/>
  <c r="H69" i="4"/>
  <c r="W21" i="3"/>
  <c r="V21" i="3"/>
  <c r="V31" i="3"/>
  <c r="W31" i="3"/>
  <c r="W26" i="3"/>
  <c r="V26" i="3"/>
  <c r="F139" i="4"/>
  <c r="E139" i="4" s="1"/>
  <c r="I127" i="4"/>
  <c r="F181" i="4"/>
  <c r="E181" i="4" s="1"/>
  <c r="F203" i="4"/>
  <c r="E203" i="4" s="1"/>
  <c r="F170" i="4"/>
  <c r="E170" i="4" s="1"/>
  <c r="F214" i="4"/>
  <c r="E214" i="4" s="1"/>
  <c r="F192" i="4"/>
  <c r="E192" i="4" s="1"/>
  <c r="AC121" i="4"/>
  <c r="I133" i="4"/>
  <c r="T121" i="4"/>
  <c r="AE151" i="4"/>
  <c r="AD151" i="4"/>
  <c r="F133" i="4"/>
  <c r="E133" i="4" s="1"/>
  <c r="F109" i="4"/>
  <c r="E109" i="4" s="1"/>
  <c r="T91" i="4"/>
  <c r="AC91" i="4"/>
  <c r="T151" i="4"/>
  <c r="AC151" i="4"/>
  <c r="F127" i="4"/>
  <c r="E127" i="4" s="1"/>
  <c r="F145" i="4"/>
  <c r="E145" i="4" s="1"/>
  <c r="AD121" i="4"/>
  <c r="F121" i="4"/>
  <c r="E121" i="4" s="1"/>
  <c r="AE121" i="4"/>
  <c r="X121" i="4"/>
  <c r="F97" i="4"/>
  <c r="E97" i="4" s="1"/>
  <c r="F73" i="4"/>
  <c r="E73" i="4" s="1"/>
  <c r="J67" i="4"/>
  <c r="AE91" i="4"/>
  <c r="J157" i="4"/>
  <c r="X91" i="4"/>
  <c r="AD91" i="4"/>
  <c r="X151" i="4"/>
  <c r="F79" i="4"/>
  <c r="E79" i="4" s="1"/>
  <c r="AB121" i="4"/>
  <c r="AB151" i="4"/>
  <c r="F115" i="4"/>
  <c r="E115" i="4" s="1"/>
  <c r="AB91" i="4"/>
  <c r="F151" i="4"/>
  <c r="E151" i="4" s="1"/>
  <c r="I157" i="4"/>
  <c r="I97" i="4"/>
  <c r="K157" i="4"/>
  <c r="AM128" i="4"/>
  <c r="AL128" i="4"/>
  <c r="F91" i="4"/>
  <c r="E91" i="4" s="1"/>
  <c r="AM154" i="4"/>
  <c r="AL154" i="4"/>
  <c r="AV154" i="4"/>
  <c r="AU154" i="4"/>
  <c r="F157" i="4"/>
  <c r="E157" i="4" s="1"/>
  <c r="AU152" i="4"/>
  <c r="AV152" i="4"/>
  <c r="AU130" i="4"/>
  <c r="AV130" i="4"/>
  <c r="AM130" i="4"/>
  <c r="AL130" i="4"/>
  <c r="F85" i="4"/>
  <c r="E85" i="4" s="1"/>
  <c r="K127" i="4"/>
  <c r="P140" i="4"/>
  <c r="G145" i="4"/>
  <c r="P145" i="4" s="1"/>
  <c r="K67" i="4"/>
  <c r="AU156" i="4"/>
  <c r="AV156" i="4"/>
  <c r="AU72" i="4"/>
  <c r="AV72" i="4"/>
  <c r="AM72" i="4"/>
  <c r="AL72" i="4"/>
  <c r="G139" i="4"/>
  <c r="P139" i="4" s="1"/>
  <c r="P134" i="4"/>
  <c r="J133" i="4"/>
  <c r="AV132" i="4"/>
  <c r="AU132" i="4"/>
  <c r="K133" i="4"/>
  <c r="P86" i="4"/>
  <c r="G91" i="4"/>
  <c r="P91" i="4" s="1"/>
  <c r="AM126" i="4"/>
  <c r="AL126" i="4"/>
  <c r="AU126" i="4"/>
  <c r="AV126" i="4"/>
  <c r="P116" i="4"/>
  <c r="G121" i="4"/>
  <c r="P121" i="4" s="1"/>
  <c r="K97" i="4"/>
  <c r="K73" i="4"/>
  <c r="I73" i="4"/>
  <c r="AU122" i="4"/>
  <c r="AV122" i="4"/>
  <c r="J103" i="4"/>
  <c r="G85" i="4"/>
  <c r="P85" i="4" s="1"/>
  <c r="P80" i="4"/>
  <c r="G151" i="4"/>
  <c r="P151" i="4" s="1"/>
  <c r="P146" i="4"/>
  <c r="P110" i="4"/>
  <c r="G115" i="4"/>
  <c r="P115" i="4" s="1"/>
  <c r="J97" i="4"/>
  <c r="J73" i="4"/>
  <c r="I67" i="4"/>
  <c r="H122" i="4"/>
  <c r="H126" i="4"/>
  <c r="L122" i="4"/>
  <c r="L126" i="4"/>
  <c r="O27" i="3"/>
  <c r="O30" i="3"/>
  <c r="N30" i="3"/>
  <c r="O29" i="3"/>
  <c r="N29" i="3" s="1"/>
  <c r="O25" i="3"/>
  <c r="O20" i="3"/>
  <c r="G100" i="4" l="1"/>
  <c r="P100" i="4" s="1"/>
  <c r="T76" i="4"/>
  <c r="T129" i="4"/>
  <c r="G129" i="4"/>
  <c r="P129" i="4" s="1"/>
  <c r="AK129" i="4"/>
  <c r="AN129" i="4" s="1"/>
  <c r="AT128" i="4"/>
  <c r="AW128" i="4" s="1"/>
  <c r="T105" i="4"/>
  <c r="G105" i="4"/>
  <c r="P105" i="4" s="1"/>
  <c r="AT106" i="4"/>
  <c r="AW106" i="4" s="1"/>
  <c r="L109" i="4"/>
  <c r="G106" i="4"/>
  <c r="P106" i="4" s="1"/>
  <c r="AK105" i="4"/>
  <c r="AN105" i="4" s="1"/>
  <c r="AT104" i="4"/>
  <c r="AW104" i="4" s="1"/>
  <c r="AK104" i="4"/>
  <c r="AN104" i="4" s="1"/>
  <c r="H109" i="4"/>
  <c r="G104" i="4"/>
  <c r="G99" i="4"/>
  <c r="P99" i="4" s="1"/>
  <c r="AW99" i="4"/>
  <c r="AT99" i="4"/>
  <c r="G75" i="4"/>
  <c r="P75" i="4" s="1"/>
  <c r="G70" i="4"/>
  <c r="P70" i="4" s="1"/>
  <c r="G69" i="4"/>
  <c r="P69" i="4" s="1"/>
  <c r="T69" i="4"/>
  <c r="L79" i="4"/>
  <c r="G76" i="4"/>
  <c r="P76" i="4" s="1"/>
  <c r="AT76" i="4"/>
  <c r="AW76" i="4" s="1"/>
  <c r="AK75" i="4"/>
  <c r="AN75" i="4" s="1"/>
  <c r="H79" i="4"/>
  <c r="G74" i="4"/>
  <c r="AT74" i="4"/>
  <c r="AW74" i="4" s="1"/>
  <c r="AK74" i="4"/>
  <c r="AN74" i="4" s="1"/>
  <c r="AT126" i="4"/>
  <c r="AW126" i="4" s="1"/>
  <c r="AT154" i="4"/>
  <c r="AW154" i="4" s="1"/>
  <c r="AK130" i="4"/>
  <c r="AN130" i="4" s="1"/>
  <c r="AK128" i="4"/>
  <c r="AN128" i="4" s="1"/>
  <c r="AT122" i="4"/>
  <c r="AW122" i="4" s="1"/>
  <c r="AT132" i="4"/>
  <c r="AW132" i="4" s="1"/>
  <c r="AT130" i="4"/>
  <c r="AW130" i="4" s="1"/>
  <c r="AK126" i="4"/>
  <c r="AN126" i="4" s="1"/>
  <c r="AK72" i="4"/>
  <c r="AN72" i="4" s="1"/>
  <c r="AK154" i="4"/>
  <c r="AN154" i="4" s="1"/>
  <c r="AT72" i="4"/>
  <c r="AW72" i="4" s="1"/>
  <c r="AT152" i="4"/>
  <c r="AW152" i="4" s="1"/>
  <c r="L127" i="4"/>
  <c r="AT156" i="4"/>
  <c r="AW156" i="4" s="1"/>
  <c r="G126" i="4"/>
  <c r="P126" i="4" s="1"/>
  <c r="N27" i="3"/>
  <c r="AQ126" i="4" s="1"/>
  <c r="G122" i="4"/>
  <c r="H127" i="4"/>
  <c r="P30" i="3"/>
  <c r="P29" i="3"/>
  <c r="N25" i="3"/>
  <c r="N20" i="3"/>
  <c r="R30" i="3"/>
  <c r="Q30" i="3"/>
  <c r="G109" i="4" l="1"/>
  <c r="P109" i="4" s="1"/>
  <c r="P104" i="4"/>
  <c r="P74" i="4"/>
  <c r="G79" i="4"/>
  <c r="P79" i="4" s="1"/>
  <c r="P122" i="4"/>
  <c r="G127" i="4"/>
  <c r="P127" i="4" s="1"/>
  <c r="P27" i="3"/>
  <c r="AY126" i="4"/>
  <c r="AY122" i="4"/>
  <c r="S19" i="3"/>
  <c r="Y19" i="3" s="1"/>
  <c r="P24" i="3"/>
  <c r="S30" i="3"/>
  <c r="X145" i="4"/>
  <c r="X30" i="3"/>
  <c r="X29" i="3"/>
  <c r="P25" i="3"/>
  <c r="P20" i="3"/>
  <c r="P19" i="3"/>
  <c r="C56" i="4"/>
  <c r="C50" i="4"/>
  <c r="C44" i="4"/>
  <c r="C38" i="4"/>
  <c r="R40" i="4" l="1"/>
  <c r="K40" i="4"/>
  <c r="O39" i="4"/>
  <c r="N40" i="4"/>
  <c r="V39" i="4"/>
  <c r="M39" i="4"/>
  <c r="R39" i="4"/>
  <c r="K39" i="4"/>
  <c r="V40" i="4"/>
  <c r="M40" i="4"/>
  <c r="Z39" i="4"/>
  <c r="U39" i="4"/>
  <c r="J39" i="4"/>
  <c r="Z40" i="4"/>
  <c r="U40" i="4"/>
  <c r="J40" i="4"/>
  <c r="Y39" i="4"/>
  <c r="Q39" i="4"/>
  <c r="I39" i="4"/>
  <c r="O40" i="4"/>
  <c r="Y40" i="4"/>
  <c r="Q40" i="4"/>
  <c r="I40" i="4"/>
  <c r="N39" i="4"/>
  <c r="X24" i="3"/>
  <c r="O24" i="3"/>
  <c r="AD60" i="4"/>
  <c r="AE59" i="4"/>
  <c r="F59" i="4"/>
  <c r="AB58" i="4"/>
  <c r="X58" i="4"/>
  <c r="T58" i="4"/>
  <c r="G58" i="4"/>
  <c r="P58" i="4" s="1"/>
  <c r="AC57" i="4"/>
  <c r="AD56" i="4"/>
  <c r="AB60" i="4"/>
  <c r="X60" i="4"/>
  <c r="T60" i="4"/>
  <c r="G60" i="4"/>
  <c r="P60" i="4" s="1"/>
  <c r="AB56" i="4"/>
  <c r="T56" i="4"/>
  <c r="AJ57" i="4"/>
  <c r="F60" i="4"/>
  <c r="X59" i="4"/>
  <c r="AC58" i="4"/>
  <c r="AD57" i="4"/>
  <c r="F56" i="4"/>
  <c r="AJ60" i="4"/>
  <c r="AJ58" i="4"/>
  <c r="AJ56" i="4"/>
  <c r="AC60" i="4"/>
  <c r="AD59" i="4"/>
  <c r="AE58" i="4"/>
  <c r="F58" i="4"/>
  <c r="AB57" i="4"/>
  <c r="X57" i="4"/>
  <c r="T57" i="4"/>
  <c r="G57" i="4"/>
  <c r="P57" i="4" s="1"/>
  <c r="AC56" i="4"/>
  <c r="AC59" i="4"/>
  <c r="AD58" i="4"/>
  <c r="AE57" i="4"/>
  <c r="F57" i="4"/>
  <c r="X56" i="4"/>
  <c r="G56" i="4"/>
  <c r="AJ59" i="4"/>
  <c r="AE60" i="4"/>
  <c r="AB59" i="4"/>
  <c r="T59" i="4"/>
  <c r="G59" i="4"/>
  <c r="P59" i="4" s="1"/>
  <c r="AE56" i="4"/>
  <c r="AJ41" i="4"/>
  <c r="AJ38" i="4"/>
  <c r="R38" i="4"/>
  <c r="V42" i="4"/>
  <c r="J42" i="4"/>
  <c r="AD41" i="4"/>
  <c r="F40" i="4"/>
  <c r="AB40" i="4" s="1"/>
  <c r="V38" i="4"/>
  <c r="J38" i="4"/>
  <c r="Y42" i="4"/>
  <c r="F42" i="4"/>
  <c r="AB41" i="4"/>
  <c r="X41" i="4"/>
  <c r="T41" i="4"/>
  <c r="G41" i="4"/>
  <c r="P41" i="4" s="1"/>
  <c r="I38" i="4"/>
  <c r="F38" i="4"/>
  <c r="Q42" i="4"/>
  <c r="O42" i="4"/>
  <c r="M42" i="4"/>
  <c r="M38" i="4"/>
  <c r="AJ40" i="4"/>
  <c r="Q38" i="4"/>
  <c r="K42" i="4"/>
  <c r="K38" i="4"/>
  <c r="Z42" i="4"/>
  <c r="U42" i="4"/>
  <c r="I42" i="4"/>
  <c r="AC41" i="4"/>
  <c r="AD40" i="4"/>
  <c r="F39" i="4"/>
  <c r="AB39" i="4" s="1"/>
  <c r="Z38" i="4"/>
  <c r="U38" i="4"/>
  <c r="AJ39" i="4"/>
  <c r="O38" i="4"/>
  <c r="N42" i="4"/>
  <c r="AD39" i="4"/>
  <c r="Y38" i="4"/>
  <c r="AJ42" i="4"/>
  <c r="R42" i="4"/>
  <c r="N38" i="4"/>
  <c r="AE41" i="4"/>
  <c r="F41" i="4"/>
  <c r="AC39" i="4"/>
  <c r="AJ54" i="4"/>
  <c r="AJ52" i="4"/>
  <c r="AJ50" i="4"/>
  <c r="AC54" i="4"/>
  <c r="AD53" i="4"/>
  <c r="AE52" i="4"/>
  <c r="F52" i="4"/>
  <c r="AB51" i="4"/>
  <c r="X51" i="4"/>
  <c r="T51" i="4"/>
  <c r="G51" i="4"/>
  <c r="P51" i="4" s="1"/>
  <c r="AC50" i="4"/>
  <c r="AJ53" i="4"/>
  <c r="AB53" i="4"/>
  <c r="X53" i="4"/>
  <c r="AE50" i="4"/>
  <c r="F50" i="4"/>
  <c r="AB52" i="4"/>
  <c r="T52" i="4"/>
  <c r="AC51" i="4"/>
  <c r="AD50" i="4"/>
  <c r="AB54" i="4"/>
  <c r="X54" i="4"/>
  <c r="T54" i="4"/>
  <c r="G54" i="4"/>
  <c r="P54" i="4" s="1"/>
  <c r="AC53" i="4"/>
  <c r="AD52" i="4"/>
  <c r="AE51" i="4"/>
  <c r="F51" i="4"/>
  <c r="AB50" i="4"/>
  <c r="X50" i="4"/>
  <c r="T50" i="4"/>
  <c r="G50" i="4"/>
  <c r="AJ51" i="4"/>
  <c r="AE54" i="4"/>
  <c r="F54" i="4"/>
  <c r="T53" i="4"/>
  <c r="G53" i="4"/>
  <c r="P53" i="4" s="1"/>
  <c r="AC52" i="4"/>
  <c r="AD51" i="4"/>
  <c r="AD54" i="4"/>
  <c r="AE53" i="4"/>
  <c r="F53" i="4"/>
  <c r="X52" i="4"/>
  <c r="G52" i="4"/>
  <c r="P52" i="4" s="1"/>
  <c r="X27" i="3"/>
  <c r="X122" i="4" s="1"/>
  <c r="X126" i="4"/>
  <c r="AJ47" i="4"/>
  <c r="AJ44" i="4"/>
  <c r="Y48" i="4"/>
  <c r="N48" i="4"/>
  <c r="I48" i="4"/>
  <c r="AC47" i="4"/>
  <c r="Z46" i="4"/>
  <c r="U46" i="4"/>
  <c r="O46" i="4"/>
  <c r="J46" i="4"/>
  <c r="AD45" i="4"/>
  <c r="AE44" i="4"/>
  <c r="Z44" i="4"/>
  <c r="U44" i="4"/>
  <c r="O44" i="4"/>
  <c r="K44" i="4"/>
  <c r="F44" i="4"/>
  <c r="O48" i="4"/>
  <c r="K46" i="4"/>
  <c r="AJ45" i="4"/>
  <c r="R48" i="4"/>
  <c r="M48" i="4"/>
  <c r="F48" i="4"/>
  <c r="AB47" i="4"/>
  <c r="X47" i="4"/>
  <c r="T47" i="4"/>
  <c r="G47" i="4"/>
  <c r="P47" i="4" s="1"/>
  <c r="Y46" i="4"/>
  <c r="N46" i="4"/>
  <c r="I46" i="4"/>
  <c r="AC45" i="4"/>
  <c r="AD44" i="4"/>
  <c r="Y44" i="4"/>
  <c r="N44" i="4"/>
  <c r="J44" i="4"/>
  <c r="M44" i="4"/>
  <c r="AJ46" i="4"/>
  <c r="U48" i="4"/>
  <c r="AD47" i="4"/>
  <c r="V46" i="4"/>
  <c r="AE45" i="4"/>
  <c r="F45" i="4"/>
  <c r="V44" i="4"/>
  <c r="L44" i="4"/>
  <c r="H44" i="4"/>
  <c r="AJ48" i="4"/>
  <c r="V48" i="4"/>
  <c r="Q48" i="4"/>
  <c r="K48" i="4"/>
  <c r="AE47" i="4"/>
  <c r="F47" i="4"/>
  <c r="R46" i="4"/>
  <c r="M46" i="4"/>
  <c r="F46" i="4"/>
  <c r="AB45" i="4"/>
  <c r="X45" i="4"/>
  <c r="T45" i="4"/>
  <c r="G45" i="4"/>
  <c r="P45" i="4" s="1"/>
  <c r="AC44" i="4"/>
  <c r="R44" i="4"/>
  <c r="I44" i="4"/>
  <c r="Z48" i="4"/>
  <c r="J48" i="4"/>
  <c r="Q46" i="4"/>
  <c r="Q44" i="4"/>
  <c r="L48" i="4"/>
  <c r="AE48" i="4"/>
  <c r="AB46" i="4"/>
  <c r="AD46" i="4"/>
  <c r="AB48" i="4"/>
  <c r="AC48" i="4"/>
  <c r="H46" i="4"/>
  <c r="T44" i="4"/>
  <c r="H48" i="4"/>
  <c r="X46" i="4"/>
  <c r="AC46" i="4"/>
  <c r="AB44" i="4"/>
  <c r="X44" i="4"/>
  <c r="AD48" i="4"/>
  <c r="X48" i="4"/>
  <c r="L46" i="4"/>
  <c r="G44" i="4"/>
  <c r="T46" i="4"/>
  <c r="G48" i="4"/>
  <c r="P48" i="4" s="1"/>
  <c r="T48" i="4"/>
  <c r="G46" i="4"/>
  <c r="P46" i="4" s="1"/>
  <c r="O19" i="3"/>
  <c r="R19" i="3"/>
  <c r="S24" i="3"/>
  <c r="X25" i="3"/>
  <c r="X139" i="4"/>
  <c r="AB145" i="4"/>
  <c r="Y30" i="3"/>
  <c r="X20" i="3"/>
  <c r="X19" i="3"/>
  <c r="O16" i="3"/>
  <c r="C8" i="4"/>
  <c r="N24" i="3" l="1"/>
  <c r="AQ104" i="4"/>
  <c r="AQ105" i="4"/>
  <c r="AR74" i="4"/>
  <c r="N19" i="3"/>
  <c r="AQ75" i="4"/>
  <c r="AQ74" i="4"/>
  <c r="AC40" i="4"/>
  <c r="AE40" i="4"/>
  <c r="X40" i="4"/>
  <c r="AE39" i="4"/>
  <c r="T39" i="4" s="1"/>
  <c r="H40" i="4"/>
  <c r="L40" i="4"/>
  <c r="H39" i="4"/>
  <c r="L39" i="4"/>
  <c r="AV39" i="4"/>
  <c r="AY39" i="4"/>
  <c r="AX39" i="4"/>
  <c r="AZ39" i="4"/>
  <c r="AU39" i="4"/>
  <c r="X39" i="4"/>
  <c r="Q24" i="3"/>
  <c r="R24" i="3"/>
  <c r="Y24" i="3"/>
  <c r="O8" i="4"/>
  <c r="K8" i="4"/>
  <c r="O10" i="4"/>
  <c r="K10" i="4"/>
  <c r="O9" i="4"/>
  <c r="K9" i="4"/>
  <c r="AJ8" i="4"/>
  <c r="N6" i="7"/>
  <c r="J6" i="7"/>
  <c r="L6" i="7"/>
  <c r="C6" i="7"/>
  <c r="O6" i="7"/>
  <c r="M6" i="7"/>
  <c r="K6" i="7"/>
  <c r="J43" i="4"/>
  <c r="I43" i="4"/>
  <c r="P56" i="4"/>
  <c r="G61" i="4"/>
  <c r="P61" i="4" s="1"/>
  <c r="F43" i="4"/>
  <c r="E43" i="4" s="1"/>
  <c r="P50" i="4"/>
  <c r="G55" i="4"/>
  <c r="P55" i="4" s="1"/>
  <c r="K43" i="4"/>
  <c r="X127" i="4"/>
  <c r="K49" i="4"/>
  <c r="H49" i="4"/>
  <c r="I49" i="4"/>
  <c r="J49" i="4"/>
  <c r="AU48" i="4"/>
  <c r="AT48" i="4" s="1"/>
  <c r="AW48" i="4" s="1"/>
  <c r="AV48" i="4"/>
  <c r="P44" i="4"/>
  <c r="G49" i="4"/>
  <c r="P49" i="4" s="1"/>
  <c r="AE46" i="4"/>
  <c r="AV46" i="4"/>
  <c r="AU46" i="4"/>
  <c r="AM46" i="4"/>
  <c r="AL46" i="4"/>
  <c r="AK46" i="4" s="1"/>
  <c r="AN46" i="4" s="1"/>
  <c r="AM44" i="4"/>
  <c r="AL44" i="4"/>
  <c r="F49" i="4"/>
  <c r="AD11" i="4"/>
  <c r="T11" i="4"/>
  <c r="AC11" i="4"/>
  <c r="G11" i="4"/>
  <c r="AE11" i="4"/>
  <c r="AB11" i="4"/>
  <c r="X11" i="4"/>
  <c r="F10" i="4"/>
  <c r="F9" i="4"/>
  <c r="F12" i="4"/>
  <c r="F8" i="4"/>
  <c r="F11" i="4"/>
  <c r="N9" i="4"/>
  <c r="M9" i="4"/>
  <c r="J9" i="4"/>
  <c r="I9" i="4"/>
  <c r="M8" i="4"/>
  <c r="N10" i="4"/>
  <c r="J8" i="4"/>
  <c r="N12" i="4"/>
  <c r="Q8" i="4"/>
  <c r="Y8" i="4"/>
  <c r="M10" i="4"/>
  <c r="I8" i="4"/>
  <c r="U8" i="4"/>
  <c r="N8" i="4"/>
  <c r="M12" i="4"/>
  <c r="J12" i="4"/>
  <c r="I12" i="4"/>
  <c r="J10" i="4"/>
  <c r="I10" i="4"/>
  <c r="AJ9" i="4"/>
  <c r="AJ12" i="4"/>
  <c r="AJ11" i="4"/>
  <c r="AJ10" i="4"/>
  <c r="Z12" i="4"/>
  <c r="R12" i="4"/>
  <c r="U12" i="4"/>
  <c r="Q12" i="4"/>
  <c r="Y12" i="4"/>
  <c r="V12" i="4"/>
  <c r="Z10" i="4"/>
  <c r="Y9" i="4"/>
  <c r="Z9" i="4"/>
  <c r="Z8" i="4"/>
  <c r="Y10" i="4"/>
  <c r="V8" i="4"/>
  <c r="V9" i="4"/>
  <c r="V10" i="4"/>
  <c r="U10" i="4"/>
  <c r="R8" i="4"/>
  <c r="U9" i="4"/>
  <c r="R10" i="4"/>
  <c r="Q10" i="4"/>
  <c r="R9" i="4"/>
  <c r="Q9" i="4"/>
  <c r="Q19" i="3"/>
  <c r="X109" i="4"/>
  <c r="X115" i="4"/>
  <c r="X85" i="4"/>
  <c r="X79" i="4"/>
  <c r="N16" i="3"/>
  <c r="P15" i="3"/>
  <c r="O15" i="3" s="1"/>
  <c r="AR104" i="4" l="1"/>
  <c r="AR105" i="4"/>
  <c r="AZ104" i="4"/>
  <c r="AZ106" i="4"/>
  <c r="AY106" i="4"/>
  <c r="AY104" i="4"/>
  <c r="AY74" i="4"/>
  <c r="AY76" i="4"/>
  <c r="AZ76" i="4"/>
  <c r="AZ74" i="4"/>
  <c r="AR75" i="4"/>
  <c r="T40" i="4"/>
  <c r="G40" i="4"/>
  <c r="P40" i="4" s="1"/>
  <c r="G39" i="4"/>
  <c r="P39" i="4" s="1"/>
  <c r="AW39" i="4"/>
  <c r="AT39" i="4"/>
  <c r="P17" i="3"/>
  <c r="M22" i="3"/>
  <c r="K13" i="4"/>
  <c r="AK44" i="4"/>
  <c r="AN44" i="4" s="1"/>
  <c r="AT46" i="4"/>
  <c r="AW46" i="4" s="1"/>
  <c r="F13" i="4"/>
  <c r="O32" i="3"/>
  <c r="Z13" i="4"/>
  <c r="I13" i="4"/>
  <c r="J13" i="4"/>
  <c r="Q13" i="4"/>
  <c r="R13" i="4"/>
  <c r="U13" i="4"/>
  <c r="Y13" i="4"/>
  <c r="S13" i="4"/>
  <c r="V13" i="4"/>
  <c r="W13" i="4"/>
  <c r="AA13" i="4"/>
  <c r="N15" i="3"/>
  <c r="P16" i="3"/>
  <c r="X15" i="3"/>
  <c r="S14" i="3"/>
  <c r="P14" i="3"/>
  <c r="BH25" i="4"/>
  <c r="BH19" i="4"/>
  <c r="BQ18" i="4"/>
  <c r="BQ17" i="4"/>
  <c r="BP18" i="4"/>
  <c r="BP17" i="4"/>
  <c r="BO18" i="4"/>
  <c r="BO17" i="4"/>
  <c r="BH13" i="4"/>
  <c r="L22" i="3" l="1"/>
  <c r="O17" i="3"/>
  <c r="N17" i="3"/>
  <c r="S17" i="3"/>
  <c r="X17" i="3"/>
  <c r="AD96" i="4"/>
  <c r="U22" i="3"/>
  <c r="AE96" i="4"/>
  <c r="AD92" i="4"/>
  <c r="AE92" i="4"/>
  <c r="N32" i="3"/>
  <c r="AQ154" i="4" s="1"/>
  <c r="O14" i="3"/>
  <c r="R14" i="3"/>
  <c r="S15" i="3"/>
  <c r="Y15" i="3" s="1"/>
  <c r="X55" i="4"/>
  <c r="X16" i="3"/>
  <c r="X14" i="3"/>
  <c r="Y14" i="3"/>
  <c r="AC92" i="4" l="1"/>
  <c r="AO92" i="4" s="1"/>
  <c r="AP92" i="4" s="1"/>
  <c r="AC96" i="4"/>
  <c r="T96" i="4" s="1"/>
  <c r="K22" i="3"/>
  <c r="V22" i="3" s="1"/>
  <c r="W22" i="3" s="1"/>
  <c r="R17" i="3"/>
  <c r="AY62" i="4"/>
  <c r="AY64" i="4"/>
  <c r="AQ66" i="4"/>
  <c r="AQ62" i="4"/>
  <c r="Y17" i="3"/>
  <c r="P32" i="3"/>
  <c r="AY152" i="4"/>
  <c r="AY154" i="4"/>
  <c r="AY156" i="4"/>
  <c r="AR46" i="4"/>
  <c r="N14" i="3"/>
  <c r="AQ44" i="4"/>
  <c r="AQ46" i="4"/>
  <c r="Q14" i="3"/>
  <c r="AR44" i="4" s="1"/>
  <c r="R15" i="3"/>
  <c r="X61" i="4"/>
  <c r="AB49" i="4"/>
  <c r="X49" i="4"/>
  <c r="AX96" i="4" l="1"/>
  <c r="T92" i="4"/>
  <c r="AR66" i="4"/>
  <c r="Q17" i="3"/>
  <c r="AR62" i="4" s="1"/>
  <c r="X32" i="3"/>
  <c r="AZ46" i="4"/>
  <c r="AZ48" i="4"/>
  <c r="AY46" i="4"/>
  <c r="AY48" i="4"/>
  <c r="Q15" i="3"/>
  <c r="C32" i="4"/>
  <c r="C26" i="4"/>
  <c r="AZ64" i="4" l="1"/>
  <c r="AZ62" i="4"/>
  <c r="G21" i="4"/>
  <c r="P21" i="4" s="1"/>
  <c r="G20" i="4"/>
  <c r="G22" i="4"/>
  <c r="P22" i="4" s="1"/>
  <c r="AJ21" i="4"/>
  <c r="AJ23" i="4"/>
  <c r="O20" i="4"/>
  <c r="AJ22" i="4"/>
  <c r="K24" i="4"/>
  <c r="K20" i="4"/>
  <c r="AJ24" i="4"/>
  <c r="AJ20" i="4"/>
  <c r="O24" i="4"/>
  <c r="K26" i="4"/>
  <c r="K31" i="4" s="1"/>
  <c r="J26" i="4"/>
  <c r="O26" i="4"/>
  <c r="AJ34" i="4"/>
  <c r="AJ33" i="4"/>
  <c r="V36" i="4"/>
  <c r="Q36" i="4"/>
  <c r="I36" i="4"/>
  <c r="AC35" i="4"/>
  <c r="F35" i="4"/>
  <c r="AB34" i="4"/>
  <c r="X34" i="4"/>
  <c r="T34" i="4"/>
  <c r="AE33" i="4"/>
  <c r="Z32" i="4"/>
  <c r="U32" i="4"/>
  <c r="N32" i="4"/>
  <c r="F32" i="4"/>
  <c r="AJ36" i="4"/>
  <c r="Y36" i="4"/>
  <c r="M36" i="4"/>
  <c r="AD34" i="4"/>
  <c r="G34" i="4"/>
  <c r="P34" i="4" s="1"/>
  <c r="AC33" i="4"/>
  <c r="J32" i="4"/>
  <c r="K32" i="4"/>
  <c r="R36" i="4"/>
  <c r="AD35" i="4"/>
  <c r="F34" i="4"/>
  <c r="T33" i="4"/>
  <c r="V32" i="4"/>
  <c r="I32" i="4"/>
  <c r="I37" i="4" s="1"/>
  <c r="O36" i="4"/>
  <c r="O32" i="4"/>
  <c r="AJ35" i="4"/>
  <c r="AJ32" i="4"/>
  <c r="Z36" i="4"/>
  <c r="U36" i="4"/>
  <c r="N36" i="4"/>
  <c r="F36" i="4"/>
  <c r="AB35" i="4"/>
  <c r="X35" i="4"/>
  <c r="T35" i="4"/>
  <c r="AE34" i="4"/>
  <c r="AD33" i="4"/>
  <c r="G33" i="4"/>
  <c r="P33" i="4" s="1"/>
  <c r="Y32" i="4"/>
  <c r="M32" i="4"/>
  <c r="AE35" i="4"/>
  <c r="F33" i="4"/>
  <c r="R32" i="4"/>
  <c r="K36" i="4"/>
  <c r="J36" i="4"/>
  <c r="G35" i="4"/>
  <c r="P35" i="4" s="1"/>
  <c r="AC34" i="4"/>
  <c r="AB33" i="4"/>
  <c r="X33" i="4"/>
  <c r="Q32" i="4"/>
  <c r="AJ29" i="4"/>
  <c r="AJ28" i="4"/>
  <c r="AJ30" i="4"/>
  <c r="AJ27" i="4"/>
  <c r="AJ26" i="4"/>
  <c r="AE30" i="4"/>
  <c r="AD29" i="4"/>
  <c r="AC28" i="4"/>
  <c r="R28" i="4"/>
  <c r="AC27" i="4"/>
  <c r="L28" i="4"/>
  <c r="N26" i="4"/>
  <c r="G29" i="4"/>
  <c r="P29" i="4" s="1"/>
  <c r="F29" i="4"/>
  <c r="X30" i="4"/>
  <c r="AD27" i="4"/>
  <c r="U26" i="4"/>
  <c r="G30" i="4"/>
  <c r="P30" i="4" s="1"/>
  <c r="F30" i="4"/>
  <c r="F26" i="4"/>
  <c r="AD30" i="4"/>
  <c r="AC29" i="4"/>
  <c r="V28" i="4"/>
  <c r="Q28" i="4"/>
  <c r="AB27" i="4"/>
  <c r="X27" i="4"/>
  <c r="T27" i="4"/>
  <c r="R26" i="4"/>
  <c r="M26" i="4"/>
  <c r="I26" i="4"/>
  <c r="F28" i="4"/>
  <c r="H28" i="4" s="1"/>
  <c r="T30" i="4"/>
  <c r="Y28" i="4"/>
  <c r="AB28" i="4" s="1"/>
  <c r="I28" i="4"/>
  <c r="AC30" i="4"/>
  <c r="AB29" i="4"/>
  <c r="X29" i="4"/>
  <c r="T29" i="4"/>
  <c r="AE28" i="4"/>
  <c r="Z28" i="4"/>
  <c r="U28" i="4"/>
  <c r="X28" i="4" s="1"/>
  <c r="AE27" i="4"/>
  <c r="Z26" i="4"/>
  <c r="V26" i="4"/>
  <c r="Q26" i="4"/>
  <c r="N28" i="4"/>
  <c r="J28" i="4"/>
  <c r="G27" i="4"/>
  <c r="P27" i="4" s="1"/>
  <c r="F27" i="4"/>
  <c r="AB30" i="4"/>
  <c r="AE29" i="4"/>
  <c r="AD28" i="4"/>
  <c r="Y26" i="4"/>
  <c r="M28" i="4"/>
  <c r="AE21" i="4"/>
  <c r="AC22" i="4"/>
  <c r="AB23" i="4"/>
  <c r="T21" i="4"/>
  <c r="F22" i="4"/>
  <c r="AD23" i="4"/>
  <c r="AC21" i="4"/>
  <c r="AB22" i="4"/>
  <c r="X23" i="4"/>
  <c r="F21" i="4"/>
  <c r="AD22" i="4"/>
  <c r="AE23" i="4"/>
  <c r="AB21" i="4"/>
  <c r="X22" i="4"/>
  <c r="T23" i="4"/>
  <c r="F24" i="4"/>
  <c r="F20" i="4"/>
  <c r="AD21" i="4"/>
  <c r="AE22" i="4"/>
  <c r="AC23" i="4"/>
  <c r="X21" i="4"/>
  <c r="T22" i="4"/>
  <c r="F23" i="4"/>
  <c r="Y24" i="4"/>
  <c r="U24" i="4"/>
  <c r="M24" i="4"/>
  <c r="N20" i="4"/>
  <c r="I20" i="4"/>
  <c r="Z20" i="4"/>
  <c r="Q20" i="4"/>
  <c r="Z24" i="4"/>
  <c r="Q24" i="4"/>
  <c r="U20" i="4"/>
  <c r="N24" i="4"/>
  <c r="R20" i="4"/>
  <c r="M20" i="4"/>
  <c r="R24" i="4"/>
  <c r="V20" i="4"/>
  <c r="J24" i="4"/>
  <c r="V24" i="4"/>
  <c r="Y20" i="4"/>
  <c r="I24" i="4"/>
  <c r="J20" i="4"/>
  <c r="G23" i="4"/>
  <c r="P23" i="4" s="1"/>
  <c r="E49" i="4"/>
  <c r="F61" i="4"/>
  <c r="E61" i="4" s="1"/>
  <c r="F55" i="4"/>
  <c r="E55" i="4" s="1"/>
  <c r="F67" i="4"/>
  <c r="E67" i="4" s="1"/>
  <c r="F37" i="4" l="1"/>
  <c r="E37" i="4" s="1"/>
  <c r="K37" i="4"/>
  <c r="AU32" i="4"/>
  <c r="AV32" i="4"/>
  <c r="AM32" i="4"/>
  <c r="AL32" i="4"/>
  <c r="J37" i="4"/>
  <c r="K25" i="4"/>
  <c r="AL36" i="4"/>
  <c r="AM36" i="4"/>
  <c r="J25" i="4"/>
  <c r="AU24" i="4"/>
  <c r="I31" i="4"/>
  <c r="I25" i="4"/>
  <c r="AL20" i="4"/>
  <c r="J31" i="4"/>
  <c r="F31" i="4"/>
  <c r="E31" i="4" s="1"/>
  <c r="T28" i="4"/>
  <c r="G28" i="4"/>
  <c r="P28" i="4" s="1"/>
  <c r="F25" i="4"/>
  <c r="E25" i="4" s="1"/>
  <c r="T12" i="3"/>
  <c r="C14" i="4"/>
  <c r="I6" i="7" l="1"/>
  <c r="O16" i="4"/>
  <c r="K16" i="4"/>
  <c r="G17" i="4"/>
  <c r="P17" i="4" s="1"/>
  <c r="O14" i="4"/>
  <c r="K15" i="4"/>
  <c r="K14" i="4"/>
  <c r="O15" i="4"/>
  <c r="F14" i="4"/>
  <c r="N7" i="7"/>
  <c r="L7" i="7"/>
  <c r="J7" i="7"/>
  <c r="C7" i="7"/>
  <c r="O7" i="7"/>
  <c r="M7" i="7"/>
  <c r="K7" i="7"/>
  <c r="I7" i="7"/>
  <c r="AK36" i="4"/>
  <c r="AN36" i="4" s="1"/>
  <c r="AT32" i="4"/>
  <c r="AK32" i="4"/>
  <c r="AN32" i="4" s="1"/>
  <c r="AB17" i="4"/>
  <c r="AE17" i="4"/>
  <c r="X17" i="4"/>
  <c r="AD17" i="4"/>
  <c r="T17" i="4"/>
  <c r="AC17" i="4"/>
  <c r="AJ17" i="4"/>
  <c r="F18" i="4"/>
  <c r="AJ18" i="4"/>
  <c r="AJ16" i="4"/>
  <c r="F17" i="4"/>
  <c r="AJ15" i="4"/>
  <c r="F16" i="4"/>
  <c r="AJ14" i="4"/>
  <c r="F15" i="4"/>
  <c r="V18" i="4"/>
  <c r="Q18" i="4"/>
  <c r="M18" i="4"/>
  <c r="Z18" i="4"/>
  <c r="U18" i="4"/>
  <c r="J18" i="4"/>
  <c r="Y18" i="4"/>
  <c r="I18" i="4"/>
  <c r="N18" i="4"/>
  <c r="R18" i="4"/>
  <c r="R16" i="4"/>
  <c r="R15" i="4"/>
  <c r="N16" i="4"/>
  <c r="J16" i="4"/>
  <c r="M15" i="4"/>
  <c r="I15" i="4"/>
  <c r="N14" i="4"/>
  <c r="J14" i="4"/>
  <c r="J15" i="4"/>
  <c r="U14" i="4"/>
  <c r="V16" i="4"/>
  <c r="Q16" i="4"/>
  <c r="V15" i="4"/>
  <c r="Q15" i="4"/>
  <c r="M16" i="4"/>
  <c r="I16" i="4"/>
  <c r="R14" i="4"/>
  <c r="M14" i="4"/>
  <c r="I14" i="4"/>
  <c r="Y14" i="4"/>
  <c r="Z16" i="4"/>
  <c r="U16" i="4"/>
  <c r="Z15" i="4"/>
  <c r="U15" i="4"/>
  <c r="Z14" i="4"/>
  <c r="V14" i="4"/>
  <c r="Q14" i="4"/>
  <c r="Y16" i="4"/>
  <c r="Y15" i="4"/>
  <c r="N15" i="4"/>
  <c r="E13" i="4"/>
  <c r="T10" i="3"/>
  <c r="K19" i="4" l="1"/>
  <c r="AW32" i="4"/>
  <c r="F19" i="4"/>
  <c r="E19" i="4" s="1"/>
  <c r="H36" i="4"/>
  <c r="L36" i="4"/>
  <c r="H32" i="4"/>
  <c r="L32" i="4"/>
  <c r="H20" i="4"/>
  <c r="L20" i="4"/>
  <c r="H24" i="4"/>
  <c r="L24" i="4"/>
  <c r="AV24" i="4"/>
  <c r="AT24" i="4" s="1"/>
  <c r="AM20" i="4"/>
  <c r="I19" i="4"/>
  <c r="J19" i="4"/>
  <c r="H37" i="4" l="1"/>
  <c r="G32" i="4"/>
  <c r="P32" i="4" s="1"/>
  <c r="G36" i="4"/>
  <c r="P36" i="4" s="1"/>
  <c r="G24" i="4"/>
  <c r="P24" i="4" s="1"/>
  <c r="P20" i="4"/>
  <c r="H25" i="4"/>
  <c r="AW24" i="4"/>
  <c r="AK20" i="4"/>
  <c r="AN20" i="4" s="1"/>
  <c r="T33" i="3"/>
  <c r="G37" i="4" l="1"/>
  <c r="P37" i="4" s="1"/>
  <c r="G25" i="4"/>
  <c r="P25" i="4" s="1"/>
  <c r="T32" i="3"/>
  <c r="T30" i="3"/>
  <c r="T24" i="3"/>
  <c r="T29" i="3"/>
  <c r="H154" i="4" l="1"/>
  <c r="L152" i="4"/>
  <c r="L156" i="4"/>
  <c r="H152" i="4"/>
  <c r="L154" i="4"/>
  <c r="H156" i="4"/>
  <c r="T25" i="3"/>
  <c r="T28" i="3"/>
  <c r="G156" i="4" l="1"/>
  <c r="P156" i="4" s="1"/>
  <c r="G152" i="4"/>
  <c r="H157" i="4"/>
  <c r="L157" i="4"/>
  <c r="G154" i="4"/>
  <c r="P154" i="4" s="1"/>
  <c r="L132" i="4"/>
  <c r="L130" i="4"/>
  <c r="H132" i="4"/>
  <c r="H130" i="4"/>
  <c r="L128" i="4"/>
  <c r="H128" i="4"/>
  <c r="T16" i="3"/>
  <c r="T15" i="3"/>
  <c r="T14" i="3"/>
  <c r="G130" i="4" l="1"/>
  <c r="P130" i="4" s="1"/>
  <c r="G132" i="4"/>
  <c r="P132" i="4" s="1"/>
  <c r="P152" i="4"/>
  <c r="G157" i="4"/>
  <c r="P157" i="4" s="1"/>
  <c r="G128" i="4"/>
  <c r="H133" i="4"/>
  <c r="L133" i="4"/>
  <c r="T46" i="3"/>
  <c r="P128" i="4" l="1"/>
  <c r="G133" i="4"/>
  <c r="P133" i="4" s="1"/>
  <c r="T45" i="3" l="1"/>
  <c r="J23" i="3" l="1"/>
  <c r="I23" i="3"/>
  <c r="G23" i="3" l="1"/>
  <c r="T23" i="3"/>
  <c r="L237" i="4"/>
  <c r="L234" i="4"/>
  <c r="H233" i="4"/>
  <c r="L233" i="4"/>
  <c r="H234" i="4"/>
  <c r="G234" i="4" s="1"/>
  <c r="P234" i="4" s="1"/>
  <c r="H237" i="4"/>
  <c r="H23" i="3" l="1"/>
  <c r="AU100" i="4"/>
  <c r="AM99" i="4"/>
  <c r="AV100" i="4"/>
  <c r="AL99" i="4"/>
  <c r="L102" i="4"/>
  <c r="AM98" i="4"/>
  <c r="AL98" i="4"/>
  <c r="L98" i="4"/>
  <c r="AV98" i="4"/>
  <c r="AU98" i="4"/>
  <c r="AU102" i="4"/>
  <c r="AV102" i="4"/>
  <c r="H98" i="4"/>
  <c r="H102" i="4"/>
  <c r="G102" i="4" s="1"/>
  <c r="P102" i="4" s="1"/>
  <c r="G237" i="4"/>
  <c r="P237" i="4" s="1"/>
  <c r="L238" i="4"/>
  <c r="H238" i="4"/>
  <c r="G233" i="4"/>
  <c r="L240" i="4"/>
  <c r="T20" i="3"/>
  <c r="T19" i="3"/>
  <c r="L103" i="4" l="1"/>
  <c r="AT100" i="4"/>
  <c r="AW100" i="4" s="1"/>
  <c r="AK99" i="4"/>
  <c r="AN99" i="4" s="1"/>
  <c r="AT102" i="4"/>
  <c r="AW102" i="4" s="1"/>
  <c r="AK98" i="4"/>
  <c r="AN98" i="4" s="1"/>
  <c r="AT98" i="4"/>
  <c r="AW98" i="4"/>
  <c r="G98" i="4"/>
  <c r="H103" i="4"/>
  <c r="G238" i="4"/>
  <c r="P238" i="4" s="1"/>
  <c r="P233" i="4"/>
  <c r="L242" i="4"/>
  <c r="G242" i="4" s="1"/>
  <c r="P242" i="4" s="1"/>
  <c r="H240" i="4"/>
  <c r="G240" i="4" s="1"/>
  <c r="P240" i="4" s="1"/>
  <c r="L68" i="4"/>
  <c r="L72" i="4"/>
  <c r="H68" i="4"/>
  <c r="H72" i="4"/>
  <c r="G103" i="4" l="1"/>
  <c r="P103" i="4" s="1"/>
  <c r="P98" i="4"/>
  <c r="L73" i="4"/>
  <c r="G72" i="4"/>
  <c r="P72" i="4" s="1"/>
  <c r="H73" i="4"/>
  <c r="G68" i="4"/>
  <c r="G73" i="4" l="1"/>
  <c r="P73" i="4" s="1"/>
  <c r="P68" i="4"/>
  <c r="K16" i="3" l="1"/>
  <c r="V16" i="3" l="1"/>
  <c r="W16" i="3"/>
  <c r="M15" i="3"/>
  <c r="L15" i="3" l="1"/>
  <c r="K15" i="3" s="1"/>
  <c r="U15" i="3"/>
  <c r="W15" i="3" l="1"/>
  <c r="V15" i="3"/>
  <c r="M19" i="3"/>
  <c r="L19" i="3" l="1"/>
  <c r="U19" i="3"/>
  <c r="AE97" i="4"/>
  <c r="AD97" i="4"/>
  <c r="AC97" i="4"/>
  <c r="K25" i="3"/>
  <c r="K19" i="3" l="1"/>
  <c r="V19" i="3" s="1"/>
  <c r="W19" i="3" s="1"/>
  <c r="AO74" i="4"/>
  <c r="AP74" i="4" s="1"/>
  <c r="AO75" i="4"/>
  <c r="AP75" i="4" s="1"/>
  <c r="L25" i="3"/>
  <c r="V25" i="3"/>
  <c r="W25" i="3"/>
  <c r="M25" i="3"/>
  <c r="T97" i="4"/>
  <c r="AX74" i="4" l="1"/>
  <c r="AX76" i="4"/>
  <c r="U25" i="3"/>
  <c r="M24" i="3"/>
  <c r="L24" i="3" l="1"/>
  <c r="AC109" i="4"/>
  <c r="U24" i="3"/>
  <c r="K24" i="3" l="1"/>
  <c r="V24" i="3" s="1"/>
  <c r="W24" i="3" s="1"/>
  <c r="AO105" i="4"/>
  <c r="AP105" i="4" s="1"/>
  <c r="AO104" i="4"/>
  <c r="AP104" i="4" s="1"/>
  <c r="AD109" i="4"/>
  <c r="AE109" i="4"/>
  <c r="AX106" i="4" l="1"/>
  <c r="AX104" i="4"/>
  <c r="T109" i="4"/>
  <c r="K29" i="3" l="1"/>
  <c r="K30" i="3"/>
  <c r="W30" i="3" l="1"/>
  <c r="V30" i="3"/>
  <c r="V29" i="3"/>
  <c r="W29" i="3"/>
  <c r="L30" i="3"/>
  <c r="L29" i="3"/>
  <c r="AC145" i="4" l="1"/>
  <c r="M30" i="3"/>
  <c r="M29" i="3"/>
  <c r="AD115" i="4" l="1"/>
  <c r="AE115" i="4"/>
  <c r="AE145" i="4"/>
  <c r="AD145" i="4"/>
  <c r="U30" i="3"/>
  <c r="U29" i="3"/>
  <c r="AC139" i="4"/>
  <c r="T115" i="4"/>
  <c r="AC115" i="4"/>
  <c r="AD139" i="4" l="1"/>
  <c r="T139" i="4"/>
  <c r="T145" i="4"/>
  <c r="AE139" i="4"/>
  <c r="L16" i="3" l="1"/>
  <c r="Q16" i="3"/>
  <c r="R16" i="3"/>
  <c r="S16" i="3"/>
  <c r="Y16" i="3"/>
  <c r="M16" i="3"/>
  <c r="U16" i="3"/>
  <c r="O12" i="3" l="1"/>
  <c r="M14" i="3"/>
  <c r="AC61" i="4"/>
  <c r="AB61" i="4"/>
  <c r="T61" i="4"/>
  <c r="AE61" i="4"/>
  <c r="AD61" i="4"/>
  <c r="N12" i="3" l="1"/>
  <c r="AY32" i="4" s="1"/>
  <c r="AQ32" i="4"/>
  <c r="U14" i="3"/>
  <c r="L14" i="3"/>
  <c r="AD55" i="4"/>
  <c r="AE49" i="4"/>
  <c r="AD49" i="4"/>
  <c r="AB55" i="4"/>
  <c r="AE55" i="4"/>
  <c r="AC55" i="4"/>
  <c r="Q20" i="3"/>
  <c r="R20" i="3"/>
  <c r="K20" i="3"/>
  <c r="L20" i="3"/>
  <c r="M20" i="3"/>
  <c r="S20" i="3"/>
  <c r="AB79" i="4" s="1"/>
  <c r="U20" i="3"/>
  <c r="Y20" i="3"/>
  <c r="W20" i="3" l="1"/>
  <c r="V20" i="3"/>
  <c r="AO46" i="4"/>
  <c r="AP46" i="4" s="1"/>
  <c r="P12" i="3"/>
  <c r="X12" i="3" s="1"/>
  <c r="AQ36" i="4"/>
  <c r="AC49" i="4"/>
  <c r="K14" i="3"/>
  <c r="T55" i="4"/>
  <c r="T49" i="4"/>
  <c r="AE79" i="4"/>
  <c r="AD79" i="4"/>
  <c r="AC79" i="4"/>
  <c r="AE85" i="4"/>
  <c r="AC85" i="4"/>
  <c r="AD85" i="4"/>
  <c r="AB85" i="4"/>
  <c r="V14" i="3" l="1"/>
  <c r="W14" i="3"/>
  <c r="AX46" i="4"/>
  <c r="AX48" i="4"/>
  <c r="AO44" i="4"/>
  <c r="AP44" i="4" s="1"/>
  <c r="T79" i="4"/>
  <c r="T85" i="4"/>
  <c r="AB115" i="4" l="1"/>
  <c r="Q25" i="3"/>
  <c r="R25" i="3"/>
  <c r="S25" i="3"/>
  <c r="Y25" i="3"/>
  <c r="Q29" i="3"/>
  <c r="R29" i="3"/>
  <c r="S29" i="3"/>
  <c r="Y29" i="3"/>
  <c r="AB139" i="4" l="1"/>
  <c r="M28" i="3" l="1"/>
  <c r="AB109" i="4"/>
  <c r="L28" i="3" l="1"/>
  <c r="AD128" i="4"/>
  <c r="AE132" i="4"/>
  <c r="AE128" i="4"/>
  <c r="AE130" i="4"/>
  <c r="AD130" i="4"/>
  <c r="U28" i="3"/>
  <c r="AD132" i="4"/>
  <c r="K32" i="3"/>
  <c r="AC128" i="4" l="1"/>
  <c r="T128" i="4" s="1"/>
  <c r="AC130" i="4"/>
  <c r="AO130" i="4" s="1"/>
  <c r="AP130" i="4" s="1"/>
  <c r="AC132" i="4"/>
  <c r="T132" i="4" s="1"/>
  <c r="K28" i="3"/>
  <c r="AX128" i="4" s="1"/>
  <c r="S22" i="3"/>
  <c r="AE133" i="4"/>
  <c r="AD133" i="4"/>
  <c r="L32" i="3"/>
  <c r="AC156" i="4" s="1"/>
  <c r="AX156" i="4" s="1"/>
  <c r="AO129" i="4" l="1"/>
  <c r="AP129" i="4" s="1"/>
  <c r="T130" i="4"/>
  <c r="T133" i="4" s="1"/>
  <c r="AC154" i="4"/>
  <c r="AO154" i="4" s="1"/>
  <c r="AP154" i="4" s="1"/>
  <c r="AX130" i="4"/>
  <c r="V28" i="3"/>
  <c r="W28" i="3" s="1"/>
  <c r="AX132" i="4"/>
  <c r="AO128" i="4"/>
  <c r="AP128" i="4" s="1"/>
  <c r="AC133" i="4"/>
  <c r="Y22" i="3"/>
  <c r="Q22" i="3"/>
  <c r="R22" i="3"/>
  <c r="AC152" i="4"/>
  <c r="M32" i="3"/>
  <c r="U32" i="3"/>
  <c r="AE152" i="4"/>
  <c r="AD152" i="4"/>
  <c r="AD154" i="4"/>
  <c r="AE156" i="4"/>
  <c r="AD156" i="4"/>
  <c r="AE154" i="4"/>
  <c r="AC157" i="4" l="1"/>
  <c r="V32" i="3"/>
  <c r="AZ96" i="4"/>
  <c r="AR92" i="4"/>
  <c r="X152" i="4"/>
  <c r="W32" i="3"/>
  <c r="X154" i="4"/>
  <c r="X156" i="4"/>
  <c r="T154" i="4"/>
  <c r="T152" i="4"/>
  <c r="T156" i="4"/>
  <c r="AX154" i="4"/>
  <c r="AD157" i="4"/>
  <c r="AX152" i="4"/>
  <c r="AE157" i="4"/>
  <c r="AR20" i="4"/>
  <c r="AY24" i="4"/>
  <c r="P10" i="3"/>
  <c r="O10" i="3" s="1"/>
  <c r="N10" i="3" s="1"/>
  <c r="S10" i="3"/>
  <c r="AQ20" i="4"/>
  <c r="R10" i="3" l="1"/>
  <c r="AZ24" i="4" s="1"/>
  <c r="T157" i="4"/>
  <c r="X157" i="4"/>
  <c r="Y10" i="3"/>
  <c r="AB36" i="4" s="1"/>
  <c r="X10" i="3"/>
  <c r="Q10" i="3" l="1"/>
  <c r="AB24" i="4"/>
  <c r="AB32" i="4"/>
  <c r="AB37" i="4" s="1"/>
  <c r="AB20" i="4"/>
  <c r="X24" i="4"/>
  <c r="X32" i="4"/>
  <c r="X20" i="4"/>
  <c r="AC36" i="4"/>
  <c r="AC20" i="4"/>
  <c r="AC32" i="4"/>
  <c r="AC24" i="4"/>
  <c r="X36" i="4"/>
  <c r="M10" i="3"/>
  <c r="L10" i="3" l="1"/>
  <c r="K10" i="3" s="1"/>
  <c r="AB25" i="4"/>
  <c r="X25" i="4"/>
  <c r="AC37" i="4"/>
  <c r="X37" i="4"/>
  <c r="AD36" i="4"/>
  <c r="U10" i="3"/>
  <c r="AE20" i="4"/>
  <c r="AD24" i="4"/>
  <c r="AD20" i="4"/>
  <c r="AD32" i="4"/>
  <c r="AE36" i="4"/>
  <c r="AE32" i="4"/>
  <c r="AE24" i="4"/>
  <c r="AC25" i="4"/>
  <c r="AO20" i="4"/>
  <c r="AP20" i="4" s="1"/>
  <c r="V10" i="3" l="1"/>
  <c r="W10" i="3" s="1"/>
  <c r="AE37" i="4"/>
  <c r="T20" i="4"/>
  <c r="T36" i="4"/>
  <c r="AD37" i="4"/>
  <c r="AX24" i="4"/>
  <c r="AE25" i="4"/>
  <c r="T32" i="4"/>
  <c r="T24" i="4"/>
  <c r="AD25" i="4"/>
  <c r="T25" i="4" l="1"/>
  <c r="T37" i="4"/>
  <c r="AC68" i="4"/>
  <c r="AC72" i="4"/>
  <c r="AO72" i="4" s="1"/>
  <c r="AP72" i="4" s="1"/>
  <c r="M18" i="3"/>
  <c r="AD170" i="4"/>
  <c r="AC170" i="4"/>
  <c r="AE170" i="4"/>
  <c r="AE68" i="4" l="1"/>
  <c r="L18" i="3"/>
  <c r="AC73" i="4"/>
  <c r="U18" i="3"/>
  <c r="AD68" i="4"/>
  <c r="AE72" i="4"/>
  <c r="AD72" i="4"/>
  <c r="AB170" i="4"/>
  <c r="T170" i="4"/>
  <c r="X170" i="4"/>
  <c r="K18" i="3" l="1"/>
  <c r="AO69" i="4"/>
  <c r="AP69" i="4" s="1"/>
  <c r="AO68" i="4"/>
  <c r="AP68" i="4" s="1"/>
  <c r="AE73" i="4"/>
  <c r="AX72" i="4"/>
  <c r="T72" i="4"/>
  <c r="T68" i="4"/>
  <c r="AD73" i="4"/>
  <c r="V18" i="3" l="1"/>
  <c r="W18" i="3" s="1"/>
  <c r="AX70" i="4"/>
  <c r="AX68" i="4"/>
  <c r="T73" i="4"/>
  <c r="X181" i="4"/>
  <c r="AB181" i="4"/>
  <c r="AE181" i="4"/>
  <c r="AD181" i="4"/>
  <c r="AC181" i="4" l="1"/>
  <c r="T181" i="4"/>
  <c r="S23" i="3" l="1"/>
  <c r="Y23" i="3" l="1"/>
  <c r="R23" i="3"/>
  <c r="AR98" i="4" l="1"/>
  <c r="AR99" i="4"/>
  <c r="Q23" i="3"/>
  <c r="AZ100" i="4" s="1"/>
  <c r="AZ98" i="4" l="1"/>
  <c r="AZ102" i="4"/>
  <c r="M23" i="3"/>
  <c r="AC38" i="4"/>
  <c r="M13" i="3"/>
  <c r="L13" i="3" l="1"/>
  <c r="L23" i="3"/>
  <c r="AE98" i="4"/>
  <c r="U23" i="3"/>
  <c r="AD102" i="4"/>
  <c r="AD98" i="4"/>
  <c r="AE102" i="4"/>
  <c r="AZ42" i="4"/>
  <c r="AO38" i="4"/>
  <c r="AP38" i="4" s="1"/>
  <c r="AE42" i="4"/>
  <c r="AD42" i="4"/>
  <c r="U13" i="3"/>
  <c r="AE38" i="4"/>
  <c r="AD38" i="4"/>
  <c r="S13" i="3"/>
  <c r="AC42" i="4" l="1"/>
  <c r="AC43" i="4" s="1"/>
  <c r="R13" i="3"/>
  <c r="K13" i="3"/>
  <c r="AC98" i="4"/>
  <c r="AC102" i="4"/>
  <c r="T102" i="4" s="1"/>
  <c r="K23" i="3"/>
  <c r="AX102" i="4"/>
  <c r="AE103" i="4"/>
  <c r="AD103" i="4"/>
  <c r="AD43" i="4"/>
  <c r="AX42" i="4"/>
  <c r="AE43" i="4"/>
  <c r="AX38" i="4"/>
  <c r="T42" i="4"/>
  <c r="T38" i="4"/>
  <c r="Y13" i="3"/>
  <c r="AX98" i="4" l="1"/>
  <c r="AX100" i="4"/>
  <c r="AO99" i="4"/>
  <c r="AP99" i="4" s="1"/>
  <c r="V13" i="3"/>
  <c r="W13" i="3" s="1"/>
  <c r="AX40" i="4"/>
  <c r="AR38" i="4"/>
  <c r="AO39" i="4"/>
  <c r="AP39" i="4" s="1"/>
  <c r="Q13" i="3"/>
  <c r="AR39" i="4" s="1"/>
  <c r="V23" i="3"/>
  <c r="W23" i="3" s="1"/>
  <c r="AO98" i="4"/>
  <c r="AP98" i="4" s="1"/>
  <c r="AC103" i="4"/>
  <c r="T98" i="4"/>
  <c r="T103" i="4" s="1"/>
  <c r="T43" i="4"/>
  <c r="AZ40" i="4" l="1"/>
  <c r="AZ38" i="4"/>
  <c r="BQ34" i="4"/>
  <c r="BO34" i="4"/>
  <c r="BP34" i="4"/>
  <c r="AD232" i="4" l="1"/>
  <c r="AE232" i="4"/>
  <c r="AB220" i="4"/>
  <c r="AC232" i="4"/>
  <c r="AC220" i="4"/>
  <c r="AB232" i="4"/>
  <c r="AD220" i="4"/>
  <c r="AE220" i="4"/>
  <c r="T220" i="4" l="1"/>
  <c r="T232" i="4"/>
  <c r="X232" i="4"/>
  <c r="X220" i="4"/>
  <c r="BO28" i="4" l="1"/>
  <c r="BQ28" i="4"/>
  <c r="BP28" i="4"/>
  <c r="AE288" i="4" l="1"/>
  <c r="AC288" i="4"/>
  <c r="AD288" i="4"/>
  <c r="T288" i="4" l="1"/>
  <c r="AB288" i="4" l="1"/>
  <c r="X288" i="4"/>
  <c r="AB294" i="4" l="1"/>
  <c r="X294" i="4"/>
  <c r="AE294" i="4"/>
  <c r="AD294" i="4"/>
  <c r="AC294" i="4"/>
  <c r="AB250" i="4" l="1"/>
  <c r="T294" i="4"/>
  <c r="Q48" i="3" l="1"/>
  <c r="R48" i="3" l="1"/>
  <c r="AR245" i="4" s="1"/>
  <c r="AZ249" i="4" l="1"/>
  <c r="S48" i="3"/>
  <c r="T312" i="4"/>
  <c r="AE312" i="4"/>
  <c r="AD312" i="4"/>
  <c r="AC312" i="4"/>
  <c r="Y48" i="3" l="1"/>
  <c r="AB264" i="4"/>
  <c r="AE282" i="4" l="1"/>
  <c r="AD282" i="4"/>
  <c r="AC282" i="4"/>
  <c r="T282" i="4" l="1"/>
  <c r="AB282" i="4" l="1"/>
  <c r="X282" i="4"/>
  <c r="X312" i="4" l="1"/>
  <c r="AB312" i="4"/>
  <c r="P74" i="3" l="1"/>
  <c r="N74" i="3" s="1"/>
  <c r="M74" i="3"/>
  <c r="K74" i="3" s="1"/>
  <c r="Q74" i="3"/>
  <c r="W74" i="3" l="1"/>
  <c r="V74" i="3"/>
  <c r="U74" i="3"/>
  <c r="X74" i="3"/>
  <c r="X378" i="4" l="1"/>
  <c r="AD378" i="4"/>
  <c r="AE378" i="4"/>
  <c r="T378" i="4"/>
  <c r="AC378" i="4"/>
  <c r="AE372" i="4"/>
  <c r="AB372" i="4"/>
  <c r="AD372" i="4"/>
  <c r="AC372" i="4"/>
  <c r="X372" i="4"/>
  <c r="T372" i="4" l="1"/>
  <c r="AB456" i="4" l="1"/>
  <c r="AC456" i="4"/>
  <c r="AD456" i="4"/>
  <c r="X456" i="4"/>
  <c r="AE456" i="4"/>
  <c r="T456" i="4" l="1"/>
  <c r="E456" i="4" s="1"/>
  <c r="S89" i="3" l="1"/>
  <c r="Y89" i="3" l="1"/>
  <c r="Q89" i="3"/>
  <c r="P89" i="3"/>
  <c r="M89" i="3"/>
  <c r="U89" i="3" l="1"/>
  <c r="K89" i="3"/>
  <c r="X89" i="3"/>
  <c r="N89" i="3"/>
  <c r="AB468" i="4"/>
  <c r="W89" i="3" l="1"/>
  <c r="V89" i="3"/>
  <c r="AD468" i="4"/>
  <c r="AC468" i="4"/>
  <c r="X468" i="4"/>
  <c r="AE468" i="4"/>
  <c r="T468" i="4" l="1"/>
  <c r="BQ53" i="4"/>
  <c r="BO47" i="4" l="1"/>
  <c r="BO53" i="4"/>
  <c r="BP53" i="4"/>
  <c r="BP47" i="4"/>
  <c r="BQ47" i="4"/>
  <c r="M116" i="3" l="1"/>
  <c r="U116" i="3" s="1"/>
  <c r="P116" i="3"/>
  <c r="X116" i="3" s="1"/>
  <c r="S116" i="3"/>
  <c r="Y116" i="3" l="1"/>
  <c r="AD630" i="4"/>
  <c r="AE630" i="4"/>
  <c r="AB630" i="4"/>
  <c r="X630" i="4"/>
  <c r="AC630" i="4" l="1"/>
  <c r="T630" i="4"/>
  <c r="P104" i="3" l="1"/>
  <c r="M104" i="3"/>
  <c r="L104" i="3" l="1"/>
  <c r="K104" i="3" s="1"/>
  <c r="U104" i="3"/>
  <c r="O104" i="3"/>
  <c r="N104" i="3" s="1"/>
  <c r="X104" i="3"/>
  <c r="W104" i="3" l="1"/>
  <c r="V104" i="3"/>
  <c r="AD558" i="4"/>
  <c r="X558" i="4"/>
  <c r="AE558" i="4"/>
  <c r="AC558" i="4"/>
  <c r="T558" i="4" l="1"/>
  <c r="Q12" i="3" l="1"/>
  <c r="AZ32" i="4" s="1"/>
  <c r="R12" i="3" l="1"/>
  <c r="AR32" i="4" s="1"/>
  <c r="M37" i="3"/>
  <c r="U37" i="3" s="1"/>
  <c r="S37" i="3"/>
  <c r="Y37" i="3" s="1"/>
  <c r="P37" i="3"/>
  <c r="X37" i="3" s="1"/>
  <c r="S12" i="3" l="1"/>
  <c r="Y12" i="3" s="1"/>
  <c r="AR36" i="4"/>
  <c r="L37" i="3"/>
  <c r="K37" i="3" s="1"/>
  <c r="O37" i="3"/>
  <c r="N37" i="3" s="1"/>
  <c r="R37" i="3"/>
  <c r="Q37" i="3" s="1"/>
  <c r="AE183" i="4" l="1"/>
  <c r="AE182" i="4"/>
  <c r="AE190" i="4"/>
  <c r="AD190" i="4"/>
  <c r="AD182" i="4"/>
  <c r="AD183" i="4"/>
  <c r="AE192" i="4" l="1"/>
  <c r="AD192" i="4"/>
  <c r="AD250" i="4" l="1"/>
  <c r="AE250" i="4"/>
  <c r="N63" i="3" l="1"/>
  <c r="Q63" i="3"/>
  <c r="K63" i="3"/>
  <c r="W63" i="3" l="1"/>
  <c r="V63" i="3"/>
  <c r="M63" i="3"/>
  <c r="U63" i="3" s="1"/>
  <c r="AX307" i="4"/>
  <c r="AX311" i="4"/>
  <c r="S63" i="3"/>
  <c r="Y63" i="3" s="1"/>
  <c r="AZ307" i="4"/>
  <c r="AZ311" i="4"/>
  <c r="P63" i="3"/>
  <c r="X63" i="3" s="1"/>
  <c r="AY311" i="4"/>
  <c r="AY307" i="4"/>
  <c r="AD421" i="4"/>
  <c r="AC421" i="4"/>
  <c r="AE421" i="4"/>
  <c r="AD425" i="4"/>
  <c r="AE425" i="4"/>
  <c r="AC425" i="4"/>
  <c r="AE426" i="4" l="1"/>
  <c r="T421" i="4"/>
  <c r="AD426" i="4"/>
  <c r="T425" i="4"/>
  <c r="X425" i="4"/>
  <c r="AC426" i="4"/>
  <c r="T426" i="4" l="1"/>
  <c r="BE109" i="4"/>
  <c r="BF109" i="4"/>
  <c r="BD109" i="4"/>
  <c r="BO113" i="4" l="1"/>
  <c r="BP111" i="4"/>
  <c r="BP109" i="4"/>
  <c r="BR113" i="4"/>
  <c r="BO111" i="4"/>
  <c r="BO109" i="4"/>
  <c r="BQ113" i="4"/>
  <c r="BR111" i="4"/>
  <c r="BR109" i="4"/>
  <c r="BQ109" i="4"/>
  <c r="BP113" i="4"/>
  <c r="BQ111" i="4"/>
  <c r="BL109" i="4"/>
  <c r="BT111" i="4"/>
  <c r="BT109" i="4"/>
  <c r="BN113" i="4"/>
  <c r="BN111" i="4"/>
  <c r="BT113" i="4"/>
  <c r="BS113" i="4"/>
  <c r="BM113" i="4" s="1"/>
  <c r="BS111" i="4"/>
  <c r="BM111" i="4" s="1"/>
  <c r="BS109" i="4"/>
  <c r="X190" i="4"/>
  <c r="X182" i="4"/>
  <c r="AB190" i="4"/>
  <c r="X183" i="4"/>
  <c r="AB182" i="4"/>
  <c r="AL12" i="4"/>
  <c r="AM12" i="4"/>
  <c r="AQ12" i="4"/>
  <c r="BN109" i="4" l="1"/>
  <c r="BN114" i="4" s="1"/>
  <c r="BT114" i="4"/>
  <c r="BL113" i="4"/>
  <c r="BP114" i="4"/>
  <c r="BQ114" i="4"/>
  <c r="BO114" i="4"/>
  <c r="BM109" i="4"/>
  <c r="BM114" i="4" s="1"/>
  <c r="BS114" i="4"/>
  <c r="BR114" i="4"/>
  <c r="BL111" i="4"/>
  <c r="X192" i="4"/>
  <c r="AK12" i="4"/>
  <c r="AN12" i="4"/>
  <c r="BL114" i="4" l="1"/>
  <c r="AU12" i="4" l="1"/>
  <c r="AV12" i="4"/>
  <c r="AW12" i="4" l="1"/>
  <c r="P13" i="3" l="1"/>
  <c r="AY42" i="4"/>
  <c r="X42" i="4"/>
  <c r="L12" i="4"/>
  <c r="H12" i="4"/>
  <c r="X13" i="3" l="1"/>
  <c r="O13" i="3"/>
  <c r="X38" i="4"/>
  <c r="X43" i="4" s="1"/>
  <c r="AB38" i="4"/>
  <c r="AB42" i="4"/>
  <c r="AV42" i="4"/>
  <c r="AU42" i="4"/>
  <c r="I13" i="3"/>
  <c r="G12" i="4"/>
  <c r="N13" i="3" l="1"/>
  <c r="AQ39" i="4"/>
  <c r="T13" i="3"/>
  <c r="G13" i="3"/>
  <c r="AB43" i="4"/>
  <c r="J13" i="3"/>
  <c r="L38" i="4"/>
  <c r="AT42" i="4"/>
  <c r="H42" i="4"/>
  <c r="L42" i="4"/>
  <c r="H38" i="4"/>
  <c r="H13" i="3" l="1"/>
  <c r="AV40" i="4"/>
  <c r="AU38" i="4"/>
  <c r="AM39" i="4"/>
  <c r="AU40" i="4"/>
  <c r="AT40" i="4" s="1"/>
  <c r="AW40" i="4" s="1"/>
  <c r="AV38" i="4"/>
  <c r="AL39" i="4"/>
  <c r="AQ38" i="4"/>
  <c r="AY40" i="4"/>
  <c r="AY38" i="4"/>
  <c r="AW42" i="4"/>
  <c r="H43" i="4"/>
  <c r="G38" i="4"/>
  <c r="P38" i="4" s="1"/>
  <c r="G42" i="4"/>
  <c r="P42" i="4" s="1"/>
  <c r="AK39" i="4" l="1"/>
  <c r="AN39" i="4" s="1"/>
  <c r="AT38" i="4"/>
  <c r="AW38" i="4" s="1"/>
  <c r="AM38" i="4"/>
  <c r="AL38" i="4"/>
  <c r="AB92" i="4"/>
  <c r="AB96" i="4"/>
  <c r="S18" i="3"/>
  <c r="AR72" i="4"/>
  <c r="G43" i="4"/>
  <c r="P43" i="4" s="1"/>
  <c r="Q27" i="3"/>
  <c r="K27" i="3"/>
  <c r="AK38" i="4" l="1"/>
  <c r="AN38" i="4" s="1"/>
  <c r="Y18" i="3"/>
  <c r="R18" i="3"/>
  <c r="AM10" i="4"/>
  <c r="AL10" i="4"/>
  <c r="AV9" i="4"/>
  <c r="AU9" i="4"/>
  <c r="L27" i="3"/>
  <c r="V27" i="3"/>
  <c r="W27" i="3" s="1"/>
  <c r="P22" i="3"/>
  <c r="AB97" i="4"/>
  <c r="AQ72" i="4"/>
  <c r="M27" i="3"/>
  <c r="P18" i="3"/>
  <c r="AY72" i="4"/>
  <c r="R27" i="3"/>
  <c r="AZ72" i="4" l="1"/>
  <c r="AR68" i="4"/>
  <c r="O18" i="3"/>
  <c r="N18" i="3"/>
  <c r="Q18" i="3"/>
  <c r="AK10" i="4"/>
  <c r="AN10" i="4" s="1"/>
  <c r="AT9" i="4"/>
  <c r="AW9" i="4" s="1"/>
  <c r="I8" i="3"/>
  <c r="O22" i="3"/>
  <c r="N22" i="3" s="1"/>
  <c r="AY96" i="4" s="1"/>
  <c r="X22" i="3"/>
  <c r="X92" i="4"/>
  <c r="X96" i="4"/>
  <c r="AB102" i="4"/>
  <c r="AB98" i="4"/>
  <c r="S27" i="3"/>
  <c r="Y27" i="3" s="1"/>
  <c r="AR126" i="4"/>
  <c r="AZ126" i="4"/>
  <c r="AC122" i="4"/>
  <c r="AC126" i="4"/>
  <c r="X18" i="3"/>
  <c r="AD122" i="4"/>
  <c r="AE122" i="4"/>
  <c r="AE126" i="4"/>
  <c r="AD126" i="4"/>
  <c r="AZ122" i="4"/>
  <c r="U27" i="3"/>
  <c r="AQ69" i="4" l="1"/>
  <c r="AZ68" i="4"/>
  <c r="AZ70" i="4"/>
  <c r="AR69" i="4"/>
  <c r="AQ68" i="4"/>
  <c r="AY70" i="4"/>
  <c r="AY68" i="4"/>
  <c r="D6" i="7"/>
  <c r="G8" i="3"/>
  <c r="T8" i="3"/>
  <c r="L9" i="4" s="1"/>
  <c r="J8" i="3"/>
  <c r="E6" i="7" s="1"/>
  <c r="AQ92" i="4"/>
  <c r="X97" i="4"/>
  <c r="AB103" i="4"/>
  <c r="X72" i="4"/>
  <c r="AB68" i="4"/>
  <c r="AB72" i="4"/>
  <c r="T122" i="4"/>
  <c r="AC127" i="4"/>
  <c r="X68" i="4"/>
  <c r="AX122" i="4"/>
  <c r="T126" i="4"/>
  <c r="AE127" i="4"/>
  <c r="AX126" i="4"/>
  <c r="AD127" i="4"/>
  <c r="AO126" i="4"/>
  <c r="AP126" i="4" s="1"/>
  <c r="AB122" i="4"/>
  <c r="AB126" i="4"/>
  <c r="Q32" i="3"/>
  <c r="H8" i="3" l="1"/>
  <c r="AU10" i="4" s="1"/>
  <c r="AU8" i="4"/>
  <c r="AV8" i="4"/>
  <c r="AM8" i="4"/>
  <c r="AL8" i="4"/>
  <c r="AV10" i="4"/>
  <c r="AT10" i="4" s="1"/>
  <c r="AW10" i="4" s="1"/>
  <c r="AL9" i="4"/>
  <c r="AM9" i="4"/>
  <c r="H10" i="4"/>
  <c r="L8" i="4"/>
  <c r="H8" i="4"/>
  <c r="L10" i="4"/>
  <c r="H9" i="4"/>
  <c r="G9" i="4" s="1"/>
  <c r="P9" i="4" s="1"/>
  <c r="X73" i="4"/>
  <c r="T127" i="4"/>
  <c r="AB73" i="4"/>
  <c r="R32" i="3"/>
  <c r="AR154" i="4" s="1"/>
  <c r="AB127" i="4"/>
  <c r="AT8" i="4" l="1"/>
  <c r="AW8" i="4" s="1"/>
  <c r="AK9" i="4"/>
  <c r="AN9" i="4" s="1"/>
  <c r="AK8" i="4"/>
  <c r="AN8" i="4" s="1"/>
  <c r="G10" i="4"/>
  <c r="P10" i="4" s="1"/>
  <c r="L13" i="4"/>
  <c r="G8" i="4"/>
  <c r="H13" i="4"/>
  <c r="P28" i="3"/>
  <c r="S28" i="3"/>
  <c r="S32" i="3"/>
  <c r="AZ156" i="4"/>
  <c r="AZ154" i="4"/>
  <c r="AZ152" i="4"/>
  <c r="Y32" i="3"/>
  <c r="AB152" i="4" s="1"/>
  <c r="Q33" i="3"/>
  <c r="K33" i="3"/>
  <c r="O33" i="3"/>
  <c r="N33" i="3" s="1"/>
  <c r="P33" i="3" s="1"/>
  <c r="G8" i="7" s="1"/>
  <c r="G13" i="4" l="1"/>
  <c r="P13" i="4" s="1"/>
  <c r="P8" i="4"/>
  <c r="L33" i="3"/>
  <c r="W33" i="3"/>
  <c r="V33" i="3"/>
  <c r="O28" i="3"/>
  <c r="R28" i="3"/>
  <c r="Y28" i="3"/>
  <c r="AB128" i="4" s="1"/>
  <c r="AB132" i="4"/>
  <c r="AB130" i="4"/>
  <c r="X28" i="3"/>
  <c r="X132" i="4" s="1"/>
  <c r="X128" i="4"/>
  <c r="X130" i="4"/>
  <c r="AB154" i="4"/>
  <c r="AB156" i="4"/>
  <c r="X33" i="3"/>
  <c r="M33" i="3"/>
  <c r="F8" i="7" s="1"/>
  <c r="R33" i="3"/>
  <c r="S33" i="3" s="1"/>
  <c r="AR130" i="4" l="1"/>
  <c r="N28" i="3"/>
  <c r="AY128" i="4" s="1"/>
  <c r="AQ129" i="4"/>
  <c r="AB133" i="4"/>
  <c r="AY130" i="4"/>
  <c r="AY132" i="4"/>
  <c r="AQ130" i="4"/>
  <c r="AQ128" i="4"/>
  <c r="Q28" i="3"/>
  <c r="AZ128" i="4" s="1"/>
  <c r="X133" i="4"/>
  <c r="AB157" i="4"/>
  <c r="Y33" i="3"/>
  <c r="U33" i="3"/>
  <c r="AR129" i="4" l="1"/>
  <c r="AZ130" i="4"/>
  <c r="AZ132" i="4"/>
  <c r="AR128" i="4"/>
  <c r="Q40" i="3"/>
  <c r="N40" i="3"/>
  <c r="O40" i="3"/>
  <c r="AY184" i="4" l="1"/>
  <c r="AY183" i="4"/>
  <c r="AY191" i="4"/>
  <c r="AQ182" i="4"/>
  <c r="AQ185" i="4"/>
  <c r="AQ184" i="4"/>
  <c r="AQ190" i="4"/>
  <c r="R40" i="3"/>
  <c r="AZ184" i="4"/>
  <c r="P40" i="3"/>
  <c r="X40" i="3" s="1"/>
  <c r="S40" i="3"/>
  <c r="Y40" i="3" s="1"/>
  <c r="AB183" i="4" s="1"/>
  <c r="AB192" i="4" s="1"/>
  <c r="AC183" i="4"/>
  <c r="AC190" i="4"/>
  <c r="AC182" i="4"/>
  <c r="AC237" i="4" l="1"/>
  <c r="AO237" i="4" s="1"/>
  <c r="AP237" i="4" s="1"/>
  <c r="AC234" i="4"/>
  <c r="AC233" i="4"/>
  <c r="AR182" i="4"/>
  <c r="AR184" i="4"/>
  <c r="AR185" i="4"/>
  <c r="AR190" i="4"/>
  <c r="AZ191" i="4"/>
  <c r="AX184" i="4"/>
  <c r="AZ183" i="4"/>
  <c r="AO182" i="4"/>
  <c r="AP182" i="4" s="1"/>
  <c r="T182" i="4"/>
  <c r="AC192" i="4"/>
  <c r="T190" i="4"/>
  <c r="T183" i="4"/>
  <c r="P43" i="3"/>
  <c r="AO233" i="4" l="1"/>
  <c r="AP233" i="4" s="1"/>
  <c r="AC238" i="4"/>
  <c r="U43" i="3"/>
  <c r="AE234" i="4"/>
  <c r="AD233" i="4"/>
  <c r="AD237" i="4"/>
  <c r="AE233" i="4"/>
  <c r="AD234" i="4"/>
  <c r="AE237" i="4"/>
  <c r="AX183" i="4"/>
  <c r="AX191" i="4"/>
  <c r="AO190" i="4"/>
  <c r="AP190" i="4" s="1"/>
  <c r="M40" i="3"/>
  <c r="U40" i="3" s="1"/>
  <c r="AO184" i="4"/>
  <c r="AP184" i="4" s="1"/>
  <c r="AO185" i="4"/>
  <c r="AP185" i="4" s="1"/>
  <c r="T192" i="4"/>
  <c r="X43" i="3"/>
  <c r="X233" i="4" s="1"/>
  <c r="AX233" i="4" l="1"/>
  <c r="T237" i="4"/>
  <c r="T233" i="4"/>
  <c r="AO216" i="4"/>
  <c r="AP216" i="4" s="1"/>
  <c r="AO215" i="4"/>
  <c r="AP215" i="4" s="1"/>
  <c r="AE238" i="4"/>
  <c r="AD238" i="4"/>
  <c r="X234" i="4"/>
  <c r="X237" i="4"/>
  <c r="T234" i="4"/>
  <c r="X250" i="4"/>
  <c r="AC250" i="4"/>
  <c r="T250" i="4"/>
  <c r="S43" i="3"/>
  <c r="Q42" i="3" l="1"/>
  <c r="AO245" i="4"/>
  <c r="AP245" i="4" s="1"/>
  <c r="T238" i="4"/>
  <c r="AX216" i="4"/>
  <c r="AX217" i="4"/>
  <c r="Y43" i="3"/>
  <c r="X238" i="4"/>
  <c r="AB234" i="4"/>
  <c r="AZ204" i="4" l="1"/>
  <c r="R42" i="3"/>
  <c r="AY278" i="4"/>
  <c r="AY281" i="4"/>
  <c r="AQ277" i="4"/>
  <c r="AX249" i="4"/>
  <c r="AC264" i="4"/>
  <c r="AC263" i="4"/>
  <c r="AC267" i="4"/>
  <c r="AO267" i="4" s="1"/>
  <c r="AP267" i="4" s="1"/>
  <c r="AR212" i="4" l="1"/>
  <c r="AR204" i="4"/>
  <c r="AR213" i="4"/>
  <c r="AZ205" i="4"/>
  <c r="S42" i="3"/>
  <c r="Y42" i="3" s="1"/>
  <c r="AX281" i="4"/>
  <c r="AX278" i="4"/>
  <c r="AO277" i="4"/>
  <c r="AP277" i="4" s="1"/>
  <c r="AZ278" i="4"/>
  <c r="AR277" i="4"/>
  <c r="AZ281" i="4"/>
  <c r="AC268" i="4"/>
  <c r="AE263" i="4"/>
  <c r="AD264" i="4"/>
  <c r="T264" i="4" s="1"/>
  <c r="U48" i="3"/>
  <c r="AE267" i="4"/>
  <c r="AD263" i="4"/>
  <c r="AD267" i="4"/>
  <c r="AE264" i="4"/>
  <c r="T267" i="4" l="1"/>
  <c r="T263" i="4"/>
  <c r="AE268" i="4"/>
  <c r="AD268" i="4"/>
  <c r="K68" i="3"/>
  <c r="Q68" i="3"/>
  <c r="N83" i="3"/>
  <c r="V68" i="3" l="1"/>
  <c r="W68" i="3"/>
  <c r="T268" i="4"/>
  <c r="S68" i="3"/>
  <c r="Y68" i="3" s="1"/>
  <c r="AZ337" i="4"/>
  <c r="BF52" i="4" s="1"/>
  <c r="AZ341" i="4"/>
  <c r="M68" i="3"/>
  <c r="U68" i="3" s="1"/>
  <c r="AX337" i="4"/>
  <c r="BD52" i="4" s="1"/>
  <c r="AX341" i="4"/>
  <c r="P83" i="3"/>
  <c r="AY427" i="4"/>
  <c r="AY431" i="4"/>
  <c r="L425" i="4"/>
  <c r="AZ302" i="4"/>
  <c r="AZ305" i="4"/>
  <c r="AR301" i="4"/>
  <c r="AY302" i="4"/>
  <c r="AY305" i="4"/>
  <c r="AQ301" i="4"/>
  <c r="X302" i="4"/>
  <c r="AB301" i="4"/>
  <c r="AB305" i="4"/>
  <c r="AC302" i="4"/>
  <c r="AE302" i="4"/>
  <c r="T302" i="4" s="1"/>
  <c r="AD302" i="4"/>
  <c r="AE301" i="4"/>
  <c r="AE305" i="4"/>
  <c r="AD305" i="4"/>
  <c r="AD301" i="4"/>
  <c r="AC301" i="4"/>
  <c r="AO301" i="4" s="1"/>
  <c r="AP301" i="4" s="1"/>
  <c r="AC305" i="4"/>
  <c r="AB302" i="4"/>
  <c r="Q83" i="3"/>
  <c r="K82" i="3"/>
  <c r="Q82" i="3"/>
  <c r="K83" i="3"/>
  <c r="Q77" i="3"/>
  <c r="J78" i="3"/>
  <c r="W83" i="3" l="1"/>
  <c r="V83" i="3"/>
  <c r="W82" i="3"/>
  <c r="V82" i="3"/>
  <c r="BT56" i="4"/>
  <c r="BN56" i="4" s="1"/>
  <c r="BT52" i="4"/>
  <c r="BT54" i="4"/>
  <c r="BN54" i="4" s="1"/>
  <c r="BR52" i="4"/>
  <c r="BR56" i="4"/>
  <c r="BR54" i="4"/>
  <c r="BQ56" i="4"/>
  <c r="BP56" i="4"/>
  <c r="BO56" i="4"/>
  <c r="BO52" i="4"/>
  <c r="BQ52" i="4"/>
  <c r="BQ54" i="4"/>
  <c r="BP52" i="4"/>
  <c r="BP54" i="4"/>
  <c r="BO54" i="4"/>
  <c r="S83" i="3"/>
  <c r="AZ427" i="4"/>
  <c r="AZ431" i="4"/>
  <c r="M83" i="3"/>
  <c r="X83" i="3"/>
  <c r="X427" i="4" s="1"/>
  <c r="S82" i="3"/>
  <c r="Y82" i="3" s="1"/>
  <c r="AZ425" i="4"/>
  <c r="AZ421" i="4"/>
  <c r="M82" i="3"/>
  <c r="U82" i="3" s="1"/>
  <c r="AX421" i="4"/>
  <c r="AX425" i="4"/>
  <c r="S77" i="3"/>
  <c r="Y77" i="3" s="1"/>
  <c r="AZ391" i="4"/>
  <c r="AZ395" i="4"/>
  <c r="H425" i="4"/>
  <c r="AB425" i="4"/>
  <c r="H421" i="4"/>
  <c r="AX302" i="4"/>
  <c r="AX305" i="4"/>
  <c r="AB306" i="4"/>
  <c r="T301" i="4"/>
  <c r="X301" i="4"/>
  <c r="AC306" i="4"/>
  <c r="AE306" i="4"/>
  <c r="T305" i="4"/>
  <c r="AD306" i="4"/>
  <c r="J73" i="3"/>
  <c r="BR57" i="4" l="1"/>
  <c r="BQ57" i="4"/>
  <c r="BO57" i="4"/>
  <c r="BP57" i="4"/>
  <c r="BL54" i="4"/>
  <c r="BL56" i="4"/>
  <c r="BN52" i="4"/>
  <c r="BN57" i="4" s="1"/>
  <c r="BT57" i="4"/>
  <c r="BL52" i="4"/>
  <c r="X431" i="4"/>
  <c r="X432" i="4" s="1"/>
  <c r="U83" i="3"/>
  <c r="AE427" i="4"/>
  <c r="AE431" i="4"/>
  <c r="AD427" i="4"/>
  <c r="AC431" i="4"/>
  <c r="AC427" i="4"/>
  <c r="AD431" i="4"/>
  <c r="T431" i="4" s="1"/>
  <c r="T427" i="4"/>
  <c r="Y83" i="3"/>
  <c r="AB431" i="4"/>
  <c r="AB427" i="4"/>
  <c r="H426" i="4"/>
  <c r="G425" i="4"/>
  <c r="P425" i="4" s="1"/>
  <c r="T306" i="4"/>
  <c r="AE432" i="4" l="1"/>
  <c r="BL57" i="4"/>
  <c r="T432" i="4"/>
  <c r="AD432" i="4"/>
  <c r="AB432" i="4"/>
  <c r="AC432" i="4"/>
  <c r="AX427" i="4"/>
  <c r="AX431" i="4"/>
  <c r="N107" i="3" l="1"/>
  <c r="M103" i="3"/>
  <c r="F26" i="7" s="1"/>
  <c r="AE551" i="4" l="1"/>
  <c r="AD547" i="4"/>
  <c r="AC551" i="4"/>
  <c r="AD551" i="4"/>
  <c r="AC547" i="4"/>
  <c r="AE547" i="4"/>
  <c r="O107" i="3"/>
  <c r="P107" i="3" s="1"/>
  <c r="U103" i="3"/>
  <c r="L112" i="3"/>
  <c r="O112" i="3"/>
  <c r="AE552" i="4" l="1"/>
  <c r="T551" i="4"/>
  <c r="X575" i="4"/>
  <c r="X571" i="4"/>
  <c r="AD552" i="4"/>
  <c r="T547" i="4"/>
  <c r="T552" i="4" s="1"/>
  <c r="AY605" i="4"/>
  <c r="AQ601" i="4"/>
  <c r="AQ605" i="4"/>
  <c r="AC552" i="4"/>
  <c r="M112" i="3"/>
  <c r="AY575" i="4"/>
  <c r="AY571" i="4"/>
  <c r="X107" i="3"/>
  <c r="J98" i="3"/>
  <c r="E25" i="7" s="1"/>
  <c r="P112" i="3"/>
  <c r="S103" i="3"/>
  <c r="H26" i="7" s="1"/>
  <c r="U112" i="3"/>
  <c r="R112" i="3"/>
  <c r="I103" i="3"/>
  <c r="D26" i="7" s="1"/>
  <c r="X576" i="4" l="1"/>
  <c r="G103" i="3"/>
  <c r="B11" i="6"/>
  <c r="H11" i="6" s="1"/>
  <c r="X605" i="4"/>
  <c r="X601" i="4"/>
  <c r="S112" i="3"/>
  <c r="AZ605" i="4"/>
  <c r="AR601" i="4"/>
  <c r="AR605" i="4"/>
  <c r="AD601" i="4"/>
  <c r="AC601" i="4"/>
  <c r="AE601" i="4"/>
  <c r="AD605" i="4"/>
  <c r="AE605" i="4"/>
  <c r="AC605" i="4"/>
  <c r="X112" i="3"/>
  <c r="Y103" i="3"/>
  <c r="Y112" i="3"/>
  <c r="J103" i="3"/>
  <c r="E26" i="7" s="1"/>
  <c r="T103" i="3"/>
  <c r="H547" i="4" s="1"/>
  <c r="AO12" i="4"/>
  <c r="AP12" i="4" s="1"/>
  <c r="AR12" i="4"/>
  <c r="X606" i="4" l="1"/>
  <c r="AD606" i="4"/>
  <c r="AB601" i="4"/>
  <c r="AB605" i="4"/>
  <c r="L551" i="4"/>
  <c r="T601" i="4"/>
  <c r="AE606" i="4"/>
  <c r="H551" i="4"/>
  <c r="T605" i="4"/>
  <c r="AX605" i="4"/>
  <c r="AO605" i="4"/>
  <c r="AP605" i="4" s="1"/>
  <c r="AC606" i="4"/>
  <c r="AO601" i="4"/>
  <c r="AP601" i="4" s="1"/>
  <c r="L547" i="4"/>
  <c r="H103" i="3"/>
  <c r="AV551" i="4" s="1"/>
  <c r="AV547" i="4"/>
  <c r="AU551" i="4" l="1"/>
  <c r="BB96" i="4" s="1"/>
  <c r="L552" i="4"/>
  <c r="AU547" i="4"/>
  <c r="BB90" i="4" s="1"/>
  <c r="AB606" i="4"/>
  <c r="G551" i="4"/>
  <c r="P551" i="4" s="1"/>
  <c r="T606" i="4"/>
  <c r="G547" i="4"/>
  <c r="H552" i="4"/>
  <c r="G11" i="6" s="1"/>
  <c r="AT547" i="4" l="1"/>
  <c r="BA90" i="4" s="1"/>
  <c r="BI91" i="4" s="1"/>
  <c r="AW551" i="4"/>
  <c r="AT551" i="4"/>
  <c r="BA96" i="4" s="1"/>
  <c r="BI99" i="4" s="1"/>
  <c r="AW547" i="4"/>
  <c r="G552" i="4"/>
  <c r="P547" i="4"/>
  <c r="H18" i="4"/>
  <c r="L18" i="4"/>
  <c r="BI90" i="4" l="1"/>
  <c r="BJ90" i="4" s="1"/>
  <c r="BI100" i="4"/>
  <c r="BI94" i="4"/>
  <c r="BC90" i="4"/>
  <c r="BI96" i="4"/>
  <c r="BK96" i="4" s="1"/>
  <c r="BC96" i="4"/>
  <c r="BK91" i="4"/>
  <c r="BJ91" i="4" s="1"/>
  <c r="BK99" i="4"/>
  <c r="BJ99" i="4" s="1"/>
  <c r="BK100" i="4"/>
  <c r="BK90" i="4"/>
  <c r="P552" i="4"/>
  <c r="F11" i="6"/>
  <c r="BK94" i="4"/>
  <c r="AU18" i="4"/>
  <c r="G18" i="4"/>
  <c r="P18" i="4" s="1"/>
  <c r="AL16" i="4"/>
  <c r="AM16" i="4"/>
  <c r="AK16" i="4" s="1"/>
  <c r="AN16" i="4" s="1"/>
  <c r="AV18" i="4"/>
  <c r="BI95" i="4" l="1"/>
  <c r="BK95" i="4" s="1"/>
  <c r="BJ100" i="4"/>
  <c r="BJ94" i="4"/>
  <c r="BJ95" i="4" s="1"/>
  <c r="BI101" i="4"/>
  <c r="BJ96" i="4"/>
  <c r="L11" i="6"/>
  <c r="N11" i="6" s="1"/>
  <c r="AT18" i="4"/>
  <c r="AW18" i="4" s="1"/>
  <c r="AC12" i="4"/>
  <c r="BJ101" i="4" l="1"/>
  <c r="M11" i="6"/>
  <c r="BK101" i="4"/>
  <c r="AD12" i="4"/>
  <c r="AE12" i="4"/>
  <c r="AX12" i="4"/>
  <c r="T12" i="4" l="1"/>
  <c r="AZ12" i="4" l="1"/>
  <c r="AY12" i="4" l="1"/>
  <c r="AB12" i="4" l="1"/>
  <c r="X12" i="4"/>
  <c r="X18" i="4" l="1"/>
  <c r="AY18" i="4"/>
  <c r="AQ16" i="4"/>
  <c r="AE18" i="4" l="1"/>
  <c r="AD18" i="4"/>
  <c r="BT22" i="4" l="1"/>
  <c r="BN22" i="4" s="1"/>
  <c r="BT21" i="4"/>
  <c r="BN21" i="4" s="1"/>
  <c r="AC18" i="4"/>
  <c r="T18" i="4" s="1"/>
  <c r="AX18" i="4" l="1"/>
  <c r="AO16" i="4"/>
  <c r="AP16" i="4" s="1"/>
  <c r="AZ18" i="4" l="1"/>
  <c r="AR16" i="4"/>
  <c r="M11" i="3" l="1"/>
  <c r="S11" i="3"/>
  <c r="I11" i="3"/>
  <c r="J11" i="3"/>
  <c r="T11" i="3" l="1"/>
  <c r="L26" i="4" s="1"/>
  <c r="AE26" i="4"/>
  <c r="AE31" i="4" s="1"/>
  <c r="AD26" i="4"/>
  <c r="AD31" i="4" s="1"/>
  <c r="G11" i="3"/>
  <c r="L11" i="3"/>
  <c r="R11" i="3"/>
  <c r="Y11" i="3"/>
  <c r="U11" i="3"/>
  <c r="P11" i="3"/>
  <c r="O11" i="3"/>
  <c r="K12" i="3"/>
  <c r="AX32" i="4" l="1"/>
  <c r="V12" i="3"/>
  <c r="W12" i="3"/>
  <c r="BR16" i="4"/>
  <c r="BP16" i="4"/>
  <c r="BO16" i="4"/>
  <c r="BQ16" i="4"/>
  <c r="L12" i="3"/>
  <c r="M12" i="3" s="1"/>
  <c r="Q11" i="3"/>
  <c r="AR26" i="4" s="1"/>
  <c r="AC26" i="4"/>
  <c r="AC31" i="4" s="1"/>
  <c r="N11" i="3"/>
  <c r="AQ26" i="4" s="1"/>
  <c r="X11" i="3"/>
  <c r="K11" i="3"/>
  <c r="H26" i="4"/>
  <c r="H11" i="3"/>
  <c r="AM26" i="4" s="1"/>
  <c r="AB26" i="4"/>
  <c r="AB31" i="4" s="1"/>
  <c r="W11" i="3" l="1"/>
  <c r="V11" i="3"/>
  <c r="BL16" i="4"/>
  <c r="AO26" i="4"/>
  <c r="AP26" i="4" s="1"/>
  <c r="U12" i="3"/>
  <c r="AO32" i="4"/>
  <c r="AP32" i="4" s="1"/>
  <c r="AO36" i="4"/>
  <c r="AP36" i="4" s="1"/>
  <c r="T26" i="4"/>
  <c r="T31" i="4" s="1"/>
  <c r="H31" i="4"/>
  <c r="G26" i="4"/>
  <c r="AL26" i="4"/>
  <c r="X26" i="4"/>
  <c r="X31" i="4" s="1"/>
  <c r="BT16" i="4" l="1"/>
  <c r="BN16" i="4" s="1"/>
  <c r="G31" i="4"/>
  <c r="P26" i="4"/>
  <c r="AK26" i="4"/>
  <c r="P31" i="4" l="1"/>
  <c r="AN26" i="4"/>
  <c r="M39" i="3" l="1"/>
  <c r="U39" i="3" l="1"/>
  <c r="V39" i="3" l="1"/>
  <c r="W39" i="3" s="1"/>
  <c r="AO171" i="4"/>
  <c r="AP171" i="4" s="1"/>
  <c r="AO173" i="4"/>
  <c r="AP173" i="4" s="1"/>
  <c r="Q39" i="3"/>
  <c r="AR171" i="4"/>
  <c r="AR173" i="4"/>
  <c r="O39" i="3"/>
  <c r="N39" i="3"/>
  <c r="P39" i="3" l="1"/>
  <c r="X39" i="3" s="1"/>
  <c r="R39" i="3"/>
  <c r="S39" i="3" s="1"/>
  <c r="AQ171" i="4"/>
  <c r="AQ173" i="4"/>
  <c r="AZ175" i="4"/>
  <c r="AZ173" i="4"/>
  <c r="AY173" i="4"/>
  <c r="AY175" i="4"/>
  <c r="AX173" i="4"/>
  <c r="AX175" i="4"/>
  <c r="S45" i="3"/>
  <c r="Y39" i="3" l="1"/>
  <c r="H11" i="7"/>
  <c r="G42" i="3"/>
  <c r="Y45" i="3"/>
  <c r="R45" i="3"/>
  <c r="G40" i="3"/>
  <c r="H42" i="3" l="1"/>
  <c r="AM204" i="4" s="1"/>
  <c r="AM213" i="4"/>
  <c r="AL204" i="4"/>
  <c r="AU204" i="4"/>
  <c r="AV204" i="4"/>
  <c r="AL213" i="4"/>
  <c r="AL212" i="4"/>
  <c r="AU205" i="4"/>
  <c r="AM212" i="4"/>
  <c r="Q45" i="3"/>
  <c r="AR229" i="4"/>
  <c r="AR227" i="4"/>
  <c r="AU184" i="4"/>
  <c r="AW184" i="4" s="1"/>
  <c r="AV184" i="4"/>
  <c r="H40" i="3"/>
  <c r="AL182" i="4" s="1"/>
  <c r="AN182" i="4" s="1"/>
  <c r="AE242" i="4"/>
  <c r="AE240" i="4"/>
  <c r="AD242" i="4"/>
  <c r="AD240" i="4"/>
  <c r="X240" i="4"/>
  <c r="X242" i="4"/>
  <c r="H190" i="4"/>
  <c r="H182" i="4"/>
  <c r="AC242" i="4"/>
  <c r="AC240" i="4"/>
  <c r="L190" i="4"/>
  <c r="L183" i="4"/>
  <c r="G183" i="4" s="1"/>
  <c r="P183" i="4" s="1"/>
  <c r="L182" i="4"/>
  <c r="N52" i="3"/>
  <c r="AY273" i="4" s="1"/>
  <c r="G52" i="3"/>
  <c r="I40" i="3" l="1"/>
  <c r="T40" i="3" s="1"/>
  <c r="H183" i="4" s="1"/>
  <c r="H192" i="4" s="1"/>
  <c r="AV205" i="4"/>
  <c r="AT205" i="4" s="1"/>
  <c r="AK204" i="4"/>
  <c r="AN204" i="4" s="1"/>
  <c r="I42" i="3"/>
  <c r="AW205" i="4"/>
  <c r="AK213" i="4"/>
  <c r="AN213" i="4" s="1"/>
  <c r="AT204" i="4"/>
  <c r="AW204" i="4"/>
  <c r="AK212" i="4"/>
  <c r="AN212" i="4" s="1"/>
  <c r="AU273" i="4"/>
  <c r="AV273" i="4"/>
  <c r="O52" i="3"/>
  <c r="AZ229" i="4"/>
  <c r="AZ228" i="4"/>
  <c r="AU191" i="4"/>
  <c r="AT191" i="4" s="1"/>
  <c r="AW191" i="4" s="1"/>
  <c r="AL190" i="4"/>
  <c r="AM185" i="4"/>
  <c r="AM190" i="4"/>
  <c r="AK190" i="4" s="1"/>
  <c r="AN190" i="4" s="1"/>
  <c r="AU183" i="4"/>
  <c r="AW183" i="4" s="1"/>
  <c r="AL185" i="4"/>
  <c r="AN185" i="4" s="1"/>
  <c r="AT184" i="4"/>
  <c r="J40" i="3"/>
  <c r="AL184" i="4"/>
  <c r="AN184" i="4" s="1"/>
  <c r="AM184" i="4"/>
  <c r="AV191" i="4"/>
  <c r="AM182" i="4"/>
  <c r="AK182" i="4" s="1"/>
  <c r="AV183" i="4"/>
  <c r="AT183" i="4" s="1"/>
  <c r="L192" i="4"/>
  <c r="H52" i="3"/>
  <c r="AB240" i="4"/>
  <c r="G190" i="4"/>
  <c r="P190" i="4" s="1"/>
  <c r="T242" i="4"/>
  <c r="T240" i="4"/>
  <c r="G182" i="4"/>
  <c r="T42" i="3" l="1"/>
  <c r="J42" i="3"/>
  <c r="K42" i="3"/>
  <c r="AT273" i="4"/>
  <c r="AW273" i="4" s="1"/>
  <c r="P52" i="3"/>
  <c r="X52" i="3" s="1"/>
  <c r="AQ273" i="4"/>
  <c r="AQ269" i="4"/>
  <c r="I52" i="3"/>
  <c r="AL273" i="4"/>
  <c r="AM273" i="4"/>
  <c r="AM269" i="4"/>
  <c r="AL269" i="4"/>
  <c r="J52" i="3"/>
  <c r="AK185" i="4"/>
  <c r="AK184" i="4"/>
  <c r="L271" i="4"/>
  <c r="G271" i="4" s="1"/>
  <c r="P271" i="4" s="1"/>
  <c r="P182" i="4"/>
  <c r="G192" i="4"/>
  <c r="L205" i="4" l="1"/>
  <c r="L213" i="4"/>
  <c r="H213" i="4"/>
  <c r="G213" i="4" s="1"/>
  <c r="P213" i="4" s="1"/>
  <c r="H212" i="4"/>
  <c r="H204" i="4"/>
  <c r="H205" i="4"/>
  <c r="G205" i="4" s="1"/>
  <c r="P205" i="4" s="1"/>
  <c r="AX204" i="4"/>
  <c r="L42" i="3"/>
  <c r="L212" i="4"/>
  <c r="L204" i="4"/>
  <c r="AK273" i="4"/>
  <c r="AN273" i="4" s="1"/>
  <c r="AK269" i="4"/>
  <c r="AN269" i="4" s="1"/>
  <c r="T52" i="3"/>
  <c r="H269" i="4" s="1"/>
  <c r="P192" i="4"/>
  <c r="AC204" i="4" l="1"/>
  <c r="AC213" i="4"/>
  <c r="AC212" i="4"/>
  <c r="AO212" i="4" s="1"/>
  <c r="AP212" i="4" s="1"/>
  <c r="AC205" i="4"/>
  <c r="H214" i="4"/>
  <c r="G204" i="4"/>
  <c r="AO213" i="4"/>
  <c r="AP213" i="4" s="1"/>
  <c r="M42" i="3"/>
  <c r="G212" i="4"/>
  <c r="P212" i="4" s="1"/>
  <c r="L214" i="4"/>
  <c r="AO204" i="4"/>
  <c r="AP204" i="4" s="1"/>
  <c r="H271" i="4"/>
  <c r="L269" i="4"/>
  <c r="L273" i="4"/>
  <c r="H273" i="4"/>
  <c r="G214" i="4" l="1"/>
  <c r="P214" i="4" s="1"/>
  <c r="P204" i="4"/>
  <c r="AE212" i="4"/>
  <c r="AD213" i="4"/>
  <c r="AE205" i="4"/>
  <c r="AD204" i="4"/>
  <c r="U42" i="3"/>
  <c r="AD212" i="4"/>
  <c r="T212" i="4" s="1"/>
  <c r="AD205" i="4"/>
  <c r="AX205" i="4" s="1"/>
  <c r="AE213" i="4"/>
  <c r="AE204" i="4"/>
  <c r="T205" i="4"/>
  <c r="AC214" i="4"/>
  <c r="G273" i="4"/>
  <c r="P273" i="4" s="1"/>
  <c r="H274" i="4"/>
  <c r="G269" i="4"/>
  <c r="L274" i="4"/>
  <c r="G38" i="3"/>
  <c r="AE214" i="4" l="1"/>
  <c r="V42" i="3"/>
  <c r="W42" i="3" s="1"/>
  <c r="T213" i="4"/>
  <c r="AD214" i="4"/>
  <c r="T204" i="4"/>
  <c r="G274" i="4"/>
  <c r="P274" i="4" s="1"/>
  <c r="P269" i="4"/>
  <c r="H38" i="3"/>
  <c r="AL168" i="4" s="1"/>
  <c r="AL160" i="4" l="1"/>
  <c r="AU163" i="4"/>
  <c r="AM162" i="4"/>
  <c r="AU161" i="4"/>
  <c r="AL162" i="4"/>
  <c r="AM160" i="4"/>
  <c r="AK160" i="4" s="1"/>
  <c r="AV163" i="4"/>
  <c r="I38" i="3"/>
  <c r="T214" i="4"/>
  <c r="AB212" i="4"/>
  <c r="AB213" i="4"/>
  <c r="AB204" i="4"/>
  <c r="AB205" i="4"/>
  <c r="T38" i="3"/>
  <c r="AV161" i="4"/>
  <c r="AU169" i="4"/>
  <c r="AV169" i="4"/>
  <c r="AM168" i="4"/>
  <c r="AK168" i="4" s="1"/>
  <c r="AN168" i="4" s="1"/>
  <c r="J38" i="3"/>
  <c r="M38" i="3"/>
  <c r="U38" i="3"/>
  <c r="Q38" i="3"/>
  <c r="N38" i="3"/>
  <c r="O38" i="3"/>
  <c r="G39" i="3"/>
  <c r="AT161" i="4" l="1"/>
  <c r="AW161" i="4" s="1"/>
  <c r="AQ162" i="4"/>
  <c r="P38" i="3"/>
  <c r="X38" i="3" s="1"/>
  <c r="AY163" i="4"/>
  <c r="R38" i="3"/>
  <c r="AR162" i="4" s="1"/>
  <c r="AT163" i="4"/>
  <c r="AW163" i="4" s="1"/>
  <c r="AN162" i="4"/>
  <c r="AK162" i="4"/>
  <c r="S38" i="3"/>
  <c r="Y38" i="3" s="1"/>
  <c r="G12" i="7"/>
  <c r="G10" i="7"/>
  <c r="H12" i="7"/>
  <c r="H10" i="7"/>
  <c r="F12" i="7"/>
  <c r="F10" i="7"/>
  <c r="E12" i="7"/>
  <c r="E10" i="7"/>
  <c r="D12" i="7"/>
  <c r="D10" i="7"/>
  <c r="H39" i="3"/>
  <c r="AB214" i="4"/>
  <c r="V38" i="3"/>
  <c r="W38" i="3" s="1"/>
  <c r="AN160" i="4"/>
  <c r="AL173" i="4"/>
  <c r="AM173" i="4"/>
  <c r="AM171" i="4"/>
  <c r="AU173" i="4"/>
  <c r="AV173" i="4"/>
  <c r="AT173" i="4" s="1"/>
  <c r="AW173" i="4" s="1"/>
  <c r="AL171" i="4"/>
  <c r="AK171" i="4" s="1"/>
  <c r="AN171" i="4" s="1"/>
  <c r="AU175" i="4"/>
  <c r="AT175" i="4" s="1"/>
  <c r="AW175" i="4" s="1"/>
  <c r="AV175" i="4"/>
  <c r="AZ169" i="4"/>
  <c r="AZ161" i="4"/>
  <c r="AO168" i="4"/>
  <c r="AP168" i="4" s="1"/>
  <c r="AO160" i="4"/>
  <c r="AP160" i="4" s="1"/>
  <c r="AX169" i="4"/>
  <c r="AX161" i="4"/>
  <c r="AQ168" i="4"/>
  <c r="AQ160" i="4"/>
  <c r="AY169" i="4"/>
  <c r="AY161" i="4"/>
  <c r="AR168" i="4"/>
  <c r="AR160" i="4"/>
  <c r="AT169" i="4"/>
  <c r="AW169" i="4"/>
  <c r="AZ163" i="4" l="1"/>
  <c r="I39" i="3"/>
  <c r="T39" i="3" s="1"/>
  <c r="AK173" i="4"/>
  <c r="AN173" i="4" s="1"/>
  <c r="R43" i="3"/>
  <c r="Q43" i="3"/>
  <c r="O43" i="3"/>
  <c r="N43" i="3"/>
  <c r="I43" i="3"/>
  <c r="T43" i="3"/>
  <c r="G43" i="3"/>
  <c r="H43" i="3"/>
  <c r="G44" i="3"/>
  <c r="J39" i="3" l="1"/>
  <c r="AV222" i="4"/>
  <c r="AU222" i="4"/>
  <c r="AT222" i="4" s="1"/>
  <c r="AW222" i="4" s="1"/>
  <c r="AQ215" i="4"/>
  <c r="AQ216" i="4"/>
  <c r="AV216" i="4"/>
  <c r="AL215" i="4"/>
  <c r="AU216" i="4"/>
  <c r="AM215" i="4"/>
  <c r="AV217" i="4"/>
  <c r="AU217" i="4"/>
  <c r="AZ217" i="4"/>
  <c r="AZ216" i="4"/>
  <c r="AR215" i="4"/>
  <c r="AR216" i="4"/>
  <c r="AM216" i="4"/>
  <c r="AL216" i="4"/>
  <c r="AY216" i="4"/>
  <c r="AY217" i="4"/>
  <c r="H44" i="3"/>
  <c r="AV223" i="4" s="1"/>
  <c r="AV225" i="4" l="1"/>
  <c r="AL221" i="4"/>
  <c r="I44" i="3"/>
  <c r="AM222" i="4"/>
  <c r="AL222" i="4"/>
  <c r="AM221" i="4"/>
  <c r="AU225" i="4"/>
  <c r="AW225" i="4" s="1"/>
  <c r="AU223" i="4"/>
  <c r="AT223" i="4" s="1"/>
  <c r="AW223" i="4" s="1"/>
  <c r="AL223" i="4"/>
  <c r="AM223" i="4"/>
  <c r="AN215" i="4"/>
  <c r="AK215" i="4"/>
  <c r="AT217" i="4"/>
  <c r="AW217" i="4" s="1"/>
  <c r="AK216" i="4"/>
  <c r="AN216" i="4"/>
  <c r="AT216" i="4"/>
  <c r="AW216" i="4"/>
  <c r="H222" i="4"/>
  <c r="L221" i="4"/>
  <c r="T44" i="3"/>
  <c r="L222" i="4" s="1"/>
  <c r="J44" i="3"/>
  <c r="AK221" i="4" l="1"/>
  <c r="AN221" i="4" s="1"/>
  <c r="AK222" i="4"/>
  <c r="AN222" i="4" s="1"/>
  <c r="AK223" i="4"/>
  <c r="AN223" i="4" s="1"/>
  <c r="AT225" i="4"/>
  <c r="G222" i="4"/>
  <c r="P222" i="4" s="1"/>
  <c r="H221" i="4"/>
  <c r="L226" i="4"/>
  <c r="G221" i="4" l="1"/>
  <c r="H226" i="4"/>
  <c r="G226" i="4" l="1"/>
  <c r="P221" i="4"/>
  <c r="AC221" i="4"/>
  <c r="AO221" i="4" s="1"/>
  <c r="AP221" i="4" s="1"/>
  <c r="AC222" i="4"/>
  <c r="R44" i="3"/>
  <c r="S44" i="3"/>
  <c r="Y44" i="3"/>
  <c r="U44" i="3"/>
  <c r="N44" i="3"/>
  <c r="O44" i="3"/>
  <c r="P44" i="3"/>
  <c r="X44" i="3"/>
  <c r="AD221" i="4"/>
  <c r="AE221" i="4"/>
  <c r="AD222" i="4"/>
  <c r="AE222" i="4"/>
  <c r="X221" i="4"/>
  <c r="X222" i="4"/>
  <c r="AB221" i="4"/>
  <c r="AB222" i="4"/>
  <c r="P226" i="4" l="1"/>
  <c r="AY225" i="4"/>
  <c r="AY222" i="4"/>
  <c r="AY223" i="4"/>
  <c r="AO223" i="4"/>
  <c r="AP223" i="4" s="1"/>
  <c r="AX223" i="4"/>
  <c r="AX225" i="4"/>
  <c r="AR223" i="4"/>
  <c r="AR221" i="4"/>
  <c r="AZ223" i="4"/>
  <c r="AZ225" i="4"/>
  <c r="AR222" i="4"/>
  <c r="AQ221" i="4"/>
  <c r="AQ222" i="4"/>
  <c r="AQ223" i="4"/>
  <c r="AO222" i="4"/>
  <c r="AP222" i="4" s="1"/>
  <c r="AD226" i="4"/>
  <c r="T221" i="4"/>
  <c r="AE226" i="4"/>
  <c r="AC226" i="4"/>
  <c r="T222" i="4"/>
  <c r="X226" i="4"/>
  <c r="AB226" i="4"/>
  <c r="P45" i="3"/>
  <c r="X45" i="3"/>
  <c r="U45" i="3"/>
  <c r="O45" i="3"/>
  <c r="N45" i="3"/>
  <c r="T226" i="4" l="1"/>
  <c r="AX229" i="4"/>
  <c r="AX228" i="4"/>
  <c r="AQ229" i="4"/>
  <c r="AQ227" i="4"/>
  <c r="AY228" i="4"/>
  <c r="AY229" i="4"/>
  <c r="AO227" i="4"/>
  <c r="AP227" i="4" s="1"/>
  <c r="AO229" i="4"/>
  <c r="AP229" i="4" s="1"/>
  <c r="Q46" i="3"/>
  <c r="R46" i="3" s="1"/>
  <c r="AB242" i="4"/>
  <c r="AR233" i="4" l="1"/>
  <c r="AR237" i="4"/>
  <c r="S46" i="3"/>
  <c r="AZ233" i="4"/>
  <c r="N48" i="3"/>
  <c r="AY249" i="4" s="1"/>
  <c r="P48" i="3"/>
  <c r="X48" i="3"/>
  <c r="X264" i="4"/>
  <c r="AC271" i="4"/>
  <c r="P49" i="3"/>
  <c r="X271" i="4"/>
  <c r="AE271" i="4"/>
  <c r="U49" i="3"/>
  <c r="AD271" i="4"/>
  <c r="T271" i="4"/>
  <c r="S49" i="3"/>
  <c r="Y49" i="3"/>
  <c r="AB271" i="4"/>
  <c r="R49" i="3"/>
  <c r="AB237" i="4" l="1"/>
  <c r="AB233" i="4"/>
  <c r="Y46" i="3"/>
  <c r="N49" i="3"/>
  <c r="Q49" i="3"/>
  <c r="AB253" i="4"/>
  <c r="AB255" i="4"/>
  <c r="AB251" i="4"/>
  <c r="AO255" i="4"/>
  <c r="AP255" i="4" s="1"/>
  <c r="AC253" i="4"/>
  <c r="AC251" i="4"/>
  <c r="O49" i="3"/>
  <c r="AR255" i="4"/>
  <c r="AR253" i="4"/>
  <c r="X49" i="3"/>
  <c r="X253" i="4" s="1"/>
  <c r="AE251" i="4"/>
  <c r="AE253" i="4"/>
  <c r="T253" i="4" s="1"/>
  <c r="AD251" i="4"/>
  <c r="AE255" i="4"/>
  <c r="AD255" i="4"/>
  <c r="T255" i="4" s="1"/>
  <c r="AD253" i="4"/>
  <c r="AQ245" i="4"/>
  <c r="G50" i="3"/>
  <c r="AB238" i="4" l="1"/>
  <c r="AC256" i="4"/>
  <c r="AD256" i="4"/>
  <c r="AE256" i="4"/>
  <c r="AB256" i="4"/>
  <c r="T251" i="4"/>
  <c r="T256" i="4" s="1"/>
  <c r="AY251" i="4"/>
  <c r="AY255" i="4"/>
  <c r="X255" i="4"/>
  <c r="AQ255" i="4"/>
  <c r="AQ253" i="4"/>
  <c r="AO253" i="4"/>
  <c r="AP253" i="4" s="1"/>
  <c r="X251" i="4"/>
  <c r="X256" i="4" s="1"/>
  <c r="AX255" i="4"/>
  <c r="AX251" i="4"/>
  <c r="AZ251" i="4"/>
  <c r="AZ255" i="4"/>
  <c r="H50" i="3"/>
  <c r="AU261" i="4" s="1"/>
  <c r="J50" i="3"/>
  <c r="I50" i="3"/>
  <c r="Q50" i="3"/>
  <c r="R50" i="3"/>
  <c r="AR257" i="4" s="1"/>
  <c r="S50" i="3"/>
  <c r="Y50" i="3"/>
  <c r="N50" i="3"/>
  <c r="O50" i="3"/>
  <c r="P50" i="3"/>
  <c r="X50" i="3"/>
  <c r="P51" i="3"/>
  <c r="T50" i="3" l="1"/>
  <c r="X265" i="4"/>
  <c r="X263" i="4"/>
  <c r="X267" i="4"/>
  <c r="O51" i="3"/>
  <c r="X51" i="3"/>
  <c r="AX267" i="4"/>
  <c r="AX265" i="4"/>
  <c r="AO263" i="4"/>
  <c r="AP263" i="4" s="1"/>
  <c r="AQ257" i="4"/>
  <c r="AV261" i="4"/>
  <c r="AT261" i="4" s="1"/>
  <c r="AW261" i="4" s="1"/>
  <c r="AZ261" i="4"/>
  <c r="AM257" i="4"/>
  <c r="AL257" i="4"/>
  <c r="AY261" i="4"/>
  <c r="X268" i="4" l="1"/>
  <c r="AB265" i="4"/>
  <c r="AB267" i="4"/>
  <c r="AB263" i="4"/>
  <c r="AQ267" i="4"/>
  <c r="N51" i="3"/>
  <c r="AQ263" i="4" s="1"/>
  <c r="AK257" i="4"/>
  <c r="AN257" i="4"/>
  <c r="Q52" i="3"/>
  <c r="AZ273" i="4" s="1"/>
  <c r="AB268" i="4" l="1"/>
  <c r="R52" i="3"/>
  <c r="S52" i="3" s="1"/>
  <c r="AY267" i="4"/>
  <c r="AY265" i="4"/>
  <c r="AX273" i="4"/>
  <c r="H295" i="4"/>
  <c r="L295" i="4"/>
  <c r="G295" i="4"/>
  <c r="H299" i="4"/>
  <c r="L299" i="4"/>
  <c r="G299" i="4"/>
  <c r="G59" i="3"/>
  <c r="I59" i="3" s="1"/>
  <c r="G300" i="4" l="1"/>
  <c r="P300" i="4" s="1"/>
  <c r="Y52" i="3"/>
  <c r="T59" i="3"/>
  <c r="AR273" i="4"/>
  <c r="AR269" i="4"/>
  <c r="AC269" i="4"/>
  <c r="AC273" i="4"/>
  <c r="AO273" i="4" s="1"/>
  <c r="AP273" i="4" s="1"/>
  <c r="P295" i="4"/>
  <c r="AU287" i="4"/>
  <c r="AV287" i="4"/>
  <c r="AM283" i="4"/>
  <c r="H300" i="4"/>
  <c r="L300" i="4"/>
  <c r="P299" i="4"/>
  <c r="G63" i="3"/>
  <c r="I63" i="3" l="1"/>
  <c r="AV307" i="4"/>
  <c r="AV311" i="4"/>
  <c r="AU307" i="4"/>
  <c r="AU311" i="4"/>
  <c r="AE269" i="4"/>
  <c r="AE273" i="4"/>
  <c r="AD269" i="4"/>
  <c r="AD273" i="4"/>
  <c r="U52" i="3"/>
  <c r="AO269" i="4"/>
  <c r="AP269" i="4" s="1"/>
  <c r="AC274" i="4"/>
  <c r="AK283" i="4"/>
  <c r="AT287" i="4"/>
  <c r="AW287" i="4"/>
  <c r="J63" i="3"/>
  <c r="P67" i="3"/>
  <c r="N67" i="3"/>
  <c r="X67" i="3"/>
  <c r="M67" i="3"/>
  <c r="U67" i="3"/>
  <c r="K67" i="3"/>
  <c r="S67" i="3"/>
  <c r="Y67" i="3"/>
  <c r="Q67" i="3"/>
  <c r="I67" i="3"/>
  <c r="G67" i="3"/>
  <c r="T67" i="3"/>
  <c r="K69" i="3"/>
  <c r="M69" i="3"/>
  <c r="U69" i="3"/>
  <c r="Q69" i="3"/>
  <c r="S69" i="3"/>
  <c r="Y69" i="3"/>
  <c r="S72" i="3"/>
  <c r="Y72" i="3"/>
  <c r="M72" i="3"/>
  <c r="U72" i="3"/>
  <c r="P72" i="3"/>
  <c r="X72" i="3"/>
  <c r="Q72" i="3"/>
  <c r="K72" i="3"/>
  <c r="N72" i="3"/>
  <c r="N68" i="3"/>
  <c r="P68" i="3"/>
  <c r="X68" i="3"/>
  <c r="S73" i="3"/>
  <c r="Y73" i="3" s="1"/>
  <c r="Q73" i="3"/>
  <c r="M73" i="3"/>
  <c r="U73" i="3" s="1"/>
  <c r="K73" i="3"/>
  <c r="P73" i="3"/>
  <c r="X73" i="3"/>
  <c r="N73" i="3"/>
  <c r="G73" i="3"/>
  <c r="I73" i="3" s="1"/>
  <c r="T73" i="3" s="1"/>
  <c r="N82" i="3"/>
  <c r="P82" i="3"/>
  <c r="X82" i="3"/>
  <c r="M78" i="3"/>
  <c r="U78" i="3" s="1"/>
  <c r="P78" i="3"/>
  <c r="X421" i="4"/>
  <c r="X426" i="4" s="1"/>
  <c r="S78" i="3"/>
  <c r="Y78" i="3"/>
  <c r="AB421" i="4"/>
  <c r="AB426" i="4" s="1"/>
  <c r="L421" i="4"/>
  <c r="L426" i="4" s="1"/>
  <c r="G421" i="4"/>
  <c r="P421" i="4" s="1"/>
  <c r="I78" i="3"/>
  <c r="T78" i="3"/>
  <c r="G78" i="3"/>
  <c r="Q78" i="3"/>
  <c r="N78" i="3"/>
  <c r="K78" i="3"/>
  <c r="S87" i="3"/>
  <c r="Y87" i="3"/>
  <c r="P87" i="3"/>
  <c r="X87" i="3"/>
  <c r="M87" i="3"/>
  <c r="U87" i="3"/>
  <c r="Q87" i="3"/>
  <c r="K87" i="3"/>
  <c r="N87" i="3"/>
  <c r="W87" i="3" l="1"/>
  <c r="V87" i="3"/>
  <c r="W78" i="3"/>
  <c r="V78" i="3"/>
  <c r="V72" i="3"/>
  <c r="W72" i="3"/>
  <c r="V69" i="3"/>
  <c r="W69" i="3"/>
  <c r="V67" i="3"/>
  <c r="W67" i="3"/>
  <c r="V73" i="3"/>
  <c r="V52" i="3"/>
  <c r="T63" i="3"/>
  <c r="AZ365" i="4"/>
  <c r="AZ361" i="4"/>
  <c r="AY361" i="4"/>
  <c r="AY365" i="4"/>
  <c r="AX361" i="4"/>
  <c r="AX365" i="4"/>
  <c r="AY341" i="4"/>
  <c r="AY337" i="4"/>
  <c r="BE52" i="4" s="1"/>
  <c r="AZ331" i="4"/>
  <c r="AZ335" i="4"/>
  <c r="AU335" i="4"/>
  <c r="AT335" i="4" s="1"/>
  <c r="AW335" i="4" s="1"/>
  <c r="AV335" i="4"/>
  <c r="AU331" i="4"/>
  <c r="AV331" i="4"/>
  <c r="AX335" i="4"/>
  <c r="AX331" i="4"/>
  <c r="AY331" i="4"/>
  <c r="AY335" i="4"/>
  <c r="AT307" i="4"/>
  <c r="BA58" i="4" s="1"/>
  <c r="BB58" i="4"/>
  <c r="AW307" i="4"/>
  <c r="AT311" i="4"/>
  <c r="AW311" i="4" s="1"/>
  <c r="AN283" i="4"/>
  <c r="BA46" i="4"/>
  <c r="AE274" i="4"/>
  <c r="AD274" i="4"/>
  <c r="T273" i="4"/>
  <c r="T269" i="4"/>
  <c r="AY455" i="4"/>
  <c r="AY451" i="4"/>
  <c r="AZ451" i="4"/>
  <c r="AZ455" i="4"/>
  <c r="AX451" i="4"/>
  <c r="AX455" i="4"/>
  <c r="AY425" i="4"/>
  <c r="AY421" i="4"/>
  <c r="AY397" i="4"/>
  <c r="AY401" i="4"/>
  <c r="L401" i="4"/>
  <c r="L397" i="4"/>
  <c r="H401" i="4"/>
  <c r="G401" i="4" s="1"/>
  <c r="P401" i="4" s="1"/>
  <c r="H397" i="4"/>
  <c r="G426" i="4"/>
  <c r="P426" i="4" s="1"/>
  <c r="AB401" i="4"/>
  <c r="AB397" i="4"/>
  <c r="AZ397" i="4"/>
  <c r="AZ401" i="4"/>
  <c r="AU397" i="4"/>
  <c r="AV397" i="4"/>
  <c r="AU401" i="4"/>
  <c r="AV401" i="4"/>
  <c r="AE401" i="4"/>
  <c r="AC401" i="4"/>
  <c r="T401" i="4" s="1"/>
  <c r="AC397" i="4"/>
  <c r="AD401" i="4"/>
  <c r="AE397" i="4"/>
  <c r="AD397" i="4"/>
  <c r="T397" i="4"/>
  <c r="X78" i="3"/>
  <c r="AX367" i="4"/>
  <c r="AX371" i="4"/>
  <c r="AY367" i="4"/>
  <c r="AY371" i="4"/>
  <c r="AV367" i="4"/>
  <c r="AU367" i="4"/>
  <c r="AV371" i="4"/>
  <c r="AU371" i="4"/>
  <c r="AZ367" i="4"/>
  <c r="AZ371" i="4"/>
  <c r="AE402" i="4" l="1"/>
  <c r="W73" i="3"/>
  <c r="W52" i="3"/>
  <c r="X273" i="4"/>
  <c r="X269" i="4"/>
  <c r="AB402" i="4"/>
  <c r="AD402" i="4"/>
  <c r="T402" i="4"/>
  <c r="AC402" i="4"/>
  <c r="BS54" i="4"/>
  <c r="BM54" i="4" s="1"/>
  <c r="BS56" i="4"/>
  <c r="BM56" i="4" s="1"/>
  <c r="BS52" i="4"/>
  <c r="AT331" i="4"/>
  <c r="AW331" i="4" s="1"/>
  <c r="BC58" i="4"/>
  <c r="BI62" i="4"/>
  <c r="BI60" i="4"/>
  <c r="BI58" i="4"/>
  <c r="BI46" i="4"/>
  <c r="BI50" i="4"/>
  <c r="BC46" i="4"/>
  <c r="BI48" i="4"/>
  <c r="T274" i="4"/>
  <c r="L402" i="4"/>
  <c r="AX401" i="4"/>
  <c r="AT401" i="4"/>
  <c r="AW401" i="4"/>
  <c r="X397" i="4"/>
  <c r="AX397" i="4"/>
  <c r="AW397" i="4"/>
  <c r="AT397" i="4"/>
  <c r="H402" i="4"/>
  <c r="G8" i="6" s="1"/>
  <c r="G397" i="4"/>
  <c r="X401" i="4"/>
  <c r="AT371" i="4"/>
  <c r="AW371" i="4"/>
  <c r="AW367" i="4"/>
  <c r="AT367" i="4"/>
  <c r="X274" i="4" l="1"/>
  <c r="AB273" i="4"/>
  <c r="AB269" i="4"/>
  <c r="BK48" i="4"/>
  <c r="BJ48" i="4" s="1"/>
  <c r="BK50" i="4"/>
  <c r="BJ50" i="4" s="1"/>
  <c r="BK46" i="4"/>
  <c r="BJ46" i="4" s="1"/>
  <c r="BI51" i="4"/>
  <c r="BK58" i="4"/>
  <c r="BJ58" i="4" s="1"/>
  <c r="BI63" i="4"/>
  <c r="BK60" i="4"/>
  <c r="BJ60" i="4" s="1"/>
  <c r="BK62" i="4"/>
  <c r="BJ62" i="4" s="1"/>
  <c r="X402" i="4"/>
  <c r="BM52" i="4"/>
  <c r="BM57" i="4" s="1"/>
  <c r="BS57" i="4"/>
  <c r="G402" i="4"/>
  <c r="P397" i="4"/>
  <c r="AB274" i="4" l="1"/>
  <c r="BJ51" i="4"/>
  <c r="BK51" i="4" s="1"/>
  <c r="L8" i="6"/>
  <c r="N8" i="6" s="1"/>
  <c r="BJ63" i="4"/>
  <c r="BK63" i="4" s="1"/>
  <c r="P402" i="4"/>
  <c r="F8" i="6"/>
  <c r="M95" i="3"/>
  <c r="M8" i="6" l="1"/>
  <c r="U95" i="3"/>
  <c r="O95" i="3"/>
  <c r="P95" i="3"/>
  <c r="X95" i="3"/>
  <c r="AE511" i="4" l="1"/>
  <c r="AC515" i="4"/>
  <c r="AX515" i="4" s="1"/>
  <c r="AB515" i="4"/>
  <c r="AB511" i="4"/>
  <c r="AV515" i="4"/>
  <c r="AZ511" i="4"/>
  <c r="AZ515" i="4"/>
  <c r="AY511" i="4"/>
  <c r="AY515" i="4"/>
  <c r="AC511" i="4"/>
  <c r="AC516" i="4" s="1"/>
  <c r="AE515" i="4"/>
  <c r="AE516" i="4" s="1"/>
  <c r="AX511" i="4"/>
  <c r="N93" i="3"/>
  <c r="O93" i="3" l="1"/>
  <c r="AY491" i="4" s="1"/>
  <c r="AB516" i="4"/>
  <c r="X515" i="4"/>
  <c r="AU515" i="4"/>
  <c r="AT515" i="4" s="1"/>
  <c r="AW515" i="4" s="1"/>
  <c r="T515" i="4"/>
  <c r="AU511" i="4"/>
  <c r="X511" i="4"/>
  <c r="AD516" i="4"/>
  <c r="T511" i="4"/>
  <c r="X516" i="4" l="1"/>
  <c r="P93" i="3"/>
  <c r="G24" i="7" s="1"/>
  <c r="AY487" i="4"/>
  <c r="T516" i="4"/>
  <c r="AT511" i="4"/>
  <c r="AW511" i="4" s="1"/>
  <c r="Q93" i="3"/>
  <c r="X93" i="3" l="1"/>
  <c r="R93" i="3"/>
  <c r="AZ491" i="4" s="1"/>
  <c r="L515" i="4"/>
  <c r="G515" i="4" s="1"/>
  <c r="P515" i="4" s="1"/>
  <c r="L511" i="4"/>
  <c r="H515" i="4"/>
  <c r="AZ487" i="4" l="1"/>
  <c r="S93" i="3"/>
  <c r="H24" i="7" s="1"/>
  <c r="L516" i="4"/>
  <c r="G511" i="4"/>
  <c r="P98" i="3"/>
  <c r="G25" i="7" s="1"/>
  <c r="S98" i="3"/>
  <c r="H25" i="7" s="1"/>
  <c r="I97" i="3" l="1"/>
  <c r="Y93" i="3"/>
  <c r="P511" i="4"/>
  <c r="G516" i="4"/>
  <c r="P516" i="4" s="1"/>
  <c r="Y98" i="3"/>
  <c r="X98" i="3"/>
  <c r="T97" i="3" l="1"/>
  <c r="H511" i="4" s="1"/>
  <c r="H516" i="4" s="1"/>
  <c r="G97" i="3"/>
  <c r="H97" i="3" s="1"/>
  <c r="AV511" i="4" s="1"/>
  <c r="J97" i="3"/>
  <c r="BD65" i="4"/>
  <c r="BQ69" i="4" l="1"/>
  <c r="BQ65" i="4"/>
  <c r="BO67" i="4"/>
  <c r="BP69" i="4"/>
  <c r="BP65" i="4"/>
  <c r="BO65" i="4"/>
  <c r="BQ67" i="4"/>
  <c r="BO69" i="4"/>
  <c r="BP67" i="4"/>
  <c r="M98" i="3"/>
  <c r="F25" i="7" s="1"/>
  <c r="I98" i="3"/>
  <c r="D25" i="7" s="1"/>
  <c r="G98" i="3"/>
  <c r="T98" i="3" l="1"/>
  <c r="BL69" i="4"/>
  <c r="BL67" i="4"/>
  <c r="BL65" i="4"/>
  <c r="AE521" i="4"/>
  <c r="AC521" i="4"/>
  <c r="AD517" i="4"/>
  <c r="AC517" i="4"/>
  <c r="AD521" i="4"/>
  <c r="AE517" i="4"/>
  <c r="H521" i="4"/>
  <c r="L517" i="4"/>
  <c r="H517" i="4"/>
  <c r="L521" i="4"/>
  <c r="H98" i="3"/>
  <c r="AU517" i="4" s="1"/>
  <c r="U98" i="3"/>
  <c r="BQ70" i="4"/>
  <c r="BO70" i="4"/>
  <c r="BP70" i="4"/>
  <c r="Q102" i="3" l="1"/>
  <c r="BL70" i="4"/>
  <c r="T521" i="4"/>
  <c r="AU521" i="4"/>
  <c r="AV517" i="4"/>
  <c r="AT517" i="4" s="1"/>
  <c r="AW517" i="4" s="1"/>
  <c r="AC522" i="4"/>
  <c r="L522" i="4"/>
  <c r="T517" i="4"/>
  <c r="AD522" i="4"/>
  <c r="AV521" i="4"/>
  <c r="G517" i="4"/>
  <c r="H522" i="4"/>
  <c r="G521" i="4"/>
  <c r="P521" i="4" s="1"/>
  <c r="AE522" i="4"/>
  <c r="L93" i="3"/>
  <c r="G93" i="3"/>
  <c r="AT521" i="4" l="1"/>
  <c r="AW521" i="4" s="1"/>
  <c r="X517" i="4"/>
  <c r="X521" i="4"/>
  <c r="R102" i="3"/>
  <c r="S102" i="3" s="1"/>
  <c r="M93" i="3"/>
  <c r="F24" i="7" s="1"/>
  <c r="H93" i="3"/>
  <c r="T522" i="4"/>
  <c r="P517" i="4"/>
  <c r="G522" i="4"/>
  <c r="AC487" i="4"/>
  <c r="AC491" i="4"/>
  <c r="AD487" i="4"/>
  <c r="AD491" i="4"/>
  <c r="AE487" i="4"/>
  <c r="AE491" i="4"/>
  <c r="U93" i="3"/>
  <c r="AV487" i="4"/>
  <c r="AV491" i="4"/>
  <c r="AU491" i="4"/>
  <c r="AU487" i="4"/>
  <c r="X522" i="4" l="1"/>
  <c r="V93" i="3"/>
  <c r="W93" i="3" s="1"/>
  <c r="AB521" i="4"/>
  <c r="AB517" i="4"/>
  <c r="Y102" i="3"/>
  <c r="U10" i="6" s="1"/>
  <c r="E10" i="6"/>
  <c r="AZ541" i="4"/>
  <c r="AZ545" i="4"/>
  <c r="X491" i="4"/>
  <c r="X487" i="4"/>
  <c r="P522" i="4"/>
  <c r="T491" i="4"/>
  <c r="AD492" i="4"/>
  <c r="X9" i="6" s="1"/>
  <c r="T487" i="4"/>
  <c r="AT487" i="4"/>
  <c r="AT491" i="4"/>
  <c r="AX491" i="4"/>
  <c r="AE492" i="4"/>
  <c r="Y9" i="6" s="1"/>
  <c r="AC492" i="4"/>
  <c r="W9" i="6" s="1"/>
  <c r="AX487" i="4"/>
  <c r="I93" i="3"/>
  <c r="B9" i="6" l="1"/>
  <c r="H9" i="6" s="1"/>
  <c r="D24" i="7"/>
  <c r="AB522" i="4"/>
  <c r="X492" i="4"/>
  <c r="J9" i="6" s="1"/>
  <c r="T492" i="4"/>
  <c r="I9" i="6" s="1"/>
  <c r="AB491" i="4"/>
  <c r="AB487" i="4"/>
  <c r="J93" i="3"/>
  <c r="E24" i="7" s="1"/>
  <c r="AW487" i="4"/>
  <c r="AW491" i="4"/>
  <c r="T93" i="3"/>
  <c r="H491" i="4" s="1"/>
  <c r="AB492" i="4" l="1"/>
  <c r="K9" i="6" s="1"/>
  <c r="L487" i="4"/>
  <c r="L491" i="4"/>
  <c r="G491" i="4" s="1"/>
  <c r="P491" i="4" s="1"/>
  <c r="H487" i="4"/>
  <c r="G487" i="4" l="1"/>
  <c r="H492" i="4"/>
  <c r="G9" i="6" s="1"/>
  <c r="L492" i="4"/>
  <c r="G492" i="4" l="1"/>
  <c r="P487" i="4"/>
  <c r="Q107" i="3"/>
  <c r="S107" i="3" s="1"/>
  <c r="R107" i="3"/>
  <c r="K107" i="3"/>
  <c r="V107" i="3" s="1"/>
  <c r="W107" i="3" s="1"/>
  <c r="L107" i="3"/>
  <c r="BD84" i="4"/>
  <c r="AB571" i="4" l="1"/>
  <c r="AB575" i="4"/>
  <c r="E11" i="6"/>
  <c r="AZ575" i="4"/>
  <c r="AZ571" i="4"/>
  <c r="M107" i="3"/>
  <c r="Y107" i="3"/>
  <c r="U11" i="6" s="1"/>
  <c r="BQ88" i="4"/>
  <c r="BQ84" i="4"/>
  <c r="BO86" i="4"/>
  <c r="BP88" i="4"/>
  <c r="BP84" i="4"/>
  <c r="BQ86" i="4"/>
  <c r="BO88" i="4"/>
  <c r="BO84" i="4"/>
  <c r="BP86" i="4"/>
  <c r="P492" i="4"/>
  <c r="F9" i="6"/>
  <c r="P103" i="3"/>
  <c r="S108" i="3"/>
  <c r="P108" i="3"/>
  <c r="M108" i="3"/>
  <c r="D11" i="6" l="1"/>
  <c r="G26" i="7"/>
  <c r="X103" i="3"/>
  <c r="AE575" i="4"/>
  <c r="AE571" i="4"/>
  <c r="AC575" i="4"/>
  <c r="AX575" i="4" s="1"/>
  <c r="AD571" i="4"/>
  <c r="AD575" i="4"/>
  <c r="T575" i="4" s="1"/>
  <c r="AC571" i="4"/>
  <c r="U107" i="3"/>
  <c r="S11" i="6" s="1"/>
  <c r="C11" i="6"/>
  <c r="N103" i="3"/>
  <c r="O103" i="3" s="1"/>
  <c r="R108" i="3"/>
  <c r="AB581" i="4"/>
  <c r="AB551" i="4"/>
  <c r="AB547" i="4"/>
  <c r="C12" i="6"/>
  <c r="AC581" i="4"/>
  <c r="AE577" i="4"/>
  <c r="AD581" i="4"/>
  <c r="AD577" i="4"/>
  <c r="AC577" i="4"/>
  <c r="AC582" i="4" s="1"/>
  <c r="W12" i="6" s="1"/>
  <c r="AE581" i="4"/>
  <c r="X551" i="4"/>
  <c r="X547" i="4"/>
  <c r="D12" i="6"/>
  <c r="X577" i="4"/>
  <c r="X581" i="4"/>
  <c r="T11" i="6"/>
  <c r="BO89" i="4"/>
  <c r="AB576" i="4"/>
  <c r="BL86" i="4"/>
  <c r="BL88" i="4"/>
  <c r="BL84" i="4"/>
  <c r="BP89" i="4"/>
  <c r="BQ89" i="4"/>
  <c r="E12" i="6"/>
  <c r="Q108" i="3"/>
  <c r="AZ577" i="4" s="1"/>
  <c r="BF115" i="4" s="1"/>
  <c r="U108" i="3"/>
  <c r="S12" i="6" s="1"/>
  <c r="X108" i="3"/>
  <c r="T12" i="6" s="1"/>
  <c r="Y108" i="3"/>
  <c r="U12" i="6" s="1"/>
  <c r="L108" i="3"/>
  <c r="O108" i="3"/>
  <c r="G113" i="3"/>
  <c r="X552" i="4" l="1"/>
  <c r="J11" i="6" s="1"/>
  <c r="X582" i="4"/>
  <c r="J12" i="6" s="1"/>
  <c r="AE576" i="4"/>
  <c r="Y11" i="6" s="1"/>
  <c r="AB552" i="4"/>
  <c r="K11" i="6" s="1"/>
  <c r="AD576" i="4"/>
  <c r="X11" i="6" s="1"/>
  <c r="AD582" i="4"/>
  <c r="X12" i="6" s="1"/>
  <c r="AB577" i="4"/>
  <c r="AB582" i="4" s="1"/>
  <c r="K12" i="6" s="1"/>
  <c r="AR581" i="4"/>
  <c r="AR577" i="4"/>
  <c r="T571" i="4"/>
  <c r="T576" i="4" s="1"/>
  <c r="I11" i="6" s="1"/>
  <c r="AC576" i="4"/>
  <c r="W11" i="6" s="1"/>
  <c r="AX571" i="4"/>
  <c r="N108" i="3"/>
  <c r="AY577" i="4" s="1"/>
  <c r="BE115" i="4" s="1"/>
  <c r="AQ577" i="4"/>
  <c r="AQ581" i="4"/>
  <c r="T577" i="4"/>
  <c r="K108" i="3"/>
  <c r="AO577" i="4"/>
  <c r="AP577" i="4" s="1"/>
  <c r="BT115" i="4"/>
  <c r="BT117" i="4"/>
  <c r="BN117" i="4" s="1"/>
  <c r="BT119" i="4"/>
  <c r="BN119" i="4" s="1"/>
  <c r="BN115" i="4"/>
  <c r="BL89" i="4"/>
  <c r="T581" i="4"/>
  <c r="AE582" i="4"/>
  <c r="Y12" i="6" s="1"/>
  <c r="AY551" i="4"/>
  <c r="BE96" i="4" s="1"/>
  <c r="AY547" i="4"/>
  <c r="BE90" i="4" s="1"/>
  <c r="H113" i="3"/>
  <c r="AM607" i="4" s="1"/>
  <c r="BE103" i="4" l="1"/>
  <c r="AX577" i="4"/>
  <c r="BD115" i="4" s="1"/>
  <c r="BO117" i="4" s="1"/>
  <c r="V108" i="3"/>
  <c r="I113" i="3"/>
  <c r="T113" i="3" s="1"/>
  <c r="AU611" i="4"/>
  <c r="BS94" i="4"/>
  <c r="BM94" i="4" s="1"/>
  <c r="BS91" i="4"/>
  <c r="BM91" i="4" s="1"/>
  <c r="BS90" i="4"/>
  <c r="BM90" i="4" s="1"/>
  <c r="BS99" i="4"/>
  <c r="BM99" i="4" s="1"/>
  <c r="BS100" i="4"/>
  <c r="BM100" i="4" s="1"/>
  <c r="BS96" i="4"/>
  <c r="AO581" i="4"/>
  <c r="AP581" i="4" s="1"/>
  <c r="BD103" i="4" s="1"/>
  <c r="AL607" i="4"/>
  <c r="BN120" i="4"/>
  <c r="BT120" i="4"/>
  <c r="AG12" i="6" s="1"/>
  <c r="AV611" i="4"/>
  <c r="BM105" i="4"/>
  <c r="BM103" i="4"/>
  <c r="BM104" i="4"/>
  <c r="T582" i="4"/>
  <c r="I12" i="6" s="1"/>
  <c r="BS117" i="4"/>
  <c r="BM117" i="4" s="1"/>
  <c r="BS119" i="4"/>
  <c r="BM119" i="4" s="1"/>
  <c r="BS115" i="4"/>
  <c r="BM115" i="4" s="1"/>
  <c r="BF103" i="4"/>
  <c r="J113" i="3"/>
  <c r="K113" i="3"/>
  <c r="N113" i="3"/>
  <c r="O113" i="3" s="1"/>
  <c r="Q113" i="3"/>
  <c r="R113" i="3" s="1"/>
  <c r="AR607" i="4" s="1"/>
  <c r="BM95" i="4" l="1"/>
  <c r="BR117" i="4"/>
  <c r="BR119" i="4"/>
  <c r="BR115" i="4"/>
  <c r="BQ117" i="4"/>
  <c r="BQ115" i="4"/>
  <c r="BO119" i="4"/>
  <c r="BP115" i="4"/>
  <c r="BP119" i="4"/>
  <c r="BO115" i="4"/>
  <c r="BP117" i="4"/>
  <c r="BQ119" i="4"/>
  <c r="W108" i="3"/>
  <c r="AD12" i="6" s="1"/>
  <c r="AC12" i="6"/>
  <c r="AT611" i="4"/>
  <c r="L113" i="3"/>
  <c r="H607" i="4"/>
  <c r="AQ607" i="4"/>
  <c r="P113" i="3"/>
  <c r="AW611" i="4"/>
  <c r="BM120" i="4"/>
  <c r="BM96" i="4"/>
  <c r="BM101" i="4" s="1"/>
  <c r="BS101" i="4"/>
  <c r="AZ611" i="4"/>
  <c r="BL115" i="4"/>
  <c r="L607" i="4"/>
  <c r="BS95" i="4"/>
  <c r="AF11" i="6" s="1"/>
  <c r="AY611" i="4"/>
  <c r="M113" i="3"/>
  <c r="BS120" i="4"/>
  <c r="AF12" i="6" s="1"/>
  <c r="L611" i="4"/>
  <c r="BP104" i="4"/>
  <c r="BO105" i="4"/>
  <c r="BP105" i="4"/>
  <c r="BP103" i="4"/>
  <c r="BO104" i="4"/>
  <c r="BO103" i="4"/>
  <c r="BQ105" i="4"/>
  <c r="BQ103" i="4"/>
  <c r="BQ104" i="4"/>
  <c r="H611" i="4"/>
  <c r="S113" i="3"/>
  <c r="BN103" i="4"/>
  <c r="BN104" i="4"/>
  <c r="BN105" i="4"/>
  <c r="BM108" i="4"/>
  <c r="AK607" i="4"/>
  <c r="P11" i="6" l="1"/>
  <c r="BO120" i="4"/>
  <c r="BQ120" i="4"/>
  <c r="BR120" i="4"/>
  <c r="AE12" i="6" s="1"/>
  <c r="BP120" i="4"/>
  <c r="BL117" i="4"/>
  <c r="BL119" i="4"/>
  <c r="G611" i="4"/>
  <c r="P611" i="4" s="1"/>
  <c r="L612" i="4"/>
  <c r="BL104" i="4"/>
  <c r="AN607" i="4"/>
  <c r="BO108" i="4"/>
  <c r="BP108" i="4"/>
  <c r="AA12" i="6" s="1"/>
  <c r="G607" i="4"/>
  <c r="BL103" i="4"/>
  <c r="BQ108" i="4"/>
  <c r="AB12" i="6" s="1"/>
  <c r="BN108" i="4"/>
  <c r="Q12" i="6" s="1"/>
  <c r="BL105" i="4"/>
  <c r="X113" i="3"/>
  <c r="H612" i="4"/>
  <c r="AE607" i="4"/>
  <c r="AC607" i="4"/>
  <c r="AD611" i="4"/>
  <c r="AD607" i="4"/>
  <c r="AE611" i="4"/>
  <c r="AC611" i="4"/>
  <c r="AX611" i="4" s="1"/>
  <c r="U113" i="3"/>
  <c r="P12" i="6"/>
  <c r="Y113" i="3"/>
  <c r="Z12" i="6" l="1"/>
  <c r="BL120" i="4"/>
  <c r="V113" i="3"/>
  <c r="AD612" i="4"/>
  <c r="AE612" i="4"/>
  <c r="T607" i="4"/>
  <c r="BL108" i="4"/>
  <c r="O12" i="6" s="1"/>
  <c r="P607" i="4"/>
  <c r="G612" i="4"/>
  <c r="T611" i="4"/>
  <c r="AC612" i="4"/>
  <c r="AO607" i="4"/>
  <c r="AP607" i="4" s="1"/>
  <c r="X611" i="4" l="1"/>
  <c r="X607" i="4"/>
  <c r="W113" i="3"/>
  <c r="P612" i="4"/>
  <c r="T612" i="4"/>
  <c r="X612" i="4" l="1"/>
  <c r="AB611" i="4"/>
  <c r="AB607" i="4"/>
  <c r="H242" i="4"/>
  <c r="AB612" i="4" l="1"/>
  <c r="I47" i="3"/>
  <c r="G47" i="3" s="1"/>
  <c r="AV243" i="4" l="1"/>
  <c r="AU243" i="4"/>
  <c r="H47" i="3"/>
  <c r="AU241" i="4" s="1"/>
  <c r="AM239" i="4"/>
  <c r="T47" i="3"/>
  <c r="J47" i="3" l="1"/>
  <c r="L241" i="4" s="1"/>
  <c r="AM243" i="4"/>
  <c r="AV241" i="4"/>
  <c r="AT241" i="4" s="1"/>
  <c r="AL243" i="4"/>
  <c r="AL239" i="4"/>
  <c r="L239" i="4"/>
  <c r="AT243" i="4"/>
  <c r="AW243" i="4" s="1"/>
  <c r="H241" i="4"/>
  <c r="N42" i="3"/>
  <c r="AK239" i="4" l="1"/>
  <c r="AN239" i="4"/>
  <c r="AK243" i="4"/>
  <c r="AN243" i="4" s="1"/>
  <c r="G241" i="4"/>
  <c r="P241" i="4" s="1"/>
  <c r="H243" i="4"/>
  <c r="H239" i="4"/>
  <c r="L243" i="4"/>
  <c r="L244" i="4" s="1"/>
  <c r="AW241" i="4"/>
  <c r="O42" i="3"/>
  <c r="AY204" i="4"/>
  <c r="G243" i="4" l="1"/>
  <c r="P243" i="4" s="1"/>
  <c r="H244" i="4"/>
  <c r="G239" i="4"/>
  <c r="AQ204" i="4"/>
  <c r="AQ212" i="4"/>
  <c r="AQ213" i="4"/>
  <c r="AY205" i="4"/>
  <c r="P42" i="3"/>
  <c r="P239" i="4" l="1"/>
  <c r="G244" i="4"/>
  <c r="P244" i="4" s="1"/>
  <c r="X42" i="3"/>
  <c r="X204" i="4"/>
  <c r="X205" i="4"/>
  <c r="X213" i="4"/>
  <c r="X212" i="4"/>
  <c r="X214" i="4" l="1"/>
  <c r="M47" i="3" l="1"/>
  <c r="AD241" i="4" s="1"/>
  <c r="AE241" i="4"/>
  <c r="AD239" i="4"/>
  <c r="AE239" i="4"/>
  <c r="AD243" i="4"/>
  <c r="AE243" i="4"/>
  <c r="AD244" i="4" l="1"/>
  <c r="L47" i="3"/>
  <c r="AC241" i="4" s="1"/>
  <c r="U47" i="3"/>
  <c r="AE244" i="4"/>
  <c r="AC243" i="4"/>
  <c r="AO243" i="4" s="1"/>
  <c r="AP243" i="4" s="1"/>
  <c r="S47" i="3"/>
  <c r="T241" i="4"/>
  <c r="K47" i="3"/>
  <c r="T243" i="4"/>
  <c r="AC239" i="4"/>
  <c r="M41" i="3"/>
  <c r="AD193" i="4"/>
  <c r="S41" i="3"/>
  <c r="R41" i="3" s="1"/>
  <c r="U41" i="3"/>
  <c r="AE195" i="4"/>
  <c r="AE197" i="4"/>
  <c r="AD195" i="4"/>
  <c r="AD197" i="4"/>
  <c r="O41" i="3"/>
  <c r="P41" i="3"/>
  <c r="Y41" i="3"/>
  <c r="X41" i="3"/>
  <c r="M17" i="3"/>
  <c r="AE62" i="4"/>
  <c r="AE66" i="4"/>
  <c r="Y47" i="3" l="1"/>
  <c r="R47" i="3"/>
  <c r="Q47" i="3" s="1"/>
  <c r="AD203" i="4"/>
  <c r="X7" i="6" s="1"/>
  <c r="AC244" i="4"/>
  <c r="T239" i="4"/>
  <c r="T244" i="4" s="1"/>
  <c r="AX243" i="4"/>
  <c r="V47" i="3"/>
  <c r="W47" i="3" s="1"/>
  <c r="AO239" i="4"/>
  <c r="AP239" i="4" s="1"/>
  <c r="AX241" i="4"/>
  <c r="AR197" i="4"/>
  <c r="AQ197" i="4"/>
  <c r="N41" i="3"/>
  <c r="L41" i="3"/>
  <c r="K41" i="3" s="1"/>
  <c r="Q41" i="3"/>
  <c r="AE193" i="4"/>
  <c r="AE203" i="4" s="1"/>
  <c r="Y7" i="6" s="1"/>
  <c r="AD66" i="4"/>
  <c r="U17" i="3"/>
  <c r="AD64" i="4"/>
  <c r="AD62" i="4"/>
  <c r="L17" i="3"/>
  <c r="K17" i="3" s="1"/>
  <c r="AE64" i="4"/>
  <c r="AE67" i="4" s="1"/>
  <c r="AD67" i="4" l="1"/>
  <c r="AR243" i="4"/>
  <c r="AR239" i="4"/>
  <c r="AZ243" i="4"/>
  <c r="AZ241" i="4"/>
  <c r="AB243" i="4"/>
  <c r="AB239" i="4"/>
  <c r="AB241" i="4"/>
  <c r="AX197" i="4"/>
  <c r="BD33" i="4" s="1"/>
  <c r="V41" i="3"/>
  <c r="AZ197" i="4"/>
  <c r="BF33" i="4" s="1"/>
  <c r="AZ193" i="4"/>
  <c r="AR195" i="4"/>
  <c r="BF27" i="4" s="1"/>
  <c r="AY197" i="4"/>
  <c r="AY193" i="4"/>
  <c r="AC197" i="4"/>
  <c r="T197" i="4" s="1"/>
  <c r="AC193" i="4"/>
  <c r="AC195" i="4"/>
  <c r="T195" i="4" s="1"/>
  <c r="AQ195" i="4"/>
  <c r="V17" i="3"/>
  <c r="AC66" i="4"/>
  <c r="AO66" i="4" s="1"/>
  <c r="AP66" i="4" s="1"/>
  <c r="AC64" i="4"/>
  <c r="AC62" i="4"/>
  <c r="AX62" i="4" s="1"/>
  <c r="AO62" i="4"/>
  <c r="AP62" i="4" s="1"/>
  <c r="W17" i="3" l="1"/>
  <c r="BF39" i="4"/>
  <c r="BT43" i="4" s="1"/>
  <c r="BN43" i="4" s="1"/>
  <c r="AB244" i="4"/>
  <c r="AO197" i="4"/>
  <c r="AP197" i="4" s="1"/>
  <c r="X193" i="4"/>
  <c r="X197" i="4"/>
  <c r="X195" i="4"/>
  <c r="AC203" i="4"/>
  <c r="W7" i="6" s="1"/>
  <c r="T193" i="4"/>
  <c r="T203" i="4" s="1"/>
  <c r="I7" i="6" s="1"/>
  <c r="BN27" i="4"/>
  <c r="BN31" i="4"/>
  <c r="W41" i="3"/>
  <c r="AO195" i="4"/>
  <c r="AP195" i="4" s="1"/>
  <c r="BT41" i="4"/>
  <c r="BN41" i="4" s="1"/>
  <c r="AX193" i="4"/>
  <c r="BD39" i="4" s="1"/>
  <c r="BT37" i="4"/>
  <c r="BN37" i="4" s="1"/>
  <c r="BT33" i="4"/>
  <c r="BO33" i="4"/>
  <c r="BQ37" i="4"/>
  <c r="BP37" i="4"/>
  <c r="BR33" i="4"/>
  <c r="BQ33" i="4"/>
  <c r="BR37" i="4"/>
  <c r="BO37" i="4"/>
  <c r="BP33" i="4"/>
  <c r="AB66" i="4"/>
  <c r="AB62" i="4"/>
  <c r="AB64" i="4"/>
  <c r="T62" i="4"/>
  <c r="AC67" i="4"/>
  <c r="T66" i="4"/>
  <c r="AX64" i="4"/>
  <c r="T64" i="4"/>
  <c r="X64" i="4"/>
  <c r="X62" i="4"/>
  <c r="X66" i="4"/>
  <c r="BD27" i="4" l="1"/>
  <c r="BT39" i="4"/>
  <c r="BN39" i="4" s="1"/>
  <c r="BN44" i="4" s="1"/>
  <c r="BQ38" i="4"/>
  <c r="BO38" i="4"/>
  <c r="BP38" i="4"/>
  <c r="BR38" i="4"/>
  <c r="BT38" i="4"/>
  <c r="BL33" i="4"/>
  <c r="BN32" i="4"/>
  <c r="BN33" i="4"/>
  <c r="BN38" i="4" s="1"/>
  <c r="BP27" i="4"/>
  <c r="BQ31" i="4"/>
  <c r="BP31" i="4"/>
  <c r="BO27" i="4"/>
  <c r="BO31" i="4"/>
  <c r="BQ27" i="4"/>
  <c r="BL37" i="4"/>
  <c r="BP39" i="4"/>
  <c r="BO41" i="4"/>
  <c r="BR43" i="4"/>
  <c r="BO39" i="4"/>
  <c r="BR41" i="4"/>
  <c r="BQ39" i="4"/>
  <c r="BP41" i="4"/>
  <c r="BO43" i="4"/>
  <c r="BQ43" i="4"/>
  <c r="BR39" i="4"/>
  <c r="BQ41" i="4"/>
  <c r="BP43" i="4"/>
  <c r="AB193" i="4"/>
  <c r="AB197" i="4"/>
  <c r="AB195" i="4"/>
  <c r="X203" i="4"/>
  <c r="BI16" i="4"/>
  <c r="BO21" i="4"/>
  <c r="BO22" i="4"/>
  <c r="BR21" i="4"/>
  <c r="BR22" i="4"/>
  <c r="BQ21" i="4"/>
  <c r="BQ22" i="4"/>
  <c r="BP21" i="4"/>
  <c r="BP22" i="4"/>
  <c r="X67" i="4"/>
  <c r="T67" i="4"/>
  <c r="AB67" i="4"/>
  <c r="BT44" i="4" l="1"/>
  <c r="AG7" i="6" s="1"/>
  <c r="BQ32" i="4"/>
  <c r="BL31" i="4"/>
  <c r="BP32" i="4"/>
  <c r="BL38" i="4"/>
  <c r="BO32" i="4"/>
  <c r="Q7" i="6"/>
  <c r="BL41" i="4"/>
  <c r="BL39" i="4"/>
  <c r="BL43" i="4"/>
  <c r="BR44" i="4"/>
  <c r="AE7" i="6" s="1"/>
  <c r="BO44" i="4"/>
  <c r="BP44" i="4"/>
  <c r="AB203" i="4"/>
  <c r="K7" i="6" s="1"/>
  <c r="BQ44" i="4"/>
  <c r="AB7" i="6" s="1"/>
  <c r="BL27" i="4"/>
  <c r="BL22" i="4"/>
  <c r="BK16" i="4"/>
  <c r="BJ16" i="4" s="1"/>
  <c r="BL21" i="4"/>
  <c r="O9" i="3" l="1"/>
  <c r="N9" i="3" s="1"/>
  <c r="AY14" i="4" s="1"/>
  <c r="BL32" i="4"/>
  <c r="AA7" i="6"/>
  <c r="Z7" i="6"/>
  <c r="BL44" i="4"/>
  <c r="I17" i="3"/>
  <c r="T17" i="3"/>
  <c r="H62" i="4"/>
  <c r="L62" i="4"/>
  <c r="G62" i="4"/>
  <c r="P62" i="4" s="1"/>
  <c r="H64" i="4"/>
  <c r="L64" i="4"/>
  <c r="G64" i="4"/>
  <c r="P64" i="4" s="1"/>
  <c r="H66" i="4"/>
  <c r="L66" i="4"/>
  <c r="G66" i="4"/>
  <c r="P66" i="4" s="1"/>
  <c r="G17" i="3"/>
  <c r="AM62" i="4" s="1"/>
  <c r="H17" i="3"/>
  <c r="AL62" i="4" s="1"/>
  <c r="AM66" i="4"/>
  <c r="I22" i="3"/>
  <c r="T22" i="3"/>
  <c r="J22" i="3"/>
  <c r="H92" i="4"/>
  <c r="H96" i="4"/>
  <c r="L92" i="4"/>
  <c r="G92" i="4"/>
  <c r="P92" i="4" s="1"/>
  <c r="L96" i="4"/>
  <c r="G96" i="4"/>
  <c r="G22" i="3"/>
  <c r="AL92" i="4" s="1"/>
  <c r="H22" i="3"/>
  <c r="AV96" i="4" s="1"/>
  <c r="AU96" i="4"/>
  <c r="AW96" i="4" s="1"/>
  <c r="O7" i="6" l="1"/>
  <c r="P9" i="3"/>
  <c r="G7" i="7" s="1"/>
  <c r="AY16" i="4"/>
  <c r="AY15" i="4"/>
  <c r="AQ15" i="4"/>
  <c r="AQ14" i="4"/>
  <c r="L67" i="4"/>
  <c r="H67" i="4"/>
  <c r="G67" i="4"/>
  <c r="P67" i="4" s="1"/>
  <c r="H97" i="4"/>
  <c r="L97" i="4"/>
  <c r="G97" i="4"/>
  <c r="P97" i="4" s="1"/>
  <c r="AM92" i="4"/>
  <c r="AK92" i="4" s="1"/>
  <c r="AN92" i="4"/>
  <c r="AT96" i="4"/>
  <c r="AU62" i="4"/>
  <c r="AK62" i="4"/>
  <c r="AN62" i="4"/>
  <c r="AL66" i="4"/>
  <c r="AV64" i="4"/>
  <c r="AV62" i="4"/>
  <c r="AT62" i="4" s="1"/>
  <c r="AU64" i="4"/>
  <c r="P96" i="4"/>
  <c r="X9" i="3" l="1"/>
  <c r="AW62" i="4"/>
  <c r="BI22" i="4"/>
  <c r="BI21" i="4"/>
  <c r="AT64" i="4"/>
  <c r="AW64" i="4"/>
  <c r="AK66" i="4"/>
  <c r="AN66" i="4"/>
  <c r="BK22" i="4"/>
  <c r="BK21" i="4"/>
  <c r="BJ22" i="4" l="1"/>
  <c r="BJ21" i="4"/>
  <c r="P23" i="3"/>
  <c r="X98" i="4"/>
  <c r="X102" i="4"/>
  <c r="O23" i="3" l="1"/>
  <c r="X23" i="3"/>
  <c r="X103" i="4"/>
  <c r="AY102" i="4"/>
  <c r="BS22" i="4"/>
  <c r="BM22" i="4" s="1"/>
  <c r="BS21" i="4"/>
  <c r="BS16" i="4"/>
  <c r="N23" i="3" l="1"/>
  <c r="AQ99" i="4"/>
  <c r="AQ98" i="4"/>
  <c r="BM16" i="4"/>
  <c r="BM21" i="4"/>
  <c r="I41" i="3"/>
  <c r="G41" i="3"/>
  <c r="H41" i="3"/>
  <c r="AL197" i="4" s="1"/>
  <c r="AV193" i="4"/>
  <c r="T41" i="3"/>
  <c r="H193" i="4"/>
  <c r="L193" i="4"/>
  <c r="H195" i="4"/>
  <c r="L195" i="4"/>
  <c r="H197" i="4"/>
  <c r="L197" i="4"/>
  <c r="AV197" i="4"/>
  <c r="B7" i="6"/>
  <c r="AY98" i="4" l="1"/>
  <c r="AY100" i="4"/>
  <c r="AN197" i="4"/>
  <c r="AL195" i="4"/>
  <c r="BB27" i="4" s="1"/>
  <c r="AU193" i="4"/>
  <c r="AU197" i="4"/>
  <c r="AT197" i="4" s="1"/>
  <c r="BA33" i="4" s="1"/>
  <c r="AM197" i="4"/>
  <c r="AK197" i="4" s="1"/>
  <c r="AM195" i="4"/>
  <c r="G195" i="4"/>
  <c r="P195" i="4" s="1"/>
  <c r="G193" i="4"/>
  <c r="P193" i="4" s="1"/>
  <c r="G197" i="4"/>
  <c r="P197" i="4" s="1"/>
  <c r="H203" i="4"/>
  <c r="G7" i="6" s="1"/>
  <c r="L203" i="4"/>
  <c r="AN195" i="4" l="1"/>
  <c r="AK195" i="4"/>
  <c r="BA27" i="4" s="1"/>
  <c r="BI31" i="4" s="1"/>
  <c r="BK31" i="4" s="1"/>
  <c r="BJ31" i="4" s="1"/>
  <c r="AW197" i="4"/>
  <c r="BB33" i="4"/>
  <c r="BC33" i="4" s="1"/>
  <c r="G203" i="4"/>
  <c r="P203" i="4" s="1"/>
  <c r="AT193" i="4"/>
  <c r="BA39" i="4" s="1"/>
  <c r="BK39" i="4" s="1"/>
  <c r="BB39" i="4"/>
  <c r="AW193" i="4"/>
  <c r="F7" i="6"/>
  <c r="H7" i="6" s="1"/>
  <c r="BI27" i="4" l="1"/>
  <c r="BI32" i="4" s="1"/>
  <c r="BC27" i="4"/>
  <c r="BC39" i="4"/>
  <c r="BI43" i="4"/>
  <c r="BK43" i="4" s="1"/>
  <c r="BJ43" i="4" s="1"/>
  <c r="BI41" i="4"/>
  <c r="BI39" i="4"/>
  <c r="BK41" i="4"/>
  <c r="BI37" i="4"/>
  <c r="BK37" i="4" s="1"/>
  <c r="BJ37" i="4" s="1"/>
  <c r="BI33" i="4"/>
  <c r="BK27" i="4"/>
  <c r="BJ27" i="4" l="1"/>
  <c r="BJ32" i="4" s="1"/>
  <c r="BJ41" i="4"/>
  <c r="BJ39" i="4"/>
  <c r="BI44" i="4"/>
  <c r="BK44" i="4" s="1"/>
  <c r="BK33" i="4"/>
  <c r="BI38" i="4"/>
  <c r="BK38" i="4" s="1"/>
  <c r="BJ33" i="4"/>
  <c r="BJ38" i="4" s="1"/>
  <c r="BK32" i="4"/>
  <c r="K53" i="3"/>
  <c r="M53" i="3" s="1"/>
  <c r="Q53" i="3"/>
  <c r="R53" i="3" s="1"/>
  <c r="N53" i="3"/>
  <c r="L7" i="6" l="1"/>
  <c r="N7" i="6" s="1"/>
  <c r="BJ44" i="4"/>
  <c r="M7" i="6" s="1"/>
  <c r="L53" i="3"/>
  <c r="U53" i="3"/>
  <c r="S7" i="6" s="1"/>
  <c r="C7" i="6"/>
  <c r="O53" i="3"/>
  <c r="P53" i="3" s="1"/>
  <c r="S53" i="3"/>
  <c r="X53" i="3" l="1"/>
  <c r="Y53" i="3"/>
  <c r="U7" i="6" s="1"/>
  <c r="E7" i="6"/>
  <c r="V53" i="3"/>
  <c r="N58" i="3"/>
  <c r="P58" i="3" s="1"/>
  <c r="X58" i="3" s="1"/>
  <c r="Q58" i="3"/>
  <c r="S58" i="3" s="1"/>
  <c r="Y58" i="3" s="1"/>
  <c r="K58" i="3"/>
  <c r="G58" i="3"/>
  <c r="I58" i="3"/>
  <c r="M62" i="3"/>
  <c r="P62" i="3"/>
  <c r="N62" i="3" s="1"/>
  <c r="X305" i="4"/>
  <c r="X306" i="4" s="1"/>
  <c r="V58" i="3" l="1"/>
  <c r="W58" i="3"/>
  <c r="W53" i="3"/>
  <c r="AD7" i="6" s="1"/>
  <c r="AC7" i="6"/>
  <c r="M58" i="3"/>
  <c r="U58" i="3" s="1"/>
  <c r="J58" i="3"/>
  <c r="T58" i="3"/>
  <c r="B8" i="6"/>
  <c r="H8" i="6" s="1"/>
  <c r="K62" i="3"/>
  <c r="V62" i="3" s="1"/>
  <c r="W62" i="3" s="1"/>
  <c r="X62" i="3"/>
  <c r="U62" i="3"/>
  <c r="S62" i="3" l="1"/>
  <c r="Y62" i="3" s="1"/>
  <c r="M97" i="3"/>
  <c r="C9" i="6" s="1"/>
  <c r="S97" i="3"/>
  <c r="Y97" i="3" s="1"/>
  <c r="U9" i="6" s="1"/>
  <c r="P97" i="3"/>
  <c r="O97" i="3" s="1"/>
  <c r="Q62" i="3" l="1"/>
  <c r="X97" i="3"/>
  <c r="T9" i="6" s="1"/>
  <c r="E9" i="6"/>
  <c r="R97" i="3"/>
  <c r="L97" i="3"/>
  <c r="K97" i="3" s="1"/>
  <c r="Q97" i="3"/>
  <c r="U97" i="3"/>
  <c r="S9" i="6" s="1"/>
  <c r="N97" i="3"/>
  <c r="D9" i="6"/>
  <c r="V97" i="3" l="1"/>
  <c r="G102" i="3"/>
  <c r="H102" i="3" s="1"/>
  <c r="AV541" i="4" s="1"/>
  <c r="O102" i="3"/>
  <c r="N102" i="3"/>
  <c r="W97" i="3" l="1"/>
  <c r="AD9" i="6" s="1"/>
  <c r="AC9" i="6"/>
  <c r="P102" i="3"/>
  <c r="AU541" i="4"/>
  <c r="J102" i="3"/>
  <c r="AV545" i="4"/>
  <c r="I102" i="3"/>
  <c r="AY541" i="4"/>
  <c r="AY545" i="4"/>
  <c r="AU545" i="4"/>
  <c r="BB71" i="4" l="1"/>
  <c r="AT545" i="4"/>
  <c r="BA71" i="4" s="1"/>
  <c r="AT541" i="4"/>
  <c r="BA77" i="4" s="1"/>
  <c r="AW541" i="4"/>
  <c r="BB77" i="4"/>
  <c r="B10" i="6"/>
  <c r="H10" i="6" s="1"/>
  <c r="T102" i="3"/>
  <c r="H541" i="4" s="1"/>
  <c r="H545" i="4"/>
  <c r="G545" i="4" s="1"/>
  <c r="P545" i="4" s="1"/>
  <c r="L545" i="4"/>
  <c r="L541" i="4"/>
  <c r="X102" i="3"/>
  <c r="T10" i="6" s="1"/>
  <c r="D10" i="6"/>
  <c r="BC77" i="4" l="1"/>
  <c r="BC71" i="4"/>
  <c r="G541" i="4"/>
  <c r="H546" i="4"/>
  <c r="G10" i="6" s="1"/>
  <c r="L546" i="4"/>
  <c r="AW545" i="4"/>
  <c r="BI77" i="4"/>
  <c r="BI81" i="4"/>
  <c r="BI80" i="4"/>
  <c r="BK80" i="4" s="1"/>
  <c r="BI72" i="4"/>
  <c r="BK72" i="4" s="1"/>
  <c r="BI71" i="4"/>
  <c r="BK71" i="4"/>
  <c r="BI75" i="4"/>
  <c r="BI82" i="4" l="1"/>
  <c r="BK77" i="4"/>
  <c r="BJ77" i="4" s="1"/>
  <c r="BK75" i="4"/>
  <c r="BJ75" i="4" s="1"/>
  <c r="BJ71" i="4"/>
  <c r="BI76" i="4"/>
  <c r="BK81" i="4"/>
  <c r="BJ81" i="4" s="1"/>
  <c r="BJ80" i="4"/>
  <c r="BJ72" i="4"/>
  <c r="G546" i="4"/>
  <c r="P541" i="4"/>
  <c r="BJ82" i="4" l="1"/>
  <c r="F10" i="6"/>
  <c r="P546" i="4"/>
  <c r="L9" i="6"/>
  <c r="N9" i="6" s="1"/>
  <c r="BJ76" i="4"/>
  <c r="M9" i="6" s="1"/>
  <c r="BK82" i="4"/>
  <c r="BK76" i="4" l="1"/>
  <c r="K102" i="3"/>
  <c r="W102" i="3" s="1"/>
  <c r="L102" i="3"/>
  <c r="M102" i="3"/>
  <c r="U102" i="3"/>
  <c r="V102" i="3"/>
  <c r="X541" i="4"/>
  <c r="X545" i="4"/>
  <c r="AC545" i="4"/>
  <c r="AC541" i="4"/>
  <c r="AD541" i="4"/>
  <c r="AE541" i="4"/>
  <c r="T541" i="4"/>
  <c r="AD545" i="4"/>
  <c r="AE545" i="4"/>
  <c r="T545" i="4"/>
  <c r="AB545" i="4"/>
  <c r="AB541" i="4"/>
  <c r="S10" i="6"/>
  <c r="C10" i="6"/>
  <c r="AC546" i="4" l="1"/>
  <c r="W10" i="6" s="1"/>
  <c r="AX545" i="4"/>
  <c r="X546" i="4"/>
  <c r="J10" i="6" s="1"/>
  <c r="AE546" i="4"/>
  <c r="Y10" i="6" s="1"/>
  <c r="AX541" i="4"/>
  <c r="AD546" i="4"/>
  <c r="X10" i="6" s="1"/>
  <c r="T546" i="4"/>
  <c r="I10" i="6" s="1"/>
  <c r="AB546" i="4"/>
  <c r="K10" i="6" s="1"/>
  <c r="P117" i="3"/>
  <c r="O117" i="3" l="1"/>
  <c r="X117" i="3"/>
  <c r="T13" i="6" s="1"/>
  <c r="D13" i="6"/>
  <c r="AQ635" i="4" l="1"/>
  <c r="BE122" i="4" s="1"/>
  <c r="N117" i="3"/>
  <c r="AY631" i="4" l="1"/>
  <c r="BE134" i="4" s="1"/>
  <c r="AY633" i="4"/>
  <c r="BE128" i="4" s="1"/>
  <c r="BM123" i="4"/>
  <c r="BM124" i="4"/>
  <c r="BM122" i="4"/>
  <c r="BM127" i="4" l="1"/>
  <c r="BS130" i="4"/>
  <c r="BM130" i="4" s="1"/>
  <c r="BS129" i="4"/>
  <c r="BM129" i="4" s="1"/>
  <c r="BS128" i="4"/>
  <c r="BS136" i="4"/>
  <c r="BM136" i="4" s="1"/>
  <c r="BS135" i="4"/>
  <c r="BM135" i="4" s="1"/>
  <c r="BS134" i="4"/>
  <c r="S117" i="3"/>
  <c r="Q117" i="3" l="1"/>
  <c r="R117" i="3"/>
  <c r="AR635" i="4" s="1"/>
  <c r="BF122" i="4" s="1"/>
  <c r="BM128" i="4"/>
  <c r="BM133" i="4" s="1"/>
  <c r="BS133" i="4"/>
  <c r="BM134" i="4"/>
  <c r="BM139" i="4" s="1"/>
  <c r="BS139" i="4"/>
  <c r="Y117" i="3"/>
  <c r="U13" i="6" s="1"/>
  <c r="E13" i="6"/>
  <c r="AF13" i="6" l="1"/>
  <c r="P13" i="6"/>
  <c r="BN124" i="4"/>
  <c r="BN122" i="4"/>
  <c r="BN123" i="4"/>
  <c r="AZ633" i="4"/>
  <c r="BF128" i="4" s="1"/>
  <c r="AZ631" i="4"/>
  <c r="BF134" i="4" s="1"/>
  <c r="BT128" i="4" l="1"/>
  <c r="BN128" i="4" s="1"/>
  <c r="BT129" i="4"/>
  <c r="BN129" i="4" s="1"/>
  <c r="BT130" i="4"/>
  <c r="BN130" i="4" s="1"/>
  <c r="BN127" i="4"/>
  <c r="BT134" i="4"/>
  <c r="BN134" i="4" s="1"/>
  <c r="BT135" i="4"/>
  <c r="BN135" i="4" s="1"/>
  <c r="BT136" i="4"/>
  <c r="BN136" i="4" s="1"/>
  <c r="I117" i="3"/>
  <c r="BN139" i="4" l="1"/>
  <c r="BN133" i="4"/>
  <c r="Q13" i="6" s="1"/>
  <c r="BT139" i="4"/>
  <c r="G117" i="3"/>
  <c r="H117" i="3" s="1"/>
  <c r="AL635" i="4" s="1"/>
  <c r="BT133" i="4"/>
  <c r="T117" i="3"/>
  <c r="L635" i="4" s="1"/>
  <c r="B13" i="6"/>
  <c r="J117" i="3"/>
  <c r="AG13" i="6" l="1"/>
  <c r="BB122" i="4"/>
  <c r="L631" i="4"/>
  <c r="AV633" i="4"/>
  <c r="AU633" i="4"/>
  <c r="AV631" i="4"/>
  <c r="AM635" i="4"/>
  <c r="AK635" i="4" s="1"/>
  <c r="BA122" i="4" s="1"/>
  <c r="BI122" i="4" s="1"/>
  <c r="AU631" i="4"/>
  <c r="H631" i="4"/>
  <c r="G631" i="4" s="1"/>
  <c r="H635" i="4"/>
  <c r="G635" i="4" s="1"/>
  <c r="P635" i="4" s="1"/>
  <c r="L633" i="4"/>
  <c r="H633" i="4"/>
  <c r="G633" i="4" s="1"/>
  <c r="P633" i="4" s="1"/>
  <c r="BI123" i="4" l="1"/>
  <c r="BI124" i="4"/>
  <c r="H636" i="4"/>
  <c r="G13" i="6" s="1"/>
  <c r="AT631" i="4"/>
  <c r="BB134" i="4"/>
  <c r="L636" i="4"/>
  <c r="AN635" i="4"/>
  <c r="BB128" i="4"/>
  <c r="AT633" i="4"/>
  <c r="BC122" i="4"/>
  <c r="BK123" i="4"/>
  <c r="BK122" i="4"/>
  <c r="BJ122" i="4" s="1"/>
  <c r="BK124" i="4"/>
  <c r="P631" i="4"/>
  <c r="G636" i="4"/>
  <c r="BJ124" i="4" l="1"/>
  <c r="BI127" i="4"/>
  <c r="BJ123" i="4"/>
  <c r="BJ127" i="4" s="1"/>
  <c r="BK127" i="4" s="1"/>
  <c r="BA128" i="4"/>
  <c r="AW633" i="4"/>
  <c r="BA134" i="4"/>
  <c r="AW631" i="4"/>
  <c r="F13" i="6"/>
  <c r="H13" i="6" s="1"/>
  <c r="P636" i="4"/>
  <c r="BI129" i="4" l="1"/>
  <c r="BI128" i="4"/>
  <c r="BI130" i="4"/>
  <c r="BI136" i="4"/>
  <c r="BI134" i="4"/>
  <c r="BK134" i="4" s="1"/>
  <c r="BI135" i="4"/>
  <c r="BK135" i="4" s="1"/>
  <c r="BK136" i="4"/>
  <c r="BC134" i="4"/>
  <c r="BC128" i="4"/>
  <c r="BJ136" i="4" l="1"/>
  <c r="BJ135" i="4"/>
  <c r="BK130" i="4"/>
  <c r="BJ130" i="4" s="1"/>
  <c r="BJ134" i="4"/>
  <c r="BI139" i="4"/>
  <c r="BK128" i="4"/>
  <c r="BJ128" i="4" s="1"/>
  <c r="BI133" i="4"/>
  <c r="L13" i="6" s="1"/>
  <c r="N13" i="6" s="1"/>
  <c r="BK129" i="4"/>
  <c r="BJ129" i="4" s="1"/>
  <c r="BJ133" i="4" l="1"/>
  <c r="BK133" i="4"/>
  <c r="BJ139" i="4"/>
  <c r="BK139" i="4" s="1"/>
  <c r="M117" i="3"/>
  <c r="C13" i="6" s="1"/>
  <c r="L117" i="3"/>
  <c r="K117" i="3"/>
  <c r="V117" i="3" s="1"/>
  <c r="AC633" i="4"/>
  <c r="BD128" i="4"/>
  <c r="BR128" i="4" s="1"/>
  <c r="AC631" i="4"/>
  <c r="AD631" i="4"/>
  <c r="AE631" i="4"/>
  <c r="AC635" i="4"/>
  <c r="AO635" i="4" s="1"/>
  <c r="AP635" i="4" s="1"/>
  <c r="BD122" i="4" s="1"/>
  <c r="BP122" i="4" s="1"/>
  <c r="BO122" i="4"/>
  <c r="BO124" i="4"/>
  <c r="U117" i="3"/>
  <c r="S13" i="6" s="1"/>
  <c r="T631" i="4"/>
  <c r="AD633" i="4"/>
  <c r="T633" i="4" s="1"/>
  <c r="AE633" i="4"/>
  <c r="AD635" i="4"/>
  <c r="AE635" i="4"/>
  <c r="X633" i="4"/>
  <c r="X631" i="4"/>
  <c r="X635" i="4"/>
  <c r="W117" i="3"/>
  <c r="AB635" i="4"/>
  <c r="AB631" i="4"/>
  <c r="AB633" i="4"/>
  <c r="M13" i="6" l="1"/>
  <c r="AX633" i="4"/>
  <c r="AC636" i="4"/>
  <c r="W13" i="6" s="1"/>
  <c r="AB636" i="4"/>
  <c r="K13" i="6" s="1"/>
  <c r="BQ123" i="4"/>
  <c r="BP124" i="4"/>
  <c r="BO123" i="4"/>
  <c r="BO127" i="4" s="1"/>
  <c r="BP123" i="4"/>
  <c r="BQ124" i="4"/>
  <c r="BQ122" i="4"/>
  <c r="AX631" i="4"/>
  <c r="BD134" i="4" s="1"/>
  <c r="BQ135" i="4" s="1"/>
  <c r="AE636" i="4"/>
  <c r="Y13" i="6" s="1"/>
  <c r="X636" i="4"/>
  <c r="J13" i="6" s="1"/>
  <c r="AD636" i="4"/>
  <c r="X13" i="6" s="1"/>
  <c r="T635" i="4"/>
  <c r="T636" i="4" s="1"/>
  <c r="I13" i="6" s="1"/>
  <c r="BQ129" i="4"/>
  <c r="BQ128" i="4"/>
  <c r="BP129" i="4"/>
  <c r="BO130" i="4"/>
  <c r="BO128" i="4"/>
  <c r="BP128" i="4"/>
  <c r="BR130" i="4"/>
  <c r="BR129" i="4"/>
  <c r="BQ130" i="4"/>
  <c r="BO129" i="4"/>
  <c r="BP130" i="4"/>
  <c r="BP127" i="4" l="1"/>
  <c r="BQ127" i="4"/>
  <c r="BL124" i="4"/>
  <c r="BR136" i="4"/>
  <c r="BL122" i="4"/>
  <c r="BL123" i="4"/>
  <c r="BR134" i="4"/>
  <c r="BP135" i="4"/>
  <c r="BQ134" i="4"/>
  <c r="BR135" i="4"/>
  <c r="BO135" i="4"/>
  <c r="BP134" i="4"/>
  <c r="BO134" i="4"/>
  <c r="BP136" i="4"/>
  <c r="BQ136" i="4"/>
  <c r="BO136" i="4"/>
  <c r="BR133" i="4"/>
  <c r="BL130" i="4"/>
  <c r="BQ133" i="4"/>
  <c r="BO133" i="4"/>
  <c r="BL129" i="4"/>
  <c r="BL128" i="4"/>
  <c r="BP133" i="4"/>
  <c r="Q92" i="3"/>
  <c r="S92" i="3"/>
  <c r="Y92" i="3"/>
  <c r="U8" i="6" s="1"/>
  <c r="N92" i="3"/>
  <c r="AY485" i="4" s="1"/>
  <c r="P92" i="3"/>
  <c r="X92" i="3"/>
  <c r="T8" i="6" s="1"/>
  <c r="K92" i="3"/>
  <c r="V92" i="3" s="1"/>
  <c r="M92" i="3"/>
  <c r="C8" i="6" s="1"/>
  <c r="U92" i="3"/>
  <c r="S8" i="6" s="1"/>
  <c r="X483" i="4"/>
  <c r="X481" i="4"/>
  <c r="X485" i="4"/>
  <c r="AQ481" i="4"/>
  <c r="BE46" i="4" s="1"/>
  <c r="BM50" i="4" s="1"/>
  <c r="AY483" i="4"/>
  <c r="BE58" i="4"/>
  <c r="BS58" i="4" s="1"/>
  <c r="AB481" i="4"/>
  <c r="AB483" i="4"/>
  <c r="AB485" i="4"/>
  <c r="AD481" i="4"/>
  <c r="AD483" i="4"/>
  <c r="AD485" i="4"/>
  <c r="AC481" i="4"/>
  <c r="AE481" i="4"/>
  <c r="AC483" i="4"/>
  <c r="T483" i="4" s="1"/>
  <c r="AE483" i="4"/>
  <c r="AC485" i="4"/>
  <c r="AE485" i="4"/>
  <c r="T485" i="4" s="1"/>
  <c r="AZ483" i="4"/>
  <c r="AZ485" i="4"/>
  <c r="BF58" i="4"/>
  <c r="BT62" i="4" s="1"/>
  <c r="AO481" i="4"/>
  <c r="AP481" i="4" s="1"/>
  <c r="BD46" i="4" s="1"/>
  <c r="BQ46" i="4" s="1"/>
  <c r="AR481" i="4"/>
  <c r="BF46" i="4" s="1"/>
  <c r="BN50" i="4" s="1"/>
  <c r="E8" i="6"/>
  <c r="D8" i="6"/>
  <c r="BQ139" i="4" l="1"/>
  <c r="AB13" i="6" s="1"/>
  <c r="BL127" i="4"/>
  <c r="BO139" i="4"/>
  <c r="Z13" i="6" s="1"/>
  <c r="BP139" i="4"/>
  <c r="AA13" i="6" s="1"/>
  <c r="BR139" i="4"/>
  <c r="AE13" i="6" s="1"/>
  <c r="BL135" i="4"/>
  <c r="BL134" i="4"/>
  <c r="BL136" i="4"/>
  <c r="W92" i="3"/>
  <c r="AD8" i="6" s="1"/>
  <c r="AC8" i="6"/>
  <c r="AD486" i="4"/>
  <c r="X8" i="6" s="1"/>
  <c r="AX485" i="4"/>
  <c r="BT58" i="4"/>
  <c r="BN58" i="4" s="1"/>
  <c r="T481" i="4"/>
  <c r="T486" i="4" s="1"/>
  <c r="I8" i="6" s="1"/>
  <c r="AB486" i="4"/>
  <c r="K8" i="6" s="1"/>
  <c r="AE486" i="4"/>
  <c r="Y8" i="6" s="1"/>
  <c r="X486" i="4"/>
  <c r="J8" i="6" s="1"/>
  <c r="AX483" i="4"/>
  <c r="BD58" i="4" s="1"/>
  <c r="BR62" i="4" s="1"/>
  <c r="AC486" i="4"/>
  <c r="W8" i="6" s="1"/>
  <c r="BT60" i="4"/>
  <c r="BN48" i="4"/>
  <c r="BN62" i="4"/>
  <c r="BN46" i="4"/>
  <c r="BS60" i="4"/>
  <c r="BM60" i="4" s="1"/>
  <c r="BM48" i="4"/>
  <c r="BM58" i="4"/>
  <c r="BM46" i="4"/>
  <c r="BS62" i="4"/>
  <c r="BP48" i="4"/>
  <c r="BO48" i="4"/>
  <c r="BP50" i="4"/>
  <c r="BP46" i="4"/>
  <c r="BO50" i="4"/>
  <c r="BO46" i="4"/>
  <c r="BQ50" i="4"/>
  <c r="BQ48" i="4"/>
  <c r="BL133" i="4"/>
  <c r="O13" i="6" l="1"/>
  <c r="BT63" i="4"/>
  <c r="AG8" i="6" s="1"/>
  <c r="BL139" i="4"/>
  <c r="BR60" i="4"/>
  <c r="BQ60" i="4"/>
  <c r="BQ58" i="4"/>
  <c r="BP58" i="4"/>
  <c r="BO62" i="4"/>
  <c r="BP60" i="4"/>
  <c r="BO58" i="4"/>
  <c r="BR58" i="4"/>
  <c r="BQ62" i="4"/>
  <c r="BP62" i="4"/>
  <c r="BO60" i="4"/>
  <c r="BN60" i="4"/>
  <c r="BN63" i="4" s="1"/>
  <c r="BL48" i="4"/>
  <c r="BN51" i="4"/>
  <c r="BP51" i="4"/>
  <c r="BM51" i="4"/>
  <c r="BS63" i="4"/>
  <c r="AF8" i="6" s="1"/>
  <c r="BM62" i="4"/>
  <c r="BM63" i="4" s="1"/>
  <c r="BL50" i="4"/>
  <c r="BL46" i="4"/>
  <c r="BO51" i="4"/>
  <c r="BQ51" i="4"/>
  <c r="BL58" i="4" l="1"/>
  <c r="BR63" i="4"/>
  <c r="AE8" i="6" s="1"/>
  <c r="BP63" i="4"/>
  <c r="AA8" i="6" s="1"/>
  <c r="BO63" i="4"/>
  <c r="Z8" i="6" s="1"/>
  <c r="BL60" i="4"/>
  <c r="BQ63" i="4"/>
  <c r="AB8" i="6" s="1"/>
  <c r="BL62" i="4"/>
  <c r="BL51" i="4"/>
  <c r="Q8" i="6"/>
  <c r="P8" i="6"/>
  <c r="P47" i="3"/>
  <c r="O47" i="3" s="1"/>
  <c r="X47" i="3"/>
  <c r="T7" i="6" s="1"/>
  <c r="BE33" i="4"/>
  <c r="BE39" i="4"/>
  <c r="BS41" i="4" s="1"/>
  <c r="X239" i="4"/>
  <c r="X241" i="4"/>
  <c r="X243" i="4"/>
  <c r="BL63" i="4" l="1"/>
  <c r="O8" i="6"/>
  <c r="X244" i="4"/>
  <c r="J7" i="6" s="1"/>
  <c r="AQ243" i="4"/>
  <c r="N47" i="3"/>
  <c r="AQ239" i="4" s="1"/>
  <c r="D7" i="6"/>
  <c r="BS43" i="4"/>
  <c r="BM43" i="4" s="1"/>
  <c r="BM41" i="4"/>
  <c r="BS33" i="4"/>
  <c r="BM31" i="4"/>
  <c r="BS39" i="4"/>
  <c r="BS37" i="4"/>
  <c r="BM37" i="4" s="1"/>
  <c r="BE27" i="4" l="1"/>
  <c r="BM27" i="4" s="1"/>
  <c r="BM32" i="4" s="1"/>
  <c r="BS44" i="4"/>
  <c r="BS38" i="4"/>
  <c r="AF7" i="6" s="1"/>
  <c r="AY241" i="4"/>
  <c r="AY243" i="4"/>
  <c r="BM39" i="4"/>
  <c r="BM44" i="4" s="1"/>
  <c r="BM33" i="4"/>
  <c r="BM38" i="4" s="1"/>
  <c r="K115" i="3"/>
  <c r="Q115" i="3"/>
  <c r="R115" i="3"/>
  <c r="N115" i="3"/>
  <c r="O115" i="3" s="1"/>
  <c r="K98" i="3"/>
  <c r="L98" i="3"/>
  <c r="N98" i="3"/>
  <c r="O98" i="3"/>
  <c r="BE71" i="4"/>
  <c r="BS71" i="4" s="1"/>
  <c r="BM71" i="4" s="1"/>
  <c r="BE77" i="4"/>
  <c r="BS77" i="4" s="1"/>
  <c r="Q98" i="3"/>
  <c r="R98" i="3"/>
  <c r="AZ517" i="4" s="1"/>
  <c r="BF71" i="4"/>
  <c r="BF77" i="4"/>
  <c r="BT77" i="4" s="1"/>
  <c r="L115" i="3" l="1"/>
  <c r="V115" i="3" s="1"/>
  <c r="P7" i="6"/>
  <c r="AY517" i="4"/>
  <c r="AX521" i="4"/>
  <c r="BD71" i="4" s="1"/>
  <c r="V98" i="3"/>
  <c r="AC10" i="6" s="1"/>
  <c r="AZ521" i="4"/>
  <c r="BS75" i="4"/>
  <c r="BM75" i="4" s="1"/>
  <c r="AY521" i="4"/>
  <c r="AX517" i="4"/>
  <c r="BD77" i="4" s="1"/>
  <c r="BO81" i="4" s="1"/>
  <c r="W98" i="3"/>
  <c r="AD10" i="6" s="1"/>
  <c r="BN77" i="4"/>
  <c r="BM77" i="4"/>
  <c r="BT72" i="4"/>
  <c r="BN72" i="4" s="1"/>
  <c r="BT81" i="4"/>
  <c r="BN81" i="4" s="1"/>
  <c r="BS81" i="4"/>
  <c r="BM81" i="4" s="1"/>
  <c r="BS72" i="4"/>
  <c r="BT80" i="4"/>
  <c r="BN80" i="4" s="1"/>
  <c r="BT71" i="4"/>
  <c r="BS80" i="4"/>
  <c r="BS82" i="4" s="1"/>
  <c r="BM72" i="4"/>
  <c r="BT75" i="4"/>
  <c r="BN75" i="4" s="1"/>
  <c r="BP77" i="4"/>
  <c r="BP80" i="4"/>
  <c r="BO80" i="4"/>
  <c r="BQ81" i="4"/>
  <c r="BR81" i="4"/>
  <c r="BQ80" i="4"/>
  <c r="BO77" i="4"/>
  <c r="BR77" i="4"/>
  <c r="BP81" i="4"/>
  <c r="BQ75" i="4"/>
  <c r="BQ71" i="4"/>
  <c r="BQ72" i="4"/>
  <c r="BR71" i="4"/>
  <c r="BR75" i="4"/>
  <c r="BO72" i="4"/>
  <c r="BO71" i="4"/>
  <c r="BO75" i="4"/>
  <c r="BP72" i="4"/>
  <c r="BP75" i="4"/>
  <c r="BP71" i="4"/>
  <c r="BR72" i="4"/>
  <c r="BM80" i="4"/>
  <c r="AC13" i="6" l="1"/>
  <c r="W115" i="3"/>
  <c r="AD13" i="6" s="1"/>
  <c r="BP76" i="4"/>
  <c r="BO76" i="4"/>
  <c r="BS76" i="4"/>
  <c r="BO82" i="4"/>
  <c r="Z9" i="6" s="1"/>
  <c r="AF9" i="6"/>
  <c r="BM82" i="4"/>
  <c r="BN82" i="4"/>
  <c r="BP82" i="4"/>
  <c r="BT82" i="4"/>
  <c r="BM76" i="4"/>
  <c r="P9" i="6" s="1"/>
  <c r="BQ76" i="4"/>
  <c r="BR76" i="4"/>
  <c r="BT76" i="4"/>
  <c r="BR80" i="4"/>
  <c r="BR82" i="4" s="1"/>
  <c r="BQ77" i="4"/>
  <c r="BQ82" i="4" s="1"/>
  <c r="BL81" i="4"/>
  <c r="BL75" i="4"/>
  <c r="BN71" i="4"/>
  <c r="BN76" i="4" s="1"/>
  <c r="BL77" i="4"/>
  <c r="BL80" i="4"/>
  <c r="BL72" i="4"/>
  <c r="BL71" i="4"/>
  <c r="K103" i="3"/>
  <c r="AX547" i="4" s="1"/>
  <c r="BD90" i="4" s="1"/>
  <c r="L103" i="3"/>
  <c r="Q103" i="3"/>
  <c r="AZ551" i="4" s="1"/>
  <c r="BF96" i="4" s="1"/>
  <c r="BT96" i="4" s="1"/>
  <c r="R103" i="3"/>
  <c r="AZ547" i="4" s="1"/>
  <c r="BF90" i="4" s="1"/>
  <c r="BT90" i="4" s="1"/>
  <c r="V103" i="3"/>
  <c r="AC11" i="6" s="1"/>
  <c r="W103" i="3"/>
  <c r="AD11" i="6" s="1"/>
  <c r="Q9" i="6" l="1"/>
  <c r="AA9" i="6"/>
  <c r="AG9" i="6"/>
  <c r="AE9" i="6"/>
  <c r="BL82" i="4"/>
  <c r="AB9" i="6"/>
  <c r="BL76" i="4"/>
  <c r="AX551" i="4"/>
  <c r="BD96" i="4" s="1"/>
  <c r="BR99" i="4" s="1"/>
  <c r="BQ90" i="4"/>
  <c r="BO91" i="4"/>
  <c r="BQ94" i="4"/>
  <c r="BP91" i="4"/>
  <c r="BR94" i="4"/>
  <c r="BO94" i="4"/>
  <c r="BR91" i="4"/>
  <c r="BR96" i="4"/>
  <c r="BQ100" i="4"/>
  <c r="BO100" i="4"/>
  <c r="BR100" i="4"/>
  <c r="BP99" i="4"/>
  <c r="BQ99" i="4"/>
  <c r="BR90" i="4"/>
  <c r="BP94" i="4"/>
  <c r="BQ91" i="4"/>
  <c r="BL91" i="4" s="1"/>
  <c r="BP90" i="4"/>
  <c r="BO90" i="4"/>
  <c r="BT91" i="4"/>
  <c r="BN91" i="4" s="1"/>
  <c r="BT99" i="4"/>
  <c r="BN99" i="4" s="1"/>
  <c r="BN100" i="4"/>
  <c r="BN90" i="4"/>
  <c r="BT100" i="4"/>
  <c r="BN96" i="4"/>
  <c r="BT94" i="4"/>
  <c r="BN94" i="4" s="1"/>
  <c r="BO99" i="4"/>
  <c r="BP100" i="4"/>
  <c r="BO95" i="4" l="1"/>
  <c r="O9" i="6"/>
  <c r="BR101" i="4"/>
  <c r="BN101" i="4"/>
  <c r="BT101" i="4"/>
  <c r="BR95" i="4"/>
  <c r="BN95" i="4"/>
  <c r="BP95" i="4"/>
  <c r="BQ95" i="4"/>
  <c r="BT95" i="4"/>
  <c r="AG11" i="6" s="1"/>
  <c r="BL99" i="4"/>
  <c r="BL94" i="4"/>
  <c r="BP96" i="4"/>
  <c r="BP101" i="4" s="1"/>
  <c r="BO96" i="4"/>
  <c r="BO101" i="4" s="1"/>
  <c r="Z11" i="6" s="1"/>
  <c r="BQ96" i="4"/>
  <c r="BQ101" i="4" s="1"/>
  <c r="BL100" i="4"/>
  <c r="BL90" i="4"/>
  <c r="BL96" i="4"/>
  <c r="AE11" i="6" l="1"/>
  <c r="Q11" i="6"/>
  <c r="BL101" i="4"/>
  <c r="AB11" i="6"/>
  <c r="AA11" i="6"/>
  <c r="BL95" i="4"/>
  <c r="O11" i="6" l="1"/>
  <c r="AB18" i="4"/>
  <c r="G9" i="3"/>
  <c r="R9" i="3"/>
  <c r="Q9" i="3"/>
  <c r="AZ14" i="4" l="1"/>
  <c r="AR15" i="4"/>
  <c r="AR14" i="4"/>
  <c r="AV15" i="4"/>
  <c r="AU15" i="4"/>
  <c r="S9" i="3"/>
  <c r="H7" i="7" s="1"/>
  <c r="AZ16" i="4"/>
  <c r="AZ15" i="4"/>
  <c r="H9" i="3"/>
  <c r="AL14" i="4" s="1"/>
  <c r="Y9" i="3"/>
  <c r="K9" i="3"/>
  <c r="L9" i="3" s="1"/>
  <c r="M9" i="3" s="1"/>
  <c r="F7" i="7" s="1"/>
  <c r="AV14" i="4" l="1"/>
  <c r="AU14" i="4"/>
  <c r="AY9" i="4"/>
  <c r="P8" i="3"/>
  <c r="AN14" i="4"/>
  <c r="AD16" i="4"/>
  <c r="AE16" i="4"/>
  <c r="AD15" i="4"/>
  <c r="AE14" i="4"/>
  <c r="AD14" i="4"/>
  <c r="AE15" i="4"/>
  <c r="U9" i="3"/>
  <c r="BB14" i="4"/>
  <c r="AT15" i="4"/>
  <c r="BA14" i="4" s="1"/>
  <c r="AW15" i="4"/>
  <c r="AU16" i="4"/>
  <c r="AX15" i="4"/>
  <c r="AM14" i="4"/>
  <c r="AK14" i="4" s="1"/>
  <c r="AV16" i="4"/>
  <c r="AC16" i="4"/>
  <c r="AX16" i="4" s="1"/>
  <c r="AC14" i="4"/>
  <c r="AC15" i="4"/>
  <c r="AO15" i="4" s="1"/>
  <c r="AP15" i="4" s="1"/>
  <c r="AB16" i="4"/>
  <c r="I9" i="3"/>
  <c r="D7" i="7" s="1"/>
  <c r="AL15" i="4"/>
  <c r="AM15" i="4"/>
  <c r="AQ10" i="4"/>
  <c r="D6" i="6"/>
  <c r="BI14" i="4" l="1"/>
  <c r="BI15" i="4"/>
  <c r="O8" i="3"/>
  <c r="N8" i="3" s="1"/>
  <c r="AT14" i="4"/>
  <c r="AW14" i="4" s="1"/>
  <c r="AX14" i="4"/>
  <c r="AD19" i="4"/>
  <c r="AC19" i="4"/>
  <c r="V9" i="3"/>
  <c r="W9" i="3" s="1"/>
  <c r="G6" i="7"/>
  <c r="X8" i="3"/>
  <c r="T6" i="6" s="1"/>
  <c r="T16" i="4"/>
  <c r="BC14" i="4"/>
  <c r="AE19" i="4"/>
  <c r="T14" i="4"/>
  <c r="AO14" i="4"/>
  <c r="AP14" i="4" s="1"/>
  <c r="T15" i="4"/>
  <c r="J9" i="3"/>
  <c r="E7" i="7" s="1"/>
  <c r="T9" i="3"/>
  <c r="L16" i="4" s="1"/>
  <c r="X16" i="4"/>
  <c r="X14" i="4"/>
  <c r="X15" i="4"/>
  <c r="AT16" i="4"/>
  <c r="BB20" i="4"/>
  <c r="AK15" i="4"/>
  <c r="AO10" i="4"/>
  <c r="AP10" i="4" s="1"/>
  <c r="AR10" i="4"/>
  <c r="AX9" i="4"/>
  <c r="AY10" i="4" l="1"/>
  <c r="BE20" i="4" s="1"/>
  <c r="BS20" i="4" s="1"/>
  <c r="AY8" i="4"/>
  <c r="BE14" i="4" s="1"/>
  <c r="BK15" i="4"/>
  <c r="BJ15" i="4" s="1"/>
  <c r="BK14" i="4"/>
  <c r="BJ14" i="4" s="1"/>
  <c r="BI19" i="4"/>
  <c r="AQ9" i="4"/>
  <c r="AQ8" i="4"/>
  <c r="BS24" i="4"/>
  <c r="BM24" i="4" s="1"/>
  <c r="AB15" i="4"/>
  <c r="AB14" i="4"/>
  <c r="BI8" i="4"/>
  <c r="BI9" i="4"/>
  <c r="BK9" i="4" s="1"/>
  <c r="BJ9" i="4" s="1"/>
  <c r="BI10" i="4"/>
  <c r="BK10" i="4" s="1"/>
  <c r="BJ10" i="4" s="1"/>
  <c r="AN15" i="4"/>
  <c r="T19" i="4"/>
  <c r="X19" i="4"/>
  <c r="AW16" i="4"/>
  <c r="BA20" i="4"/>
  <c r="H14" i="4"/>
  <c r="L15" i="4"/>
  <c r="H15" i="4"/>
  <c r="H16" i="4"/>
  <c r="G16" i="4" s="1"/>
  <c r="P16" i="4" s="1"/>
  <c r="L14" i="4"/>
  <c r="BS14" i="4" l="1"/>
  <c r="BS15" i="4"/>
  <c r="BM15" i="4" s="1"/>
  <c r="BM20" i="4"/>
  <c r="BM25" i="4" s="1"/>
  <c r="BJ19" i="4"/>
  <c r="BK19" i="4" s="1"/>
  <c r="BS25" i="4"/>
  <c r="BE8" i="4"/>
  <c r="BM9" i="4" s="1"/>
  <c r="AB19" i="4"/>
  <c r="BC20" i="4"/>
  <c r="BI24" i="4"/>
  <c r="BK24" i="4" s="1"/>
  <c r="BI20" i="4"/>
  <c r="BK8" i="4"/>
  <c r="BJ8" i="4" s="1"/>
  <c r="BJ13" i="4" s="1"/>
  <c r="BI13" i="4"/>
  <c r="G15" i="4"/>
  <c r="P15" i="4" s="1"/>
  <c r="H19" i="4"/>
  <c r="G6" i="6" s="1"/>
  <c r="G14" i="4"/>
  <c r="BM14" i="4" l="1"/>
  <c r="BM19" i="4" s="1"/>
  <c r="BS19" i="4"/>
  <c r="AF6" i="6" s="1"/>
  <c r="BM8" i="4"/>
  <c r="BM10" i="4"/>
  <c r="BK13" i="4"/>
  <c r="BK20" i="4"/>
  <c r="BJ20" i="4" s="1"/>
  <c r="BI25" i="4"/>
  <c r="BJ24" i="4"/>
  <c r="G19" i="4"/>
  <c r="P14" i="4"/>
  <c r="BJ25" i="4" l="1"/>
  <c r="M6" i="6" s="1"/>
  <c r="BM13" i="4"/>
  <c r="P6" i="6" s="1"/>
  <c r="L6" i="6"/>
  <c r="P19" i="4"/>
  <c r="F6" i="6"/>
  <c r="AZ9" i="4"/>
  <c r="BK25" i="4" l="1"/>
  <c r="N6" i="6"/>
  <c r="S8" i="3"/>
  <c r="H6" i="7" l="1"/>
  <c r="R8" i="3"/>
  <c r="E6" i="6"/>
  <c r="Y8" i="3"/>
  <c r="U6" i="6" s="1"/>
  <c r="M8" i="3"/>
  <c r="F6" i="7" l="1"/>
  <c r="L8" i="3"/>
  <c r="Q8" i="3"/>
  <c r="AE9" i="4"/>
  <c r="AD9" i="4"/>
  <c r="AD10" i="4"/>
  <c r="AE10" i="4"/>
  <c r="AE8" i="4"/>
  <c r="AD8" i="4"/>
  <c r="U8" i="3"/>
  <c r="C6" i="6"/>
  <c r="AZ10" i="4" l="1"/>
  <c r="BF20" i="4" s="1"/>
  <c r="BT20" i="4" s="1"/>
  <c r="AZ8" i="4"/>
  <c r="BF14" i="4" s="1"/>
  <c r="AR9" i="4"/>
  <c r="AC10" i="4"/>
  <c r="AC8" i="4"/>
  <c r="T8" i="4" s="1"/>
  <c r="AC9" i="4"/>
  <c r="T9" i="4" s="1"/>
  <c r="BT24" i="4"/>
  <c r="BN24" i="4" s="1"/>
  <c r="K8" i="3"/>
  <c r="V8" i="3" s="1"/>
  <c r="W8" i="3" s="1"/>
  <c r="AR8" i="4"/>
  <c r="AD13" i="4"/>
  <c r="X6" i="6" s="1"/>
  <c r="AE13" i="4"/>
  <c r="Y6" i="6" s="1"/>
  <c r="S6" i="6"/>
  <c r="AX10" i="4"/>
  <c r="BD20" i="4" s="1"/>
  <c r="BP24" i="4" s="1"/>
  <c r="T10" i="4"/>
  <c r="BF8" i="4" l="1"/>
  <c r="BT14" i="4"/>
  <c r="BT15" i="4"/>
  <c r="BN15" i="4" s="1"/>
  <c r="AO8" i="4"/>
  <c r="AP8" i="4" s="1"/>
  <c r="AX8" i="4"/>
  <c r="BD14" i="4" s="1"/>
  <c r="AC13" i="4"/>
  <c r="W6" i="6" s="1"/>
  <c r="BT25" i="4"/>
  <c r="BN20" i="4"/>
  <c r="BN25" i="4" s="1"/>
  <c r="BN10" i="4"/>
  <c r="BN8" i="4"/>
  <c r="BN9" i="4"/>
  <c r="AO9" i="4"/>
  <c r="AP9" i="4" s="1"/>
  <c r="BD8" i="4" s="1"/>
  <c r="BQ24" i="4"/>
  <c r="BO20" i="4"/>
  <c r="BR20" i="4"/>
  <c r="BR24" i="4"/>
  <c r="BP20" i="4"/>
  <c r="BP25" i="4" s="1"/>
  <c r="BO24" i="4"/>
  <c r="BQ20" i="4"/>
  <c r="T13" i="4"/>
  <c r="I6" i="6" s="1"/>
  <c r="X10" i="4"/>
  <c r="X9" i="4"/>
  <c r="X8" i="4"/>
  <c r="AC6" i="6"/>
  <c r="AD6" i="6"/>
  <c r="AB8" i="4"/>
  <c r="AB9" i="4"/>
  <c r="AB10" i="4"/>
  <c r="BO14" i="4" l="1"/>
  <c r="BR14" i="4"/>
  <c r="BO15" i="4"/>
  <c r="BP14" i="4"/>
  <c r="BP15" i="4"/>
  <c r="BQ15" i="4"/>
  <c r="BQ14" i="4"/>
  <c r="BR15" i="4"/>
  <c r="BN14" i="4"/>
  <c r="BN19" i="4" s="1"/>
  <c r="BT19" i="4"/>
  <c r="AG6" i="6" s="1"/>
  <c r="BN13" i="4"/>
  <c r="Q6" i="6" s="1"/>
  <c r="BO25" i="4"/>
  <c r="BQ25" i="4"/>
  <c r="BP8" i="4"/>
  <c r="BP10" i="4"/>
  <c r="BO8" i="4"/>
  <c r="BP9" i="4"/>
  <c r="BO10" i="4"/>
  <c r="BO9" i="4"/>
  <c r="BQ9" i="4"/>
  <c r="BQ10" i="4"/>
  <c r="BQ8" i="4"/>
  <c r="BL24" i="4"/>
  <c r="BR25" i="4"/>
  <c r="BL20" i="4"/>
  <c r="X13" i="4"/>
  <c r="J6" i="6" s="1"/>
  <c r="AB13" i="4"/>
  <c r="K6" i="6" s="1"/>
  <c r="BP19" i="4" l="1"/>
  <c r="BQ19" i="4"/>
  <c r="BR19" i="4"/>
  <c r="AE6" i="6" s="1"/>
  <c r="BO19" i="4"/>
  <c r="BL15" i="4"/>
  <c r="BL14" i="4"/>
  <c r="BP13" i="4"/>
  <c r="BO13" i="4"/>
  <c r="BQ13" i="4"/>
  <c r="BL25" i="4"/>
  <c r="BL10" i="4"/>
  <c r="BL9" i="4"/>
  <c r="BL8" i="4"/>
  <c r="AA6" i="6" l="1"/>
  <c r="AB6" i="6"/>
  <c r="Z6" i="6"/>
  <c r="BL19" i="4"/>
  <c r="BL13" i="4"/>
  <c r="O6" i="6" s="1"/>
  <c r="I18" i="3"/>
  <c r="B6" i="6" s="1"/>
  <c r="H6" i="6" s="1"/>
  <c r="T18" i="3"/>
  <c r="G18" i="3"/>
  <c r="H18" i="3"/>
  <c r="AU70" i="4" l="1"/>
  <c r="AL69" i="4"/>
  <c r="AM69" i="4"/>
  <c r="AU68" i="4"/>
  <c r="AV70" i="4"/>
  <c r="AV68" i="4"/>
  <c r="AM68" i="4"/>
  <c r="AL68" i="4"/>
  <c r="BB8" i="4" s="1"/>
  <c r="AK68" i="4" l="1"/>
  <c r="AT68" i="4"/>
  <c r="AW68" i="4" s="1"/>
  <c r="AK69" i="4"/>
  <c r="AN69" i="4" s="1"/>
  <c r="AT70" i="4"/>
  <c r="AW70" i="4" s="1"/>
  <c r="AN68" i="4" l="1"/>
  <c r="BA8" i="4"/>
  <c r="BC8" i="4" s="1"/>
</calcChain>
</file>

<file path=xl/sharedStrings.xml><?xml version="1.0" encoding="utf-8"?>
<sst xmlns="http://schemas.openxmlformats.org/spreadsheetml/2006/main" count="1272" uniqueCount="296">
  <si>
    <t>Default values: gain, foetus, milk, eggs</t>
  </si>
  <si>
    <t>Dairy cows</t>
  </si>
  <si>
    <t>Parameter</t>
  </si>
  <si>
    <t>Unit</t>
  </si>
  <si>
    <t>Value</t>
  </si>
  <si>
    <t xml:space="preserve">Foetus per cow per year </t>
  </si>
  <si>
    <t>Foetus weight</t>
  </si>
  <si>
    <t>kg</t>
  </si>
  <si>
    <t>Gain</t>
  </si>
  <si>
    <t>N</t>
  </si>
  <si>
    <t>g/kg gain</t>
  </si>
  <si>
    <t>P</t>
  </si>
  <si>
    <t>K</t>
  </si>
  <si>
    <t>Foetus</t>
  </si>
  <si>
    <t>g/kg foetus</t>
  </si>
  <si>
    <t>Milk</t>
  </si>
  <si>
    <t>g/kg milk</t>
  </si>
  <si>
    <t>Excretion in urine</t>
  </si>
  <si>
    <t>mg/kg animal weight/day</t>
  </si>
  <si>
    <t>Excretion in faeces</t>
  </si>
  <si>
    <t>g/kg DM intake</t>
  </si>
  <si>
    <t xml:space="preserve">Cow calves (age 0-6 months) </t>
  </si>
  <si>
    <t>%/P intake</t>
  </si>
  <si>
    <t xml:space="preserve">Bull calves (age 0-6 months) </t>
  </si>
  <si>
    <t>Heifers (age 6 months to calving)</t>
  </si>
  <si>
    <t xml:space="preserve">Foetus per heifer per year </t>
  </si>
  <si>
    <t>Beef cattle (age 6 months to slaughtering)</t>
  </si>
  <si>
    <t>Suckler cows</t>
  </si>
  <si>
    <t>Slaughter pigs</t>
  </si>
  <si>
    <t xml:space="preserve">Digestibility </t>
  </si>
  <si>
    <t>%</t>
  </si>
  <si>
    <t>Weaners</t>
  </si>
  <si>
    <t>Sows</t>
  </si>
  <si>
    <t>Piglet gain</t>
  </si>
  <si>
    <t>Broilers</t>
  </si>
  <si>
    <t>Young birds</t>
  </si>
  <si>
    <t>Laying hens</t>
  </si>
  <si>
    <t>Eggs</t>
  </si>
  <si>
    <t xml:space="preserve">g/kg </t>
  </si>
  <si>
    <t>Animal group</t>
  </si>
  <si>
    <t>Faeces</t>
  </si>
  <si>
    <t>Urine</t>
  </si>
  <si>
    <t>Urine  level</t>
  </si>
  <si>
    <t>Database: Animal categories and default values</t>
  </si>
  <si>
    <t>Yield</t>
  </si>
  <si>
    <t>kg/year</t>
  </si>
  <si>
    <t>Protein</t>
  </si>
  <si>
    <t xml:space="preserve">Milk </t>
  </si>
  <si>
    <t>Feeding</t>
  </si>
  <si>
    <t xml:space="preserve">DM </t>
  </si>
  <si>
    <t>DM digestibility</t>
  </si>
  <si>
    <t>g/kg DM</t>
  </si>
  <si>
    <t>Manure (ex-animal)</t>
  </si>
  <si>
    <t>Quantity</t>
  </si>
  <si>
    <t>t/year</t>
  </si>
  <si>
    <t xml:space="preserve">Feces </t>
  </si>
  <si>
    <t>Grazing</t>
  </si>
  <si>
    <t>Animal category</t>
  </si>
  <si>
    <t>Total</t>
  </si>
  <si>
    <t>Cows</t>
  </si>
  <si>
    <t>Calves</t>
  </si>
  <si>
    <t>Heifers</t>
  </si>
  <si>
    <t>Young bulls</t>
  </si>
  <si>
    <t>Cattle</t>
  </si>
  <si>
    <t>Calculation method</t>
  </si>
  <si>
    <t>Average body weight</t>
  </si>
  <si>
    <t>Average mature weight</t>
  </si>
  <si>
    <t>Calculation at regional (country) level</t>
  </si>
  <si>
    <t>DM</t>
  </si>
  <si>
    <t>Cow and bull calves</t>
  </si>
  <si>
    <t>Other cattle</t>
  </si>
  <si>
    <t>Animal number</t>
  </si>
  <si>
    <t>Rearing period</t>
  </si>
  <si>
    <t>days/ year</t>
  </si>
  <si>
    <t>hours/ day</t>
  </si>
  <si>
    <t>Other pigs</t>
  </si>
  <si>
    <t>Pigs</t>
  </si>
  <si>
    <t>Feed</t>
  </si>
  <si>
    <t>DM%</t>
  </si>
  <si>
    <t>Poultry</t>
  </si>
  <si>
    <t>Outdoor period</t>
  </si>
  <si>
    <t>Feeding (per one bird)</t>
  </si>
  <si>
    <t>Manure from grazing/outdoor period</t>
  </si>
  <si>
    <t>Piglets number</t>
  </si>
  <si>
    <t>year/sow</t>
  </si>
  <si>
    <t>Piglets body weight at weaning</t>
  </si>
  <si>
    <t xml:space="preserve">Egg production </t>
  </si>
  <si>
    <t>kg/ year hen</t>
  </si>
  <si>
    <t>kg/animal/year</t>
  </si>
  <si>
    <t>kg/bird year</t>
  </si>
  <si>
    <t>kg/pig year</t>
  </si>
  <si>
    <t>Keeping tehcnology</t>
  </si>
  <si>
    <t>Heads</t>
  </si>
  <si>
    <t>Animal species and categories</t>
  </si>
  <si>
    <t xml:space="preserve">Keeping technology, manure removal system </t>
  </si>
  <si>
    <t>N-loss</t>
  </si>
  <si>
    <t>Ex-housing</t>
  </si>
  <si>
    <r>
      <t>NH</t>
    </r>
    <r>
      <rPr>
        <vertAlign val="subscript"/>
        <sz val="8"/>
        <color theme="1"/>
        <rFont val="Calibri"/>
        <family val="2"/>
        <charset val="186"/>
        <scheme val="minor"/>
      </rPr>
      <t>3</t>
    </r>
    <r>
      <rPr>
        <sz val="8"/>
        <color theme="1"/>
        <rFont val="Calibri"/>
        <family val="2"/>
        <charset val="186"/>
        <scheme val="minor"/>
      </rPr>
      <t xml:space="preserve">-N </t>
    </r>
  </si>
  <si>
    <t xml:space="preserve">Dairy cows </t>
  </si>
  <si>
    <t>Tie-up housing system (manure removal with scraper)</t>
  </si>
  <si>
    <t>Tie-up housing system, grates</t>
  </si>
  <si>
    <t>Cubicles with solid floor</t>
  </si>
  <si>
    <t>Cubicles with slatted floor (manure channel, continuous removal)</t>
  </si>
  <si>
    <t xml:space="preserve">Deep litter (whole area) </t>
  </si>
  <si>
    <t>Deep litter with long feeding area and solid floor</t>
  </si>
  <si>
    <t>Deep litter with long feeding area and fast drying floor (scraper and urine drainage)</t>
  </si>
  <si>
    <t>Solid manure (loose housing)</t>
  </si>
  <si>
    <t>From housing, storage and yards</t>
  </si>
  <si>
    <t>From following manure appliction</t>
  </si>
  <si>
    <t>From grazed pastures</t>
  </si>
  <si>
    <r>
      <t>NH</t>
    </r>
    <r>
      <rPr>
        <vertAlign val="subscript"/>
        <sz val="8"/>
        <color theme="1"/>
        <rFont val="Calibri"/>
        <family val="2"/>
        <charset val="186"/>
        <scheme val="minor"/>
      </rPr>
      <t>3</t>
    </r>
  </si>
  <si>
    <t>Manure type</t>
  </si>
  <si>
    <t>Tier 1</t>
  </si>
  <si>
    <t>After storing period</t>
  </si>
  <si>
    <t xml:space="preserve">N </t>
  </si>
  <si>
    <r>
      <t>NH</t>
    </r>
    <r>
      <rPr>
        <vertAlign val="subscript"/>
        <sz val="8"/>
        <color theme="1"/>
        <rFont val="Calibri"/>
        <family val="2"/>
        <charset val="186"/>
        <scheme val="minor"/>
      </rPr>
      <t>4</t>
    </r>
    <r>
      <rPr>
        <sz val="8"/>
        <color theme="1"/>
        <rFont val="Calibri"/>
        <family val="2"/>
        <charset val="186"/>
        <scheme val="minor"/>
      </rPr>
      <t xml:space="preserve"> -N</t>
    </r>
  </si>
  <si>
    <t>Solid (Tier1)</t>
  </si>
  <si>
    <t>Manure (grazing)</t>
  </si>
  <si>
    <t>Tier 2, Tier 3</t>
  </si>
  <si>
    <t>Denitrification</t>
  </si>
  <si>
    <r>
      <t>NO</t>
    </r>
    <r>
      <rPr>
        <vertAlign val="subscript"/>
        <sz val="8"/>
        <color theme="1"/>
        <rFont val="Calibri"/>
        <family val="2"/>
        <charset val="186"/>
        <scheme val="minor"/>
      </rPr>
      <t>2</t>
    </r>
  </si>
  <si>
    <t>Ex-storage</t>
  </si>
  <si>
    <t>Storing technology</t>
  </si>
  <si>
    <r>
      <t>NH</t>
    </r>
    <r>
      <rPr>
        <vertAlign val="subscript"/>
        <sz val="8"/>
        <color theme="1"/>
        <rFont val="Calibri"/>
        <family val="2"/>
        <charset val="186"/>
        <scheme val="minor"/>
      </rPr>
      <t>3</t>
    </r>
    <r>
      <rPr>
        <sz val="8"/>
        <color theme="1"/>
        <rFont val="Calibri"/>
        <family val="2"/>
        <charset val="186"/>
        <scheme val="minor"/>
      </rPr>
      <t>-N</t>
    </r>
  </si>
  <si>
    <r>
      <t>N</t>
    </r>
    <r>
      <rPr>
        <vertAlign val="subscript"/>
        <sz val="8"/>
        <color theme="1"/>
        <rFont val="Calibri"/>
        <family val="2"/>
        <charset val="186"/>
        <scheme val="minor"/>
      </rPr>
      <t>2</t>
    </r>
    <r>
      <rPr>
        <sz val="8"/>
        <color theme="1"/>
        <rFont val="Calibri"/>
        <family val="2"/>
        <charset val="186"/>
        <scheme val="minor"/>
      </rPr>
      <t>O-N</t>
    </r>
  </si>
  <si>
    <t>Storage roofed</t>
  </si>
  <si>
    <t>Storage, natural cover</t>
  </si>
  <si>
    <t xml:space="preserve">Heap, natural crust </t>
  </si>
  <si>
    <t xml:space="preserve">Solid </t>
  </si>
  <si>
    <t>Slurry</t>
  </si>
  <si>
    <t>Deep litter</t>
  </si>
  <si>
    <t>Manure (ex-housing)</t>
  </si>
  <si>
    <r>
      <t>NH</t>
    </r>
    <r>
      <rPr>
        <vertAlign val="subscript"/>
        <sz val="8"/>
        <color theme="1"/>
        <rFont val="Calibri"/>
        <family val="2"/>
        <charset val="186"/>
        <scheme val="minor"/>
      </rPr>
      <t>3</t>
    </r>
    <r>
      <rPr>
        <sz val="8"/>
        <color theme="1"/>
        <rFont val="Calibri"/>
        <family val="2"/>
        <charset val="186"/>
        <scheme val="minor"/>
      </rPr>
      <t>- N</t>
    </r>
  </si>
  <si>
    <t>Solid</t>
  </si>
  <si>
    <t>Cover type</t>
  </si>
  <si>
    <t xml:space="preserve">Storage, floating cover </t>
  </si>
  <si>
    <t>Percentage</t>
  </si>
  <si>
    <t>Liquid</t>
  </si>
  <si>
    <t>Partitioning of  N, P, K</t>
  </si>
  <si>
    <t xml:space="preserve">Manure type(s) </t>
  </si>
  <si>
    <t>Code</t>
  </si>
  <si>
    <t>Slurry/urine</t>
  </si>
  <si>
    <t>Slurry/urine+solid</t>
  </si>
  <si>
    <t xml:space="preserve">Leaching </t>
  </si>
  <si>
    <t>Leaching</t>
  </si>
  <si>
    <t>Proportion of manure directly applied on field</t>
  </si>
  <si>
    <r>
      <t>N</t>
    </r>
    <r>
      <rPr>
        <vertAlign val="subscript"/>
        <sz val="8"/>
        <color theme="1"/>
        <rFont val="Calibri"/>
        <family val="2"/>
        <charset val="186"/>
        <scheme val="minor"/>
      </rPr>
      <t>2</t>
    </r>
    <r>
      <rPr>
        <sz val="8"/>
        <color theme="1"/>
        <rFont val="Calibri"/>
        <family val="2"/>
        <charset val="186"/>
        <scheme val="minor"/>
      </rPr>
      <t>0</t>
    </r>
  </si>
  <si>
    <r>
      <t>N</t>
    </r>
    <r>
      <rPr>
        <vertAlign val="subscript"/>
        <sz val="8"/>
        <color theme="1"/>
        <rFont val="Calibri"/>
        <family val="2"/>
        <charset val="186"/>
        <scheme val="minor"/>
      </rPr>
      <t>2</t>
    </r>
    <r>
      <rPr>
        <sz val="8"/>
        <color theme="1"/>
        <rFont val="Calibri"/>
        <family val="2"/>
        <charset val="186"/>
        <scheme val="minor"/>
      </rPr>
      <t>0-N</t>
    </r>
  </si>
  <si>
    <r>
      <t>N</t>
    </r>
    <r>
      <rPr>
        <vertAlign val="subscript"/>
        <sz val="8"/>
        <color theme="1"/>
        <rFont val="Calibri"/>
        <family val="2"/>
        <charset val="186"/>
        <scheme val="minor"/>
      </rPr>
      <t>2</t>
    </r>
    <r>
      <rPr>
        <sz val="8"/>
        <color theme="1"/>
        <rFont val="Calibri"/>
        <family val="2"/>
        <charset val="186"/>
        <scheme val="minor"/>
      </rPr>
      <t xml:space="preserve">0 </t>
    </r>
  </si>
  <si>
    <t>Manure (ex-storage) Tier 1</t>
  </si>
  <si>
    <t>Manure (ex-storage) Tier 2,3</t>
  </si>
  <si>
    <t>Slurry/urine+deep litter</t>
  </si>
  <si>
    <t xml:space="preserve"> Solid  (Tier1)</t>
  </si>
  <si>
    <t>Slurry (Tier1)</t>
  </si>
  <si>
    <t xml:space="preserve"> Slurry (Tier1)</t>
  </si>
  <si>
    <r>
      <t>N0</t>
    </r>
    <r>
      <rPr>
        <vertAlign val="subscript"/>
        <sz val="8"/>
        <color theme="1"/>
        <rFont val="Calibri"/>
        <family val="2"/>
        <charset val="186"/>
        <scheme val="minor"/>
      </rPr>
      <t>2</t>
    </r>
    <r>
      <rPr>
        <sz val="8"/>
        <color theme="1"/>
        <rFont val="Calibri"/>
        <family val="2"/>
        <charset val="186"/>
        <scheme val="minor"/>
      </rPr>
      <t xml:space="preserve"> </t>
    </r>
  </si>
  <si>
    <t xml:space="preserve">Deep litter with short feeding area and solid floor </t>
  </si>
  <si>
    <t>Non dairy cattle, slurry (Tier1)</t>
  </si>
  <si>
    <t>Non dairy cattle, solid (Tier1)</t>
  </si>
  <si>
    <t>TAN</t>
  </si>
  <si>
    <t>Proportion,%</t>
  </si>
  <si>
    <t>P (urine)</t>
  </si>
  <si>
    <t>K (urine)</t>
  </si>
  <si>
    <t>Non dairy cattle</t>
  </si>
  <si>
    <t>Non dairy cattlle</t>
  </si>
  <si>
    <t>Ex-animal</t>
  </si>
  <si>
    <t>Losses</t>
  </si>
  <si>
    <t>Manure</t>
  </si>
  <si>
    <t>Outdoor (Tier1)</t>
  </si>
  <si>
    <t>g/kg feed</t>
  </si>
  <si>
    <t>Free and gestating period</t>
  </si>
  <si>
    <t>Lactating period</t>
  </si>
  <si>
    <t>Solid  (Tier1)</t>
  </si>
  <si>
    <t>Fattening pigs, slurry (Tier1)</t>
  </si>
  <si>
    <t>Fattening pigs, solid(Tier1)</t>
  </si>
  <si>
    <t>Manure (outdoor)</t>
  </si>
  <si>
    <t>Fattening pigs, solid (Tier1)</t>
  </si>
  <si>
    <t>Laying hens and parents, slurry (Tier1)</t>
  </si>
  <si>
    <t>Laying hens and parents, solid (Tier1)</t>
  </si>
  <si>
    <t>Laiyng hens</t>
  </si>
  <si>
    <t xml:space="preserve"> Laying hens and parents, slurry (Tier1)</t>
  </si>
  <si>
    <t xml:space="preserve"> Laying hens and parents, solid (Tier1)</t>
  </si>
  <si>
    <t>Broilers and parents, solid (Tier1)</t>
  </si>
  <si>
    <t xml:space="preserve"> Broilers and parents, solid (Tier1)</t>
  </si>
  <si>
    <t>Turkeys</t>
  </si>
  <si>
    <t>Turkeys, solid (Tier1)</t>
  </si>
  <si>
    <t xml:space="preserve"> Turkeys, solid (Tier1)</t>
  </si>
  <si>
    <t>Ducks</t>
  </si>
  <si>
    <t>Ducks, solid (Tier1)</t>
  </si>
  <si>
    <t xml:space="preserve"> Ducks, solid (Tier1)</t>
  </si>
  <si>
    <t>Geese</t>
  </si>
  <si>
    <t>Geese, solid (Tier1)</t>
  </si>
  <si>
    <t xml:space="preserve"> Geese, solid (Tier1)</t>
  </si>
  <si>
    <t>Other poultry</t>
  </si>
  <si>
    <t xml:space="preserve"> Other poultry, solid (Tier1)</t>
  </si>
  <si>
    <t>Other poultry1, solid (Tier1)</t>
  </si>
  <si>
    <t>Other poultry2, solid (Tier1)</t>
  </si>
  <si>
    <t>Other poultry3, solid (Tier1)</t>
  </si>
  <si>
    <t>Other poultry1</t>
  </si>
  <si>
    <t>Other poultry2</t>
  </si>
  <si>
    <t>Other poultry3</t>
  </si>
  <si>
    <t>Sheep</t>
  </si>
  <si>
    <t>Other livestock</t>
  </si>
  <si>
    <t>Sheep, solid (Tier1)</t>
  </si>
  <si>
    <t>Ohter livestock</t>
  </si>
  <si>
    <t>Goats</t>
  </si>
  <si>
    <t>Goats, solid (Tier1)</t>
  </si>
  <si>
    <t>Sheep and goats</t>
  </si>
  <si>
    <t>Horses</t>
  </si>
  <si>
    <t>Horses, solid (Tier1)</t>
  </si>
  <si>
    <t>Fur animals</t>
  </si>
  <si>
    <t>Fur animals, (Tier1)</t>
  </si>
  <si>
    <t>Buffalo,solid (Tier1)</t>
  </si>
  <si>
    <t>Mules and asses,solid (Tier1)</t>
  </si>
  <si>
    <t>Camels,solid (Tier1)</t>
  </si>
  <si>
    <t>Other animals</t>
  </si>
  <si>
    <t>Other livestock (buffalo, mules and asses, camels)</t>
  </si>
  <si>
    <t>Turkeys, ducks, geese, other poultry</t>
  </si>
  <si>
    <t>Dairy sheep, goats</t>
  </si>
  <si>
    <t>Sheep, goats, horses, other livestock</t>
  </si>
  <si>
    <t>Grazing/Outdoor</t>
  </si>
  <si>
    <t>Cattle, sheep, goats, horses, other livestock</t>
  </si>
  <si>
    <t>Tier 3</t>
  </si>
  <si>
    <t>Tier 2</t>
  </si>
  <si>
    <t>Tier 2,3</t>
  </si>
  <si>
    <t>t animal/year</t>
  </si>
  <si>
    <t>Buffalo, mules and asses, camels, other livestock</t>
  </si>
  <si>
    <t xml:space="preserve"> Manure DM</t>
  </si>
  <si>
    <t>ex-animal</t>
  </si>
  <si>
    <t>kg/animal year</t>
  </si>
  <si>
    <t>Body weight gain</t>
  </si>
  <si>
    <t>Additional nutrient sources</t>
  </si>
  <si>
    <t>Bedding</t>
  </si>
  <si>
    <t>Feed residues</t>
  </si>
  <si>
    <t>Source</t>
  </si>
  <si>
    <t>kg/animal/day</t>
  </si>
  <si>
    <t>B</t>
  </si>
  <si>
    <t>FR</t>
  </si>
  <si>
    <t>DM-loss</t>
  </si>
  <si>
    <t>Water evaporation</t>
  </si>
  <si>
    <t>G</t>
  </si>
  <si>
    <t>t</t>
  </si>
  <si>
    <t>Water</t>
  </si>
  <si>
    <t>Default values: manure proportion, %</t>
  </si>
  <si>
    <t>t/animal/year</t>
  </si>
  <si>
    <t>Techn. water</t>
  </si>
  <si>
    <t>TW</t>
  </si>
  <si>
    <t>m</t>
  </si>
  <si>
    <t>Water precipitation and evaporation</t>
  </si>
  <si>
    <t>Storage volume</t>
  </si>
  <si>
    <r>
      <t>m</t>
    </r>
    <r>
      <rPr>
        <vertAlign val="superscript"/>
        <sz val="8"/>
        <color theme="1"/>
        <rFont val="Calibri"/>
        <family val="2"/>
        <charset val="186"/>
        <scheme val="minor"/>
      </rPr>
      <t>3</t>
    </r>
  </si>
  <si>
    <t>Height of the storage</t>
  </si>
  <si>
    <t>Net precipitation</t>
  </si>
  <si>
    <t>mm</t>
  </si>
  <si>
    <t>Net evaporation</t>
  </si>
  <si>
    <t>Manure volume weight</t>
  </si>
  <si>
    <r>
      <t>kg/m</t>
    </r>
    <r>
      <rPr>
        <vertAlign val="superscript"/>
        <sz val="8"/>
        <color theme="1"/>
        <rFont val="Calibri"/>
        <family val="2"/>
        <charset val="186"/>
        <scheme val="minor"/>
      </rPr>
      <t>3</t>
    </r>
  </si>
  <si>
    <t>Individual housing (partially slatted floor)</t>
  </si>
  <si>
    <t>Individual housing (fully slatted floor)</t>
  </si>
  <si>
    <t>Individual housing (solid floor)</t>
  </si>
  <si>
    <t>Loose housing (deep litter and slatted floor)</t>
  </si>
  <si>
    <t>Loose housing (deep litter and solid floor)</t>
  </si>
  <si>
    <t>Loose housing (deep litter)</t>
  </si>
  <si>
    <t>Loose housing (partially slatted floor)</t>
  </si>
  <si>
    <t>Farrowing pens (partially slatted floor)</t>
  </si>
  <si>
    <t>Farrowing pens (fully slatted floor)</t>
  </si>
  <si>
    <t>Total slurry</t>
  </si>
  <si>
    <t>Total solid</t>
  </si>
  <si>
    <t>Total deep litter</t>
  </si>
  <si>
    <t>Partially slatted  floor (50-75%)</t>
  </si>
  <si>
    <t>Partially slatted  floor (25-49%)</t>
  </si>
  <si>
    <t>Drained and slatted floor (33/67)</t>
  </si>
  <si>
    <t>Solid floor</t>
  </si>
  <si>
    <t>Deep litter (separate lying area)</t>
  </si>
  <si>
    <t>Solid floor (solid manure)</t>
  </si>
  <si>
    <t>Two climate pens (partially slatted floor)</t>
  </si>
  <si>
    <t>Drained and slatted floor (50/50)</t>
  </si>
  <si>
    <t>Cages, belt, manure drying</t>
  </si>
  <si>
    <t>Cages, belt (liquid manure)</t>
  </si>
  <si>
    <t>Cages, belt (solid manure)</t>
  </si>
  <si>
    <t xml:space="preserve">Aviary system (different levels of floors), belt,  manure drying </t>
  </si>
  <si>
    <t>Aviary system, floor keeping</t>
  </si>
  <si>
    <t>Free range, floor keeping</t>
  </si>
  <si>
    <t>Free range, (different levels of floors), belt,  manure drying</t>
  </si>
  <si>
    <t>Deep litter (manure drying)</t>
  </si>
  <si>
    <t>Deep litter2</t>
  </si>
  <si>
    <t>Floor keeping</t>
  </si>
  <si>
    <t>Floor keeping2</t>
  </si>
  <si>
    <t xml:space="preserve"> </t>
  </si>
  <si>
    <t>Liquid manure</t>
  </si>
  <si>
    <t>Semisolid</t>
  </si>
  <si>
    <t>CP</t>
  </si>
  <si>
    <t>Manure (ex-animal) Tier 1</t>
  </si>
  <si>
    <t>Technological water</t>
  </si>
  <si>
    <t>Manure per year (average fulfilment)</t>
  </si>
  <si>
    <t>Default values (ex-animal): manure DM,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</si>
</sst>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2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vertAlign val="subscript"/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sz val="10"/>
      <color rgb="FF000000"/>
      <name val="Arial"/>
      <family val="2"/>
    </font>
    <font>
      <vertAlign val="superscript"/>
      <sz val="8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2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164" fontId="1" fillId="0" borderId="11" xfId="0" applyNumberFormat="1" applyFont="1" applyBorder="1" applyProtection="1">
      <protection locked="0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1" fillId="0" borderId="16" xfId="0" applyNumberFormat="1" applyFont="1" applyBorder="1" applyProtection="1"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Protection="1">
      <protection locked="0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164" fontId="1" fillId="0" borderId="21" xfId="0" applyNumberFormat="1" applyFont="1" applyBorder="1" applyProtection="1">
      <protection locked="0"/>
    </xf>
    <xf numFmtId="0" fontId="1" fillId="0" borderId="14" xfId="0" applyFont="1" applyBorder="1" applyAlignment="1">
      <alignment horizontal="center" vertical="center"/>
    </xf>
    <xf numFmtId="164" fontId="1" fillId="0" borderId="22" xfId="0" applyNumberFormat="1" applyFont="1" applyBorder="1" applyProtection="1">
      <protection locked="0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protection locked="0"/>
    </xf>
    <xf numFmtId="164" fontId="1" fillId="0" borderId="6" xfId="0" applyNumberFormat="1" applyFont="1" applyBorder="1" applyAlignment="1" applyProtection="1">
      <protection locked="0"/>
    </xf>
    <xf numFmtId="164" fontId="1" fillId="0" borderId="11" xfId="0" applyNumberFormat="1" applyFont="1" applyBorder="1" applyAlignment="1" applyProtection="1">
      <protection locked="0"/>
    </xf>
    <xf numFmtId="164" fontId="1" fillId="0" borderId="25" xfId="0" applyNumberFormat="1" applyFont="1" applyBorder="1" applyAlignment="1" applyProtection="1">
      <protection locked="0"/>
    </xf>
    <xf numFmtId="0" fontId="1" fillId="0" borderId="10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64" fontId="1" fillId="2" borderId="5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33" xfId="0" applyFont="1" applyFill="1" applyBorder="1" applyAlignment="1">
      <alignment horizontal="center"/>
    </xf>
    <xf numFmtId="164" fontId="1" fillId="2" borderId="17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3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42" xfId="0" applyFont="1" applyBorder="1"/>
    <xf numFmtId="0" fontId="1" fillId="0" borderId="35" xfId="0" applyFont="1" applyBorder="1" applyAlignment="1">
      <alignment horizontal="center" vertical="center"/>
    </xf>
    <xf numFmtId="0" fontId="1" fillId="0" borderId="11" xfId="0" applyFont="1" applyBorder="1"/>
    <xf numFmtId="0" fontId="1" fillId="0" borderId="27" xfId="0" applyFont="1" applyBorder="1"/>
    <xf numFmtId="0" fontId="1" fillId="0" borderId="30" xfId="0" applyFont="1" applyBorder="1"/>
    <xf numFmtId="164" fontId="1" fillId="0" borderId="30" xfId="0" applyNumberFormat="1" applyFont="1" applyBorder="1"/>
    <xf numFmtId="164" fontId="1" fillId="0" borderId="28" xfId="0" applyNumberFormat="1" applyFont="1" applyBorder="1"/>
    <xf numFmtId="0" fontId="1" fillId="0" borderId="45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2" fontId="1" fillId="3" borderId="0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4" borderId="20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1" fillId="0" borderId="24" xfId="0" applyFont="1" applyBorder="1"/>
    <xf numFmtId="164" fontId="1" fillId="4" borderId="21" xfId="0" applyNumberFormat="1" applyFont="1" applyFill="1" applyBorder="1" applyAlignment="1">
      <alignment horizontal="center" vertical="center"/>
    </xf>
    <xf numFmtId="164" fontId="1" fillId="4" borderId="49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24" xfId="0" applyFont="1" applyFill="1" applyBorder="1"/>
    <xf numFmtId="164" fontId="1" fillId="2" borderId="20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1" fillId="2" borderId="49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4" borderId="6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0" fontId="1" fillId="2" borderId="49" xfId="0" applyFont="1" applyFill="1" applyBorder="1"/>
    <xf numFmtId="0" fontId="1" fillId="0" borderId="56" xfId="0" applyFont="1" applyBorder="1"/>
    <xf numFmtId="0" fontId="1" fillId="0" borderId="31" xfId="0" applyFont="1" applyBorder="1"/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1" fillId="0" borderId="2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27" xfId="0" applyNumberFormat="1" applyFont="1" applyFill="1" applyBorder="1" applyAlignment="1" applyProtection="1">
      <alignment horizontal="center" vertical="center"/>
      <protection locked="0"/>
    </xf>
    <xf numFmtId="2" fontId="1" fillId="0" borderId="30" xfId="0" applyNumberFormat="1" applyFont="1" applyFill="1" applyBorder="1" applyAlignment="1" applyProtection="1">
      <alignment horizontal="center" vertical="center"/>
      <protection locked="0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27" xfId="0" applyNumberFormat="1" applyFont="1" applyFill="1" applyBorder="1" applyAlignment="1" applyProtection="1">
      <alignment horizontal="center" vertical="center"/>
      <protection locked="0"/>
    </xf>
    <xf numFmtId="1" fontId="1" fillId="0" borderId="30" xfId="0" applyNumberFormat="1" applyFont="1" applyFill="1" applyBorder="1" applyAlignment="1" applyProtection="1">
      <alignment horizontal="center" vertical="center"/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65" fontId="1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0" fontId="1" fillId="7" borderId="47" xfId="0" applyFont="1" applyFill="1" applyBorder="1"/>
    <xf numFmtId="0" fontId="1" fillId="7" borderId="64" xfId="0" applyFont="1" applyFill="1" applyBorder="1"/>
    <xf numFmtId="0" fontId="1" fillId="7" borderId="51" xfId="0" applyFont="1" applyFill="1" applyBorder="1"/>
    <xf numFmtId="0" fontId="1" fillId="7" borderId="0" xfId="0" applyFont="1" applyFill="1" applyBorder="1"/>
    <xf numFmtId="0" fontId="1" fillId="7" borderId="67" xfId="0" applyFont="1" applyFill="1" applyBorder="1"/>
    <xf numFmtId="0" fontId="1" fillId="7" borderId="52" xfId="0" applyFont="1" applyFill="1" applyBorder="1"/>
    <xf numFmtId="165" fontId="1" fillId="7" borderId="53" xfId="0" applyNumberFormat="1" applyFont="1" applyFill="1" applyBorder="1"/>
    <xf numFmtId="0" fontId="1" fillId="7" borderId="65" xfId="0" applyFont="1" applyFill="1" applyBorder="1"/>
    <xf numFmtId="164" fontId="1" fillId="4" borderId="24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77" xfId="0" applyNumberFormat="1" applyFont="1" applyFill="1" applyBorder="1" applyAlignment="1" applyProtection="1">
      <alignment horizontal="center" vertical="center"/>
      <protection locked="0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2" fontId="1" fillId="0" borderId="18" xfId="0" applyNumberFormat="1" applyFont="1" applyFill="1" applyBorder="1" applyAlignment="1" applyProtection="1">
      <alignment horizontal="center"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29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4" fontId="1" fillId="0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0" fontId="1" fillId="0" borderId="37" xfId="0" applyFont="1" applyFill="1" applyBorder="1" applyAlignment="1" applyProtection="1">
      <alignment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7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1" fillId="0" borderId="9" xfId="0" applyFont="1" applyBorder="1" applyAlignment="1">
      <alignment horizontal="center" vertical="center"/>
    </xf>
    <xf numFmtId="2" fontId="1" fillId="0" borderId="0" xfId="0" applyNumberFormat="1" applyFont="1"/>
    <xf numFmtId="0" fontId="1" fillId="0" borderId="35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Fill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/>
    <xf numFmtId="2" fontId="1" fillId="0" borderId="40" xfId="0" applyNumberFormat="1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vertical="center"/>
      <protection locked="0"/>
    </xf>
    <xf numFmtId="0" fontId="1" fillId="3" borderId="46" xfId="0" applyFont="1" applyFill="1" applyBorder="1"/>
    <xf numFmtId="0" fontId="1" fillId="3" borderId="47" xfId="0" applyFont="1" applyFill="1" applyBorder="1"/>
    <xf numFmtId="0" fontId="1" fillId="3" borderId="64" xfId="0" applyFont="1" applyFill="1" applyBorder="1"/>
    <xf numFmtId="0" fontId="1" fillId="3" borderId="52" xfId="0" applyFont="1" applyFill="1" applyBorder="1"/>
    <xf numFmtId="0" fontId="1" fillId="3" borderId="53" xfId="0" applyFont="1" applyFill="1" applyBorder="1"/>
    <xf numFmtId="0" fontId="1" fillId="3" borderId="65" xfId="0" applyFont="1" applyFill="1" applyBorder="1"/>
    <xf numFmtId="0" fontId="1" fillId="0" borderId="0" xfId="0" applyFont="1" applyBorder="1" applyAlignment="1"/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8" xfId="0" applyFont="1" applyBorder="1"/>
    <xf numFmtId="0" fontId="1" fillId="4" borderId="40" xfId="0" applyFont="1" applyFill="1" applyBorder="1" applyAlignment="1">
      <alignment horizontal="center" vertical="center"/>
    </xf>
    <xf numFmtId="165" fontId="1" fillId="4" borderId="4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165" fontId="1" fillId="4" borderId="42" xfId="0" applyNumberFormat="1" applyFont="1" applyFill="1" applyBorder="1" applyAlignment="1">
      <alignment horizontal="center" vertical="center"/>
    </xf>
    <xf numFmtId="0" fontId="1" fillId="4" borderId="73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4" borderId="7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165" fontId="1" fillId="4" borderId="47" xfId="0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26" xfId="0" applyNumberFormat="1" applyFont="1" applyBorder="1" applyAlignment="1" applyProtection="1">
      <alignment horizontal="center" vertical="center"/>
      <protection locked="0"/>
    </xf>
    <xf numFmtId="165" fontId="1" fillId="3" borderId="0" xfId="0" applyNumberFormat="1" applyFont="1" applyFill="1" applyBorder="1" applyAlignment="1">
      <alignment horizontal="center" vertical="center"/>
    </xf>
    <xf numFmtId="2" fontId="1" fillId="0" borderId="56" xfId="0" applyNumberFormat="1" applyFont="1" applyBorder="1" applyAlignment="1" applyProtection="1">
      <alignment horizontal="center" vertical="center"/>
      <protection locked="0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3" borderId="51" xfId="0" applyFont="1" applyFill="1" applyBorder="1"/>
    <xf numFmtId="0" fontId="1" fillId="3" borderId="67" xfId="0" applyFont="1" applyFill="1" applyBorder="1"/>
    <xf numFmtId="166" fontId="1" fillId="2" borderId="49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4" xfId="0" applyNumberFormat="1" applyFont="1" applyFill="1" applyBorder="1" applyAlignment="1">
      <alignment horizontal="center" vertical="center"/>
    </xf>
    <xf numFmtId="0" fontId="1" fillId="0" borderId="35" xfId="0" applyFont="1" applyBorder="1" applyAlignment="1" applyProtection="1">
      <alignment horizontal="left" vertical="center"/>
      <protection locked="0"/>
    </xf>
    <xf numFmtId="164" fontId="1" fillId="0" borderId="56" xfId="0" applyNumberFormat="1" applyFont="1" applyBorder="1" applyAlignment="1" applyProtection="1">
      <alignment horizontal="center" vertical="center"/>
      <protection locked="0"/>
    </xf>
    <xf numFmtId="164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69" xfId="0" applyFont="1" applyBorder="1"/>
    <xf numFmtId="0" fontId="1" fillId="0" borderId="42" xfId="0" applyFont="1" applyBorder="1" applyAlignment="1"/>
    <xf numFmtId="0" fontId="1" fillId="0" borderId="7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0" xfId="0" applyFont="1" applyFill="1"/>
    <xf numFmtId="164" fontId="1" fillId="2" borderId="23" xfId="0" applyNumberFormat="1" applyFont="1" applyFill="1" applyBorder="1" applyAlignment="1">
      <alignment horizontal="center" vertical="center"/>
    </xf>
    <xf numFmtId="164" fontId="1" fillId="4" borderId="23" xfId="0" applyNumberFormat="1" applyFont="1" applyFill="1" applyBorder="1" applyAlignment="1">
      <alignment horizontal="center" vertical="center"/>
    </xf>
    <xf numFmtId="164" fontId="1" fillId="4" borderId="55" xfId="0" applyNumberFormat="1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 applyProtection="1">
      <protection locked="0"/>
    </xf>
    <xf numFmtId="0" fontId="1" fillId="8" borderId="12" xfId="0" applyFont="1" applyFill="1" applyBorder="1" applyAlignment="1">
      <alignment horizontal="center" vertical="center"/>
    </xf>
    <xf numFmtId="0" fontId="1" fillId="8" borderId="11" xfId="0" applyFont="1" applyFill="1" applyBorder="1" applyAlignment="1" applyProtection="1">
      <protection locked="0"/>
    </xf>
    <xf numFmtId="0" fontId="1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 applyProtection="1">
      <protection locked="0"/>
    </xf>
    <xf numFmtId="0" fontId="1" fillId="8" borderId="6" xfId="0" applyFont="1" applyFill="1" applyBorder="1" applyProtection="1">
      <protection locked="0"/>
    </xf>
    <xf numFmtId="0" fontId="1" fillId="8" borderId="11" xfId="0" applyFont="1" applyFill="1" applyBorder="1" applyProtection="1">
      <protection locked="0"/>
    </xf>
    <xf numFmtId="0" fontId="1" fillId="8" borderId="10" xfId="0" applyFont="1" applyFill="1" applyBorder="1" applyAlignment="1">
      <alignment horizontal="center" vertical="center"/>
    </xf>
    <xf numFmtId="0" fontId="1" fillId="8" borderId="0" xfId="0" applyFont="1" applyFill="1" applyBorder="1"/>
    <xf numFmtId="0" fontId="1" fillId="8" borderId="12" xfId="0" applyFont="1" applyFill="1" applyBorder="1"/>
    <xf numFmtId="0" fontId="1" fillId="8" borderId="0" xfId="0" applyFont="1" applyFill="1" applyBorder="1" applyAlignment="1">
      <alignment horizontal="center" vertical="center"/>
    </xf>
    <xf numFmtId="0" fontId="1" fillId="8" borderId="11" xfId="0" applyFont="1" applyFill="1" applyBorder="1"/>
    <xf numFmtId="0" fontId="1" fillId="8" borderId="12" xfId="0" applyFont="1" applyFill="1" applyBorder="1" applyAlignment="1">
      <alignment vertical="center" wrapText="1"/>
    </xf>
    <xf numFmtId="164" fontId="1" fillId="8" borderId="11" xfId="0" applyNumberFormat="1" applyFont="1" applyFill="1" applyBorder="1" applyProtection="1">
      <protection locked="0"/>
    </xf>
    <xf numFmtId="0" fontId="1" fillId="8" borderId="14" xfId="0" applyFont="1" applyFill="1" applyBorder="1" applyAlignment="1">
      <alignment vertical="center"/>
    </xf>
    <xf numFmtId="0" fontId="1" fillId="8" borderId="14" xfId="0" applyFont="1" applyFill="1" applyBorder="1" applyAlignment="1">
      <alignment horizontal="center" vertical="center"/>
    </xf>
    <xf numFmtId="164" fontId="1" fillId="8" borderId="22" xfId="0" applyNumberFormat="1" applyFont="1" applyFill="1" applyBorder="1" applyProtection="1">
      <protection locked="0"/>
    </xf>
    <xf numFmtId="0" fontId="1" fillId="8" borderId="6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4" borderId="62" xfId="0" applyFont="1" applyFill="1" applyBorder="1"/>
    <xf numFmtId="0" fontId="1" fillId="4" borderId="45" xfId="0" applyFont="1" applyFill="1" applyBorder="1"/>
    <xf numFmtId="0" fontId="1" fillId="4" borderId="63" xfId="0" applyFont="1" applyFill="1" applyBorder="1"/>
    <xf numFmtId="165" fontId="1" fillId="4" borderId="45" xfId="0" applyNumberFormat="1" applyFont="1" applyFill="1" applyBorder="1"/>
    <xf numFmtId="0" fontId="1" fillId="4" borderId="46" xfId="0" applyFont="1" applyFill="1" applyBorder="1"/>
    <xf numFmtId="0" fontId="1" fillId="4" borderId="51" xfId="0" applyFont="1" applyFill="1" applyBorder="1"/>
    <xf numFmtId="0" fontId="1" fillId="4" borderId="52" xfId="0" applyFont="1" applyFill="1" applyBorder="1"/>
    <xf numFmtId="165" fontId="1" fillId="4" borderId="69" xfId="0" applyNumberFormat="1" applyFont="1" applyFill="1" applyBorder="1"/>
    <xf numFmtId="165" fontId="1" fillId="4" borderId="70" xfId="0" applyNumberFormat="1" applyFont="1" applyFill="1" applyBorder="1"/>
    <xf numFmtId="165" fontId="1" fillId="4" borderId="47" xfId="0" applyNumberFormat="1" applyFont="1" applyFill="1" applyBorder="1"/>
    <xf numFmtId="165" fontId="1" fillId="4" borderId="64" xfId="0" applyNumberFormat="1" applyFont="1" applyFill="1" applyBorder="1"/>
    <xf numFmtId="165" fontId="1" fillId="4" borderId="0" xfId="0" applyNumberFormat="1" applyFont="1" applyFill="1" applyBorder="1"/>
    <xf numFmtId="165" fontId="1" fillId="4" borderId="67" xfId="0" applyNumberFormat="1" applyFont="1" applyFill="1" applyBorder="1"/>
    <xf numFmtId="165" fontId="1" fillId="4" borderId="46" xfId="0" applyNumberFormat="1" applyFont="1" applyFill="1" applyBorder="1"/>
    <xf numFmtId="165" fontId="1" fillId="4" borderId="51" xfId="0" applyNumberFormat="1" applyFont="1" applyFill="1" applyBorder="1"/>
    <xf numFmtId="0" fontId="1" fillId="4" borderId="0" xfId="0" applyFont="1" applyFill="1" applyBorder="1"/>
    <xf numFmtId="165" fontId="1" fillId="4" borderId="52" xfId="0" applyNumberFormat="1" applyFont="1" applyFill="1" applyBorder="1"/>
    <xf numFmtId="165" fontId="1" fillId="4" borderId="53" xfId="0" applyNumberFormat="1" applyFont="1" applyFill="1" applyBorder="1"/>
    <xf numFmtId="165" fontId="1" fillId="4" borderId="65" xfId="0" applyNumberFormat="1" applyFont="1" applyFill="1" applyBorder="1"/>
    <xf numFmtId="0" fontId="6" fillId="10" borderId="52" xfId="0" applyFont="1" applyFill="1" applyBorder="1" applyAlignment="1">
      <alignment horizontal="right"/>
    </xf>
    <xf numFmtId="0" fontId="1" fillId="10" borderId="53" xfId="0" applyFont="1" applyFill="1" applyBorder="1" applyAlignment="1">
      <alignment horizontal="center" vertical="center"/>
    </xf>
    <xf numFmtId="2" fontId="1" fillId="10" borderId="53" xfId="0" applyNumberFormat="1" applyFont="1" applyFill="1" applyBorder="1" applyAlignment="1">
      <alignment horizontal="center" vertical="center"/>
    </xf>
    <xf numFmtId="165" fontId="1" fillId="10" borderId="68" xfId="0" applyNumberFormat="1" applyFont="1" applyFill="1" applyBorder="1"/>
    <xf numFmtId="165" fontId="1" fillId="10" borderId="69" xfId="0" applyNumberFormat="1" applyFont="1" applyFill="1" applyBorder="1"/>
    <xf numFmtId="165" fontId="1" fillId="10" borderId="70" xfId="0" applyNumberFormat="1" applyFont="1" applyFill="1" applyBorder="1"/>
    <xf numFmtId="0" fontId="6" fillId="10" borderId="68" xfId="0" applyFont="1" applyFill="1" applyBorder="1" applyAlignment="1">
      <alignment horizontal="right"/>
    </xf>
    <xf numFmtId="0" fontId="1" fillId="10" borderId="69" xfId="0" applyFont="1" applyFill="1" applyBorder="1" applyAlignment="1">
      <alignment horizontal="center" vertical="center"/>
    </xf>
    <xf numFmtId="2" fontId="1" fillId="10" borderId="69" xfId="0" applyNumberFormat="1" applyFont="1" applyFill="1" applyBorder="1" applyAlignment="1">
      <alignment horizontal="center" vertical="center"/>
    </xf>
    <xf numFmtId="165" fontId="1" fillId="10" borderId="52" xfId="0" applyNumberFormat="1" applyFont="1" applyFill="1" applyBorder="1"/>
    <xf numFmtId="165" fontId="1" fillId="10" borderId="53" xfId="0" applyNumberFormat="1" applyFont="1" applyFill="1" applyBorder="1"/>
    <xf numFmtId="165" fontId="1" fillId="10" borderId="65" xfId="0" applyNumberFormat="1" applyFont="1" applyFill="1" applyBorder="1"/>
    <xf numFmtId="0" fontId="6" fillId="10" borderId="51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center" vertical="center"/>
    </xf>
    <xf numFmtId="2" fontId="1" fillId="10" borderId="67" xfId="0" applyNumberFormat="1" applyFont="1" applyFill="1" applyBorder="1" applyAlignment="1">
      <alignment horizontal="center" vertical="center"/>
    </xf>
    <xf numFmtId="2" fontId="1" fillId="10" borderId="65" xfId="0" applyNumberFormat="1" applyFont="1" applyFill="1" applyBorder="1" applyAlignment="1">
      <alignment horizontal="center" vertical="center"/>
    </xf>
    <xf numFmtId="165" fontId="1" fillId="10" borderId="51" xfId="0" applyNumberFormat="1" applyFont="1" applyFill="1" applyBorder="1"/>
    <xf numFmtId="165" fontId="1" fillId="10" borderId="0" xfId="0" applyNumberFormat="1" applyFont="1" applyFill="1" applyBorder="1"/>
    <xf numFmtId="165" fontId="1" fillId="10" borderId="67" xfId="0" applyNumberFormat="1" applyFont="1" applyFill="1" applyBorder="1"/>
    <xf numFmtId="2" fontId="1" fillId="10" borderId="70" xfId="0" applyNumberFormat="1" applyFont="1" applyFill="1" applyBorder="1" applyAlignment="1">
      <alignment horizontal="center" vertical="center"/>
    </xf>
    <xf numFmtId="2" fontId="1" fillId="11" borderId="69" xfId="0" applyNumberFormat="1" applyFont="1" applyFill="1" applyBorder="1" applyAlignment="1">
      <alignment horizontal="center" vertical="center"/>
    </xf>
    <xf numFmtId="165" fontId="1" fillId="11" borderId="69" xfId="0" applyNumberFormat="1" applyFont="1" applyFill="1" applyBorder="1"/>
    <xf numFmtId="165" fontId="1" fillId="11" borderId="70" xfId="0" applyNumberFormat="1" applyFont="1" applyFill="1" applyBorder="1"/>
    <xf numFmtId="0" fontId="6" fillId="3" borderId="52" xfId="0" applyFont="1" applyFill="1" applyBorder="1" applyAlignment="1">
      <alignment horizontal="right"/>
    </xf>
    <xf numFmtId="0" fontId="1" fillId="3" borderId="53" xfId="0" applyFont="1" applyFill="1" applyBorder="1" applyAlignment="1">
      <alignment horizontal="center" vertical="center"/>
    </xf>
    <xf numFmtId="2" fontId="1" fillId="3" borderId="65" xfId="0" applyNumberFormat="1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right"/>
    </xf>
    <xf numFmtId="0" fontId="1" fillId="3" borderId="47" xfId="0" applyFont="1" applyFill="1" applyBorder="1" applyAlignment="1">
      <alignment horizontal="center" vertical="center"/>
    </xf>
    <xf numFmtId="2" fontId="1" fillId="3" borderId="64" xfId="0" applyNumberFormat="1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right"/>
    </xf>
    <xf numFmtId="0" fontId="1" fillId="10" borderId="47" xfId="0" applyFont="1" applyFill="1" applyBorder="1" applyAlignment="1">
      <alignment horizontal="center" vertical="center"/>
    </xf>
    <xf numFmtId="165" fontId="1" fillId="4" borderId="73" xfId="0" applyNumberFormat="1" applyFont="1" applyFill="1" applyBorder="1"/>
    <xf numFmtId="165" fontId="1" fillId="4" borderId="40" xfId="0" applyNumberFormat="1" applyFont="1" applyFill="1" applyBorder="1"/>
    <xf numFmtId="165" fontId="1" fillId="4" borderId="76" xfId="0" applyNumberFormat="1" applyFont="1" applyFill="1" applyBorder="1"/>
    <xf numFmtId="165" fontId="1" fillId="4" borderId="75" xfId="0" applyNumberFormat="1" applyFont="1" applyFill="1" applyBorder="1"/>
    <xf numFmtId="165" fontId="1" fillId="4" borderId="42" xfId="0" applyNumberFormat="1" applyFont="1" applyFill="1" applyBorder="1"/>
    <xf numFmtId="165" fontId="1" fillId="4" borderId="78" xfId="0" applyNumberFormat="1" applyFont="1" applyFill="1" applyBorder="1"/>
    <xf numFmtId="0" fontId="1" fillId="9" borderId="0" xfId="0" applyFont="1" applyFill="1"/>
    <xf numFmtId="165" fontId="1" fillId="11" borderId="53" xfId="0" applyNumberFormat="1" applyFont="1" applyFill="1" applyBorder="1"/>
    <xf numFmtId="165" fontId="1" fillId="11" borderId="65" xfId="0" applyNumberFormat="1" applyFont="1" applyFill="1" applyBorder="1"/>
    <xf numFmtId="165" fontId="1" fillId="11" borderId="52" xfId="0" applyNumberFormat="1" applyFont="1" applyFill="1" applyBorder="1"/>
    <xf numFmtId="165" fontId="1" fillId="11" borderId="0" xfId="0" applyNumberFormat="1" applyFont="1" applyFill="1" applyBorder="1"/>
    <xf numFmtId="165" fontId="1" fillId="11" borderId="67" xfId="0" applyNumberFormat="1" applyFont="1" applyFill="1" applyBorder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6" fillId="11" borderId="1" xfId="0" applyFont="1" applyFill="1" applyBorder="1" applyAlignment="1">
      <alignment horizontal="right"/>
    </xf>
    <xf numFmtId="2" fontId="1" fillId="11" borderId="53" xfId="0" applyNumberFormat="1" applyFont="1" applyFill="1" applyBorder="1" applyAlignment="1">
      <alignment horizontal="center" vertical="center"/>
    </xf>
    <xf numFmtId="2" fontId="1" fillId="11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4" borderId="47" xfId="0" applyFont="1" applyFill="1" applyBorder="1"/>
    <xf numFmtId="0" fontId="1" fillId="4" borderId="53" xfId="0" applyFont="1" applyFill="1" applyBorder="1"/>
    <xf numFmtId="0" fontId="1" fillId="4" borderId="69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67" xfId="0" applyFont="1" applyFill="1" applyBorder="1" applyAlignment="1">
      <alignment horizontal="center" vertical="center"/>
    </xf>
    <xf numFmtId="165" fontId="1" fillId="3" borderId="47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/>
    </xf>
    <xf numFmtId="0" fontId="1" fillId="9" borderId="67" xfId="0" applyFont="1" applyFill="1" applyBorder="1" applyAlignment="1">
      <alignment horizontal="center" vertical="center"/>
    </xf>
    <xf numFmtId="0" fontId="1" fillId="9" borderId="65" xfId="0" applyFont="1" applyFill="1" applyBorder="1" applyAlignment="1">
      <alignment horizontal="center" vertical="center"/>
    </xf>
    <xf numFmtId="0" fontId="1" fillId="0" borderId="68" xfId="0" applyFont="1" applyBorder="1"/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/>
    <xf numFmtId="0" fontId="1" fillId="9" borderId="32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3" xfId="0" applyFont="1" applyFill="1" applyBorder="1"/>
    <xf numFmtId="0" fontId="1" fillId="9" borderId="18" xfId="0" applyFont="1" applyFill="1" applyBorder="1"/>
    <xf numFmtId="0" fontId="1" fillId="9" borderId="29" xfId="0" applyFont="1" applyFill="1" applyBorder="1"/>
    <xf numFmtId="1" fontId="1" fillId="4" borderId="56" xfId="0" applyNumberFormat="1" applyFont="1" applyFill="1" applyBorder="1"/>
    <xf numFmtId="1" fontId="1" fillId="4" borderId="5" xfId="0" applyNumberFormat="1" applyFont="1" applyFill="1" applyBorder="1"/>
    <xf numFmtId="1" fontId="1" fillId="4" borderId="6" xfId="0" applyNumberFormat="1" applyFont="1" applyFill="1" applyBorder="1"/>
    <xf numFmtId="1" fontId="1" fillId="4" borderId="19" xfId="0" applyNumberFormat="1" applyFont="1" applyFill="1" applyBorder="1"/>
    <xf numFmtId="1" fontId="1" fillId="4" borderId="31" xfId="0" applyNumberFormat="1" applyFont="1" applyFill="1" applyBorder="1"/>
    <xf numFmtId="1" fontId="1" fillId="4" borderId="12" xfId="0" applyNumberFormat="1" applyFont="1" applyFill="1" applyBorder="1"/>
    <xf numFmtId="1" fontId="1" fillId="4" borderId="11" xfId="0" applyNumberFormat="1" applyFont="1" applyFill="1" applyBorder="1"/>
    <xf numFmtId="1" fontId="1" fillId="4" borderId="10" xfId="0" applyNumberFormat="1" applyFont="1" applyFill="1" applyBorder="1"/>
    <xf numFmtId="1" fontId="1" fillId="4" borderId="32" xfId="0" applyNumberFormat="1" applyFont="1" applyFill="1" applyBorder="1"/>
    <xf numFmtId="1" fontId="1" fillId="4" borderId="24" xfId="0" applyNumberFormat="1" applyFont="1" applyFill="1" applyBorder="1"/>
    <xf numFmtId="1" fontId="1" fillId="4" borderId="25" xfId="0" applyNumberFormat="1" applyFont="1" applyFill="1" applyBorder="1"/>
    <xf numFmtId="1" fontId="1" fillId="4" borderId="26" xfId="0" applyNumberFormat="1" applyFont="1" applyFill="1" applyBorder="1"/>
    <xf numFmtId="0" fontId="1" fillId="0" borderId="35" xfId="0" applyFont="1" applyFill="1" applyBorder="1" applyAlignment="1" applyProtection="1">
      <alignment horizontal="left" vertical="center"/>
      <protection locked="0"/>
    </xf>
    <xf numFmtId="0" fontId="1" fillId="8" borderId="26" xfId="0" applyFont="1" applyFill="1" applyBorder="1" applyAlignment="1">
      <alignment horizontal="center" vertical="center"/>
    </xf>
    <xf numFmtId="164" fontId="1" fillId="8" borderId="2" xfId="0" applyNumberFormat="1" applyFont="1" applyFill="1" applyBorder="1"/>
    <xf numFmtId="164" fontId="1" fillId="8" borderId="3" xfId="0" applyNumberFormat="1" applyFont="1" applyFill="1" applyBorder="1"/>
    <xf numFmtId="164" fontId="1" fillId="8" borderId="72" xfId="0" applyNumberFormat="1" applyFont="1" applyFill="1" applyBorder="1"/>
    <xf numFmtId="164" fontId="1" fillId="4" borderId="15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/>
    <xf numFmtId="164" fontId="1" fillId="2" borderId="71" xfId="0" applyNumberFormat="1" applyFont="1" applyFill="1" applyBorder="1" applyAlignment="1">
      <alignment horizontal="center" vertical="center"/>
    </xf>
    <xf numFmtId="164" fontId="1" fillId="2" borderId="49" xfId="0" applyNumberFormat="1" applyFont="1" applyFill="1" applyBorder="1"/>
    <xf numFmtId="164" fontId="1" fillId="2" borderId="12" xfId="0" applyNumberFormat="1" applyFont="1" applyFill="1" applyBorder="1"/>
    <xf numFmtId="164" fontId="1" fillId="2" borderId="24" xfId="0" applyNumberFormat="1" applyFont="1" applyFill="1" applyBorder="1"/>
    <xf numFmtId="164" fontId="1" fillId="2" borderId="39" xfId="0" applyNumberFormat="1" applyFont="1" applyFill="1" applyBorder="1" applyProtection="1">
      <protection locked="0"/>
    </xf>
    <xf numFmtId="0" fontId="1" fillId="0" borderId="73" xfId="0" applyFont="1" applyBorder="1"/>
    <xf numFmtId="164" fontId="1" fillId="0" borderId="12" xfId="0" applyNumberFormat="1" applyFont="1" applyBorder="1"/>
    <xf numFmtId="164" fontId="1" fillId="0" borderId="80" xfId="0" applyNumberFormat="1" applyFont="1" applyBorder="1"/>
    <xf numFmtId="0" fontId="1" fillId="8" borderId="19" xfId="0" applyFont="1" applyFill="1" applyBorder="1" applyAlignment="1">
      <alignment horizontal="center" vertical="center"/>
    </xf>
    <xf numFmtId="164" fontId="1" fillId="8" borderId="22" xfId="0" applyNumberFormat="1" applyFont="1" applyFill="1" applyBorder="1"/>
    <xf numFmtId="164" fontId="1" fillId="8" borderId="63" xfId="0" applyNumberFormat="1" applyFont="1" applyFill="1" applyBorder="1"/>
    <xf numFmtId="164" fontId="1" fillId="3" borderId="46" xfId="0" applyNumberFormat="1" applyFont="1" applyFill="1" applyBorder="1" applyProtection="1">
      <protection locked="0"/>
    </xf>
    <xf numFmtId="164" fontId="1" fillId="3" borderId="51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 vertical="center"/>
    </xf>
    <xf numFmtId="164" fontId="1" fillId="0" borderId="49" xfId="0" applyNumberFormat="1" applyFont="1" applyBorder="1"/>
    <xf numFmtId="164" fontId="1" fillId="2" borderId="5" xfId="0" applyNumberFormat="1" applyFont="1" applyFill="1" applyBorder="1"/>
    <xf numFmtId="164" fontId="1" fillId="2" borderId="10" xfId="0" applyNumberFormat="1" applyFont="1" applyFill="1" applyBorder="1"/>
    <xf numFmtId="164" fontId="1" fillId="0" borderId="24" xfId="0" applyNumberFormat="1" applyFont="1" applyBorder="1"/>
    <xf numFmtId="164" fontId="1" fillId="2" borderId="26" xfId="0" applyNumberFormat="1" applyFont="1" applyFill="1" applyBorder="1"/>
    <xf numFmtId="164" fontId="1" fillId="0" borderId="70" xfId="0" applyNumberFormat="1" applyFont="1" applyBorder="1"/>
    <xf numFmtId="164" fontId="1" fillId="4" borderId="8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/>
    <xf numFmtId="164" fontId="1" fillId="4" borderId="71" xfId="0" applyNumberFormat="1" applyFont="1" applyFill="1" applyBorder="1" applyAlignment="1">
      <alignment horizontal="center" vertical="center"/>
    </xf>
    <xf numFmtId="164" fontId="1" fillId="0" borderId="64" xfId="0" applyNumberFormat="1" applyFont="1" applyBorder="1"/>
    <xf numFmtId="164" fontId="1" fillId="8" borderId="14" xfId="0" applyNumberFormat="1" applyFont="1" applyFill="1" applyBorder="1"/>
    <xf numFmtId="164" fontId="1" fillId="2" borderId="10" xfId="0" applyNumberFormat="1" applyFont="1" applyFill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23" xfId="0" applyNumberFormat="1" applyFont="1" applyFill="1" applyBorder="1"/>
    <xf numFmtId="164" fontId="1" fillId="8" borderId="70" xfId="0" applyNumberFormat="1" applyFont="1" applyFill="1" applyBorder="1"/>
    <xf numFmtId="0" fontId="1" fillId="0" borderId="24" xfId="0" applyFont="1" applyBorder="1" applyAlignment="1">
      <alignment horizontal="center" vertical="center"/>
    </xf>
    <xf numFmtId="164" fontId="1" fillId="4" borderId="47" xfId="0" applyNumberFormat="1" applyFont="1" applyFill="1" applyBorder="1"/>
    <xf numFmtId="164" fontId="1" fillId="4" borderId="53" xfId="0" applyNumberFormat="1" applyFont="1" applyFill="1" applyBorder="1"/>
    <xf numFmtId="164" fontId="1" fillId="4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 vertical="center"/>
    </xf>
    <xf numFmtId="2" fontId="1" fillId="3" borderId="47" xfId="0" applyNumberFormat="1" applyFont="1" applyFill="1" applyBorder="1" applyAlignment="1">
      <alignment horizontal="center" vertical="center"/>
    </xf>
    <xf numFmtId="2" fontId="1" fillId="3" borderId="53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0" fontId="3" fillId="0" borderId="56" xfId="0" applyFont="1" applyFill="1" applyBorder="1"/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Fill="1" applyBorder="1"/>
    <xf numFmtId="0" fontId="3" fillId="0" borderId="32" xfId="0" applyFont="1" applyFill="1" applyBorder="1"/>
    <xf numFmtId="164" fontId="1" fillId="0" borderId="7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" fillId="9" borderId="18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166" fontId="1" fillId="0" borderId="0" xfId="0" applyNumberFormat="1" applyFont="1"/>
    <xf numFmtId="2" fontId="1" fillId="0" borderId="47" xfId="0" applyNumberFormat="1" applyFont="1" applyFill="1" applyBorder="1" applyAlignment="1">
      <alignment horizontal="left" vertical="center" indent="3"/>
    </xf>
    <xf numFmtId="166" fontId="1" fillId="0" borderId="0" xfId="0" applyNumberFormat="1" applyFont="1" applyFill="1" applyBorder="1" applyAlignment="1">
      <alignment horizontal="left" vertical="center" indent="3"/>
    </xf>
    <xf numFmtId="2" fontId="1" fillId="0" borderId="0" xfId="0" applyNumberFormat="1" applyFont="1" applyFill="1" applyBorder="1" applyAlignment="1">
      <alignment horizontal="left" vertical="center" indent="3"/>
    </xf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165" fontId="1" fillId="0" borderId="47" xfId="0" applyNumberFormat="1" applyFont="1" applyFill="1" applyBorder="1"/>
    <xf numFmtId="165" fontId="1" fillId="0" borderId="69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9" borderId="18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165" fontId="1" fillId="0" borderId="53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164" fontId="1" fillId="0" borderId="50" xfId="0" applyNumberFormat="1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left" vertical="center" indent="3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 vertical="center"/>
    </xf>
    <xf numFmtId="164" fontId="1" fillId="4" borderId="47" xfId="0" applyNumberFormat="1" applyFont="1" applyFill="1" applyBorder="1" applyAlignment="1">
      <alignment horizontal="left" vertical="center" indent="3"/>
    </xf>
    <xf numFmtId="164" fontId="1" fillId="4" borderId="53" xfId="0" applyNumberFormat="1" applyFont="1" applyFill="1" applyBorder="1" applyAlignment="1">
      <alignment horizontal="left" vertical="center" indent="3"/>
    </xf>
    <xf numFmtId="164" fontId="1" fillId="0" borderId="53" xfId="0" applyNumberFormat="1" applyFont="1" applyFill="1" applyBorder="1" applyAlignment="1">
      <alignment horizontal="right" vertical="center"/>
    </xf>
    <xf numFmtId="2" fontId="1" fillId="0" borderId="53" xfId="0" applyNumberFormat="1" applyFont="1" applyFill="1" applyBorder="1" applyAlignment="1">
      <alignment horizontal="right" vertical="center"/>
    </xf>
    <xf numFmtId="1" fontId="1" fillId="0" borderId="47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1" fontId="1" fillId="0" borderId="42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0" fontId="1" fillId="2" borderId="25" xfId="0" applyFont="1" applyFill="1" applyBorder="1" applyAlignment="1">
      <alignment horizontal="center"/>
    </xf>
    <xf numFmtId="164" fontId="1" fillId="2" borderId="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5" xfId="0" applyNumberFormat="1" applyFont="1" applyFill="1" applyBorder="1" applyProtection="1">
      <protection locked="0"/>
    </xf>
    <xf numFmtId="164" fontId="1" fillId="2" borderId="55" xfId="0" applyNumberFormat="1" applyFont="1" applyFill="1" applyBorder="1" applyProtection="1">
      <protection locked="0"/>
    </xf>
    <xf numFmtId="164" fontId="1" fillId="3" borderId="62" xfId="0" applyNumberFormat="1" applyFont="1" applyFill="1" applyBorder="1" applyProtection="1">
      <protection locked="0"/>
    </xf>
    <xf numFmtId="164" fontId="1" fillId="3" borderId="45" xfId="0" applyNumberFormat="1" applyFont="1" applyFill="1" applyBorder="1" applyProtection="1">
      <protection locked="0"/>
    </xf>
    <xf numFmtId="0" fontId="1" fillId="3" borderId="45" xfId="0" applyFont="1" applyFill="1" applyBorder="1"/>
    <xf numFmtId="164" fontId="1" fillId="2" borderId="12" xfId="0" applyNumberFormat="1" applyFont="1" applyFill="1" applyBorder="1" applyAlignment="1" applyProtection="1">
      <alignment vertical="center"/>
      <protection locked="0"/>
    </xf>
    <xf numFmtId="164" fontId="1" fillId="2" borderId="11" xfId="0" applyNumberFormat="1" applyFont="1" applyFill="1" applyBorder="1" applyAlignment="1" applyProtection="1">
      <alignment vertical="center"/>
      <protection locked="0"/>
    </xf>
    <xf numFmtId="0" fontId="1" fillId="2" borderId="5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164" fontId="1" fillId="2" borderId="23" xfId="0" applyNumberFormat="1" applyFont="1" applyFill="1" applyBorder="1" applyProtection="1">
      <protection locked="0"/>
    </xf>
    <xf numFmtId="164" fontId="1" fillId="2" borderId="67" xfId="0" applyNumberFormat="1" applyFont="1" applyFill="1" applyBorder="1" applyProtection="1">
      <protection locked="0"/>
    </xf>
    <xf numFmtId="2" fontId="1" fillId="0" borderId="53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right" vertical="center"/>
    </xf>
    <xf numFmtId="2" fontId="1" fillId="0" borderId="47" xfId="0" applyNumberFormat="1" applyFont="1" applyFill="1" applyBorder="1" applyAlignment="1">
      <alignment horizontal="right" vertical="center"/>
    </xf>
    <xf numFmtId="166" fontId="1" fillId="0" borderId="47" xfId="0" applyNumberFormat="1" applyFont="1" applyFill="1" applyBorder="1" applyAlignment="1">
      <alignment horizontal="left" vertical="center" indent="3"/>
    </xf>
    <xf numFmtId="166" fontId="1" fillId="0" borderId="47" xfId="0" applyNumberFormat="1" applyFont="1" applyFill="1" applyBorder="1"/>
    <xf numFmtId="2" fontId="1" fillId="0" borderId="53" xfId="0" applyNumberFormat="1" applyFont="1" applyFill="1" applyBorder="1" applyAlignment="1">
      <alignment horizontal="left" vertical="center" indent="3"/>
    </xf>
    <xf numFmtId="166" fontId="1" fillId="0" borderId="53" xfId="0" applyNumberFormat="1" applyFont="1" applyFill="1" applyBorder="1" applyAlignment="1">
      <alignment horizontal="left" vertical="center" indent="3"/>
    </xf>
    <xf numFmtId="166" fontId="1" fillId="0" borderId="53" xfId="0" applyNumberFormat="1" applyFont="1" applyFill="1" applyBorder="1"/>
    <xf numFmtId="164" fontId="1" fillId="10" borderId="53" xfId="0" applyNumberFormat="1" applyFont="1" applyFill="1" applyBorder="1" applyAlignment="1">
      <alignment horizontal="left" vertical="center" indent="3"/>
    </xf>
    <xf numFmtId="2" fontId="1" fillId="4" borderId="64" xfId="0" applyNumberFormat="1" applyFont="1" applyFill="1" applyBorder="1" applyAlignment="1">
      <alignment horizontal="left" vertical="center" indent="3"/>
    </xf>
    <xf numFmtId="2" fontId="1" fillId="4" borderId="67" xfId="0" applyNumberFormat="1" applyFont="1" applyFill="1" applyBorder="1" applyAlignment="1">
      <alignment horizontal="left" vertical="center" indent="3"/>
    </xf>
    <xf numFmtId="2" fontId="1" fillId="4" borderId="65" xfId="0" applyNumberFormat="1" applyFont="1" applyFill="1" applyBorder="1" applyAlignment="1">
      <alignment horizontal="left" vertical="center" indent="3"/>
    </xf>
    <xf numFmtId="1" fontId="1" fillId="0" borderId="4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left" vertical="center" indent="3"/>
    </xf>
    <xf numFmtId="164" fontId="1" fillId="4" borderId="46" xfId="0" applyNumberFormat="1" applyFont="1" applyFill="1" applyBorder="1" applyAlignment="1">
      <alignment horizontal="left" vertical="center" indent="3"/>
    </xf>
    <xf numFmtId="164" fontId="1" fillId="4" borderId="51" xfId="0" applyNumberFormat="1" applyFont="1" applyFill="1" applyBorder="1" applyAlignment="1">
      <alignment horizontal="left" vertical="center" indent="3"/>
    </xf>
    <xf numFmtId="2" fontId="1" fillId="2" borderId="0" xfId="0" applyNumberFormat="1" applyFont="1" applyFill="1" applyBorder="1" applyAlignment="1">
      <alignment horizontal="center" vertical="center"/>
    </xf>
    <xf numFmtId="2" fontId="1" fillId="2" borderId="53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/>
    <xf numFmtId="165" fontId="1" fillId="2" borderId="53" xfId="0" applyNumberFormat="1" applyFont="1" applyFill="1" applyBorder="1"/>
    <xf numFmtId="2" fontId="1" fillId="0" borderId="64" xfId="0" applyNumberFormat="1" applyFont="1" applyFill="1" applyBorder="1" applyAlignment="1">
      <alignment horizontal="left" vertical="center" indent="3"/>
    </xf>
    <xf numFmtId="2" fontId="1" fillId="0" borderId="67" xfId="0" applyNumberFormat="1" applyFont="1" applyFill="1" applyBorder="1" applyAlignment="1">
      <alignment horizontal="left" vertical="center" indent="3"/>
    </xf>
    <xf numFmtId="164" fontId="1" fillId="10" borderId="52" xfId="0" applyNumberFormat="1" applyFont="1" applyFill="1" applyBorder="1" applyAlignment="1">
      <alignment horizontal="center" vertical="center"/>
    </xf>
    <xf numFmtId="165" fontId="1" fillId="0" borderId="70" xfId="0" applyNumberFormat="1" applyFont="1" applyFill="1" applyBorder="1"/>
    <xf numFmtId="2" fontId="1" fillId="0" borderId="65" xfId="0" applyNumberFormat="1" applyFont="1" applyFill="1" applyBorder="1" applyAlignment="1">
      <alignment horizontal="left" vertical="center" indent="3"/>
    </xf>
    <xf numFmtId="2" fontId="1" fillId="0" borderId="65" xfId="0" applyNumberFormat="1" applyFont="1" applyFill="1" applyBorder="1" applyAlignment="1">
      <alignment horizontal="center" vertical="center"/>
    </xf>
    <xf numFmtId="164" fontId="1" fillId="10" borderId="69" xfId="0" applyNumberFormat="1" applyFont="1" applyFill="1" applyBorder="1" applyAlignment="1">
      <alignment horizontal="left" vertical="center" indent="3"/>
    </xf>
    <xf numFmtId="0" fontId="1" fillId="9" borderId="24" xfId="0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" fillId="9" borderId="24" xfId="0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left" vertical="center" indent="3"/>
    </xf>
    <xf numFmtId="2" fontId="1" fillId="4" borderId="53" xfId="0" applyNumberFormat="1" applyFont="1" applyFill="1" applyBorder="1" applyAlignment="1">
      <alignment horizontal="left" vertical="center" indent="3"/>
    </xf>
    <xf numFmtId="2" fontId="1" fillId="4" borderId="47" xfId="0" applyNumberFormat="1" applyFont="1" applyFill="1" applyBorder="1" applyAlignment="1">
      <alignment horizontal="left" vertical="center" indent="3"/>
    </xf>
    <xf numFmtId="164" fontId="1" fillId="10" borderId="5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53" xfId="0" applyNumberFormat="1" applyFont="1" applyFill="1" applyBorder="1" applyAlignment="1">
      <alignment horizontal="center" vertical="center"/>
    </xf>
    <xf numFmtId="2" fontId="1" fillId="4" borderId="47" xfId="0" applyNumberFormat="1" applyFont="1" applyFill="1" applyBorder="1" applyAlignment="1">
      <alignment horizontal="center" vertical="center"/>
    </xf>
    <xf numFmtId="164" fontId="1" fillId="4" borderId="69" xfId="0" applyNumberFormat="1" applyFont="1" applyFill="1" applyBorder="1"/>
    <xf numFmtId="0" fontId="1" fillId="9" borderId="24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/>
    </xf>
    <xf numFmtId="0" fontId="2" fillId="0" borderId="0" xfId="0" applyFont="1" applyAlignment="1"/>
    <xf numFmtId="2" fontId="1" fillId="0" borderId="69" xfId="0" applyNumberFormat="1" applyFont="1" applyFill="1" applyBorder="1" applyAlignment="1">
      <alignment horizontal="center" vertical="center"/>
    </xf>
    <xf numFmtId="165" fontId="1" fillId="0" borderId="40" xfId="0" applyNumberFormat="1" applyFont="1" applyFill="1" applyBorder="1"/>
    <xf numFmtId="165" fontId="1" fillId="0" borderId="42" xfId="0" applyNumberFormat="1" applyFont="1" applyFill="1" applyBorder="1"/>
    <xf numFmtId="165" fontId="1" fillId="0" borderId="47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164" fontId="1" fillId="0" borderId="40" xfId="0" applyNumberFormat="1" applyFont="1" applyFill="1" applyBorder="1" applyAlignment="1">
      <alignment horizontal="right" vertical="center"/>
    </xf>
    <xf numFmtId="2" fontId="1" fillId="0" borderId="40" xfId="0" applyNumberFormat="1" applyFont="1" applyFill="1" applyBorder="1" applyAlignment="1">
      <alignment horizontal="right" vertical="center"/>
    </xf>
    <xf numFmtId="165" fontId="1" fillId="0" borderId="40" xfId="0" applyNumberFormat="1" applyFont="1" applyFill="1" applyBorder="1" applyAlignment="1">
      <alignment horizontal="right" vertical="center"/>
    </xf>
    <xf numFmtId="164" fontId="1" fillId="4" borderId="40" xfId="0" applyNumberFormat="1" applyFont="1" applyFill="1" applyBorder="1" applyAlignment="1">
      <alignment horizontal="left" vertical="center" indent="3"/>
    </xf>
    <xf numFmtId="166" fontId="1" fillId="0" borderId="40" xfId="0" applyNumberFormat="1" applyFont="1" applyFill="1" applyBorder="1" applyAlignment="1">
      <alignment horizontal="left" vertical="center" indent="3"/>
    </xf>
    <xf numFmtId="164" fontId="1" fillId="0" borderId="42" xfId="0" applyNumberFormat="1" applyFont="1" applyFill="1" applyBorder="1" applyAlignment="1">
      <alignment horizontal="right" vertical="center"/>
    </xf>
    <xf numFmtId="2" fontId="1" fillId="0" borderId="42" xfId="0" applyNumberFormat="1" applyFont="1" applyFill="1" applyBorder="1" applyAlignment="1">
      <alignment horizontal="right" vertical="center"/>
    </xf>
    <xf numFmtId="165" fontId="1" fillId="0" borderId="42" xfId="0" applyNumberFormat="1" applyFont="1" applyFill="1" applyBorder="1" applyAlignment="1">
      <alignment horizontal="right" vertical="center"/>
    </xf>
    <xf numFmtId="164" fontId="1" fillId="4" borderId="42" xfId="0" applyNumberFormat="1" applyFont="1" applyFill="1" applyBorder="1" applyAlignment="1">
      <alignment horizontal="left" vertical="center" indent="3"/>
    </xf>
    <xf numFmtId="166" fontId="1" fillId="0" borderId="42" xfId="0" applyNumberFormat="1" applyFont="1" applyFill="1" applyBorder="1" applyAlignment="1">
      <alignment horizontal="left" vertical="center" indent="3"/>
    </xf>
    <xf numFmtId="164" fontId="1" fillId="4" borderId="73" xfId="0" applyNumberFormat="1" applyFont="1" applyFill="1" applyBorder="1" applyAlignment="1">
      <alignment horizontal="left" vertical="center" indent="3"/>
    </xf>
    <xf numFmtId="2" fontId="1" fillId="0" borderId="76" xfId="0" applyNumberFormat="1" applyFont="1" applyFill="1" applyBorder="1" applyAlignment="1">
      <alignment horizontal="left" vertical="center" indent="3"/>
    </xf>
    <xf numFmtId="164" fontId="1" fillId="4" borderId="75" xfId="0" applyNumberFormat="1" applyFont="1" applyFill="1" applyBorder="1" applyAlignment="1">
      <alignment horizontal="left" vertical="center" indent="3"/>
    </xf>
    <xf numFmtId="2" fontId="1" fillId="0" borderId="78" xfId="0" applyNumberFormat="1" applyFont="1" applyFill="1" applyBorder="1" applyAlignment="1">
      <alignment horizontal="left" vertical="center" indent="3"/>
    </xf>
    <xf numFmtId="165" fontId="1" fillId="0" borderId="53" xfId="0" applyNumberFormat="1" applyFont="1" applyFill="1" applyBorder="1" applyAlignment="1">
      <alignment horizontal="right" vertical="center"/>
    </xf>
    <xf numFmtId="166" fontId="1" fillId="0" borderId="42" xfId="0" applyNumberFormat="1" applyFont="1" applyFill="1" applyBorder="1"/>
    <xf numFmtId="2" fontId="1" fillId="0" borderId="42" xfId="0" applyNumberFormat="1" applyFont="1" applyFill="1" applyBorder="1" applyAlignment="1">
      <alignment horizontal="left" vertical="center" indent="3"/>
    </xf>
    <xf numFmtId="166" fontId="1" fillId="0" borderId="40" xfId="0" applyNumberFormat="1" applyFont="1" applyFill="1" applyBorder="1"/>
    <xf numFmtId="2" fontId="1" fillId="0" borderId="40" xfId="0" applyNumberFormat="1" applyFont="1" applyFill="1" applyBorder="1" applyAlignment="1">
      <alignment horizontal="left" vertical="center" indent="3"/>
    </xf>
    <xf numFmtId="164" fontId="1" fillId="10" borderId="68" xfId="0" applyNumberFormat="1" applyFont="1" applyFill="1" applyBorder="1" applyAlignment="1">
      <alignment horizontal="center" vertical="center"/>
    </xf>
    <xf numFmtId="2" fontId="1" fillId="0" borderId="70" xfId="0" applyNumberFormat="1" applyFont="1" applyFill="1" applyBorder="1" applyAlignment="1">
      <alignment horizontal="center" vertical="center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164" fontId="1" fillId="1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10" borderId="0" xfId="0" applyNumberFormat="1" applyFont="1" applyFill="1" applyBorder="1" applyAlignment="1">
      <alignment horizontal="left" vertical="center" indent="3"/>
    </xf>
    <xf numFmtId="0" fontId="1" fillId="0" borderId="75" xfId="0" applyFont="1" applyBorder="1" applyAlignment="1"/>
    <xf numFmtId="0" fontId="3" fillId="0" borderId="56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6" fillId="11" borderId="13" xfId="0" applyFont="1" applyFill="1" applyBorder="1" applyAlignment="1">
      <alignment horizontal="right"/>
    </xf>
    <xf numFmtId="0" fontId="1" fillId="0" borderId="60" xfId="0" applyFont="1" applyBorder="1" applyAlignment="1" applyProtection="1">
      <alignment horizontal="left" vertical="center"/>
      <protection locked="0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9" borderId="14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/>
    </xf>
    <xf numFmtId="0" fontId="1" fillId="9" borderId="5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42" xfId="0" applyFont="1" applyFill="1" applyBorder="1"/>
    <xf numFmtId="0" fontId="1" fillId="9" borderId="22" xfId="0" applyFont="1" applyFill="1" applyBorder="1" applyAlignment="1">
      <alignment horizontal="center" vertical="center"/>
    </xf>
    <xf numFmtId="0" fontId="1" fillId="9" borderId="35" xfId="0" applyFont="1" applyFill="1" applyBorder="1"/>
    <xf numFmtId="0" fontId="1" fillId="9" borderId="37" xfId="0" applyFont="1" applyFill="1" applyBorder="1"/>
    <xf numFmtId="0" fontId="1" fillId="9" borderId="36" xfId="0" applyFont="1" applyFill="1" applyBorder="1"/>
    <xf numFmtId="0" fontId="1" fillId="9" borderId="38" xfId="0" applyFont="1" applyFill="1" applyBorder="1" applyAlignment="1"/>
    <xf numFmtId="0" fontId="1" fillId="9" borderId="15" xfId="0" applyFont="1" applyFill="1" applyBorder="1" applyAlignment="1"/>
    <xf numFmtId="1" fontId="1" fillId="0" borderId="19" xfId="0" applyNumberFormat="1" applyFont="1" applyFill="1" applyBorder="1"/>
    <xf numFmtId="1" fontId="1" fillId="0" borderId="10" xfId="0" applyNumberFormat="1" applyFont="1" applyFill="1" applyBorder="1"/>
    <xf numFmtId="164" fontId="1" fillId="4" borderId="12" xfId="0" applyNumberFormat="1" applyFont="1" applyFill="1" applyBorder="1"/>
    <xf numFmtId="1" fontId="1" fillId="0" borderId="26" xfId="0" applyNumberFormat="1" applyFont="1" applyFill="1" applyBorder="1"/>
    <xf numFmtId="0" fontId="1" fillId="9" borderId="49" xfId="0" applyFont="1" applyFill="1" applyBorder="1" applyAlignment="1"/>
    <xf numFmtId="164" fontId="1" fillId="4" borderId="24" xfId="0" applyNumberFormat="1" applyFont="1" applyFill="1" applyBorder="1"/>
    <xf numFmtId="0" fontId="1" fillId="9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1" fontId="1" fillId="0" borderId="69" xfId="0" applyNumberFormat="1" applyFont="1" applyFill="1" applyBorder="1"/>
    <xf numFmtId="2" fontId="1" fillId="0" borderId="47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2" borderId="47" xfId="0" applyFont="1" applyFill="1" applyBorder="1"/>
    <xf numFmtId="164" fontId="1" fillId="11" borderId="69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4" fontId="1" fillId="4" borderId="47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164" fontId="1" fillId="11" borderId="53" xfId="0" applyNumberFormat="1" applyFont="1" applyFill="1" applyBorder="1" applyAlignment="1">
      <alignment horizontal="center"/>
    </xf>
    <xf numFmtId="164" fontId="1" fillId="11" borderId="69" xfId="0" applyNumberFormat="1" applyFont="1" applyFill="1" applyBorder="1" applyAlignment="1">
      <alignment horizontal="center"/>
    </xf>
    <xf numFmtId="0" fontId="1" fillId="2" borderId="47" xfId="0" applyFont="1" applyFill="1" applyBorder="1"/>
    <xf numFmtId="164" fontId="1" fillId="4" borderId="20" xfId="0" applyNumberFormat="1" applyFont="1" applyFill="1" applyBorder="1" applyAlignment="1">
      <alignment horizontal="center" vertical="center"/>
    </xf>
    <xf numFmtId="164" fontId="1" fillId="11" borderId="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2" borderId="2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1" fontId="1" fillId="4" borderId="71" xfId="0" applyNumberFormat="1" applyFont="1" applyFill="1" applyBorder="1"/>
    <xf numFmtId="164" fontId="1" fillId="4" borderId="71" xfId="0" applyNumberFormat="1" applyFont="1" applyFill="1" applyBorder="1"/>
    <xf numFmtId="164" fontId="1" fillId="4" borderId="66" xfId="0" applyNumberFormat="1" applyFont="1" applyFill="1" applyBorder="1"/>
    <xf numFmtId="164" fontId="1" fillId="4" borderId="44" xfId="0" applyNumberFormat="1" applyFont="1" applyFill="1" applyBorder="1"/>
    <xf numFmtId="165" fontId="1" fillId="4" borderId="48" xfId="0" applyNumberFormat="1" applyFont="1" applyFill="1" applyBorder="1"/>
    <xf numFmtId="165" fontId="1" fillId="4" borderId="54" xfId="0" applyNumberFormat="1" applyFont="1" applyFill="1" applyBorder="1"/>
    <xf numFmtId="165" fontId="1" fillId="4" borderId="38" xfId="0" applyNumberFormat="1" applyFont="1" applyFill="1" applyBorder="1"/>
    <xf numFmtId="0" fontId="1" fillId="4" borderId="2" xfId="0" applyFont="1" applyFill="1" applyBorder="1"/>
    <xf numFmtId="165" fontId="1" fillId="4" borderId="79" xfId="0" applyNumberFormat="1" applyFont="1" applyFill="1" applyBorder="1"/>
    <xf numFmtId="164" fontId="1" fillId="4" borderId="80" xfId="0" applyNumberFormat="1" applyFont="1" applyFill="1" applyBorder="1"/>
    <xf numFmtId="164" fontId="1" fillId="4" borderId="49" xfId="0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right" vertical="center"/>
    </xf>
    <xf numFmtId="164" fontId="1" fillId="4" borderId="24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4" fontId="1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/>
    <xf numFmtId="0" fontId="1" fillId="9" borderId="23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vertical="center"/>
    </xf>
    <xf numFmtId="164" fontId="1" fillId="0" borderId="28" xfId="0" applyNumberFormat="1" applyFont="1" applyBorder="1" applyAlignment="1" applyProtection="1">
      <alignment horizontal="center" vertical="center"/>
      <protection locked="0"/>
    </xf>
    <xf numFmtId="164" fontId="1" fillId="4" borderId="64" xfId="0" applyNumberFormat="1" applyFont="1" applyFill="1" applyBorder="1" applyAlignment="1">
      <alignment horizontal="left" vertical="center" indent="3"/>
    </xf>
    <xf numFmtId="164" fontId="1" fillId="4" borderId="67" xfId="0" applyNumberFormat="1" applyFont="1" applyFill="1" applyBorder="1" applyAlignment="1">
      <alignment horizontal="left" vertical="center" indent="3"/>
    </xf>
    <xf numFmtId="164" fontId="1" fillId="4" borderId="65" xfId="0" applyNumberFormat="1" applyFont="1" applyFill="1" applyBorder="1" applyAlignment="1">
      <alignment horizontal="left" vertical="center" indent="3"/>
    </xf>
    <xf numFmtId="164" fontId="1" fillId="10" borderId="65" xfId="0" applyNumberFormat="1" applyFont="1" applyFill="1" applyBorder="1" applyAlignment="1">
      <alignment horizontal="left" vertical="center" indent="3"/>
    </xf>
    <xf numFmtId="164" fontId="1" fillId="10" borderId="70" xfId="0" applyNumberFormat="1" applyFont="1" applyFill="1" applyBorder="1" applyAlignment="1">
      <alignment horizontal="left" vertical="center" indent="3"/>
    </xf>
    <xf numFmtId="164" fontId="1" fillId="4" borderId="15" xfId="0" applyNumberFormat="1" applyFont="1" applyFill="1" applyBorder="1"/>
    <xf numFmtId="164" fontId="1" fillId="4" borderId="5" xfId="0" applyNumberFormat="1" applyFont="1" applyFill="1" applyBorder="1"/>
    <xf numFmtId="0" fontId="2" fillId="0" borderId="0" xfId="0" applyFont="1" applyAlignment="1">
      <alignment horizont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50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46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center" vertical="center"/>
    </xf>
    <xf numFmtId="0" fontId="1" fillId="9" borderId="51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9" borderId="52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1" fillId="9" borderId="54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2" fillId="9" borderId="46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2" fillId="9" borderId="5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6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/>
    </xf>
    <xf numFmtId="0" fontId="1" fillId="9" borderId="63" xfId="0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63" xfId="0" applyFont="1" applyFill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55" xfId="0" applyNumberFormat="1" applyFont="1" applyFill="1" applyBorder="1" applyAlignment="1">
      <alignment horizontal="center" vertical="center"/>
    </xf>
    <xf numFmtId="0" fontId="1" fillId="9" borderId="71" xfId="0" applyFont="1" applyFill="1" applyBorder="1" applyAlignment="1">
      <alignment horizontal="center" vertical="center"/>
    </xf>
    <xf numFmtId="0" fontId="1" fillId="9" borderId="71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center" vertical="center" wrapText="1"/>
    </xf>
    <xf numFmtId="0" fontId="1" fillId="9" borderId="66" xfId="0" applyFont="1" applyFill="1" applyBorder="1" applyAlignment="1">
      <alignment horizontal="center" vertical="center" wrapText="1"/>
    </xf>
    <xf numFmtId="0" fontId="1" fillId="9" borderId="54" xfId="0" applyFont="1" applyFill="1" applyBorder="1" applyAlignment="1">
      <alignment horizontal="center" vertical="center" wrapText="1"/>
    </xf>
    <xf numFmtId="0" fontId="1" fillId="9" borderId="71" xfId="0" applyFont="1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1" fillId="9" borderId="64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74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/>
    </xf>
    <xf numFmtId="0" fontId="1" fillId="9" borderId="6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 wrapText="1"/>
    </xf>
    <xf numFmtId="0" fontId="1" fillId="9" borderId="67" xfId="0" applyFont="1" applyFill="1" applyBorder="1" applyAlignment="1">
      <alignment horizontal="center" vertical="center" wrapText="1"/>
    </xf>
    <xf numFmtId="0" fontId="1" fillId="9" borderId="78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/>
    </xf>
    <xf numFmtId="0" fontId="1" fillId="9" borderId="74" xfId="0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 wrapText="1"/>
    </xf>
    <xf numFmtId="0" fontId="2" fillId="9" borderId="67" xfId="0" applyFont="1" applyFill="1" applyBorder="1" applyAlignment="1">
      <alignment horizontal="center" vertical="center" wrapText="1"/>
    </xf>
    <xf numFmtId="2" fontId="1" fillId="4" borderId="33" xfId="0" applyNumberFormat="1" applyFont="1" applyFill="1" applyBorder="1" applyAlignment="1">
      <alignment horizontal="center" vertical="center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/>
    </xf>
    <xf numFmtId="0" fontId="1" fillId="9" borderId="46" xfId="0" applyFont="1" applyFill="1" applyBorder="1" applyAlignment="1">
      <alignment horizontal="left"/>
    </xf>
    <xf numFmtId="0" fontId="1" fillId="9" borderId="47" xfId="0" applyFont="1" applyFill="1" applyBorder="1" applyAlignment="1">
      <alignment horizontal="left"/>
    </xf>
    <xf numFmtId="0" fontId="1" fillId="9" borderId="51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left"/>
    </xf>
    <xf numFmtId="0" fontId="1" fillId="9" borderId="52" xfId="0" applyFont="1" applyFill="1" applyBorder="1" applyAlignment="1">
      <alignment horizontal="left"/>
    </xf>
    <xf numFmtId="0" fontId="1" fillId="9" borderId="53" xfId="0" applyFont="1" applyFill="1" applyBorder="1" applyAlignment="1">
      <alignment horizontal="left"/>
    </xf>
    <xf numFmtId="0" fontId="1" fillId="9" borderId="46" xfId="0" applyFont="1" applyFill="1" applyBorder="1" applyAlignment="1" applyProtection="1">
      <alignment horizontal="center" vertical="center" wrapText="1"/>
      <protection locked="0"/>
    </xf>
    <xf numFmtId="0" fontId="1" fillId="9" borderId="51" xfId="0" applyFont="1" applyFill="1" applyBorder="1" applyAlignment="1" applyProtection="1">
      <alignment horizontal="center" vertical="center" wrapText="1"/>
      <protection locked="0"/>
    </xf>
    <xf numFmtId="0" fontId="1" fillId="9" borderId="52" xfId="0" applyFont="1" applyFill="1" applyBorder="1" applyAlignment="1" applyProtection="1">
      <alignment horizontal="center" vertical="center" wrapText="1"/>
      <protection locked="0"/>
    </xf>
    <xf numFmtId="0" fontId="1" fillId="0" borderId="69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9" borderId="62" xfId="0" applyFont="1" applyFill="1" applyBorder="1" applyAlignment="1" applyProtection="1">
      <alignment horizontal="center" vertical="center" wrapText="1"/>
      <protection locked="0"/>
    </xf>
    <xf numFmtId="0" fontId="1" fillId="9" borderId="63" xfId="0" applyFont="1" applyFill="1" applyBorder="1" applyAlignment="1" applyProtection="1">
      <alignment horizontal="center" vertical="center" wrapText="1"/>
      <protection locked="0"/>
    </xf>
    <xf numFmtId="0" fontId="1" fillId="3" borderId="62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6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56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11" fontId="1" fillId="9" borderId="12" xfId="0" applyNumberFormat="1" applyFont="1" applyFill="1" applyBorder="1" applyAlignment="1">
      <alignment horizontal="center" vertical="center"/>
    </xf>
    <xf numFmtId="11" fontId="1" fillId="9" borderId="24" xfId="0" applyNumberFormat="1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/>
    </xf>
    <xf numFmtId="0" fontId="1" fillId="9" borderId="46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 vertical="center"/>
    </xf>
    <xf numFmtId="0" fontId="1" fillId="9" borderId="52" xfId="0" applyFont="1" applyFill="1" applyBorder="1" applyAlignment="1">
      <alignment horizontal="center"/>
    </xf>
    <xf numFmtId="0" fontId="1" fillId="9" borderId="5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65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 vertical="center"/>
    </xf>
    <xf numFmtId="0" fontId="1" fillId="9" borderId="66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9" borderId="56" xfId="0" applyFont="1" applyFill="1" applyBorder="1" applyAlignment="1">
      <alignment horizontal="center" vertical="center"/>
    </xf>
    <xf numFmtId="0" fontId="1" fillId="9" borderId="57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68" xfId="0" applyFont="1" applyFill="1" applyBorder="1" applyAlignment="1">
      <alignment horizontal="center"/>
    </xf>
    <xf numFmtId="0" fontId="1" fillId="9" borderId="70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/>
    </xf>
    <xf numFmtId="0" fontId="1" fillId="9" borderId="74" xfId="0" applyFont="1" applyFill="1" applyBorder="1" applyAlignment="1">
      <alignment horizontal="center"/>
    </xf>
    <xf numFmtId="0" fontId="1" fillId="9" borderId="6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8" borderId="52" xfId="0" applyFont="1" applyFill="1" applyBorder="1" applyAlignment="1">
      <alignment horizontal="left"/>
    </xf>
    <xf numFmtId="0" fontId="1" fillId="8" borderId="53" xfId="0" applyFont="1" applyFill="1" applyBorder="1" applyAlignment="1">
      <alignment horizontal="left"/>
    </xf>
    <xf numFmtId="0" fontId="1" fillId="8" borderId="54" xfId="0" applyFont="1" applyFill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64" fontId="1" fillId="2" borderId="23" xfId="0" applyNumberFormat="1" applyFont="1" applyFill="1" applyBorder="1" applyAlignment="1" applyProtection="1">
      <alignment horizontal="right" vertical="center"/>
      <protection locked="0"/>
    </xf>
    <xf numFmtId="164" fontId="1" fillId="2" borderId="20" xfId="0" applyNumberFormat="1" applyFont="1" applyFill="1" applyBorder="1" applyAlignment="1" applyProtection="1">
      <alignment horizontal="right" vertical="center"/>
      <protection locked="0"/>
    </xf>
    <xf numFmtId="164" fontId="1" fillId="2" borderId="55" xfId="0" applyNumberFormat="1" applyFont="1" applyFill="1" applyBorder="1" applyAlignment="1" applyProtection="1">
      <alignment horizontal="right" vertical="center"/>
      <protection locked="0"/>
    </xf>
    <xf numFmtId="164" fontId="1" fillId="2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59" xfId="0" applyFont="1" applyBorder="1" applyAlignment="1">
      <alignment horizontal="right" vertical="center"/>
    </xf>
    <xf numFmtId="0" fontId="1" fillId="0" borderId="60" xfId="0" applyFont="1" applyBorder="1" applyAlignment="1">
      <alignment horizontal="right" vertical="center"/>
    </xf>
    <xf numFmtId="0" fontId="1" fillId="0" borderId="73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8" borderId="68" xfId="0" applyFont="1" applyFill="1" applyBorder="1" applyAlignment="1">
      <alignment horizontal="left"/>
    </xf>
    <xf numFmtId="0" fontId="1" fillId="8" borderId="69" xfId="0" applyFont="1" applyFill="1" applyBorder="1" applyAlignment="1">
      <alignment horizontal="left"/>
    </xf>
    <xf numFmtId="0" fontId="1" fillId="8" borderId="79" xfId="0" applyFont="1" applyFill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7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8" borderId="17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9" borderId="6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9" borderId="61" xfId="0" applyFont="1" applyFill="1" applyBorder="1" applyAlignment="1">
      <alignment horizontal="center" vertical="center"/>
    </xf>
    <xf numFmtId="0" fontId="1" fillId="9" borderId="68" xfId="0" applyFont="1" applyFill="1" applyBorder="1" applyAlignment="1">
      <alignment horizontal="center" vertical="center"/>
    </xf>
    <xf numFmtId="0" fontId="1" fillId="9" borderId="69" xfId="0" applyFont="1" applyFill="1" applyBorder="1" applyAlignment="1">
      <alignment horizontal="center" vertical="center"/>
    </xf>
    <xf numFmtId="0" fontId="1" fillId="9" borderId="70" xfId="0" applyFont="1" applyFill="1" applyBorder="1" applyAlignment="1">
      <alignment horizontal="center" vertical="center"/>
    </xf>
    <xf numFmtId="1" fontId="1" fillId="4" borderId="31" xfId="0" applyNumberFormat="1" applyFont="1" applyFill="1" applyBorder="1" applyAlignment="1">
      <alignment horizontal="right" vertical="center"/>
    </xf>
    <xf numFmtId="1" fontId="1" fillId="0" borderId="10" xfId="0" applyNumberFormat="1" applyFont="1" applyFill="1" applyBorder="1" applyAlignment="1">
      <alignment horizontal="right" vertical="center"/>
    </xf>
    <xf numFmtId="164" fontId="1" fillId="4" borderId="23" xfId="0" applyNumberFormat="1" applyFont="1" applyFill="1" applyBorder="1" applyAlignment="1">
      <alignment horizontal="right" vertical="center"/>
    </xf>
    <xf numFmtId="164" fontId="1" fillId="4" borderId="20" xfId="0" applyNumberFormat="1" applyFont="1" applyFill="1" applyBorder="1" applyAlignment="1">
      <alignment horizontal="right" vertical="center"/>
    </xf>
    <xf numFmtId="0" fontId="1" fillId="9" borderId="80" xfId="0" applyFont="1" applyFill="1" applyBorder="1" applyAlignment="1">
      <alignment horizontal="center"/>
    </xf>
    <xf numFmtId="0" fontId="1" fillId="9" borderId="69" xfId="0" applyFont="1" applyFill="1" applyBorder="1" applyAlignment="1">
      <alignment horizontal="center"/>
    </xf>
    <xf numFmtId="0" fontId="1" fillId="9" borderId="79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right" vertical="center"/>
    </xf>
    <xf numFmtId="1" fontId="1" fillId="4" borderId="12" xfId="0" applyNumberFormat="1" applyFont="1" applyFill="1" applyBorder="1" applyAlignment="1">
      <alignment horizontal="right" vertical="center"/>
    </xf>
    <xf numFmtId="1" fontId="1" fillId="4" borderId="10" xfId="0" applyNumberFormat="1" applyFont="1" applyFill="1" applyBorder="1" applyAlignment="1">
      <alignment horizontal="right" vertical="center"/>
    </xf>
    <xf numFmtId="0" fontId="1" fillId="9" borderId="58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0" xfId="0" applyFont="1" applyFill="1" applyBorder="1" applyAlignment="1" applyProtection="1">
      <alignment horizontal="left" vertical="center" wrapText="1"/>
    </xf>
    <xf numFmtId="0" fontId="1" fillId="0" borderId="39" xfId="0" applyFont="1" applyBorder="1" applyProtection="1"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1" fillId="7" borderId="39" xfId="0" applyNumberFormat="1" applyFont="1" applyFill="1" applyBorder="1" applyAlignment="1" applyProtection="1">
      <alignment horizontal="center" vertical="center"/>
      <protection locked="0"/>
    </xf>
    <xf numFmtId="164" fontId="1" fillId="7" borderId="40" xfId="0" applyNumberFormat="1" applyFont="1" applyFill="1" applyBorder="1" applyAlignment="1" applyProtection="1">
      <alignment horizontal="center" vertical="center"/>
      <protection locked="0"/>
    </xf>
    <xf numFmtId="0" fontId="1" fillId="7" borderId="40" xfId="0" applyFont="1" applyFill="1" applyBorder="1" applyAlignment="1" applyProtection="1">
      <alignment horizontal="center" vertical="center"/>
      <protection locked="0"/>
    </xf>
    <xf numFmtId="164" fontId="1" fillId="7" borderId="0" xfId="0" applyNumberFormat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Alignment="1" applyProtection="1">
      <alignment horizontal="center" vertical="center"/>
      <protection locked="0"/>
    </xf>
    <xf numFmtId="2" fontId="1" fillId="7" borderId="0" xfId="0" applyNumberFormat="1" applyFont="1" applyFill="1" applyBorder="1" applyAlignment="1" applyProtection="1">
      <alignment horizontal="center" vertical="center"/>
      <protection locked="0"/>
    </xf>
    <xf numFmtId="164" fontId="1" fillId="7" borderId="38" xfId="0" applyNumberFormat="1" applyFont="1" applyFill="1" applyBorder="1" applyAlignment="1" applyProtection="1">
      <alignment horizontal="center" vertical="center"/>
      <protection locked="0"/>
    </xf>
    <xf numFmtId="164" fontId="1" fillId="3" borderId="39" xfId="0" applyNumberFormat="1" applyFont="1" applyFill="1" applyBorder="1" applyAlignment="1" applyProtection="1">
      <alignment horizontal="center" vertical="center"/>
      <protection locked="0"/>
    </xf>
    <xf numFmtId="164" fontId="1" fillId="3" borderId="40" xfId="0" applyNumberFormat="1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Protection="1">
      <protection locked="0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164" fontId="1" fillId="7" borderId="44" xfId="0" applyNumberFormat="1" applyFont="1" applyFill="1" applyBorder="1" applyAlignment="1" applyProtection="1">
      <alignment horizontal="center" vertical="center"/>
      <protection locked="0"/>
    </xf>
    <xf numFmtId="0" fontId="1" fillId="7" borderId="0" xfId="0" quotePrefix="1" applyFont="1" applyFill="1" applyBorder="1" applyAlignment="1" applyProtection="1">
      <alignment horizontal="center" vertical="center"/>
      <protection locked="0"/>
    </xf>
    <xf numFmtId="164" fontId="1" fillId="3" borderId="44" xfId="0" applyNumberFormat="1" applyFont="1" applyFill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2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7" borderId="34" xfId="0" applyNumberFormat="1" applyFont="1" applyFill="1" applyBorder="1" applyAlignment="1" applyProtection="1">
      <alignment horizontal="center" vertical="center"/>
      <protection locked="0"/>
    </xf>
    <xf numFmtId="164" fontId="1" fillId="7" borderId="42" xfId="0" applyNumberFormat="1" applyFont="1" applyFill="1" applyBorder="1" applyAlignment="1" applyProtection="1">
      <alignment horizontal="center" vertical="center"/>
      <protection locked="0"/>
    </xf>
    <xf numFmtId="0" fontId="1" fillId="7" borderId="42" xfId="0" applyFont="1" applyFill="1" applyBorder="1" applyAlignment="1" applyProtection="1">
      <alignment horizontal="center" vertical="center"/>
      <protection locked="0"/>
    </xf>
    <xf numFmtId="2" fontId="1" fillId="7" borderId="42" xfId="0" applyNumberFormat="1" applyFont="1" applyFill="1" applyBorder="1" applyAlignment="1" applyProtection="1">
      <alignment horizontal="center" vertical="center"/>
      <protection locked="0"/>
    </xf>
    <xf numFmtId="164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164" fontId="1" fillId="6" borderId="40" xfId="0" applyNumberFormat="1" applyFont="1" applyFill="1" applyBorder="1" applyAlignment="1" applyProtection="1">
      <alignment horizontal="center"/>
      <protection locked="0"/>
    </xf>
    <xf numFmtId="0" fontId="1" fillId="6" borderId="40" xfId="0" applyFont="1" applyFill="1" applyBorder="1" applyAlignment="1" applyProtection="1">
      <alignment horizont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44" xfId="0" applyFont="1" applyFill="1" applyBorder="1" applyAlignment="1" applyProtection="1">
      <alignment horizontal="center" vertical="center"/>
      <protection locked="0"/>
    </xf>
    <xf numFmtId="164" fontId="1" fillId="6" borderId="0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1" fillId="6" borderId="3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0" fontId="2" fillId="0" borderId="70" xfId="0" applyFont="1" applyBorder="1" applyAlignment="1" applyProtection="1">
      <alignment horizontal="center"/>
    </xf>
    <xf numFmtId="0" fontId="2" fillId="9" borderId="23" xfId="0" applyFont="1" applyFill="1" applyBorder="1" applyAlignment="1" applyProtection="1">
      <alignment horizontal="center" vertical="center" wrapText="1"/>
    </xf>
    <xf numFmtId="0" fontId="1" fillId="9" borderId="23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/>
    </xf>
    <xf numFmtId="0" fontId="6" fillId="9" borderId="9" xfId="0" applyFont="1" applyFill="1" applyBorder="1" applyAlignment="1" applyProtection="1">
      <alignment horizontal="center"/>
    </xf>
    <xf numFmtId="0" fontId="6" fillId="9" borderId="10" xfId="0" applyFont="1" applyFill="1" applyBorder="1" applyAlignment="1" applyProtection="1">
      <alignment horizontal="center"/>
    </xf>
    <xf numFmtId="0" fontId="2" fillId="9" borderId="15" xfId="0" applyFont="1" applyFill="1" applyBorder="1" applyAlignment="1" applyProtection="1">
      <alignment horizontal="center" vertical="center" wrapText="1"/>
    </xf>
    <xf numFmtId="0" fontId="1" fillId="9" borderId="15" xfId="0" applyFont="1" applyFill="1" applyBorder="1" applyAlignment="1" applyProtection="1">
      <alignment horizontal="center" vertical="center" wrapText="1"/>
    </xf>
    <xf numFmtId="0" fontId="1" fillId="9" borderId="12" xfId="0" applyFont="1" applyFill="1" applyBorder="1" applyAlignment="1" applyProtection="1">
      <alignment horizontal="center" vertical="center"/>
    </xf>
    <xf numFmtId="0" fontId="1" fillId="9" borderId="39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center" wrapText="1"/>
    </xf>
    <xf numFmtId="0" fontId="1" fillId="9" borderId="41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/>
    </xf>
    <xf numFmtId="0" fontId="1" fillId="9" borderId="9" xfId="0" applyFon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center" vertical="center"/>
    </xf>
    <xf numFmtId="0" fontId="1" fillId="9" borderId="34" xfId="0" applyFont="1" applyFill="1" applyBorder="1" applyAlignment="1" applyProtection="1">
      <alignment horizontal="center"/>
    </xf>
    <xf numFmtId="0" fontId="1" fillId="9" borderId="42" xfId="0" applyFont="1" applyFill="1" applyBorder="1" applyAlignment="1" applyProtection="1">
      <alignment horizontal="center"/>
    </xf>
    <xf numFmtId="0" fontId="1" fillId="9" borderId="43" xfId="0" applyFont="1" applyFill="1" applyBorder="1" applyAlignment="1" applyProtection="1">
      <alignment horizontal="center"/>
    </xf>
    <xf numFmtId="0" fontId="1" fillId="9" borderId="12" xfId="0" applyFont="1" applyFill="1" applyBorder="1" applyAlignment="1" applyProtection="1">
      <alignment horizontal="center" vertical="center"/>
    </xf>
    <xf numFmtId="0" fontId="1" fillId="9" borderId="34" xfId="0" applyFont="1" applyFill="1" applyBorder="1" applyAlignment="1" applyProtection="1">
      <alignment horizontal="center" vertical="center" wrapText="1"/>
    </xf>
    <xf numFmtId="0" fontId="1" fillId="9" borderId="42" xfId="0" applyFont="1" applyFill="1" applyBorder="1" applyAlignment="1" applyProtection="1">
      <alignment horizontal="center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1" fillId="9" borderId="20" xfId="0" applyFont="1" applyFill="1" applyBorder="1" applyAlignment="1" applyProtection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/>
    </xf>
    <xf numFmtId="0" fontId="1" fillId="9" borderId="44" xfId="0" applyFont="1" applyFill="1" applyBorder="1" applyAlignment="1" applyProtection="1">
      <alignment horizontal="center" vertical="center"/>
    </xf>
    <xf numFmtId="0" fontId="1" fillId="9" borderId="38" xfId="0" applyFont="1" applyFill="1" applyBorder="1" applyAlignment="1" applyProtection="1">
      <alignment horizontal="center" vertical="center"/>
    </xf>
    <xf numFmtId="0" fontId="1" fillId="9" borderId="15" xfId="0" applyFont="1" applyFill="1" applyBorder="1" applyAlignment="1" applyProtection="1">
      <alignment horizontal="center" vertical="center"/>
    </xf>
    <xf numFmtId="0" fontId="1" fillId="9" borderId="20" xfId="0" applyFont="1" applyFill="1" applyBorder="1" applyAlignment="1" applyProtection="1">
      <alignment horizontal="center" vertical="center"/>
    </xf>
    <xf numFmtId="0" fontId="2" fillId="9" borderId="20" xfId="0" applyFont="1" applyFill="1" applyBorder="1" applyAlignment="1" applyProtection="1">
      <alignment horizontal="center" vertical="center" wrapText="1"/>
    </xf>
    <xf numFmtId="0" fontId="1" fillId="9" borderId="34" xfId="0" applyFont="1" applyFill="1" applyBorder="1" applyAlignment="1" applyProtection="1">
      <alignment horizontal="center" vertical="center"/>
    </xf>
    <xf numFmtId="0" fontId="1" fillId="9" borderId="43" xfId="0" applyFont="1" applyFill="1" applyBorder="1" applyAlignment="1" applyProtection="1">
      <alignment horizontal="center" vertical="center"/>
    </xf>
    <xf numFmtId="0" fontId="1" fillId="9" borderId="20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horizontal="center"/>
    </xf>
    <xf numFmtId="0" fontId="1" fillId="9" borderId="23" xfId="0" applyFont="1" applyFill="1" applyBorder="1" applyAlignment="1" applyProtection="1">
      <alignment horizontal="center"/>
    </xf>
    <xf numFmtId="0" fontId="1" fillId="9" borderId="23" xfId="0" applyFont="1" applyFill="1" applyBorder="1" applyAlignment="1" applyProtection="1">
      <alignment horizontal="center" vertical="center"/>
    </xf>
    <xf numFmtId="0" fontId="1" fillId="9" borderId="39" xfId="0" applyFont="1" applyFill="1" applyBorder="1" applyAlignment="1" applyProtection="1">
      <alignment horizontal="center"/>
    </xf>
    <xf numFmtId="0" fontId="1" fillId="9" borderId="40" xfId="0" applyFont="1" applyFill="1" applyBorder="1" applyAlignment="1" applyProtection="1">
      <alignment horizontal="center"/>
    </xf>
    <xf numFmtId="0" fontId="1" fillId="9" borderId="41" xfId="0" applyFont="1" applyFill="1" applyBorder="1" applyAlignment="1" applyProtection="1">
      <alignment horizontal="center"/>
    </xf>
    <xf numFmtId="0" fontId="1" fillId="9" borderId="15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3" borderId="4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0" fontId="1" fillId="3" borderId="42" xfId="0" applyFont="1" applyFill="1" applyBorder="1" applyAlignment="1" applyProtection="1">
      <alignment horizontal="center"/>
    </xf>
    <xf numFmtId="164" fontId="1" fillId="7" borderId="0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</xf>
    <xf numFmtId="164" fontId="1" fillId="3" borderId="39" xfId="0" applyNumberFormat="1" applyFont="1" applyFill="1" applyBorder="1" applyAlignment="1" applyProtection="1">
      <alignment horizontal="center" vertical="center"/>
    </xf>
    <xf numFmtId="164" fontId="1" fillId="3" borderId="40" xfId="0" applyNumberFormat="1" applyFont="1" applyFill="1" applyBorder="1" applyAlignment="1" applyProtection="1">
      <alignment horizontal="center" vertical="center"/>
    </xf>
    <xf numFmtId="0" fontId="1" fillId="3" borderId="41" xfId="0" applyFont="1" applyFill="1" applyBorder="1" applyProtection="1"/>
    <xf numFmtId="164" fontId="1" fillId="7" borderId="44" xfId="0" applyNumberFormat="1" applyFont="1" applyFill="1" applyBorder="1" applyAlignment="1" applyProtection="1">
      <alignment horizontal="center" vertical="center"/>
    </xf>
    <xf numFmtId="164" fontId="1" fillId="3" borderId="44" xfId="0" applyNumberFormat="1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1" fillId="3" borderId="38" xfId="0" applyFont="1" applyFill="1" applyBorder="1" applyProtection="1"/>
    <xf numFmtId="0" fontId="1" fillId="9" borderId="39" xfId="0" applyFont="1" applyFill="1" applyBorder="1" applyAlignment="1" applyProtection="1">
      <alignment horizontal="center" vertical="center"/>
    </xf>
    <xf numFmtId="0" fontId="1" fillId="3" borderId="40" xfId="0" applyFont="1" applyFill="1" applyBorder="1" applyProtection="1"/>
    <xf numFmtId="0" fontId="1" fillId="3" borderId="0" xfId="0" applyFont="1" applyFill="1" applyBorder="1" applyProtection="1"/>
    <xf numFmtId="164" fontId="1" fillId="3" borderId="44" xfId="0" applyNumberFormat="1" applyFont="1" applyFill="1" applyBorder="1" applyProtection="1"/>
    <xf numFmtId="164" fontId="1" fillId="3" borderId="0" xfId="0" applyNumberFormat="1" applyFont="1" applyFill="1" applyBorder="1" applyProtection="1"/>
    <xf numFmtId="0" fontId="1" fillId="3" borderId="23" xfId="0" applyFont="1" applyFill="1" applyBorder="1" applyProtection="1"/>
    <xf numFmtId="0" fontId="1" fillId="3" borderId="39" xfId="0" applyFont="1" applyFill="1" applyBorder="1" applyAlignment="1" applyProtection="1"/>
    <xf numFmtId="0" fontId="1" fillId="3" borderId="40" xfId="0" applyFont="1" applyFill="1" applyBorder="1" applyAlignment="1" applyProtection="1"/>
    <xf numFmtId="0" fontId="1" fillId="3" borderId="40" xfId="0" applyFont="1" applyFill="1" applyBorder="1" applyAlignment="1" applyProtection="1">
      <alignment horizontal="center" vertical="center"/>
    </xf>
    <xf numFmtId="2" fontId="1" fillId="3" borderId="40" xfId="0" applyNumberFormat="1" applyFont="1" applyFill="1" applyBorder="1" applyAlignment="1" applyProtection="1">
      <alignment horizontal="center" vertical="center"/>
    </xf>
    <xf numFmtId="0" fontId="1" fillId="3" borderId="20" xfId="0" applyFont="1" applyFill="1" applyBorder="1" applyProtection="1"/>
    <xf numFmtId="0" fontId="1" fillId="3" borderId="34" xfId="0" applyFont="1" applyFill="1" applyBorder="1" applyAlignment="1" applyProtection="1"/>
    <xf numFmtId="0" fontId="1" fillId="3" borderId="42" xfId="0" applyFont="1" applyFill="1" applyBorder="1" applyAlignment="1" applyProtection="1"/>
    <xf numFmtId="0" fontId="1" fillId="3" borderId="42" xfId="0" applyFont="1" applyFill="1" applyBorder="1" applyProtection="1"/>
    <xf numFmtId="0" fontId="1" fillId="3" borderId="42" xfId="0" applyFont="1" applyFill="1" applyBorder="1" applyAlignment="1" applyProtection="1">
      <alignment horizontal="center"/>
    </xf>
    <xf numFmtId="164" fontId="1" fillId="3" borderId="34" xfId="0" applyNumberFormat="1" applyFont="1" applyFill="1" applyBorder="1" applyAlignment="1" applyProtection="1">
      <alignment horizontal="center" vertical="center"/>
    </xf>
    <xf numFmtId="164" fontId="1" fillId="3" borderId="42" xfId="0" applyNumberFormat="1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0" fontId="2" fillId="9" borderId="23" xfId="0" applyFont="1" applyFill="1" applyBorder="1" applyAlignment="1" applyProtection="1">
      <alignment horizontal="center" vertical="center"/>
    </xf>
    <xf numFmtId="0" fontId="1" fillId="9" borderId="12" xfId="0" applyFont="1" applyFill="1" applyBorder="1" applyProtection="1"/>
    <xf numFmtId="0" fontId="2" fillId="9" borderId="15" xfId="0" applyFont="1" applyFill="1" applyBorder="1" applyAlignment="1" applyProtection="1">
      <alignment horizontal="center" vertical="center"/>
    </xf>
    <xf numFmtId="0" fontId="1" fillId="9" borderId="44" xfId="0" applyFont="1" applyFill="1" applyBorder="1" applyAlignment="1" applyProtection="1">
      <alignment horizontal="center" vertical="center" wrapText="1"/>
    </xf>
    <xf numFmtId="0" fontId="1" fillId="9" borderId="38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center" vertical="center" wrapText="1"/>
    </xf>
    <xf numFmtId="0" fontId="2" fillId="9" borderId="20" xfId="0" applyFont="1" applyFill="1" applyBorder="1" applyAlignment="1" applyProtection="1">
      <alignment horizontal="center" vertical="center"/>
    </xf>
    <xf numFmtId="0" fontId="1" fillId="9" borderId="23" xfId="0" applyFont="1" applyFill="1" applyBorder="1" applyAlignment="1" applyProtection="1">
      <alignment vertical="center"/>
    </xf>
    <xf numFmtId="0" fontId="1" fillId="9" borderId="41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left" vertical="center" wrapText="1"/>
    </xf>
    <xf numFmtId="0" fontId="1" fillId="3" borderId="39" xfId="0" applyFont="1" applyFill="1" applyBorder="1" applyAlignment="1" applyProtection="1">
      <alignment vertical="center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left" vertical="center" wrapText="1"/>
    </xf>
    <xf numFmtId="0" fontId="1" fillId="3" borderId="44" xfId="0" applyFont="1" applyFill="1" applyBorder="1" applyAlignment="1" applyProtection="1">
      <alignment vertical="center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vertical="center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/>
    </xf>
    <xf numFmtId="0" fontId="1" fillId="3" borderId="39" xfId="0" applyFont="1" applyFill="1" applyBorder="1" applyProtection="1"/>
    <xf numFmtId="0" fontId="1" fillId="3" borderId="44" xfId="0" applyFont="1" applyFill="1" applyBorder="1" applyProtection="1"/>
    <xf numFmtId="0" fontId="1" fillId="3" borderId="23" xfId="0" applyFont="1" applyFill="1" applyBorder="1" applyAlignment="1" applyProtection="1">
      <alignment horizontal="left" vertical="center"/>
    </xf>
    <xf numFmtId="0" fontId="1" fillId="3" borderId="40" xfId="0" applyFont="1" applyFill="1" applyBorder="1" applyAlignment="1" applyProtection="1">
      <alignment vertical="center"/>
    </xf>
    <xf numFmtId="0" fontId="1" fillId="3" borderId="42" xfId="0" applyFont="1" applyFill="1" applyBorder="1" applyAlignment="1" applyProtection="1">
      <alignment vertical="center"/>
    </xf>
    <xf numFmtId="0" fontId="1" fillId="3" borderId="34" xfId="0" applyFont="1" applyFill="1" applyBorder="1" applyProtection="1"/>
    <xf numFmtId="0" fontId="1" fillId="9" borderId="40" xfId="0" applyFont="1" applyFill="1" applyBorder="1" applyAlignment="1" applyProtection="1">
      <alignment horizontal="center" vertical="center"/>
    </xf>
    <xf numFmtId="0" fontId="1" fillId="9" borderId="42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center" vertical="center"/>
    </xf>
    <xf numFmtId="0" fontId="1" fillId="3" borderId="15" xfId="0" applyFont="1" applyFill="1" applyBorder="1" applyProtection="1"/>
    <xf numFmtId="0" fontId="1" fillId="3" borderId="43" xfId="0" applyFont="1" applyFill="1" applyBorder="1" applyProtection="1"/>
    <xf numFmtId="0" fontId="1" fillId="3" borderId="12" xfId="0" applyFont="1" applyFill="1" applyBorder="1" applyProtection="1"/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164" fontId="1" fillId="3" borderId="9" xfId="0" applyNumberFormat="1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/>
    <xf numFmtId="0" fontId="1" fillId="3" borderId="9" xfId="0" applyFont="1" applyFill="1" applyBorder="1" applyAlignment="1" applyProtection="1"/>
    <xf numFmtId="0" fontId="1" fillId="3" borderId="9" xfId="0" applyFont="1" applyFill="1" applyBorder="1" applyProtection="1"/>
    <xf numFmtId="0" fontId="1" fillId="3" borderId="0" xfId="0" applyFont="1" applyFill="1" applyBorder="1" applyAlignment="1" applyProtection="1"/>
    <xf numFmtId="164" fontId="1" fillId="3" borderId="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2" fontId="1" fillId="7" borderId="40" xfId="0" applyNumberFormat="1" applyFont="1" applyFill="1" applyBorder="1" applyAlignment="1" applyProtection="1">
      <alignment horizontal="center" vertical="center"/>
      <protection locked="0"/>
    </xf>
    <xf numFmtId="0" fontId="1" fillId="7" borderId="41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Protection="1">
      <protection locked="0"/>
    </xf>
    <xf numFmtId="0" fontId="1" fillId="7" borderId="38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7" borderId="43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164" fontId="1" fillId="7" borderId="41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2" fontId="1" fillId="0" borderId="0" xfId="0" applyNumberFormat="1" applyFont="1" applyBorder="1" applyProtection="1">
      <protection locked="0"/>
    </xf>
    <xf numFmtId="0" fontId="1" fillId="0" borderId="38" xfId="0" applyFont="1" applyBorder="1" applyProtection="1">
      <protection locked="0"/>
    </xf>
    <xf numFmtId="164" fontId="1" fillId="7" borderId="44" xfId="0" applyNumberFormat="1" applyFont="1" applyFill="1" applyBorder="1" applyProtection="1">
      <protection locked="0"/>
    </xf>
    <xf numFmtId="164" fontId="1" fillId="7" borderId="0" xfId="0" applyNumberFormat="1" applyFont="1" applyFill="1" applyBorder="1" applyProtection="1">
      <protection locked="0"/>
    </xf>
    <xf numFmtId="0" fontId="1" fillId="7" borderId="0" xfId="0" applyFont="1" applyFill="1" applyBorder="1" applyProtection="1">
      <protection locked="0"/>
    </xf>
    <xf numFmtId="164" fontId="1" fillId="7" borderId="38" xfId="0" applyNumberFormat="1" applyFont="1" applyFill="1" applyBorder="1" applyProtection="1"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42" xfId="0" applyFont="1" applyBorder="1" applyProtection="1">
      <protection locked="0"/>
    </xf>
    <xf numFmtId="2" fontId="1" fillId="0" borderId="42" xfId="0" applyNumberFormat="1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6" borderId="34" xfId="0" applyFont="1" applyFill="1" applyBorder="1" applyAlignment="1" applyProtection="1">
      <alignment horizontal="center" vertical="center"/>
      <protection locked="0"/>
    </xf>
    <xf numFmtId="0" fontId="1" fillId="6" borderId="42" xfId="0" applyFont="1" applyFill="1" applyBorder="1" applyAlignment="1" applyProtection="1">
      <alignment horizontal="center"/>
      <protection locked="0"/>
    </xf>
    <xf numFmtId="164" fontId="1" fillId="6" borderId="42" xfId="0" applyNumberFormat="1" applyFont="1" applyFill="1" applyBorder="1" applyAlignment="1" applyProtection="1">
      <alignment horizontal="center"/>
      <protection locked="0"/>
    </xf>
    <xf numFmtId="0" fontId="1" fillId="6" borderId="42" xfId="0" applyFont="1" applyFill="1" applyBorder="1" applyAlignment="1" applyProtection="1">
      <alignment horizontal="center" vertical="center"/>
      <protection locked="0"/>
    </xf>
    <xf numFmtId="0" fontId="1" fillId="6" borderId="43" xfId="0" applyFont="1" applyFill="1" applyBorder="1" applyAlignment="1" applyProtection="1">
      <alignment horizontal="center" vertical="center"/>
      <protection locked="0"/>
    </xf>
    <xf numFmtId="164" fontId="1" fillId="6" borderId="39" xfId="0" applyNumberFormat="1" applyFont="1" applyFill="1" applyBorder="1" applyAlignment="1" applyProtection="1">
      <alignment horizontal="center"/>
      <protection locked="0"/>
    </xf>
    <xf numFmtId="164" fontId="1" fillId="6" borderId="44" xfId="0" applyNumberFormat="1" applyFont="1" applyFill="1" applyBorder="1" applyAlignment="1" applyProtection="1">
      <alignment horizontal="center"/>
      <protection locked="0"/>
    </xf>
    <xf numFmtId="164" fontId="1" fillId="6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0" fontId="1" fillId="7" borderId="42" xfId="0" applyFont="1" applyFill="1" applyBorder="1" applyProtection="1">
      <protection locked="0"/>
    </xf>
    <xf numFmtId="0" fontId="1" fillId="7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1" fontId="1" fillId="7" borderId="40" xfId="0" applyNumberFormat="1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1" fontId="1" fillId="7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1" fontId="1" fillId="7" borderId="42" xfId="0" applyNumberFormat="1" applyFont="1" applyFill="1" applyBorder="1" applyAlignment="1" applyProtection="1">
      <alignment horizontal="center" vertical="center"/>
      <protection locked="0"/>
    </xf>
    <xf numFmtId="164" fontId="1" fillId="6" borderId="39" xfId="0" applyNumberFormat="1" applyFont="1" applyFill="1" applyBorder="1" applyAlignment="1" applyProtection="1">
      <alignment horizontal="center" vertical="center"/>
      <protection locked="0"/>
    </xf>
    <xf numFmtId="164" fontId="1" fillId="6" borderId="40" xfId="0" applyNumberFormat="1" applyFont="1" applyFill="1" applyBorder="1" applyAlignment="1" applyProtection="1">
      <alignment horizontal="center" vertical="center"/>
      <protection locked="0"/>
    </xf>
    <xf numFmtId="164" fontId="1" fillId="6" borderId="41" xfId="0" applyNumberFormat="1" applyFont="1" applyFill="1" applyBorder="1" applyAlignment="1" applyProtection="1">
      <alignment horizontal="center" vertical="center"/>
      <protection locked="0"/>
    </xf>
    <xf numFmtId="164" fontId="1" fillId="6" borderId="34" xfId="0" applyNumberFormat="1" applyFont="1" applyFill="1" applyBorder="1" applyAlignment="1" applyProtection="1">
      <alignment horizontal="center" vertical="center"/>
      <protection locked="0"/>
    </xf>
    <xf numFmtId="164" fontId="1" fillId="6" borderId="42" xfId="0" applyNumberFormat="1" applyFont="1" applyFill="1" applyBorder="1" applyAlignment="1" applyProtection="1">
      <alignment horizontal="center" vertical="center"/>
      <protection locked="0"/>
    </xf>
    <xf numFmtId="164" fontId="1" fillId="6" borderId="43" xfId="0" applyNumberFormat="1" applyFont="1" applyFill="1" applyBorder="1" applyAlignment="1" applyProtection="1">
      <alignment horizontal="center" vertical="center"/>
      <protection locked="0"/>
    </xf>
    <xf numFmtId="166" fontId="1" fillId="6" borderId="39" xfId="0" applyNumberFormat="1" applyFont="1" applyFill="1" applyBorder="1" applyAlignment="1" applyProtection="1">
      <alignment horizontal="center" vertical="center"/>
      <protection locked="0"/>
    </xf>
    <xf numFmtId="165" fontId="1" fillId="6" borderId="40" xfId="0" applyNumberFormat="1" applyFont="1" applyFill="1" applyBorder="1" applyAlignment="1" applyProtection="1">
      <alignment horizontal="center" vertical="center"/>
      <protection locked="0"/>
    </xf>
    <xf numFmtId="166" fontId="1" fillId="6" borderId="44" xfId="0" applyNumberFormat="1" applyFont="1" applyFill="1" applyBorder="1" applyAlignment="1" applyProtection="1">
      <alignment horizontal="center" vertical="center"/>
      <protection locked="0"/>
    </xf>
    <xf numFmtId="165" fontId="1" fillId="6" borderId="0" xfId="0" applyNumberFormat="1" applyFont="1" applyFill="1" applyBorder="1" applyAlignment="1" applyProtection="1">
      <alignment horizontal="center" vertical="center"/>
      <protection locked="0"/>
    </xf>
    <xf numFmtId="164" fontId="1" fillId="6" borderId="38" xfId="0" applyNumberFormat="1" applyFont="1" applyFill="1" applyBorder="1" applyAlignment="1" applyProtection="1">
      <alignment horizontal="center" vertical="center"/>
      <protection locked="0"/>
    </xf>
    <xf numFmtId="165" fontId="1" fillId="7" borderId="40" xfId="0" applyNumberFormat="1" applyFont="1" applyFill="1" applyBorder="1" applyAlignment="1" applyProtection="1">
      <alignment horizontal="center" vertical="center"/>
      <protection locked="0"/>
    </xf>
    <xf numFmtId="165" fontId="1" fillId="7" borderId="41" xfId="0" applyNumberFormat="1" applyFont="1" applyFill="1" applyBorder="1" applyAlignment="1" applyProtection="1">
      <alignment horizontal="center" vertical="center"/>
      <protection locked="0"/>
    </xf>
    <xf numFmtId="165" fontId="1" fillId="7" borderId="0" xfId="0" applyNumberFormat="1" applyFont="1" applyFill="1" applyBorder="1" applyAlignment="1" applyProtection="1">
      <alignment horizontal="center" vertical="center"/>
      <protection locked="0"/>
    </xf>
    <xf numFmtId="165" fontId="1" fillId="7" borderId="38" xfId="0" applyNumberFormat="1" applyFont="1" applyFill="1" applyBorder="1" applyAlignment="1" applyProtection="1">
      <alignment horizontal="center" vertical="center"/>
      <protection locked="0"/>
    </xf>
    <xf numFmtId="166" fontId="1" fillId="0" borderId="0" xfId="0" applyNumberFormat="1" applyFont="1" applyBorder="1" applyAlignment="1" applyProtection="1">
      <alignment horizontal="center" vertical="center"/>
      <protection locked="0"/>
    </xf>
    <xf numFmtId="166" fontId="1" fillId="7" borderId="44" xfId="0" applyNumberFormat="1" applyFont="1" applyFill="1" applyBorder="1" applyAlignment="1" applyProtection="1">
      <alignment horizontal="center" vertical="center"/>
      <protection locked="0"/>
    </xf>
    <xf numFmtId="166" fontId="1" fillId="7" borderId="34" xfId="0" applyNumberFormat="1" applyFont="1" applyFill="1" applyBorder="1" applyAlignment="1" applyProtection="1">
      <alignment horizontal="center" vertical="center"/>
      <protection locked="0"/>
    </xf>
    <xf numFmtId="165" fontId="1" fillId="7" borderId="42" xfId="0" applyNumberFormat="1" applyFont="1" applyFill="1" applyBorder="1" applyAlignment="1" applyProtection="1">
      <alignment horizontal="center" vertical="center"/>
      <protection locked="0"/>
    </xf>
    <xf numFmtId="165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Protection="1">
      <protection locked="0"/>
    </xf>
    <xf numFmtId="166" fontId="1" fillId="7" borderId="39" xfId="0" applyNumberFormat="1" applyFont="1" applyFill="1" applyBorder="1" applyAlignment="1" applyProtection="1">
      <alignment horizontal="center" vertical="center"/>
      <protection locked="0"/>
    </xf>
    <xf numFmtId="166" fontId="1" fillId="7" borderId="40" xfId="0" applyNumberFormat="1" applyFont="1" applyFill="1" applyBorder="1" applyAlignment="1" applyProtection="1">
      <alignment horizontal="center" vertical="center"/>
      <protection locked="0"/>
    </xf>
    <xf numFmtId="166" fontId="1" fillId="7" borderId="0" xfId="0" applyNumberFormat="1" applyFont="1" applyFill="1" applyBorder="1" applyAlignment="1" applyProtection="1">
      <alignment horizontal="center" vertical="center"/>
      <protection locked="0"/>
    </xf>
    <xf numFmtId="166" fontId="1" fillId="7" borderId="38" xfId="0" applyNumberFormat="1" applyFont="1" applyFill="1" applyBorder="1" applyAlignment="1" applyProtection="1">
      <alignment horizontal="center" vertical="center"/>
      <protection locked="0"/>
    </xf>
    <xf numFmtId="166" fontId="1" fillId="6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165" fontId="1" fillId="7" borderId="39" xfId="0" applyNumberFormat="1" applyFont="1" applyFill="1" applyBorder="1" applyAlignment="1" applyProtection="1">
      <alignment horizontal="center" vertical="center"/>
      <protection locked="0"/>
    </xf>
    <xf numFmtId="165" fontId="1" fillId="7" borderId="44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protection locked="0"/>
    </xf>
    <xf numFmtId="0" fontId="1" fillId="0" borderId="42" xfId="0" applyFont="1" applyBorder="1" applyAlignment="1" applyProtection="1">
      <protection locked="0"/>
    </xf>
    <xf numFmtId="165" fontId="1" fillId="7" borderId="34" xfId="0" applyNumberFormat="1" applyFont="1" applyFill="1" applyBorder="1" applyAlignment="1" applyProtection="1">
      <alignment horizontal="center" vertical="center"/>
      <protection locked="0"/>
    </xf>
    <xf numFmtId="166" fontId="1" fillId="6" borderId="40" xfId="0" applyNumberFormat="1" applyFont="1" applyFill="1" applyBorder="1" applyAlignment="1" applyProtection="1">
      <alignment horizontal="center" vertical="center"/>
      <protection locked="0"/>
    </xf>
    <xf numFmtId="166" fontId="1" fillId="6" borderId="34" xfId="0" applyNumberFormat="1" applyFont="1" applyFill="1" applyBorder="1" applyAlignment="1" applyProtection="1">
      <alignment horizontal="center" vertical="center"/>
      <protection locked="0"/>
    </xf>
    <xf numFmtId="166" fontId="1" fillId="6" borderId="42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Protection="1">
      <protection locked="0"/>
    </xf>
    <xf numFmtId="167" fontId="1" fillId="0" borderId="0" xfId="0" applyNumberFormat="1" applyFont="1" applyBorder="1" applyAlignment="1" applyProtection="1">
      <alignment horizontal="center" vertical="center"/>
      <protection locked="0"/>
    </xf>
    <xf numFmtId="168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34" xfId="0" applyFont="1" applyBorder="1" applyProtection="1">
      <protection locked="0"/>
    </xf>
    <xf numFmtId="0" fontId="1" fillId="7" borderId="40" xfId="0" applyFont="1" applyFill="1" applyBorder="1" applyProtection="1"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/>
      <protection locked="0"/>
    </xf>
    <xf numFmtId="164" fontId="1" fillId="6" borderId="9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64" fontId="1" fillId="0" borderId="49" xfId="0" applyNumberFormat="1" applyFont="1" applyBorder="1" applyAlignment="1" applyProtection="1">
      <alignment horizontal="center" vertical="center"/>
      <protection locked="0"/>
    </xf>
    <xf numFmtId="165" fontId="1" fillId="0" borderId="49" xfId="0" applyNumberFormat="1" applyFont="1" applyBorder="1" applyAlignment="1" applyProtection="1">
      <alignment horizontal="center" vertical="center"/>
      <protection locked="0"/>
    </xf>
    <xf numFmtId="2" fontId="1" fillId="0" borderId="48" xfId="0" applyNumberFormat="1" applyFont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1" fillId="0" borderId="47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164" fontId="1" fillId="0" borderId="76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64" fontId="1" fillId="0" borderId="51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31" xfId="0" applyNumberFormat="1" applyFont="1" applyBorder="1" applyAlignment="1" applyProtection="1">
      <alignment horizontal="center"/>
      <protection locked="0"/>
    </xf>
    <xf numFmtId="164" fontId="1" fillId="0" borderId="32" xfId="0" applyNumberFormat="1" applyFont="1" applyBorder="1" applyAlignment="1" applyProtection="1">
      <alignment horizontal="center"/>
      <protection locked="0"/>
    </xf>
    <xf numFmtId="2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24" xfId="0" applyFont="1" applyBorder="1" applyProtection="1">
      <protection locked="0"/>
    </xf>
    <xf numFmtId="2" fontId="1" fillId="0" borderId="25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164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2" fontId="1" fillId="0" borderId="25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1" fillId="0" borderId="24" xfId="0" applyNumberFormat="1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165" fontId="1" fillId="0" borderId="19" xfId="0" applyNumberFormat="1" applyFont="1" applyBorder="1" applyAlignment="1" applyProtection="1">
      <alignment horizontal="center" vertical="center"/>
      <protection locked="0"/>
    </xf>
    <xf numFmtId="165" fontId="1" fillId="0" borderId="17" xfId="0" applyNumberFormat="1" applyFont="1" applyBorder="1" applyAlignment="1" applyProtection="1">
      <alignment horizontal="center" vertical="center"/>
      <protection locked="0"/>
    </xf>
    <xf numFmtId="0" fontId="1" fillId="3" borderId="46" xfId="0" applyFont="1" applyFill="1" applyBorder="1" applyProtection="1">
      <protection locked="0"/>
    </xf>
    <xf numFmtId="0" fontId="1" fillId="3" borderId="64" xfId="0" applyFont="1" applyFill="1" applyBorder="1" applyProtection="1">
      <protection locked="0"/>
    </xf>
    <xf numFmtId="165" fontId="1" fillId="0" borderId="10" xfId="0" applyNumberFormat="1" applyFont="1" applyBorder="1" applyAlignment="1" applyProtection="1">
      <alignment horizontal="center" vertical="center"/>
      <protection locked="0"/>
    </xf>
    <xf numFmtId="165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1" fillId="3" borderId="51" xfId="0" applyFont="1" applyFill="1" applyBorder="1" applyProtection="1">
      <protection locked="0"/>
    </xf>
    <xf numFmtId="0" fontId="1" fillId="3" borderId="67" xfId="0" applyFont="1" applyFill="1" applyBorder="1" applyProtection="1">
      <protection locked="0"/>
    </xf>
    <xf numFmtId="164" fontId="1" fillId="0" borderId="10" xfId="0" applyNumberFormat="1" applyFont="1" applyBorder="1" applyProtection="1">
      <protection locked="0"/>
    </xf>
    <xf numFmtId="0" fontId="1" fillId="0" borderId="37" xfId="0" applyFont="1" applyBorder="1" applyProtection="1"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36" xfId="0" applyFont="1" applyBorder="1" applyProtection="1">
      <protection locked="0"/>
    </xf>
    <xf numFmtId="165" fontId="1" fillId="0" borderId="26" xfId="0" applyNumberFormat="1" applyFont="1" applyBorder="1" applyAlignment="1" applyProtection="1">
      <alignment horizontal="center" vertical="center"/>
      <protection locked="0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165" fontId="1" fillId="0" borderId="33" xfId="0" applyNumberFormat="1" applyFont="1" applyBorder="1" applyAlignment="1" applyProtection="1">
      <alignment horizontal="center" vertical="center"/>
      <protection locked="0"/>
    </xf>
    <xf numFmtId="2" fontId="1" fillId="0" borderId="32" xfId="0" applyNumberFormat="1" applyFont="1" applyBorder="1" applyAlignment="1" applyProtection="1">
      <alignment horizontal="center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Protection="1">
      <protection locked="0"/>
    </xf>
    <xf numFmtId="0" fontId="1" fillId="0" borderId="74" xfId="0" applyFont="1" applyBorder="1" applyAlignment="1" applyProtection="1">
      <alignment horizontal="center"/>
      <protection locked="0"/>
    </xf>
    <xf numFmtId="0" fontId="1" fillId="3" borderId="52" xfId="0" applyFont="1" applyFill="1" applyBorder="1" applyProtection="1">
      <protection locked="0"/>
    </xf>
    <xf numFmtId="0" fontId="1" fillId="3" borderId="65" xfId="0" applyFont="1" applyFill="1" applyBorder="1" applyProtection="1">
      <protection locked="0"/>
    </xf>
    <xf numFmtId="165" fontId="1" fillId="0" borderId="56" xfId="0" applyNumberFormat="1" applyFont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protection locked="0"/>
    </xf>
    <xf numFmtId="0" fontId="1" fillId="3" borderId="64" xfId="0" applyFont="1" applyFill="1" applyBorder="1" applyAlignment="1" applyProtection="1">
      <protection locked="0"/>
    </xf>
    <xf numFmtId="165" fontId="1" fillId="0" borderId="31" xfId="0" applyNumberFormat="1" applyFont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 applyProtection="1">
      <protection locked="0"/>
    </xf>
    <xf numFmtId="0" fontId="1" fillId="3" borderId="67" xfId="0" applyFont="1" applyFill="1" applyBorder="1" applyAlignment="1" applyProtection="1">
      <protection locked="0"/>
    </xf>
    <xf numFmtId="0" fontId="1" fillId="0" borderId="37" xfId="0" applyFont="1" applyBorder="1" applyAlignment="1" applyProtection="1">
      <alignment horizontal="center"/>
      <protection locked="0"/>
    </xf>
    <xf numFmtId="165" fontId="1" fillId="0" borderId="32" xfId="0" applyNumberFormat="1" applyFont="1" applyBorder="1" applyAlignment="1" applyProtection="1">
      <alignment horizontal="center" vertical="center"/>
      <protection locked="0"/>
    </xf>
    <xf numFmtId="165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3" borderId="52" xfId="0" applyFont="1" applyFill="1" applyBorder="1" applyAlignment="1" applyProtection="1">
      <protection locked="0"/>
    </xf>
    <xf numFmtId="0" fontId="1" fillId="3" borderId="65" xfId="0" applyFont="1" applyFill="1" applyBorder="1" applyAlignment="1" applyProtection="1">
      <protection locked="0"/>
    </xf>
    <xf numFmtId="0" fontId="1" fillId="0" borderId="35" xfId="0" applyFont="1" applyBorder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 applyProtection="1">
      <alignment horizontal="center" vertical="center"/>
      <protection locked="0"/>
    </xf>
    <xf numFmtId="164" fontId="1" fillId="3" borderId="61" xfId="0" applyNumberFormat="1" applyFont="1" applyFill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3" borderId="62" xfId="0" applyFont="1" applyFill="1" applyBorder="1" applyAlignment="1" applyProtection="1">
      <alignment horizontal="center"/>
      <protection locked="0"/>
    </xf>
    <xf numFmtId="164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/>
      <protection locked="0"/>
    </xf>
    <xf numFmtId="0" fontId="1" fillId="0" borderId="26" xfId="0" applyFont="1" applyBorder="1" applyProtection="1">
      <protection locked="0"/>
    </xf>
    <xf numFmtId="164" fontId="1" fillId="3" borderId="22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vertical="center"/>
      <protection locked="0"/>
    </xf>
    <xf numFmtId="164" fontId="1" fillId="3" borderId="7" xfId="0" applyNumberFormat="1" applyFont="1" applyFill="1" applyBorder="1" applyAlignment="1" applyProtection="1">
      <alignment vertical="center"/>
      <protection locked="0"/>
    </xf>
    <xf numFmtId="164" fontId="1" fillId="3" borderId="13" xfId="0" applyNumberFormat="1" applyFont="1" applyFill="1" applyBorder="1" applyAlignment="1" applyProtection="1">
      <alignment vertical="center"/>
      <protection locked="0"/>
    </xf>
    <xf numFmtId="0" fontId="1" fillId="3" borderId="63" xfId="0" applyFont="1" applyFill="1" applyBorder="1" applyAlignment="1" applyProtection="1">
      <alignment horizontal="center"/>
      <protection locked="0"/>
    </xf>
    <xf numFmtId="164" fontId="1" fillId="0" borderId="78" xfId="0" applyNumberFormat="1" applyFont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2" fontId="1" fillId="0" borderId="20" xfId="0" applyNumberFormat="1" applyFont="1" applyBorder="1" applyAlignment="1" applyProtection="1">
      <alignment horizontal="center" vertical="center"/>
      <protection locked="0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164" fontId="1" fillId="3" borderId="64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65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70" xfId="0" applyNumberFormat="1" applyFont="1" applyBorder="1" applyAlignment="1" applyProtection="1">
      <alignment horizontal="center" vertical="center"/>
      <protection locked="0"/>
    </xf>
    <xf numFmtId="0" fontId="1" fillId="5" borderId="46" xfId="0" applyFont="1" applyFill="1" applyBorder="1" applyProtection="1">
      <protection locked="0"/>
    </xf>
    <xf numFmtId="0" fontId="1" fillId="5" borderId="49" xfId="0" applyFont="1" applyFill="1" applyBorder="1" applyAlignment="1" applyProtection="1">
      <alignment horizontal="center" vertical="center"/>
      <protection locked="0"/>
    </xf>
    <xf numFmtId="0" fontId="1" fillId="5" borderId="51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52" xfId="0" applyFont="1" applyFill="1" applyBorder="1" applyProtection="1"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2" fontId="1" fillId="5" borderId="15" xfId="0" applyNumberFormat="1" applyFont="1" applyFill="1" applyBorder="1" applyAlignment="1" applyProtection="1">
      <alignment horizontal="center" vertical="center"/>
      <protection locked="0"/>
    </xf>
    <xf numFmtId="2" fontId="1" fillId="5" borderId="14" xfId="0" applyNumberFormat="1" applyFont="1" applyFill="1" applyBorder="1" applyAlignment="1" applyProtection="1">
      <alignment horizontal="center" vertical="center"/>
      <protection locked="0"/>
    </xf>
    <xf numFmtId="2" fontId="1" fillId="5" borderId="49" xfId="0" applyNumberFormat="1" applyFont="1" applyFill="1" applyBorder="1" applyAlignment="1" applyProtection="1">
      <alignment horizontal="center" vertical="center"/>
      <protection locked="0"/>
    </xf>
    <xf numFmtId="1" fontId="1" fillId="5" borderId="49" xfId="0" applyNumberFormat="1" applyFont="1" applyFill="1" applyBorder="1" applyAlignment="1" applyProtection="1">
      <alignment horizontal="center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0" fontId="1" fillId="5" borderId="75" xfId="0" applyFont="1" applyFill="1" applyBorder="1" applyProtection="1">
      <protection locked="0"/>
    </xf>
    <xf numFmtId="0" fontId="1" fillId="5" borderId="49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5" borderId="44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1" fillId="5" borderId="39" xfId="0" applyFont="1" applyFill="1" applyBorder="1" applyAlignment="1" applyProtection="1">
      <alignment horizontal="center" vertical="center"/>
      <protection locked="0"/>
    </xf>
    <xf numFmtId="0" fontId="1" fillId="5" borderId="66" xfId="0" applyFont="1" applyFill="1" applyBorder="1" applyAlignment="1" applyProtection="1">
      <alignment horizontal="center" vertical="center"/>
      <protection locked="0"/>
    </xf>
    <xf numFmtId="0" fontId="1" fillId="5" borderId="7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61" xfId="0" applyFont="1" applyFill="1" applyBorder="1" applyAlignment="1" applyProtection="1">
      <alignment horizontal="center" vertical="center"/>
      <protection locked="0"/>
    </xf>
    <xf numFmtId="0" fontId="1" fillId="5" borderId="58" xfId="0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57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 applyProtection="1">
      <alignment horizontal="center" vertical="center"/>
      <protection locked="0"/>
    </xf>
    <xf numFmtId="0" fontId="1" fillId="5" borderId="76" xfId="0" applyFont="1" applyFill="1" applyBorder="1" applyAlignment="1" applyProtection="1">
      <alignment horizontal="center" vertical="center"/>
      <protection locked="0"/>
    </xf>
    <xf numFmtId="0" fontId="1" fillId="5" borderId="78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73" xfId="0" applyFont="1" applyFill="1" applyBorder="1" applyAlignment="1" applyProtection="1">
      <alignment horizontal="center" vertical="center"/>
      <protection locked="0"/>
    </xf>
    <xf numFmtId="0" fontId="1" fillId="5" borderId="75" xfId="0" applyFont="1" applyFill="1" applyBorder="1" applyAlignment="1" applyProtection="1">
      <alignment horizontal="center" vertical="center"/>
      <protection locked="0"/>
    </xf>
    <xf numFmtId="0" fontId="1" fillId="5" borderId="51" xfId="0" applyFont="1" applyFill="1" applyBorder="1" applyAlignment="1" applyProtection="1">
      <alignment horizontal="center" vertical="center"/>
      <protection locked="0"/>
    </xf>
    <xf numFmtId="0" fontId="1" fillId="5" borderId="52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5" borderId="1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Protection="1"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Protection="1"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Protection="1"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49" xfId="0" applyFont="1" applyFill="1" applyBorder="1" applyProtection="1">
      <protection locked="0"/>
    </xf>
    <xf numFmtId="0" fontId="1" fillId="5" borderId="24" xfId="0" applyFont="1" applyFill="1" applyBorder="1" applyProtection="1"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1" fillId="5" borderId="48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1" fillId="5" borderId="54" xfId="0" applyFont="1" applyFill="1" applyBorder="1" applyProtection="1">
      <protection locked="0"/>
    </xf>
    <xf numFmtId="0" fontId="1" fillId="5" borderId="43" xfId="0" applyFont="1" applyFill="1" applyBorder="1" applyProtection="1"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Protection="1"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39" xfId="0" applyFont="1" applyFill="1" applyBorder="1" applyAlignment="1" applyProtection="1">
      <alignment horizontal="center" vertical="center"/>
      <protection locked="0"/>
    </xf>
  </cellXfs>
  <cellStyles count="2">
    <cellStyle name="Normaallaad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zoomScaleNormal="100" workbookViewId="0">
      <pane ySplit="7" topLeftCell="A8" activePane="bottomLeft" state="frozen"/>
      <selection pane="bottomLeft" activeCell="F12" sqref="F12"/>
    </sheetView>
  </sheetViews>
  <sheetFormatPr defaultColWidth="9.140625" defaultRowHeight="11.25" x14ac:dyDescent="0.2"/>
  <cols>
    <col min="1" max="1" width="3" style="1" customWidth="1"/>
    <col min="2" max="2" width="9.85546875" style="1" customWidth="1"/>
    <col min="3" max="3" width="13.7109375" style="1" customWidth="1"/>
    <col min="4" max="4" width="30.85546875" style="1" customWidth="1"/>
    <col min="5" max="5" width="11.42578125" style="42" customWidth="1"/>
    <col min="6" max="6" width="11" style="42" customWidth="1"/>
    <col min="7" max="7" width="9.140625" style="1" hidden="1" customWidth="1"/>
    <col min="8" max="8" width="9.28515625" style="1" hidden="1" customWidth="1"/>
    <col min="9" max="9" width="9.28515625" style="1" customWidth="1"/>
    <col min="10" max="10" width="9" style="1" customWidth="1"/>
    <col min="11" max="11" width="9" style="1" hidden="1" customWidth="1"/>
    <col min="12" max="12" width="9.140625" style="1" hidden="1" customWidth="1"/>
    <col min="13" max="13" width="9.140625" style="1" customWidth="1"/>
    <col min="14" max="14" width="8.7109375" style="73" hidden="1" customWidth="1"/>
    <col min="15" max="15" width="8.85546875" style="73" hidden="1" customWidth="1"/>
    <col min="16" max="16" width="9" style="1" customWidth="1"/>
    <col min="17" max="17" width="9" style="73" hidden="1" customWidth="1"/>
    <col min="18" max="18" width="8.85546875" style="73" hidden="1" customWidth="1"/>
    <col min="19" max="19" width="9.140625" style="1"/>
    <col min="20" max="20" width="9" style="1" customWidth="1"/>
    <col min="21" max="21" width="9.140625" style="1"/>
    <col min="22" max="23" width="9.140625" style="1" hidden="1" customWidth="1"/>
    <col min="24" max="16384" width="9.140625" style="1"/>
  </cols>
  <sheetData>
    <row r="1" spans="2:30" x14ac:dyDescent="0.2">
      <c r="G1" s="82"/>
    </row>
    <row r="2" spans="2:30" ht="15.75" x14ac:dyDescent="0.25">
      <c r="B2" s="637" t="s">
        <v>67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</row>
    <row r="3" spans="2:30" ht="12" thickBot="1" x14ac:dyDescent="0.25"/>
    <row r="4" spans="2:30" ht="11.25" customHeight="1" x14ac:dyDescent="0.2">
      <c r="B4" s="657" t="s">
        <v>57</v>
      </c>
      <c r="C4" s="658"/>
      <c r="D4" s="659"/>
      <c r="E4" s="655" t="s">
        <v>71</v>
      </c>
      <c r="F4" s="641" t="s">
        <v>64</v>
      </c>
      <c r="G4" s="638" t="s">
        <v>52</v>
      </c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40"/>
      <c r="T4" s="638" t="s">
        <v>82</v>
      </c>
      <c r="U4" s="639"/>
      <c r="V4" s="639"/>
      <c r="W4" s="639"/>
      <c r="X4" s="639"/>
      <c r="Y4" s="644"/>
    </row>
    <row r="5" spans="2:30" ht="11.25" customHeight="1" x14ac:dyDescent="0.2">
      <c r="B5" s="660"/>
      <c r="C5" s="661"/>
      <c r="D5" s="662"/>
      <c r="E5" s="656"/>
      <c r="F5" s="642"/>
      <c r="G5" s="246"/>
      <c r="H5" s="246"/>
      <c r="I5" s="246" t="s">
        <v>53</v>
      </c>
      <c r="J5" s="357" t="s">
        <v>68</v>
      </c>
      <c r="K5" s="651" t="s">
        <v>9</v>
      </c>
      <c r="L5" s="652"/>
      <c r="M5" s="653"/>
      <c r="N5" s="651" t="s">
        <v>11</v>
      </c>
      <c r="O5" s="652"/>
      <c r="P5" s="653"/>
      <c r="Q5" s="651" t="s">
        <v>12</v>
      </c>
      <c r="R5" s="652"/>
      <c r="S5" s="653"/>
      <c r="T5" s="247" t="s">
        <v>53</v>
      </c>
      <c r="U5" s="246" t="s">
        <v>9</v>
      </c>
      <c r="V5" s="575"/>
      <c r="W5" s="575"/>
      <c r="X5" s="246" t="s">
        <v>11</v>
      </c>
      <c r="Y5" s="248" t="s">
        <v>12</v>
      </c>
    </row>
    <row r="6" spans="2:30" ht="11.25" customHeight="1" x14ac:dyDescent="0.2">
      <c r="B6" s="660"/>
      <c r="C6" s="661"/>
      <c r="D6" s="662"/>
      <c r="E6" s="656"/>
      <c r="F6" s="642"/>
      <c r="G6" s="246" t="s">
        <v>40</v>
      </c>
      <c r="H6" s="246" t="s">
        <v>41</v>
      </c>
      <c r="I6" s="647" t="s">
        <v>54</v>
      </c>
      <c r="J6" s="645" t="s">
        <v>30</v>
      </c>
      <c r="K6" s="246" t="s">
        <v>55</v>
      </c>
      <c r="L6" s="246" t="s">
        <v>41</v>
      </c>
      <c r="M6" s="651" t="s">
        <v>58</v>
      </c>
      <c r="N6" s="652"/>
      <c r="O6" s="652"/>
      <c r="P6" s="652"/>
      <c r="Q6" s="652"/>
      <c r="R6" s="652"/>
      <c r="S6" s="653"/>
      <c r="T6" s="645" t="s">
        <v>54</v>
      </c>
      <c r="U6" s="647" t="s">
        <v>54</v>
      </c>
      <c r="V6" s="647"/>
      <c r="W6" s="647"/>
      <c r="X6" s="647"/>
      <c r="Y6" s="648"/>
    </row>
    <row r="7" spans="2:30" ht="11.25" customHeight="1" thickBot="1" x14ac:dyDescent="0.25">
      <c r="B7" s="663"/>
      <c r="C7" s="664"/>
      <c r="D7" s="665"/>
      <c r="E7" s="646"/>
      <c r="F7" s="643"/>
      <c r="G7" s="249"/>
      <c r="H7" s="249"/>
      <c r="I7" s="649"/>
      <c r="J7" s="646"/>
      <c r="K7" s="654" t="s">
        <v>54</v>
      </c>
      <c r="L7" s="654"/>
      <c r="M7" s="654"/>
      <c r="N7" s="654"/>
      <c r="O7" s="654"/>
      <c r="P7" s="654"/>
      <c r="Q7" s="654"/>
      <c r="R7" s="654"/>
      <c r="S7" s="654"/>
      <c r="T7" s="646"/>
      <c r="U7" s="649"/>
      <c r="V7" s="649"/>
      <c r="W7" s="649"/>
      <c r="X7" s="649"/>
      <c r="Y7" s="650"/>
    </row>
    <row r="8" spans="2:30" ht="11.25" customHeight="1" x14ac:dyDescent="0.2">
      <c r="B8" s="669" t="s">
        <v>63</v>
      </c>
      <c r="C8" s="672" t="s">
        <v>1</v>
      </c>
      <c r="D8" s="1401"/>
      <c r="E8" s="1402"/>
      <c r="F8" s="1403"/>
      <c r="G8" s="57" t="str">
        <f>IF(F8=1,"",IF(D8="","",IF(F8=2,I8*VLOOKUP($C$8,'DB additional information '!$X$4:$AB$25,4,FALSE)/100,VLOOKUP(D8,'DB animal categories'!$C$12:$AH$21,8,FALSE)*(1-(VLOOKUP(D8,'DB animal categories'!$C$12:$AH$21,10,FALSE)/100))/('DB additional information '!$K$4/100)/1000*E8)))</f>
        <v/>
      </c>
      <c r="H8" s="57" t="str">
        <f>IF(F8=1,"",IF(D8="","",IF(F8=2,I8-G8,G8/'DB additional information '!$M$4)))</f>
        <v/>
      </c>
      <c r="I8" s="58" t="str">
        <f>IF(F8=1,VLOOKUP(D8,'DB animal categories'!$C$10:$AM$21,28,FALSE)*E8,IF(F8="","",IF(D8="","",IF(F8=2,VLOOKUP(D8,'DB animal categories'!$C$10:$AH$21,14,FALSE)*E8,G8+H8))))</f>
        <v/>
      </c>
      <c r="J8" s="58" t="str">
        <f>IF(F8=1,VLOOKUP(D8,'DB animal categories'!$C$10:$AN$21,38,FALSE),IF(E8="","",IF(F8="","",IF(D8="","",IF(F8=2,VLOOKUP(D8,'DB animal categories'!$C$10:$AH$21,15,FALSE),(G8*'DB additional information '!$K$4/100+H8*'DB additional information '!$L$4/100)/I8*100)))))</f>
        <v/>
      </c>
      <c r="K8" s="68" t="str">
        <f>IF(F8=1,"",IF(F8="","",IF(D8="","",IF(F8=2,M8-L8,((0.04*VLOOKUP(D8,'DB animal categories'!$C$10:$AH$21,8,FALSE)/VLOOKUP(D8,'DB animal categories'!$C$10:$AH$21,27,FALSE)*VLOOKUP(D8,'DB animal categories'!$C$10:$AH$21,11,FALSE)/6.25)+(1.8*(VLOOKUP(D8,'DB animal categories'!$C$10:$AH$21,8,FALSE)/VLOOKUP(D8,'DB animal categories'!$C$10:$AH$21,27,FALSE))^2/6.25)+(20*VLOOKUP(D8,'DB animal categories'!$C$10:$AH$21,8,FALSE)/VLOOKUP(D8,'DB animal categories'!$C$10:$AH$21,27,FALSE)/6.25))*365/1000*E8/1000))))</f>
        <v/>
      </c>
      <c r="L8" s="68" t="str">
        <f>IF(F8=1,"",IF(F8="","",IF(D8="","",IF(F8=2,M8*'DB additional information '!$N$4/100,(VLOOKUP(D8,'DB animal categories'!$C$10:$AH$21,8,FALSE)*VLOOKUP(D8,'DB animal categories'!$C$10:$AH$21,11,FALSE)/6.25/1000/1000-(('DB additional information '!$F$7-'DB additional information '!$F$6)*'DB additional information '!$F$8/1000/1000+'DB additional information '!$F$4*'DB additional information '!$F$5*'DB additional information '!$F$11/1000/1000+VLOOKUP(D8,'DB animal categories'!$C$10:$AH$21,2,FALSE)*VLOOKUP(D8,'DB animal categories'!$C$10:$AH$21,3,FALSE)/100/6.38/1000))*E8-K8))))</f>
        <v/>
      </c>
      <c r="M8" s="58" t="str">
        <f>IF(F8=1,VLOOKUP(D8,'DB animal categories'!$C$10:$AM$21,29,FALSE)/1000*E8,IF(F8="","",IF(D8="","",IF(F8=2,VLOOKUP(D8,'DB animal categories'!$C$10:$AH$21,18,FALSE)*E8/1000,K8+L8))))</f>
        <v/>
      </c>
      <c r="N8" s="68" t="str">
        <f>IF(F8=1,"",IF(D8="","",IF(F8="","",IF(F8=2,P8-O8,VLOOKUP(D8,'DB animal categories'!$C$10:$AH$21,8,FALSE)*VLOOKUP(D8,'DB animal categories'!$C$10:$AH$21,12,FALSE)/1000/1000*E8-(('DB additional information '!$F$7-'DB additional information '!$F$6)*'DB additional information '!$F$9/1000/1000*E8+'DB additional information '!$F$4*'DB additional information '!$F$5*'DB additional information '!$F$12/1000/1000*E8+VLOOKUP(D8,'DB animal categories'!$C$10:$AH$21,2,FALSE)*'DB additional information '!$F$14/1000/1000*E8+O8)))))</f>
        <v/>
      </c>
      <c r="O8" s="68" t="str">
        <f>IF(F8=1,"",IF(D8="","",IF(F8="","",IF(F8=2,P8*'DB additional information '!$O$4/100,'DB additional information '!$F$6*'DB additional information '!$F$16/1000/1000/1000*VLOOKUP(D8,'DB animal categories'!$C$10:$AH$21,27,FALSE)*E8))))</f>
        <v/>
      </c>
      <c r="P8" s="58" t="str">
        <f>IF(F8=1,VLOOKUP(D8,'DB animal categories'!$C$10:$AM$21,31,FALSE)/1000*E8,IF(F8="","",IF(D8="","",IF(F8=2,E8*VLOOKUP(D8,'DB animal categories'!$C$10:$AH$21,21,FALSE)/1000,N8+O8))))</f>
        <v/>
      </c>
      <c r="Q8" s="68" t="str">
        <f>IF(F8=1,"",IF(F8="","",IF(D8="","",IF(F8=2,S8-R8,VLOOKUP(D8,'DB animal categories'!$C$10:$AH$21,8,FALSE)*'DB additional information '!$F$17/1000/1000*E8))))</f>
        <v/>
      </c>
      <c r="R8" s="68" t="str">
        <f>IF(F8=1,"",IF(F8="","",IF(D8="","",IF(F8=2,S8*'DB additional information '!$P$4/100,VLOOKUP(D8,'DB animal categories'!$C$10:$AH$21,8,FALSE)*VLOOKUP(D8,'DB animal categories'!$C$10:$AH$21,13,FALSE)/1000/1000*E8-(('DB additional information '!$F$7-'DB additional information '!$F$6)*'DB additional information '!$F$10/1000/1000*E8+'DB additional information '!$F$4*'DB additional information '!$F$5*'DB additional information '!$F$13/1000/1000*E8+VLOOKUP(D8,'DB animal categories'!$C$10:$AH$21,2,FALSE)*'DB additional information '!$F$15/1000/1000*E8+Q8)))))</f>
        <v/>
      </c>
      <c r="S8" s="58" t="str">
        <f>IF(F8=1,VLOOKUP(D8,'DB animal categories'!$C$10:$AM$21,32,FALSE)/1000*E8,IF(F8="","",IF(D8="","",IF(F8=2,E8*VLOOKUP(D8,'DB animal categories'!$C$10:$AH$21,24,FALSE)/1000,Q8+R8))))</f>
        <v/>
      </c>
      <c r="T8" s="58" t="str">
        <f>IF(D8="","",IF(F8=1,VLOOKUP(D8,'DB animal categories'!$C$10:$AM$21,33,FALSE)*E8,I8/VLOOKUP(D8,'DB animal categories'!$C$10:$AH$21,27,FALSE)*(VLOOKUP(D8,'DB animal categories'!$C$10:$AH$21,25,FALSE)*VLOOKUP(D8,'DB animal categories'!$C$10:$AH$21,26,FALSE)/24)))</f>
        <v/>
      </c>
      <c r="U8" s="58" t="str">
        <f>IF(D8="","",IF(F8=1,VLOOKUP(D8,'DB animal categories'!$C$10:$AM$21,34,FALSE)*E8/1000,M8/VLOOKUP(D8,'DB animal categories'!$C$12:$AH$21,27,FALSE)*(VLOOKUP(D8,'DB animal categories'!$C$12:$AH$21,25,FALSE)*VLOOKUP(D8,'DB animal categories'!$C$12:$AH$21,26,FALSE)/24)))</f>
        <v/>
      </c>
      <c r="V8" s="606">
        <f>IF(K8="",0,L8/M8*U8*'DB technologies'!$AT$11/100)</f>
        <v>0</v>
      </c>
      <c r="W8" s="606">
        <f>IF(K8="",0,(U8-V8)*'DB technologies'!$AU$11/100)</f>
        <v>0</v>
      </c>
      <c r="X8" s="58" t="str">
        <f>IF(D8="","",IF(F8=1,VLOOKUP(D8,'DB animal categories'!$C$10:$AM$21,36,FALSE)*E8/1000,P8/VLOOKUP(D8,'DB animal categories'!$C$10:$AH$21,27,FALSE)*(VLOOKUP(D8,'DB animal categories'!$C$10:$AH$21,25,FALSE)*VLOOKUP(D8,'DB animal categories'!$C$10:$AH$21,26,FALSE)/24)))</f>
        <v/>
      </c>
      <c r="Y8" s="63" t="str">
        <f>IF(D8="","",IF(F8=1,VLOOKUP(D8,'DB animal categories'!$C$10:$AM$21,37,FALSE)*E8/1000,S8/VLOOKUP(D8,'DB animal categories'!$C$10:$AH$21,27,FALSE)*(VLOOKUP(D8,'DB animal categories'!$C$10:$AH$21,25,FALSE)*VLOOKUP(D8,'DB animal categories'!$C$10:$AH$21,26,FALSE)/24)))</f>
        <v/>
      </c>
      <c r="AA8" s="82"/>
      <c r="AB8" s="82"/>
    </row>
    <row r="9" spans="2:30" ht="11.25" customHeight="1" x14ac:dyDescent="0.2">
      <c r="B9" s="670"/>
      <c r="C9" s="673"/>
      <c r="D9" s="1404"/>
      <c r="E9" s="1405"/>
      <c r="F9" s="1405"/>
      <c r="G9" s="57" t="str">
        <f>IF(F9=1,"",IF(D9="","",IF(F9=2,I9*VLOOKUP($C$8,'DB additional information '!$X$4:$AB$25,4,FALSE)/100,VLOOKUP(D9,'DB animal categories'!$C$12:$AH$21,8,FALSE)*(1-(VLOOKUP(D9,'DB animal categories'!$C$12:$AH$21,10,FALSE)/100))/('DB additional information '!$K$4/100)/1000*E9)))</f>
        <v/>
      </c>
      <c r="H9" s="57" t="str">
        <f>IF(F9=1,"",IF(D9="","",IF(F9=2,I9-G9,G9/'DB additional information '!$M$4)))</f>
        <v/>
      </c>
      <c r="I9" s="58" t="str">
        <f>IF(F9=1,VLOOKUP(D9,'DB animal categories'!$C$10:$AM$21,28,FALSE)*E9,IF(F9="","",IF(D9="","",IF(F9=2,VLOOKUP(D9,'DB animal categories'!$C$10:$AH$21,14,FALSE)*E9,G9+H9))))</f>
        <v/>
      </c>
      <c r="J9" s="58" t="str">
        <f>IF(F9=1,VLOOKUP(D9,'DB animal categories'!$C$10:$AN$21,38,FALSE),IF(E9="","",IF(F9="","",IF(D9="","",IF(F9=2,VLOOKUP(D9,'DB animal categories'!$C$10:$AH$21,15,FALSE),(G9*'DB additional information '!$K$4/100+H9*'DB additional information '!$L$4/100)/I9*100)))))</f>
        <v/>
      </c>
      <c r="K9" s="68" t="str">
        <f>IF(F9=1,"",IF(F9="","",IF(D9="","",IF(F9=2,M9-L9,((0.04*VLOOKUP(D9,'DB animal categories'!$C$10:$AH$21,8,FALSE)/VLOOKUP(D9,'DB animal categories'!$C$10:$AH$21,27,FALSE)*VLOOKUP(D9,'DB animal categories'!$C$10:$AH$21,11,FALSE)/6.25)+(1.8*(VLOOKUP(D9,'DB animal categories'!$C$10:$AH$21,8,FALSE)/VLOOKUP(D9,'DB animal categories'!$C$10:$AH$21,27,FALSE))^2/6.25)+(20*VLOOKUP(D9,'DB animal categories'!$C$10:$AH$21,8,FALSE)/VLOOKUP(D9,'DB animal categories'!$C$10:$AH$21,27,FALSE)/6.25))*365/1000*E9/1000))))</f>
        <v/>
      </c>
      <c r="L9" s="68" t="str">
        <f>IF(F9=1,"",IF(F9="","",IF(D9="","",IF(F9=2,M9*'DB additional information '!$N$4/100,(VLOOKUP(D9,'DB animal categories'!$C$10:$AH$21,8,FALSE)*VLOOKUP(D9,'DB animal categories'!$C$10:$AH$21,11,FALSE)/6.25/1000/1000-(('DB additional information '!$F$7-'DB additional information '!$F$6)*'DB additional information '!$F$8/1000/1000+'DB additional information '!$F$4*'DB additional information '!$F$5*'DB additional information '!$F$11/1000/1000+VLOOKUP(D9,'DB animal categories'!$C$10:$AH$21,2,FALSE)*VLOOKUP(D9,'DB animal categories'!$C$10:$AH$21,3,FALSE)/100/6.38/1000))*E9-K9))))</f>
        <v/>
      </c>
      <c r="M9" s="58" t="str">
        <f>IF(F9=1,VLOOKUP(D9,'DB animal categories'!$C$10:$AM$21,29,FALSE)/1000*E9,IF(F9="","",IF(D9="","",IF(F9=2,VLOOKUP(D9,'DB animal categories'!$C$10:$AH$21,18,FALSE)*E9/1000,K9+L9))))</f>
        <v/>
      </c>
      <c r="N9" s="68" t="str">
        <f>IF(F9=1,"",IF(D9="","",IF(F9="","",IF(F9=2,P9-O9,VLOOKUP(D9,'DB animal categories'!$C$10:$AH$21,8,FALSE)*VLOOKUP(D9,'DB animal categories'!$C$10:$AH$21,12,FALSE)/1000/1000*E9-(('DB additional information '!$F$7-'DB additional information '!$F$6)*'DB additional information '!$F$9/1000/1000*E9+'DB additional information '!$F$4*'DB additional information '!$F$5*'DB additional information '!$F$12/1000/1000*E9+VLOOKUP(D9,'DB animal categories'!$C$10:$AH$21,2,FALSE)*'DB additional information '!$F$14/1000/1000*E9+O9)))))</f>
        <v/>
      </c>
      <c r="O9" s="68" t="str">
        <f>IF(F9=1,"",IF(D9="","",IF(F9="","",IF(F9=2,P9*'DB additional information '!$O$4/100,'DB additional information '!$F$6*'DB additional information '!$F$16/1000/1000/1000*VLOOKUP(D9,'DB animal categories'!$C$10:$AH$21,27,FALSE)*E9))))</f>
        <v/>
      </c>
      <c r="P9" s="58" t="str">
        <f>IF(F9=1,VLOOKUP(D9,'DB animal categories'!$C$10:$AM$21,31,FALSE)/1000*E9,IF(F9="","",IF(D9="","",IF(F9=2,E9*VLOOKUP(D9,'DB animal categories'!$C$10:$AH$21,21,FALSE)/1000,N9+O9))))</f>
        <v/>
      </c>
      <c r="Q9" s="68" t="str">
        <f>IF(F9=1,"",IF(F9="","",IF(D9="","",IF(F9=2,S9-R9,VLOOKUP(D9,'DB animal categories'!$C$10:$AH$21,8,FALSE)*'DB additional information '!$F$17/1000/1000*E9))))</f>
        <v/>
      </c>
      <c r="R9" s="68" t="str">
        <f>IF(F9=1,"",IF(F9="","",IF(D9="","",IF(F9=2,S9*'DB additional information '!$P$4/100,VLOOKUP(D9,'DB animal categories'!$C$10:$AH$21,8,FALSE)*VLOOKUP(D9,'DB animal categories'!$C$10:$AH$21,13,FALSE)/1000/1000*E9-(('DB additional information '!$F$7-'DB additional information '!$F$6)*'DB additional information '!$F$10/1000/1000*E9+'DB additional information '!$F$4*'DB additional information '!$F$5*'DB additional information '!$F$13/1000/1000*E9+VLOOKUP(D9,'DB animal categories'!$C$10:$AH$21,2,FALSE)*'DB additional information '!$F$15/1000/1000*E9+Q9)))))</f>
        <v/>
      </c>
      <c r="S9" s="58" t="str">
        <f>IF(F9=1,VLOOKUP(D9,'DB animal categories'!$C$10:$AM$21,32,FALSE)/1000*E9,IF(F9="","",IF(D9="","",IF(F9=2,E9*VLOOKUP(D9,'DB animal categories'!$C$10:$AH$21,24,FALSE)/1000,Q9+R9))))</f>
        <v/>
      </c>
      <c r="T9" s="58" t="str">
        <f>IF(D9="","",IF(F9=1,VLOOKUP(D9,'DB animal categories'!$C$10:$AM$21,33,FALSE)*E9,I9/VLOOKUP(D9,'DB animal categories'!$C$10:$AH$21,27,FALSE)*(VLOOKUP(D9,'DB animal categories'!$C$10:$AH$21,25,FALSE)*VLOOKUP(D9,'DB animal categories'!$C$10:$AH$21,26,FALSE)/24)))</f>
        <v/>
      </c>
      <c r="U9" s="58" t="str">
        <f>IF(D9="","",IF(F9=1,VLOOKUP(D9,'DB animal categories'!$C$10:$AM$21,34,FALSE)*E9/1000,M9/VLOOKUP(D9,'DB animal categories'!$C$12:$AH$21,27,FALSE)*(VLOOKUP(D9,'DB animal categories'!$C$12:$AH$21,25,FALSE)*VLOOKUP(D9,'DB animal categories'!$C$12:$AH$21,26,FALSE)/24)))</f>
        <v/>
      </c>
      <c r="V9" s="606">
        <f>IF(K9="",0,L9/M9*U9*'DB technologies'!$AT$11/100)</f>
        <v>0</v>
      </c>
      <c r="W9" s="606">
        <f>IF(K9="",0,(U9-V9)*'DB technologies'!$AU$11/100)</f>
        <v>0</v>
      </c>
      <c r="X9" s="58" t="str">
        <f>IF(D9="","",IF(F9=1,VLOOKUP(D9,'DB animal categories'!$C$10:$AM$21,36,FALSE)*E9/1000,P9/VLOOKUP(D9,'DB animal categories'!$C$10:$AH$21,27,FALSE)*(VLOOKUP(D9,'DB animal categories'!$C$10:$AH$21,25,FALSE)*VLOOKUP(D9,'DB animal categories'!$C$10:$AH$21,26,FALSE)/24)))</f>
        <v/>
      </c>
      <c r="Y9" s="63" t="str">
        <f>IF(D9="","",IF(F9=1,VLOOKUP(D9,'DB animal categories'!$C$10:$AM$21,37,FALSE)*E9/1000,S9/VLOOKUP(D9,'DB animal categories'!$C$10:$AH$21,27,FALSE)*(VLOOKUP(D9,'DB animal categories'!$C$10:$AH$21,25,FALSE)*VLOOKUP(D9,'DB animal categories'!$C$10:$AH$21,26,FALSE)/24)))</f>
        <v/>
      </c>
      <c r="AA9" s="82"/>
      <c r="AB9" s="82"/>
    </row>
    <row r="10" spans="2:30" ht="11.25" customHeight="1" x14ac:dyDescent="0.2">
      <c r="B10" s="670"/>
      <c r="C10" s="673"/>
      <c r="D10" s="1404"/>
      <c r="E10" s="1405"/>
      <c r="F10" s="1405"/>
      <c r="G10" s="57" t="str">
        <f>IF(F10=1,"",IF(D10="","",IF(F10=2,I10*VLOOKUP($C$8,'DB additional information '!$X$4:$AB$25,4,FALSE)/100,VLOOKUP(D10,'DB animal categories'!$C$12:$AH$21,8,FALSE)*(1-(VLOOKUP(D10,'DB animal categories'!$C$12:$AH$21,10,FALSE)/100))/('DB additional information '!$K$4/100)/1000*E10)))</f>
        <v/>
      </c>
      <c r="H10" s="57" t="str">
        <f>IF(F10=1,"",IF(D10="","",IF(F10=2,I10-G10,G10/'DB additional information '!$M$4)))</f>
        <v/>
      </c>
      <c r="I10" s="58" t="str">
        <f>IF(F10=1,VLOOKUP(D10,'DB animal categories'!$C$10:$AM$21,28,FALSE)*E10,IF(F10="","",IF(D10="","",IF(F10=2,VLOOKUP(D10,'DB animal categories'!$C$10:$AH$21,14,FALSE)*E10,G10+H10))))</f>
        <v/>
      </c>
      <c r="J10" s="58" t="str">
        <f>IF(F10=1,VLOOKUP(D10,'DB animal categories'!$C$10:$AN$21,38,FALSE),IF(E10="","",IF(F10="","",IF(D10="","",IF(F10=2,VLOOKUP(D10,'DB animal categories'!$C$10:$AH$21,15,FALSE),(G10*'DB additional information '!$K$4/100+H10*'DB additional information '!$L$4/100)/I10*100)))))</f>
        <v/>
      </c>
      <c r="K10" s="68" t="str">
        <f>IF(F10=1,"",IF(F10="","",IF(D10="","",IF(F10=2,M10-L10,((0.04*VLOOKUP(D10,'DB animal categories'!$C$10:$AH$21,8,FALSE)/VLOOKUP(D10,'DB animal categories'!$C$10:$AH$21,27,FALSE)*VLOOKUP(D10,'DB animal categories'!$C$10:$AH$21,11,FALSE)/6.25)+(1.8*(VLOOKUP(D10,'DB animal categories'!$C$10:$AH$21,8,FALSE)/VLOOKUP(D10,'DB animal categories'!$C$10:$AH$21,27,FALSE))^2/6.25)+(20*VLOOKUP(D10,'DB animal categories'!$C$10:$AH$21,8,FALSE)/VLOOKUP(D10,'DB animal categories'!$C$10:$AH$21,27,FALSE)/6.25))*365/1000*E10/1000))))</f>
        <v/>
      </c>
      <c r="L10" s="68" t="str">
        <f>IF(F10=1,"",IF(F10="","",IF(D10="","",IF(F10=2,M10*'DB additional information '!$N$4/100,(VLOOKUP(D10,'DB animal categories'!$C$10:$AH$21,8,FALSE)*VLOOKUP(D10,'DB animal categories'!$C$10:$AH$21,11,FALSE)/6.25/1000/1000-(('DB additional information '!$F$7-'DB additional information '!$F$6)*'DB additional information '!$F$8/1000/1000+'DB additional information '!$F$4*'DB additional information '!$F$5*'DB additional information '!$F$11/1000/1000+VLOOKUP(D10,'DB animal categories'!$C$10:$AH$21,2,FALSE)*VLOOKUP(D10,'DB animal categories'!$C$10:$AH$21,3,FALSE)/100/6.38/1000))*E10-K10))))</f>
        <v/>
      </c>
      <c r="M10" s="58" t="str">
        <f>IF(F10=1,VLOOKUP(D10,'DB animal categories'!$C$10:$AM$21,29,FALSE)/1000*E10,IF(F10="","",IF(D10="","",IF(F10=2,VLOOKUP(D10,'DB animal categories'!$C$10:$AH$21,18,FALSE)*E10/1000,K10+L10))))</f>
        <v/>
      </c>
      <c r="N10" s="68" t="str">
        <f>IF(F10=1,"",IF(D10="","",IF(F10="","",IF(F10=2,P10-O10,VLOOKUP(D10,'DB animal categories'!$C$10:$AH$21,8,FALSE)*VLOOKUP(D10,'DB animal categories'!$C$10:$AH$21,12,FALSE)/1000/1000*E10-(('DB additional information '!$F$7-'DB additional information '!$F$6)*'DB additional information '!$F$9/1000/1000*E10+'DB additional information '!$F$4*'DB additional information '!$F$5*'DB additional information '!$F$12/1000/1000*E10+VLOOKUP(D10,'DB animal categories'!$C$10:$AH$21,2,FALSE)*'DB additional information '!$F$14/1000/1000*E10+O10)))))</f>
        <v/>
      </c>
      <c r="O10" s="68" t="str">
        <f>IF(F10=1,"",IF(D10="","",IF(F10="","",IF(F10=2,P10*'DB additional information '!$O$4/100,'DB additional information '!$F$6*'DB additional information '!$F$16/1000/1000/1000*VLOOKUP(D10,'DB animal categories'!$C$10:$AH$21,27,FALSE)*E10))))</f>
        <v/>
      </c>
      <c r="P10" s="58" t="str">
        <f>IF(F10=1,VLOOKUP(D10,'DB animal categories'!$C$10:$AM$21,31,FALSE)/1000*E10,IF(F10="","",IF(D10="","",IF(F10=2,E10*VLOOKUP(D10,'DB animal categories'!$C$10:$AH$21,21,FALSE)/1000,N10+O10))))</f>
        <v/>
      </c>
      <c r="Q10" s="68" t="str">
        <f>IF(F10=1,"",IF(F10="","",IF(D10="","",IF(F10=2,S10-R10,VLOOKUP(D10,'DB animal categories'!$C$10:$AH$21,8,FALSE)*'DB additional information '!$F$17/1000/1000*E10))))</f>
        <v/>
      </c>
      <c r="R10" s="68" t="str">
        <f>IF(F10=1,"",IF(F10="","",IF(D10="","",IF(F10=2,S10*'DB additional information '!$P$4/100,VLOOKUP(D10,'DB animal categories'!$C$10:$AH$21,8,FALSE)*VLOOKUP(D10,'DB animal categories'!$C$10:$AH$21,13,FALSE)/1000/1000*E10-(('DB additional information '!$F$7-'DB additional information '!$F$6)*'DB additional information '!$F$10/1000/1000*E10+'DB additional information '!$F$4*'DB additional information '!$F$5*'DB additional information '!$F$13/1000/1000*E10+VLOOKUP(D10,'DB animal categories'!$C$10:$AH$21,2,FALSE)*'DB additional information '!$F$15/1000/1000*E10+Q10)))))</f>
        <v/>
      </c>
      <c r="S10" s="58" t="str">
        <f>IF(F10=1,VLOOKUP(D10,'DB animal categories'!$C$10:$AM$21,32,FALSE)/1000*E10,IF(F10="","",IF(D10="","",IF(F10=2,E10*VLOOKUP(D10,'DB animal categories'!$C$10:$AH$21,24,FALSE)/1000,Q10+R10))))</f>
        <v/>
      </c>
      <c r="T10" s="58" t="str">
        <f>IF(D10="","",IF(F10=1,VLOOKUP(D10,'DB animal categories'!$C$10:$AM$21,33,FALSE)*E10,I10/VLOOKUP(D10,'DB animal categories'!$C$10:$AH$21,27,FALSE)*(VLOOKUP(D10,'DB animal categories'!$C$10:$AH$21,25,FALSE)*VLOOKUP(D10,'DB animal categories'!$C$10:$AH$21,26,FALSE)/24)))</f>
        <v/>
      </c>
      <c r="U10" s="58" t="str">
        <f>IF(D10="","",IF(F10=1,VLOOKUP(D10,'DB animal categories'!$C$10:$AM$21,34,FALSE)*E10/1000,M10/VLOOKUP(D10,'DB animal categories'!$C$12:$AH$21,27,FALSE)*(VLOOKUP(D10,'DB animal categories'!$C$12:$AH$21,25,FALSE)*VLOOKUP(D10,'DB animal categories'!$C$12:$AH$21,26,FALSE)/24)))</f>
        <v/>
      </c>
      <c r="V10" s="606">
        <f>IF(K10="",0,L10/M10*U10*'DB technologies'!$AT$11/100)</f>
        <v>0</v>
      </c>
      <c r="W10" s="606">
        <f>IF(K10="",0,(U10-V10)*'DB technologies'!$AU$11/100)</f>
        <v>0</v>
      </c>
      <c r="X10" s="58" t="str">
        <f>IF(D10="","",IF(F10=1,VLOOKUP(D10,'DB animal categories'!$C$10:$AM$21,36,FALSE)*E10/1000,P10/VLOOKUP(D10,'DB animal categories'!$C$10:$AH$21,27,FALSE)*(VLOOKUP(D10,'DB animal categories'!$C$10:$AH$21,25,FALSE)*VLOOKUP(D10,'DB animal categories'!$C$10:$AH$21,26,FALSE)/24)))</f>
        <v/>
      </c>
      <c r="Y10" s="63" t="str">
        <f>IF(D10="","",IF(F10=1,VLOOKUP(D10,'DB animal categories'!$C$10:$AM$21,37,FALSE)*E10/1000,S10/VLOOKUP(D10,'DB animal categories'!$C$10:$AH$21,27,FALSE)*(VLOOKUP(D10,'DB animal categories'!$C$10:$AH$21,25,FALSE)*VLOOKUP(D10,'DB animal categories'!$C$10:$AH$21,26,FALSE)/24)))</f>
        <v/>
      </c>
      <c r="AB10" s="82"/>
      <c r="AC10" s="82"/>
      <c r="AD10" s="82"/>
    </row>
    <row r="11" spans="2:30" ht="11.25" customHeight="1" x14ac:dyDescent="0.2">
      <c r="B11" s="670"/>
      <c r="C11" s="673"/>
      <c r="D11" s="1404"/>
      <c r="E11" s="1405"/>
      <c r="F11" s="1405"/>
      <c r="G11" s="57" t="str">
        <f>IF(F11=1,"",IF(D11="","",IF(F11=2,I11*VLOOKUP($C$8,'DB additional information '!$X$4:$AB$25,4,FALSE)/100,VLOOKUP(D11,'DB animal categories'!$C$12:$AH$21,8,FALSE)*(1-(VLOOKUP(D11,'DB animal categories'!$C$12:$AH$21,10,FALSE)/100))/('DB additional information '!$K$4/100)/1000*E11)))</f>
        <v/>
      </c>
      <c r="H11" s="57" t="str">
        <f>IF(F11=1,"",IF(D11="","",IF(F11=2,I11-G11,G11/'DB additional information '!$M$4)))</f>
        <v/>
      </c>
      <c r="I11" s="58" t="str">
        <f>IF(F11=1,VLOOKUP(D11,'DB animal categories'!$C$10:$AM$21,28,FALSE)*E11,IF(F11="","",IF(D11="","",IF(F11=2,VLOOKUP(D11,'DB animal categories'!$C$10:$AH$21,14,FALSE)*E11,G11+H11))))</f>
        <v/>
      </c>
      <c r="J11" s="58" t="str">
        <f>IF(F11=1,VLOOKUP(D11,'DB animal categories'!$C$10:$AN$21,38,FALSE),IF(E11="","",IF(F11="","",IF(D11="","",IF(F11=2,VLOOKUP(D11,'DB animal categories'!$C$10:$AH$21,15,FALSE),(G11*'DB additional information '!$K$4/100+H11*'DB additional information '!$L$4/100)/I11*100)))))</f>
        <v/>
      </c>
      <c r="K11" s="68" t="str">
        <f>IF(F11=1,"",IF(F11="","",IF(D11="","",IF(F11=2,M11-L11,((0.04*VLOOKUP(D11,'DB animal categories'!$C$10:$AH$21,8,FALSE)/VLOOKUP(D11,'DB animal categories'!$C$10:$AH$21,27,FALSE)*VLOOKUP(D11,'DB animal categories'!$C$10:$AH$21,11,FALSE)/6.25)+(1.8*(VLOOKUP(D11,'DB animal categories'!$C$10:$AH$21,8,FALSE)/VLOOKUP(D11,'DB animal categories'!$C$10:$AH$21,27,FALSE))^2/6.25)+(20*VLOOKUP(D11,'DB animal categories'!$C$10:$AH$21,8,FALSE)/VLOOKUP(D11,'DB animal categories'!$C$10:$AH$21,27,FALSE)/6.25))*365/1000*E11/1000))))</f>
        <v/>
      </c>
      <c r="L11" s="68" t="str">
        <f>IF(F11=1,"",IF(F11="","",IF(D11="","",IF(F11=2,M11*'DB additional information '!$N$4/100,(VLOOKUP(D11,'DB animal categories'!$C$10:$AH$21,8,FALSE)*VLOOKUP(D11,'DB animal categories'!$C$10:$AH$21,11,FALSE)/6.25/1000/1000-(('DB additional information '!$F$7-'DB additional information '!$F$6)*'DB additional information '!$F$8/1000/1000+'DB additional information '!$F$4*'DB additional information '!$F$5*'DB additional information '!$F$11/1000/1000+VLOOKUP(D11,'DB animal categories'!$C$10:$AH$21,2,FALSE)*VLOOKUP(D11,'DB animal categories'!$C$10:$AH$21,3,FALSE)/100/6.38/1000))*E11-K11))))</f>
        <v/>
      </c>
      <c r="M11" s="58" t="str">
        <f>IF(F11=1,VLOOKUP(D11,'DB animal categories'!$C$10:$AM$21,29,FALSE)/1000*E11,IF(F11="","",IF(D11="","",IF(F11=2,VLOOKUP(D11,'DB animal categories'!$C$10:$AH$21,18,FALSE)*E11/1000,K11+L11))))</f>
        <v/>
      </c>
      <c r="N11" s="68" t="str">
        <f>IF(F11=1,"",IF(D11="","",IF(F11="","",IF(F11=2,P11-O11,VLOOKUP(D11,'DB animal categories'!$C$10:$AH$21,8,FALSE)*VLOOKUP(D11,'DB animal categories'!$C$10:$AH$21,12,FALSE)/1000/1000*E11-(('DB additional information '!$F$7-'DB additional information '!$F$6)*'DB additional information '!$F$9/1000/1000*E11+'DB additional information '!$F$4*'DB additional information '!$F$5*'DB additional information '!$F$12/1000/1000*E11+VLOOKUP(D11,'DB animal categories'!$C$10:$AH$21,2,FALSE)*'DB additional information '!$F$14/1000/1000*E11+O11)))))</f>
        <v/>
      </c>
      <c r="O11" s="68" t="str">
        <f>IF(F11=1,"",IF(D11="","",IF(F11="","",IF(F11=2,P11*'DB additional information '!$O$4/100,'DB additional information '!$F$6*'DB additional information '!$F$16/1000/1000/1000*VLOOKUP(D11,'DB animal categories'!$C$10:$AH$21,27,FALSE)*E11))))</f>
        <v/>
      </c>
      <c r="P11" s="58" t="str">
        <f>IF(F11=1,VLOOKUP(D11,'DB animal categories'!$C$10:$AM$21,31,FALSE)/1000*E11,IF(F11="","",IF(D11="","",IF(F11=2,E11*VLOOKUP(D11,'DB animal categories'!$C$10:$AH$21,21,FALSE)/1000,N11+O11))))</f>
        <v/>
      </c>
      <c r="Q11" s="68" t="str">
        <f>IF(F11=1,"",IF(F11="","",IF(D11="","",IF(F11=2,S11-R11,VLOOKUP(D11,'DB animal categories'!$C$10:$AH$21,8,FALSE)*'DB additional information '!$F$17/1000/1000*E11))))</f>
        <v/>
      </c>
      <c r="R11" s="68" t="str">
        <f>IF(F11=1,"",IF(F11="","",IF(D11="","",IF(F11=2,S11*'DB additional information '!$P$4/100,VLOOKUP(D11,'DB animal categories'!$C$10:$AH$21,8,FALSE)*VLOOKUP(D11,'DB animal categories'!$C$10:$AH$21,13,FALSE)/1000/1000*E11-(('DB additional information '!$F$7-'DB additional information '!$F$6)*'DB additional information '!$F$10/1000/1000*E11+'DB additional information '!$F$4*'DB additional information '!$F$5*'DB additional information '!$F$13/1000/1000*E11+VLOOKUP(D11,'DB animal categories'!$C$10:$AH$21,2,FALSE)*'DB additional information '!$F$15/1000/1000*E11+Q11)))))</f>
        <v/>
      </c>
      <c r="S11" s="58" t="str">
        <f>IF(F11=1,VLOOKUP(D11,'DB animal categories'!$C$10:$AM$21,32,FALSE)/1000*E11,IF(F11="","",IF(D11="","",IF(F11=2,E11*VLOOKUP(D11,'DB animal categories'!$C$10:$AH$21,24,FALSE)/1000,Q11+R11))))</f>
        <v/>
      </c>
      <c r="T11" s="58" t="str">
        <f>IF(D11="","",IF(F11=1,VLOOKUP(D11,'DB animal categories'!$C$10:$AM$21,33,FALSE)*E11,I11/VLOOKUP(D11,'DB animal categories'!$C$10:$AH$21,27,FALSE)*(VLOOKUP(D11,'DB animal categories'!$C$10:$AH$21,25,FALSE)*VLOOKUP(D11,'DB animal categories'!$C$10:$AH$21,26,FALSE)/24)))</f>
        <v/>
      </c>
      <c r="U11" s="58" t="str">
        <f>IF(D11="","",IF(F11=1,VLOOKUP(D11,'DB animal categories'!$C$10:$AM$21,34,FALSE)*E11/1000,M11/VLOOKUP(D11,'DB animal categories'!$C$12:$AH$21,27,FALSE)*(VLOOKUP(D11,'DB animal categories'!$C$12:$AH$21,25,FALSE)*VLOOKUP(D11,'DB animal categories'!$C$12:$AH$21,26,FALSE)/24)))</f>
        <v/>
      </c>
      <c r="V11" s="606">
        <f>IF(K11="",0,L11/M11*U11*'DB technologies'!$AT$11/100)</f>
        <v>0</v>
      </c>
      <c r="W11" s="606">
        <f>IF(K11="",0,(U11-V11)*'DB technologies'!$AU$11/100)</f>
        <v>0</v>
      </c>
      <c r="X11" s="58" t="str">
        <f>IF(D11="","",IF(F11=1,VLOOKUP(D11,'DB animal categories'!$C$10:$AM$21,36,FALSE)*E11/1000,P11/VLOOKUP(D11,'DB animal categories'!$C$10:$AH$21,27,FALSE)*(VLOOKUP(D11,'DB animal categories'!$C$10:$AH$21,25,FALSE)*VLOOKUP(D11,'DB animal categories'!$C$10:$AH$21,26,FALSE)/24)))</f>
        <v/>
      </c>
      <c r="Y11" s="63" t="str">
        <f>IF(D11="","",IF(F11=1,VLOOKUP(D11,'DB animal categories'!$C$10:$AM$21,37,FALSE)*E11/1000,S11/VLOOKUP(D11,'DB animal categories'!$C$10:$AH$21,27,FALSE)*(VLOOKUP(D11,'DB animal categories'!$C$10:$AH$21,25,FALSE)*VLOOKUP(D11,'DB animal categories'!$C$10:$AH$21,26,FALSE)/24)))</f>
        <v/>
      </c>
    </row>
    <row r="12" spans="2:30" ht="11.25" customHeight="1" thickBot="1" x14ac:dyDescent="0.25">
      <c r="B12" s="670"/>
      <c r="C12" s="673"/>
      <c r="D12" s="1406"/>
      <c r="E12" s="1407"/>
      <c r="F12" s="1407"/>
      <c r="G12" s="89" t="str">
        <f>IF(F12=1,"",IF(D12="","",IF(F12=2,I12*VLOOKUP($C$8,'DB additional information '!$X$4:$AB$25,4,FALSE)/100,VLOOKUP(D12,'DB animal categories'!$C$12:$AH$21,8,FALSE)*(1-(VLOOKUP(D12,'DB animal categories'!$C$12:$AH$21,10,FALSE)/100))/('DB additional information '!$K$4/100)/1000*E12)))</f>
        <v/>
      </c>
      <c r="H12" s="89" t="str">
        <f>IF(F12=1,"",IF(D12="","",IF(F12=2,I12-G12,G12/'DB additional information '!$M$4)))</f>
        <v/>
      </c>
      <c r="I12" s="220" t="str">
        <f>IF(F12=1,VLOOKUP(D12,'DB animal categories'!$C$10:$AM$21,28,FALSE)*E12,IF(F12="","",IF(D12="","",IF(F12=2,VLOOKUP(D12,'DB animal categories'!$C$10:$AH$21,14,FALSE)*E12,G12+H12))))</f>
        <v/>
      </c>
      <c r="J12" s="220" t="str">
        <f>IF(F12=1,VLOOKUP(D12,'DB animal categories'!$C$10:$AN$21,38,FALSE),IF(E12="","",IF(F12="","",IF(D12="","",IF(F12=2,VLOOKUP(D12,'DB animal categories'!$C$10:$AH$21,15,FALSE),(G12*'DB additional information '!$K$4/100+H12*'DB additional information '!$L$4/100)/I12*100)))))</f>
        <v/>
      </c>
      <c r="K12" s="219" t="str">
        <f>IF(F12=1,"",IF(F12="","",IF(D12="","",IF(F12=2,M12-L12,((0.04*VLOOKUP(D12,'DB animal categories'!$C$10:$AH$21,8,FALSE)/VLOOKUP(D12,'DB animal categories'!$C$10:$AH$21,27,FALSE)*VLOOKUP(D12,'DB animal categories'!$C$10:$AH$21,11,FALSE)/6.25)+(1.8*(VLOOKUP(D12,'DB animal categories'!$C$10:$AH$21,8,FALSE)/VLOOKUP(D12,'DB animal categories'!$C$10:$AH$21,27,FALSE))^2/6.25)+(20*VLOOKUP(D12,'DB animal categories'!$C$10:$AH$21,8,FALSE)/VLOOKUP(D12,'DB animal categories'!$C$10:$AH$21,27,FALSE)/6.25))*365/1000*E12/1000))))</f>
        <v/>
      </c>
      <c r="L12" s="219" t="str">
        <f>IF(F12=1,"",IF(F12="","",IF(D12="","",IF(F12=2,M12*'DB additional information '!$N$4/100,(VLOOKUP(D12,'DB animal categories'!$C$10:$AH$21,8,FALSE)*VLOOKUP(D12,'DB animal categories'!$C$10:$AH$21,11,FALSE)/6.25/1000/1000-(('DB additional information '!$F$7-'DB additional information '!$F$6)*'DB additional information '!$F$8/1000/1000+'DB additional information '!$F$4*'DB additional information '!$F$5*'DB additional information '!$F$11/1000/1000+VLOOKUP(D12,'DB animal categories'!$C$10:$AH$21,2,FALSE)*VLOOKUP(D12,'DB animal categories'!$C$10:$AH$21,3,FALSE)/100/6.38/1000))*E12-K12))))</f>
        <v/>
      </c>
      <c r="M12" s="220" t="str">
        <f>IF(F12=1,VLOOKUP(D12,'DB animal categories'!$C$10:$AM$21,29,FALSE)/1000*E12,IF(F12="","",IF(D12="","",IF(F12=2,VLOOKUP(D12,'DB animal categories'!$C$10:$AH$21,18,FALSE)*E12/1000,K12+L12))))</f>
        <v/>
      </c>
      <c r="N12" s="219" t="str">
        <f>IF(F12=1,"",IF(D12="","",IF(F12="","",IF(F12=2,P12-O12,VLOOKUP(D12,'DB animal categories'!$C$10:$AH$21,8,FALSE)*VLOOKUP(D12,'DB animal categories'!$C$10:$AH$21,12,FALSE)/1000/1000*E12-(('DB additional information '!$F$7-'DB additional information '!$F$6)*'DB additional information '!$F$9/1000/1000*E12+'DB additional information '!$F$4*'DB additional information '!$F$5*'DB additional information '!$F$12/1000/1000*E12+VLOOKUP(D12,'DB animal categories'!$C$10:$AH$21,2,FALSE)*'DB additional information '!$F$14/1000/1000*E12+O12)))))</f>
        <v/>
      </c>
      <c r="O12" s="219" t="str">
        <f>IF(F12=1,"",IF(D12="","",IF(F12="","",IF(F12=2,P12*'DB additional information '!$O$4/100,'DB additional information '!$F$6*'DB additional information '!$F$16/1000/1000/1000*VLOOKUP(D12,'DB animal categories'!$C$10:$AH$21,27,FALSE)*E12))))</f>
        <v/>
      </c>
      <c r="P12" s="220" t="str">
        <f>IF(F12=1,VLOOKUP(D12,'DB animal categories'!$C$10:$AM$21,31,FALSE)/1000*E12,IF(F12="","",IF(D12="","",IF(F12=2,E12*VLOOKUP(D12,'DB animal categories'!$C$10:$AH$21,21,FALSE)/1000,N12+O12))))</f>
        <v/>
      </c>
      <c r="Q12" s="219" t="str">
        <f>IF(F12=1,"",IF(F12="","",IF(D12="","",IF(F12=2,S12-R12,VLOOKUP(D12,'DB animal categories'!$C$10:$AH$21,8,FALSE)*'DB additional information '!$F$17/1000/1000*E12))))</f>
        <v/>
      </c>
      <c r="R12" s="219" t="str">
        <f>IF(F12=1,"",IF(F12="","",IF(D12="","",IF(F12=2,S12*'DB additional information '!$P$4/100,VLOOKUP(D12,'DB animal categories'!$C$10:$AH$21,8,FALSE)*VLOOKUP(D12,'DB animal categories'!$C$10:$AH$21,13,FALSE)/1000/1000*E12-(('DB additional information '!$F$7-'DB additional information '!$F$6)*'DB additional information '!$F$10/1000/1000*E12+'DB additional information '!$F$4*'DB additional information '!$F$5*'DB additional information '!$F$13/1000/1000*E12+VLOOKUP(D12,'DB animal categories'!$C$10:$AH$21,2,FALSE)*'DB additional information '!$F$15/1000/1000*E12+Q12)))))</f>
        <v/>
      </c>
      <c r="S12" s="220" t="str">
        <f>IF(F12=1,VLOOKUP(D12,'DB animal categories'!$C$10:$AM$21,32,FALSE)/1000*E12,IF(F12="","",IF(D12="","",IF(F12=2,E12*VLOOKUP(D12,'DB animal categories'!$C$10:$AH$21,24,FALSE)/1000,Q12+R12))))</f>
        <v/>
      </c>
      <c r="T12" s="220" t="str">
        <f>IF(D12="","",IF(F12=1,VLOOKUP(D12,'DB animal categories'!$C$10:$AM$21,33,FALSE)*E12,I12/VLOOKUP(D12,'DB animal categories'!$C$10:$AH$21,27,FALSE)*(VLOOKUP(D12,'DB animal categories'!$C$10:$AH$21,25,FALSE)*VLOOKUP(D12,'DB animal categories'!$C$10:$AH$21,26,FALSE)/24)))</f>
        <v/>
      </c>
      <c r="U12" s="220" t="str">
        <f>IF(D12="","",IF(F12=1,VLOOKUP(D12,'DB animal categories'!$C$10:$AM$21,34,FALSE)*E12/1000,M12/VLOOKUP(D12,'DB animal categories'!$C$12:$AH$21,27,FALSE)*(VLOOKUP(D12,'DB animal categories'!$C$12:$AH$21,25,FALSE)*VLOOKUP(D12,'DB animal categories'!$C$12:$AH$21,26,FALSE)/24)))</f>
        <v/>
      </c>
      <c r="V12" s="608">
        <f>IF(K12="",0,L12/M12*U12*'DB technologies'!$AT$11/100)</f>
        <v>0</v>
      </c>
      <c r="W12" s="608">
        <f>IF(K12="",0,(U12-V12)*'DB technologies'!$AU$11/100)</f>
        <v>0</v>
      </c>
      <c r="X12" s="220" t="str">
        <f>IF(D12="","",IF(F12=1,VLOOKUP(D12,'DB animal categories'!$C$10:$AM$21,36,FALSE)*E12/1000,P12/VLOOKUP(D12,'DB animal categories'!$C$10:$AH$21,27,FALSE)*(VLOOKUP(D12,'DB animal categories'!$C$10:$AH$21,25,FALSE)*VLOOKUP(D12,'DB animal categories'!$C$10:$AH$21,26,FALSE)/24)))</f>
        <v/>
      </c>
      <c r="Y12" s="221" t="str">
        <f>IF(D12="","",IF(F12=1,VLOOKUP(D12,'DB animal categories'!$C$10:$AM$21,37,FALSE)*E12/1000,S12/VLOOKUP(D12,'DB animal categories'!$C$10:$AH$21,27,FALSE)*(VLOOKUP(D12,'DB animal categories'!$C$10:$AH$21,25,FALSE)*VLOOKUP(D12,'DB animal categories'!$C$10:$AH$21,26,FALSE)/24)))</f>
        <v/>
      </c>
    </row>
    <row r="13" spans="2:30" ht="11.25" customHeight="1" x14ac:dyDescent="0.2">
      <c r="B13" s="670"/>
      <c r="C13" s="678" t="s">
        <v>69</v>
      </c>
      <c r="D13" s="1408"/>
      <c r="E13" s="1402"/>
      <c r="F13" s="1402"/>
      <c r="G13" s="59" t="str">
        <f>IF(F13=1,"",IF(D13="","",IF(F13=2,I13*VLOOKUP($C$13,'DB additional information '!$X$4:$AB$25,4,FALSE)/100,VLOOKUP(D13,'DB animal categories'!$C$22:$AH$31,8,FALSE)*(1-(VLOOKUP(D13,'DB animal categories'!$C$22:$AH$31,10,FALSE)/100))/('DB additional information '!$K$5/100)/1000*E13)))</f>
        <v/>
      </c>
      <c r="H13" s="59" t="str">
        <f>IF(F13=1,"",IF(D13="","",IF(F13=2,I13-G13,G13/'DB additional information '!$M$5)))</f>
        <v/>
      </c>
      <c r="I13" s="61" t="str">
        <f>IF(F13=1,VLOOKUP(D13,'DB animal categories'!$C$22:$AM$31,31,FALSE)*E13,IF(F13="","",IF(D13="","",IF(F13=2,VLOOKUP(D13,'DB animal categories'!$C$22:$AH$31,14,FALSE)*E13,G13+H13))))</f>
        <v/>
      </c>
      <c r="J13" s="61" t="str">
        <f>IF(F13=1,VLOOKUP(D13,'DB animal categories'!$C$22:$AN$31,38,FALSE),IF(E13="","",IF(F13="","",IF(D13="","",IF(F13=2,VLOOKUP(D13,'DB animal categories'!$C$22:$AH$31,15,FALSE),(G13*'DB additional information '!$K$5/100+H13*'DB additional information '!$L$5/100)/I13*100)))))</f>
        <v/>
      </c>
      <c r="K13" s="74" t="str">
        <f>IF(F13=1,"",IF(F13="","",IF(D13="","",IF(F13=2,M13-L13,((VLOOKUP(D13,'DB animal categories'!$C$22:$AH$31,8,FALSE)*VLOOKUP(D13,'DB animal categories'!$C$22:$AH$31,11,FALSE)/VLOOKUP(D13,'DB animal categories'!$C$22:$AH$31,27,FALSE)/6.25-VLOOKUP(D13,'DB animal categories'!$C$22:$AH$31,8,FALSE)/VLOOKUP(D13,'DB animal categories'!$C$22:$AH$31,27,FALSE)*((0.93*VLOOKUP(D13,'DB animal categories'!$C$22:$AH$31,11,FALSE))-30)/6.25)*VLOOKUP(D13,'DB animal categories'!$C$22:$AH$31,27,FALSE)/1000*E13/1000)))))</f>
        <v/>
      </c>
      <c r="L13" s="74" t="str">
        <f>IF(F13=1,"",IF(F13="","",IF(D13="","",IF(F13=2,M13*'DB additional information '!$N$5/100,((VLOOKUP(D13,'DB animal categories'!$C$22:$AH$31,8,FALSE)*VLOOKUP(D13,'DB animal categories'!$C$22:$AH$31,11,FALSE)/6.25/1000/1000-(VLOOKUP(D13,'DB animal categories'!$C$22:$AH$31,7,FALSE)*'DB additional information '!$F$18/1000/1000))*E13)-K13))))</f>
        <v/>
      </c>
      <c r="M13" s="66" t="str">
        <f>IF(F13=1,"",IF(F13="","",IF(D13="","",IF(F13=2,VLOOKUP(D13,'DB animal categories'!$C$22:$AH$31,18,FALSE)*E13/1000,K13+L13))))</f>
        <v/>
      </c>
      <c r="N13" s="74" t="str">
        <f>IF(F13=1,"",IF(D13="","",IF(F13="","",IF(F13=2,P13-O13,(VLOOKUP(D13,'DB animal categories'!$C$22:$AH$31,8,FALSE)*VLOOKUP(D13,'DB animal categories'!$C$22:$AH$31,12,FALSE)/1000/1000-VLOOKUP(D13,'DB animal categories'!$C$22:$AH$31,7,FALSE)*'DB additional information '!$F$19/1000/1000)*E13-O13))))</f>
        <v/>
      </c>
      <c r="O13" s="74" t="str">
        <f>IF(F13=1,"",IF(D13="","",IF(F13="","",IF(F13=2,P13*'DB additional information '!$O$5/100,VLOOKUP(D13,'DB animal categories'!$C$22:$AH$31,8,FALSE)*VLOOKUP(D13,'DB animal categories'!$C$22:$AH$31,12,FALSE)*'DB additional information '!$F$26/100/1000/1000*E13))))</f>
        <v/>
      </c>
      <c r="P13" s="66" t="str">
        <f>IF(F13=1,"",IF(F13="","",IF(D13="","",IF(F13=2,E13*VLOOKUP(D13,'DB animal categories'!$C$22:$AH$31,21,FALSE)/1000,N13+O13))))</f>
        <v/>
      </c>
      <c r="Q13" s="74" t="str">
        <f>IF(F13=1,"",IF(F13="","",IF(D13="","",IF(F13=2,S13-R13,VLOOKUP(D13,'DB animal categories'!$C$22:$AH$31,8,FALSE)*'DB additional information '!$F$22/1000/1000*E13))))</f>
        <v/>
      </c>
      <c r="R13" s="74" t="str">
        <f>IF(F13=1,"",IF(F13="","",IF(D13="","",IF(F13=2,S13*'DB additional information '!$P$5/100,(VLOOKUP(D13,'DB animal categories'!$C$22:$AH$31,8,FALSE)*VLOOKUP(D13,'DB animal categories'!$C$22:$AH$31,13,FALSE)/1000/1000-VLOOKUP(D13,'DB animal categories'!$C$22:$AH$31,7,FALSE)*'DB additional information '!$F$20/1000/1000)*E13-Q13))))</f>
        <v/>
      </c>
      <c r="S13" s="66" t="str">
        <f>IF(F13=1,"",IF(F13="","",IF(D13="","",IF(F13=2,E13*VLOOKUP(D13,'DB animal categories'!$C$22:$AH$31,24,FALSE)/1000,Q13+R13))))</f>
        <v/>
      </c>
      <c r="T13" s="66" t="str">
        <f>IF(F13=1,"",IF(D13="","",IF(F13="","",I13/VLOOKUP(D13,'DB animal categories'!$C$22:$AH$31,27,FALSE)*(VLOOKUP(D13,'DB animal categories'!$C$22:$AH$31,25,FALSE)*VLOOKUP(D13,'DB animal categories'!$C$22:$AH$31,26,FALSE)/24))))</f>
        <v/>
      </c>
      <c r="U13" s="66" t="str">
        <f>IF(F13=1,"",IF(D13="","",IF(F13="","",M13/VLOOKUP(D13,'DB animal categories'!$C$22:$AH$31,27,FALSE)*(VLOOKUP(D13,'DB animal categories'!$C$22:$AH$31,25,FALSE)*VLOOKUP(D13,'DB animal categories'!$C$22:$AH$31,26,FALSE)/24))))</f>
        <v/>
      </c>
      <c r="V13" s="609">
        <f>IF(K13="",0,L13/M13*U13*'DB technologies'!$AT$11/100)</f>
        <v>0</v>
      </c>
      <c r="W13" s="609">
        <f>IF(K13="",0,(U13-V13)*'DB technologies'!$AU$11/100)</f>
        <v>0</v>
      </c>
      <c r="X13" s="66" t="str">
        <f>IF(F13=1,"",IF(D13="","",IF(F13="","",P13/VLOOKUP(D13,'DB animal categories'!$C$22:$AH$31,27,FALSE)*(VLOOKUP(D13,'DB animal categories'!$C$22:$AH$31,25,FALSE)*VLOOKUP(D13,'DB animal categories'!$C$22:$AH$31,26,FALSE)/24))))</f>
        <v/>
      </c>
      <c r="Y13" s="77" t="str">
        <f>IF(F13=1,"",IF(D13="","",IF(F13="","",S13/VLOOKUP(D13,'DB animal categories'!$C$22:$AH$31,27,FALSE)*(VLOOKUP(D13,'DB animal categories'!$C$22:$AH$31,25,FALSE)*VLOOKUP(D13,'DB animal categories'!$C$22:$AH$31,26,FALSE)/24))))</f>
        <v/>
      </c>
      <c r="AA13" s="82"/>
      <c r="AB13" s="82"/>
    </row>
    <row r="14" spans="2:30" ht="11.25" customHeight="1" x14ac:dyDescent="0.2">
      <c r="B14" s="670"/>
      <c r="C14" s="679"/>
      <c r="D14" s="1404"/>
      <c r="E14" s="1405"/>
      <c r="F14" s="1405"/>
      <c r="G14" s="57" t="str">
        <f>IF(F14=1,"",IF(D14="","",IF(F14=2,I14*VLOOKUP($C$13,'DB additional information '!$X$4:$AB$25,4,FALSE)/100,VLOOKUP(D14,'DB animal categories'!$C$22:$AH$31,8,FALSE)*(1-(VLOOKUP(D14,'DB animal categories'!$C$22:$AH$31,10,FALSE)/100))/('DB additional information '!$K$5/100)/1000*E14)))</f>
        <v/>
      </c>
      <c r="H14" s="57" t="str">
        <f>IF(F14=1,"",IF(D14="","",IF(F14=2,I14-G14,G14/'DB additional information '!$M$5)))</f>
        <v/>
      </c>
      <c r="I14" s="58" t="str">
        <f>IF(F14=1,VLOOKUP(D14,'DB animal categories'!$C$22:$AM$31,31,FALSE)*E14,IF(F14="","",IF(D14="","",IF(F14=2,VLOOKUP(D14,'DB animal categories'!$C$22:$AH$31,14,FALSE)*E14,G14+H14))))</f>
        <v/>
      </c>
      <c r="J14" s="58" t="str">
        <f>IF(F14=1,VLOOKUP(D14,'DB animal categories'!$C$22:$AN$31,38,FALSE),IF(E14="","",IF(F14="","",IF(D14="","",IF(F14=2,VLOOKUP(D14,'DB animal categories'!$C$22:$AH$31,15,FALSE),(G14*'DB additional information '!$K$5/100+H14*'DB additional information '!$L$5/100)/I14*100)))))</f>
        <v/>
      </c>
      <c r="K14" s="68" t="str">
        <f>IF(F14=1,"",IF(F14="","",IF(D14="","",IF(F14=2,M14-L14,((VLOOKUP(D14,'DB animal categories'!$C$22:$AH$31,8,FALSE)*VLOOKUP(D14,'DB animal categories'!$C$22:$AH$31,11,FALSE)/VLOOKUP(D14,'DB animal categories'!$C$22:$AH$31,27,FALSE)/6.25-VLOOKUP(D14,'DB animal categories'!$C$22:$AH$31,8,FALSE)/VLOOKUP(D14,'DB animal categories'!$C$22:$AH$31,27,FALSE)*((0.93*VLOOKUP(D14,'DB animal categories'!$C$22:$AH$31,11,FALSE))-30)/6.25)*VLOOKUP(D14,'DB animal categories'!$C$22:$AH$31,27,FALSE)/1000*E14/1000)))))</f>
        <v/>
      </c>
      <c r="L14" s="68" t="str">
        <f>IF(F14=1,"",IF(F14="","",IF(D14="","",IF(F14=2,M14*'DB additional information '!$N$5/100,((VLOOKUP(D14,'DB animal categories'!$C$22:$AH$31,8,FALSE)*VLOOKUP(D14,'DB animal categories'!$C$22:$AH$31,11,FALSE)/6.25/1000/1000-(VLOOKUP(D14,'DB animal categories'!$C$22:$AH$31,7,FALSE)*'DB additional information '!$F$18/1000/1000))*E14)-K14))))</f>
        <v/>
      </c>
      <c r="M14" s="58" t="str">
        <f>IF(F14=1,"",IF(F14="","",IF(D14="","",IF(F14=2,VLOOKUP(D14,'DB animal categories'!$C$22:$AH$31,18,FALSE)*E14/1000,K14+L14))))</f>
        <v/>
      </c>
      <c r="N14" s="68" t="str">
        <f>IF(F14=1,"",IF(D14="","",IF(F14="","",IF(F14=2,P14-O14,(VLOOKUP(D14,'DB animal categories'!$C$22:$AH$31,8,FALSE)*VLOOKUP(D14,'DB animal categories'!$C$22:$AH$31,12,FALSE)/1000/1000-VLOOKUP(D14,'DB animal categories'!$C$22:$AH$31,7,FALSE)*'DB additional information '!$F$19/1000/1000)*E14-O14))))</f>
        <v/>
      </c>
      <c r="O14" s="68" t="str">
        <f>IF(F14=1,"",IF(D14="","",IF(F14="","",IF(F14=2,P14*'DB additional information '!$O$5/100,VLOOKUP(D14,'DB animal categories'!$C$22:$AH$31,8,FALSE)*VLOOKUP(D14,'DB animal categories'!$C$22:$AH$31,12,FALSE)*'DB additional information '!$F$26/100/1000/1000*E14))))</f>
        <v/>
      </c>
      <c r="P14" s="58" t="str">
        <f>IF(F14=1,"",IF(F14="","",IF(D14="","",IF(F14=2,E14*VLOOKUP(D14,'DB animal categories'!$C$22:$AH$31,21,FALSE)/1000,N14+O14))))</f>
        <v/>
      </c>
      <c r="Q14" s="68" t="str">
        <f>IF(F14=1,"",IF(F14="","",IF(D14="","",IF(F14=2,S14-R14,VLOOKUP(D14,'DB animal categories'!$C$22:$AH$31,8,FALSE)*'DB additional information '!$F$22/1000/1000*E14))))</f>
        <v/>
      </c>
      <c r="R14" s="68" t="str">
        <f>IF(F14=1,"",IF(F14="","",IF(D14="","",IF(F14=2,S14*'DB additional information '!$P$5/100,(VLOOKUP(D14,'DB animal categories'!$C$22:$AH$31,8,FALSE)*VLOOKUP(D14,'DB animal categories'!$C$22:$AH$31,13,FALSE)/1000/1000-VLOOKUP(D14,'DB animal categories'!$C$22:$AH$31,7,FALSE)*'DB additional information '!$F$20/1000/1000)*E14-Q14))))</f>
        <v/>
      </c>
      <c r="S14" s="58" t="str">
        <f>IF(F14=1,"",IF(F14="","",IF(D14="","",IF(F14=2,E14*VLOOKUP(D14,'DB animal categories'!$C$22:$AH$31,24,FALSE)/1000,Q14+R14))))</f>
        <v/>
      </c>
      <c r="T14" s="58" t="str">
        <f>IF(F14=1,"",IF(D14="","",IF(F14="","",I14/VLOOKUP(D14,'DB animal categories'!$C$22:$AH$31,27,FALSE)*(VLOOKUP(D14,'DB animal categories'!$C$22:$AH$31,25,FALSE)*VLOOKUP(D14,'DB animal categories'!$C$22:$AH$31,26,FALSE)/24))))</f>
        <v/>
      </c>
      <c r="U14" s="58" t="str">
        <f>IF(F14=1,"",IF(D14="","",IF(F14="","",M14/VLOOKUP(D14,'DB animal categories'!$C$22:$AH$31,27,FALSE)*(VLOOKUP(D14,'DB animal categories'!$C$22:$AH$31,25,FALSE)*VLOOKUP(D14,'DB animal categories'!$C$22:$AH$31,26,FALSE)/24))))</f>
        <v/>
      </c>
      <c r="V14" s="606">
        <f>IF(K14="",0,L14/M14*U14*'DB technologies'!$AT$11/100)</f>
        <v>0</v>
      </c>
      <c r="W14" s="606">
        <f>IF(K14="",0,(U14-V14)*'DB technologies'!$AU$11/100)</f>
        <v>0</v>
      </c>
      <c r="X14" s="58" t="str">
        <f>IF(F14=1,"",IF(D14="","",IF(F14="","",P14/VLOOKUP(D14,'DB animal categories'!$C$22:$AH$31,27,FALSE)*(VLOOKUP(D14,'DB animal categories'!$C$22:$AH$31,25,FALSE)*VLOOKUP(D14,'DB animal categories'!$C$22:$AH$31,26,FALSE)/24))))</f>
        <v/>
      </c>
      <c r="Y14" s="63" t="str">
        <f>IF(F14=1,"",IF(D14="","",IF(F14="","",S14/VLOOKUP(D14,'DB animal categories'!$C$22:$AH$31,27,FALSE)*(VLOOKUP(D14,'DB animal categories'!$C$22:$AH$31,25,FALSE)*VLOOKUP(D14,'DB animal categories'!$C$22:$AH$31,26,FALSE)/24))))</f>
        <v/>
      </c>
      <c r="AA14" s="82"/>
      <c r="AB14" s="82"/>
    </row>
    <row r="15" spans="2:30" ht="11.25" customHeight="1" x14ac:dyDescent="0.2">
      <c r="B15" s="670"/>
      <c r="C15" s="679"/>
      <c r="D15" s="1404"/>
      <c r="E15" s="1405"/>
      <c r="F15" s="1405"/>
      <c r="G15" s="57" t="str">
        <f>IF(F15=1,"",IF(D15="","",IF(F15=2,I15*VLOOKUP($C$13,'DB additional information '!$X$4:$AB$25,4,FALSE)/100,VLOOKUP(D15,'DB animal categories'!$C$22:$AH$31,8,FALSE)*(1-(VLOOKUP(D15,'DB animal categories'!$C$22:$AH$31,10,FALSE)/100))/('DB additional information '!$K$5/100)/1000*E15)))</f>
        <v/>
      </c>
      <c r="H15" s="57" t="str">
        <f>IF(F15=1,"",IF(D15="","",IF(F15=2,I15-G15,G15/'DB additional information '!$M$5)))</f>
        <v/>
      </c>
      <c r="I15" s="58" t="str">
        <f>IF(F15=1,VLOOKUP(D15,'DB animal categories'!$C$22:$AM$31,31,FALSE)*E15,IF(F15="","",IF(D15="","",IF(F15=2,VLOOKUP(D15,'DB animal categories'!$C$22:$AH$31,14,FALSE)*E15,G15+H15))))</f>
        <v/>
      </c>
      <c r="J15" s="58" t="str">
        <f>IF(F15=1,VLOOKUP(D15,'DB animal categories'!$C$22:$AN$31,38,FALSE),IF(E15="","",IF(F15="","",IF(D15="","",IF(F15=2,VLOOKUP(D15,'DB animal categories'!$C$22:$AH$31,15,FALSE),(G15*'DB additional information '!$K$5/100+H15*'DB additional information '!$L$5/100)/I15*100)))))</f>
        <v/>
      </c>
      <c r="K15" s="68" t="str">
        <f>IF(F15=1,"",IF(F15="","",IF(D15="","",IF(F15=2,M15-L15,((VLOOKUP(D15,'DB animal categories'!$C$22:$AH$31,8,FALSE)*VLOOKUP(D15,'DB animal categories'!$C$22:$AH$31,11,FALSE)/VLOOKUP(D15,'DB animal categories'!$C$22:$AH$31,27,FALSE)/6.25-VLOOKUP(D15,'DB animal categories'!$C$22:$AH$31,8,FALSE)/VLOOKUP(D15,'DB animal categories'!$C$22:$AH$31,27,FALSE)*((0.93*VLOOKUP(D15,'DB animal categories'!$C$22:$AH$31,11,FALSE))-30)/6.25)*VLOOKUP(D15,'DB animal categories'!$C$22:$AH$31,27,FALSE)/1000*E15/1000)))))</f>
        <v/>
      </c>
      <c r="L15" s="68" t="str">
        <f>IF(F15=1,"",IF(F15="","",IF(D15="","",IF(F15=2,M15*'DB additional information '!$N$5/100,((VLOOKUP(D15,'DB animal categories'!$C$22:$AH$31,8,FALSE)*VLOOKUP(D15,'DB animal categories'!$C$22:$AH$31,11,FALSE)/6.25/1000/1000-(VLOOKUP(D15,'DB animal categories'!$C$22:$AH$31,7,FALSE)*'DB additional information '!$F$18/1000/1000))*E15)-K15))))</f>
        <v/>
      </c>
      <c r="M15" s="58" t="str">
        <f>IF(F15=1,"",IF(F15="","",IF(D15="","",IF(F15=2,VLOOKUP(D15,'DB animal categories'!$C$22:$AH$31,18,FALSE)*E15/1000,K15+L15))))</f>
        <v/>
      </c>
      <c r="N15" s="68" t="str">
        <f>IF(F15=1,"",IF(D15="","",IF(F15="","",IF(F15=2,P15-O15,(VLOOKUP(D15,'DB animal categories'!$C$22:$AH$31,8,FALSE)*VLOOKUP(D15,'DB animal categories'!$C$22:$AH$31,12,FALSE)/1000/1000-VLOOKUP(D15,'DB animal categories'!$C$22:$AH$31,7,FALSE)*'DB additional information '!$F$19/1000/1000)*E15-O15))))</f>
        <v/>
      </c>
      <c r="O15" s="68" t="str">
        <f>IF(F15=1,"",IF(D15="","",IF(F15="","",IF(F15=2,P15*'DB additional information '!$O$5/100,VLOOKUP(D15,'DB animal categories'!$C$22:$AH$31,8,FALSE)*VLOOKUP(D15,'DB animal categories'!$C$22:$AH$31,12,FALSE)*'DB additional information '!$F$26/100/1000/1000*E15))))</f>
        <v/>
      </c>
      <c r="P15" s="58" t="str">
        <f>IF(F15=1,"",IF(F15="","",IF(D15="","",IF(F15=2,E15*VLOOKUP(D15,'DB animal categories'!$C$22:$AH$31,21,FALSE)/1000,N15+O15))))</f>
        <v/>
      </c>
      <c r="Q15" s="68" t="str">
        <f>IF(F15=1,"",IF(F15="","",IF(D15="","",IF(F15=2,S15-R15,VLOOKUP(D15,'DB animal categories'!$C$22:$AH$31,8,FALSE)*'DB additional information '!$F$22/1000/1000*E15))))</f>
        <v/>
      </c>
      <c r="R15" s="68" t="str">
        <f>IF(F15=1,"",IF(F15="","",IF(D15="","",IF(F15=2,S15*'DB additional information '!$P$5/100,(VLOOKUP(D15,'DB animal categories'!$C$22:$AH$31,8,FALSE)*VLOOKUP(D15,'DB animal categories'!$C$22:$AH$31,13,FALSE)/1000/1000-VLOOKUP(D15,'DB animal categories'!$C$22:$AH$31,7,FALSE)*'DB additional information '!$F$20/1000/1000)*E15-Q15))))</f>
        <v/>
      </c>
      <c r="S15" s="58" t="str">
        <f>IF(F15=1,"",IF(F15="","",IF(D15="","",IF(F15=2,E15*VLOOKUP(D15,'DB animal categories'!$C$22:$AH$31,24,FALSE)/1000,Q15+R15))))</f>
        <v/>
      </c>
      <c r="T15" s="58" t="str">
        <f>IF(F15=1,"",IF(D15="","",IF(F15="","",I15/VLOOKUP(D15,'DB animal categories'!$C$22:$AH$31,27,FALSE)*(VLOOKUP(D15,'DB animal categories'!$C$22:$AH$31,25,FALSE)*VLOOKUP(D15,'DB animal categories'!$C$22:$AH$31,26,FALSE)/24))))</f>
        <v/>
      </c>
      <c r="U15" s="58" t="str">
        <f>IF(F15=1,"",IF(D15="","",IF(F15="","",M15/VLOOKUP(D15,'DB animal categories'!$C$22:$AH$31,27,FALSE)*(VLOOKUP(D15,'DB animal categories'!$C$22:$AH$31,25,FALSE)*VLOOKUP(D15,'DB animal categories'!$C$22:$AH$31,26,FALSE)/24))))</f>
        <v/>
      </c>
      <c r="V15" s="606">
        <f>IF(K15="",0,L15/M15*U15*'DB technologies'!$AT$11/100)</f>
        <v>0</v>
      </c>
      <c r="W15" s="606">
        <f>IF(K15="",0,(U15-V15)*'DB technologies'!$AU$11/100)</f>
        <v>0</v>
      </c>
      <c r="X15" s="58" t="str">
        <f>IF(F15=1,"",IF(D15="","",IF(F15="","",P15/VLOOKUP(D15,'DB animal categories'!$C$22:$AH$31,27,FALSE)*(VLOOKUP(D15,'DB animal categories'!$C$22:$AH$31,25,FALSE)*VLOOKUP(D15,'DB animal categories'!$C$22:$AH$31,26,FALSE)/24))))</f>
        <v/>
      </c>
      <c r="Y15" s="63" t="str">
        <f>IF(F15=1,"",IF(D15="","",IF(F15="","",S15/VLOOKUP(D15,'DB animal categories'!$C$22:$AH$31,27,FALSE)*(VLOOKUP(D15,'DB animal categories'!$C$22:$AH$31,25,FALSE)*VLOOKUP(D15,'DB animal categories'!$C$22:$AH$31,26,FALSE)/24))))</f>
        <v/>
      </c>
    </row>
    <row r="16" spans="2:30" ht="11.25" customHeight="1" x14ac:dyDescent="0.2">
      <c r="B16" s="670"/>
      <c r="C16" s="679"/>
      <c r="D16" s="1404"/>
      <c r="E16" s="1405"/>
      <c r="F16" s="1405"/>
      <c r="G16" s="57" t="str">
        <f>IF(F16=1,"",IF(D16="","",IF(F16=2,I16*VLOOKUP($C$13,'DB additional information '!$X$4:$AB$25,4,FALSE)/100,VLOOKUP(D16,'DB animal categories'!$C$22:$AH$31,8,FALSE)*(1-(VLOOKUP(D16,'DB animal categories'!$C$22:$AH$31,10,FALSE)/100))/('DB additional information '!$K$5/100)/1000*E16)))</f>
        <v/>
      </c>
      <c r="H16" s="57" t="str">
        <f>IF(F16=1,"",IF(D16="","",IF(F16=2,I16-G16,G16/'DB additional information '!$M$5)))</f>
        <v/>
      </c>
      <c r="I16" s="58" t="str">
        <f>IF(F16=1,VLOOKUP(D16,'DB animal categories'!$C$22:$AM$31,31,FALSE)*E16,IF(F16="","",IF(D16="","",IF(F16=2,VLOOKUP(D16,'DB animal categories'!$C$22:$AH$31,14,FALSE)*E16,G16+H16))))</f>
        <v/>
      </c>
      <c r="J16" s="58" t="str">
        <f>IF(F16=1,VLOOKUP(D16,'DB animal categories'!$C$22:$AN$31,38,FALSE),IF(E16="","",IF(F16="","",IF(D16="","",IF(F16=2,VLOOKUP(D16,'DB animal categories'!$C$22:$AH$31,15,FALSE),(G16*'DB additional information '!$K$5/100+H16*'DB additional information '!$L$5/100)/I16*100)))))</f>
        <v/>
      </c>
      <c r="K16" s="68" t="str">
        <f>IF(F16=1,"",IF(F16="","",IF(D16="","",IF(F16=2,M16-L16,((VLOOKUP(D16,'DB animal categories'!$C$22:$AH$31,8,FALSE)*VLOOKUP(D16,'DB animal categories'!$C$22:$AH$31,11,FALSE)/VLOOKUP(D16,'DB animal categories'!$C$22:$AH$31,27,FALSE)/6.25-VLOOKUP(D16,'DB animal categories'!$C$22:$AH$31,8,FALSE)/VLOOKUP(D16,'DB animal categories'!$C$22:$AH$31,27,FALSE)*((0.93*VLOOKUP(D16,'DB animal categories'!$C$22:$AH$31,11,FALSE))-30)/6.25)*VLOOKUP(D16,'DB animal categories'!$C$22:$AH$31,27,FALSE)/1000*E16/1000)))))</f>
        <v/>
      </c>
      <c r="L16" s="68" t="str">
        <f>IF(F16=1,"",IF(F16="","",IF(D16="","",IF(F16=2,M16*'DB additional information '!$N$5/100,((VLOOKUP(D16,'DB animal categories'!$C$22:$AH$31,8,FALSE)*VLOOKUP(D16,'DB animal categories'!$C$22:$AH$31,11,FALSE)/6.25/1000/1000-(VLOOKUP(D16,'DB animal categories'!$C$22:$AH$31,7,FALSE)*'DB additional information '!$F$18/1000/1000))*E16)-K16))))</f>
        <v/>
      </c>
      <c r="M16" s="58" t="str">
        <f>IF(F16=1,"",IF(F16="","",IF(D16="","",IF(F16=2,VLOOKUP(D16,'DB animal categories'!$C$22:$AH$31,18,FALSE)*E16/1000,K16+L16))))</f>
        <v/>
      </c>
      <c r="N16" s="68" t="str">
        <f>IF(F16=1,"",IF(D16="","",IF(F16="","",IF(F16=2,P16-O16,(VLOOKUP(D16,'DB animal categories'!$C$22:$AH$31,8,FALSE)*VLOOKUP(D16,'DB animal categories'!$C$22:$AH$31,12,FALSE)/1000/1000-VLOOKUP(D16,'DB animal categories'!$C$22:$AH$31,7,FALSE)*'DB additional information '!$F$19/1000/1000)*E16-O16))))</f>
        <v/>
      </c>
      <c r="O16" s="68" t="str">
        <f>IF(F16=1,"",IF(D16="","",IF(F16="","",IF(F16=2,P16*'DB additional information '!$O$5/100,VLOOKUP(D16,'DB animal categories'!$C$22:$AH$31,8,FALSE)*VLOOKUP(D16,'DB animal categories'!$C$22:$AH$31,12,FALSE)*'DB additional information '!$F$26/100/1000/1000*E16))))</f>
        <v/>
      </c>
      <c r="P16" s="58" t="str">
        <f>IF(F16=1,"",IF(F16="","",IF(D16="","",IF(F16=2,E16*VLOOKUP(D16,'DB animal categories'!$C$22:$AH$31,21,FALSE)/1000,N16+O16))))</f>
        <v/>
      </c>
      <c r="Q16" s="68" t="str">
        <f>IF(F16=1,"",IF(F16="","",IF(D16="","",IF(F16=2,S16-R16,VLOOKUP(D16,'DB animal categories'!$C$22:$AH$31,8,FALSE)*'DB additional information '!$F$22/1000/1000*E16))))</f>
        <v/>
      </c>
      <c r="R16" s="68" t="str">
        <f>IF(F16=1,"",IF(F16="","",IF(D16="","",IF(F16=2,S16*'DB additional information '!$P$5/100,(VLOOKUP(D16,'DB animal categories'!$C$22:$AH$31,8,FALSE)*VLOOKUP(D16,'DB animal categories'!$C$22:$AH$31,13,FALSE)/1000/1000-VLOOKUP(D16,'DB animal categories'!$C$22:$AH$31,7,FALSE)*'DB additional information '!$F$20/1000/1000)*E16-Q16))))</f>
        <v/>
      </c>
      <c r="S16" s="58" t="str">
        <f>IF(F16=1,"",IF(F16="","",IF(D16="","",IF(F16=2,E16*VLOOKUP(D16,'DB animal categories'!$C$22:$AH$31,24,FALSE)/1000,Q16+R16))))</f>
        <v/>
      </c>
      <c r="T16" s="58" t="str">
        <f>IF(F16=1,"",IF(D16="","",IF(F16="","",I16/VLOOKUP(D16,'DB animal categories'!$C$22:$AH$31,27,FALSE)*(VLOOKUP(D16,'DB animal categories'!$C$22:$AH$31,25,FALSE)*VLOOKUP(D16,'DB animal categories'!$C$22:$AH$31,26,FALSE)/24))))</f>
        <v/>
      </c>
      <c r="U16" s="58" t="str">
        <f>IF(F16=1,"",IF(D16="","",IF(F16="","",M16/VLOOKUP(D16,'DB animal categories'!$C$22:$AH$31,27,FALSE)*(VLOOKUP(D16,'DB animal categories'!$C$22:$AH$31,25,FALSE)*VLOOKUP(D16,'DB animal categories'!$C$22:$AH$31,26,FALSE)/24))))</f>
        <v/>
      </c>
      <c r="V16" s="606">
        <f>IF(K16="",0,L16/M16*U16*'DB technologies'!$AT$11/100)</f>
        <v>0</v>
      </c>
      <c r="W16" s="606">
        <f>IF(K16="",0,(U16-V16)*'DB technologies'!$AU$11/100)</f>
        <v>0</v>
      </c>
      <c r="X16" s="58" t="str">
        <f>IF(F16=1,"",IF(D16="","",IF(F16="","",P16/VLOOKUP(D16,'DB animal categories'!$C$22:$AH$31,27,FALSE)*(VLOOKUP(D16,'DB animal categories'!$C$22:$AH$31,25,FALSE)*VLOOKUP(D16,'DB animal categories'!$C$22:$AH$31,26,FALSE)/24))))</f>
        <v/>
      </c>
      <c r="Y16" s="63" t="str">
        <f>IF(F16=1,"",IF(D16="","",IF(F16="","",S16/VLOOKUP(D16,'DB animal categories'!$C$22:$AH$31,27,FALSE)*(VLOOKUP(D16,'DB animal categories'!$C$22:$AH$31,25,FALSE)*VLOOKUP(D16,'DB animal categories'!$C$22:$AH$31,26,FALSE)/24))))</f>
        <v/>
      </c>
      <c r="AB16" s="82"/>
    </row>
    <row r="17" spans="2:28" ht="11.25" customHeight="1" thickBot="1" x14ac:dyDescent="0.25">
      <c r="B17" s="670"/>
      <c r="C17" s="680"/>
      <c r="D17" s="1409"/>
      <c r="E17" s="1410"/>
      <c r="F17" s="1410"/>
      <c r="G17" s="89" t="str">
        <f>IF(F17=1,"",IF(D17="","",IF(F17=2,I17*VLOOKUP($C$13,'DB additional information '!$X$4:$AB$25,4,FALSE)/100,VLOOKUP(D17,'DB animal categories'!$C$22:$AH$31,8,FALSE)*(1-(VLOOKUP(D17,'DB animal categories'!$C$22:$AH$31,10,FALSE)/100))/('DB additional information '!$K$5/100)/1000*E17)))</f>
        <v/>
      </c>
      <c r="H17" s="89" t="str">
        <f>IF(F17=1,"",IF(D17="","",IF(F17=2,I17-G17,G17/'DB additional information '!$M$5)))</f>
        <v/>
      </c>
      <c r="I17" s="122" t="str">
        <f>IF(F17=1,VLOOKUP(D17,'DB animal categories'!$C$22:$AM$31,31,FALSE)*E17,IF(F17="","",IF(D17="","",IF(F17=2,VLOOKUP(D17,'DB animal categories'!$C$22:$AH$31,14,FALSE)*E17,G17+H17))))</f>
        <v/>
      </c>
      <c r="J17" s="122" t="str">
        <f>IF(F17=1,VLOOKUP(D17,'DB animal categories'!$C$22:$AN$31,38,FALSE),IF(E17="","",IF(F17="","",IF(D17="","",IF(F17=2,VLOOKUP(D17,'DB animal categories'!$C$22:$AH$31,15,FALSE),(G17*'DB additional information '!$K$5/100+H17*'DB additional information '!$L$5/100)/I17*100)))))</f>
        <v/>
      </c>
      <c r="K17" s="123" t="str">
        <f>IF(F17=1,"",IF(F17="","",IF(D17="","",IF(F17=2,M17-L17,((VLOOKUP(D17,'DB animal categories'!$C$22:$AH$31,8,FALSE)*VLOOKUP(D17,'DB animal categories'!$C$22:$AH$31,11,FALSE)/VLOOKUP(D17,'DB animal categories'!$C$22:$AH$31,27,FALSE)/6.25-VLOOKUP(D17,'DB animal categories'!$C$22:$AH$31,8,FALSE)/VLOOKUP(D17,'DB animal categories'!$C$22:$AH$31,27,FALSE)*((0.93*VLOOKUP(D17,'DB animal categories'!$C$22:$AH$31,11,FALSE))-30)/6.25)*VLOOKUP(D17,'DB animal categories'!$C$22:$AH$31,27,FALSE)/1000*E17/1000)))))</f>
        <v/>
      </c>
      <c r="L17" s="123" t="str">
        <f>IF(F17=1,"",IF(F17="","",IF(D17="","",IF(F17=2,M17*'DB additional information '!$N$5/100,((VLOOKUP(D17,'DB animal categories'!$C$22:$AH$31,8,FALSE)*VLOOKUP(D17,'DB animal categories'!$C$22:$AH$31,11,FALSE)/6.25/1000/1000-(VLOOKUP(D17,'DB animal categories'!$C$22:$AH$31,7,FALSE)*'DB additional information '!$F$18/1000/1000))*E17)-K17))))</f>
        <v/>
      </c>
      <c r="M17" s="122" t="str">
        <f>IF(F17=1,"",IF(F17="","",IF(D17="","",IF(F17=2,VLOOKUP(D17,'DB animal categories'!$C$22:$AH$31,18,FALSE)*E17/1000,K17+L17))))</f>
        <v/>
      </c>
      <c r="N17" s="123" t="str">
        <f>IF(F17=1,"",IF(D17="","",IF(F17="","",IF(F17=2,P17-O17,(VLOOKUP(D17,'DB animal categories'!$C$22:$AH$31,8,FALSE)*VLOOKUP(D17,'DB animal categories'!$C$22:$AH$31,12,FALSE)/1000/1000-VLOOKUP(D17,'DB animal categories'!$C$22:$AH$31,7,FALSE)*'DB additional information '!$F$19/1000/1000)*E17-O17))))</f>
        <v/>
      </c>
      <c r="O17" s="123" t="str">
        <f>IF(F17=1,"",IF(D17="","",IF(F17="","",IF(F17=2,P17*'DB additional information '!$O$5/100,VLOOKUP(D17,'DB animal categories'!$C$22:$AH$31,8,FALSE)*VLOOKUP(D17,'DB animal categories'!$C$22:$AH$31,12,FALSE)*'DB additional information '!$F$26/100/1000/1000*E17))))</f>
        <v/>
      </c>
      <c r="P17" s="122" t="str">
        <f>IF(F17=1,"",IF(F17="","",IF(D17="","",IF(F17=2,E17*VLOOKUP(D17,'DB animal categories'!$C$22:$AH$31,21,FALSE)/1000,N17+O17))))</f>
        <v/>
      </c>
      <c r="Q17" s="123" t="str">
        <f>IF(F17=1,"",IF(F17="","",IF(D17="","",IF(F17=2,S17-R17,VLOOKUP(D17,'DB animal categories'!$C$22:$AH$31,8,FALSE)*'DB additional information '!$F$22/1000/1000*E17))))</f>
        <v/>
      </c>
      <c r="R17" s="123" t="str">
        <f>IF(F17=1,"",IF(F17="","",IF(D17="","",IF(F17=2,S17*'DB additional information '!$P$5/100,(VLOOKUP(D17,'DB animal categories'!$C$22:$AH$31,8,FALSE)*VLOOKUP(D17,'DB animal categories'!$C$22:$AH$31,13,FALSE)/1000/1000-VLOOKUP(D17,'DB animal categories'!$C$22:$AH$31,7,FALSE)*'DB additional information '!$F$20/1000/1000)*E17-Q17))))</f>
        <v/>
      </c>
      <c r="S17" s="122" t="str">
        <f>IF(F17=1,"",IF(F17="","",IF(D17="","",IF(F17=2,E17*VLOOKUP(D17,'DB animal categories'!$C$22:$AH$31,24,FALSE)/1000,Q17+R17))))</f>
        <v/>
      </c>
      <c r="T17" s="122" t="str">
        <f>IF(F17=1,"",IF(D17="","",IF(F17="","",I17/VLOOKUP(D17,'DB animal categories'!$C$22:$AH$31,27,FALSE)*(VLOOKUP(D17,'DB animal categories'!$C$22:$AH$31,25,FALSE)*VLOOKUP(D17,'DB animal categories'!$C$22:$AH$31,26,FALSE)/24))))</f>
        <v/>
      </c>
      <c r="U17" s="122" t="str">
        <f>IF(F17=1,"",IF(D17="","",IF(F17="","",M17/VLOOKUP(D17,'DB animal categories'!$C$22:$AH$31,27,FALSE)*(VLOOKUP(D17,'DB animal categories'!$C$22:$AH$31,25,FALSE)*VLOOKUP(D17,'DB animal categories'!$C$22:$AH$31,26,FALSE)/24))))</f>
        <v/>
      </c>
      <c r="V17" s="608">
        <f>IF(K17="",0,L17/M17*U17*'DB technologies'!$AT$11/100)</f>
        <v>0</v>
      </c>
      <c r="W17" s="608">
        <f>IF(K17="",0,(U17-V17)*'DB technologies'!$AU$11/100)</f>
        <v>0</v>
      </c>
      <c r="X17" s="122" t="str">
        <f>IF(F17=1,"",IF(D17="","",IF(F17="","",P17/VLOOKUP(D17,'DB animal categories'!$C$22:$AH$31,27,FALSE)*(VLOOKUP(D17,'DB animal categories'!$C$22:$AH$31,25,FALSE)*VLOOKUP(D17,'DB animal categories'!$C$22:$AH$31,26,FALSE)/24))))</f>
        <v/>
      </c>
      <c r="Y17" s="124" t="str">
        <f>IF(F17=1,"",IF(D17="","",IF(F17="","",S17/VLOOKUP(D17,'DB animal categories'!$C$22:$AH$31,27,FALSE)*(VLOOKUP(D17,'DB animal categories'!$C$22:$AH$31,25,FALSE)*VLOOKUP(D17,'DB animal categories'!$C$22:$AH$31,26,FALSE)/24))))</f>
        <v/>
      </c>
    </row>
    <row r="18" spans="2:28" ht="11.25" customHeight="1" x14ac:dyDescent="0.2">
      <c r="B18" s="670"/>
      <c r="C18" s="678" t="s">
        <v>61</v>
      </c>
      <c r="D18" s="1401"/>
      <c r="E18" s="1402"/>
      <c r="F18" s="1402"/>
      <c r="G18" s="59" t="str">
        <f>IF(F18=1,"",IF(D18="","",IF(F18=2,I18*VLOOKUP($C$18,'DB additional information '!$X$4:$AB$25,4,FALSE)/100,VLOOKUP(D18,'DB animal categories'!$C$32:$AH$41,8,FALSE)*(1-(VLOOKUP(D18,'DB animal categories'!$C$32:$AH$41,10,FALSE)/100))/('DB additional information '!$K$7/100)/1000*E18)))</f>
        <v/>
      </c>
      <c r="H18" s="59" t="str">
        <f>IF(F18=1,"",IF(D18="","",IF(F18=2,I18-G18,G18/'DB additional information '!$M$7)))</f>
        <v/>
      </c>
      <c r="I18" s="66" t="str">
        <f>IF(F18=1,VLOOKUP(D18,'DB animal categories'!$C$32:$AM$41,31,FALSE)*E18,IF(F18="","",IF(D18="","",IF(F18=2,VLOOKUP(D18,'DB animal categories'!$C$32:$AH$41,14,FALSE)*E18,G18+H18))))</f>
        <v/>
      </c>
      <c r="J18" s="61" t="str">
        <f>IF(F18=1,VLOOKUP(D18,'DB animal categories'!$C$32:$AN$41,38,FALSE),IF(E18="","",IF(F18="","",IF(D18="","",IF(F18=2,VLOOKUP(D18,'DB animal categories'!$C$32:$AH$41,15,FALSE),(G18*'DB additional information '!$K$7/100+H18*'DB additional information '!$L$7/100)/I18*100)))))</f>
        <v/>
      </c>
      <c r="K18" s="67" t="str">
        <f>IF(F18=1,"",IF(F18="","",IF(D18="","",IF(F18=2,M18-L18,((VLOOKUP(D18,'DB animal categories'!$C$32:$AH$41,8,FALSE)*VLOOKUP(D18,'DB animal categories'!$C$32:$AH$41,11,FALSE)/VLOOKUP(D18,'DB animal categories'!$C$32:$AH$41,27,FALSE)/6.25-VLOOKUP(D18,'DB animal categories'!$C$32:$AH$41,8,FALSE)/VLOOKUP(D18,'DB animal categories'!$C$32:$AH$41,27,FALSE)*((0.93*VLOOKUP(D18,'DB animal categories'!$C$32:$AH$41,11,FALSE))-30)/6.25)*VLOOKUP(D18,'DB animal categories'!$C$32:$AH$41,27,FALSE)/1000*E18/1000)))))</f>
        <v/>
      </c>
      <c r="L18" s="67" t="str">
        <f>IF(F18=1,"",IF(F18="","",IF(D18="","",IF(F18=2,M18*'DB additional information '!$N$7/100,((VLOOKUP(D18,'DB animal categories'!$C$32:$AH$41,8,FALSE)*VLOOKUP(D18,'DB animal categories'!$C$32:$AH$41,11,FALSE)/6.25/1000/1000-(VLOOKUP(D18,'DB animal categories'!$C$32:$AH$41,7,FALSE)*'DB additional information '!$F$30/1000/1000+'DB additional information '!$F$28*'DB additional information '!$F$29*'DB additional information '!$F$33/1000/1000))*E18)-K18))))</f>
        <v/>
      </c>
      <c r="M18" s="61" t="str">
        <f>IF(F18=1,"",IF(F18="","",IF(D18="","",IF(F18=2,VLOOKUP(D18,'DB animal categories'!$C$32:$AH$41,18,FALSE)*E18/1000,K18+L18))))</f>
        <v/>
      </c>
      <c r="N18" s="67" t="str">
        <f>IF(F18=1,"",IF(D18="","",IF(F18="","",IF(F18=2,P18-O18,(VLOOKUP(D18,'DB animal categories'!$C$32:$AH$41,8,FALSE)*VLOOKUP(D18,'DB animal categories'!$C$32:$AH$41,12,FALSE)/1000/1000-VLOOKUP(D18,'DB animal categories'!$C$32:$AH$41,7,FALSE)*'DB additional information '!$F$31/1000/1000-'DB additional information '!$F$28*'DB additional information '!$F$29*'DB additional information '!$F$34/1000/1000)*E18-O18))))</f>
        <v/>
      </c>
      <c r="O18" s="67" t="str">
        <f>IF(F18=1,"",IF(D18="","",IF(F18="","",IF(F18=2,P18*'DB additional information '!$O$7/100,VLOOKUP(D18,'DB animal categories'!$C$32:$AH$41,8,FALSE)*VLOOKUP(D18,'DB animal categories'!$C$32:$AH$41,12,FALSE)*'DB additional information '!$F$36/100/1000/1000*E18))))</f>
        <v/>
      </c>
      <c r="P18" s="61" t="str">
        <f>IF(F18=1,"",IF(F18="","",IF(D18="","",IF(F18=2,E18*VLOOKUP(D18,'DB animal categories'!$C$32:$AH$41,21,FALSE)/1000,N18+O18))))</f>
        <v/>
      </c>
      <c r="Q18" s="67" t="str">
        <f>IF(F18=1,"",IF(F18="","",IF(D18="","",IF(F18=2,S18-R18,VLOOKUP(D18,'DB animal categories'!$C$32:$AH$41,8,FALSE)*'DB additional information '!$F$37/1000/1000*E18))))</f>
        <v/>
      </c>
      <c r="R18" s="67" t="str">
        <f>IF(F18=1,"",IF(F18="","",IF(D18="","",IF(F18=2,S18*'DB additional information '!$P$7/100,(VLOOKUP(D18,'DB animal categories'!$C$32:$AH$41,8,FALSE)*VLOOKUP(D18,'DB animal categories'!$C$32:$AH$41,13,FALSE)/1000/1000-VLOOKUP(D18,'DB animal categories'!$C$32:$AH$41,7,FALSE)*'DB additional information '!$F$32/1000/1000-'DB additional information '!$F$28*'DB additional information '!$F$29*'DB additional information '!$F$35/1000/1000)*E18-Q18))))</f>
        <v/>
      </c>
      <c r="S18" s="61" t="str">
        <f>IF(F18=1,"",IF(F18="","",IF(D18="","",IF(F18=2,E18*VLOOKUP(D18,'DB animal categories'!$C$32:$AH$41,24,FALSE)/1000,Q18+R18))))</f>
        <v/>
      </c>
      <c r="T18" s="61" t="str">
        <f>IF(F18=1,"",IF(D18="","",IF(F18="","",I18/VLOOKUP(D18,'DB animal categories'!$C$32:$AH$41,27,FALSE)*(VLOOKUP(D18,'DB animal categories'!$C$32:$AH$41,25,FALSE)*VLOOKUP(D18,'DB animal categories'!$C$32:$AH$41,26,FALSE)/24))))</f>
        <v/>
      </c>
      <c r="U18" s="61" t="str">
        <f>IF(F18=1,"",IF(D18="","",IF(F18="","",M18/VLOOKUP(D18,'DB animal categories'!$C$32:$AH$41,27,FALSE)*(VLOOKUP(D18,'DB animal categories'!$C$32:$AH$41,25,FALSE)*VLOOKUP(D18,'DB animal categories'!$C$32:$AH$41,26,FALSE)/24))))</f>
        <v/>
      </c>
      <c r="V18" s="607">
        <f>IF(K18="",0,L18/M18*U18*'DB technologies'!$AT$11/100)</f>
        <v>0</v>
      </c>
      <c r="W18" s="607">
        <f>IF(K18="",0,(U18-V18)*'DB technologies'!$AU$11/100)</f>
        <v>0</v>
      </c>
      <c r="X18" s="61" t="str">
        <f>IF(F18=1,"",IF(D18="","",IF(F18="","",P18/VLOOKUP(D18,'DB animal categories'!$C$32:$AH$41,27,FALSE)*(VLOOKUP(D18,'DB animal categories'!$C$32:$AH$41,25,FALSE)*VLOOKUP(D18,'DB animal categories'!$C$32:$AH$41,26,FALSE)/24))))</f>
        <v/>
      </c>
      <c r="Y18" s="62" t="str">
        <f>IF(F18=1,"",IF(D18="","",IF(F18="","",S18/VLOOKUP(D18,'DB animal categories'!$C$32:$AH$41,27,FALSE)*(VLOOKUP(D18,'DB animal categories'!$C$32:$AH$41,25,FALSE)*VLOOKUP(D18,'DB animal categories'!$C$32:$AH$41,26,FALSE)/24))))</f>
        <v/>
      </c>
      <c r="AA18" s="82"/>
      <c r="AB18" s="82"/>
    </row>
    <row r="19" spans="2:28" ht="11.25" customHeight="1" x14ac:dyDescent="0.2">
      <c r="B19" s="670"/>
      <c r="C19" s="679"/>
      <c r="D19" s="1404"/>
      <c r="E19" s="1405"/>
      <c r="F19" s="1405"/>
      <c r="G19" s="59" t="str">
        <f>IF(F19=1,"",IF(D19="","",IF(F19=2,I19*VLOOKUP($C$18,'DB additional information '!$X$4:$AB$25,4,FALSE)/100,VLOOKUP(D19,'DB animal categories'!$C$32:$AH$41,8,FALSE)*(1-(VLOOKUP(D19,'DB animal categories'!$C$32:$AH$41,10,FALSE)/100))/('DB additional information '!$K$7/100)/1000*E19)))</f>
        <v/>
      </c>
      <c r="H19" s="59" t="str">
        <f>IF(F19=1,"",IF(D19="","",IF(F19=2,I19-G19,G19/'DB additional information '!$M$7)))</f>
        <v/>
      </c>
      <c r="I19" s="58" t="str">
        <f>IF(F19=1,VLOOKUP(D19,'DB animal categories'!$C$32:$AM$41,31,FALSE)*E19,IF(F19="","",IF(D19="","",IF(F19=2,VLOOKUP(D19,'DB animal categories'!$C$32:$AH$41,14,FALSE)*E19,G19+H19))))</f>
        <v/>
      </c>
      <c r="J19" s="60" t="str">
        <f>IF(F19=1,VLOOKUP(D19,'DB animal categories'!$C$32:$AN$41,38,FALSE),IF(E19="","",IF(F19="","",IF(D19="","",IF(F19=2,VLOOKUP(D19,'DB animal categories'!$C$32:$AH$41,15,FALSE),(G19*'DB additional information '!$K$7/100+H19*'DB additional information '!$L$7/100)/I19*100)))))</f>
        <v/>
      </c>
      <c r="K19" s="71" t="str">
        <f>IF(F19=1,"",IF(F19="","",IF(D19="","",IF(F19=2,M19-L19,((VLOOKUP(D19,'DB animal categories'!$C$32:$AH$41,8,FALSE)*VLOOKUP(D19,'DB animal categories'!$C$32:$AH$41,11,FALSE)/VLOOKUP(D19,'DB animal categories'!$C$32:$AH$41,27,FALSE)/6.25-VLOOKUP(D19,'DB animal categories'!$C$32:$AH$41,8,FALSE)/VLOOKUP(D19,'DB animal categories'!$C$32:$AH$41,27,FALSE)*((0.93*VLOOKUP(D19,'DB animal categories'!$C$32:$AH$41,11,FALSE))-30)/6.25)*VLOOKUP(D19,'DB animal categories'!$C$32:$AH$41,27,FALSE)/1000*E19/1000)))))</f>
        <v/>
      </c>
      <c r="L19" s="71" t="str">
        <f>IF(F19=1,"",IF(F19="","",IF(D19="","",IF(F19=2,M19*'DB additional information '!$N$7/100,((VLOOKUP(D19,'DB animal categories'!$C$32:$AH$41,8,FALSE)*VLOOKUP(D19,'DB animal categories'!$C$32:$AH$41,11,FALSE)/6.25/1000/1000-(VLOOKUP(D19,'DB animal categories'!$C$32:$AH$41,7,FALSE)*'DB additional information '!$F$30/1000/1000+'DB additional information '!$F$28*'DB additional information '!$F$29*'DB additional information '!$F$33/1000/1000))*E19)-K19))))</f>
        <v/>
      </c>
      <c r="M19" s="60" t="str">
        <f>IF(F19=1,"",IF(F19="","",IF(D19="","",IF(F19=2,VLOOKUP(D19,'DB animal categories'!$C$32:$AH$41,18,FALSE)*E19/1000,K19+L19))))</f>
        <v/>
      </c>
      <c r="N19" s="71" t="str">
        <f>IF(F19=1,"",IF(D19="","",IF(F19="","",IF(F19=2,P19-O19,(VLOOKUP(D19,'DB animal categories'!$C$32:$AH$41,8,FALSE)*VLOOKUP(D19,'DB animal categories'!$C$32:$AH$41,12,FALSE)/1000/1000-VLOOKUP(D19,'DB animal categories'!$C$32:$AH$41,7,FALSE)*'DB additional information '!$F$31/1000/1000-'DB additional information '!$F$28*'DB additional information '!$F$29*'DB additional information '!$F$34/1000/1000)*E19-O19))))</f>
        <v/>
      </c>
      <c r="O19" s="71" t="str">
        <f>IF(F19=1,"",IF(D19="","",IF(F19="","",IF(F19=2,P19*'DB additional information '!$O$7/100,VLOOKUP(D19,'DB animal categories'!$C$32:$AH$41,8,FALSE)*VLOOKUP(D19,'DB animal categories'!$C$32:$AH$41,12,FALSE)*'DB additional information '!$F$36/100/1000/1000*E19))))</f>
        <v/>
      </c>
      <c r="P19" s="60" t="str">
        <f>IF(F19=1,"",IF(F19="","",IF(D19="","",IF(F19=2,E19*VLOOKUP(D19,'DB animal categories'!$C$32:$AH$41,21,FALSE)/1000,N19+O19))))</f>
        <v/>
      </c>
      <c r="Q19" s="71" t="str">
        <f>IF(F19=1,"",IF(F19="","",IF(D19="","",IF(F19=2,S19-R19,VLOOKUP(D19,'DB animal categories'!$C$32:$AH$41,8,FALSE)*'DB additional information '!$F$37/1000/1000*E19))))</f>
        <v/>
      </c>
      <c r="R19" s="71" t="str">
        <f>IF(F19=1,"",IF(F19="","",IF(D19="","",IF(F19=2,S19*'DB additional information '!$P$7/100,(VLOOKUP(D19,'DB animal categories'!$C$32:$AH$41,8,FALSE)*VLOOKUP(D19,'DB animal categories'!$C$32:$AH$41,13,FALSE)/1000/1000-VLOOKUP(D19,'DB animal categories'!$C$32:$AH$41,7,FALSE)*'DB additional information '!$F$32/1000/1000-'DB additional information '!$F$28*'DB additional information '!$F$29*'DB additional information '!$F$35/1000/1000)*E19-Q19))))</f>
        <v/>
      </c>
      <c r="S19" s="60" t="str">
        <f>IF(F19=1,"",IF(F19="","",IF(D19="","",IF(F19=2,E19*VLOOKUP(D19,'DB animal categories'!$C$32:$AH$41,24,FALSE)/1000,Q19+R19))))</f>
        <v/>
      </c>
      <c r="T19" s="60" t="str">
        <f>IF(F19=1,"",IF(D19="","",IF(F19="","",I19/VLOOKUP(D19,'DB animal categories'!$C$32:$AH$41,27,FALSE)*(VLOOKUP(D19,'DB animal categories'!$C$32:$AH$41,25,FALSE)*VLOOKUP(D19,'DB animal categories'!$C$32:$AH$41,26,FALSE)/24))))</f>
        <v/>
      </c>
      <c r="U19" s="60" t="str">
        <f>IF(F19=1,"",IF(D19="","",IF(F19="","",M19/VLOOKUP(D19,'DB animal categories'!$C$32:$AH$41,27,FALSE)*(VLOOKUP(D19,'DB animal categories'!$C$32:$AH$41,25,FALSE)*VLOOKUP(D19,'DB animal categories'!$C$32:$AH$41,26,FALSE)/24))))</f>
        <v/>
      </c>
      <c r="V19" s="606">
        <f>IF(K19="",0,L19/M19*U19*'DB technologies'!$AT$11/100)</f>
        <v>0</v>
      </c>
      <c r="W19" s="606">
        <f>IF(K19="",0,(U19-V19)*'DB technologies'!$AU$11/100)</f>
        <v>0</v>
      </c>
      <c r="X19" s="60" t="str">
        <f>IF(F19=1,"",IF(D19="","",IF(F19="","",P19/VLOOKUP(D19,'DB animal categories'!$C$32:$AH$41,27,FALSE)*(VLOOKUP(D19,'DB animal categories'!$C$32:$AH$41,25,FALSE)*VLOOKUP(D19,'DB animal categories'!$C$32:$AH$41,26,FALSE)/24))))</f>
        <v/>
      </c>
      <c r="Y19" s="65" t="str">
        <f>IF(F19=1,"",IF(D19="","",IF(F19="","",S19/VLOOKUP(D19,'DB animal categories'!$C$32:$AH$41,27,FALSE)*(VLOOKUP(D19,'DB animal categories'!$C$32:$AH$41,25,FALSE)*VLOOKUP(D19,'DB animal categories'!$C$32:$AH$41,26,FALSE)/24))))</f>
        <v/>
      </c>
      <c r="AA19" s="82"/>
      <c r="AB19" s="82"/>
    </row>
    <row r="20" spans="2:28" ht="11.25" customHeight="1" x14ac:dyDescent="0.2">
      <c r="B20" s="670"/>
      <c r="C20" s="679"/>
      <c r="D20" s="1404"/>
      <c r="E20" s="1405"/>
      <c r="F20" s="1405"/>
      <c r="G20" s="59" t="str">
        <f>IF(F20=1,"",IF(D20="","",IF(F20=2,I20*VLOOKUP($C$18,'DB additional information '!$X$4:$AB$25,4,FALSE)/100,VLOOKUP(D20,'DB animal categories'!$C$32:$AH$41,8,FALSE)*(1-(VLOOKUP(D20,'DB animal categories'!$C$32:$AH$41,10,FALSE)/100))/('DB additional information '!$K$7/100)/1000*E20)))</f>
        <v/>
      </c>
      <c r="H20" s="59" t="str">
        <f>IF(F20=1,"",IF(D20="","",IF(F20=2,I20-G20,G20/'DB additional information '!$M$7)))</f>
        <v/>
      </c>
      <c r="I20" s="58" t="str">
        <f>IF(F20=1,VLOOKUP(D20,'DB animal categories'!$C$32:$AM$41,31,FALSE)*E20,IF(F20="","",IF(D20="","",IF(F20=2,VLOOKUP(D20,'DB animal categories'!$C$32:$AH$41,14,FALSE)*E20,G20+H20))))</f>
        <v/>
      </c>
      <c r="J20" s="60" t="str">
        <f>IF(F20=1,VLOOKUP(D20,'DB animal categories'!$C$32:$AN$41,38,FALSE),IF(E20="","",IF(F20="","",IF(D20="","",IF(F20=2,VLOOKUP(D20,'DB animal categories'!$C$32:$AH$41,15,FALSE),(G20*'DB additional information '!$K$7/100+H20*'DB additional information '!$L$7/100)/I20*100)))))</f>
        <v/>
      </c>
      <c r="K20" s="71" t="str">
        <f>IF(F20=1,"",IF(F20="","",IF(D20="","",IF(F20=2,M20-L20,((VLOOKUP(D20,'DB animal categories'!$C$32:$AH$41,8,FALSE)*VLOOKUP(D20,'DB animal categories'!$C$32:$AH$41,11,FALSE)/VLOOKUP(D20,'DB animal categories'!$C$32:$AH$41,27,FALSE)/6.25-VLOOKUP(D20,'DB animal categories'!$C$32:$AH$41,8,FALSE)/VLOOKUP(D20,'DB animal categories'!$C$32:$AH$41,27,FALSE)*((0.93*VLOOKUP(D20,'DB animal categories'!$C$32:$AH$41,11,FALSE))-30)/6.25)*VLOOKUP(D20,'DB animal categories'!$C$32:$AH$41,27,FALSE)/1000*E20/1000)))))</f>
        <v/>
      </c>
      <c r="L20" s="71" t="str">
        <f>IF(F20=1,"",IF(F20="","",IF(D20="","",IF(F20=2,M20*'DB additional information '!$N$7/100,((VLOOKUP(D20,'DB animal categories'!$C$32:$AH$41,8,FALSE)*VLOOKUP(D20,'DB animal categories'!$C$32:$AH$41,11,FALSE)/6.25/1000/1000-(VLOOKUP(D20,'DB animal categories'!$C$32:$AH$41,7,FALSE)*'DB additional information '!$F$30/1000/1000+'DB additional information '!$F$28*'DB additional information '!$F$29*'DB additional information '!$F$33/1000/1000))*E20)-K20))))</f>
        <v/>
      </c>
      <c r="M20" s="60" t="str">
        <f>IF(F20=1,"",IF(F20="","",IF(D20="","",IF(F20=2,VLOOKUP(D20,'DB animal categories'!$C$32:$AH$41,18,FALSE)*E20/1000,K20+L20))))</f>
        <v/>
      </c>
      <c r="N20" s="71" t="str">
        <f>IF(F20=1,"",IF(D20="","",IF(F20="","",IF(F20=2,P20-O20,(VLOOKUP(D20,'DB animal categories'!$C$32:$AH$41,8,FALSE)*VLOOKUP(D20,'DB animal categories'!$C$32:$AH$41,12,FALSE)/1000/1000-VLOOKUP(D20,'DB animal categories'!$C$32:$AH$41,7,FALSE)*'DB additional information '!$F$31/1000/1000-'DB additional information '!$F$28*'DB additional information '!$F$29*'DB additional information '!$F$34/1000/1000)*E20-O20))))</f>
        <v/>
      </c>
      <c r="O20" s="71" t="str">
        <f>IF(F20=1,"",IF(D20="","",IF(F20="","",IF(F20=2,P20*'DB additional information '!$O$7/100,VLOOKUP(D20,'DB animal categories'!$C$32:$AH$41,8,FALSE)*VLOOKUP(D20,'DB animal categories'!$C$32:$AH$41,12,FALSE)*'DB additional information '!$F$36/100/1000/1000*E20))))</f>
        <v/>
      </c>
      <c r="P20" s="60" t="str">
        <f>IF(F20=1,"",IF(F20="","",IF(D20="","",IF(F20=2,E20*VLOOKUP(D20,'DB animal categories'!$C$32:$AH$41,21,FALSE)/1000,N20+O20))))</f>
        <v/>
      </c>
      <c r="Q20" s="71" t="str">
        <f>IF(F20=1,"",IF(F20="","",IF(D20="","",IF(F20=2,S20-R20,VLOOKUP(D20,'DB animal categories'!$C$32:$AH$41,8,FALSE)*'DB additional information '!$F$37/1000/1000*E20))))</f>
        <v/>
      </c>
      <c r="R20" s="71" t="str">
        <f>IF(F20=1,"",IF(F20="","",IF(D20="","",IF(F20=2,S20*'DB additional information '!$P$7/100,(VLOOKUP(D20,'DB animal categories'!$C$32:$AH$41,8,FALSE)*VLOOKUP(D20,'DB animal categories'!$C$32:$AH$41,13,FALSE)/1000/1000-VLOOKUP(D20,'DB animal categories'!$C$32:$AH$41,7,FALSE)*'DB additional information '!$F$32/1000/1000-'DB additional information '!$F$28*'DB additional information '!$F$29*'DB additional information '!$F$35/1000/1000)*E20-Q20))))</f>
        <v/>
      </c>
      <c r="S20" s="60" t="str">
        <f>IF(F20=1,"",IF(F20="","",IF(D20="","",IF(F20=2,E20*VLOOKUP(D20,'DB animal categories'!$C$32:$AH$41,24,FALSE)/1000,Q20+R20))))</f>
        <v/>
      </c>
      <c r="T20" s="60" t="str">
        <f>IF(F20=1,"",IF(D20="","",IF(F20="","",I20/VLOOKUP(D20,'DB animal categories'!$C$32:$AH$41,27,FALSE)*(VLOOKUP(D20,'DB animal categories'!$C$32:$AH$41,25,FALSE)*VLOOKUP(D20,'DB animal categories'!$C$32:$AH$41,26,FALSE)/24))))</f>
        <v/>
      </c>
      <c r="U20" s="60" t="str">
        <f>IF(F20=1,"",IF(D20="","",IF(F20="","",M20/VLOOKUP(D20,'DB animal categories'!$C$32:$AH$41,27,FALSE)*(VLOOKUP(D20,'DB animal categories'!$C$32:$AH$41,25,FALSE)*VLOOKUP(D20,'DB animal categories'!$C$32:$AH$41,26,FALSE)/24))))</f>
        <v/>
      </c>
      <c r="V20" s="606">
        <f>IF(K20="",0,L20/M20*U20*'DB technologies'!$AT$11/100)</f>
        <v>0</v>
      </c>
      <c r="W20" s="606">
        <f>IF(K20="",0,(U20-V20)*'DB technologies'!$AU$11/100)</f>
        <v>0</v>
      </c>
      <c r="X20" s="60" t="str">
        <f>IF(F20=1,"",IF(D20="","",IF(F20="","",P20/VLOOKUP(D20,'DB animal categories'!$C$32:$AH$41,27,FALSE)*(VLOOKUP(D20,'DB animal categories'!$C$32:$AH$41,25,FALSE)*VLOOKUP(D20,'DB animal categories'!$C$32:$AH$41,26,FALSE)/24))))</f>
        <v/>
      </c>
      <c r="Y20" s="65" t="str">
        <f>IF(F20=1,"",IF(D20="","",IF(F20="","",S20/VLOOKUP(D20,'DB animal categories'!$C$32:$AH$41,27,FALSE)*(VLOOKUP(D20,'DB animal categories'!$C$32:$AH$41,25,FALSE)*VLOOKUP(D20,'DB animal categories'!$C$32:$AH$41,26,FALSE)/24))))</f>
        <v/>
      </c>
    </row>
    <row r="21" spans="2:28" ht="11.25" customHeight="1" x14ac:dyDescent="0.2">
      <c r="B21" s="670"/>
      <c r="C21" s="679"/>
      <c r="D21" s="1404"/>
      <c r="E21" s="1405"/>
      <c r="F21" s="1405"/>
      <c r="G21" s="59" t="str">
        <f>IF(F21=1,"",IF(D21="","",IF(F21=2,I21*VLOOKUP($C$18,'DB additional information '!$X$4:$AB$25,4,FALSE)/100,VLOOKUP(D21,'DB animal categories'!$C$32:$AH$41,8,FALSE)*(1-(VLOOKUP(D21,'DB animal categories'!$C$32:$AH$41,10,FALSE)/100))/('DB additional information '!$K$7/100)/1000*E21)))</f>
        <v/>
      </c>
      <c r="H21" s="59" t="str">
        <f>IF(F21=1,"",IF(D21="","",IF(F21=2,I21-G21,G21/'DB additional information '!$M$7)))</f>
        <v/>
      </c>
      <c r="I21" s="58" t="str">
        <f>IF(F21=1,VLOOKUP(D21,'DB animal categories'!$C$32:$AM$41,31,FALSE)*E21,IF(F21="","",IF(D21="","",IF(F21=2,VLOOKUP(D21,'DB animal categories'!$C$32:$AH$41,14,FALSE)*E21,G21+H21))))</f>
        <v/>
      </c>
      <c r="J21" s="60" t="str">
        <f>IF(F21=1,VLOOKUP(D21,'DB animal categories'!$C$32:$AN$41,38,FALSE),IF(E21="","",IF(F21="","",IF(D21="","",IF(F21=2,VLOOKUP(D21,'DB animal categories'!$C$32:$AH$41,15,FALSE),(G21*'DB additional information '!$K$7/100+H21*'DB additional information '!$L$7/100)/I21*100)))))</f>
        <v/>
      </c>
      <c r="K21" s="71" t="str">
        <f>IF(F21=1,"",IF(F21="","",IF(D21="","",IF(F21=2,M21-L21,((VLOOKUP(D21,'DB animal categories'!$C$32:$AH$41,8,FALSE)*VLOOKUP(D21,'DB animal categories'!$C$32:$AH$41,11,FALSE)/VLOOKUP(D21,'DB animal categories'!$C$32:$AH$41,27,FALSE)/6.25-VLOOKUP(D21,'DB animal categories'!$C$32:$AH$41,8,FALSE)/VLOOKUP(D21,'DB animal categories'!$C$32:$AH$41,27,FALSE)*((0.93*VLOOKUP(D21,'DB animal categories'!$C$32:$AH$41,11,FALSE))-30)/6.25)*VLOOKUP(D21,'DB animal categories'!$C$32:$AH$41,27,FALSE)/1000*E21/1000)))))</f>
        <v/>
      </c>
      <c r="L21" s="71" t="str">
        <f>IF(F21=1,"",IF(F21="","",IF(D21="","",IF(F21=2,M21*'DB additional information '!$N$7/100,((VLOOKUP(D21,'DB animal categories'!$C$32:$AH$41,8,FALSE)*VLOOKUP(D21,'DB animal categories'!$C$32:$AH$41,11,FALSE)/6.25/1000/1000-(VLOOKUP(D21,'DB animal categories'!$C$32:$AH$41,7,FALSE)*'DB additional information '!$F$30/1000/1000+'DB additional information '!$F$28*'DB additional information '!$F$29*'DB additional information '!$F$33/1000/1000))*E21)-K21))))</f>
        <v/>
      </c>
      <c r="M21" s="60" t="str">
        <f>IF(F21=1,"",IF(F21="","",IF(D21="","",IF(F21=2,VLOOKUP(D21,'DB animal categories'!$C$32:$AH$41,18,FALSE)*E21/1000,K21+L21))))</f>
        <v/>
      </c>
      <c r="N21" s="71" t="str">
        <f>IF(F21=1,"",IF(D21="","",IF(F21="","",IF(F21=2,P21-O21,(VLOOKUP(D21,'DB animal categories'!$C$32:$AH$41,8,FALSE)*VLOOKUP(D21,'DB animal categories'!$C$32:$AH$41,12,FALSE)/1000/1000-VLOOKUP(D21,'DB animal categories'!$C$32:$AH$41,7,FALSE)*'DB additional information '!$F$31/1000/1000-'DB additional information '!$F$28*'DB additional information '!$F$29*'DB additional information '!$F$34/1000/1000)*E21-O21))))</f>
        <v/>
      </c>
      <c r="O21" s="71" t="str">
        <f>IF(F21=1,"",IF(D21="","",IF(F21="","",IF(F21=2,P21*'DB additional information '!$O$7/100,VLOOKUP(D21,'DB animal categories'!$C$32:$AH$41,8,FALSE)*VLOOKUP(D21,'DB animal categories'!$C$32:$AH$41,12,FALSE)*'DB additional information '!$F$36/100/1000/1000*E21))))</f>
        <v/>
      </c>
      <c r="P21" s="60" t="str">
        <f>IF(F21=1,"",IF(F21="","",IF(D21="","",IF(F21=2,E21*VLOOKUP(D21,'DB animal categories'!$C$32:$AH$41,21,FALSE)/1000,N21+O21))))</f>
        <v/>
      </c>
      <c r="Q21" s="71" t="str">
        <f>IF(F21=1,"",IF(F21="","",IF(D21="","",IF(F21=2,S21-R21,VLOOKUP(D21,'DB animal categories'!$C$32:$AH$41,8,FALSE)*'DB additional information '!$F$37/1000/1000*E21))))</f>
        <v/>
      </c>
      <c r="R21" s="71" t="str">
        <f>IF(F21=1,"",IF(F21="","",IF(D21="","",IF(F21=2,S21*'DB additional information '!$P$7/100,(VLOOKUP(D21,'DB animal categories'!$C$32:$AH$41,8,FALSE)*VLOOKUP(D21,'DB animal categories'!$C$32:$AH$41,13,FALSE)/1000/1000-VLOOKUP(D21,'DB animal categories'!$C$32:$AH$41,7,FALSE)*'DB additional information '!$F$32/1000/1000-'DB additional information '!$F$28*'DB additional information '!$F$29*'DB additional information '!$F$35/1000/1000)*E21-Q21))))</f>
        <v/>
      </c>
      <c r="S21" s="60" t="str">
        <f>IF(F21=1,"",IF(F21="","",IF(D21="","",IF(F21=2,E21*VLOOKUP(D21,'DB animal categories'!$C$32:$AH$41,24,FALSE)/1000,Q21+R21))))</f>
        <v/>
      </c>
      <c r="T21" s="60" t="str">
        <f>IF(F21=1,"",IF(D21="","",IF(F21="","",I21/VLOOKUP(D21,'DB animal categories'!$C$32:$AH$41,27,FALSE)*(VLOOKUP(D21,'DB animal categories'!$C$32:$AH$41,25,FALSE)*VLOOKUP(D21,'DB animal categories'!$C$32:$AH$41,26,FALSE)/24))))</f>
        <v/>
      </c>
      <c r="U21" s="60" t="str">
        <f>IF(F21=1,"",IF(D21="","",IF(F21="","",M21/VLOOKUP(D21,'DB animal categories'!$C$32:$AH$41,27,FALSE)*(VLOOKUP(D21,'DB animal categories'!$C$32:$AH$41,25,FALSE)*VLOOKUP(D21,'DB animal categories'!$C$32:$AH$41,26,FALSE)/24))))</f>
        <v/>
      </c>
      <c r="V21" s="606">
        <f>IF(K21="",0,L21/M21*U21*'DB technologies'!$AT$11/100)</f>
        <v>0</v>
      </c>
      <c r="W21" s="606">
        <f>IF(K21="",0,(U21-V21)*'DB technologies'!$AU$11/100)</f>
        <v>0</v>
      </c>
      <c r="X21" s="60" t="str">
        <f>IF(F21=1,"",IF(D21="","",IF(F21="","",P21/VLOOKUP(D21,'DB animal categories'!$C$32:$AH$41,27,FALSE)*(VLOOKUP(D21,'DB animal categories'!$C$32:$AH$41,25,FALSE)*VLOOKUP(D21,'DB animal categories'!$C$32:$AH$41,26,FALSE)/24))))</f>
        <v/>
      </c>
      <c r="Y21" s="65" t="str">
        <f>IF(F21=1,"",IF(D21="","",IF(F21="","",S21/VLOOKUP(D21,'DB animal categories'!$C$32:$AH$41,27,FALSE)*(VLOOKUP(D21,'DB animal categories'!$C$32:$AH$41,25,FALSE)*VLOOKUP(D21,'DB animal categories'!$C$32:$AH$41,26,FALSE)/24))))</f>
        <v/>
      </c>
    </row>
    <row r="22" spans="2:28" ht="11.25" customHeight="1" thickBot="1" x14ac:dyDescent="0.25">
      <c r="B22" s="670"/>
      <c r="C22" s="680"/>
      <c r="D22" s="1409"/>
      <c r="E22" s="1410"/>
      <c r="F22" s="1410"/>
      <c r="G22" s="89" t="str">
        <f>IF(F22=1,"",IF(D22="","",IF(F22=2,I22*VLOOKUP($C$18,'DB additional information '!$X$4:$AB$25,4,FALSE)/100,VLOOKUP(D22,'DB animal categories'!$C$32:$AH$41,8,FALSE)*(1-(VLOOKUP(D22,'DB animal categories'!$C$32:$AH$41,10,FALSE)/100))/('DB additional information '!$K$7/100)/1000*E22)))</f>
        <v/>
      </c>
      <c r="H22" s="89" t="str">
        <f>IF(F22=1,"",IF(D22="","",IF(F22=2,I22-G22,G22/'DB additional information '!$M$7)))</f>
        <v/>
      </c>
      <c r="I22" s="122" t="str">
        <f>IF(F22=1,VLOOKUP(D22,'DB animal categories'!$C$32:$AM$41,31,FALSE)*E22,IF(F22="","",IF(D22="","",IF(F22=2,VLOOKUP(D22,'DB animal categories'!$C$32:$AH$41,14,FALSE)*E22,G22+H22))))</f>
        <v/>
      </c>
      <c r="J22" s="75" t="str">
        <f>IF(F22=1,VLOOKUP(D22,'DB animal categories'!$C$32:$AN$41,38,FALSE),IF(E22="","",IF(F22="","",IF(D22="","",IF(F22=2,VLOOKUP(D22,'DB animal categories'!$C$32:$AH$41,15,FALSE),(G22*'DB additional information '!$K$7/100+H22*'DB additional information '!$L$7/100)/I22*100)))))</f>
        <v/>
      </c>
      <c r="K22" s="76" t="str">
        <f>IF(F22=1,"",IF(F22="","",IF(D22="","",IF(F22=2,M22-L22,((VLOOKUP(D22,'DB animal categories'!$C$32:$AH$41,8,FALSE)*VLOOKUP(D22,'DB animal categories'!$C$32:$AH$41,11,FALSE)/VLOOKUP(D22,'DB animal categories'!$C$32:$AH$41,27,FALSE)/6.25-VLOOKUP(D22,'DB animal categories'!$C$32:$AH$41,8,FALSE)/VLOOKUP(D22,'DB animal categories'!$C$32:$AH$41,27,FALSE)*((0.93*VLOOKUP(D22,'DB animal categories'!$C$32:$AH$41,11,FALSE))-30)/6.25)*VLOOKUP(D22,'DB animal categories'!$C$32:$AH$41,27,FALSE)/1000*E22/1000)))))</f>
        <v/>
      </c>
      <c r="L22" s="76" t="str">
        <f>IF(F22=1,"",IF(F22="","",IF(D22="","",IF(F22=2,M22*'DB additional information '!$N$7/100,((VLOOKUP(D22,'DB animal categories'!$C$32:$AH$41,8,FALSE)*VLOOKUP(D22,'DB animal categories'!$C$32:$AH$41,11,FALSE)/6.25/1000/1000-(VLOOKUP(D22,'DB animal categories'!$C$32:$AH$41,7,FALSE)*'DB additional information '!$F$30/1000/1000+'DB additional information '!$F$28*'DB additional information '!$F$29*'DB additional information '!$F$33/1000/1000))*E22)-K22))))</f>
        <v/>
      </c>
      <c r="M22" s="75" t="str">
        <f>IF(F22=1,"",IF(F22="","",IF(D22="","",IF(F22=2,VLOOKUP(D22,'DB animal categories'!$C$32:$AH$41,18,FALSE)*E22/1000,K22+L22))))</f>
        <v/>
      </c>
      <c r="N22" s="76" t="str">
        <f>IF(F22=1,"",IF(D22="","",IF(F22="","",IF(F22=2,P22-O22,(VLOOKUP(D22,'DB animal categories'!$C$32:$AH$41,8,FALSE)*VLOOKUP(D22,'DB animal categories'!$C$32:$AH$41,12,FALSE)/1000/1000-VLOOKUP(D22,'DB animal categories'!$C$32:$AH$41,7,FALSE)*'DB additional information '!$F$31/1000/1000-'DB additional information '!$F$28*'DB additional information '!$F$29*'DB additional information '!$F$34/1000/1000)*E22-O22))))</f>
        <v/>
      </c>
      <c r="O22" s="76" t="str">
        <f>IF(F22=1,"",IF(D22="","",IF(F22="","",IF(F22=2,P22*'DB additional information '!$O$7/100,VLOOKUP(D22,'DB animal categories'!$C$32:$AH$41,8,FALSE)*VLOOKUP(D22,'DB animal categories'!$C$32:$AH$41,12,FALSE)*'DB additional information '!$F$36/100/1000/1000*E22))))</f>
        <v/>
      </c>
      <c r="P22" s="75" t="str">
        <f>IF(F22=1,"",IF(F22="","",IF(D22="","",IF(F22=2,E22*VLOOKUP(D22,'DB animal categories'!$C$32:$AH$41,21,FALSE)/1000,N22+O22))))</f>
        <v/>
      </c>
      <c r="Q22" s="76" t="str">
        <f>IF(F22=1,"",IF(F22="","",IF(D22="","",IF(F22=2,S22-R22,VLOOKUP(D22,'DB animal categories'!$C$32:$AH$41,8,FALSE)*'DB additional information '!$F$37/1000/1000*E22))))</f>
        <v/>
      </c>
      <c r="R22" s="76" t="str">
        <f>IF(F22=1,"",IF(F22="","",IF(D22="","",IF(F22=2,S22*'DB additional information '!$P$7/100,(VLOOKUP(D22,'DB animal categories'!$C$32:$AH$41,8,FALSE)*VLOOKUP(D22,'DB animal categories'!$C$32:$AH$41,13,FALSE)/1000/1000-VLOOKUP(D22,'DB animal categories'!$C$32:$AH$41,7,FALSE)*'DB additional information '!$F$32/1000/1000-'DB additional information '!$F$28*'DB additional information '!$F$29*'DB additional information '!$F$35/1000/1000)*E22-Q22))))</f>
        <v/>
      </c>
      <c r="S22" s="75" t="str">
        <f>IF(F22=1,"",IF(F22="","",IF(D22="","",IF(F22=2,E22*VLOOKUP(D22,'DB animal categories'!$C$32:$AH$41,24,FALSE)/1000,Q22+R22))))</f>
        <v/>
      </c>
      <c r="T22" s="75" t="str">
        <f>IF(F22=1,"",IF(D22="","",IF(F22="","",I22/VLOOKUP(D22,'DB animal categories'!$C$32:$AH$41,27,FALSE)*(VLOOKUP(D22,'DB animal categories'!$C$32:$AH$41,25,FALSE)*VLOOKUP(D22,'DB animal categories'!$C$32:$AH$41,26,FALSE)/24))))</f>
        <v/>
      </c>
      <c r="U22" s="75" t="str">
        <f>IF(F22=1,"",IF(D22="","",IF(F22="","",M22/VLOOKUP(D22,'DB animal categories'!$C$32:$AH$41,27,FALSE)*(VLOOKUP(D22,'DB animal categories'!$C$32:$AH$41,25,FALSE)*VLOOKUP(D22,'DB animal categories'!$C$32:$AH$41,26,FALSE)/24))))</f>
        <v/>
      </c>
      <c r="V22" s="608">
        <f>IF(K22="",0,L22/M22*U22*'DB technologies'!$AT$11/100)</f>
        <v>0</v>
      </c>
      <c r="W22" s="608">
        <f>IF(K22="",0,(U22-V22)*'DB technologies'!$AU$11/100)</f>
        <v>0</v>
      </c>
      <c r="X22" s="75" t="str">
        <f>IF(F22=1,"",IF(D22="","",IF(F22="","",P22/VLOOKUP(D22,'DB animal categories'!$C$32:$AH$41,27,FALSE)*(VLOOKUP(D22,'DB animal categories'!$C$32:$AH$41,25,FALSE)*VLOOKUP(D22,'DB animal categories'!$C$32:$AH$41,26,FALSE)/24))))</f>
        <v/>
      </c>
      <c r="Y22" s="78" t="str">
        <f>IF(F22=1,"",IF(D22="","",IF(F22="","",S22/VLOOKUP(D22,'DB animal categories'!$C$32:$AH$41,27,FALSE)*(VLOOKUP(D22,'DB animal categories'!$C$32:$AH$41,25,FALSE)*VLOOKUP(D22,'DB animal categories'!$C$32:$AH$41,26,FALSE)/24))))</f>
        <v/>
      </c>
    </row>
    <row r="23" spans="2:28" ht="11.25" customHeight="1" x14ac:dyDescent="0.2">
      <c r="B23" s="670"/>
      <c r="C23" s="672" t="s">
        <v>62</v>
      </c>
      <c r="D23" s="1408"/>
      <c r="E23" s="1402"/>
      <c r="F23" s="1402"/>
      <c r="G23" s="59" t="str">
        <f>IF(F23=1,"",IF(D23="","",IF(F23=2,I23*VLOOKUP($C$23,'DB additional information '!$X$4:$AB$25,4,FALSE)/100,VLOOKUP(D23,'DB animal categories'!$C$42:$AH$51,8,FALSE)*(1-(VLOOKUP(D23,'DB animal categories'!$C$42:$AH$51,10,FALSE)/100))/('DB additional information '!$K$8/100)/1000*E23)))</f>
        <v/>
      </c>
      <c r="H23" s="59" t="str">
        <f>IF(F23=1,"",IF(D23="","",IF(F23=2,I23-G23,G23/'DB additional information '!$M$8)))</f>
        <v/>
      </c>
      <c r="I23" s="66" t="str">
        <f>IF(F23=1,VLOOKUP(D23,'DB animal categories'!$C$42:$AM$51,31,FALSE)*E23,IF(F23="","",IF(D23="","",IF(F23=2,VLOOKUP(D23,'DB animal categories'!$C$42:$AH$51,14,FALSE)*E23,G23+H23))))</f>
        <v/>
      </c>
      <c r="J23" s="66" t="str">
        <f>IF(F23=1,VLOOKUP(D23,'DB animal categories'!$C$42:$AN$51,38,FALSE),IF(E23="","",IF(F23="","",IF(D23="","",IF(F23=2,VLOOKUP(D23,'DB animal categories'!$C$42:$AH$51,15,FALSE),(G23*'DB additional information '!$K$8/100+H23*'DB additional information '!$L$8/100)/I23*100)))))</f>
        <v/>
      </c>
      <c r="K23" s="74" t="str">
        <f>IF(F23=1,"",IF(F23="","",IF(D23="","",IF(F23=2,M23-L23,((VLOOKUP(D23,'DB animal categories'!$C$42:$AH$51,8,FALSE)*VLOOKUP(D23,'DB animal categories'!$C$42:$AH$51,11,FALSE)/VLOOKUP(D23,'DB animal categories'!$C$42:$AH$51,27,FALSE)/6.25-VLOOKUP(D23,'DB animal categories'!$C$42:$AH$51,8,FALSE)/VLOOKUP(D23,'DB animal categories'!$C$42:$AH$51,27,FALSE)*((0.93*VLOOKUP(D23,'DB animal categories'!$C$42:$AH$51,11,FALSE))-30)/6.25)*VLOOKUP(D23,'DB animal categories'!$C$42:$AH$51,27,FALSE)/1000*E23/1000)))))</f>
        <v/>
      </c>
      <c r="L23" s="74" t="str">
        <f>IF(F23=1,"",IF(F23="","",IF(D23="","",IF(F23=2,M23*'DB additional information '!$N$8/100,((VLOOKUP(D23,'DB animal categories'!$C$42:$AH$51,8,FALSE)*VLOOKUP(D23,'DB animal categories'!$C$42:$AH$51,11,FALSE)/6.25/1000/1000-(VLOOKUP(D23,'DB animal categories'!$C$42:$AH$51,7,FALSE)*'DB additional information '!$F$38/1000/1000))*E23)-K23))))</f>
        <v/>
      </c>
      <c r="M23" s="66" t="str">
        <f>IF(F23=1,"",IF(F23="","",IF(D23="","",IF(F23=2,VLOOKUP(D23,'DB animal categories'!$C$42:$AH$51,18,FALSE)*E23/1000,K23+L23))))</f>
        <v/>
      </c>
      <c r="N23" s="74" t="str">
        <f>IF(F23=1,"",IF(D23="","",IF(F23="","",IF(F23=2,P23-O23,(VLOOKUP(D23,'DB animal categories'!$C$42:$AH$51,8,FALSE)*VLOOKUP(D23,'DB animal categories'!$C$42:$AH$51,12,FALSE)/1000/1000-VLOOKUP(D23,'DB animal categories'!$C$42:$AH$51,7,FALSE)*'DB additional information '!$F$39/1000/1000)*E23-O23))))</f>
        <v/>
      </c>
      <c r="O23" s="74" t="str">
        <f>IF(F23=1,"",IF(D23="","",IF(F23="","",IF(F23=2,P23*'DB additional information '!$O$8/100,VLOOKUP(D23,'DB animal categories'!$C$42:$AH$51,8,FALSE)*VLOOKUP(D23,'DB animal categories'!$C$42:$AH$51,12,FALSE)*'DB additional information '!$F$36/100/1000/1000*E23))))</f>
        <v/>
      </c>
      <c r="P23" s="66" t="str">
        <f>IF(F23=1,"",IF(F23="","",IF(D23="","",IF(F23=2,E23*VLOOKUP(D23,'DB animal categories'!$C$42:$AH$51,21,FALSE)/1000,N23+O23))))</f>
        <v/>
      </c>
      <c r="Q23" s="74" t="str">
        <f>IF(F23=1,"",IF(F23="","",IF(D23="","",IF(F23=2,S23-R23,VLOOKUP(D23,'DB animal categories'!$C$42:$AH$51,8,FALSE)*'DB additional information '!$F$42/1000/1000*E23))))</f>
        <v/>
      </c>
      <c r="R23" s="74" t="str">
        <f>IF(F23=1,"",IF(F23="","",IF(D23="","",IF(F23=2,S23*'DB additional information '!$P$8/100,(VLOOKUP(D23,'DB animal categories'!$C$42:$AH$51,8,FALSE)*VLOOKUP(D23,'DB animal categories'!$C$42:$AH$51,13,FALSE)/1000/1000-VLOOKUP(D23,'DB animal categories'!$C$42:$AH$51,7,FALSE)*'DB additional information '!$F$40/1000/1000)*E23-Q23))))</f>
        <v/>
      </c>
      <c r="S23" s="66" t="str">
        <f>IF(F23=1,"",IF(F23="","",IF(D23="","",IF(F23=2,E23*VLOOKUP(D23,'DB animal categories'!$C$42:$AH$51,24,FALSE)/1000,Q23+R23))))</f>
        <v/>
      </c>
      <c r="T23" s="66" t="str">
        <f>IF(F23=1,"",IF(D23="","",IF(F23="","",I23/VLOOKUP(D23,'DB animal categories'!$C$42:$AH$51,27,FALSE)*(VLOOKUP(D23,'DB animal categories'!$C$42:$AH$51,25,FALSE)*VLOOKUP(D23,'DB animal categories'!$C$42:$AH$51,26,FALSE)/24))))</f>
        <v/>
      </c>
      <c r="U23" s="66" t="str">
        <f>IF(F23=1,"",IF(D23="","",IF(F23="","",M23/VLOOKUP(D23,'DB animal categories'!$C$42:$AH$51,27,FALSE)*(VLOOKUP(D23,'DB animal categories'!$C$42:$AH$51,25,FALSE)*VLOOKUP(D23,'DB animal categories'!$C$42:$AH$51,26,FALSE)/24))))</f>
        <v/>
      </c>
      <c r="V23" s="607">
        <f>IF(K23="",0,L23/M23*U23*'DB technologies'!$AT$11/100)</f>
        <v>0</v>
      </c>
      <c r="W23" s="607">
        <f>IF(K23="",0,(U23-V23)*'DB technologies'!$AU$11/100)</f>
        <v>0</v>
      </c>
      <c r="X23" s="66" t="str">
        <f>IF(F23=1,"",IF(D23="","",IF(F23="","",P23/VLOOKUP(D23,'DB animal categories'!$C$42:$AH$51,27,FALSE)*(VLOOKUP(D23,'DB animal categories'!$C$42:$AH$51,25,FALSE)*VLOOKUP(D23,'DB animal categories'!$C$42:$AH$51,26,FALSE)/24))))</f>
        <v/>
      </c>
      <c r="Y23" s="77" t="str">
        <f>IF(F23=1,"",IF(D23="","",IF(F23="","",S23/VLOOKUP(D23,'DB animal categories'!$C$42:$AH$51,27,FALSE)*(VLOOKUP(D23,'DB animal categories'!$C$42:$AH$51,25,FALSE)*VLOOKUP(D23,'DB animal categories'!$C$42:$AH$51,26,FALSE)/24))))</f>
        <v/>
      </c>
      <c r="AA23" s="82"/>
      <c r="AB23" s="82"/>
    </row>
    <row r="24" spans="2:28" ht="11.25" customHeight="1" x14ac:dyDescent="0.2">
      <c r="B24" s="670"/>
      <c r="C24" s="673"/>
      <c r="D24" s="1404"/>
      <c r="E24" s="1411"/>
      <c r="F24" s="1405"/>
      <c r="G24" s="59" t="str">
        <f>IF(F24=1,"",IF(D24="","",IF(F24=2,I24*VLOOKUP($C$23,'DB additional information '!$X$4:$AB$25,4,FALSE)/100,VLOOKUP(D24,'DB animal categories'!$C$42:$AH$51,8,FALSE)*(1-(VLOOKUP(D24,'DB animal categories'!$C$42:$AH$51,10,FALSE)/100))/('DB additional information '!$K$8/100)/1000*E24)))</f>
        <v/>
      </c>
      <c r="H24" s="59" t="str">
        <f>IF(F24=1,"",IF(D24="","",IF(F24=2,I24-G24,G24/'DB additional information '!$M$8)))</f>
        <v/>
      </c>
      <c r="I24" s="58" t="str">
        <f>IF(F24=1,VLOOKUP(D24,'DB animal categories'!$C$42:$AM$51,31,FALSE)*E24,IF(F24="","",IF(D24="","",IF(F24=2,VLOOKUP(D24,'DB animal categories'!$C$42:$AH$51,14,FALSE)*E24,G24+H24))))</f>
        <v/>
      </c>
      <c r="J24" s="58" t="str">
        <f>IF(F24=1,VLOOKUP(D24,'DB animal categories'!$C$42:$AN$51,38,FALSE),IF(E24="","",IF(F24="","",IF(D24="","",IF(F24=2,VLOOKUP(D24,'DB animal categories'!$C$42:$AH$51,15,FALSE),(G24*'DB additional information '!$K$8/100+H24*'DB additional information '!$L$8/100)/I24*100)))))</f>
        <v/>
      </c>
      <c r="K24" s="68" t="str">
        <f>IF(F24=1,"",IF(F24="","",IF(D24="","",IF(F24=2,M24-L24,((VLOOKUP(D24,'DB animal categories'!$C$42:$AH$51,8,FALSE)*VLOOKUP(D24,'DB animal categories'!$C$42:$AH$51,11,FALSE)/VLOOKUP(D24,'DB animal categories'!$C$42:$AH$51,27,FALSE)/6.25-VLOOKUP(D24,'DB animal categories'!$C$42:$AH$51,8,FALSE)/VLOOKUP(D24,'DB animal categories'!$C$42:$AH$51,27,FALSE)*((0.93*VLOOKUP(D24,'DB animal categories'!$C$42:$AH$51,11,FALSE))-30)/6.25)*VLOOKUP(D24,'DB animal categories'!$C$42:$AH$51,27,FALSE)/1000*E24/1000)))))</f>
        <v/>
      </c>
      <c r="L24" s="68" t="str">
        <f>IF(F24=1,"",IF(F24="","",IF(D24="","",IF(F24=2,M24*'DB additional information '!$N$8/100,((VLOOKUP(D24,'DB animal categories'!$C$42:$AH$51,8,FALSE)*VLOOKUP(D24,'DB animal categories'!$C$42:$AH$51,11,FALSE)/6.25/1000/1000-(VLOOKUP(D24,'DB animal categories'!$C$42:$AH$51,7,FALSE)*'DB additional information '!$F$38/1000/1000))*E24)-K24))))</f>
        <v/>
      </c>
      <c r="M24" s="58" t="str">
        <f>IF(F24=1,"",IF(F24="","",IF(D24="","",IF(F24=2,VLOOKUP(D24,'DB animal categories'!$C$42:$AH$51,18,FALSE)*E24/1000,K24+L24))))</f>
        <v/>
      </c>
      <c r="N24" s="68" t="str">
        <f>IF(F24=1,"",IF(D24="","",IF(F24="","",IF(F24=2,P24-O24,(VLOOKUP(D24,'DB animal categories'!$C$42:$AH$51,8,FALSE)*VLOOKUP(D24,'DB animal categories'!$C$42:$AH$51,12,FALSE)/1000/1000-VLOOKUP(D24,'DB animal categories'!$C$42:$AH$51,7,FALSE)*'DB additional information '!$F$39/1000/1000)*E24-O24))))</f>
        <v/>
      </c>
      <c r="O24" s="68" t="str">
        <f>IF(F24=1,"",IF(D24="","",IF(F24="","",IF(F24=2,P24*'DB additional information '!$O$8/100,VLOOKUP(D24,'DB animal categories'!$C$42:$AH$51,8,FALSE)*VLOOKUP(D24,'DB animal categories'!$C$42:$AH$51,12,FALSE)*'DB additional information '!$F$36/100/1000/1000*E24))))</f>
        <v/>
      </c>
      <c r="P24" s="58" t="str">
        <f>IF(F24=1,"",IF(F24="","",IF(D24="","",IF(F24=2,E24*VLOOKUP(D24,'DB animal categories'!$C$42:$AH$51,21,FALSE)/1000,N24+O24))))</f>
        <v/>
      </c>
      <c r="Q24" s="68" t="str">
        <f>IF(F24=1,"",IF(F24="","",IF(D24="","",IF(F24=2,S24-R24,VLOOKUP(D24,'DB animal categories'!$C$42:$AH$51,8,FALSE)*'DB additional information '!$F$42/1000/1000*E24))))</f>
        <v/>
      </c>
      <c r="R24" s="68" t="str">
        <f>IF(F24=1,"",IF(F24="","",IF(D24="","",IF(F24=2,S24*'DB additional information '!$P$8/100,(VLOOKUP(D24,'DB animal categories'!$C$42:$AH$51,8,FALSE)*VLOOKUP(D24,'DB animal categories'!$C$42:$AH$51,13,FALSE)/1000/1000-VLOOKUP(D24,'DB animal categories'!$C$42:$AH$51,7,FALSE)*'DB additional information '!$F$40/1000/1000)*E24-Q24))))</f>
        <v/>
      </c>
      <c r="S24" s="58" t="str">
        <f>IF(F24=1,"",IF(F24="","",IF(D24="","",IF(F24=2,E24*VLOOKUP(D24,'DB animal categories'!$C$42:$AH$51,24,FALSE)/1000,Q24+R24))))</f>
        <v/>
      </c>
      <c r="T24" s="58" t="str">
        <f>IF(F24=1,"",IF(D24="","",IF(F24="","",I24/VLOOKUP(D24,'DB animal categories'!$C$42:$AH$51,27,FALSE)*(VLOOKUP(D24,'DB animal categories'!$C$42:$AH$51,25,FALSE)*VLOOKUP(D24,'DB animal categories'!$C$42:$AH$51,26,FALSE)/24))))</f>
        <v/>
      </c>
      <c r="U24" s="58" t="str">
        <f>IF(F24=1,"",IF(D24="","",IF(F24="","",M24/VLOOKUP(D24,'DB animal categories'!$C$42:$AH$51,27,FALSE)*(VLOOKUP(D24,'DB animal categories'!$C$42:$AH$51,25,FALSE)*VLOOKUP(D24,'DB animal categories'!$C$42:$AH$51,26,FALSE)/24))))</f>
        <v/>
      </c>
      <c r="V24" s="606">
        <f>IF(K24="",0,L24/M24*U24*'DB technologies'!$AT$11/100)</f>
        <v>0</v>
      </c>
      <c r="W24" s="606">
        <f>IF(K24="",0,(U24-V24)*'DB technologies'!$AU$11/100)</f>
        <v>0</v>
      </c>
      <c r="X24" s="58" t="str">
        <f>IF(F24=1,"",IF(D24="","",IF(F24="","",P24/VLOOKUP(D24,'DB animal categories'!$C$42:$AH$51,27,FALSE)*(VLOOKUP(D24,'DB animal categories'!$C$42:$AH$51,25,FALSE)*VLOOKUP(D24,'DB animal categories'!$C$42:$AH$51,26,FALSE)/24))))</f>
        <v/>
      </c>
      <c r="Y24" s="63" t="str">
        <f>IF(F24=1,"",IF(D24="","",IF(F24="","",S24/VLOOKUP(D24,'DB animal categories'!$C$42:$AH$51,27,FALSE)*(VLOOKUP(D24,'DB animal categories'!$C$42:$AH$51,25,FALSE)*VLOOKUP(D24,'DB animal categories'!$C$42:$AH$51,26,FALSE)/24))))</f>
        <v/>
      </c>
      <c r="AA24" s="82"/>
      <c r="AB24" s="82"/>
    </row>
    <row r="25" spans="2:28" ht="11.25" customHeight="1" x14ac:dyDescent="0.2">
      <c r="B25" s="670"/>
      <c r="C25" s="673"/>
      <c r="D25" s="1404"/>
      <c r="E25" s="1411"/>
      <c r="F25" s="1405"/>
      <c r="G25" s="59" t="str">
        <f>IF(F25=1,"",IF(D25="","",IF(F25=2,I25*VLOOKUP($C$23,'DB additional information '!$X$4:$AB$25,4,FALSE)/100,VLOOKUP(D25,'DB animal categories'!$C$42:$AH$51,8,FALSE)*(1-(VLOOKUP(D25,'DB animal categories'!$C$42:$AH$51,10,FALSE)/100))/('DB additional information '!$K$8/100)/1000*E25)))</f>
        <v/>
      </c>
      <c r="H25" s="59" t="str">
        <f>IF(F25=1,"",IF(D25="","",IF(F25=2,I25-G25,G25/'DB additional information '!$M$8)))</f>
        <v/>
      </c>
      <c r="I25" s="58" t="str">
        <f>IF(F25=1,VLOOKUP(D25,'DB animal categories'!$C$42:$AM$51,31,FALSE)*E25,IF(F25="","",IF(D25="","",IF(F25=2,VLOOKUP(D25,'DB animal categories'!$C$42:$AH$51,14,FALSE)*E25,G25+H25))))</f>
        <v/>
      </c>
      <c r="J25" s="58" t="str">
        <f>IF(F25=1,VLOOKUP(D25,'DB animal categories'!$C$42:$AN$51,38,FALSE),IF(E25="","",IF(F25="","",IF(D25="","",IF(F25=2,VLOOKUP(D25,'DB animal categories'!$C$42:$AH$51,15,FALSE),(G25*'DB additional information '!$K$8/100+H25*'DB additional information '!$L$8/100)/I25*100)))))</f>
        <v/>
      </c>
      <c r="K25" s="68" t="str">
        <f>IF(F25=1,"",IF(F25="","",IF(D25="","",IF(F25=2,M25-L25,((VLOOKUP(D25,'DB animal categories'!$C$42:$AH$51,8,FALSE)*VLOOKUP(D25,'DB animal categories'!$C$42:$AH$51,11,FALSE)/VLOOKUP(D25,'DB animal categories'!$C$42:$AH$51,27,FALSE)/6.25-VLOOKUP(D25,'DB animal categories'!$C$42:$AH$51,8,FALSE)/VLOOKUP(D25,'DB animal categories'!$C$42:$AH$51,27,FALSE)*((0.93*VLOOKUP(D25,'DB animal categories'!$C$42:$AH$51,11,FALSE))-30)/6.25)*VLOOKUP(D25,'DB animal categories'!$C$42:$AH$51,27,FALSE)/1000*E25/1000)))))</f>
        <v/>
      </c>
      <c r="L25" s="68" t="str">
        <f>IF(F25=1,"",IF(F25="","",IF(D25="","",IF(F25=2,M25*'DB additional information '!$N$8/100,((VLOOKUP(D25,'DB animal categories'!$C$42:$AH$51,8,FALSE)*VLOOKUP(D25,'DB animal categories'!$C$42:$AH$51,11,FALSE)/6.25/1000/1000-(VLOOKUP(D25,'DB animal categories'!$C$42:$AH$51,7,FALSE)*'DB additional information '!$F$38/1000/1000))*E25)-K25))))</f>
        <v/>
      </c>
      <c r="M25" s="58" t="str">
        <f>IF(F25=1,"",IF(F25="","",IF(D25="","",IF(F25=2,VLOOKUP(D25,'DB animal categories'!$C$42:$AH$51,18,FALSE)*E25/1000,K25+L25))))</f>
        <v/>
      </c>
      <c r="N25" s="68" t="str">
        <f>IF(F25=1,"",IF(D25="","",IF(F25="","",IF(F25=2,P25-O25,(VLOOKUP(D25,'DB animal categories'!$C$42:$AH$51,8,FALSE)*VLOOKUP(D25,'DB animal categories'!$C$42:$AH$51,12,FALSE)/1000/1000-VLOOKUP(D25,'DB animal categories'!$C$42:$AH$51,7,FALSE)*'DB additional information '!$F$39/1000/1000)*E25-O25))))</f>
        <v/>
      </c>
      <c r="O25" s="68" t="str">
        <f>IF(F25=1,"",IF(D25="","",IF(F25="","",IF(F25=2,P25*'DB additional information '!$O$8/100,VLOOKUP(D25,'DB animal categories'!$C$42:$AH$51,8,FALSE)*VLOOKUP(D25,'DB animal categories'!$C$42:$AH$51,12,FALSE)*'DB additional information '!$F$36/100/1000/1000*E25))))</f>
        <v/>
      </c>
      <c r="P25" s="58" t="str">
        <f>IF(F25=1,"",IF(F25="","",IF(D25="","",IF(F25=2,E25*VLOOKUP(D25,'DB animal categories'!$C$42:$AH$51,21,FALSE)/1000,N25+O25))))</f>
        <v/>
      </c>
      <c r="Q25" s="68" t="str">
        <f>IF(F25=1,"",IF(F25="","",IF(D25="","",IF(F25=2,S25-R25,VLOOKUP(D25,'DB animal categories'!$C$42:$AH$51,8,FALSE)*'DB additional information '!$F$42/1000/1000*E25))))</f>
        <v/>
      </c>
      <c r="R25" s="68" t="str">
        <f>IF(F25=1,"",IF(F25="","",IF(D25="","",IF(F25=2,S25*'DB additional information '!$P$8/100,(VLOOKUP(D25,'DB animal categories'!$C$42:$AH$51,8,FALSE)*VLOOKUP(D25,'DB animal categories'!$C$42:$AH$51,13,FALSE)/1000/1000-VLOOKUP(D25,'DB animal categories'!$C$42:$AH$51,7,FALSE)*'DB additional information '!$F$40/1000/1000)*E25-Q25))))</f>
        <v/>
      </c>
      <c r="S25" s="58" t="str">
        <f>IF(F25=1,"",IF(F25="","",IF(D25="","",IF(F25=2,E25*VLOOKUP(D25,'DB animal categories'!$C$42:$AH$51,24,FALSE)/1000,Q25+R25))))</f>
        <v/>
      </c>
      <c r="T25" s="58" t="str">
        <f>IF(F25=1,"",IF(D25="","",IF(F25="","",I25/VLOOKUP(D25,'DB animal categories'!$C$42:$AH$51,27,FALSE)*(VLOOKUP(D25,'DB animal categories'!$C$42:$AH$51,25,FALSE)*VLOOKUP(D25,'DB animal categories'!$C$42:$AH$51,26,FALSE)/24))))</f>
        <v/>
      </c>
      <c r="U25" s="58" t="str">
        <f>IF(F25=1,"",IF(D25="","",IF(F25="","",M25/VLOOKUP(D25,'DB animal categories'!$C$42:$AH$51,27,FALSE)*(VLOOKUP(D25,'DB animal categories'!$C$42:$AH$51,25,FALSE)*VLOOKUP(D25,'DB animal categories'!$C$42:$AH$51,26,FALSE)/24))))</f>
        <v/>
      </c>
      <c r="V25" s="606">
        <f>IF(K25="",0,L25/M25*U25*'DB technologies'!$AT$11/100)</f>
        <v>0</v>
      </c>
      <c r="W25" s="606">
        <f>IF(K25="",0,(U25-V25)*'DB technologies'!$AU$11/100)</f>
        <v>0</v>
      </c>
      <c r="X25" s="58" t="str">
        <f>IF(F25=1,"",IF(D25="","",IF(F25="","",P25/VLOOKUP(D25,'DB animal categories'!$C$42:$AH$51,27,FALSE)*(VLOOKUP(D25,'DB animal categories'!$C$42:$AH$51,25,FALSE)*VLOOKUP(D25,'DB animal categories'!$C$42:$AH$51,26,FALSE)/24))))</f>
        <v/>
      </c>
      <c r="Y25" s="63" t="str">
        <f>IF(F25=1,"",IF(D25="","",IF(F25="","",S25/VLOOKUP(D25,'DB animal categories'!$C$42:$AH$51,27,FALSE)*(VLOOKUP(D25,'DB animal categories'!$C$42:$AH$51,25,FALSE)*VLOOKUP(D25,'DB animal categories'!$C$42:$AH$51,26,FALSE)/24))))</f>
        <v/>
      </c>
    </row>
    <row r="26" spans="2:28" ht="11.25" customHeight="1" x14ac:dyDescent="0.2">
      <c r="B26" s="670"/>
      <c r="C26" s="673"/>
      <c r="D26" s="1404"/>
      <c r="E26" s="1411"/>
      <c r="F26" s="1405"/>
      <c r="G26" s="59" t="str">
        <f>IF(F26=1,"",IF(D26="","",IF(F26=2,I26*VLOOKUP($C$23,'DB additional information '!$X$4:$AB$25,4,FALSE)/100,VLOOKUP(D26,'DB animal categories'!$C$42:$AH$51,8,FALSE)*(1-(VLOOKUP(D26,'DB animal categories'!$C$42:$AH$51,10,FALSE)/100))/('DB additional information '!$K$8/100)/1000*E26)))</f>
        <v/>
      </c>
      <c r="H26" s="59" t="str">
        <f>IF(F26=1,"",IF(D26="","",IF(F26=2,I26-G26,G26/'DB additional information '!$M$8)))</f>
        <v/>
      </c>
      <c r="I26" s="58" t="str">
        <f>IF(F26=1,VLOOKUP(D26,'DB animal categories'!$C$42:$AM$51,31,FALSE)*E26,IF(F26="","",IF(D26="","",IF(F26=2,VLOOKUP(D26,'DB animal categories'!$C$42:$AH$51,14,FALSE)*E26,G26+H26))))</f>
        <v/>
      </c>
      <c r="J26" s="58" t="str">
        <f>IF(F26=1,VLOOKUP(D26,'DB animal categories'!$C$42:$AN$51,38,FALSE),IF(E26="","",IF(F26="","",IF(D26="","",IF(F26=2,VLOOKUP(D26,'DB animal categories'!$C$42:$AH$51,15,FALSE),(G26*'DB additional information '!$K$8/100+H26*'DB additional information '!$L$8/100)/I26*100)))))</f>
        <v/>
      </c>
      <c r="K26" s="68" t="str">
        <f>IF(F26=1,"",IF(F26="","",IF(D26="","",IF(F26=2,M26-L26,((VLOOKUP(D26,'DB animal categories'!$C$42:$AH$51,8,FALSE)*VLOOKUP(D26,'DB animal categories'!$C$42:$AH$51,11,FALSE)/VLOOKUP(D26,'DB animal categories'!$C$42:$AH$51,27,FALSE)/6.25-VLOOKUP(D26,'DB animal categories'!$C$42:$AH$51,8,FALSE)/VLOOKUP(D26,'DB animal categories'!$C$42:$AH$51,27,FALSE)*((0.93*VLOOKUP(D26,'DB animal categories'!$C$42:$AH$51,11,FALSE))-30)/6.25)*VLOOKUP(D26,'DB animal categories'!$C$42:$AH$51,27,FALSE)/1000*E26/1000)))))</f>
        <v/>
      </c>
      <c r="L26" s="68" t="str">
        <f>IF(F26=1,"",IF(F26="","",IF(D26="","",IF(F26=2,M26*'DB additional information '!$N$8/100,((VLOOKUP(D26,'DB animal categories'!$C$42:$AH$51,8,FALSE)*VLOOKUP(D26,'DB animal categories'!$C$42:$AH$51,11,FALSE)/6.25/1000/1000-(VLOOKUP(D26,'DB animal categories'!$C$42:$AH$51,7,FALSE)*'DB additional information '!$F$38/1000/1000))*E26)-K26))))</f>
        <v/>
      </c>
      <c r="M26" s="58" t="str">
        <f>IF(F26=1,"",IF(F26="","",IF(D26="","",IF(F26=2,VLOOKUP(D26,'DB animal categories'!$C$42:$AH$51,18,FALSE)*E26/1000,K26+L26))))</f>
        <v/>
      </c>
      <c r="N26" s="68" t="str">
        <f>IF(F26=1,"",IF(D26="","",IF(F26="","",IF(F26=2,P26-O26,(VLOOKUP(D26,'DB animal categories'!$C$42:$AH$51,8,FALSE)*VLOOKUP(D26,'DB animal categories'!$C$42:$AH$51,12,FALSE)/1000/1000-VLOOKUP(D26,'DB animal categories'!$C$42:$AH$51,7,FALSE)*'DB additional information '!$F$39/1000/1000)*E26-O26))))</f>
        <v/>
      </c>
      <c r="O26" s="68" t="str">
        <f>IF(F26=1,"",IF(D26="","",IF(F26="","",IF(F26=2,P26*'DB additional information '!$O$8/100,VLOOKUP(D26,'DB animal categories'!$C$42:$AH$51,8,FALSE)*VLOOKUP(D26,'DB animal categories'!$C$42:$AH$51,12,FALSE)*'DB additional information '!$F$36/100/1000/1000*E26))))</f>
        <v/>
      </c>
      <c r="P26" s="58" t="str">
        <f>IF(F26=1,"",IF(F26="","",IF(D26="","",IF(F26=2,E26*VLOOKUP(D26,'DB animal categories'!$C$42:$AH$51,21,FALSE)/1000,N26+O26))))</f>
        <v/>
      </c>
      <c r="Q26" s="68" t="str">
        <f>IF(F26=1,"",IF(F26="","",IF(D26="","",IF(F26=2,S26-R26,VLOOKUP(D26,'DB animal categories'!$C$42:$AH$51,8,FALSE)*'DB additional information '!$F$42/1000/1000*E26))))</f>
        <v/>
      </c>
      <c r="R26" s="68" t="str">
        <f>IF(F26=1,"",IF(F26="","",IF(D26="","",IF(F26=2,S26*'DB additional information '!$P$8/100,(VLOOKUP(D26,'DB animal categories'!$C$42:$AH$51,8,FALSE)*VLOOKUP(D26,'DB animal categories'!$C$42:$AH$51,13,FALSE)/1000/1000-VLOOKUP(D26,'DB animal categories'!$C$42:$AH$51,7,FALSE)*'DB additional information '!$F$40/1000/1000)*E26-Q26))))</f>
        <v/>
      </c>
      <c r="S26" s="58" t="str">
        <f>IF(F26=1,"",IF(F26="","",IF(D26="","",IF(F26=2,E26*VLOOKUP(D26,'DB animal categories'!$C$42:$AH$51,24,FALSE)/1000,Q26+R26))))</f>
        <v/>
      </c>
      <c r="T26" s="58" t="str">
        <f>IF(F26=1,"",IF(D26="","",IF(F26="","",I26/VLOOKUP(D26,'DB animal categories'!$C$42:$AH$51,27,FALSE)*(VLOOKUP(D26,'DB animal categories'!$C$42:$AH$51,25,FALSE)*VLOOKUP(D26,'DB animal categories'!$C$42:$AH$51,26,FALSE)/24))))</f>
        <v/>
      </c>
      <c r="U26" s="58" t="str">
        <f>IF(F26=1,"",IF(D26="","",IF(F26="","",M26/VLOOKUP(D26,'DB animal categories'!$C$42:$AH$51,27,FALSE)*(VLOOKUP(D26,'DB animal categories'!$C$42:$AH$51,25,FALSE)*VLOOKUP(D26,'DB animal categories'!$C$42:$AH$51,26,FALSE)/24))))</f>
        <v/>
      </c>
      <c r="V26" s="606">
        <f>IF(K26="",0,L26/M26*U26*'DB technologies'!$AT$11/100)</f>
        <v>0</v>
      </c>
      <c r="W26" s="606">
        <f>IF(K26="",0,(U26-V26)*'DB technologies'!$AU$11/100)</f>
        <v>0</v>
      </c>
      <c r="X26" s="58" t="str">
        <f>IF(F26=1,"",IF(D26="","",IF(F26="","",P26/VLOOKUP(D26,'DB animal categories'!$C$42:$AH$51,27,FALSE)*(VLOOKUP(D26,'DB animal categories'!$C$42:$AH$51,25,FALSE)*VLOOKUP(D26,'DB animal categories'!$C$42:$AH$51,26,FALSE)/24))))</f>
        <v/>
      </c>
      <c r="Y26" s="63" t="str">
        <f>IF(F26=1,"",IF(D26="","",IF(F26="","",S26/VLOOKUP(D26,'DB animal categories'!$C$42:$AH$51,27,FALSE)*(VLOOKUP(D26,'DB animal categories'!$C$42:$AH$51,25,FALSE)*VLOOKUP(D26,'DB animal categories'!$C$42:$AH$51,26,FALSE)/24))))</f>
        <v/>
      </c>
    </row>
    <row r="27" spans="2:28" ht="11.25" customHeight="1" thickBot="1" x14ac:dyDescent="0.25">
      <c r="B27" s="670"/>
      <c r="C27" s="674"/>
      <c r="D27" s="1409"/>
      <c r="E27" s="1412"/>
      <c r="F27" s="1410"/>
      <c r="G27" s="89" t="str">
        <f>IF(F27=1,"",IF(D27="","",IF(F27=2,I27*VLOOKUP($C$23,'DB additional information '!$X$4:$AB$25,4,FALSE)/100,VLOOKUP(D27,'DB animal categories'!$C$42:$AH$51,8,FALSE)*(1-(VLOOKUP(D27,'DB animal categories'!$C$42:$AH$51,10,FALSE)/100))/('DB additional information '!$K$8/100)/1000*E27)))</f>
        <v/>
      </c>
      <c r="H27" s="89" t="str">
        <f>IF(F27=1,"",IF(D27="","",IF(F27=2,I27-G27,G27/'DB additional information '!$M$8)))</f>
        <v/>
      </c>
      <c r="I27" s="122" t="str">
        <f>IF(F27=1,VLOOKUP(D27,'DB animal categories'!$C$42:$AM$51,31,FALSE)*E27,IF(F27="","",IF(D27="","",IF(F27=2,VLOOKUP(D27,'DB animal categories'!$C$42:$AH$51,14,FALSE)*E27,G27+H27))))</f>
        <v/>
      </c>
      <c r="J27" s="122" t="str">
        <f>IF(F27=1,VLOOKUP(D27,'DB animal categories'!$C$42:$AN$51,38,FALSE),IF(E27="","",IF(F27="","",IF(D27="","",IF(F27=2,VLOOKUP(D27,'DB animal categories'!$C$42:$AH$51,15,FALSE),(G27*'DB additional information '!$K$8/100+H27*'DB additional information '!$L$8/100)/I27*100)))))</f>
        <v/>
      </c>
      <c r="K27" s="123" t="str">
        <f>IF(F27=1,"",IF(F27="","",IF(D27="","",IF(F27=2,M27-L27,((VLOOKUP(D27,'DB animal categories'!$C$42:$AH$51,8,FALSE)*VLOOKUP(D27,'DB animal categories'!$C$42:$AH$51,11,FALSE)/VLOOKUP(D27,'DB animal categories'!$C$42:$AH$51,27,FALSE)/6.25-VLOOKUP(D27,'DB animal categories'!$C$42:$AH$51,8,FALSE)/VLOOKUP(D27,'DB animal categories'!$C$42:$AH$51,27,FALSE)*((0.93*VLOOKUP(D27,'DB animal categories'!$C$42:$AH$51,11,FALSE))-30)/6.25)*VLOOKUP(D27,'DB animal categories'!$C$42:$AH$51,27,FALSE)/1000*E27/1000)))))</f>
        <v/>
      </c>
      <c r="L27" s="123" t="str">
        <f>IF(F27=1,"",IF(F27="","",IF(D27="","",IF(F27=2,M27*'DB additional information '!$N$8/100,((VLOOKUP(D27,'DB animal categories'!$C$42:$AH$51,8,FALSE)*VLOOKUP(D27,'DB animal categories'!$C$42:$AH$51,11,FALSE)/6.25/1000/1000-(VLOOKUP(D27,'DB animal categories'!$C$42:$AH$51,7,FALSE)*'DB additional information '!$F$38/1000/1000))*E27)-K27))))</f>
        <v/>
      </c>
      <c r="M27" s="122" t="str">
        <f>IF(F27=1,"",IF(F27="","",IF(D27="","",IF(F27=2,VLOOKUP(D27,'DB animal categories'!$C$42:$AH$51,18,FALSE)*E27/1000,K27+L27))))</f>
        <v/>
      </c>
      <c r="N27" s="123" t="str">
        <f>IF(F27=1,"",IF(D27="","",IF(F27="","",IF(F27=2,P27-O27,(VLOOKUP(D27,'DB animal categories'!$C$42:$AH$51,8,FALSE)*VLOOKUP(D27,'DB animal categories'!$C$42:$AH$51,12,FALSE)/1000/1000-VLOOKUP(D27,'DB animal categories'!$C$42:$AH$51,7,FALSE)*'DB additional information '!$F$39/1000/1000)*E27-O27))))</f>
        <v/>
      </c>
      <c r="O27" s="123" t="str">
        <f>IF(F27=1,"",IF(D27="","",IF(F27="","",IF(F27=2,P27*'DB additional information '!$O$8/100,VLOOKUP(D27,'DB animal categories'!$C$42:$AH$51,8,FALSE)*VLOOKUP(D27,'DB animal categories'!$C$42:$AH$51,12,FALSE)*'DB additional information '!$F$36/100/1000/1000*E27))))</f>
        <v/>
      </c>
      <c r="P27" s="122" t="str">
        <f>IF(F27=1,"",IF(F27="","",IF(D27="","",IF(F27=2,E27*VLOOKUP(D27,'DB animal categories'!$C$42:$AH$51,21,FALSE)/1000,N27+O27))))</f>
        <v/>
      </c>
      <c r="Q27" s="123" t="str">
        <f>IF(F27=1,"",IF(F27="","",IF(D27="","",IF(F27=2,S27-R27,VLOOKUP(D27,'DB animal categories'!$C$42:$AH$51,8,FALSE)*'DB additional information '!$F$42/1000/1000*E27))))</f>
        <v/>
      </c>
      <c r="R27" s="123" t="str">
        <f>IF(F27=1,"",IF(F27="","",IF(D27="","",IF(F27=2,S27*'DB additional information '!$P$8/100,(VLOOKUP(D27,'DB animal categories'!$C$42:$AH$51,8,FALSE)*VLOOKUP(D27,'DB animal categories'!$C$42:$AH$51,13,FALSE)/1000/1000-VLOOKUP(D27,'DB animal categories'!$C$42:$AH$51,7,FALSE)*'DB additional information '!$F$40/1000/1000)*E27-Q27))))</f>
        <v/>
      </c>
      <c r="S27" s="122" t="str">
        <f>IF(F27=1,"",IF(F27="","",IF(D27="","",IF(F27=2,E27*VLOOKUP(D27,'DB animal categories'!$C$42:$AH$51,24,FALSE)/1000,Q27+R27))))</f>
        <v/>
      </c>
      <c r="T27" s="122" t="str">
        <f>IF(F27=1,"",IF(D27="","",IF(F27="","",I27/VLOOKUP(D27,'DB animal categories'!$C$42:$AH$51,27,FALSE)*(VLOOKUP(D27,'DB animal categories'!$C$42:$AH$51,25,FALSE)*VLOOKUP(D27,'DB animal categories'!$C$42:$AH$51,26,FALSE)/24))))</f>
        <v/>
      </c>
      <c r="U27" s="122" t="str">
        <f>IF(F27=1,"",IF(D27="","",IF(F27="","",M27/VLOOKUP(D27,'DB animal categories'!$C$42:$AH$51,27,FALSE)*(VLOOKUP(D27,'DB animal categories'!$C$42:$AH$51,25,FALSE)*VLOOKUP(D27,'DB animal categories'!$C$42:$AH$51,26,FALSE)/24))))</f>
        <v/>
      </c>
      <c r="V27" s="608">
        <f>IF(K27="",0,L27/M27*U27*'DB technologies'!$AT$11/100)</f>
        <v>0</v>
      </c>
      <c r="W27" s="608">
        <f>IF(K27="",0,(U27-V27)*'DB technologies'!$AU$11/100)</f>
        <v>0</v>
      </c>
      <c r="X27" s="122" t="str">
        <f>IF(F27=1,"",IF(D27="","",IF(F27="","",P27/VLOOKUP(D27,'DB animal categories'!$C$42:$AH$51,27,FALSE)*(VLOOKUP(D27,'DB animal categories'!$C$42:$AH$51,25,FALSE)*VLOOKUP(D27,'DB animal categories'!$C$42:$AH$51,26,FALSE)/24))))</f>
        <v/>
      </c>
      <c r="Y27" s="124" t="str">
        <f>IF(F27=1,"",IF(D27="","",IF(F27="","",S27/VLOOKUP(D27,'DB animal categories'!$C$42:$AH$51,27,FALSE)*(VLOOKUP(D27,'DB animal categories'!$C$42:$AH$51,25,FALSE)*VLOOKUP(D27,'DB animal categories'!$C$42:$AH$51,26,FALSE)/24))))</f>
        <v/>
      </c>
    </row>
    <row r="28" spans="2:28" ht="11.25" customHeight="1" x14ac:dyDescent="0.2">
      <c r="B28" s="670"/>
      <c r="C28" s="672" t="s">
        <v>27</v>
      </c>
      <c r="D28" s="1408"/>
      <c r="E28" s="1402"/>
      <c r="F28" s="1402"/>
      <c r="G28" s="59" t="str">
        <f>IF(F28=1,"",IF(D28="","",IF(F28=2,I28*VLOOKUP($C$28,'DB additional information '!$X$4:$AB$25,4,FALSE)/100,VLOOKUP(D28,'DB animal categories'!$C$52:$AH$61,8,FALSE)*(1-(VLOOKUP(D28,'DB animal categories'!$C$52:$AH$61,10,FALSE)/100))/('DB additional information '!$K$9/100)/1000*E28)))</f>
        <v/>
      </c>
      <c r="H28" s="59" t="str">
        <f>IF(F28=1,"",IF(D28="","",IF(F28=2,I28-G28,G28/'DB additional information '!$M$9)))</f>
        <v/>
      </c>
      <c r="I28" s="66" t="str">
        <f>IF(F28=1,VLOOKUP(D28,'DB animal categories'!$C$52:$AM$61,31,FALSE)*E28,IF(F28="","",IF(D28="","",IF(F28=2,VLOOKUP(D28,'DB animal categories'!$C$52:$AH$61,14,FALSE)*E28,G28+H28))))</f>
        <v/>
      </c>
      <c r="J28" s="66" t="str">
        <f>IF(F28=1,VLOOKUP(D28,'DB animal categories'!$C$52:$AN$61,38,FALSE),IF(E28="","",IF(F28="","",IF(D28="","",IF(F28=2,VLOOKUP(D28,'DB animal categories'!$C$52:$AH$61,15,FALSE),(G28*'DB additional information '!$K$9/100+H28*'DB additional information '!$L$9/100)/I28*100)))))</f>
        <v/>
      </c>
      <c r="K28" s="74" t="str">
        <f>IF(F28=1,"",IF(F28="","",IF(D28="","",IF(F28=2,M28-L28,((VLOOKUP(D28,'DB animal categories'!$C$52:$AH$61,8,FALSE)*VLOOKUP(D28,'DB animal categories'!$C$52:$AH$61,11,FALSE)/VLOOKUP(D28,'DB animal categories'!$C$52:$AH$61,27,FALSE)/6.25-VLOOKUP(D28,'DB animal categories'!$C$52:$AH$61,8,FALSE)/VLOOKUP(D28,'DB animal categories'!$C$52:$AH$61,27,FALSE)*((0.93*VLOOKUP(D28,'DB animal categories'!$C$52:$AH$61,11,FALSE))-30)/6.25)*VLOOKUP(D28,'DB animal categories'!$C$52:$AH$61,27,FALSE)/1000*E28/1000)))))</f>
        <v/>
      </c>
      <c r="L28" s="74" t="str">
        <f>IF(F28=1,"",IF(F28="","",IF(D28="","",IF(F28=2,M28*'DB additional information '!$N$9/100,((VLOOKUP(D28,'DB animal categories'!$C$52:$AH$61,8,FALSE)*VLOOKUP(D28,'DB animal categories'!$C$52:$AH$61,11,FALSE)/6.25/1000/1000-(VLOOKUP(D28,'DB animal categories'!$C$52:$AH$61,7,FALSE)*'DB additional information '!$F$45/1000/1000+'DB additional information '!$F$43*'DB additional information '!$F$44*'DB additional information '!$F$48/1000/1000))*E28)-K28))))</f>
        <v/>
      </c>
      <c r="M28" s="66" t="str">
        <f>IF(F28=1,"",IF(F28="","",IF(D28="","",IF(F28=2,VLOOKUP(D28,'DB animal categories'!$C$52:$AH$61,18,FALSE)*E28/1000,K28+L28))))</f>
        <v/>
      </c>
      <c r="N28" s="74" t="str">
        <f>IF(F28=1,"",IF(D28="","",IF(F28="","",IF(F28=2,P28-O28,(VLOOKUP(D28,'DB animal categories'!$C$52:$AH$61,8,FALSE)*VLOOKUP(D28,'DB animal categories'!$C$52:$AH$61,12,FALSE)/1000/1000-VLOOKUP(D28,'DB animal categories'!$C$52:$AH$61,7,FALSE)*'DB additional information '!$F$46/1000/1000-'DB additional information '!$F$43*'DB additional information '!$F$44*'DB additional information '!$F$49/1000/1000)*E28-O28))))</f>
        <v/>
      </c>
      <c r="O28" s="74" t="str">
        <f>IF(F28=1,"",IF(D28="","",IF(F28="","",IF(F28=2,P28*'DB additional information '!$O$9/100,VLOOKUP(D28,'DB animal categories'!$C$52:$AH$61,8,FALSE)*VLOOKUP(D28,'DB animal categories'!$C$52:$AH$61,12,FALSE)*'DB additional information '!$F$51/100/1000/1000*E28))))</f>
        <v/>
      </c>
      <c r="P28" s="66" t="str">
        <f>IF(F28=1,"",IF(F28="","",IF(D28="","",IF(F28=2,E28*VLOOKUP(D28,'DB animal categories'!$C$52:$AH$61,21,FALSE)/1000,N28+O28))))</f>
        <v/>
      </c>
      <c r="Q28" s="74" t="str">
        <f>IF(F28=1,"",IF(F28="","",IF(D28="","",IF(F28=2,S28-R28,VLOOKUP(D28,'DB animal categories'!$C$52:$AH$61,8,FALSE)*'DB additional information '!$F$52/1000/1000*E28))))</f>
        <v/>
      </c>
      <c r="R28" s="74" t="str">
        <f>IF(F28=1,"",IF(F28="","",IF(D28="","",IF(F28=2,S28*'DB additional information '!$P$9/100,(VLOOKUP(D28,'DB animal categories'!$C$52:$AH$61,8,FALSE)*VLOOKUP(D28,'DB animal categories'!$C$52:$AH$61,13,FALSE)/1000/1000-VLOOKUP(D28,'DB animal categories'!$C$52:$AH$61,7,FALSE)*'DB additional information '!$F$47/1000/1000-'DB additional information '!$F$43*'DB additional information '!$F$44*'DB additional information '!$F$50/1000/1000)*E28-Q28))))</f>
        <v/>
      </c>
      <c r="S28" s="66" t="str">
        <f>IF(F28=1,"",IF(F28="","",IF(D28="","",IF(F28=2,E28*VLOOKUP(D28,'DB animal categories'!$C$52:$AH$61,24,FALSE)/1000,Q28+R28))))</f>
        <v/>
      </c>
      <c r="T28" s="66" t="str">
        <f>IF(F28=1,"",IF(D28="","",IF(F28="","",I28/VLOOKUP(D28,'DB animal categories'!$C$52:$AH$61,27,FALSE)*(VLOOKUP(D28,'DB animal categories'!$C$52:$AH$61,25,FALSE)*VLOOKUP(D28,'DB animal categories'!$C$52:$AH$61,26,FALSE)/24))))</f>
        <v/>
      </c>
      <c r="U28" s="66" t="str">
        <f>IF(F28=1,"",IF(D28="","",IF(F28="","",M28/VLOOKUP(D28,'DB animal categories'!$C$52:$AH$61,27,FALSE)*(VLOOKUP(D28,'DB animal categories'!$C$52:$AH$61,25,FALSE)*VLOOKUP(D28,'DB animal categories'!$C$52:$AH$61,26,FALSE)/24))))</f>
        <v/>
      </c>
      <c r="V28" s="607">
        <f>IF(K28="",0,L28/M28*U28*'DB technologies'!$AT$11/100)</f>
        <v>0</v>
      </c>
      <c r="W28" s="607">
        <f>IF(K28="",0,(U28-V28)*'DB technologies'!$AU$11/100)</f>
        <v>0</v>
      </c>
      <c r="X28" s="66" t="str">
        <f>IF(F28=1,"",IF(D28="","",IF(F28="","",P28/VLOOKUP(D28,'DB animal categories'!$C$52:$AH$61,27,FALSE)*(VLOOKUP(D28,'DB animal categories'!$C$52:$AH$61,25,FALSE)*VLOOKUP(D28,'DB animal categories'!$C$52:$AH$61,26,FALSE)/24))))</f>
        <v/>
      </c>
      <c r="Y28" s="77" t="str">
        <f>IF(F28=1,"",IF(D28="","",IF(F28="","",S28/VLOOKUP(D28,'DB animal categories'!$C$52:$AH$61,27,FALSE)*(VLOOKUP(D28,'DB animal categories'!$C$52:$AH$61,25,FALSE)*VLOOKUP(D28,'DB animal categories'!$C$52:$AH$61,26,FALSE)/24))))</f>
        <v/>
      </c>
      <c r="AA28" s="82"/>
      <c r="AB28" s="82"/>
    </row>
    <row r="29" spans="2:28" ht="11.25" customHeight="1" x14ac:dyDescent="0.2">
      <c r="B29" s="670"/>
      <c r="C29" s="673"/>
      <c r="D29" s="1404"/>
      <c r="E29" s="1405"/>
      <c r="F29" s="1413"/>
      <c r="G29" s="59" t="str">
        <f>IF(F29=1,"",IF(D29="","",IF(F29=2,I29*VLOOKUP($C$28,'DB additional information '!$X$4:$AB$25,4,FALSE)/100,VLOOKUP(D29,'DB animal categories'!$C$52:$AH$61,8,FALSE)*(1-(VLOOKUP(D29,'DB animal categories'!$C$52:$AH$61,10,FALSE)/100))/('DB additional information '!$K$9/100)/1000*E29)))</f>
        <v/>
      </c>
      <c r="H29" s="59" t="str">
        <f>IF(F29=1,"",IF(D29="","",IF(F29=2,I29-G29,G29/'DB additional information '!$M$9)))</f>
        <v/>
      </c>
      <c r="I29" s="58" t="str">
        <f>IF(F29=1,VLOOKUP(D29,'DB animal categories'!$C$52:$AM$61,31,FALSE)*E29,IF(F29="","",IF(D29="","",IF(F29=2,VLOOKUP(D29,'DB animal categories'!$C$52:$AH$61,14,FALSE)*E29,G29+H29))))</f>
        <v/>
      </c>
      <c r="J29" s="58" t="str">
        <f>IF(F29=1,VLOOKUP(D29,'DB animal categories'!$C$52:$AN$61,38,FALSE),IF(E29="","",IF(F29="","",IF(D29="","",IF(F29=2,VLOOKUP(D29,'DB animal categories'!$C$52:$AH$61,15,FALSE),(G29*'DB additional information '!$K$9/100+H29*'DB additional information '!$L$9/100)/I29*100)))))</f>
        <v/>
      </c>
      <c r="K29" s="68" t="str">
        <f>IF(F29=1,"",IF(F29="","",IF(D29="","",IF(F29=2,M29-L29,((VLOOKUP(D29,'DB animal categories'!$C$52:$AH$61,8,FALSE)*VLOOKUP(D29,'DB animal categories'!$C$52:$AH$61,11,FALSE)/VLOOKUP(D29,'DB animal categories'!$C$52:$AH$61,27,FALSE)/6.25-VLOOKUP(D29,'DB animal categories'!$C$52:$AH$61,8,FALSE)/VLOOKUP(D29,'DB animal categories'!$C$52:$AH$61,27,FALSE)*((0.93*VLOOKUP(D29,'DB animal categories'!$C$52:$AH$61,11,FALSE))-30)/6.25)*VLOOKUP(D29,'DB animal categories'!$C$52:$AH$61,27,FALSE)/1000*E29/1000)))))</f>
        <v/>
      </c>
      <c r="L29" s="68" t="str">
        <f>IF(F29=1,"",IF(F29="","",IF(D29="","",IF(F29=2,M29*'DB additional information '!$N$9/100,((VLOOKUP(D29,'DB animal categories'!$C$52:$AH$61,8,FALSE)*VLOOKUP(D29,'DB animal categories'!$C$52:$AH$61,11,FALSE)/6.25/1000/1000-(VLOOKUP(D29,'DB animal categories'!$C$52:$AH$61,7,FALSE)*'DB additional information '!$F$45/1000/1000+'DB additional information '!$F$43*'DB additional information '!$F$44*'DB additional information '!$F$48/1000/1000))*E29)-K29))))</f>
        <v/>
      </c>
      <c r="M29" s="58" t="str">
        <f>IF(F29=1,"",IF(F29="","",IF(D29="","",IF(F29=2,VLOOKUP(D29,'DB animal categories'!$C$52:$AH$61,18,FALSE)*E29/1000,K29+L29))))</f>
        <v/>
      </c>
      <c r="N29" s="68" t="str">
        <f>IF(F29=1,"",IF(D29="","",IF(F29="","",IF(F29=2,P29-O29,(VLOOKUP(D29,'DB animal categories'!$C$52:$AH$61,8,FALSE)*VLOOKUP(D29,'DB animal categories'!$C$52:$AH$61,12,FALSE)/1000/1000-VLOOKUP(D29,'DB animal categories'!$C$52:$AH$61,7,FALSE)*'DB additional information '!$F$46/1000/1000-'DB additional information '!$F$43*'DB additional information '!$F$44*'DB additional information '!$F$49/1000/1000)*E29-O29))))</f>
        <v/>
      </c>
      <c r="O29" s="68" t="str">
        <f>IF(F29=1,"",IF(D29="","",IF(F29="","",IF(F29=2,P29*'DB additional information '!$O$9/100,VLOOKUP(D29,'DB animal categories'!$C$52:$AH$61,8,FALSE)*VLOOKUP(D29,'DB animal categories'!$C$52:$AH$61,12,FALSE)*'DB additional information '!$F$51/100/1000/1000*E29))))</f>
        <v/>
      </c>
      <c r="P29" s="58" t="str">
        <f>IF(F29=1,"",IF(F29="","",IF(D29="","",IF(F29=2,E29*VLOOKUP(D29,'DB animal categories'!$C$52:$AH$61,21,FALSE)/1000,N29+O29))))</f>
        <v/>
      </c>
      <c r="Q29" s="68" t="str">
        <f>IF(F29=1,"",IF(F29="","",IF(D29="","",IF(F29=2,S29-R29,VLOOKUP(D29,'DB animal categories'!$C$52:$AH$61,8,FALSE)*'DB additional information '!$F$52/1000/1000*E29))))</f>
        <v/>
      </c>
      <c r="R29" s="68" t="str">
        <f>IF(F29=1,"",IF(F29="","",IF(D29="","",IF(F29=2,S29*'DB additional information '!$P$9/100,(VLOOKUP(D29,'DB animal categories'!$C$52:$AH$61,8,FALSE)*VLOOKUP(D29,'DB animal categories'!$C$52:$AH$61,13,FALSE)/1000/1000-VLOOKUP(D29,'DB animal categories'!$C$52:$AH$61,7,FALSE)*'DB additional information '!$F$47/1000/1000-'DB additional information '!$F$43*'DB additional information '!$F$44*'DB additional information '!$F$50/1000/1000)*E29-Q29))))</f>
        <v/>
      </c>
      <c r="S29" s="58" t="str">
        <f>IF(F29=1,"",IF(F29="","",IF(D29="","",IF(F29=2,E29*VLOOKUP(D29,'DB animal categories'!$C$52:$AH$61,24,FALSE)/1000,Q29+R29))))</f>
        <v/>
      </c>
      <c r="T29" s="58" t="str">
        <f>IF(F29=1,"",IF(D29="","",IF(F29="","",I29/VLOOKUP(D29,'DB animal categories'!$C$52:$AH$61,27,FALSE)*(VLOOKUP(D29,'DB animal categories'!$C$52:$AH$61,25,FALSE)*VLOOKUP(D29,'DB animal categories'!$C$52:$AH$61,26,FALSE)/24))))</f>
        <v/>
      </c>
      <c r="U29" s="58" t="str">
        <f>IF(F29=1,"",IF(D29="","",IF(F29="","",M29/VLOOKUP(D29,'DB animal categories'!$C$52:$AH$61,27,FALSE)*(VLOOKUP(D29,'DB animal categories'!$C$52:$AH$61,25,FALSE)*VLOOKUP(D29,'DB animal categories'!$C$52:$AH$61,26,FALSE)/24))))</f>
        <v/>
      </c>
      <c r="V29" s="606">
        <f>IF(K29="",0,L29/M29*U29*'DB technologies'!$AT$11/100)</f>
        <v>0</v>
      </c>
      <c r="W29" s="606">
        <f>IF(K29="",0,(U29-V29)*'DB technologies'!$AU$11/100)</f>
        <v>0</v>
      </c>
      <c r="X29" s="58" t="str">
        <f>IF(F29=1,"",IF(D29="","",IF(F29="","",P29/VLOOKUP(D29,'DB animal categories'!$C$52:$AH$61,27,FALSE)*(VLOOKUP(D29,'DB animal categories'!$C$52:$AH$61,25,FALSE)*VLOOKUP(D29,'DB animal categories'!$C$52:$AH$61,26,FALSE)/24))))</f>
        <v/>
      </c>
      <c r="Y29" s="63" t="str">
        <f>IF(F29=1,"",IF(D29="","",IF(F29="","",S29/VLOOKUP(D29,'DB animal categories'!$C$52:$AH$61,27,FALSE)*(VLOOKUP(D29,'DB animal categories'!$C$52:$AH$61,25,FALSE)*VLOOKUP(D29,'DB animal categories'!$C$52:$AH$61,26,FALSE)/24))))</f>
        <v/>
      </c>
      <c r="AA29" s="82"/>
      <c r="AB29" s="82"/>
    </row>
    <row r="30" spans="2:28" ht="11.25" customHeight="1" x14ac:dyDescent="0.2">
      <c r="B30" s="670"/>
      <c r="C30" s="673"/>
      <c r="D30" s="1404"/>
      <c r="E30" s="1405"/>
      <c r="F30" s="1413"/>
      <c r="G30" s="59" t="str">
        <f>IF(F30=1,"",IF(D30="","",IF(F30=2,I30*VLOOKUP($C$28,'DB additional information '!$X$4:$AB$25,4,FALSE)/100,VLOOKUP(D30,'DB animal categories'!$C$52:$AH$61,8,FALSE)*(1-(VLOOKUP(D30,'DB animal categories'!$C$52:$AH$61,10,FALSE)/100))/('DB additional information '!$K$9/100)/1000*E30)))</f>
        <v/>
      </c>
      <c r="H30" s="59" t="str">
        <f>IF(F30=1,"",IF(D30="","",IF(F30=2,I30-G30,G30/'DB additional information '!$M$9)))</f>
        <v/>
      </c>
      <c r="I30" s="58" t="str">
        <f>IF(F30=1,VLOOKUP(D30,'DB animal categories'!$C$52:$AM$61,31,FALSE)*E30,IF(F30="","",IF(D30="","",IF(F30=2,VLOOKUP(D30,'DB animal categories'!$C$52:$AH$61,14,FALSE)*E30,G30+H30))))</f>
        <v/>
      </c>
      <c r="J30" s="58" t="str">
        <f>IF(F30=1,VLOOKUP(D30,'DB animal categories'!$C$52:$AN$61,38,FALSE),IF(E30="","",IF(F30="","",IF(D30="","",IF(F30=2,VLOOKUP(D30,'DB animal categories'!$C$52:$AH$61,15,FALSE),(G30*'DB additional information '!$K$9/100+H30*'DB additional information '!$L$9/100)/I30*100)))))</f>
        <v/>
      </c>
      <c r="K30" s="68" t="str">
        <f>IF(F30=1,"",IF(F30="","",IF(D30="","",IF(F30=2,M30-L30,((VLOOKUP(D30,'DB animal categories'!$C$52:$AH$61,8,FALSE)*VLOOKUP(D30,'DB animal categories'!$C$52:$AH$61,11,FALSE)/VLOOKUP(D30,'DB animal categories'!$C$52:$AH$61,27,FALSE)/6.25-VLOOKUP(D30,'DB animal categories'!$C$52:$AH$61,8,FALSE)/VLOOKUP(D30,'DB animal categories'!$C$52:$AH$61,27,FALSE)*((0.93*VLOOKUP(D30,'DB animal categories'!$C$52:$AH$61,11,FALSE))-30)/6.25)*VLOOKUP(D30,'DB animal categories'!$C$52:$AH$61,27,FALSE)/1000*E30/1000)))))</f>
        <v/>
      </c>
      <c r="L30" s="68" t="str">
        <f>IF(F30=1,"",IF(F30="","",IF(D30="","",IF(F30=2,M30*'DB additional information '!$N$9/100,((VLOOKUP(D30,'DB animal categories'!$C$52:$AH$61,8,FALSE)*VLOOKUP(D30,'DB animal categories'!$C$52:$AH$61,11,FALSE)/6.25/1000/1000-(VLOOKUP(D30,'DB animal categories'!$C$52:$AH$61,7,FALSE)*'DB additional information '!$F$45/1000/1000+'DB additional information '!$F$43*'DB additional information '!$F$44*'DB additional information '!$F$48/1000/1000))*E30)-K30))))</f>
        <v/>
      </c>
      <c r="M30" s="58" t="str">
        <f>IF(F30=1,"",IF(F30="","",IF(D30="","",IF(F30=2,VLOOKUP(D30,'DB animal categories'!$C$52:$AH$61,18,FALSE)*E30/1000,K30+L30))))</f>
        <v/>
      </c>
      <c r="N30" s="68" t="str">
        <f>IF(F30=1,"",IF(D30="","",IF(F30="","",IF(F30=2,P30-O30,(VLOOKUP(D30,'DB animal categories'!$C$52:$AH$61,8,FALSE)*VLOOKUP(D30,'DB animal categories'!$C$52:$AH$61,12,FALSE)/1000/1000-VLOOKUP(D30,'DB animal categories'!$C$52:$AH$61,7,FALSE)*'DB additional information '!$F$46/1000/1000-'DB additional information '!$F$43*'DB additional information '!$F$44*'DB additional information '!$F$49/1000/1000)*E30-O30))))</f>
        <v/>
      </c>
      <c r="O30" s="68" t="str">
        <f>IF(F30=1,"",IF(D30="","",IF(F30="","",IF(F30=2,P30*'DB additional information '!$O$9/100,VLOOKUP(D30,'DB animal categories'!$C$52:$AH$61,8,FALSE)*VLOOKUP(D30,'DB animal categories'!$C$52:$AH$61,12,FALSE)*'DB additional information '!$F$51/100/1000/1000*E30))))</f>
        <v/>
      </c>
      <c r="P30" s="58" t="str">
        <f>IF(F30=1,"",IF(F30="","",IF(D30="","",IF(F30=2,E30*VLOOKUP(D30,'DB animal categories'!$C$52:$AH$61,21,FALSE)/1000,N30+O30))))</f>
        <v/>
      </c>
      <c r="Q30" s="68" t="str">
        <f>IF(F30=1,"",IF(F30="","",IF(D30="","",IF(F30=2,S30-R30,VLOOKUP(D30,'DB animal categories'!$C$52:$AH$61,8,FALSE)*'DB additional information '!$F$52/1000/1000*E30))))</f>
        <v/>
      </c>
      <c r="R30" s="68" t="str">
        <f>IF(F30=1,"",IF(F30="","",IF(D30="","",IF(F30=2,S30*'DB additional information '!$P$9/100,(VLOOKUP(D30,'DB animal categories'!$C$52:$AH$61,8,FALSE)*VLOOKUP(D30,'DB animal categories'!$C$52:$AH$61,13,FALSE)/1000/1000-VLOOKUP(D30,'DB animal categories'!$C$52:$AH$61,7,FALSE)*'DB additional information '!$F$47/1000/1000-'DB additional information '!$F$43*'DB additional information '!$F$44*'DB additional information '!$F$50/1000/1000)*E30-Q30))))</f>
        <v/>
      </c>
      <c r="S30" s="58" t="str">
        <f>IF(F30=1,"",IF(F30="","",IF(D30="","",IF(F30=2,E30*VLOOKUP(D30,'DB animal categories'!$C$52:$AH$61,24,FALSE)/1000,Q30+R30))))</f>
        <v/>
      </c>
      <c r="T30" s="58" t="str">
        <f>IF(F30=1,"",IF(D30="","",IF(F30="","",I30/VLOOKUP(D30,'DB animal categories'!$C$52:$AH$61,27,FALSE)*(VLOOKUP(D30,'DB animal categories'!$C$52:$AH$61,25,FALSE)*VLOOKUP(D30,'DB animal categories'!$C$52:$AH$61,26,FALSE)/24))))</f>
        <v/>
      </c>
      <c r="U30" s="58" t="str">
        <f>IF(F30=1,"",IF(D30="","",IF(F30="","",M30/VLOOKUP(D30,'DB animal categories'!$C$52:$AH$61,27,FALSE)*(VLOOKUP(D30,'DB animal categories'!$C$52:$AH$61,25,FALSE)*VLOOKUP(D30,'DB animal categories'!$C$52:$AH$61,26,FALSE)/24))))</f>
        <v/>
      </c>
      <c r="V30" s="606">
        <f>IF(K30="",0,L30/M30*U30*'DB technologies'!$AT$11/100)</f>
        <v>0</v>
      </c>
      <c r="W30" s="606">
        <f>IF(K30="",0,(U30-V30)*'DB technologies'!$AU$11/100)</f>
        <v>0</v>
      </c>
      <c r="X30" s="58" t="str">
        <f>IF(F30=1,"",IF(D30="","",IF(F30="","",P30/VLOOKUP(D30,'DB animal categories'!$C$52:$AH$61,27,FALSE)*(VLOOKUP(D30,'DB animal categories'!$C$52:$AH$61,25,FALSE)*VLOOKUP(D30,'DB animal categories'!$C$52:$AH$61,26,FALSE)/24))))</f>
        <v/>
      </c>
      <c r="Y30" s="63" t="str">
        <f>IF(F30=1,"",IF(D30="","",IF(F30="","",S30/VLOOKUP(D30,'DB animal categories'!$C$52:$AH$61,27,FALSE)*(VLOOKUP(D30,'DB animal categories'!$C$52:$AH$61,25,FALSE)*VLOOKUP(D30,'DB animal categories'!$C$52:$AH$61,26,FALSE)/24))))</f>
        <v/>
      </c>
    </row>
    <row r="31" spans="2:28" ht="11.25" customHeight="1" x14ac:dyDescent="0.2">
      <c r="B31" s="670"/>
      <c r="C31" s="673"/>
      <c r="D31" s="1404"/>
      <c r="E31" s="1405"/>
      <c r="F31" s="1413"/>
      <c r="G31" s="59" t="str">
        <f>IF(F31=1,"",IF(D31="","",IF(F31=2,I31*VLOOKUP($C$28,'DB additional information '!$X$4:$AB$25,4,FALSE)/100,VLOOKUP(D31,'DB animal categories'!$C$52:$AH$61,8,FALSE)*(1-(VLOOKUP(D31,'DB animal categories'!$C$52:$AH$61,10,FALSE)/100))/('DB additional information '!$K$9/100)/1000*E31)))</f>
        <v/>
      </c>
      <c r="H31" s="59" t="str">
        <f>IF(F31=1,"",IF(D31="","",IF(F31=2,I31-G31,G31/'DB additional information '!$M$9)))</f>
        <v/>
      </c>
      <c r="I31" s="58" t="str">
        <f>IF(F31=1,VLOOKUP(D31,'DB animal categories'!$C$52:$AM$61,31,FALSE)*E31,IF(F31="","",IF(D31="","",IF(F31=2,VLOOKUP(D31,'DB animal categories'!$C$52:$AH$61,14,FALSE)*E31,G31+H31))))</f>
        <v/>
      </c>
      <c r="J31" s="58" t="str">
        <f>IF(F31=1,VLOOKUP(D31,'DB animal categories'!$C$52:$AN$61,38,FALSE),IF(E31="","",IF(F31="","",IF(D31="","",IF(F31=2,VLOOKUP(D31,'DB animal categories'!$C$52:$AH$61,15,FALSE),(G31*'DB additional information '!$K$9/100+H31*'DB additional information '!$L$9/100)/I31*100)))))</f>
        <v/>
      </c>
      <c r="K31" s="68" t="str">
        <f>IF(F31=1,"",IF(F31="","",IF(D31="","",IF(F31=2,M31-L31,((VLOOKUP(D31,'DB animal categories'!$C$52:$AH$61,8,FALSE)*VLOOKUP(D31,'DB animal categories'!$C$52:$AH$61,11,FALSE)/VLOOKUP(D31,'DB animal categories'!$C$52:$AH$61,27,FALSE)/6.25-VLOOKUP(D31,'DB animal categories'!$C$52:$AH$61,8,FALSE)/VLOOKUP(D31,'DB animal categories'!$C$52:$AH$61,27,FALSE)*((0.93*VLOOKUP(D31,'DB animal categories'!$C$52:$AH$61,11,FALSE))-30)/6.25)*VLOOKUP(D31,'DB animal categories'!$C$52:$AH$61,27,FALSE)/1000*E31/1000)))))</f>
        <v/>
      </c>
      <c r="L31" s="68" t="str">
        <f>IF(F31=1,"",IF(F31="","",IF(D31="","",IF(F31=2,M31*'DB additional information '!$N$9/100,((VLOOKUP(D31,'DB animal categories'!$C$52:$AH$61,8,FALSE)*VLOOKUP(D31,'DB animal categories'!$C$52:$AH$61,11,FALSE)/6.25/1000/1000-(VLOOKUP(D31,'DB animal categories'!$C$52:$AH$61,7,FALSE)*'DB additional information '!$F$45/1000/1000+'DB additional information '!$F$43*'DB additional information '!$F$44*'DB additional information '!$F$48/1000/1000))*E31)-K31))))</f>
        <v/>
      </c>
      <c r="M31" s="58" t="str">
        <f>IF(F31=1,"",IF(F31="","",IF(D31="","",IF(F31=2,VLOOKUP(D31,'DB animal categories'!$C$52:$AH$61,18,FALSE)*E31/1000,K31+L31))))</f>
        <v/>
      </c>
      <c r="N31" s="68" t="str">
        <f>IF(F31=1,"",IF(D31="","",IF(F31="","",IF(F31=2,P31-O31,(VLOOKUP(D31,'DB animal categories'!$C$52:$AH$61,8,FALSE)*VLOOKUP(D31,'DB animal categories'!$C$52:$AH$61,12,FALSE)/1000/1000-VLOOKUP(D31,'DB animal categories'!$C$52:$AH$61,7,FALSE)*'DB additional information '!$F$46/1000/1000-'DB additional information '!$F$43*'DB additional information '!$F$44*'DB additional information '!$F$49/1000/1000)*E31-O31))))</f>
        <v/>
      </c>
      <c r="O31" s="68" t="str">
        <f>IF(F31=1,"",IF(D31="","",IF(F31="","",IF(F31=2,P31*'DB additional information '!$O$9/100,VLOOKUP(D31,'DB animal categories'!$C$52:$AH$61,8,FALSE)*VLOOKUP(D31,'DB animal categories'!$C$52:$AH$61,12,FALSE)*'DB additional information '!$F$51/100/1000/1000*E31))))</f>
        <v/>
      </c>
      <c r="P31" s="58" t="str">
        <f>IF(F31=1,"",IF(F31="","",IF(D31="","",IF(F31=2,E31*VLOOKUP(D31,'DB animal categories'!$C$52:$AH$61,21,FALSE)/1000,N31+O31))))</f>
        <v/>
      </c>
      <c r="Q31" s="68" t="str">
        <f>IF(F31=1,"",IF(F31="","",IF(D31="","",IF(F31=2,S31-R31,VLOOKUP(D31,'DB animal categories'!$C$52:$AH$61,8,FALSE)*'DB additional information '!$F$52/1000/1000*E31))))</f>
        <v/>
      </c>
      <c r="R31" s="68" t="str">
        <f>IF(F31=1,"",IF(F31="","",IF(D31="","",IF(F31=2,S31*'DB additional information '!$P$9/100,(VLOOKUP(D31,'DB animal categories'!$C$52:$AH$61,8,FALSE)*VLOOKUP(D31,'DB animal categories'!$C$52:$AH$61,13,FALSE)/1000/1000-VLOOKUP(D31,'DB animal categories'!$C$52:$AH$61,7,FALSE)*'DB additional information '!$F$47/1000/1000-'DB additional information '!$F$43*'DB additional information '!$F$44*'DB additional information '!$F$50/1000/1000)*E31-Q31))))</f>
        <v/>
      </c>
      <c r="S31" s="58" t="str">
        <f>IF(F31=1,"",IF(F31="","",IF(D31="","",IF(F31=2,E31*VLOOKUP(D31,'DB animal categories'!$C$52:$AH$61,24,FALSE)/1000,Q31+R31))))</f>
        <v/>
      </c>
      <c r="T31" s="58" t="str">
        <f>IF(F31=1,"",IF(D31="","",IF(F31="","",I31/VLOOKUP(D31,'DB animal categories'!$C$52:$AH$61,27,FALSE)*(VLOOKUP(D31,'DB animal categories'!$C$52:$AH$61,25,FALSE)*VLOOKUP(D31,'DB animal categories'!$C$52:$AH$61,26,FALSE)/24))))</f>
        <v/>
      </c>
      <c r="U31" s="58" t="str">
        <f>IF(F31=1,"",IF(D31="","",IF(F31="","",M31/VLOOKUP(D31,'DB animal categories'!$C$52:$AH$61,27,FALSE)*(VLOOKUP(D31,'DB animal categories'!$C$52:$AH$61,25,FALSE)*VLOOKUP(D31,'DB animal categories'!$C$52:$AH$61,26,FALSE)/24))))</f>
        <v/>
      </c>
      <c r="V31" s="606">
        <f>IF(K31="",0,L31/M31*U31*'DB technologies'!$AT$11/100)</f>
        <v>0</v>
      </c>
      <c r="W31" s="606">
        <f>IF(K31="",0,(U31-V31)*'DB technologies'!$AU$11/100)</f>
        <v>0</v>
      </c>
      <c r="X31" s="58" t="str">
        <f>IF(F31=1,"",IF(D31="","",IF(F31="","",P31/VLOOKUP(D31,'DB animal categories'!$C$52:$AH$61,27,FALSE)*(VLOOKUP(D31,'DB animal categories'!$C$52:$AH$61,25,FALSE)*VLOOKUP(D31,'DB animal categories'!$C$52:$AH$61,26,FALSE)/24))))</f>
        <v/>
      </c>
      <c r="Y31" s="63" t="str">
        <f>IF(F31=1,"",IF(D31="","",IF(F31="","",S31/VLOOKUP(D31,'DB animal categories'!$C$52:$AH$61,27,FALSE)*(VLOOKUP(D31,'DB animal categories'!$C$52:$AH$61,25,FALSE)*VLOOKUP(D31,'DB animal categories'!$C$52:$AH$61,26,FALSE)/24))))</f>
        <v/>
      </c>
    </row>
    <row r="32" spans="2:28" ht="11.25" customHeight="1" thickBot="1" x14ac:dyDescent="0.25">
      <c r="B32" s="670"/>
      <c r="C32" s="674"/>
      <c r="D32" s="1409"/>
      <c r="E32" s="1410"/>
      <c r="F32" s="1414"/>
      <c r="G32" s="89" t="str">
        <f>IF(F32=1,"",IF(D32="","",IF(F32=2,I32*VLOOKUP($C$28,'DB additional information '!$X$4:$AB$25,4,FALSE)/100,VLOOKUP(D32,'DB animal categories'!$C$52:$AH$61,8,FALSE)*(1-(VLOOKUP(D32,'DB animal categories'!$C$52:$AH$61,10,FALSE)/100))/('DB additional information '!$K$9/100)/1000*E32)))</f>
        <v/>
      </c>
      <c r="H32" s="89" t="str">
        <f>IF(F32=1,"",IF(D32="","",IF(F32=2,I32-G32,G32/'DB additional information '!$M$9)))</f>
        <v/>
      </c>
      <c r="I32" s="122" t="str">
        <f>IF(F32=1,VLOOKUP(D32,'DB animal categories'!$C$52:$AM$61,31,FALSE)*E32,IF(F32="","",IF(D32="","",IF(F32=2,VLOOKUP(D32,'DB animal categories'!$C$52:$AH$61,14,FALSE)*E32,G32+H32))))</f>
        <v/>
      </c>
      <c r="J32" s="122" t="str">
        <f>IF(F32=1,VLOOKUP(D32,'DB animal categories'!$C$52:$AN$61,38,FALSE),IF(E32="","",IF(F32="","",IF(D32="","",IF(F32=2,VLOOKUP(D32,'DB animal categories'!$C$52:$AH$61,15,FALSE),(G32*'DB additional information '!$K$9/100+H32*'DB additional information '!$L$9/100)/I32*100)))))</f>
        <v/>
      </c>
      <c r="K32" s="76" t="str">
        <f>IF(F32=1,"",IF(F32="","",IF(D32="","",IF(F32=2,M32-L32,((VLOOKUP(D32,'DB animal categories'!$C$52:$AH$61,8,FALSE)*VLOOKUP(D32,'DB animal categories'!$C$52:$AH$61,11,FALSE)/VLOOKUP(D32,'DB animal categories'!$C$52:$AH$61,27,FALSE)/6.25-VLOOKUP(D32,'DB animal categories'!$C$52:$AH$61,8,FALSE)/VLOOKUP(D32,'DB animal categories'!$C$52:$AH$61,27,FALSE)*((0.93*VLOOKUP(D32,'DB animal categories'!$C$52:$AH$61,11,FALSE))-30)/6.25)*VLOOKUP(D32,'DB animal categories'!$C$52:$AH$61,27,FALSE)/1000*E32/1000)))))</f>
        <v/>
      </c>
      <c r="L32" s="76" t="str">
        <f>IF(F32=1,"",IF(F32="","",IF(D32="","",IF(F32=2,M32*'DB additional information '!$N$9/100,((VLOOKUP(D32,'DB animal categories'!$C$52:$AH$61,8,FALSE)*VLOOKUP(D32,'DB animal categories'!$C$52:$AH$61,11,FALSE)/6.25/1000/1000-(VLOOKUP(D32,'DB animal categories'!$C$52:$AH$61,7,FALSE)*'DB additional information '!$F$45/1000/1000+'DB additional information '!$F$43*'DB additional information '!$F$44*'DB additional information '!$F$48/1000/1000))*E32)-K32))))</f>
        <v/>
      </c>
      <c r="M32" s="75" t="str">
        <f>IF(F32=1,"",IF(F32="","",IF(D32="","",IF(F32=2,VLOOKUP(D32,'DB animal categories'!$C$52:$AH$61,18,FALSE)*E32/1000,K32+L32))))</f>
        <v/>
      </c>
      <c r="N32" s="76" t="str">
        <f>IF(F32=1,"",IF(D32="","",IF(F32="","",IF(F32=2,P32-O32,(VLOOKUP(D32,'DB animal categories'!$C$52:$AH$61,8,FALSE)*VLOOKUP(D32,'DB animal categories'!$C$52:$AH$61,12,FALSE)/1000/1000-VLOOKUP(D32,'DB animal categories'!$C$52:$AH$61,7,FALSE)*'DB additional information '!$F$46/1000/1000-'DB additional information '!$F$43*'DB additional information '!$F$44*'DB additional information '!$F$49/1000/1000)*E32-O32))))</f>
        <v/>
      </c>
      <c r="O32" s="76" t="str">
        <f>IF(F32=1,"",IF(D32="","",IF(F32="","",IF(F32=2,P32*'DB additional information '!$O$9/100,VLOOKUP(D32,'DB animal categories'!$C$52:$AH$61,8,FALSE)*VLOOKUP(D32,'DB animal categories'!$C$52:$AH$61,12,FALSE)*'DB additional information '!$F$51/100/1000/1000*E32))))</f>
        <v/>
      </c>
      <c r="P32" s="75" t="str">
        <f>IF(F32=1,"",IF(F32="","",IF(D32="","",IF(F32=2,E32*VLOOKUP(D32,'DB animal categories'!$C$52:$AH$61,21,FALSE)/1000,N32+O32))))</f>
        <v/>
      </c>
      <c r="Q32" s="123" t="str">
        <f>IF(F32=1,"",IF(F32="","",IF(D32="","",IF(F32=2,S32-R32,VLOOKUP(D32,'DB animal categories'!$C$52:$AH$61,8,FALSE)*'DB additional information '!$F$52/1000/1000*E32))))</f>
        <v/>
      </c>
      <c r="R32" s="123" t="str">
        <f>IF(F32=1,"",IF(F32="","",IF(D32="","",IF(F32=2,S32*'DB additional information '!$P$9/100,(VLOOKUP(D32,'DB animal categories'!$C$52:$AH$61,8,FALSE)*VLOOKUP(D32,'DB animal categories'!$C$52:$AH$61,13,FALSE)/1000/1000-VLOOKUP(D32,'DB animal categories'!$C$52:$AH$61,7,FALSE)*'DB additional information '!$F$47/1000/1000-'DB additional information '!$F$43*'DB additional information '!$F$44*'DB additional information '!$F$50/1000/1000)*E32-Q32))))</f>
        <v/>
      </c>
      <c r="S32" s="75" t="str">
        <f>IF(F32=1,"",IF(F32="","",IF(D32="","",IF(F32=2,E32*VLOOKUP(D32,'DB animal categories'!$C$52:$AH$61,24,FALSE)/1000,Q32+R32))))</f>
        <v/>
      </c>
      <c r="T32" s="75" t="str">
        <f>IF(F32=1,"",IF(D32="","",IF(F32="","",I32/VLOOKUP(D32,'DB animal categories'!$C$52:$AH$61,27,FALSE)*(VLOOKUP(D32,'DB animal categories'!$C$52:$AH$61,25,FALSE)*VLOOKUP(D32,'DB animal categories'!$C$52:$AH$61,26,FALSE)/24))))</f>
        <v/>
      </c>
      <c r="U32" s="75" t="str">
        <f>IF(F32=1,"",IF(D32="","",IF(F32="","",M32/VLOOKUP(D32,'DB animal categories'!$C$52:$AH$61,27,FALSE)*(VLOOKUP(D32,'DB animal categories'!$C$52:$AH$61,25,FALSE)*VLOOKUP(D32,'DB animal categories'!$C$52:$AH$61,26,FALSE)/24))))</f>
        <v/>
      </c>
      <c r="V32" s="608">
        <f>IF(K32="",0,L32/M32*U32*'DB technologies'!$AT$11/100)</f>
        <v>0</v>
      </c>
      <c r="W32" s="608">
        <f>IF(K32="",0,(U32-V32)*'DB technologies'!$AU$11/100)</f>
        <v>0</v>
      </c>
      <c r="X32" s="75" t="str">
        <f>IF(F32=1,"",IF(D32="","",IF(F32="","",P32/VLOOKUP(D32,'DB animal categories'!$C$52:$AH$61,27,FALSE)*(VLOOKUP(D32,'DB animal categories'!$C$52:$AH$61,25,FALSE)*VLOOKUP(D32,'DB animal categories'!$C$52:$AH$61,26,FALSE)/24))))</f>
        <v/>
      </c>
      <c r="Y32" s="78" t="str">
        <f>IF(F32=1,"",IF(D32="","",IF(F32="","",S32/VLOOKUP(D32,'DB animal categories'!$C$52:$AH$61,27,FALSE)*(VLOOKUP(D32,'DB animal categories'!$C$52:$AH$61,25,FALSE)*VLOOKUP(D32,'DB animal categories'!$C$52:$AH$61,26,FALSE)/24))))</f>
        <v/>
      </c>
    </row>
    <row r="33" spans="2:36" ht="11.25" customHeight="1" x14ac:dyDescent="0.2">
      <c r="B33" s="670"/>
      <c r="C33" s="672" t="s">
        <v>70</v>
      </c>
      <c r="D33" s="1408"/>
      <c r="E33" s="1402"/>
      <c r="F33" s="1402"/>
      <c r="G33" s="59" t="str">
        <f>IF(F33=1,"",IF(D33="","",IF(F33=2,I33*VLOOKUP($C$33,'DB additional information '!$X$4:$AB$25,4,FALSE)/100,VLOOKUP(D33,'DB animal categories'!$C$62:$AH$63,8,FALSE)*(1-(VLOOKUP(D33,'DB animal categories'!$C$62:$AH$63,10,FALSE)/100))/('DB additional information '!$K$9/100)/1000*E33)))</f>
        <v/>
      </c>
      <c r="H33" s="59" t="str">
        <f>IF(F33=1,"",IF(D33="","",IF(F33=2,I33-G33,G33/'DB additional information '!$M$9)))</f>
        <v/>
      </c>
      <c r="I33" s="66" t="str">
        <f>IF(F33=1,VLOOKUP(D33,'DB animal categories'!$C$62:$AM$63,28,FALSE)*E33,IF(F33="","",IF(D33="","",IF(F33=2,VLOOKUP(D33,'DB animal categories'!$C$62:$AH$63,14,FALSE)*E33,G33+H33))))</f>
        <v/>
      </c>
      <c r="J33" s="66" t="str">
        <f>IF(F33=1,VLOOKUP(D33,'DB animal categories'!$C$62:$AN$63,38,FALSE),IF(E33="","",IF(F33="","",IF(D33="","",IF(F33=2,VLOOKUP(D33,'DB animal categories'!$C$62:$AH$63,15,FALSE),(G33*'DB additional information '!$K$9/100+H33*'DB additional information '!$L$9/100)/I33*100)))))</f>
        <v/>
      </c>
      <c r="K33" s="74" t="str">
        <f>IF(F33=1,"",IF(F33="","",IF(D33="","",IF(F33=2,M33-L33,((VLOOKUP(D33,'DB animal categories'!$C$62:$AH$63,8,FALSE)*VLOOKUP(D33,'DB animal categories'!$C$62:$AH$63,11,FALSE)/VLOOKUP(D33,'DB animal categories'!$C$62:$AH$63,27,FALSE)/6.25-VLOOKUP(D33,'DB animal categories'!$C$62:$AH$63,8,FALSE)/VLOOKUP(D33,'DB animal categories'!$C$62:$AH$63,27,FALSE)*((0.93*VLOOKUP(D33,'DB animal categories'!$C$62:$AH$63,11,FALSE))-30)/6.25)*VLOOKUP(D33,'DB animal categories'!$C$62:$AH$63,27,FALSE)/1000*E33/1000)))))</f>
        <v/>
      </c>
      <c r="L33" s="74" t="str">
        <f>IF(F33=1,"",IF(F33="","",IF(D33="","",IF(F33=2,M33*'DB additional information '!$N$9/100,((VLOOKUP(D33,'DB animal categories'!$C$62:$AH$63,8,FALSE)*VLOOKUP(D33,'DB animal categories'!$C$62:$AH$63,11,FALSE)/6.25/1000/1000-(VLOOKUP(D33,'DB animal categories'!$C$62:$AH$63,7,FALSE)*'DB additional information '!$F$45/1000/1000+'DB additional information '!$F$43*'DB additional information '!$F$44*'DB additional information '!$F$48/1000/1000))*E33)-K33))))</f>
        <v/>
      </c>
      <c r="M33" s="66" t="str">
        <f>IF(F33=1,VLOOKUP(D33,'DB animal categories'!$C$62:$AM$63,29,FALSE)/1000*E33,IF(F33="","",IF(D33="","",IF(F33=2,VLOOKUP(D33,'DB animal categories'!$C$62:$AH$63,18,FALSE)*E33/1000,K33+L33))))</f>
        <v/>
      </c>
      <c r="N33" s="74" t="str">
        <f>IF(F33=1,"",IF(D33="","",IF(F33="","",IF(F33=2,P33-O33,(VLOOKUP(D33,'DB animal categories'!$C$62:$AH$63,8,FALSE)*VLOOKUP(D33,'DB animal categories'!$C$62:$AH$63,12,FALSE)/1000/1000-VLOOKUP(D33,'DB animal categories'!$C$62:$AH$63,7,FALSE)*'DB additional information '!$F$46/1000/1000-'DB additional information '!$F$43*'DB additional information '!$F$44*'DB additional information '!$F$49/1000/1000)*E33-O33))))</f>
        <v/>
      </c>
      <c r="O33" s="74" t="str">
        <f>IF(F33=1,"",IF(D33="","",IF(F33="","",IF(F33=2,P33*'DB additional information '!$O$9/100,VLOOKUP(D33,'DB animal categories'!$C$62:$AH$63,8,FALSE)*VLOOKUP(D33,'DB animal categories'!$C$62:$AH$63,12,FALSE)*'DB additional information '!$F$51/100/1000/1000*E33))))</f>
        <v/>
      </c>
      <c r="P33" s="66" t="str">
        <f>IF(F33=1,VLOOKUP(D33,'DB animal categories'!$C$62:$AM$63,31,FALSE)/1000*E33,IF(F33="","",IF(D33="","",IF(F33=2,E33*VLOOKUP(D33,'DB animal categories'!$C$62:$AH$63,21,FALSE)/1000,N33+O33))))</f>
        <v/>
      </c>
      <c r="Q33" s="74" t="str">
        <f>IF(F33=1,"",IF(F33="","",IF(D33="","",IF(F33=2,S33-R33,VLOOKUP(D33,'DB animal categories'!$C$62:$AH$63,8,FALSE)*'DB additional information '!$F$52/1000/1000*E33))))</f>
        <v/>
      </c>
      <c r="R33" s="74" t="str">
        <f>IF(F33=1,"",IF(F33="","",IF(D33="","",IF(F33=2,S33*'DB additional information '!$P$9/100,(VLOOKUP(D33,'DB animal categories'!$C$62:$AH$63,8,FALSE)*VLOOKUP(D33,'DB animal categories'!$C$62:$AH$63,13,FALSE)/1000/1000-VLOOKUP(D33,'DB animal categories'!$C$62:$AH$63,7,FALSE)*'DB additional information '!$F$47/1000/1000-'DB additional information '!$F$43*'DB additional information '!$F$44*'DB additional information '!$F$50/1000/1000)*E33-Q33))))</f>
        <v/>
      </c>
      <c r="S33" s="66" t="str">
        <f>IF(F33=1,VLOOKUP(D33,'DB animal categories'!$C$62:$AM$63,32,FALSE)/1000*E33,IF(F33="","",IF(D33="","",IF(F33=2,E33*VLOOKUP(D33,'DB animal categories'!$C$62:$AH$63,24,FALSE)/1000,Q33+R33))))</f>
        <v/>
      </c>
      <c r="T33" s="61" t="str">
        <f>IF(D33="","",IF(F33=1,VLOOKUP(D33,'DB animal categories'!$C$62:$AM$63,33,FALSE)*E33,I33/VLOOKUP(D33,'DB animal categories'!$C$62:$AH$63,27,FALSE)*(VLOOKUP(D33,'DB animal categories'!$C$62:$AH$63,25,FALSE)*VLOOKUP(D33,'DB animal categories'!$C$62:$AH$63,26,FALSE)/24)))</f>
        <v/>
      </c>
      <c r="U33" s="61" t="str">
        <f>IF(D33="","",IF(F33=1,VLOOKUP(D33,'DB animal categories'!$C$62:$AM$63,34,FALSE)*E33/1000,M33/VLOOKUP(D33,'DB animal categories'!$C$62:$AH$63,27,FALSE)*(VLOOKUP(D33,'DB animal categories'!$C$62:$AH$63,25,FALSE)*VLOOKUP(D33,'DB animal categories'!$C$62:$AH$63,26,FALSE)/24)))</f>
        <v/>
      </c>
      <c r="V33" s="607">
        <f>IF(K33="",0,L33/M33*U33*'DB technologies'!$AT$11/100)</f>
        <v>0</v>
      </c>
      <c r="W33" s="607">
        <f>IF(K33="",0,(U33-V33)*'DB technologies'!$AU$11/100)</f>
        <v>0</v>
      </c>
      <c r="X33" s="61" t="str">
        <f>IF(D33="","",IF(F33=1,VLOOKUP(D33,'DB animal categories'!$C$62:$AM$63,36,FALSE)*E33/1000,P33/VLOOKUP(D33,'DB animal categories'!$C$62:$AH$63,27,FALSE)*(VLOOKUP(D33,'DB animal categories'!$C$62:$AH$63,25,FALSE)*VLOOKUP(D33,'DB animal categories'!$C$62:$AH$63,26,FALSE)/24)))</f>
        <v/>
      </c>
      <c r="Y33" s="62" t="str">
        <f>IF(D33="","",IF(F33=1,VLOOKUP(D33,'DB animal categories'!$C$62:$AM$63,37,FALSE)*E33/1000,S33/VLOOKUP(D33,'DB animal categories'!$C$62:$AH$63,27,FALSE)*(VLOOKUP(D33,'DB animal categories'!$C$62:$AH$63,25,FALSE)*VLOOKUP(D33,'DB animal categories'!$C$62:$AH$63,26,FALSE)/24)))</f>
        <v/>
      </c>
    </row>
    <row r="34" spans="2:36" ht="11.25" customHeight="1" x14ac:dyDescent="0.2">
      <c r="B34" s="670"/>
      <c r="C34" s="673"/>
      <c r="D34" s="1404"/>
      <c r="E34" s="1405"/>
      <c r="F34" s="1405"/>
      <c r="G34" s="59" t="str">
        <f>IF(F34=1,"",IF(D34="","",IF(F34=2,I34*VLOOKUP($C$33,'DB additional information '!$X$4:$AB$25,4,FALSE)/100,VLOOKUP(D34,'DB animal categories'!$C$62:$AH$63,8,FALSE)*(1-(VLOOKUP(D34,'DB animal categories'!$C$62:$AH$63,10,FALSE)/100))/('DB additional information '!$K$9/100)/1000*E34)))</f>
        <v/>
      </c>
      <c r="H34" s="59" t="str">
        <f>IF(F34=1,"",IF(D34="","",IF(F34=2,I34-G34,G34/'DB additional information '!$M$9)))</f>
        <v/>
      </c>
      <c r="I34" s="58" t="str">
        <f>IF(F34=1,VLOOKUP(D34,'DB animal categories'!$C$62:$AM$63,28,FALSE)*E34,IF(F34="","",IF(D34="","",IF(F34=2,VLOOKUP(D34,'DB animal categories'!$C$62:$AH$63,14,FALSE)*E34,G34+H34))))</f>
        <v/>
      </c>
      <c r="J34" s="58" t="str">
        <f>IF(F34=1,VLOOKUP(D34,'DB animal categories'!$C$62:$AN$63,38,FALSE),IF(E34="","",IF(F34="","",IF(D34="","",IF(F34=2,VLOOKUP(D34,'DB animal categories'!$C$62:$AH$63,15,FALSE),(G34*'DB additional information '!$K$9/100+H34*'DB additional information '!$L$9/100)/I34*100)))))</f>
        <v/>
      </c>
      <c r="K34" s="68" t="str">
        <f>IF(F34=1,"",IF(F34="","",IF(D34="","",IF(F34=2,M34-L34,((VLOOKUP(D34,'DB animal categories'!$C$62:$AH$63,8,FALSE)*VLOOKUP(D34,'DB animal categories'!$C$62:$AH$63,11,FALSE)/VLOOKUP(D34,'DB animal categories'!$C$62:$AH$63,27,FALSE)/6.25-VLOOKUP(D34,'DB animal categories'!$C$62:$AH$63,8,FALSE)/VLOOKUP(D34,'DB animal categories'!$C$62:$AH$63,27,FALSE)*((0.93*VLOOKUP(D34,'DB animal categories'!$C$62:$AH$63,11,FALSE))-30)/6.25)*VLOOKUP(D34,'DB animal categories'!$C$62:$AH$63,27,FALSE)/1000*E34/1000)))))</f>
        <v/>
      </c>
      <c r="L34" s="68" t="str">
        <f>IF(F34=1,"",IF(F34="","",IF(D34="","",IF(F34=2,M34*'DB additional information '!$N$9/100,((VLOOKUP(D34,'DB animal categories'!$C$62:$AH$63,8,FALSE)*VLOOKUP(D34,'DB animal categories'!$C$62:$AH$63,11,FALSE)/6.25/1000/1000-(VLOOKUP(D34,'DB animal categories'!$C$62:$AH$63,7,FALSE)*'DB additional information '!$F$45/1000/1000+'DB additional information '!$F$43*'DB additional information '!$F$44*'DB additional information '!$F$48/1000/1000))*E34)-K34))))</f>
        <v/>
      </c>
      <c r="M34" s="58" t="str">
        <f>IF(F34=1,VLOOKUP(D34,'DB animal categories'!$C$62:$AM$63,29,FALSE)/1000*E34,IF(F34="","",IF(D34="","",IF(F34=2,VLOOKUP(D34,'DB animal categories'!$C$62:$AH$63,18,FALSE)*E34/1000,K34+L34))))</f>
        <v/>
      </c>
      <c r="N34" s="68" t="str">
        <f>IF(F34=1,"",IF(D34="","",IF(F34="","",IF(F34=2,P34-O34,(VLOOKUP(D34,'DB animal categories'!$C$62:$AH$63,8,FALSE)*VLOOKUP(D34,'DB animal categories'!$C$62:$AH$63,12,FALSE)/1000/1000-VLOOKUP(D34,'DB animal categories'!$C$62:$AH$63,7,FALSE)*'DB additional information '!$F$46/1000/1000-'DB additional information '!$F$43*'DB additional information '!$F$44*'DB additional information '!$F$49/1000/1000)*E34-O34))))</f>
        <v/>
      </c>
      <c r="O34" s="68" t="str">
        <f>IF(F34=1,"",IF(D34="","",IF(F34="","",IF(F34=2,P34*'DB additional information '!$O$9/100,VLOOKUP(D34,'DB animal categories'!$C$62:$AH$63,8,FALSE)*VLOOKUP(D34,'DB animal categories'!$C$62:$AH$63,12,FALSE)*'DB additional information '!$F$51/100/1000/1000*E34))))</f>
        <v/>
      </c>
      <c r="P34" s="58" t="str">
        <f>IF(F34=1,VLOOKUP(D34,'DB animal categories'!$C$62:$AM$63,31,FALSE)/1000*E34,IF(F34="","",IF(D34="","",IF(F34=2,E34*VLOOKUP(D34,'DB animal categories'!$C$62:$AH$63,21,FALSE)/1000,N34+O34))))</f>
        <v/>
      </c>
      <c r="Q34" s="68" t="str">
        <f>IF(F34=1,"",IF(F34="","",IF(D34="","",IF(F34=2,S34-R34,VLOOKUP(D34,'DB animal categories'!$C$62:$AH$63,8,FALSE)*'DB additional information '!$F$52/1000/1000*E34))))</f>
        <v/>
      </c>
      <c r="R34" s="68" t="str">
        <f>IF(F34=1,"",IF(F34="","",IF(D34="","",IF(F34=2,S34*'DB additional information '!$P$9/100,(VLOOKUP(D34,'DB animal categories'!$C$62:$AH$63,8,FALSE)*VLOOKUP(D34,'DB animal categories'!$C$62:$AH$63,13,FALSE)/1000/1000-VLOOKUP(D34,'DB animal categories'!$C$62:$AH$63,7,FALSE)*'DB additional information '!$F$47/1000/1000-'DB additional information '!$F$43*'DB additional information '!$F$44*'DB additional information '!$F$50/1000/1000)*E34-Q34))))</f>
        <v/>
      </c>
      <c r="S34" s="58" t="str">
        <f>IF(F34=1,VLOOKUP(D34,'DB animal categories'!$C$62:$AM$63,32,FALSE)/1000*E34,IF(F34="","",IF(D34="","",IF(F34=2,E34*VLOOKUP(D34,'DB animal categories'!$C$62:$AH$63,24,FALSE)/1000,Q34+R34))))</f>
        <v/>
      </c>
      <c r="T34" s="58" t="str">
        <f>IF(D34="","",IF(F34=1,VLOOKUP(D34,'DB animal categories'!$C$62:$AM$63,33,FALSE)*E34,I34/VLOOKUP(D34,'DB animal categories'!$C$62:$AH$63,27,FALSE)*(VLOOKUP(D34,'DB animal categories'!$C$62:$AH$63,25,FALSE)*VLOOKUP(D34,'DB animal categories'!$C$62:$AH$63,26,FALSE)/24)))</f>
        <v/>
      </c>
      <c r="U34" s="58" t="str">
        <f>IF(D34="","",IF(F34=1,VLOOKUP(D34,'DB animal categories'!$C$62:$AM$63,34,FALSE)*E34/1000,M34/VLOOKUP(D34,'DB animal categories'!$C$62:$AH$63,27,FALSE)*(VLOOKUP(D34,'DB animal categories'!$C$62:$AH$63,25,FALSE)*VLOOKUP(D34,'DB animal categories'!$C$62:$AH$63,26,FALSE)/24)))</f>
        <v/>
      </c>
      <c r="V34" s="606">
        <f>IF(K34="",0,L34/M34*U34*'DB technologies'!$AT$11/100)</f>
        <v>0</v>
      </c>
      <c r="W34" s="606">
        <f>IF(K34="",0,(U34-V34)*'DB technologies'!$AU$11/100)</f>
        <v>0</v>
      </c>
      <c r="X34" s="58" t="str">
        <f>IF(D34="","",IF(F34=1,VLOOKUP(D34,'DB animal categories'!$C$62:$AM$63,36,FALSE)*E34/1000,P34/VLOOKUP(D34,'DB animal categories'!$C$62:$AH$63,27,FALSE)*(VLOOKUP(D34,'DB animal categories'!$C$62:$AH$63,25,FALSE)*VLOOKUP(D34,'DB animal categories'!$C$62:$AH$63,26,FALSE)/24)))</f>
        <v/>
      </c>
      <c r="Y34" s="63" t="str">
        <f>IF(D34="","",IF(F34=1,VLOOKUP(D34,'DB animal categories'!$C$62:$AM$63,37,FALSE)*E34/1000,S34/VLOOKUP(D34,'DB animal categories'!$C$62:$AH$63,27,FALSE)*(VLOOKUP(D34,'DB animal categories'!$C$62:$AH$63,25,FALSE)*VLOOKUP(D34,'DB animal categories'!$C$62:$AH$63,26,FALSE)/24)))</f>
        <v/>
      </c>
    </row>
    <row r="35" spans="2:36" ht="11.25" customHeight="1" x14ac:dyDescent="0.2">
      <c r="B35" s="670"/>
      <c r="C35" s="673"/>
      <c r="D35" s="1404"/>
      <c r="E35" s="1405"/>
      <c r="F35" s="1405"/>
      <c r="G35" s="59" t="str">
        <f>IF(F35=1,"",IF(D35="","",IF(F35=2,I35*VLOOKUP($C$33,'DB additional information '!$X$4:$AB$25,4,FALSE)/100,VLOOKUP(D35,'DB animal categories'!$C$62:$AH$63,8,FALSE)*(1-(VLOOKUP(D35,'DB animal categories'!$C$62:$AH$63,10,FALSE)/100))/('DB additional information '!$K$9/100)/1000*E35)))</f>
        <v/>
      </c>
      <c r="H35" s="59" t="str">
        <f>IF(F35=1,"",IF(D35="","",IF(F35=2,I35-G35,G35/'DB additional information '!$M$9)))</f>
        <v/>
      </c>
      <c r="I35" s="58" t="str">
        <f>IF(F35=1,VLOOKUP(D35,'DB animal categories'!$C$62:$AM$63,28,FALSE)*E35,IF(F35="","",IF(D35="","",IF(F35=2,VLOOKUP(D35,'DB animal categories'!$C$62:$AH$63,14,FALSE)*E35,G35+H35))))</f>
        <v/>
      </c>
      <c r="J35" s="58" t="str">
        <f>IF(F35=1,VLOOKUP(D35,'DB animal categories'!$C$62:$AN$63,38,FALSE),IF(E35="","",IF(F35="","",IF(D35="","",IF(F35=2,VLOOKUP(D35,'DB animal categories'!$C$62:$AH$63,15,FALSE),(G35*'DB additional information '!$K$9/100+H35*'DB additional information '!$L$9/100)/I35*100)))))</f>
        <v/>
      </c>
      <c r="K35" s="68" t="str">
        <f>IF(F35=1,"",IF(F35="","",IF(D35="","",IF(F35=2,M35-L35,((VLOOKUP(D35,'DB animal categories'!$C$62:$AH$63,8,FALSE)*VLOOKUP(D35,'DB animal categories'!$C$62:$AH$63,11,FALSE)/VLOOKUP(D35,'DB animal categories'!$C$62:$AH$63,27,FALSE)/6.25-VLOOKUP(D35,'DB animal categories'!$C$62:$AH$63,8,FALSE)/VLOOKUP(D35,'DB animal categories'!$C$62:$AH$63,27,FALSE)*((0.93*VLOOKUP(D35,'DB animal categories'!$C$62:$AH$63,11,FALSE))-30)/6.25)*VLOOKUP(D35,'DB animal categories'!$C$62:$AH$63,27,FALSE)/1000*E35/1000)))))</f>
        <v/>
      </c>
      <c r="L35" s="68" t="str">
        <f>IF(F35=1,"",IF(F35="","",IF(D35="","",IF(F35=2,M35*'DB additional information '!$N$9/100,((VLOOKUP(D35,'DB animal categories'!$C$62:$AH$63,8,FALSE)*VLOOKUP(D35,'DB animal categories'!$C$62:$AH$63,11,FALSE)/6.25/1000/1000-(VLOOKUP(D35,'DB animal categories'!$C$62:$AH$63,7,FALSE)*'DB additional information '!$F$45/1000/1000+'DB additional information '!$F$43*'DB additional information '!$F$44*'DB additional information '!$F$48/1000/1000))*E35)-K35))))</f>
        <v/>
      </c>
      <c r="M35" s="58" t="str">
        <f>IF(F35=1,VLOOKUP(D35,'DB animal categories'!$C$62:$AM$63,29,FALSE)/1000*E35,IF(F35="","",IF(D35="","",IF(F35=2,VLOOKUP(D35,'DB animal categories'!$C$62:$AH$63,18,FALSE)*E35/1000,K35+L35))))</f>
        <v/>
      </c>
      <c r="N35" s="68" t="str">
        <f>IF(F35=1,"",IF(D35="","",IF(F35="","",IF(F35=2,P35-O35,(VLOOKUP(D35,'DB animal categories'!$C$62:$AH$63,8,FALSE)*VLOOKUP(D35,'DB animal categories'!$C$62:$AH$63,12,FALSE)/1000/1000-VLOOKUP(D35,'DB animal categories'!$C$62:$AH$63,7,FALSE)*'DB additional information '!$F$46/1000/1000-'DB additional information '!$F$43*'DB additional information '!$F$44*'DB additional information '!$F$49/1000/1000)*E35-O35))))</f>
        <v/>
      </c>
      <c r="O35" s="68" t="str">
        <f>IF(F35=1,"",IF(D35="","",IF(F35="","",IF(F35=2,P35*'DB additional information '!$O$9/100,VLOOKUP(D35,'DB animal categories'!$C$62:$AH$63,8,FALSE)*VLOOKUP(D35,'DB animal categories'!$C$62:$AH$63,12,FALSE)*'DB additional information '!$F$51/100/1000/1000*E35))))</f>
        <v/>
      </c>
      <c r="P35" s="58" t="str">
        <f>IF(F35=1,VLOOKUP(D35,'DB animal categories'!$C$62:$AM$63,31,FALSE)/1000*E35,IF(F35="","",IF(D35="","",IF(F35=2,E35*VLOOKUP(D35,'DB animal categories'!$C$62:$AH$63,21,FALSE)/1000,N35+O35))))</f>
        <v/>
      </c>
      <c r="Q35" s="68" t="str">
        <f>IF(F35=1,"",IF(F35="","",IF(D35="","",IF(F35=2,S35-R35,VLOOKUP(D35,'DB animal categories'!$C$62:$AH$63,8,FALSE)*'DB additional information '!$F$52/1000/1000*E35))))</f>
        <v/>
      </c>
      <c r="R35" s="68" t="str">
        <f>IF(F35=1,"",IF(F35="","",IF(D35="","",IF(F35=2,S35*'DB additional information '!$P$9/100,(VLOOKUP(D35,'DB animal categories'!$C$62:$AH$63,8,FALSE)*VLOOKUP(D35,'DB animal categories'!$C$62:$AH$63,13,FALSE)/1000/1000-VLOOKUP(D35,'DB animal categories'!$C$62:$AH$63,7,FALSE)*'DB additional information '!$F$47/1000/1000-'DB additional information '!$F$43*'DB additional information '!$F$44*'DB additional information '!$F$50/1000/1000)*E35-Q35))))</f>
        <v/>
      </c>
      <c r="S35" s="58" t="str">
        <f>IF(F35=1,VLOOKUP(D35,'DB animal categories'!$C$62:$AM$63,32,FALSE)/1000*E35,IF(F35="","",IF(D35="","",IF(F35=2,E35*VLOOKUP(D35,'DB animal categories'!$C$62:$AH$63,24,FALSE)/1000,Q35+R35))))</f>
        <v/>
      </c>
      <c r="T35" s="58" t="str">
        <f>IF(D35="","",IF(F35=1,VLOOKUP(D35,'DB animal categories'!$C$62:$AM$63,33,FALSE)*E35,I35/VLOOKUP(D35,'DB animal categories'!$C$62:$AH$63,27,FALSE)*(VLOOKUP(D35,'DB animal categories'!$C$62:$AH$63,25,FALSE)*VLOOKUP(D35,'DB animal categories'!$C$62:$AH$63,26,FALSE)/24)))</f>
        <v/>
      </c>
      <c r="U35" s="58" t="str">
        <f>IF(D35="","",IF(F35=1,VLOOKUP(D35,'DB animal categories'!$C$62:$AM$63,34,FALSE)*E35/1000,M35/VLOOKUP(D35,'DB animal categories'!$C$62:$AH$63,27,FALSE)*(VLOOKUP(D35,'DB animal categories'!$C$62:$AH$63,25,FALSE)*VLOOKUP(D35,'DB animal categories'!$C$62:$AH$63,26,FALSE)/24)))</f>
        <v/>
      </c>
      <c r="V35" s="606">
        <f>IF(K35="",0,L35/M35*U35*'DB technologies'!$AT$11/100)</f>
        <v>0</v>
      </c>
      <c r="W35" s="606">
        <f>IF(K35="",0,(U35-V35)*'DB technologies'!$AU$11/100)</f>
        <v>0</v>
      </c>
      <c r="X35" s="58" t="str">
        <f>IF(D35="","",IF(F35=1,VLOOKUP(D35,'DB animal categories'!$C$62:$AM$63,36,FALSE)*E35/1000,P35/VLOOKUP(D35,'DB animal categories'!$C$62:$AH$63,27,FALSE)*(VLOOKUP(D35,'DB animal categories'!$C$62:$AH$63,25,FALSE)*VLOOKUP(D35,'DB animal categories'!$C$62:$AH$63,26,FALSE)/24)))</f>
        <v/>
      </c>
      <c r="Y35" s="63" t="str">
        <f>IF(D35="","",IF(F35=1,VLOOKUP(D35,'DB animal categories'!$C$62:$AM$63,37,FALSE)*E35/1000,S35/VLOOKUP(D35,'DB animal categories'!$C$62:$AH$63,27,FALSE)*(VLOOKUP(D35,'DB animal categories'!$C$62:$AH$63,25,FALSE)*VLOOKUP(D35,'DB animal categories'!$C$62:$AH$63,26,FALSE)/24)))</f>
        <v/>
      </c>
      <c r="AC35" s="111"/>
      <c r="AE35" s="159"/>
      <c r="AG35" s="159"/>
      <c r="AJ35" s="159"/>
    </row>
    <row r="36" spans="2:36" ht="11.25" customHeight="1" x14ac:dyDescent="0.2">
      <c r="B36" s="670"/>
      <c r="C36" s="673"/>
      <c r="D36" s="1404"/>
      <c r="E36" s="1405"/>
      <c r="F36" s="1405"/>
      <c r="G36" s="59" t="str">
        <f>IF(F36=1,"",IF(D36="","",IF(F36=2,I36*VLOOKUP($C$33,'DB additional information '!$X$4:$AB$25,4,FALSE)/100,VLOOKUP(D36,'DB animal categories'!$C$62:$AH$63,8,FALSE)*(1-(VLOOKUP(D36,'DB animal categories'!$C$62:$AH$63,10,FALSE)/100))/('DB additional information '!$K$9/100)/1000*E36)))</f>
        <v/>
      </c>
      <c r="H36" s="59" t="str">
        <f>IF(F36=1,"",IF(D36="","",IF(F36=2,I36-G36,G36/'DB additional information '!$M$9)))</f>
        <v/>
      </c>
      <c r="I36" s="58" t="str">
        <f>IF(F36=1,VLOOKUP(D36,'DB animal categories'!$C$62:$AM$63,28,FALSE)*E36,IF(F36="","",IF(D36="","",IF(F36=2,VLOOKUP(D36,'DB animal categories'!$C$62:$AH$63,14,FALSE)*E36,G36+H36))))</f>
        <v/>
      </c>
      <c r="J36" s="58" t="str">
        <f>IF(F36=1,VLOOKUP(D36,'DB animal categories'!$C$62:$AN$63,38,FALSE),IF(E36="","",IF(F36="","",IF(D36="","",IF(F36=2,VLOOKUP(D36,'DB animal categories'!$C$62:$AH$63,15,FALSE),(G36*'DB additional information '!$K$9/100+H36*'DB additional information '!$L$9/100)/I36*100)))))</f>
        <v/>
      </c>
      <c r="K36" s="68" t="str">
        <f>IF(F36=1,"",IF(F36="","",IF(D36="","",IF(F36=2,M36-L36,((VLOOKUP(D36,'DB animal categories'!$C$62:$AH$63,8,FALSE)*VLOOKUP(D36,'DB animal categories'!$C$62:$AH$63,11,FALSE)/VLOOKUP(D36,'DB animal categories'!$C$62:$AH$63,27,FALSE)/6.25-VLOOKUP(D36,'DB animal categories'!$C$62:$AH$63,8,FALSE)/VLOOKUP(D36,'DB animal categories'!$C$62:$AH$63,27,FALSE)*((0.93*VLOOKUP(D36,'DB animal categories'!$C$62:$AH$63,11,FALSE))-30)/6.25)*VLOOKUP(D36,'DB animal categories'!$C$62:$AH$63,27,FALSE)/1000*E36/1000)))))</f>
        <v/>
      </c>
      <c r="L36" s="68" t="str">
        <f>IF(F36=1,"",IF(F36="","",IF(D36="","",IF(F36=2,M36*'DB additional information '!$N$9/100,((VLOOKUP(D36,'DB animal categories'!$C$62:$AH$63,8,FALSE)*VLOOKUP(D36,'DB animal categories'!$C$62:$AH$63,11,FALSE)/6.25/1000/1000-(VLOOKUP(D36,'DB animal categories'!$C$62:$AH$63,7,FALSE)*'DB additional information '!$F$45/1000/1000+'DB additional information '!$F$43*'DB additional information '!$F$44*'DB additional information '!$F$48/1000/1000))*E36)-K36))))</f>
        <v/>
      </c>
      <c r="M36" s="58" t="str">
        <f>IF(F36=1,VLOOKUP(D36,'DB animal categories'!$C$62:$AM$63,29,FALSE)/1000*E36,IF(F36="","",IF(D36="","",IF(F36=2,VLOOKUP(D36,'DB animal categories'!$C$62:$AH$63,18,FALSE)*E36/1000,K36+L36))))</f>
        <v/>
      </c>
      <c r="N36" s="68" t="str">
        <f>IF(F36=1,"",IF(D36="","",IF(F36="","",IF(F36=2,P36-O36,(VLOOKUP(D36,'DB animal categories'!$C$62:$AH$63,8,FALSE)*VLOOKUP(D36,'DB animal categories'!$C$62:$AH$63,12,FALSE)/1000/1000-VLOOKUP(D36,'DB animal categories'!$C$62:$AH$63,7,FALSE)*'DB additional information '!$F$46/1000/1000-'DB additional information '!$F$43*'DB additional information '!$F$44*'DB additional information '!$F$49/1000/1000)*E36-O36))))</f>
        <v/>
      </c>
      <c r="O36" s="68" t="str">
        <f>IF(F36=1,"",IF(D36="","",IF(F36="","",IF(F36=2,P36*'DB additional information '!$O$9/100,VLOOKUP(D36,'DB animal categories'!$C$62:$AH$63,8,FALSE)*VLOOKUP(D36,'DB animal categories'!$C$62:$AH$63,12,FALSE)*'DB additional information '!$F$51/100/1000/1000*E36))))</f>
        <v/>
      </c>
      <c r="P36" s="58" t="str">
        <f>IF(F36=1,VLOOKUP(D36,'DB animal categories'!$C$62:$AM$63,31,FALSE)/1000*E36,IF(F36="","",IF(D36="","",IF(F36=2,E36*VLOOKUP(D36,'DB animal categories'!$C$62:$AH$63,21,FALSE)/1000,N36+O36))))</f>
        <v/>
      </c>
      <c r="Q36" s="68" t="str">
        <f>IF(F36=1,"",IF(F36="","",IF(D36="","",IF(F36=2,S36-R36,VLOOKUP(D36,'DB animal categories'!$C$62:$AH$63,8,FALSE)*'DB additional information '!$F$52/1000/1000*E36))))</f>
        <v/>
      </c>
      <c r="R36" s="68" t="str">
        <f>IF(F36=1,"",IF(F36="","",IF(D36="","",IF(F36=2,S36*'DB additional information '!$P$9/100,(VLOOKUP(D36,'DB animal categories'!$C$62:$AH$63,8,FALSE)*VLOOKUP(D36,'DB animal categories'!$C$62:$AH$63,13,FALSE)/1000/1000-VLOOKUP(D36,'DB animal categories'!$C$62:$AH$63,7,FALSE)*'DB additional information '!$F$47/1000/1000-'DB additional information '!$F$43*'DB additional information '!$F$44*'DB additional information '!$F$50/1000/1000)*E36-Q36))))</f>
        <v/>
      </c>
      <c r="S36" s="58" t="str">
        <f>IF(F36=1,VLOOKUP(D36,'DB animal categories'!$C$62:$AM$63,32,FALSE)/1000*E36,IF(F36="","",IF(D36="","",IF(F36=2,E36*VLOOKUP(D36,'DB animal categories'!$C$62:$AH$63,24,FALSE)/1000,Q36+R36))))</f>
        <v/>
      </c>
      <c r="T36" s="58" t="str">
        <f>IF(D36="","",IF(F36=1,VLOOKUP(D36,'DB animal categories'!$C$62:$AM$63,33,FALSE)*E36,I36/VLOOKUP(D36,'DB animal categories'!$C$62:$AH$63,27,FALSE)*(VLOOKUP(D36,'DB animal categories'!$C$62:$AH$63,25,FALSE)*VLOOKUP(D36,'DB animal categories'!$C$62:$AH$63,26,FALSE)/24)))</f>
        <v/>
      </c>
      <c r="U36" s="58" t="str">
        <f>IF(D36="","",IF(F36=1,VLOOKUP(D36,'DB animal categories'!$C$62:$AM$63,34,FALSE)*E36/1000,M36/VLOOKUP(D36,'DB animal categories'!$C$62:$AH$63,27,FALSE)*(VLOOKUP(D36,'DB animal categories'!$C$62:$AH$63,25,FALSE)*VLOOKUP(D36,'DB animal categories'!$C$62:$AH$63,26,FALSE)/24)))</f>
        <v/>
      </c>
      <c r="V36" s="606">
        <f>IF(K36="",0,L36/M36*U36*'DB technologies'!$AT$11/100)</f>
        <v>0</v>
      </c>
      <c r="W36" s="606">
        <f>IF(K36="",0,(U36-V36)*'DB technologies'!$AU$11/100)</f>
        <v>0</v>
      </c>
      <c r="X36" s="58" t="str">
        <f>IF(D36="","",IF(F36=1,VLOOKUP(D36,'DB animal categories'!$C$62:$AM$63,36,FALSE)*E36/1000,P36/VLOOKUP(D36,'DB animal categories'!$C$62:$AH$63,27,FALSE)*(VLOOKUP(D36,'DB animal categories'!$C$62:$AH$63,25,FALSE)*VLOOKUP(D36,'DB animal categories'!$C$62:$AH$63,26,FALSE)/24)))</f>
        <v/>
      </c>
      <c r="Y36" s="63" t="str">
        <f>IF(D36="","",IF(F36=1,VLOOKUP(D36,'DB animal categories'!$C$62:$AM$63,37,FALSE)*E36/1000,S36/VLOOKUP(D36,'DB animal categories'!$C$62:$AH$63,27,FALSE)*(VLOOKUP(D36,'DB animal categories'!$C$62:$AH$63,25,FALSE)*VLOOKUP(D36,'DB animal categories'!$C$62:$AH$63,26,FALSE)/24)))</f>
        <v/>
      </c>
      <c r="AC36" s="111"/>
      <c r="AD36" s="454"/>
      <c r="AE36" s="159"/>
      <c r="AG36" s="159"/>
      <c r="AJ36" s="159"/>
    </row>
    <row r="37" spans="2:36" ht="11.25" customHeight="1" thickBot="1" x14ac:dyDescent="0.25">
      <c r="B37" s="670"/>
      <c r="C37" s="674"/>
      <c r="D37" s="1409"/>
      <c r="E37" s="1410"/>
      <c r="F37" s="1410"/>
      <c r="G37" s="89" t="str">
        <f>IF(F37=1,"",IF(D37="","",IF(F37=2,I37*VLOOKUP($C$33,'DB additional information '!$X$4:$AB$25,4,FALSE)/100,VLOOKUP(D37,'DB animal categories'!$C$62:$AH$63,8,FALSE)*(1-(VLOOKUP(D37,'DB animal categories'!$C$62:$AH$63,10,FALSE)/100))/('DB additional information '!$K$9/100)/1000*E37)))</f>
        <v/>
      </c>
      <c r="H37" s="89" t="str">
        <f>IF(F37=1,"",IF(D37="","",IF(F37=2,I37-G37,G37/'DB additional information '!$M$9)))</f>
        <v/>
      </c>
      <c r="I37" s="122" t="str">
        <f>IF(F37=1,VLOOKUP(D37,'DB animal categories'!$C$62:$AM$63,28,FALSE)*E37,IF(F37="","",IF(D37="","",IF(F37=2,VLOOKUP(D37,'DB animal categories'!$C$62:$AH$63,14,FALSE)*E37,G37+H37))))</f>
        <v/>
      </c>
      <c r="J37" s="122" t="str">
        <f>IF(F37=1,VLOOKUP(D37,'DB animal categories'!$C$62:$AN$63,38,FALSE),IF(E37="","",IF(F37="","",IF(D37="","",IF(F37=2,VLOOKUP(D37,'DB animal categories'!$C$62:$AH$63,15,FALSE),(G37*'DB additional information '!$K$9/100+H37*'DB additional information '!$L$9/100)/I37*100)))))</f>
        <v/>
      </c>
      <c r="K37" s="123" t="str">
        <f>IF(F37=1,"",IF(F37="","",IF(D37="","",IF(F37=2,M37-L37,((VLOOKUP(D37,'DB animal categories'!$C$62:$AH$63,8,FALSE)*VLOOKUP(D37,'DB animal categories'!$C$62:$AH$63,11,FALSE)/VLOOKUP(D37,'DB animal categories'!$C$62:$AH$63,27,FALSE)/6.25-VLOOKUP(D37,'DB animal categories'!$C$62:$AH$63,8,FALSE)/VLOOKUP(D37,'DB animal categories'!$C$62:$AH$63,27,FALSE)*((0.93*VLOOKUP(D37,'DB animal categories'!$C$62:$AH$63,11,FALSE))-30)/6.25)*VLOOKUP(D37,'DB animal categories'!$C$62:$AH$63,27,FALSE)/1000*E37/1000)))))</f>
        <v/>
      </c>
      <c r="L37" s="123" t="str">
        <f>IF(F37=1,"",IF(F37="","",IF(D37="","",IF(F37=2,M37*'DB additional information '!$N$9/100,((VLOOKUP(D37,'DB animal categories'!$C$62:$AH$63,8,FALSE)*VLOOKUP(D37,'DB animal categories'!$C$62:$AH$63,11,FALSE)/6.25/1000/1000-(VLOOKUP(D37,'DB animal categories'!$C$62:$AH$63,7,FALSE)*'DB additional information '!$F$45/1000/1000+'DB additional information '!$F$43*'DB additional information '!$F$44*'DB additional information '!$F$48/1000/1000))*E37)-K37))))</f>
        <v/>
      </c>
      <c r="M37" s="122" t="str">
        <f>IF(F37=1,VLOOKUP(D37,'DB animal categories'!$C$62:$AM$63,29,FALSE)/1000*E37,IF(F37="","",IF(D37="","",IF(F37=2,VLOOKUP(D37,'DB animal categories'!$C$62:$AH$63,18,FALSE)*E37/1000,K37+L37))))</f>
        <v/>
      </c>
      <c r="N37" s="123" t="str">
        <f>IF(F37=1,"",IF(D37="","",IF(F37="","",IF(F37=2,P37-O37,(VLOOKUP(D37,'DB animal categories'!$C$62:$AH$63,8,FALSE)*VLOOKUP(D37,'DB animal categories'!$C$62:$AH$63,12,FALSE)/1000/1000-VLOOKUP(D37,'DB animal categories'!$C$62:$AH$63,7,FALSE)*'DB additional information '!$F$46/1000/1000-'DB additional information '!$F$43*'DB additional information '!$F$44*'DB additional information '!$F$49/1000/1000)*E37-O37))))</f>
        <v/>
      </c>
      <c r="O37" s="123" t="str">
        <f>IF(F37=1,"",IF(D37="","",IF(F37="","",IF(F37=2,P37*'DB additional information '!$O$9/100,VLOOKUP(D37,'DB animal categories'!$C$62:$AH$63,8,FALSE)*VLOOKUP(D37,'DB animal categories'!$C$62:$AH$63,12,FALSE)*'DB additional information '!$F$51/100/1000/1000*E37))))</f>
        <v/>
      </c>
      <c r="P37" s="122" t="str">
        <f>IF(F37=1,VLOOKUP(D37,'DB animal categories'!$C$62:$AM$63,31,FALSE)/1000*E37,IF(F37="","",IF(D37="","",IF(F37=2,E37*VLOOKUP(D37,'DB animal categories'!$C$62:$AH$63,21,FALSE)/1000,N37+O37))))</f>
        <v/>
      </c>
      <c r="Q37" s="123" t="str">
        <f>IF(F37=1,"",IF(F37="","",IF(D37="","",IF(F37=2,S37-R37,VLOOKUP(D37,'DB animal categories'!$C$62:$AH$63,8,FALSE)*'DB additional information '!$F$52/1000/1000*E37))))</f>
        <v/>
      </c>
      <c r="R37" s="123" t="str">
        <f>IF(F37=1,"",IF(F37="","",IF(D37="","",IF(F37=2,S37*'DB additional information '!$P$9/100,(VLOOKUP(D37,'DB animal categories'!$C$62:$AH$63,8,FALSE)*VLOOKUP(D37,'DB animal categories'!$C$62:$AH$63,13,FALSE)/1000/1000-VLOOKUP(D37,'DB animal categories'!$C$62:$AH$63,7,FALSE)*'DB additional information '!$F$47/1000/1000-'DB additional information '!$F$43*'DB additional information '!$F$44*'DB additional information '!$F$50/1000/1000)*E37-Q37))))</f>
        <v/>
      </c>
      <c r="S37" s="122" t="str">
        <f>IF(F37=1,VLOOKUP(D37,'DB animal categories'!$C$62:$AM$63,32,FALSE)/1000*E37,IF(F37="","",IF(D37="","",IF(F37=2,E37*VLOOKUP(D37,'DB animal categories'!$C$62:$AH$63,24,FALSE)/1000,Q37+R37))))</f>
        <v/>
      </c>
      <c r="T37" s="122" t="str">
        <f>IF(D37="","",IF(F37=1,VLOOKUP(D37,'DB animal categories'!$C$62:$AM$63,33,FALSE)*E37,I37/VLOOKUP(D37,'DB animal categories'!$C$62:$AH$63,27,FALSE)*(VLOOKUP(D37,'DB animal categories'!$C$62:$AH$63,25,FALSE)*VLOOKUP(D37,'DB animal categories'!$C$62:$AH$63,26,FALSE)/24)))</f>
        <v/>
      </c>
      <c r="U37" s="122" t="str">
        <f>IF(D37="","",IF(F37=1,VLOOKUP(D37,'DB animal categories'!$C$62:$AM$63,34,FALSE)*E37/1000,M37/VLOOKUP(D37,'DB animal categories'!$C$62:$AH$63,27,FALSE)*(VLOOKUP(D37,'DB animal categories'!$C$62:$AH$63,25,FALSE)*VLOOKUP(D37,'DB animal categories'!$C$62:$AH$63,26,FALSE)/24)))</f>
        <v/>
      </c>
      <c r="V37" s="608">
        <f>IF(K37="",0,L37/M37*U37*'DB technologies'!$AT$11/100)</f>
        <v>0</v>
      </c>
      <c r="W37" s="608">
        <f>IF(K37="",0,(U37-V37)*'DB technologies'!$AU$11/100)</f>
        <v>0</v>
      </c>
      <c r="X37" s="122" t="str">
        <f>IF(D37="","",IF(F37=1,VLOOKUP(D37,'DB animal categories'!$C$62:$AM$63,36,FALSE)*E37/1000,P37/VLOOKUP(D37,'DB animal categories'!$C$62:$AH$63,27,FALSE)*(VLOOKUP(D37,'DB animal categories'!$C$62:$AH$63,25,FALSE)*VLOOKUP(D37,'DB animal categories'!$C$62:$AH$63,26,FALSE)/24)))</f>
        <v/>
      </c>
      <c r="Y37" s="124" t="str">
        <f>IF(D37="","",IF(F37=1,VLOOKUP(D37,'DB animal categories'!$C$62:$AM$63,37,FALSE)*E37/1000,S37/VLOOKUP(D37,'DB animal categories'!$C$62:$AH$63,27,FALSE)*(VLOOKUP(D37,'DB animal categories'!$C$62:$AH$63,25,FALSE)*VLOOKUP(D37,'DB animal categories'!$C$62:$AH$63,26,FALSE)/24)))</f>
        <v/>
      </c>
      <c r="AB37" s="82"/>
      <c r="AC37" s="111"/>
      <c r="AD37" s="82"/>
      <c r="AG37" s="159"/>
      <c r="AJ37" s="159"/>
    </row>
    <row r="38" spans="2:36" x14ac:dyDescent="0.2">
      <c r="B38" s="669" t="s">
        <v>76</v>
      </c>
      <c r="C38" s="672" t="s">
        <v>32</v>
      </c>
      <c r="D38" s="1415"/>
      <c r="E38" s="1402"/>
      <c r="F38" s="1402"/>
      <c r="G38" s="59" t="str">
        <f>IF(F38=1,"",IF(D38="","",IF(F38=2,I38*VLOOKUP($C$38,'DB additional information '!$X$4:$AB$25,4,FALSE)/100,VLOOKUP(D38,'DB animal categories'!$C$68:$AH$80,8,FALSE)*VLOOKUP(D38,'DB animal categories'!$C$68:$AC$80,9,FALSE)/100*(1-(VLOOKUP(D38,'DB animal categories'!$C$68:$AH$80,10,FALSE)/100))/('DB additional information '!$K$12/100)/1000*E38)))</f>
        <v/>
      </c>
      <c r="H38" s="59" t="str">
        <f>IF(F38=1,"",IF(D38="","",IF(F38=2,I38-G38,G38/'DB additional information '!$M$12)))</f>
        <v/>
      </c>
      <c r="I38" s="66" t="str">
        <f>IF(F38=1,E38*VLOOKUP(D38,'DB animal categories'!$C$68:$AN$80,28,FALSE),IF(D38="","",IF(F38=2,VLOOKUP(D38,'DB animal categories'!$C$68:$AH$80,14,FALSE)*E38,G38+H38)))</f>
        <v/>
      </c>
      <c r="J38" s="66" t="str">
        <f>IF(F38=1,VLOOKUP(D38,'DB animal categories'!$C$68:$AN$80,38,FALSE),IF(F38="","",IF(D38="","",IF(F38=2,VLOOKUP(D38,'DB animal categories'!$C$68:$AN$80,15,FALSE),(G38*'DB additional information '!$K$12/100+H38*'DB additional information '!$L$12/100)/I38*100))))</f>
        <v/>
      </c>
      <c r="K38" s="74" t="str">
        <f>IF(F38=1,"",IF(F38="","",IF(D38="","",IF(F38=2,M38-L38,(VLOOKUP(D38,'DB animal categories'!$C$68:$AH$80,8,FALSE)*VLOOKUP(D38,'DB animal categories'!$C$68:$AH$80,11,FALSE)/6.25/1000/1000)*E38*(1-'DB additional information '!$F$68/100)))))</f>
        <v/>
      </c>
      <c r="L38" s="74" t="str">
        <f>IF(F38=1,"",IF(F38="","",IF(D38="","",IF(F38=2,M38*'DB additional information '!$N$12/100,((VLOOKUP(D38,'DB animal categories'!$C$68:$AH$80,8,FALSE)*VLOOKUP(D38,'DB animal categories'!$C$68:$AH$80,11,FALSE)/6.25/1000/1000-'DB additional information '!$F$65*VLOOKUP(D38,'DB animal categories'!$C$68:$AH$80,3,FALSE)*VLOOKUP(D38,'DB animal categories'!$C$68:$AH$80,2,FALSE)/1000/1000)*E38-K38)))))</f>
        <v/>
      </c>
      <c r="M38" s="66" t="str">
        <f>IF(F38=1,VLOOKUP(D38,'DB animal categories'!$C$68:$AM$80,29,FALSE)/1000*E38,IF(F38="","",IF(D38="","",IF(F38=2,VLOOKUP(D38,'DB animal categories'!$C$68:$AH$80,18,FALSE)*E38/1000,K38+L38))))</f>
        <v/>
      </c>
      <c r="N38" s="74" t="str">
        <f>IF(D38="","",IF(F38="","",IF(F38=2,P38-O38,(VLOOKUP(D38,'DB animal categories'!$C$68:$AH$80,8,FALSE)*VLOOKUP(D38,'DB animal categories'!$C$68:$AH$80,12,FALSE)/1000/1000)*E38*(1-'DB additional information '!$F$69/100))))</f>
        <v/>
      </c>
      <c r="O38" s="74" t="str">
        <f>IF(D38="","",IF(F38="","",IF(F38=2,P38*'DB additional information '!$O$12/100,(VLOOKUP(D38,'DB animal categories'!$C$68:$AH$80,8,FALSE)*VLOOKUP(D38,'DB animal categories'!$C$68:$AH$80,12,FALSE)/1000/1000-'DB additional information '!$F$66*VLOOKUP(D38,'DB animal categories'!$C$68:$AH$80,3,FALSE)*VLOOKUP(D38,'DB animal categories'!$C$68:$AH$80,2,FALSE)/1000/1000)*E38-N38)))</f>
        <v/>
      </c>
      <c r="P38" s="66" t="str">
        <f>IF(F38=1,VLOOKUP(D38,'DB animal categories'!$C$68:$AM$80,31,FALSE)/1000*E38,IF(F38="","",IF(D38="","",IF(F38=2,E38*VLOOKUP(D38,'DB animal categories'!$C$68:$AH$80,21,FALSE)/1000,N38+O38))))</f>
        <v/>
      </c>
      <c r="Q38" s="74" t="str">
        <f>IF(D38="","",IF(F38="","",IF(F38=2,S38-R38,(VLOOKUP(D38,'DB animal categories'!$C$68:$AH$80,8,FALSE)*VLOOKUP(D38,'DB animal categories'!$C$68:$AH$80,13,FALSE)/1000/1000)*E38*(1-'DB additional information '!$F$70/100))))</f>
        <v/>
      </c>
      <c r="R38" s="74" t="str">
        <f>IF(F38="","",IF(D38="","",IF(F38=2,S38*'DB additional information '!$P$12/100,(VLOOKUP(D38,'DB animal categories'!$C$68:$AH$772,8,FALSE)*VLOOKUP(D38,'DB animal categories'!$C$68:$AH$80,13,FALSE)/1000/1000-'DB additional information '!$F$67*VLOOKUP(D38,'DB animal categories'!$C$68:$AH$80,3,FALSE)*VLOOKUP(D38,'DB animal categories'!$C$68:$AH$80,2,FALSE)/1000/1000)*E38-Q38)))</f>
        <v/>
      </c>
      <c r="S38" s="66" t="str">
        <f>IF(F38=1,VLOOKUP(D38,'DB animal categories'!$C$68:$AM$80,32,FALSE)/1000*E38,IF(F38="","",IF(D38="","",IF(F38=2,E38*VLOOKUP(D38,'DB animal categories'!$C$68:$AH$80,24,FALSE)/1000,Q38+R38))))</f>
        <v/>
      </c>
      <c r="T38" s="66" t="str">
        <f>IF(D38="","",IF(F38=1,VLOOKUP(D38,'DB animal categories'!$C$68:$AM$80,33,FALSE)*E38,I38/VLOOKUP(D38,'DB animal categories'!$C$68:$AH$80,27,FALSE)*(VLOOKUP(D38,'DB animal categories'!$C$68:$AH$80,25,FALSE)*VLOOKUP(D38,'DB animal categories'!$C$68:$AH$80,26,FALSE)/24)))</f>
        <v/>
      </c>
      <c r="U38" s="61" t="str">
        <f>IF(D38="","",IF(F38=1,VLOOKUP(D38,'DB animal categories'!$C$68:$AM$80,34,FALSE)*E38/1000,M38/VLOOKUP(D38,'DB animal categories'!$C$68:$AH$80,27,FALSE)*(VLOOKUP(D38,'DB animal categories'!$C$68:$AH$80,25,FALSE)*VLOOKUP(D38,'DB animal categories'!$C$68:$AH$80,26,FALSE)/24)))</f>
        <v/>
      </c>
      <c r="V38" s="607">
        <f>IF(K38="",0,L38/M38*U38*'DB technologies'!$AT$11/100)</f>
        <v>0</v>
      </c>
      <c r="W38" s="607">
        <f>IF(K38="",0,(U38-V38)*'DB technologies'!$AU$11/100)</f>
        <v>0</v>
      </c>
      <c r="X38" s="66" t="str">
        <f>IF(F38=1,VLOOKUP(D38,'DB animal categories'!$C$68:$AM$80,36,FALSE)/1000*E38,IF(D38="","",IF(F38="","",P38/VLOOKUP(D38,'DB animal categories'!$C$68:$AH$80,27,FALSE)*(VLOOKUP(D38,'DB animal categories'!$C$68:$AH$80,25,FALSE)*VLOOKUP(D38,'DB animal categories'!$C$68:$AH$80,26,FALSE)/24))))</f>
        <v/>
      </c>
      <c r="Y38" s="77" t="str">
        <f>IF(F38=1,VLOOKUP(D38,'DB animal categories'!$C$68:$AM$80,37,FALSE)/1000*E38,IF(D38="","",IF(F38="","",S38/VLOOKUP(D38,'DB animal categories'!$C$68:$AH$80,27,FALSE)*(VLOOKUP(D38,'DB animal categories'!$C$68:$AH$80,25,FALSE)*VLOOKUP(D38,'DB animal categories'!$C$68:$AH$80,26,FALSE)/24))))</f>
        <v/>
      </c>
      <c r="AA38" s="454"/>
      <c r="AB38" s="159"/>
      <c r="AC38" s="159"/>
      <c r="AF38" s="82"/>
    </row>
    <row r="39" spans="2:36" x14ac:dyDescent="0.2">
      <c r="B39" s="670"/>
      <c r="C39" s="673"/>
      <c r="D39" s="1416"/>
      <c r="E39" s="1405"/>
      <c r="F39" s="1405"/>
      <c r="G39" s="59" t="str">
        <f>IF(F39=1,"",IF(D39="","",IF(F39=2,I39*VLOOKUP($C$38,'DB additional information '!$X$4:$AB$25,4,FALSE)/100,VLOOKUP(D39,'DB animal categories'!$C$68:$AH$80,8,FALSE)*VLOOKUP(D39,'DB animal categories'!$C$68:$AC$80,9,FALSE)/100*(1-(VLOOKUP(D39,'DB animal categories'!$C$68:$AH$80,10,FALSE)/100))/('DB additional information '!$K$12/100)/1000*E39)))</f>
        <v/>
      </c>
      <c r="H39" s="59" t="str">
        <f>IF(F39=1,"",IF(D39="","",IF(F39=2,I39-G39,G39/'DB additional information '!$M$12)))</f>
        <v/>
      </c>
      <c r="I39" s="58" t="str">
        <f>IF(F39=1,E39*VLOOKUP(D39,'DB animal categories'!$C$68:$AN$80,28,FALSE),IF(D39="","",IF(F39=2,VLOOKUP(D39,'DB animal categories'!$C$68:$AH$80,14,FALSE)*E39,G39+H39)))</f>
        <v/>
      </c>
      <c r="J39" s="380" t="str">
        <f>IF(F39=1,VLOOKUP(D39,'DB animal categories'!$C$68:$AN$80,38,FALSE),IF(F39="","",IF(D39="","",IF(F39=2,VLOOKUP(D39,'DB animal categories'!$C$68:$AN$80,15,FALSE),(G39*'DB additional information '!$K$12/100+H39*'DB additional information '!$L$12/100)/I39*100))))</f>
        <v/>
      </c>
      <c r="K39" s="68" t="str">
        <f>IF(F39=1,"",IF(F39="","",IF(D39="","",IF(F39=2,M39-L39,(VLOOKUP(D39,'DB animal categories'!$C$68:$AH$80,8,FALSE)*VLOOKUP(D39,'DB animal categories'!$C$68:$AH$80,11,FALSE)/6.25/1000/1000)*E39*(1-'DB additional information '!$F$68/100)))))</f>
        <v/>
      </c>
      <c r="L39" s="68" t="str">
        <f>IF(F39=1,"",IF(F39="","",IF(D39="","",IF(F39=2,M39*'DB additional information '!$N$12/100,((VLOOKUP(D39,'DB animal categories'!$C$68:$AH$80,8,FALSE)*VLOOKUP(D39,'DB animal categories'!$C$68:$AH$80,11,FALSE)/6.25/1000/1000-'DB additional information '!$F$65*VLOOKUP(D39,'DB animal categories'!$C$68:$AH$80,3,FALSE)*VLOOKUP(D39,'DB animal categories'!$C$68:$AH$80,2,FALSE)/1000/1000)*E39-K39)))))</f>
        <v/>
      </c>
      <c r="M39" s="58" t="str">
        <f>IF(F39=1,VLOOKUP(D39,'DB animal categories'!$C$68:$AM$80,29,FALSE)/1000*E39,IF(F39="","",IF(D39="","",IF(F39=2,VLOOKUP(D39,'DB animal categories'!$C$68:$AH$80,18,FALSE)*E39/1000,K39+L39))))</f>
        <v/>
      </c>
      <c r="N39" s="68" t="str">
        <f>IF(D39="","",IF(F39="","",IF(F39=2,P39-O39,(VLOOKUP(D39,'DB animal categories'!$C$68:$AH$80,8,FALSE)*VLOOKUP(D39,'DB animal categories'!$C$68:$AH$80,12,FALSE)/1000/1000)*E39*(1-'DB additional information '!$F$69/100))))</f>
        <v/>
      </c>
      <c r="O39" s="68" t="str">
        <f>IF(D39="","",IF(F39="","",IF(F39=2,P39*'DB additional information '!$O$12/100,(VLOOKUP(D39,'DB animal categories'!$C$68:$AH$80,8,FALSE)*VLOOKUP(D39,'DB animal categories'!$C$68:$AH$80,12,FALSE)/1000/1000-'DB additional information '!$F$66*VLOOKUP(D39,'DB animal categories'!$C$68:$AH$80,3,FALSE)*VLOOKUP(D39,'DB animal categories'!$C$68:$AH$80,2,FALSE)/1000/1000)*E39-N39)))</f>
        <v/>
      </c>
      <c r="P39" s="58" t="str">
        <f>IF(F39=1,VLOOKUP(D39,'DB animal categories'!$C$68:$AM$80,31,FALSE)/1000*E39,IF(F39="","",IF(D39="","",IF(F39=2,E39*VLOOKUP(D39,'DB animal categories'!$C$68:$AH$80,21,FALSE)/1000,N39+O39))))</f>
        <v/>
      </c>
      <c r="Q39" s="68" t="str">
        <f>IF(D39="","",IF(F39="","",IF(F39=2,S39-R39,(VLOOKUP(D39,'DB animal categories'!$C$68:$AH$80,8,FALSE)*VLOOKUP(D39,'DB animal categories'!$C$68:$AH$80,13,FALSE)/1000/1000)*E39*(1-'DB additional information '!$F$70/100))))</f>
        <v/>
      </c>
      <c r="R39" s="68" t="str">
        <f>IF(F39="","",IF(D39="","",IF(F39=2,S39*'DB additional information '!$P$12/100,(VLOOKUP(D39,'DB animal categories'!$C$68:$AH$772,8,FALSE)*VLOOKUP(D39,'DB animal categories'!$C$68:$AH$80,13,FALSE)/1000/1000-'DB additional information '!$F$67*VLOOKUP(D39,'DB animal categories'!$C$68:$AH$80,3,FALSE)*VLOOKUP(D39,'DB animal categories'!$C$68:$AH$80,2,FALSE)/1000/1000)*E39-Q39)))</f>
        <v/>
      </c>
      <c r="S39" s="58" t="str">
        <f>IF(F39=1,VLOOKUP(D39,'DB animal categories'!$C$68:$AM$80,32,FALSE)/1000*E39,IF(F39="","",IF(D39="","",IF(F39=2,E39*VLOOKUP(D39,'DB animal categories'!$C$68:$AH$80,24,FALSE)/1000,Q39+R39))))</f>
        <v/>
      </c>
      <c r="T39" s="58" t="str">
        <f>IF(D39="","",IF(F39=1,VLOOKUP(D39,'DB animal categories'!$C$68:$AM$80,33,FALSE)*E39,I39/VLOOKUP(D39,'DB animal categories'!$C$68:$AH$80,27,FALSE)*(VLOOKUP(D39,'DB animal categories'!$C$68:$AH$80,25,FALSE)*VLOOKUP(D39,'DB animal categories'!$C$68:$AH$80,26,FALSE)/24)))</f>
        <v/>
      </c>
      <c r="U39" s="58" t="str">
        <f>IF(D39="","",IF(F39=1,VLOOKUP(D39,'DB animal categories'!$C$68:$AM$80,34,FALSE)*E39/1000,M39/VLOOKUP(D39,'DB animal categories'!$C$68:$AH$80,27,FALSE)*(VLOOKUP(D39,'DB animal categories'!$C$68:$AH$80,25,FALSE)*VLOOKUP(D39,'DB animal categories'!$C$68:$AH$80,26,FALSE)/24)))</f>
        <v/>
      </c>
      <c r="V39" s="606">
        <f>IF(K39="",0,L39/M39*U39*'DB technologies'!$AT$11/100)</f>
        <v>0</v>
      </c>
      <c r="W39" s="606">
        <f>IF(K39="",0,(U39-V39)*'DB technologies'!$AU$11/100)</f>
        <v>0</v>
      </c>
      <c r="X39" s="58" t="str">
        <f>IF(F39=1,VLOOKUP(D39,'DB animal categories'!$C$68:$AM$80,36,FALSE)/1000*E39,IF(D39="","",IF(F39="","",P39/VLOOKUP(D39,'DB animal categories'!$C$68:$AH$80,27,FALSE)*(VLOOKUP(D39,'DB animal categories'!$C$68:$AH$80,25,FALSE)*VLOOKUP(D39,'DB animal categories'!$C$68:$AH$80,26,FALSE)/24))))</f>
        <v/>
      </c>
      <c r="Y39" s="63" t="str">
        <f>IF(F39=1,VLOOKUP(D39,'DB animal categories'!$C$68:$AM$80,37,FALSE)/1000*E39,IF(D39="","",IF(F39="","",S39/VLOOKUP(D39,'DB animal categories'!$C$68:$AH$80,27,FALSE)*(VLOOKUP(D39,'DB animal categories'!$C$68:$AH$80,25,FALSE)*VLOOKUP(D39,'DB animal categories'!$C$68:$AH$80,26,FALSE)/24))))</f>
        <v/>
      </c>
    </row>
    <row r="40" spans="2:36" x14ac:dyDescent="0.2">
      <c r="B40" s="670"/>
      <c r="C40" s="673"/>
      <c r="D40" s="1416"/>
      <c r="E40" s="1405"/>
      <c r="F40" s="1405"/>
      <c r="G40" s="59" t="str">
        <f>IF(F40=1,"",IF(D40="","",IF(F40=2,I40*VLOOKUP($C$38,'DB additional information '!$X$4:$AB$25,4,FALSE)/100,VLOOKUP(D40,'DB animal categories'!$C$68:$AH$80,8,FALSE)*VLOOKUP(D40,'DB animal categories'!$C$68:$AC$80,9,FALSE)/100*(1-(VLOOKUP(D40,'DB animal categories'!$C$68:$AH$80,10,FALSE)/100))/('DB additional information '!$K$12/100)/1000*E40)))</f>
        <v/>
      </c>
      <c r="H40" s="59" t="str">
        <f>IF(F40=1,"",IF(D40="","",IF(F40=2,I40-G40,G40/'DB additional information '!$M$12)))</f>
        <v/>
      </c>
      <c r="I40" s="58" t="str">
        <f>IF(F40=1,E40*VLOOKUP(D40,'DB animal categories'!$C$68:$AN$80,28,FALSE),IF(D40="","",IF(F40=2,VLOOKUP(D40,'DB animal categories'!$C$68:$AH$80,14,FALSE)*E40,G40+H40)))</f>
        <v/>
      </c>
      <c r="J40" s="380" t="str">
        <f>IF(F40=1,VLOOKUP(D40,'DB animal categories'!$C$68:$AN$80,38,FALSE),IF(F40="","",IF(D40="","",IF(F40=2,VLOOKUP(D40,'DB animal categories'!$C$68:$AN$80,15,FALSE),(G40*'DB additional information '!$K$12/100+H40*'DB additional information '!$L$12/100)/I40*100))))</f>
        <v/>
      </c>
      <c r="K40" s="68" t="str">
        <f>IF(F40=1,"",IF(F40="","",IF(D40="","",IF(F40=2,M40-L40,(VLOOKUP(D40,'DB animal categories'!$C$68:$AH$80,8,FALSE)*VLOOKUP(D40,'DB animal categories'!$C$68:$AH$80,11,FALSE)/6.25/1000/1000)*E40*(1-'DB additional information '!$F$68/100)))))</f>
        <v/>
      </c>
      <c r="L40" s="68" t="str">
        <f>IF(F40=1,"",IF(F40="","",IF(D40="","",IF(F40=2,M40*'DB additional information '!$N$12/100,((VLOOKUP(D40,'DB animal categories'!$C$68:$AH$80,8,FALSE)*VLOOKUP(D40,'DB animal categories'!$C$68:$AH$80,11,FALSE)/6.25/1000/1000-'DB additional information '!$F$65*VLOOKUP(D40,'DB animal categories'!$C$68:$AH$80,3,FALSE)*VLOOKUP(D40,'DB animal categories'!$C$68:$AH$80,2,FALSE)/1000/1000)*E40-K40)))))</f>
        <v/>
      </c>
      <c r="M40" s="58" t="str">
        <f>IF(F40=1,VLOOKUP(D40,'DB animal categories'!$C$68:$AM$80,29,FALSE)/1000*E40,IF(F40="","",IF(D40="","",IF(F40=2,VLOOKUP(D40,'DB animal categories'!$C$68:$AH$80,18,FALSE)*E40/1000,K40+L40))))</f>
        <v/>
      </c>
      <c r="N40" s="68" t="str">
        <f>IF(D40="","",IF(F40="","",IF(F40=2,P40-O40,(VLOOKUP(D40,'DB animal categories'!$C$68:$AH$80,8,FALSE)*VLOOKUP(D40,'DB animal categories'!$C$68:$AH$80,12,FALSE)/1000/1000)*E40*(1-'DB additional information '!$F$69/100))))</f>
        <v/>
      </c>
      <c r="O40" s="68" t="str">
        <f>IF(D40="","",IF(F40="","",IF(F40=2,P40*'DB additional information '!$O$12/100,(VLOOKUP(D40,'DB animal categories'!$C$68:$AH$80,8,FALSE)*VLOOKUP(D40,'DB animal categories'!$C$68:$AH$80,12,FALSE)/1000/1000-'DB additional information '!$F$66*VLOOKUP(D40,'DB animal categories'!$C$68:$AH$80,3,FALSE)*VLOOKUP(D40,'DB animal categories'!$C$68:$AH$80,2,FALSE)/1000/1000)*E40-N40)))</f>
        <v/>
      </c>
      <c r="P40" s="58" t="str">
        <f>IF(F40=1,VLOOKUP(D40,'DB animal categories'!$C$68:$AM$80,31,FALSE)/1000*E40,IF(F40="","",IF(D40="","",IF(F40=2,E40*VLOOKUP(D40,'DB animal categories'!$C$68:$AH$80,21,FALSE)/1000,N40+O40))))</f>
        <v/>
      </c>
      <c r="Q40" s="68" t="str">
        <f>IF(D40="","",IF(F40="","",IF(F40=2,S40-R40,(VLOOKUP(D40,'DB animal categories'!$C$68:$AH$80,8,FALSE)*VLOOKUP(D40,'DB animal categories'!$C$68:$AH$80,13,FALSE)/1000/1000)*E40*(1-'DB additional information '!$F$70/100))))</f>
        <v/>
      </c>
      <c r="R40" s="68" t="str">
        <f>IF(F40="","",IF(D40="","",IF(F40=2,S40*'DB additional information '!$P$12/100,(VLOOKUP(D40,'DB animal categories'!$C$68:$AH$772,8,FALSE)*VLOOKUP(D40,'DB animal categories'!$C$68:$AH$80,13,FALSE)/1000/1000-'DB additional information '!$F$67*VLOOKUP(D40,'DB animal categories'!$C$68:$AH$80,3,FALSE)*VLOOKUP(D40,'DB animal categories'!$C$68:$AH$80,2,FALSE)/1000/1000)*E40-Q40)))</f>
        <v/>
      </c>
      <c r="S40" s="58" t="str">
        <f>IF(F40=1,VLOOKUP(D40,'DB animal categories'!$C$68:$AM$80,32,FALSE)/1000*E40,IF(F40="","",IF(D40="","",IF(F40=2,E40*VLOOKUP(D40,'DB animal categories'!$C$68:$AH$80,24,FALSE)/1000,Q40+R40))))</f>
        <v/>
      </c>
      <c r="T40" s="58" t="str">
        <f>IF(D40="","",IF(F40=1,VLOOKUP(D40,'DB animal categories'!$C$68:$AM$80,33,FALSE)*E40,I40/VLOOKUP(D40,'DB animal categories'!$C$68:$AH$80,27,FALSE)*(VLOOKUP(D40,'DB animal categories'!$C$68:$AH$80,25,FALSE)*VLOOKUP(D40,'DB animal categories'!$C$68:$AH$80,26,FALSE)/24)))</f>
        <v/>
      </c>
      <c r="U40" s="58" t="str">
        <f>IF(D40="","",IF(F40=1,VLOOKUP(D40,'DB animal categories'!$C$68:$AM$80,34,FALSE)*E40/1000,M40/VLOOKUP(D40,'DB animal categories'!$C$68:$AH$80,27,FALSE)*(VLOOKUP(D40,'DB animal categories'!$C$68:$AH$80,25,FALSE)*VLOOKUP(D40,'DB animal categories'!$C$68:$AH$80,26,FALSE)/24)))</f>
        <v/>
      </c>
      <c r="V40" s="606">
        <f>IF(K40="",0,L40/M40*U40*'DB technologies'!$AT$11/100)</f>
        <v>0</v>
      </c>
      <c r="W40" s="606">
        <f>IF(K40="",0,(U40-V40)*'DB technologies'!$AU$11/100)</f>
        <v>0</v>
      </c>
      <c r="X40" s="58" t="str">
        <f>IF(F40=1,VLOOKUP(D40,'DB animal categories'!$C$68:$AM$80,36,FALSE)/1000*E40,IF(D40="","",IF(F40="","",P40/VLOOKUP(D40,'DB animal categories'!$C$68:$AH$80,27,FALSE)*(VLOOKUP(D40,'DB animal categories'!$C$68:$AH$80,25,FALSE)*VLOOKUP(D40,'DB animal categories'!$C$68:$AH$80,26,FALSE)/24))))</f>
        <v/>
      </c>
      <c r="Y40" s="63" t="str">
        <f>IF(F40=1,VLOOKUP(D40,'DB animal categories'!$C$68:$AM$80,37,FALSE)/1000*E40,IF(D40="","",IF(F40="","",S40/VLOOKUP(D40,'DB animal categories'!$C$68:$AH$80,27,FALSE)*(VLOOKUP(D40,'DB animal categories'!$C$68:$AH$80,25,FALSE)*VLOOKUP(D40,'DB animal categories'!$C$68:$AH$80,26,FALSE)/24))))</f>
        <v/>
      </c>
      <c r="AC40" s="82"/>
      <c r="AE40" s="82"/>
      <c r="AG40" s="82"/>
      <c r="AI40" s="454"/>
      <c r="AJ40" s="82"/>
    </row>
    <row r="41" spans="2:36" x14ac:dyDescent="0.2">
      <c r="B41" s="670"/>
      <c r="C41" s="673"/>
      <c r="D41" s="1416"/>
      <c r="E41" s="1405"/>
      <c r="F41" s="1405"/>
      <c r="G41" s="59" t="str">
        <f>IF(F41=1,"",IF(D41="","",IF(F41=2,I41*VLOOKUP($C$38,'DB additional information '!$X$4:$AB$25,4,FALSE)/100,VLOOKUP(D41,'DB animal categories'!$C$68:$AH$80,8,FALSE)*VLOOKUP(D41,'DB animal categories'!$C$68:$AC$80,9,FALSE)/100*(1-(VLOOKUP(D41,'DB animal categories'!$C$68:$AH$80,10,FALSE)/100))/('DB additional information '!$K$12/100)/1000*E41)))</f>
        <v/>
      </c>
      <c r="H41" s="59" t="str">
        <f>IF(F41=1,"",IF(D41="","",IF(F41=2,I41-G41,G41/'DB additional information '!$M$12)))</f>
        <v/>
      </c>
      <c r="I41" s="58" t="str">
        <f>IF(F41=1,E41*VLOOKUP(D41,'DB animal categories'!$C$68:$AN$80,28,FALSE),IF(D41="","",IF(F41=2,VLOOKUP(D41,'DB animal categories'!$C$68:$AH$80,14,FALSE)*E41,G41+H41)))</f>
        <v/>
      </c>
      <c r="J41" s="380" t="str">
        <f>IF(F41=1,VLOOKUP(D41,'DB animal categories'!$C$68:$AN$80,38,FALSE),IF(F41="","",IF(D41="","",IF(F41=2,VLOOKUP(D41,'DB animal categories'!$C$68:$AN$80,15,FALSE),(G41*'DB additional information '!$K$12/100+H41*'DB additional information '!$L$12/100)/I41*100))))</f>
        <v/>
      </c>
      <c r="K41" s="68" t="str">
        <f>IF(F41=1,"",IF(F41="","",IF(D41="","",IF(F41=2,M41-L41,(VLOOKUP(D41,'DB animal categories'!$C$68:$AH$80,8,FALSE)*VLOOKUP(D41,'DB animal categories'!$C$68:$AH$80,11,FALSE)/6.25/1000/1000)*E41*(1-'DB additional information '!$F$68/100)))))</f>
        <v/>
      </c>
      <c r="L41" s="68" t="str">
        <f>IF(F41=1,"",IF(F41="","",IF(D41="","",IF(F41=2,M41*'DB additional information '!$N$12/100,((VLOOKUP(D41,'DB animal categories'!$C$68:$AH$80,8,FALSE)*VLOOKUP(D41,'DB animal categories'!$C$68:$AH$80,11,FALSE)/6.25/1000/1000-'DB additional information '!$F$65*VLOOKUP(D41,'DB animal categories'!$C$68:$AH$80,3,FALSE)*VLOOKUP(D41,'DB animal categories'!$C$68:$AH$80,2,FALSE)/1000/1000)*E41-K41)))))</f>
        <v/>
      </c>
      <c r="M41" s="58" t="str">
        <f>IF(F41=1,VLOOKUP(D41,'DB animal categories'!$C$68:$AM$80,29,FALSE)/1000*E41,IF(F41="","",IF(D41="","",IF(F41=2,VLOOKUP(D41,'DB animal categories'!$C$68:$AH$80,18,FALSE)*E41/1000,K41+L41))))</f>
        <v/>
      </c>
      <c r="N41" s="68" t="str">
        <f>IF(D41="","",IF(F41="","",IF(F41=2,P41-O41,(VLOOKUP(D41,'DB animal categories'!$C$68:$AH$80,8,FALSE)*VLOOKUP(D41,'DB animal categories'!$C$68:$AH$80,12,FALSE)/1000/1000)*E41*(1-'DB additional information '!$F$69/100))))</f>
        <v/>
      </c>
      <c r="O41" s="68" t="str">
        <f>IF(D41="","",IF(F41="","",IF(F41=2,P41*'DB additional information '!$O$12/100,(VLOOKUP(D41,'DB animal categories'!$C$68:$AH$80,8,FALSE)*VLOOKUP(D41,'DB animal categories'!$C$68:$AH$80,12,FALSE)/1000/1000-'DB additional information '!$F$66*VLOOKUP(D41,'DB animal categories'!$C$68:$AH$80,3,FALSE)*VLOOKUP(D41,'DB animal categories'!$C$68:$AH$80,2,FALSE)/1000/1000)*E41-N41)))</f>
        <v/>
      </c>
      <c r="P41" s="58" t="str">
        <f>IF(F41=1,VLOOKUP(D41,'DB animal categories'!$C$68:$AM$80,31,FALSE)/1000*E41,IF(F41="","",IF(D41="","",IF(F41=2,E41*VLOOKUP(D41,'DB animal categories'!$C$68:$AH$80,21,FALSE)/1000,N41+O41))))</f>
        <v/>
      </c>
      <c r="Q41" s="68" t="str">
        <f>IF(D41="","",IF(F41="","",IF(F41=2,S41-R41,(VLOOKUP(D41,'DB animal categories'!$C$68:$AH$80,8,FALSE)*VLOOKUP(D41,'DB animal categories'!$C$68:$AH$80,13,FALSE)/1000/1000)*E41*(1-'DB additional information '!$F$70/100))))</f>
        <v/>
      </c>
      <c r="R41" s="68" t="str">
        <f>IF(F41="","",IF(D41="","",IF(F41=2,S41*'DB additional information '!$P$12/100,(VLOOKUP(D41,'DB animal categories'!$C$68:$AH$772,8,FALSE)*VLOOKUP(D41,'DB animal categories'!$C$68:$AH$80,13,FALSE)/1000/1000-'DB additional information '!$F$67*VLOOKUP(D41,'DB animal categories'!$C$68:$AH$80,3,FALSE)*VLOOKUP(D41,'DB animal categories'!$C$68:$AH$80,2,FALSE)/1000/1000)*E41-Q41)))</f>
        <v/>
      </c>
      <c r="S41" s="58" t="str">
        <f>IF(F41=1,VLOOKUP(D41,'DB animal categories'!$C$68:$AM$80,32,FALSE)/1000*E41,IF(F41="","",IF(D41="","",IF(F41=2,E41*VLOOKUP(D41,'DB animal categories'!$C$68:$AH$80,24,FALSE)/1000,Q41+R41))))</f>
        <v/>
      </c>
      <c r="T41" s="58" t="str">
        <f>IF(D41="","",IF(F41=1,VLOOKUP(D41,'DB animal categories'!$C$68:$AM$80,33,FALSE)*E41,I41/VLOOKUP(D41,'DB animal categories'!$C$68:$AH$80,27,FALSE)*(VLOOKUP(D41,'DB animal categories'!$C$68:$AH$80,25,FALSE)*VLOOKUP(D41,'DB animal categories'!$C$68:$AH$80,26,FALSE)/24)))</f>
        <v/>
      </c>
      <c r="U41" s="58" t="str">
        <f>IF(D41="","",IF(F41=1,VLOOKUP(D41,'DB animal categories'!$C$68:$AM$80,34,FALSE)*E41/1000,M41/VLOOKUP(D41,'DB animal categories'!$C$68:$AH$80,27,FALSE)*(VLOOKUP(D41,'DB animal categories'!$C$68:$AH$80,25,FALSE)*VLOOKUP(D41,'DB animal categories'!$C$68:$AH$80,26,FALSE)/24)))</f>
        <v/>
      </c>
      <c r="V41" s="606">
        <f>IF(K41="",0,L41/M41*U41*'DB technologies'!$AT$11/100)</f>
        <v>0</v>
      </c>
      <c r="W41" s="606">
        <f>IF(K41="",0,(U41-V41)*'DB technologies'!$AU$11/100)</f>
        <v>0</v>
      </c>
      <c r="X41" s="58" t="str">
        <f>IF(F41=1,VLOOKUP(D41,'DB animal categories'!$C$68:$AM$80,36,FALSE)/1000*E41,IF(D41="","",IF(F41="","",P41/VLOOKUP(D41,'DB animal categories'!$C$68:$AH$80,27,FALSE)*(VLOOKUP(D41,'DB animal categories'!$C$68:$AH$80,25,FALSE)*VLOOKUP(D41,'DB animal categories'!$C$68:$AH$80,26,FALSE)/24))))</f>
        <v/>
      </c>
      <c r="Y41" s="63" t="str">
        <f>IF(F41=1,VLOOKUP(D41,'DB animal categories'!$C$68:$AM$80,37,FALSE)/1000*E41,IF(D41="","",IF(F41="","",S41/VLOOKUP(D41,'DB animal categories'!$C$68:$AH$80,27,FALSE)*(VLOOKUP(D41,'DB animal categories'!$C$68:$AH$80,25,FALSE)*VLOOKUP(D41,'DB animal categories'!$C$68:$AH$80,26,FALSE)/24))))</f>
        <v/>
      </c>
    </row>
    <row r="42" spans="2:36" ht="12" thickBot="1" x14ac:dyDescent="0.25">
      <c r="B42" s="670"/>
      <c r="C42" s="674"/>
      <c r="D42" s="1417"/>
      <c r="E42" s="1410"/>
      <c r="F42" s="1410"/>
      <c r="G42" s="89" t="str">
        <f>IF(F42=1,"",IF(D42="","",IF(F42=2,I42*VLOOKUP($C$38,'DB additional information '!$X$4:$AB$25,4,FALSE)/100,VLOOKUP(D42,'DB animal categories'!$C$68:$AH$80,8,FALSE)*VLOOKUP(D42,'DB animal categories'!$C$68:$AC$80,9,FALSE)/100*(1-(VLOOKUP(D42,'DB animal categories'!$C$68:$AH$80,10,FALSE)/100))/('DB additional information '!$K$12/100)/1000*E42)))</f>
        <v/>
      </c>
      <c r="H42" s="89" t="str">
        <f>IF(F42=1,"",IF(D42="","",IF(F42=2,I42-G42,G42/'DB additional information '!$M$12)))</f>
        <v/>
      </c>
      <c r="I42" s="122" t="str">
        <f>IF(F42=1,E42*VLOOKUP(D42,'DB animal categories'!$C$68:$AN$80,28,FALSE),IF(D42="","",IF(F42=2,VLOOKUP(D42,'DB animal categories'!$C$68:$AH$80,14,FALSE)*E42,G42+H42)))</f>
        <v/>
      </c>
      <c r="J42" s="381" t="str">
        <f>IF(F42=1,VLOOKUP(D42,'DB animal categories'!$C$68:$AN$80,38,FALSE),IF(F42="","",IF(D42="","",IF(F42=2,VLOOKUP(D42,'DB animal categories'!$C$68:$AN$80,15,FALSE),(G42*'DB additional information '!$K$12/100+H42*'DB additional information '!$L$12/100)/I42*100))))</f>
        <v/>
      </c>
      <c r="K42" s="123" t="str">
        <f>IF(F42=1,"",IF(F42="","",IF(D42="","",IF(F42=2,M42-L42,(VLOOKUP(D42,'DB animal categories'!$C$68:$AH$80,8,FALSE)*VLOOKUP(D42,'DB animal categories'!$C$68:$AH$80,11,FALSE)/6.25/1000/1000)*E42*(1-'DB additional information '!$F$68/100)))))</f>
        <v/>
      </c>
      <c r="L42" s="123" t="str">
        <f>IF(F42=1,"",IF(F42="","",IF(D42="","",IF(F42=2,M42*'DB additional information '!$N$12/100,((VLOOKUP(D42,'DB animal categories'!$C$68:$AH$80,8,FALSE)*VLOOKUP(D42,'DB animal categories'!$C$68:$AH$80,11,FALSE)/6.25/1000/1000-'DB additional information '!$F$65*VLOOKUP(D42,'DB animal categories'!$C$68:$AH$80,3,FALSE)*VLOOKUP(D42,'DB animal categories'!$C$68:$AH$80,2,FALSE)/1000/1000)*E42-K42)))))</f>
        <v/>
      </c>
      <c r="M42" s="122" t="str">
        <f>IF(F42=1,VLOOKUP(D42,'DB animal categories'!$C$68:$AM$80,29,FALSE)/1000*E42,IF(F42="","",IF(D42="","",IF(F42=2,VLOOKUP(D42,'DB animal categories'!$C$68:$AH$80,18,FALSE)*E42/1000,K42+L42))))</f>
        <v/>
      </c>
      <c r="N42" s="76" t="str">
        <f>IF(D42="","",IF(F42="","",IF(F42=2,P42-O42,(VLOOKUP(D42,'DB animal categories'!$C$68:$AH$80,8,FALSE)*VLOOKUP(D42,'DB animal categories'!$C$68:$AH$80,12,FALSE)/1000/1000)*E42*(1-'DB additional information '!$F$69/100))))</f>
        <v/>
      </c>
      <c r="O42" s="76" t="str">
        <f>IF(D42="","",IF(F42="","",IF(F42=2,P42*'DB additional information '!$O$12/100,(VLOOKUP(D42,'DB animal categories'!$C$68:$AH$80,8,FALSE)*VLOOKUP(D42,'DB animal categories'!$C$68:$AH$80,12,FALSE)/1000/1000-'DB additional information '!$F$66*VLOOKUP(D42,'DB animal categories'!$C$68:$AH$80,3,FALSE)*VLOOKUP(D42,'DB animal categories'!$C$68:$AH$80,2,FALSE)/1000/1000)*E42-N42)))</f>
        <v/>
      </c>
      <c r="P42" s="122" t="str">
        <f>IF(F42=1,VLOOKUP(D42,'DB animal categories'!$C$68:$AM$80,31,FALSE)/1000*E42,IF(F42="","",IF(D42="","",IF(F42=2,E42*VLOOKUP(D42,'DB animal categories'!$C$68:$AH$80,21,FALSE)/1000,N42+O42))))</f>
        <v/>
      </c>
      <c r="Q42" s="76" t="str">
        <f>IF(D42="","",IF(F42="","",IF(F42=2,S42-R42,(VLOOKUP(D42,'DB animal categories'!$C$68:$AH$80,8,FALSE)*VLOOKUP(D42,'DB animal categories'!$C$68:$AH$80,13,FALSE)/1000/1000)*E42*(1-'DB additional information '!$F$70/100))))</f>
        <v/>
      </c>
      <c r="R42" s="76" t="str">
        <f>IF(F42="","",IF(D42="","",IF(F42=2,S42*'DB additional information '!$P$12/100,(VLOOKUP(D42,'DB animal categories'!$C$68:$AH$772,8,FALSE)*VLOOKUP(D42,'DB animal categories'!$C$68:$AH$80,13,FALSE)/1000/1000-'DB additional information '!$F$67*VLOOKUP(D42,'DB animal categories'!$C$68:$AH$80,3,FALSE)*VLOOKUP(D42,'DB animal categories'!$C$68:$AH$80,2,FALSE)/1000/1000)*E42-Q42)))</f>
        <v/>
      </c>
      <c r="S42" s="122" t="str">
        <f>IF(F42=1,VLOOKUP(D42,'DB animal categories'!$C$68:$AM$80,32,FALSE)/1000*E42,IF(F42="","",IF(D42="","",IF(F42=2,E42*VLOOKUP(D42,'DB animal categories'!$C$68:$AH$80,24,FALSE)/1000,Q42+R42))))</f>
        <v/>
      </c>
      <c r="T42" s="122" t="str">
        <f>IF(D42="","",IF(F42=1,VLOOKUP(D42,'DB animal categories'!$C$68:$AM$80,33,FALSE)*E42,I42/VLOOKUP(D42,'DB animal categories'!$C$68:$AH$80,27,FALSE)*(VLOOKUP(D42,'DB animal categories'!$C$68:$AH$80,25,FALSE)*VLOOKUP(D42,'DB animal categories'!$C$68:$AH$80,26,FALSE)/24)))</f>
        <v/>
      </c>
      <c r="U42" s="122" t="str">
        <f>IF(D42="","",IF(F42=1,VLOOKUP(D42,'DB animal categories'!$C$68:$AM$80,34,FALSE)*E42/1000,M42/VLOOKUP(D42,'DB animal categories'!$C$68:$AH$80,27,FALSE)*(VLOOKUP(D42,'DB animal categories'!$C$68:$AH$80,25,FALSE)*VLOOKUP(D42,'DB animal categories'!$C$68:$AH$80,26,FALSE)/24)))</f>
        <v/>
      </c>
      <c r="V42" s="608">
        <f>IF(K42="",0,L42/M42*U42*'DB technologies'!$AT$11/100)</f>
        <v>0</v>
      </c>
      <c r="W42" s="608">
        <f>IF(K42="",0,(U42-V42)*'DB technologies'!$AU$11/100)</f>
        <v>0</v>
      </c>
      <c r="X42" s="122" t="str">
        <f>IF(F42=1,VLOOKUP(D42,'DB animal categories'!$C$68:$AM$80,36,FALSE)/1000*E42,IF(D42="","",IF(F42="","",P42/VLOOKUP(D42,'DB animal categories'!$C$68:$AH$80,27,FALSE)*(VLOOKUP(D42,'DB animal categories'!$C$68:$AH$80,25,FALSE)*VLOOKUP(D42,'DB animal categories'!$C$68:$AH$80,26,FALSE)/24))))</f>
        <v/>
      </c>
      <c r="Y42" s="124" t="str">
        <f>IF(F42=1,VLOOKUP(D42,'DB animal categories'!$C$68:$AM$80,37,FALSE)/1000*E42,IF(D42="","",IF(F42="","",S42/VLOOKUP(D42,'DB animal categories'!$C$68:$AH$80,27,FALSE)*(VLOOKUP(D42,'DB animal categories'!$C$68:$AH$80,25,FALSE)*VLOOKUP(D42,'DB animal categories'!$C$68:$AH$80,26,FALSE)/24))))</f>
        <v/>
      </c>
    </row>
    <row r="43" spans="2:36" x14ac:dyDescent="0.2">
      <c r="B43" s="670"/>
      <c r="C43" s="675" t="s">
        <v>28</v>
      </c>
      <c r="D43" s="1418"/>
      <c r="E43" s="1419"/>
      <c r="F43" s="1419"/>
      <c r="G43" s="59" t="str">
        <f>IF(F43=1,"",IF(D43="","",IF(F43=2,I43*VLOOKUP($C$43,'DB additional information '!$X$4:$AB$25,4,FALSE)/100,VLOOKUP(D43,'DB animal categories'!$C$81:$AH$90,8,FALSE)*VLOOKUP(D43,'DB animal categories'!$C$81:$AC$90,9,FALSE)/100*(1-(VLOOKUP(D43,'DB animal categories'!$C$81:$AH$90,10,FALSE)/100))/('DB additional information '!$K$10/100)/1000*E43)))</f>
        <v/>
      </c>
      <c r="H43" s="59" t="str">
        <f>IF(F43=1,"",IF(D43="","",IF(F43=2,I43-G43,G43/'DB additional information '!$M$10)))</f>
        <v/>
      </c>
      <c r="I43" s="355" t="str">
        <f>IF(F43=1,E43*VLOOKUP(D43,'DB animal categories'!$C$81:$AN$90,28,FALSE),IF(D43="","",IF(F43=2,VLOOKUP(D43,'DB animal categories'!$C$81:$AH$90,14,FALSE)*E43,G43+H43)))</f>
        <v/>
      </c>
      <c r="J43" s="355" t="str">
        <f>IF(F43=1,VLOOKUP(D43,'DB animal categories'!$C$81:$AN$90,38,FALSE),IF(F43="","",IF(D43="","",IF(F43=2,VLOOKUP(D43,'DB animal categories'!$C$81:$AN$90,15,FALSE),(G43*'DB additional information '!$K$10/100+H43*'DB additional information '!$L$10/100)/I43*100))))</f>
        <v/>
      </c>
      <c r="K43" s="71" t="str">
        <f>IF(F43=1,"",IF(F43="","",IF(D43="","",IF(F43=2,M43-L43,(VLOOKUP(D43,'DB animal categories'!$C$81:$AH$90,8,FALSE)*VLOOKUP(D43,'DB animal categories'!$C$81:$AH$90,11,FALSE)/6.25/1000/1000)*E43*(1-'DB additional information '!$F$56/100)))))</f>
        <v/>
      </c>
      <c r="L43" s="71" t="str">
        <f>IF(F43=1,"",IF(F43="","",IF(D43="","",IF(F43=2,M43*'DB additional information '!$N$10/100,((VLOOKUP(D43,'DB animal categories'!$C$81:$AH$90,8,FALSE)*VLOOKUP(D43,'DB animal categories'!$C$81:$AH$90,11,FALSE)/6.25/1000/1000-'DB additional information '!$F$53*VLOOKUP(D43,'DB animal categories'!$C$81:$AH$90,7,FALSE)/1000/1000)*E43-K43)))))</f>
        <v/>
      </c>
      <c r="M43" s="604" t="str">
        <f>IF(F43=1,0,IF(F43="","",IF(D43="","",IF(F43=2,VLOOKUP(D43,'DB animal categories'!$C$81:$AH$90,18,FALSE)*E43/1000,K43+L43))))</f>
        <v/>
      </c>
      <c r="N43" s="71" t="str">
        <f>IF(D43="","",IF(F43="","",IF(F43=2,P43-O43,(VLOOKUP(D43,'DB animal categories'!$C$81:$AH$90,8,FALSE)*VLOOKUP(D43,'DB animal categories'!$C$81:$AH$90,12,FALSE)/1000/1000)*E43*(1-'DB additional information '!$F$57/100))))</f>
        <v/>
      </c>
      <c r="O43" s="72" t="str">
        <f>IF(D43="","",IF(F43="","",IF(F43=2,P43*'DB additional information '!$O$10/100,(VLOOKUP(D43,'DB animal categories'!$C$81:$AH$90,8,FALSE)*VLOOKUP(D43,'DB animal categories'!$C$81:$AH$90,12,FALSE)/1000/1000-'DB additional information '!$F$54*VLOOKUP(D43,'DB animal categories'!$C$81:$AH$90,7,FALSE)/1000/1000)*E43-N43)))</f>
        <v/>
      </c>
      <c r="P43" s="60" t="str">
        <f>IF(F43="","",IF(D43="","",IF(F43=2,E43*VLOOKUP(D43,'DB animal categories'!$C$81:$AH$90,21,FALSE)/1000,N43+O43)))</f>
        <v/>
      </c>
      <c r="Q43" s="71" t="str">
        <f>IF(F43="","",IF(D43="","",IF(F43=2,S43-R43,(VLOOKUP(D43,'DB animal categories'!$C$81:$AH$90,8,FALSE)*VLOOKUP(D43,'DB animal categories'!$C$81:$AH$90,13,FALSE)/1000/1000)*E43*(1-'DB additional information '!$F$58/100))))</f>
        <v/>
      </c>
      <c r="R43" s="72" t="str">
        <f>IF(F43="","",IF(D43="","",IF(F43=2,S43*'DB additional information '!$P$10/100,(VLOOKUP(D43,'DB animal categories'!$C$81:$AH$90,8,FALSE)*VLOOKUP(D43,'DB animal categories'!$C$81:$AH$90,13,FALSE)/1000/1000-'DB additional information '!$F$55*VLOOKUP(D43,'DB animal categories'!$C$81:$AH$90,7,FALSE)/1000/1000)*E43-Q43)))</f>
        <v/>
      </c>
      <c r="S43" s="60" t="str">
        <f>IF(F43="","",IF(D43="","",IF(F43=2,E43*VLOOKUP(D43,'DB animal categories'!$C$81:$AH$90,24,FALSE)/1000,Q43+R43)))</f>
        <v/>
      </c>
      <c r="T43" s="60" t="str">
        <f>IF(D43="","",IF(F43="","",I43/VLOOKUP(D43,'DB animal categories'!$C$81:$AH$90,27,FALSE)*(VLOOKUP(D43,'DB animal categories'!$C$81:$AH$90,25,FALSE)*VLOOKUP(D43,'DB animal categories'!$C$81:$AH$90,26,FALSE)/24)))</f>
        <v/>
      </c>
      <c r="U43" s="355" t="str">
        <f>IF(F43=1,"",IF(D43="","",IF(F43="","",M43/VLOOKUP(D43,'DB animal categories'!$C$81:$AH$90,27,FALSE)*(VLOOKUP(D43,'DB animal categories'!$C$81:$AH$90,25,FALSE)*VLOOKUP(D43,'DB animal categories'!$C$81:$AH$90,26,FALSE)/24))))</f>
        <v/>
      </c>
      <c r="V43" s="607">
        <f>IF(K43="",0,L43/M43*U43*'DB technologies'!$AT$11/100)</f>
        <v>0</v>
      </c>
      <c r="W43" s="607">
        <f>IF(K43="",0,(U43-V43)*'DB technologies'!$AU$11/100)</f>
        <v>0</v>
      </c>
      <c r="X43" s="355" t="str">
        <f>IF(F43=1,"",IF(D43="","",IF(F43="","",P43/VLOOKUP(D43,'DB animal categories'!$C$81:$AH$90,27,FALSE)*(VLOOKUP(D43,'DB animal categories'!$C$81:$AH$90,25,FALSE)*VLOOKUP(D43,'DB animal categories'!$C$81:$AH$90,26,FALSE)/24))))</f>
        <v/>
      </c>
      <c r="Y43" s="356" t="str">
        <f>IF(F43=1,"",IF(D43="","",IF(F43="","",S43/VLOOKUP(D43,'DB animal categories'!$C$81:$AH$90,27,FALSE)*(VLOOKUP(D43,'DB animal categories'!$C$81:$AH$90,25,FALSE)*VLOOKUP(D43,'DB animal categories'!$C$81:$AH$90,26,FALSE)/24))))</f>
        <v/>
      </c>
      <c r="AB43" s="159"/>
      <c r="AC43" s="159"/>
    </row>
    <row r="44" spans="2:36" x14ac:dyDescent="0.2">
      <c r="B44" s="670"/>
      <c r="C44" s="676"/>
      <c r="D44" s="1416"/>
      <c r="E44" s="1405"/>
      <c r="F44" s="1405"/>
      <c r="G44" s="59" t="str">
        <f>IF(F44=1,"",IF(D44="","",IF(F44=2,I44*VLOOKUP($C$43,'DB additional information '!$X$4:$AB$25,4,FALSE)/100,VLOOKUP(D44,'DB animal categories'!$C$81:$AH$90,8,FALSE)*VLOOKUP(D44,'DB animal categories'!$C$81:$AC$90,9,FALSE)/100*(1-(VLOOKUP(D44,'DB animal categories'!$C$81:$AH$90,10,FALSE)/100))/('DB additional information '!$K$10/100)/1000*E44)))</f>
        <v/>
      </c>
      <c r="H44" s="59" t="str">
        <f>IF(F44=1,"",IF(D44="","",IF(F44=2,I44-G44,G44/'DB additional information '!$M$10)))</f>
        <v/>
      </c>
      <c r="I44" s="58" t="str">
        <f>IF(F44=1,E44*VLOOKUP(D44,'DB animal categories'!$C$81:$AN$90,28,FALSE),IF(D44="","",IF(F44=2,VLOOKUP(D44,'DB animal categories'!$C$81:$AH$90,14,FALSE)*E44,G44+H44)))</f>
        <v/>
      </c>
      <c r="J44" s="58" t="str">
        <f>IF(F44=1,VLOOKUP(D44,'DB animal categories'!$C$81:$AN$90,38,FALSE),IF(F44="","",IF(D44="","",IF(F44=2,VLOOKUP(D44,'DB animal categories'!$C$81:$AN$90,15,FALSE),(G44*'DB additional information '!$K$10/100+H44*'DB additional information '!$L$10/100)/I44*100))))</f>
        <v/>
      </c>
      <c r="K44" s="71" t="str">
        <f>IF(F44=1,"",IF(F44="","",IF(D44="","",IF(F44=2,M44-L44,(VLOOKUP(D44,'DB animal categories'!$C$81:$AH$90,8,FALSE)*VLOOKUP(D44,'DB animal categories'!$C$81:$AH$90,11,FALSE)/6.25/1000/1000)*E44*(1-'DB additional information '!$F$56/100)))))</f>
        <v/>
      </c>
      <c r="L44" s="71" t="str">
        <f>IF(F44=1,"",IF(F44="","",IF(D44="","",IF(F44=2,M44*'DB additional information '!$N$10/100,((VLOOKUP(D44,'DB animal categories'!$C$81:$AH$90,8,FALSE)*VLOOKUP(D44,'DB animal categories'!$C$81:$AH$90,11,FALSE)/6.25/1000/1000-'DB additional information '!$F$53*VLOOKUP(D44,'DB animal categories'!$C$81:$AH$90,7,FALSE)/1000/1000)*E44-K44)))))</f>
        <v/>
      </c>
      <c r="M44" s="58" t="str">
        <f>IF(F44=1,0,IF(F44="","",IF(D44="","",IF(F44=2,VLOOKUP(D44,'DB animal categories'!$C$81:$AH$90,18,FALSE)*E44/1000,K44+L44))))</f>
        <v/>
      </c>
      <c r="N44" s="68" t="str">
        <f>IF(D44="","",IF(F44="","",IF(F44=2,P44-O44,(VLOOKUP(D44,'DB animal categories'!$C$81:$AH$90,8,FALSE)*VLOOKUP(D44,'DB animal categories'!$C$81:$AH$90,12,FALSE)/1000/1000)*E44*(1-'DB additional information '!$F$57/100))))</f>
        <v/>
      </c>
      <c r="O44" s="68" t="str">
        <f>IF(D44="","",IF(F44="","",IF(F44=2,P44*'DB additional information '!$O$10/100,(VLOOKUP(D44,'DB animal categories'!$C$81:$AH$90,8,FALSE)*VLOOKUP(D44,'DB animal categories'!$C$81:$AH$90,12,FALSE)/1000/1000-'DB additional information '!$F$54*VLOOKUP(D44,'DB animal categories'!$C$81:$AH$90,7,FALSE)/1000/1000)*E44-N44)))</f>
        <v/>
      </c>
      <c r="P44" s="58" t="str">
        <f>IF(F44="","",IF(D44="","",IF(F44=2,E44*VLOOKUP(D44,'DB animal categories'!$C$81:$AH$90,21,FALSE)/1000,N44+O44)))</f>
        <v/>
      </c>
      <c r="Q44" s="68" t="str">
        <f>IF(F44="","",IF(D44="","",IF(F44=2,S44-R44,(VLOOKUP(D44,'DB animal categories'!$C$81:$AH$90,8,FALSE)*VLOOKUP(D44,'DB animal categories'!$C$81:$AH$90,13,FALSE)/1000/1000)*E44*(1-'DB additional information '!$F$58/100))))</f>
        <v/>
      </c>
      <c r="R44" s="68" t="str">
        <f>IF(F44="","",IF(D44="","",IF(F44=2,S44*'DB additional information '!$P$10/100,(VLOOKUP(D44,'DB animal categories'!$C$81:$AH$90,8,FALSE)*VLOOKUP(D44,'DB animal categories'!$C$81:$AH$90,13,FALSE)/1000/1000-'DB additional information '!$F$55*VLOOKUP(D44,'DB animal categories'!$C$81:$AH$90,7,FALSE)/1000/1000)*E44-Q44)))</f>
        <v/>
      </c>
      <c r="S44" s="58" t="str">
        <f>IF(F44="","",IF(D44="","",IF(F44=2,E44*VLOOKUP(D44,'DB animal categories'!$C$81:$AH$90,24,FALSE)/1000,Q44+R44)))</f>
        <v/>
      </c>
      <c r="T44" s="58" t="str">
        <f>IF(D44="","",IF(F44="","",I44/VLOOKUP(D44,'DB animal categories'!$C$81:$AH$90,27,FALSE)*(VLOOKUP(D44,'DB animal categories'!$C$81:$AH$90,25,FALSE)*VLOOKUP(D44,'DB animal categories'!$C$81:$AH$90,26,FALSE)/24)))</f>
        <v/>
      </c>
      <c r="U44" s="58" t="str">
        <f>IF(F44=1,"",IF(D44="","",IF(F44="","",M44/VLOOKUP(D44,'DB animal categories'!$C$81:$AH$90,27,FALSE)*(VLOOKUP(D44,'DB animal categories'!$C$81:$AH$90,25,FALSE)*VLOOKUP(D44,'DB animal categories'!$C$81:$AH$90,26,FALSE)/24))))</f>
        <v/>
      </c>
      <c r="V44" s="606">
        <f>IF(K44="",0,L44/M44*U44*'DB technologies'!$AT$11/100)</f>
        <v>0</v>
      </c>
      <c r="W44" s="606">
        <f>IF(K44="",0,(U44-V44)*'DB technologies'!$AU$11/100)</f>
        <v>0</v>
      </c>
      <c r="X44" s="58" t="str">
        <f>IF(F44=1,"",IF(D44="","",IF(F44="","",P44/VLOOKUP(D44,'DB animal categories'!$C$81:$AH$90,27,FALSE)*(VLOOKUP(D44,'DB animal categories'!$C$81:$AH$90,25,FALSE)*VLOOKUP(D44,'DB animal categories'!$C$81:$AH$90,26,FALSE)/24))))</f>
        <v/>
      </c>
      <c r="Y44" s="63" t="str">
        <f>IF(F44=1,"",IF(D44="","",IF(F44="","",S44/VLOOKUP(D44,'DB animal categories'!$C$81:$AH$90,27,FALSE)*(VLOOKUP(D44,'DB animal categories'!$C$81:$AH$90,25,FALSE)*VLOOKUP(D44,'DB animal categories'!$C$81:$AH$90,26,FALSE)/24))))</f>
        <v/>
      </c>
    </row>
    <row r="45" spans="2:36" x14ac:dyDescent="0.2">
      <c r="B45" s="670"/>
      <c r="C45" s="676"/>
      <c r="D45" s="1416"/>
      <c r="E45" s="1405"/>
      <c r="F45" s="1405"/>
      <c r="G45" s="59" t="str">
        <f>IF(F45=1,"",IF(D45="","",IF(F45=2,I45*VLOOKUP($C$43,'DB additional information '!$X$4:$AB$25,4,FALSE)/100,VLOOKUP(D45,'DB animal categories'!$C$81:$AH$90,8,FALSE)*VLOOKUP(D45,'DB animal categories'!$C$81:$AC$90,9,FALSE)/100*(1-(VLOOKUP(D45,'DB animal categories'!$C$81:$AH$90,10,FALSE)/100))/('DB additional information '!$K$10/100)/1000*E45)))</f>
        <v/>
      </c>
      <c r="H45" s="59" t="str">
        <f>IF(F45=1,"",IF(D45="","",IF(F45=2,I45-G45,G45/'DB additional information '!$M$10)))</f>
        <v/>
      </c>
      <c r="I45" s="58" t="str">
        <f>IF(F45=1,E45*VLOOKUP(D45,'DB animal categories'!$C$81:$AN$90,28,FALSE),IF(D45="","",IF(F45=2,VLOOKUP(D45,'DB animal categories'!$C$81:$AH$90,14,FALSE)*E45,G45+H45)))</f>
        <v/>
      </c>
      <c r="J45" s="58" t="str">
        <f>IF(F45=1,VLOOKUP(D45,'DB animal categories'!$C$81:$AN$90,38,FALSE),IF(F45="","",IF(D45="","",IF(F45=2,VLOOKUP(D45,'DB animal categories'!$C$81:$AN$90,15,FALSE),(G45*'DB additional information '!$K$10/100+H45*'DB additional information '!$L$10/100)/I45*100))))</f>
        <v/>
      </c>
      <c r="K45" s="71" t="str">
        <f>IF(F45=1,"",IF(F45="","",IF(D45="","",IF(F45=2,M45-L45,(VLOOKUP(D45,'DB animal categories'!$C$81:$AH$90,8,FALSE)*VLOOKUP(D45,'DB animal categories'!$C$81:$AH$90,11,FALSE)/6.25/1000/1000)*E45*(1-'DB additional information '!$F$56/100)))))</f>
        <v/>
      </c>
      <c r="L45" s="71" t="str">
        <f>IF(F45=1,"",IF(F45="","",IF(D45="","",IF(F45=2,M45*'DB additional information '!$N$10/100,((VLOOKUP(D45,'DB animal categories'!$C$81:$AH$90,8,FALSE)*VLOOKUP(D45,'DB animal categories'!$C$81:$AH$90,11,FALSE)/6.25/1000/1000-'DB additional information '!$F$53*VLOOKUP(D45,'DB animal categories'!$C$81:$AH$90,7,FALSE)/1000/1000)*E45-K45)))))</f>
        <v/>
      </c>
      <c r="M45" s="58" t="str">
        <f>IF(F45=1,0,IF(F45="","",IF(D45="","",IF(F45=2,VLOOKUP(D45,'DB animal categories'!$C$81:$AH$90,18,FALSE)*E45/1000,K45+L45))))</f>
        <v/>
      </c>
      <c r="N45" s="68" t="str">
        <f>IF(D45="","",IF(F45="","",IF(F45=2,P45-O45,(VLOOKUP(D45,'DB animal categories'!$C$81:$AH$90,8,FALSE)*VLOOKUP(D45,'DB animal categories'!$C$81:$AH$90,12,FALSE)/1000/1000)*E45*(1-'DB additional information '!$F$57/100))))</f>
        <v/>
      </c>
      <c r="O45" s="68" t="str">
        <f>IF(D45="","",IF(F45="","",IF(F45=2,P45*'DB additional information '!$O$10/100,(VLOOKUP(D45,'DB animal categories'!$C$81:$AH$90,8,FALSE)*VLOOKUP(D45,'DB animal categories'!$C$81:$AH$90,12,FALSE)/1000/1000-'DB additional information '!$F$54*VLOOKUP(D45,'DB animal categories'!$C$81:$AH$90,7,FALSE)/1000/1000)*E45-N45)))</f>
        <v/>
      </c>
      <c r="P45" s="58" t="str">
        <f>IF(F45="","",IF(D45="","",IF(F45=2,E45*VLOOKUP(D45,'DB animal categories'!$C$81:$AH$90,21,FALSE)/1000,N45+O45)))</f>
        <v/>
      </c>
      <c r="Q45" s="68" t="str">
        <f>IF(F45="","",IF(D45="","",IF(F45=2,S45-R45,(VLOOKUP(D45,'DB animal categories'!$C$81:$AH$90,8,FALSE)*VLOOKUP(D45,'DB animal categories'!$C$81:$AH$90,13,FALSE)/1000/1000)*E45*(1-'DB additional information '!$F$58/100))))</f>
        <v/>
      </c>
      <c r="R45" s="68" t="str">
        <f>IF(F45="","",IF(D45="","",IF(F45=2,S45*'DB additional information '!$P$10/100,(VLOOKUP(D45,'DB animal categories'!$C$81:$AH$90,8,FALSE)*VLOOKUP(D45,'DB animal categories'!$C$81:$AH$90,13,FALSE)/1000/1000-'DB additional information '!$F$55*VLOOKUP(D45,'DB animal categories'!$C$81:$AH$90,7,FALSE)/1000/1000)*E45-Q45)))</f>
        <v/>
      </c>
      <c r="S45" s="58" t="str">
        <f>IF(F45="","",IF(D45="","",IF(F45=2,E45*VLOOKUP(D45,'DB animal categories'!$C$81:$AH$90,24,FALSE)/1000,Q45+R45)))</f>
        <v/>
      </c>
      <c r="T45" s="58" t="str">
        <f>IF(D45="","",IF(F45="","",I45/VLOOKUP(D45,'DB animal categories'!$C$81:$AH$90,27,FALSE)*(VLOOKUP(D45,'DB animal categories'!$C$81:$AH$90,25,FALSE)*VLOOKUP(D45,'DB animal categories'!$C$81:$AH$90,26,FALSE)/24)))</f>
        <v/>
      </c>
      <c r="U45" s="58" t="str">
        <f>IF(F45=1,"",IF(D45="","",IF(F45="","",M45/VLOOKUP(D45,'DB animal categories'!$C$81:$AH$90,27,FALSE)*(VLOOKUP(D45,'DB animal categories'!$C$81:$AH$90,25,FALSE)*VLOOKUP(D45,'DB animal categories'!$C$81:$AH$90,26,FALSE)/24))))</f>
        <v/>
      </c>
      <c r="V45" s="606">
        <f>IF(K45="",0,L45/M45*U45*'DB technologies'!$AT$11/100)</f>
        <v>0</v>
      </c>
      <c r="W45" s="606">
        <f>IF(K45="",0,(U45-V45)*'DB technologies'!$AU$11/100)</f>
        <v>0</v>
      </c>
      <c r="X45" s="58" t="str">
        <f>IF(F45=1,"",IF(D45="","",IF(F45="","",P45/VLOOKUP(D45,'DB animal categories'!$C$81:$AH$90,27,FALSE)*(VLOOKUP(D45,'DB animal categories'!$C$81:$AH$90,25,FALSE)*VLOOKUP(D45,'DB animal categories'!$C$81:$AH$90,26,FALSE)/24))))</f>
        <v/>
      </c>
      <c r="Y45" s="63" t="str">
        <f>IF(F45=1,"",IF(D45="","",IF(F45="","",S45/VLOOKUP(D45,'DB animal categories'!$C$81:$AH$90,27,FALSE)*(VLOOKUP(D45,'DB animal categories'!$C$81:$AH$90,25,FALSE)*VLOOKUP(D45,'DB animal categories'!$C$81:$AH$90,26,FALSE)/24))))</f>
        <v/>
      </c>
    </row>
    <row r="46" spans="2:36" x14ac:dyDescent="0.2">
      <c r="B46" s="670"/>
      <c r="C46" s="676"/>
      <c r="D46" s="1416"/>
      <c r="E46" s="1405"/>
      <c r="F46" s="1405"/>
      <c r="G46" s="59" t="str">
        <f>IF(F46=1,"",IF(D46="","",IF(F46=2,I46*VLOOKUP($C$43,'DB additional information '!$X$4:$AB$25,4,FALSE)/100,VLOOKUP(D46,'DB animal categories'!$C$81:$AH$90,8,FALSE)*VLOOKUP(D46,'DB animal categories'!$C$81:$AC$90,9,FALSE)/100*(1-(VLOOKUP(D46,'DB animal categories'!$C$81:$AH$90,10,FALSE)/100))/('DB additional information '!$K$10/100)/1000*E46)))</f>
        <v/>
      </c>
      <c r="H46" s="59" t="str">
        <f>IF(F46=1,"",IF(D46="","",IF(F46=2,I46-G46,G46/'DB additional information '!$M$10)))</f>
        <v/>
      </c>
      <c r="I46" s="58" t="str">
        <f>IF(F46=1,E46*VLOOKUP(D46,'DB animal categories'!$C$81:$AN$90,28,FALSE),IF(D46="","",IF(F46=2,VLOOKUP(D46,'DB animal categories'!$C$81:$AH$90,14,FALSE)*E46,G46+H46)))</f>
        <v/>
      </c>
      <c r="J46" s="58" t="str">
        <f>IF(F46=1,VLOOKUP(D46,'DB animal categories'!$C$81:$AN$90,38,FALSE),IF(F46="","",IF(D46="","",IF(F46=2,VLOOKUP(D46,'DB animal categories'!$C$81:$AN$90,15,FALSE),(G46*'DB additional information '!$K$10/100+H46*'DB additional information '!$L$10/100)/I46*100))))</f>
        <v/>
      </c>
      <c r="K46" s="71" t="str">
        <f>IF(F46=1,"",IF(F46="","",IF(D46="","",IF(F46=2,M46-L46,(VLOOKUP(D46,'DB animal categories'!$C$81:$AH$90,8,FALSE)*VLOOKUP(D46,'DB animal categories'!$C$81:$AH$90,11,FALSE)/6.25/1000/1000)*E46*(1-'DB additional information '!$F$56/100)))))</f>
        <v/>
      </c>
      <c r="L46" s="71" t="str">
        <f>IF(F46=1,"",IF(F46="","",IF(D46="","",IF(F46=2,M46*'DB additional information '!$N$10/100,((VLOOKUP(D46,'DB animal categories'!$C$81:$AH$90,8,FALSE)*VLOOKUP(D46,'DB animal categories'!$C$81:$AH$90,11,FALSE)/6.25/1000/1000-'DB additional information '!$F$53*VLOOKUP(D46,'DB animal categories'!$C$81:$AH$90,7,FALSE)/1000/1000)*E46-K46)))))</f>
        <v/>
      </c>
      <c r="M46" s="58" t="str">
        <f>IF(F46=1,0,IF(F46="","",IF(D46="","",IF(F46=2,VLOOKUP(D46,'DB animal categories'!$C$81:$AH$90,18,FALSE)*E46/1000,K46+L46))))</f>
        <v/>
      </c>
      <c r="N46" s="68" t="str">
        <f>IF(D46="","",IF(F46="","",IF(F46=2,P46-O46,(VLOOKUP(D46,'DB animal categories'!$C$81:$AH$90,8,FALSE)*VLOOKUP(D46,'DB animal categories'!$C$81:$AH$90,12,FALSE)/1000/1000)*E46*(1-'DB additional information '!$F$57/100))))</f>
        <v/>
      </c>
      <c r="O46" s="68" t="str">
        <f>IF(D46="","",IF(F46="","",IF(F46=2,P46*'DB additional information '!$O$10/100,(VLOOKUP(D46,'DB animal categories'!$C$81:$AH$90,8,FALSE)*VLOOKUP(D46,'DB animal categories'!$C$81:$AH$90,12,FALSE)/1000/1000-'DB additional information '!$F$54*VLOOKUP(D46,'DB animal categories'!$C$81:$AH$90,7,FALSE)/1000/1000)*E46-N46)))</f>
        <v/>
      </c>
      <c r="P46" s="58" t="str">
        <f>IF(F46="","",IF(D46="","",IF(F46=2,E46*VLOOKUP(D46,'DB animal categories'!$C$81:$AH$90,21,FALSE)/1000,N46+O46)))</f>
        <v/>
      </c>
      <c r="Q46" s="68" t="str">
        <f>IF(F46="","",IF(D46="","",IF(F46=2,S46-R46,(VLOOKUP(D46,'DB animal categories'!$C$81:$AH$90,8,FALSE)*VLOOKUP(D46,'DB animal categories'!$C$81:$AH$90,13,FALSE)/1000/1000)*E46*(1-'DB additional information '!$F$58/100))))</f>
        <v/>
      </c>
      <c r="R46" s="68" t="str">
        <f>IF(F46="","",IF(D46="","",IF(F46=2,S46*'DB additional information '!$P$11/100,(VLOOKUP(D46,'DB animal categories'!$C$81:$AH$90,8,FALSE)*VLOOKUP(D46,'DB animal categories'!$C$81:$AH$90,13,FALSE)/1000/1000-'DB additional information '!$F$55*VLOOKUP(D46,'DB animal categories'!$C$81:$AH$90,7,FALSE)/1000/1000)*E46-Q46)))</f>
        <v/>
      </c>
      <c r="S46" s="58" t="str">
        <f>IF(F46="","",IF(D46="","",IF(F46=2,E46*VLOOKUP(D46,'DB animal categories'!$C$81:$AH$90,24,FALSE)/1000,Q46+R46)))</f>
        <v/>
      </c>
      <c r="T46" s="58" t="str">
        <f>IF(D46="","",IF(F46="","",I46/VLOOKUP(D46,'DB animal categories'!$C$81:$AH$90,27,FALSE)*(VLOOKUP(D46,'DB animal categories'!$C$81:$AH$90,25,FALSE)*VLOOKUP(D46,'DB animal categories'!$C$81:$AH$90,26,FALSE)/24)))</f>
        <v/>
      </c>
      <c r="U46" s="58" t="str">
        <f>IF(F46=1,"",IF(D46="","",IF(F46="","",M46/VLOOKUP(D46,'DB animal categories'!$C$81:$AH$90,27,FALSE)*(VLOOKUP(D46,'DB animal categories'!$C$81:$AH$90,25,FALSE)*VLOOKUP(D46,'DB animal categories'!$C$81:$AH$90,26,FALSE)/24))))</f>
        <v/>
      </c>
      <c r="V46" s="606">
        <f>IF(K46="",0,L46/M46*U46*'DB technologies'!$AT$11/100)</f>
        <v>0</v>
      </c>
      <c r="W46" s="606">
        <f>IF(K46="",0,(U46-V46)*'DB technologies'!$AU$11/100)</f>
        <v>0</v>
      </c>
      <c r="X46" s="58" t="str">
        <f>IF(F46=1,"",IF(D46="","",IF(F46="","",P46/VLOOKUP(D46,'DB animal categories'!$C$81:$AH$90,27,FALSE)*(VLOOKUP(D46,'DB animal categories'!$C$81:$AH$90,25,FALSE)*VLOOKUP(D46,'DB animal categories'!$C$81:$AH$90,26,FALSE)/24))))</f>
        <v/>
      </c>
      <c r="Y46" s="63" t="str">
        <f>IF(F46=1,"",IF(D46="","",IF(F46="","",S46/VLOOKUP(D46,'DB animal categories'!$C$81:$AH$90,27,FALSE)*(VLOOKUP(D46,'DB animal categories'!$C$81:$AH$90,25,FALSE)*VLOOKUP(D46,'DB animal categories'!$C$81:$AH$90,26,FALSE)/24))))</f>
        <v/>
      </c>
    </row>
    <row r="47" spans="2:36" ht="12" thickBot="1" x14ac:dyDescent="0.25">
      <c r="B47" s="670"/>
      <c r="C47" s="677"/>
      <c r="D47" s="1420"/>
      <c r="E47" s="1410"/>
      <c r="F47" s="1410"/>
      <c r="G47" s="89" t="str">
        <f>IF(F47=1,"",IF(D47="","",IF(F47=2,I47*VLOOKUP($C$43,'DB additional information '!$X$4:$AB$25,4,FALSE)/100,VLOOKUP(D47,'DB animal categories'!$C$81:$AH$90,8,FALSE)*VLOOKUP(D47,'DB animal categories'!$C$81:$AC$90,9,FALSE)/100*(1-(VLOOKUP(D47,'DB animal categories'!$C$81:$AH$90,10,FALSE)/100))/('DB additional information '!$K$10/100)/1000*E47)))</f>
        <v/>
      </c>
      <c r="H47" s="89" t="str">
        <f>IF(F47=1,"",IF(D47="","",IF(F47=2,I47-G47,G47/'DB additional information '!$M$10)))</f>
        <v/>
      </c>
      <c r="I47" s="122" t="str">
        <f>IF(F47=1,E47*VLOOKUP(D47,'DB animal categories'!$C$81:$AN$90,28,FALSE),IF(D47="","",IF(F47=2,VLOOKUP(D47,'DB animal categories'!$C$81:$AH$90,14,FALSE)*E47,G47+H47)))</f>
        <v/>
      </c>
      <c r="J47" s="122" t="str">
        <f>IF(F47=1,VLOOKUP(D47,'DB animal categories'!$C$81:$AN$90,38,FALSE),IF(F47="","",IF(D47="","",IF(F47=2,VLOOKUP(D47,'DB animal categories'!$C$81:$AN$90,15,FALSE),(G47*'DB additional information '!$K$10/100+H47*'DB additional information '!$L$10/100)/I47*100))))</f>
        <v/>
      </c>
      <c r="K47" s="71" t="str">
        <f>IF(F47=1,"",IF(F47="","",IF(D47="","",IF(F47=2,M47-L47,(VLOOKUP(D47,'DB animal categories'!$C$81:$AH$90,8,FALSE)*VLOOKUP(D47,'DB animal categories'!$C$81:$AH$90,11,FALSE)/6.25/1000/1000)*E47*(1-'DB additional information '!$F$56/100)))))</f>
        <v/>
      </c>
      <c r="L47" s="71" t="str">
        <f>IF(F47=1,"",IF(F47="","",IF(D47="","",IF(F47=2,M47*'DB additional information '!$N$10/100,((VLOOKUP(D47,'DB animal categories'!$C$81:$AH$90,8,FALSE)*VLOOKUP(D47,'DB animal categories'!$C$81:$AH$90,11,FALSE)/6.25/1000/1000-'DB additional information '!$F$53*VLOOKUP(D47,'DB animal categories'!$C$81:$AH$90,7,FALSE)/1000/1000)*E47-K47)))))</f>
        <v/>
      </c>
      <c r="M47" s="122" t="str">
        <f>IF(F47=1,0,IF(F47="","",IF(D47="","",IF(F47=2,VLOOKUP(D47,'DB animal categories'!$C$81:$AH$90,18,FALSE)*E47/1000,K47+L47))))</f>
        <v/>
      </c>
      <c r="N47" s="123" t="str">
        <f>IF(D47="","",IF(F47="","",IF(F47=2,P47-O47,(VLOOKUP(D47,'DB animal categories'!$C$81:$AH$90,8,FALSE)*VLOOKUP(D47,'DB animal categories'!$C$81:$AH$90,12,FALSE)/1000/1000)*E47*(1-'DB additional information '!$F$57/100))))</f>
        <v/>
      </c>
      <c r="O47" s="123" t="str">
        <f>IF(D47="","",IF(F47="","",IF(F47=2,P47*'DB additional information '!$O$10/100,(VLOOKUP(D47,'DB animal categories'!$C$81:$AH$90,8,FALSE)*VLOOKUP(D47,'DB animal categories'!$C$81:$AH$90,12,FALSE)/1000/1000-'DB additional information '!$F$54*VLOOKUP(D47,'DB animal categories'!$C$81:$AH$90,7,FALSE)/1000/1000)*E47-N47)))</f>
        <v/>
      </c>
      <c r="P47" s="122" t="str">
        <f>IF(F47="","",IF(D47="","",IF(F47=2,E47*VLOOKUP(D47,'DB animal categories'!$C$81:$AH$90,21,FALSE)/1000,N47+O47)))</f>
        <v/>
      </c>
      <c r="Q47" s="123" t="str">
        <f>IF(F47="","",IF(D47="","",IF(F47=2,S47-R47,(VLOOKUP(D47,'DB animal categories'!$C$81:$AH$90,8,FALSE)*VLOOKUP(D47,'DB animal categories'!$C$81:$AH$90,13,FALSE)/1000/1000)*E47*(1-'DB additional information '!$F$58/100))))</f>
        <v/>
      </c>
      <c r="R47" s="123" t="str">
        <f>IF(F47="","",IF(D47="","",IF(F47=2,S47*'DB additional information '!$P$11/100,(VLOOKUP(D47,'DB animal categories'!$C$81:$AH$90,8,FALSE)*VLOOKUP(D47,'DB animal categories'!$C$81:$AH$90,13,FALSE)/1000/1000-'DB additional information '!$F$55*VLOOKUP(D47,'DB animal categories'!$C$81:$AH$90,7,FALSE)/1000/1000)*E47-Q47)))</f>
        <v/>
      </c>
      <c r="S47" s="122" t="str">
        <f>IF(F47="","",IF(D47="","",IF(F47=2,E47*VLOOKUP(D47,'DB animal categories'!$C$81:$AH$90,24,FALSE)/1000,Q47+R47)))</f>
        <v/>
      </c>
      <c r="T47" s="122" t="str">
        <f>IF(D47="","",IF(F47="","",I47/VLOOKUP(D47,'DB animal categories'!$C$81:$AH$90,27,FALSE)*(VLOOKUP(D47,'DB animal categories'!$C$81:$AH$90,25,FALSE)*VLOOKUP(D47,'DB animal categories'!$C$81:$AH$90,26,FALSE)/24)))</f>
        <v/>
      </c>
      <c r="U47" s="122" t="str">
        <f>IF(F47=1,"",IF(D47="","",IF(F47="","",M47/VLOOKUP(D47,'DB animal categories'!$C$81:$AH$90,27,FALSE)*(VLOOKUP(D47,'DB animal categories'!$C$81:$AH$90,25,FALSE)*VLOOKUP(D47,'DB animal categories'!$C$81:$AH$90,26,FALSE)/24))))</f>
        <v/>
      </c>
      <c r="V47" s="608">
        <f>IF(K47="",0,L47/M47*U47*'DB technologies'!$AT$11/100)</f>
        <v>0</v>
      </c>
      <c r="W47" s="608">
        <f>IF(K47="",0,(U47-V47)*'DB technologies'!$AU$11/100)</f>
        <v>0</v>
      </c>
      <c r="X47" s="122" t="str">
        <f>IF(F47=1,"",IF(D47="","",IF(F47="","",P47/VLOOKUP(D47,'DB animal categories'!$C$81:$AH$90,27,FALSE)*(VLOOKUP(D47,'DB animal categories'!$C$81:$AH$90,25,FALSE)*VLOOKUP(D47,'DB animal categories'!$C$81:$AH$90,26,FALSE)/24))))</f>
        <v/>
      </c>
      <c r="Y47" s="124" t="str">
        <f>IF(F47=1,"",IF(D47="","",IF(F47="","",S47/VLOOKUP(D47,'DB animal categories'!$C$81:$AH$90,27,FALSE)*(VLOOKUP(D47,'DB animal categories'!$C$81:$AH$90,25,FALSE)*VLOOKUP(D47,'DB animal categories'!$C$81:$AH$90,26,FALSE)/24))))</f>
        <v/>
      </c>
    </row>
    <row r="48" spans="2:36" x14ac:dyDescent="0.2">
      <c r="B48" s="670"/>
      <c r="C48" s="666" t="s">
        <v>31</v>
      </c>
      <c r="D48" s="1408"/>
      <c r="E48" s="1421"/>
      <c r="F48" s="1402"/>
      <c r="G48" s="59" t="str">
        <f>IF(F48=1,"",IF(D48="","",IF(F48=2,I48*VLOOKUP($C$48,'DB additional information '!$X$4:$AB$25,4,FALSE)/100,VLOOKUP(D48,'DB animal categories'!$C$91:$AH$100,8,FALSE)*VLOOKUP(D48,'DB animal categories'!$C$91:$AC$100,9,FALSE)/100*(1-(VLOOKUP(D48,'DB animal categories'!$C$91:$AH$100,10,FALSE)/100))/('DB additional information '!$K$11/100)/1000*E48)))</f>
        <v/>
      </c>
      <c r="H48" s="59" t="str">
        <f>IF(F48=1,"",IF(D48="","",IF(F48=2,I48-G48,G48/'DB additional information '!$M$11)))</f>
        <v/>
      </c>
      <c r="I48" s="66" t="str">
        <f>IF(F48=1,E48*VLOOKUP(D48,'DB animal categories'!$C$91:$AN$100,28,FALSE),IF(D48="","",IF(F48=2,VLOOKUP(D48,'DB animal categories'!$C$91:$AH$100,14,FALSE)*E48,G48+H48)))</f>
        <v/>
      </c>
      <c r="J48" s="66" t="str">
        <f>IF(F48=1,VLOOKUP(D48,'DB animal categories'!$C$91:$AN$100,38,FALSE),IF(F48="","",IF(D48="","",IF(F48=2,VLOOKUP(D48,'DB animal categories'!$C$91:$AN$100,15,FALSE),(G48*'DB additional information '!$K$11/100+H48*'DB additional information '!$L$11/100)/I48*100))))</f>
        <v/>
      </c>
      <c r="K48" s="74" t="str">
        <f>IF(F48=1,"",IF(F48="","",IF(D48="","",IF(F48=2,M48-L48,(VLOOKUP(D48,'DB animal categories'!$C$91:$AH$100,8,FALSE)*VLOOKUP(D48,'DB animal categories'!$C$91:$AH$100,11,FALSE)/6.25/1000/1000)*E48*(1-'DB additional information '!$F$62/100)))))</f>
        <v/>
      </c>
      <c r="L48" s="74" t="str">
        <f>IF(F48=1,"",IF(F48="","",IF(D48="","",IF(F48=2,M48*'DB additional information '!$N$11/100,((VLOOKUP(D48,'DB animal categories'!$C$91:$AH$100,8,FALSE)*VLOOKUP(D48,'DB animal categories'!$C$91:$AH$100,11,FALSE)/6.25/1000/1000-'DB additional information '!$F$59*VLOOKUP(D48,'DB animal categories'!$C$91:$AH$100,7,FALSE)/1000/1000)*E48-K48)))))</f>
        <v/>
      </c>
      <c r="M48" s="604" t="str">
        <f>IF(F48=1,0,IF(F48="","",IF(D48="","",IF(F48=2,VLOOKUP(D48,'DB animal categories'!$C$91:$AH$100,18,FALSE)*E48/1000,K48+L48))))</f>
        <v/>
      </c>
      <c r="N48" s="74" t="str">
        <f>IF(D48="","",IF(F48="","",IF(F48=2,P48-O48,(VLOOKUP(D48,'DB animal categories'!$C$91:$AH$100,8,FALSE)*VLOOKUP(D48,'DB animal categories'!$C$91:$AH$100,12,FALSE)/1000/1000)*E48*(1-'DB additional information '!$F$63/100))))</f>
        <v/>
      </c>
      <c r="O48" s="74" t="str">
        <f>IF(D48="","",IF(F48="","",IF(F48=2,P48*'DB additional information '!$O$11/100,(VLOOKUP(D48,'DB animal categories'!$C$91:$AH$100,8,FALSE)*VLOOKUP(D48,'DB animal categories'!$C$91:$AH$100,12,FALSE)/1000/1000-'DB additional information '!$F$60*VLOOKUP(D48,'DB animal categories'!$C$91:$AH$100,7,FALSE)/1000/1000)*E48-N48)))</f>
        <v/>
      </c>
      <c r="P48" s="66" t="str">
        <f>IF(F48="","",IF(D48="","",IF(F48=2,E48*VLOOKUP(D48,'DB animal categories'!$C$91:$AH$100,21,FALSE)/1000,N48+O48)))</f>
        <v/>
      </c>
      <c r="Q48" s="74" t="str">
        <f>IF(F48="","",IF(D48="","",IF(F48=2,S48-R48,(VLOOKUP(D48,'DB animal categories'!$C$91:$AH$100,8,FALSE)*VLOOKUP(D48,'DB animal categories'!$C$91:$AH$100,13,FALSE)/1000/1000)*E48*(1-'DB additional information '!$F$64/100))))</f>
        <v/>
      </c>
      <c r="R48" s="74" t="str">
        <f>IF(F48="","",IF(D48="","",IF(F48=2,S48*'DB additional information '!$P$11/100,(VLOOKUP(D48,'DB animal categories'!$C$91:$AH$100,8,FALSE)*VLOOKUP(D48,'DB animal categories'!$C$91:$AH$100,13,FALSE)/1000/1000-'DB additional information '!$F$61*VLOOKUP(D48,'DB animal categories'!$C$91:$AH$100,7,FALSE)/1000/1000)*E48-Q48)))</f>
        <v/>
      </c>
      <c r="S48" s="66" t="str">
        <f>IF(F48="","",IF(D48="","",IF(F48=2,E48*VLOOKUP(D48,'DB animal categories'!$C$91:$AH$100,24,FALSE)/1000,Q48+R48)))</f>
        <v/>
      </c>
      <c r="T48" s="66" t="str">
        <f>IF(D48="","",IF(F48="","",I48/VLOOKUP(D48,'DB animal categories'!$C$91:$AH$100,27,FALSE)*(VLOOKUP(D48,'DB animal categories'!$C$91:$AH$100,25,FALSE)*VLOOKUP(D48,'DB animal categories'!$C$91:$AH$100,26,FALSE)/24)))</f>
        <v/>
      </c>
      <c r="U48" s="66" t="str">
        <f>IF(F48=1,"",IF(D48="","",IF(F48="","",M48/VLOOKUP(D48,'DB animal categories'!$C$91:$AH$100,27,FALSE)*(VLOOKUP(D48,'DB animal categories'!$C$91:$AH$100,25,FALSE)*VLOOKUP(D48,'DB animal categories'!$C$91:$AH$100,26,FALSE)/24))))</f>
        <v/>
      </c>
      <c r="V48" s="607">
        <f>IF(K48="",0,L48/M48*U48*'DB technologies'!$AT$11/100)</f>
        <v>0</v>
      </c>
      <c r="W48" s="607">
        <f>IF(K48="",0,(U48-V48)*'DB technologies'!$AU$11/100)</f>
        <v>0</v>
      </c>
      <c r="X48" s="66" t="str">
        <f>IF(F48=1,"",IF(D48="","",IF(F48="","",P48/VLOOKUP(D48,'DB animal categories'!$C$91:$AH$100,27,FALSE)*(VLOOKUP(D48,'DB animal categories'!$C$91:$AH$100,25,FALSE)*VLOOKUP(D48,'DB animal categories'!$C$91:$AH$100,26,FALSE)/24))))</f>
        <v/>
      </c>
      <c r="Y48" s="77" t="str">
        <f>IF(F48=1,"",IF(D48="","",IF(F48="","",S48/VLOOKUP(D48,'DB animal categories'!$C$91:$AH$100,27,FALSE)*(VLOOKUP(D48,'DB animal categories'!$C$91:$AH$100,25,FALSE)*VLOOKUP(D48,'DB animal categories'!$C$91:$AH$100,26,FALSE)/24))))</f>
        <v/>
      </c>
    </row>
    <row r="49" spans="2:30" x14ac:dyDescent="0.2">
      <c r="B49" s="670"/>
      <c r="C49" s="667"/>
      <c r="D49" s="1404"/>
      <c r="E49" s="1411"/>
      <c r="F49" s="1405"/>
      <c r="G49" s="59" t="str">
        <f>IF(F49=1,"",IF(D49="","",IF(F49=2,I49*VLOOKUP($C$48,'DB additional information '!$X$4:$AB$25,4,FALSE)/100,VLOOKUP(D49,'DB animal categories'!$C$91:$AH$100,8,FALSE)*VLOOKUP(D49,'DB animal categories'!$C$91:$AC$100,9,FALSE)/100*(1-(VLOOKUP(D49,'DB animal categories'!$C$91:$AH$100,10,FALSE)/100))/('DB additional information '!$K$11/100)/1000*E49)))</f>
        <v/>
      </c>
      <c r="H49" s="59" t="str">
        <f>IF(F49=1,"",IF(D49="","",IF(F49=2,I49-G49,G49/'DB additional information '!$M$11)))</f>
        <v/>
      </c>
      <c r="I49" s="58" t="str">
        <f>IF(F49=1,E49*VLOOKUP(D49,'DB animal categories'!$C$91:$AN$100,28,FALSE),IF(D49="","",IF(F49=2,VLOOKUP(D49,'DB animal categories'!$C$91:$AH$100,14,FALSE)*E49,G49+H49)))</f>
        <v/>
      </c>
      <c r="J49" s="58" t="str">
        <f>IF(F49=1,VLOOKUP(D49,'DB animal categories'!$C$91:$AN$100,38,FALSE),IF(F49="","",IF(D49="","",IF(F49=2,VLOOKUP(D49,'DB animal categories'!$C$91:$AN$100,15,FALSE),(G49*'DB additional information '!$K$11/100+H49*'DB additional information '!$L$11/100)/I49*100))))</f>
        <v/>
      </c>
      <c r="K49" s="68" t="str">
        <f>IF(F49=1,"",IF(F49="","",IF(D49="","",IF(F49=2,M49-L49,(VLOOKUP(D49,'DB animal categories'!$C$91:$AH$100,8,FALSE)*VLOOKUP(D49,'DB animal categories'!$C$91:$AH$100,11,FALSE)/6.25/1000/1000)*E49*(1-'DB additional information '!$F$62/100)))))</f>
        <v/>
      </c>
      <c r="L49" s="68" t="str">
        <f>IF(F49=1,"",IF(F49="","",IF(D49="","",IF(F49=2,M49*'DB additional information '!$N$11/100,((VLOOKUP(D49,'DB animal categories'!$C$91:$AH$100,8,FALSE)*VLOOKUP(D49,'DB animal categories'!$C$91:$AH$100,11,FALSE)/6.25/1000/1000-'DB additional information '!$F$59*VLOOKUP(D49,'DB animal categories'!$C$91:$AH$100,7,FALSE)/1000/1000)*E49-K49)))))</f>
        <v/>
      </c>
      <c r="M49" s="58" t="str">
        <f>IF(F49=1,0,IF(F49="","",IF(D49="","",IF(F49=2,VLOOKUP(D49,'DB animal categories'!$C$91:$AH$100,18,FALSE)*E49/1000,K49+L49))))</f>
        <v/>
      </c>
      <c r="N49" s="68" t="str">
        <f>IF(D49="","",IF(F49="","",IF(F49=2,P49-O49,(VLOOKUP(D49,'DB animal categories'!$C$91:$AH$100,8,FALSE)*VLOOKUP(D49,'DB animal categories'!$C$91:$AH$100,12,FALSE)/1000/1000)*E49*(1-'DB additional information '!$F$63/100))))</f>
        <v/>
      </c>
      <c r="O49" s="68" t="str">
        <f>IF(D49="","",IF(F49="","",IF(F49=2,P49*'DB additional information '!$O$11/100,(VLOOKUP(D49,'DB animal categories'!$C$91:$AH$100,8,FALSE)*VLOOKUP(D49,'DB animal categories'!$C$91:$AH$100,12,FALSE)/1000/1000-'DB additional information '!$F$60*VLOOKUP(D49,'DB animal categories'!$C$91:$AH$100,7,FALSE)/1000/1000)*E49-N49)))</f>
        <v/>
      </c>
      <c r="P49" s="58" t="str">
        <f>IF(F49="","",IF(D49="","",IF(F49=2,E49*VLOOKUP(D49,'DB animal categories'!$C$91:$AH$100,21,FALSE)/1000,N49+O49)))</f>
        <v/>
      </c>
      <c r="Q49" s="68" t="str">
        <f>IF(F49="","",IF(D49="","",IF(F49=2,S49-R49,(VLOOKUP(D49,'DB animal categories'!$C$91:$AH$100,8,FALSE)*VLOOKUP(D49,'DB animal categories'!$C$91:$AH$100,13,FALSE)/1000/1000)*E49*(1-'DB additional information '!$F$64/100))))</f>
        <v/>
      </c>
      <c r="R49" s="68" t="str">
        <f>IF(F49="","",IF(D49="","",IF(F49=2,S49*'DB additional information '!$P$11/100,(VLOOKUP(D49,'DB animal categories'!$C$91:$AH$100,8,FALSE)*VLOOKUP(D49,'DB animal categories'!$C$91:$AH$100,13,FALSE)/1000/1000-'DB additional information '!$F$61*VLOOKUP(D49,'DB animal categories'!$C$91:$AH$100,7,FALSE)/1000/1000)*E49-Q49)))</f>
        <v/>
      </c>
      <c r="S49" s="58" t="str">
        <f>IF(F49="","",IF(D49="","",IF(F49=2,E49*VLOOKUP(D49,'DB animal categories'!$C$91:$AH$100,24,FALSE)/1000,Q49+R49)))</f>
        <v/>
      </c>
      <c r="T49" s="58" t="str">
        <f>IF(D49="","",IF(F49="","",I49/VLOOKUP(D49,'DB animal categories'!$C$91:$AH$100,27,FALSE)*(VLOOKUP(D49,'DB animal categories'!$C$91:$AH$100,25,FALSE)*VLOOKUP(D49,'DB animal categories'!$C$91:$AH$100,26,FALSE)/24)))</f>
        <v/>
      </c>
      <c r="U49" s="58" t="str">
        <f>IF(F49=1,"",IF(D49="","",IF(F49="","",M49/VLOOKUP(D49,'DB animal categories'!$C$91:$AH$100,27,FALSE)*(VLOOKUP(D49,'DB animal categories'!$C$91:$AH$100,25,FALSE)*VLOOKUP(D49,'DB animal categories'!$C$91:$AH$100,26,FALSE)/24))))</f>
        <v/>
      </c>
      <c r="V49" s="606">
        <f>IF(K49="",0,L49/M49*U49*'DB technologies'!$AT$11/100)</f>
        <v>0</v>
      </c>
      <c r="W49" s="606">
        <f>IF(K49="",0,(U49-V49)*'DB technologies'!$AU$11/100)</f>
        <v>0</v>
      </c>
      <c r="X49" s="58" t="str">
        <f>IF(F49=1,"",IF(D49="","",IF(F49="","",P49/VLOOKUP(D49,'DB animal categories'!$C$91:$AH$100,27,FALSE)*(VLOOKUP(D49,'DB animal categories'!$C$91:$AH$100,25,FALSE)*VLOOKUP(D49,'DB animal categories'!$C$91:$AH$100,26,FALSE)/24))))</f>
        <v/>
      </c>
      <c r="Y49" s="63" t="str">
        <f>IF(F49=1,"",IF(D49="","",IF(F49="","",S49/VLOOKUP(D49,'DB animal categories'!$C$91:$AH$100,27,FALSE)*(VLOOKUP(D49,'DB animal categories'!$C$91:$AH$100,25,FALSE)*VLOOKUP(D49,'DB animal categories'!$C$91:$AH$100,26,FALSE)/24))))</f>
        <v/>
      </c>
    </row>
    <row r="50" spans="2:30" x14ac:dyDescent="0.2">
      <c r="B50" s="670"/>
      <c r="C50" s="667"/>
      <c r="D50" s="1404"/>
      <c r="E50" s="1411"/>
      <c r="F50" s="1405"/>
      <c r="G50" s="59" t="str">
        <f>IF(F50=1,"",IF(D50="","",IF(F50=2,I50*VLOOKUP($C$48,'DB additional information '!$X$4:$AB$25,4,FALSE)/100,VLOOKUP(D50,'DB animal categories'!$C$91:$AH$100,8,FALSE)*VLOOKUP(D50,'DB animal categories'!$C$91:$AC$100,9,FALSE)/100*(1-(VLOOKUP(D50,'DB animal categories'!$C$91:$AH$100,10,FALSE)/100))/('DB additional information '!$K$11/100)/1000*E50)))</f>
        <v/>
      </c>
      <c r="H50" s="59" t="str">
        <f>IF(F50=1,"",IF(D50="","",IF(F50=2,I50-G50,G50/'DB additional information '!$M$11)))</f>
        <v/>
      </c>
      <c r="I50" s="58" t="str">
        <f>IF(F50=1,E50*VLOOKUP(D50,'DB animal categories'!$C$91:$AN$100,28,FALSE),IF(D50="","",IF(F50=2,VLOOKUP(D50,'DB animal categories'!$C$91:$AH$100,14,FALSE)*E50,G50+H50)))</f>
        <v/>
      </c>
      <c r="J50" s="58" t="str">
        <f>IF(F50=1,VLOOKUP(D50,'DB animal categories'!$C$91:$AN$100,38,FALSE),IF(F50="","",IF(D50="","",IF(F50=2,VLOOKUP(D50,'DB animal categories'!$C$91:$AN$100,15,FALSE),(G50*'DB additional information '!$K$11/100+H50*'DB additional information '!$L$11/100)/I50*100))))</f>
        <v/>
      </c>
      <c r="K50" s="68" t="str">
        <f>IF(F50=1,"",IF(F50="","",IF(D50="","",IF(F50=2,M50-L50,(VLOOKUP(D50,'DB animal categories'!$C$91:$AH$100,8,FALSE)*VLOOKUP(D50,'DB animal categories'!$C$91:$AH$100,11,FALSE)/6.25/1000/1000)*E50*(1-'DB additional information '!$F$62/100)))))</f>
        <v/>
      </c>
      <c r="L50" s="68" t="str">
        <f>IF(F50=1,"",IF(F50="","",IF(D50="","",IF(F50=2,M50*'DB additional information '!$N$11/100,((VLOOKUP(D50,'DB animal categories'!$C$91:$AH$100,8,FALSE)*VLOOKUP(D50,'DB animal categories'!$C$91:$AH$100,11,FALSE)/6.25/1000/1000-'DB additional information '!$F$59*VLOOKUP(D50,'DB animal categories'!$C$91:$AH$100,7,FALSE)/1000/1000)*E50-K50)))))</f>
        <v/>
      </c>
      <c r="M50" s="58" t="str">
        <f>IF(F50=1,0,IF(F50="","",IF(D50="","",IF(F50=2,VLOOKUP(D50,'DB animal categories'!$C$91:$AH$100,18,FALSE)*E50/1000,K50+L50))))</f>
        <v/>
      </c>
      <c r="N50" s="68" t="str">
        <f>IF(D50="","",IF(F50="","",IF(F50=2,P50-O50,(VLOOKUP(D50,'DB animal categories'!$C$91:$AH$100,8,FALSE)*VLOOKUP(D50,'DB animal categories'!$C$91:$AH$100,12,FALSE)/1000/1000)*E50*(1-'DB additional information '!$F$63/100))))</f>
        <v/>
      </c>
      <c r="O50" s="68" t="str">
        <f>IF(D50="","",IF(F50="","",IF(F50=2,P50*'DB additional information '!$O$11/100,(VLOOKUP(D50,'DB animal categories'!$C$91:$AH$100,8,FALSE)*VLOOKUP(D50,'DB animal categories'!$C$91:$AH$100,12,FALSE)/1000/1000-'DB additional information '!$F$60*VLOOKUP(D50,'DB animal categories'!$C$91:$AH$100,7,FALSE)/1000/1000)*E50-N50)))</f>
        <v/>
      </c>
      <c r="P50" s="58" t="str">
        <f>IF(F50="","",IF(D50="","",IF(F50=2,E50*VLOOKUP(D50,'DB animal categories'!$C$91:$AH$100,21,FALSE)/1000,N50+O50)))</f>
        <v/>
      </c>
      <c r="Q50" s="68" t="str">
        <f>IF(F50="","",IF(D50="","",IF(F50=2,S50-R50,(VLOOKUP(D50,'DB animal categories'!$C$91:$AH$100,8,FALSE)*VLOOKUP(D50,'DB animal categories'!$C$91:$AH$100,13,FALSE)/1000/1000)*E50*(1-'DB additional information '!$F$64/100))))</f>
        <v/>
      </c>
      <c r="R50" s="68" t="str">
        <f>IF(F50="","",IF(D50="","",IF(F50=2,S50*'DB additional information '!$P$11/100,(VLOOKUP(D50,'DB animal categories'!$C$91:$AH$100,8,FALSE)*VLOOKUP(D50,'DB animal categories'!$C$91:$AH$100,13,FALSE)/1000/1000-'DB additional information '!$F$61*VLOOKUP(D50,'DB animal categories'!$C$91:$AH$100,7,FALSE)/1000/1000)*E50-Q50)))</f>
        <v/>
      </c>
      <c r="S50" s="58" t="str">
        <f>IF(F50="","",IF(D50="","",IF(F50=2,E50*VLOOKUP(D50,'DB animal categories'!$C$91:$AH$100,24,FALSE)/1000,Q50+R50)))</f>
        <v/>
      </c>
      <c r="T50" s="58" t="str">
        <f>IF(D50="","",IF(F50="","",I50/VLOOKUP(D50,'DB animal categories'!$C$91:$AH$100,27,FALSE)*(VLOOKUP(D50,'DB animal categories'!$C$91:$AH$100,25,FALSE)*VLOOKUP(D50,'DB animal categories'!$C$91:$AH$100,26,FALSE)/24)))</f>
        <v/>
      </c>
      <c r="U50" s="58" t="str">
        <f>IF(F50=1,"",IF(D50="","",IF(F50="","",M50/VLOOKUP(D50,'DB animal categories'!$C$91:$AH$100,27,FALSE)*(VLOOKUP(D50,'DB animal categories'!$C$91:$AH$100,25,FALSE)*VLOOKUP(D50,'DB animal categories'!$C$91:$AH$100,26,FALSE)/24))))</f>
        <v/>
      </c>
      <c r="V50" s="606">
        <f>IF(K50="",0,L50/M50*U50*'DB technologies'!$AT$11/100)</f>
        <v>0</v>
      </c>
      <c r="W50" s="606">
        <f>IF(K50="",0,(U50-V50)*'DB technologies'!$AU$11/100)</f>
        <v>0</v>
      </c>
      <c r="X50" s="58" t="str">
        <f>IF(F50=1,"",IF(D50="","",IF(F50="","",P50/VLOOKUP(D50,'DB animal categories'!$C$91:$AH$100,27,FALSE)*(VLOOKUP(D50,'DB animal categories'!$C$91:$AH$100,25,FALSE)*VLOOKUP(D50,'DB animal categories'!$C$91:$AH$100,26,FALSE)/24))))</f>
        <v/>
      </c>
      <c r="Y50" s="63" t="str">
        <f>IF(F50=1,"",IF(D50="","",IF(F50="","",S50/VLOOKUP(D50,'DB animal categories'!$C$91:$AH$100,27,FALSE)*(VLOOKUP(D50,'DB animal categories'!$C$91:$AH$100,25,FALSE)*VLOOKUP(D50,'DB animal categories'!$C$91:$AH$100,26,FALSE)/24))))</f>
        <v/>
      </c>
    </row>
    <row r="51" spans="2:30" x14ac:dyDescent="0.2">
      <c r="B51" s="670"/>
      <c r="C51" s="667"/>
      <c r="D51" s="1404"/>
      <c r="E51" s="1411"/>
      <c r="F51" s="1405"/>
      <c r="G51" s="59" t="str">
        <f>IF(F51=1,"",IF(D51="","",IF(F51=2,I51*VLOOKUP($C$48,'DB additional information '!$X$4:$AB$25,4,FALSE)/100,VLOOKUP(D51,'DB animal categories'!$C$91:$AH$100,8,FALSE)*VLOOKUP(D51,'DB animal categories'!$C$91:$AC$100,9,FALSE)/100*(1-(VLOOKUP(D51,'DB animal categories'!$C$91:$AH$100,10,FALSE)/100))/('DB additional information '!$K$11/100)/1000*E51)))</f>
        <v/>
      </c>
      <c r="H51" s="59" t="str">
        <f>IF(F51=1,"",IF(D51="","",IF(F51=2,I51-G51,G51/'DB additional information '!$M$11)))</f>
        <v/>
      </c>
      <c r="I51" s="58" t="str">
        <f>IF(F51=1,E51*VLOOKUP(D51,'DB animal categories'!$C$91:$AN$100,28,FALSE),IF(D51="","",IF(F51=2,VLOOKUP(D51,'DB animal categories'!$C$91:$AH$100,14,FALSE)*E51,G51+H51)))</f>
        <v/>
      </c>
      <c r="J51" s="58" t="str">
        <f>IF(F51=1,VLOOKUP(D51,'DB animal categories'!$C$91:$AN$100,38,FALSE),IF(F51="","",IF(D51="","",IF(F51=2,VLOOKUP(D51,'DB animal categories'!$C$91:$AN$100,15,FALSE),(G51*'DB additional information '!$K$11/100+H51*'DB additional information '!$L$11/100)/I51*100))))</f>
        <v/>
      </c>
      <c r="K51" s="68" t="str">
        <f>IF(F51=1,"",IF(F51="","",IF(D51="","",IF(F51=2,M51-L51,(VLOOKUP(D51,'DB animal categories'!$C$91:$AH$100,8,FALSE)*VLOOKUP(D51,'DB animal categories'!$C$91:$AH$100,11,FALSE)/6.25/1000/1000)*E51*(1-'DB additional information '!$F$62/100)))))</f>
        <v/>
      </c>
      <c r="L51" s="68" t="str">
        <f>IF(F51=1,"",IF(F51="","",IF(D51="","",IF(F51=2,M51*'DB additional information '!$N$11/100,((VLOOKUP(D51,'DB animal categories'!$C$91:$AH$100,8,FALSE)*VLOOKUP(D51,'DB animal categories'!$C$91:$AH$100,11,FALSE)/6.25/1000/1000-'DB additional information '!$F$59*VLOOKUP(D51,'DB animal categories'!$C$91:$AH$100,7,FALSE)/1000/1000)*E51-K51)))))</f>
        <v/>
      </c>
      <c r="M51" s="58" t="str">
        <f>IF(F51=1,0,IF(F51="","",IF(D51="","",IF(F51=2,VLOOKUP(D51,'DB animal categories'!$C$91:$AH$100,18,FALSE)*E51/1000,K51+L51))))</f>
        <v/>
      </c>
      <c r="N51" s="68" t="str">
        <f>IF(D51="","",IF(F51="","",IF(F51=2,P51-O51,(VLOOKUP(D51,'DB animal categories'!$C$91:$AH$100,8,FALSE)*VLOOKUP(D51,'DB animal categories'!$C$91:$AH$100,12,FALSE)/1000/1000)*E51*(1-'DB additional information '!$F$63/100))))</f>
        <v/>
      </c>
      <c r="O51" s="68" t="str">
        <f>IF(D51="","",IF(F51="","",IF(F51=2,P51*'DB additional information '!$O$11/100,(VLOOKUP(D51,'DB animal categories'!$C$91:$AH$100,8,FALSE)*VLOOKUP(D51,'DB animal categories'!$C$91:$AH$100,12,FALSE)/1000/1000-'DB additional information '!$F$60*VLOOKUP(D51,'DB animal categories'!$C$91:$AH$100,7,FALSE)/1000/1000)*E51-N51)))</f>
        <v/>
      </c>
      <c r="P51" s="58" t="str">
        <f>IF(F51="","",IF(D51="","",IF(F51=2,E51*VLOOKUP(D51,'DB animal categories'!$C$91:$AH$100,21,FALSE)/1000,N51+O51)))</f>
        <v/>
      </c>
      <c r="Q51" s="68" t="str">
        <f>IF(F51="","",IF(D51="","",IF(F51=2,S51-R51,(VLOOKUP(D51,'DB animal categories'!$C$91:$AH$100,8,FALSE)*VLOOKUP(D51,'DB animal categories'!$C$91:$AH$100,13,FALSE)/1000/1000)*E51*(1-'DB additional information '!$F$64/100))))</f>
        <v/>
      </c>
      <c r="R51" s="68" t="str">
        <f>IF(F51="","",IF(D51="","",IF(F51=2,S51*'DB additional information '!$P$11/100,(VLOOKUP(D51,'DB animal categories'!$C$91:$AH$100,8,FALSE)*VLOOKUP(D51,'DB animal categories'!$C$91:$AH$100,13,FALSE)/1000/1000-'DB additional information '!$F$61*VLOOKUP(D51,'DB animal categories'!$C$91:$AH$100,7,FALSE)/1000/1000)*E51-Q51)))</f>
        <v/>
      </c>
      <c r="S51" s="58" t="str">
        <f>IF(F51="","",IF(D51="","",IF(F51=2,E51*VLOOKUP(D51,'DB animal categories'!$C$91:$AH$100,24,FALSE)/1000,Q51+R51)))</f>
        <v/>
      </c>
      <c r="T51" s="58" t="str">
        <f>IF(D51="","",IF(F51="","",I51/VLOOKUP(D51,'DB animal categories'!$C$91:$AH$100,27,FALSE)*(VLOOKUP(D51,'DB animal categories'!$C$91:$AH$100,25,FALSE)*VLOOKUP(D51,'DB animal categories'!$C$91:$AH$100,26,FALSE)/24)))</f>
        <v/>
      </c>
      <c r="U51" s="58" t="str">
        <f>IF(F51=1,"",IF(D51="","",IF(F51="","",M51/VLOOKUP(D51,'DB animal categories'!$C$91:$AH$100,27,FALSE)*(VLOOKUP(D51,'DB animal categories'!$C$91:$AH$100,25,FALSE)*VLOOKUP(D51,'DB animal categories'!$C$91:$AH$100,26,FALSE)/24))))</f>
        <v/>
      </c>
      <c r="V51" s="606">
        <f>IF(K51="",0,L51/M51*U51*'DB technologies'!$AT$11/100)</f>
        <v>0</v>
      </c>
      <c r="W51" s="606">
        <f>IF(K51="",0,(U51-V51)*'DB technologies'!$AU$11/100)</f>
        <v>0</v>
      </c>
      <c r="X51" s="58" t="str">
        <f>IF(F51=1,"",IF(D51="","",IF(F51="","",P51/VLOOKUP(D51,'DB animal categories'!$C$91:$AH$100,27,FALSE)*(VLOOKUP(D51,'DB animal categories'!$C$91:$AH$100,25,FALSE)*VLOOKUP(D51,'DB animal categories'!$C$91:$AH$100,26,FALSE)/24))))</f>
        <v/>
      </c>
      <c r="Y51" s="63" t="str">
        <f>IF(F51=1,"",IF(D51="","",IF(F51="","",S51/VLOOKUP(D51,'DB animal categories'!$C$91:$AH$100,27,FALSE)*(VLOOKUP(D51,'DB animal categories'!$C$91:$AH$100,25,FALSE)*VLOOKUP(D51,'DB animal categories'!$C$91:$AH$100,26,FALSE)/24))))</f>
        <v/>
      </c>
    </row>
    <row r="52" spans="2:30" ht="12" thickBot="1" x14ac:dyDescent="0.25">
      <c r="B52" s="670"/>
      <c r="C52" s="668"/>
      <c r="D52" s="1409"/>
      <c r="E52" s="1412"/>
      <c r="F52" s="1410"/>
      <c r="G52" s="89" t="str">
        <f>IF(F52=1,"",IF(D52="","",IF(F52=2,I52*VLOOKUP($C$48,'DB additional information '!$X$4:$AB$25,4,FALSE)/100,VLOOKUP(D52,'DB animal categories'!$C$91:$AH$100,8,FALSE)*VLOOKUP(D52,'DB animal categories'!$C$91:$AC$100,9,FALSE)/100*(1-(VLOOKUP(D52,'DB animal categories'!$C$91:$AH$100,10,FALSE)/100))/('DB additional information '!$K$11/100)/1000*E52)))</f>
        <v/>
      </c>
      <c r="H52" s="89" t="str">
        <f>IF(F52=1,"",IF(D52="","",IF(F52=2,I52-G52,G52/'DB additional information '!$M$11)))</f>
        <v/>
      </c>
      <c r="I52" s="122" t="str">
        <f>IF(F52=1,E52*VLOOKUP(D52,'DB animal categories'!$C$91:$AN$100,28,FALSE),IF(D52="","",IF(F52=2,VLOOKUP(D52,'DB animal categories'!$C$91:$AH$100,14,FALSE)*E52,G52+H52)))</f>
        <v/>
      </c>
      <c r="J52" s="122" t="str">
        <f>IF(F52=1,VLOOKUP(D52,'DB animal categories'!$C$91:$AN$100,38,FALSE),IF(F52="","",IF(D52="","",IF(F52=2,VLOOKUP(D52,'DB animal categories'!$C$91:$AN$100,15,FALSE),(G52*'DB additional information '!$K$11/100+H52*'DB additional information '!$L$11/100)/I52*100))))</f>
        <v/>
      </c>
      <c r="K52" s="123" t="str">
        <f>IF(F52=1,"",IF(F52="","",IF(D52="","",IF(F52=2,M52-L52,(VLOOKUP(D52,'DB animal categories'!$C$91:$AH$100,8,FALSE)*VLOOKUP(D52,'DB animal categories'!$C$91:$AH$100,11,FALSE)/6.25/1000/1000)*E52*(1-'DB additional information '!$F$62/100)))))</f>
        <v/>
      </c>
      <c r="L52" s="123" t="str">
        <f>IF(F52=1,"",IF(F52="","",IF(D52="","",IF(F52=2,M52*'DB additional information '!$N$11/100,((VLOOKUP(D52,'DB animal categories'!$C$91:$AH$100,8,FALSE)*VLOOKUP(D52,'DB animal categories'!$C$91:$AH$100,11,FALSE)/6.25/1000/1000-'DB additional information '!$F$59*VLOOKUP(D52,'DB animal categories'!$C$91:$AH$100,7,FALSE)/1000/1000)*E52-K52)))))</f>
        <v/>
      </c>
      <c r="M52" s="122" t="str">
        <f>IF(F52=1,0,IF(F52="","",IF(D52="","",IF(F52=2,VLOOKUP(D52,'DB animal categories'!$C$91:$AH$100,18,FALSE)*E52/1000,K52+L52))))</f>
        <v/>
      </c>
      <c r="N52" s="123" t="str">
        <f>IF(D52="","",IF(F52="","",IF(F52=2,P52-O52,(VLOOKUP(D52,'DB animal categories'!$C$91:$AH$100,8,FALSE)*VLOOKUP(D52,'DB animal categories'!$C$91:$AH$100,12,FALSE)/1000/1000)*E52*(1-'DB additional information '!$F$63/100))))</f>
        <v/>
      </c>
      <c r="O52" s="123" t="str">
        <f>IF(D52="","",IF(F52="","",IF(F52=2,P52*'DB additional information '!$O$11/100,(VLOOKUP(D52,'DB animal categories'!$C$91:$AH$100,8,FALSE)*VLOOKUP(D52,'DB animal categories'!$C$91:$AH$100,12,FALSE)/1000/1000-'DB additional information '!$F$60*VLOOKUP(D52,'DB animal categories'!$C$91:$AH$100,7,FALSE)/1000/1000)*E52-N52)))</f>
        <v/>
      </c>
      <c r="P52" s="122" t="str">
        <f>IF(F52="","",IF(D52="","",IF(F52=2,E52*VLOOKUP(D52,'DB animal categories'!$C$91:$AH$100,21,FALSE)/1000,N52+O52)))</f>
        <v/>
      </c>
      <c r="Q52" s="123" t="str">
        <f>IF(F52="","",IF(D52="","",IF(F52=2,S52-R52,(VLOOKUP(D52,'DB animal categories'!$C$91:$AH$100,8,FALSE)*VLOOKUP(D52,'DB animal categories'!$C$91:$AH$100,13,FALSE)/1000/1000)*E52*(1-'DB additional information '!$F$64/100))))</f>
        <v/>
      </c>
      <c r="R52" s="123" t="str">
        <f>IF(F52="","",IF(D52="","",IF(F52=2,S52*'DB additional information '!$P$11/100,(VLOOKUP(D52,'DB animal categories'!$C$91:$AH$100,8,FALSE)*VLOOKUP(D52,'DB animal categories'!$C$91:$AH$100,13,FALSE)/1000/1000-'DB additional information '!$F$61*VLOOKUP(D52,'DB animal categories'!$C$91:$AH$100,7,FALSE)/1000/1000)*E52-Q52)))</f>
        <v/>
      </c>
      <c r="S52" s="122" t="str">
        <f>IF(F52="","",IF(D52="","",IF(F52=2,E52*VLOOKUP(D52,'DB animal categories'!$C$91:$AH$100,24,FALSE)/1000,Q52+R52)))</f>
        <v/>
      </c>
      <c r="T52" s="122" t="str">
        <f>IF(D52="","",IF(F52="","",I52/VLOOKUP(D52,'DB animal categories'!$C$91:$AH$100,27,FALSE)*(VLOOKUP(D52,'DB animal categories'!$C$91:$AH$100,25,FALSE)*VLOOKUP(D52,'DB animal categories'!$C$91:$AH$100,26,FALSE)/24)))</f>
        <v/>
      </c>
      <c r="U52" s="75" t="str">
        <f>IF(F52=1,"",IF(D52="","",IF(F52="","",M52/VLOOKUP(D52,'DB animal categories'!$C$91:$AH$100,27,FALSE)*(VLOOKUP(D52,'DB animal categories'!$C$91:$AH$100,25,FALSE)*VLOOKUP(D52,'DB animal categories'!$C$91:$AH$100,26,FALSE)/24))))</f>
        <v/>
      </c>
      <c r="V52" s="608">
        <f>IF(K52="",0,L52/M52*U52*'DB technologies'!$AT$11/100)</f>
        <v>0</v>
      </c>
      <c r="W52" s="608">
        <f>IF(K52="",0,(U52-V52)*'DB technologies'!$AU$11/100)</f>
        <v>0</v>
      </c>
      <c r="X52" s="75" t="str">
        <f>IF(F52=1,"",IF(D52="","",IF(F52="","",P52/VLOOKUP(D52,'DB animal categories'!$C$91:$AH$100,27,FALSE)*(VLOOKUP(D52,'DB animal categories'!$C$91:$AH$100,25,FALSE)*VLOOKUP(D52,'DB animal categories'!$C$91:$AH$100,26,FALSE)/24))))</f>
        <v/>
      </c>
      <c r="Y52" s="78" t="str">
        <f>IF(F52=1,"",IF(D52="","",IF(F52="","",S52/VLOOKUP(D52,'DB animal categories'!$C$91:$AH$100,27,FALSE)*(VLOOKUP(D52,'DB animal categories'!$C$91:$AH$100,25,FALSE)*VLOOKUP(D52,'DB animal categories'!$C$91:$AH$100,26,FALSE)/24))))</f>
        <v/>
      </c>
    </row>
    <row r="53" spans="2:30" x14ac:dyDescent="0.2">
      <c r="B53" s="670"/>
      <c r="C53" s="666" t="s">
        <v>75</v>
      </c>
      <c r="D53" s="1422"/>
      <c r="E53" s="1421"/>
      <c r="F53" s="1402"/>
      <c r="G53" s="59" t="str">
        <f>IF(F53=1,"",IF(D53="","",IF(F53=2,I53*VLOOKUP($C$53,'DB additional information '!$X$4:$AB$25,4,FALSE)/100,VLOOKUP(D53,'DB animal categories'!$C$101:$AH$102,8,FALSE)*VLOOKUP(D53,'DB animal categories'!$C$101:$AC$102,9,FALSE)/100*(1-(VLOOKUP(D53,'DB animal categories'!$C$101:$AH$102,10,FALSE)/100))/('DB additional information '!$K$10/100)/1000*E53)))</f>
        <v/>
      </c>
      <c r="H53" s="59" t="str">
        <f>IF(F53=1,"",IF(D53="","",IF(F53=2,I53-G53,G53/'DB additional information '!$M$10)))</f>
        <v/>
      </c>
      <c r="I53" s="66" t="str">
        <f>IF(F53=1,E53*VLOOKUP(D53,'DB animal categories'!$C$101:$AN$102,28,FALSE),IF(D53="","",IF(F53=2,VLOOKUP(D53,'DB animal categories'!$C$101:$AH$102,14,FALSE)*E53,G53+H53)))</f>
        <v/>
      </c>
      <c r="J53" s="66" t="str">
        <f>IF(F53=1,VLOOKUP(D53,'DB animal categories'!$C$101:$AN$102,38,FALSE),IF(F53="","",IF(D53="","",IF(F53=2,VLOOKUP(D53,'DB animal categories'!$C$101:$AN$102,15,FALSE),(G53*'DB additional information '!$K$10/100+H53*'DB additional information '!$L$10/100)/I53*100))))</f>
        <v/>
      </c>
      <c r="K53" s="72" t="str">
        <f>IF(F53="","",IF(D53="","",IF(F53=2,M53-L53,(VLOOKUP(D53,'DB animal categories'!$C$101:$AH$102,8,FALSE)*VLOOKUP(D53,'DB animal categories'!$C$101:$AH$102,11,FALSE)/6.25/1000/1000)*E53*(1-'DB additional information '!$F$56/100))))</f>
        <v/>
      </c>
      <c r="L53" s="72" t="str">
        <f>IF(F53="","",IF(D53="","",IF(F53=2,M53*'DB additional information '!$N$10/100,((VLOOKUP(D53,'DB animal categories'!$C$101:$AH$102,8,FALSE)*VLOOKUP(D53,'DB animal categories'!$C$101:$AH$102,11,FALSE)/6.25/1000/1000-'DB additional information '!$F$53*VLOOKUP(D53,'DB animal categories'!$C$101:$AH$102,7,FALSE)/1000/1000)*E53-K53))))</f>
        <v/>
      </c>
      <c r="M53" s="355" t="str">
        <f>IF(F53=1,VLOOKUP(D53,'DB animal categories'!$C$101:$AM$102,29,FALSE)/1000*E53,IF(F53="","",IF(D53="","",IF(F53=2,VLOOKUP(D53,'DB animal categories'!$C$101:$AH$102,18,FALSE)*E53/1000,K53+L53))))</f>
        <v/>
      </c>
      <c r="N53" s="74" t="str">
        <f>IF(D53="","",IF(F53="","",IF(F53=2,P53-O53,(VLOOKUP(D53,'DB animal categories'!$C$101:$AH$102,8,FALSE)*VLOOKUP(D53,'DB animal categories'!$C$101:$AH$102,12,FALSE)/1000/1000)*E53*(1-'DB additional information '!$F$57/100))))</f>
        <v/>
      </c>
      <c r="O53" s="74" t="str">
        <f>IF(D53="","",IF(F53="","",IF(F53=2,P53*'DB additional information '!$O$10/100,(VLOOKUP(D53,'DB animal categories'!$C$101:$AH$102,8,FALSE)*VLOOKUP(D53,'DB animal categories'!$C$101:$AH$102,12,FALSE)/1000/1000-'DB additional information '!$F$54*VLOOKUP(D53,'DB animal categories'!$C$101:$AH$102,7,FALSE)/1000/1000)*E53-N53)))</f>
        <v/>
      </c>
      <c r="P53" s="66" t="str">
        <f>IF(F53=1,VLOOKUP(D53,'DB animal categories'!$C$101:$AM$102,31,FALSE)/1000*E53,IF(F53="","",IF(D53="","",IF(F53=2,E53*VLOOKUP(D53,'DB animal categories'!$C$101:$AH$102,21,FALSE)/1000,N53+O53))))</f>
        <v/>
      </c>
      <c r="Q53" s="74" t="str">
        <f>IF(D53="","",IF(F53="","",IF(F53=2,S53-R53,(VLOOKUP(D53,'DB animal categories'!$C$101:$AH$102,8,FALSE)*VLOOKUP(D53,'DB animal categories'!$C$101:$AH$102,13,FALSE)/1000/1000)*E53*(1-'DB additional information '!$F$58/100))))</f>
        <v/>
      </c>
      <c r="R53" s="74" t="str">
        <f>IF(F53="","",IF(D53="","",IF(F53=2,S53*'DB additional information '!$P$10/100,(VLOOKUP(D53,'DB animal categories'!$C$101:$AH$102,8,FALSE)*VLOOKUP(D53,'DB animal categories'!$C$101:$AH$102,13,FALSE)/1000/1000-'DB additional information '!$F$55*VLOOKUP(D53,'DB animal categories'!$C$101:$AH$102,7,FALSE)/1000/1000)*E53-Q53)))</f>
        <v/>
      </c>
      <c r="S53" s="66" t="str">
        <f>IF(F53=1,VLOOKUP(D53,'DB animal categories'!$C$101:$AM$102,32,FALSE)/1000*E53,IF(F53="","",IF(D53="","",IF(F53=2,E53*VLOOKUP(D53,'DB animal categories'!$C$101:$AH$102,24,FALSE)/1000,Q53+R53))))</f>
        <v/>
      </c>
      <c r="T53" s="66" t="str">
        <f>IF(D53="","",IF(F53=1,VLOOKUP(D53,'DB animal categories'!$C$101:$AM$102,33,FALSE)*E53,I53/VLOOKUP(D53,'DB animal categories'!$C$101:$AH$102,27,FALSE)*(VLOOKUP(D53,'DB animal categories'!$C$101:$AH$102,25,FALSE)*VLOOKUP(D53,'DB animal categories'!$C$101:$AH$102,26,FALSE)/24)))</f>
        <v/>
      </c>
      <c r="U53" s="66" t="str">
        <f>IF(D53="","",IF(F53=1,VLOOKUP(D53,'DB animal categories'!$C$101:$AM$102,34,FALSE)*E53/1000,M53/VLOOKUP(D53,'DB animal categories'!$C$101:$AH$102,27,FALSE)*(VLOOKUP(D53,'DB animal categories'!$C$101:$AH$102,25,FALSE)*VLOOKUP(D53,'DB animal categories'!$C$101:$AH$102,26,FALSE)/24)))</f>
        <v/>
      </c>
      <c r="V53" s="607">
        <f>IF(K53="",0,L53/M53*U53*'DB technologies'!$AT$11/100)</f>
        <v>0</v>
      </c>
      <c r="W53" s="607">
        <f>IF(K53="",0,(U53-V53)*'DB technologies'!$AU$11/100)</f>
        <v>0</v>
      </c>
      <c r="X53" s="66" t="str">
        <f>IF(F53=1,VLOOKUP(D53,'DB animal categories'!$C$101:$AM$102,36,FALSE)/1000*E53,IF(D53="","",IF(F53="","",P53/VLOOKUP(D53,'DB animal categories'!$C$101:$AH$102,27,FALSE)*(VLOOKUP(D53,'DB animal categories'!$C$101:$AH$102,25,FALSE)*VLOOKUP(D53,'DB animal categories'!$C$101:$AH$102,26,FALSE)/24))))</f>
        <v/>
      </c>
      <c r="Y53" s="77" t="str">
        <f>IF(F53=1,VLOOKUP(D53,'DB animal categories'!$C$101:$AM$102,37,FALSE)/1000*E53,IF(D53="","",IF(F53="","",S53/VLOOKUP(D53,'DB animal categories'!$C$101:$AH$102,27,FALSE)*(VLOOKUP(D53,'DB animal categories'!$C$101:$AH$102,25,FALSE)*VLOOKUP(D53,'DB animal categories'!$C$101:$AH$102,26,FALSE)/24))))</f>
        <v/>
      </c>
    </row>
    <row r="54" spans="2:30" x14ac:dyDescent="0.2">
      <c r="B54" s="670"/>
      <c r="C54" s="667"/>
      <c r="D54" s="1404"/>
      <c r="E54" s="1411"/>
      <c r="F54" s="1405"/>
      <c r="G54" s="59" t="str">
        <f>IF(F54=1,"",IF(D54="","",IF(F54=2,I54*VLOOKUP($C$53,'DB additional information '!$X$4:$AB$25,4,FALSE)/100,VLOOKUP(D54,'DB animal categories'!$C$101:$AH$102,8,FALSE)*VLOOKUP(D54,'DB animal categories'!$C$101:$AC$102,9,FALSE)/100*(1-(VLOOKUP(D54,'DB animal categories'!$C$101:$AH$102,10,FALSE)/100))/('DB additional information '!$K$10/100)/1000*E54)))</f>
        <v/>
      </c>
      <c r="H54" s="59" t="str">
        <f>IF(F54=1,"",IF(D54="","",IF(F54=2,I54-G54,G54/'DB additional information '!$M$10)))</f>
        <v/>
      </c>
      <c r="I54" s="58" t="str">
        <f>IF(F54=1,E54*VLOOKUP(D54,'DB animal categories'!$C$101:$AN$102,28,FALSE),IF(D54="","",IF(F54=2,VLOOKUP(D54,'DB animal categories'!$C$101:$AH$102,14,FALSE)*E54,G54+H54)))</f>
        <v/>
      </c>
      <c r="J54" s="58" t="str">
        <f>IF(F54=1,VLOOKUP(D54,'DB animal categories'!$C$101:$AN$102,38,FALSE),IF(F54="","",IF(D54="","",IF(F54=2,VLOOKUP(D54,'DB animal categories'!$C$101:$AN$102,15,FALSE),(G54*'DB additional information '!$K$10/100+H54*'DB additional information '!$L$10/100)/I54*100))))</f>
        <v/>
      </c>
      <c r="K54" s="68" t="str">
        <f>IF(F54="","",IF(D54="","",IF(F54=2,M54-L54,(VLOOKUP(D54,'DB animal categories'!$C$101:$AH$102,8,FALSE)*VLOOKUP(D54,'DB animal categories'!$C$101:$AH$102,11,FALSE)/6.25/1000/1000)*E54*(1-'DB additional information '!$F$56/100))))</f>
        <v/>
      </c>
      <c r="L54" s="68" t="str">
        <f>IF(F54="","",IF(D54="","",IF(F54=2,M54*'DB additional information '!$N$10/100,((VLOOKUP(D54,'DB animal categories'!$C$101:$AH$102,8,FALSE)*VLOOKUP(D54,'DB animal categories'!$C$101:$AH$102,11,FALSE)/6.25/1000/1000-'DB additional information '!$F$53*VLOOKUP(D54,'DB animal categories'!$C$101:$AH$102,7,FALSE)/1000/1000)*E54-K54))))</f>
        <v/>
      </c>
      <c r="M54" s="58" t="str">
        <f>IF(F54=1,VLOOKUP(D54,'DB animal categories'!$C$101:$AM$102,29,FALSE)/1000*E54,IF(F54="","",IF(D54="","",IF(F54=2,VLOOKUP(D54,'DB animal categories'!$C$101:$AH$102,18,FALSE)*E54/1000,K54+L54))))</f>
        <v/>
      </c>
      <c r="N54" s="68" t="str">
        <f>IF(D54="","",IF(F54="","",IF(F54=2,P54-O54,(VLOOKUP(D54,'DB animal categories'!$C$101:$AH$102,8,FALSE)*VLOOKUP(D54,'DB animal categories'!$C$101:$AH$102,12,FALSE)/1000/1000)*E54*(1-'DB additional information '!$F$57/100))))</f>
        <v/>
      </c>
      <c r="O54" s="68" t="str">
        <f>IF(D54="","",IF(F54="","",IF(F54=2,P54*'DB additional information '!$O$10/100,(VLOOKUP(D54,'DB animal categories'!$C$101:$AH$102,8,FALSE)*VLOOKUP(D54,'DB animal categories'!$C$101:$AH$102,12,FALSE)/1000/1000-'DB additional information '!$F$54*VLOOKUP(D54,'DB animal categories'!$C$101:$AH$102,7,FALSE)/1000/1000)*E54-N54)))</f>
        <v/>
      </c>
      <c r="P54" s="58" t="str">
        <f>IF(F54=1,VLOOKUP(D54,'DB animal categories'!$C$101:$AM$102,31,FALSE)/1000*E54,IF(F54="","",IF(D54="","",IF(F54=2,E54*VLOOKUP(D54,'DB animal categories'!$C$101:$AH$102,21,FALSE)/1000,N54+O54))))</f>
        <v/>
      </c>
      <c r="Q54" s="68" t="str">
        <f>IF(D54="","",IF(F54="","",IF(F54=2,S54-R54,(VLOOKUP(D54,'DB animal categories'!$C$101:$AH$102,8,FALSE)*VLOOKUP(D54,'DB animal categories'!$C$101:$AH$102,13,FALSE)/1000/1000)*E54*(1-'DB additional information '!$F$58/100))))</f>
        <v/>
      </c>
      <c r="R54" s="68" t="str">
        <f>IF(F54="","",IF(D54="","",IF(F54=2,S54*'DB additional information '!$P$10/100,(VLOOKUP(D54,'DB animal categories'!$C$101:$AH$102,8,FALSE)*VLOOKUP(D54,'DB animal categories'!$C$101:$AH$102,13,FALSE)/1000/1000-'DB additional information '!$F$55*VLOOKUP(D54,'DB animal categories'!$C$101:$AH$102,7,FALSE)/1000/1000)*E54-Q54)))</f>
        <v/>
      </c>
      <c r="S54" s="58" t="str">
        <f>IF(F54=1,VLOOKUP(D54,'DB animal categories'!$C$101:$AM$102,32,FALSE)/1000*E54,IF(F54="","",IF(D54="","",IF(F54=2,E54*VLOOKUP(D54,'DB animal categories'!$C$101:$AH$102,24,FALSE)/1000,Q54+R54))))</f>
        <v/>
      </c>
      <c r="T54" s="58" t="str">
        <f>IF(D54="","",IF(F54=1,VLOOKUP(D54,'DB animal categories'!$C$101:$AM$102,33,FALSE)*E54,I54/VLOOKUP(D54,'DB animal categories'!$C$101:$AH$102,27,FALSE)*(VLOOKUP(D54,'DB animal categories'!$C$101:$AH$102,25,FALSE)*VLOOKUP(D54,'DB animal categories'!$C$101:$AH$102,26,FALSE)/24)))</f>
        <v/>
      </c>
      <c r="U54" s="58" t="str">
        <f>IF(D54="","",IF(F54=1,VLOOKUP(D54,'DB animal categories'!$C$101:$AM$102,34,FALSE)*E54/1000,M54/VLOOKUP(D54,'DB animal categories'!$C$101:$AH$102,27,FALSE)*(VLOOKUP(D54,'DB animal categories'!$C$101:$AH$102,25,FALSE)*VLOOKUP(D54,'DB animal categories'!$C$101:$AH$102,26,FALSE)/24)))</f>
        <v/>
      </c>
      <c r="V54" s="606">
        <f>IF(K54="",0,L54/M54*U54*'DB technologies'!$AT$11/100)</f>
        <v>0</v>
      </c>
      <c r="W54" s="606">
        <f>IF(K54="",0,(U54-V54)*'DB technologies'!$AU$11/100)</f>
        <v>0</v>
      </c>
      <c r="X54" s="58" t="str">
        <f>IF(F54=1,VLOOKUP(D54,'DB animal categories'!$C$101:$AM$102,36,FALSE)/1000*E54,IF(D54="","",IF(F54="","",P54/VLOOKUP(D54,'DB animal categories'!$C$101:$AH$102,27,FALSE)*(VLOOKUP(D54,'DB animal categories'!$C$101:$AH$102,25,FALSE)*VLOOKUP(D54,'DB animal categories'!$C$101:$AH$102,26,FALSE)/24))))</f>
        <v/>
      </c>
      <c r="Y54" s="63" t="str">
        <f>IF(F54=1,VLOOKUP(D54,'DB animal categories'!$C$101:$AM$102,37,FALSE)/1000*E54,IF(D54="","",IF(F54="","",S54/VLOOKUP(D54,'DB animal categories'!$C$101:$AH$102,27,FALSE)*(VLOOKUP(D54,'DB animal categories'!$C$101:$AH$102,25,FALSE)*VLOOKUP(D54,'DB animal categories'!$C$101:$AH$102,26,FALSE)/24))))</f>
        <v/>
      </c>
    </row>
    <row r="55" spans="2:30" x14ac:dyDescent="0.2">
      <c r="B55" s="670"/>
      <c r="C55" s="667"/>
      <c r="D55" s="1404"/>
      <c r="E55" s="1411"/>
      <c r="F55" s="1405"/>
      <c r="G55" s="59" t="str">
        <f>IF(F55=1,"",IF(D55="","",IF(F55=2,I55*VLOOKUP($C$53,'DB additional information '!$X$4:$AB$25,4,FALSE)/100,VLOOKUP(D55,'DB animal categories'!$C$101:$AH$102,8,FALSE)*VLOOKUP(D55,'DB animal categories'!$C$101:$AC$102,9,FALSE)/100*(1-(VLOOKUP(D55,'DB animal categories'!$C$101:$AH$102,10,FALSE)/100))/('DB additional information '!$K$10/100)/1000*E55)))</f>
        <v/>
      </c>
      <c r="H55" s="59" t="str">
        <f>IF(F55=1,"",IF(D55="","",IF(F55=2,I55-G55,G55/'DB additional information '!$M$10)))</f>
        <v/>
      </c>
      <c r="I55" s="58" t="str">
        <f>IF(F55=1,E55*VLOOKUP(D55,'DB animal categories'!$C$101:$AN$102,28,FALSE),IF(D55="","",IF(F55=2,VLOOKUP(D55,'DB animal categories'!$C$101:$AH$102,14,FALSE)*E55,G55+H55)))</f>
        <v/>
      </c>
      <c r="J55" s="58" t="str">
        <f>IF(F55=1,VLOOKUP(D55,'DB animal categories'!$C$101:$AN$102,38,FALSE),IF(F55="","",IF(D55="","",IF(F55=2,VLOOKUP(D55,'DB animal categories'!$C$101:$AN$102,15,FALSE),(G55*'DB additional information '!$K$10/100+H55*'DB additional information '!$L$10/100)/I55*100))))</f>
        <v/>
      </c>
      <c r="K55" s="68" t="str">
        <f>IF(F55="","",IF(D55="","",IF(F55=2,M55-L55,(VLOOKUP(D55,'DB animal categories'!$C$101:$AH$102,8,FALSE)*VLOOKUP(D55,'DB animal categories'!$C$101:$AH$102,11,FALSE)/6.25/1000/1000)*E55*(1-'DB additional information '!$F$56/100))))</f>
        <v/>
      </c>
      <c r="L55" s="68" t="str">
        <f>IF(F55="","",IF(D55="","",IF(F55=2,M55*'DB additional information '!$N$10/100,((VLOOKUP(D55,'DB animal categories'!$C$101:$AH$102,8,FALSE)*VLOOKUP(D55,'DB animal categories'!$C$101:$AH$102,11,FALSE)/6.25/1000/1000-'DB additional information '!$F$53*VLOOKUP(D55,'DB animal categories'!$C$101:$AH$102,7,FALSE)/1000/1000)*E55-K55))))</f>
        <v/>
      </c>
      <c r="M55" s="58" t="str">
        <f>IF(F55=1,VLOOKUP(D55,'DB animal categories'!$C$101:$AM$102,29,FALSE)/1000*E55,IF(F55="","",IF(D55="","",IF(F55=2,VLOOKUP(D55,'DB animal categories'!$C$101:$AH$102,18,FALSE)*E55/1000,K55+L55))))</f>
        <v/>
      </c>
      <c r="N55" s="68" t="str">
        <f>IF(D55="","",IF(F55="","",IF(F55=2,P55-O55,(VLOOKUP(D55,'DB animal categories'!$C$101:$AH$102,8,FALSE)*VLOOKUP(D55,'DB animal categories'!$C$101:$AH$102,12,FALSE)/1000/1000)*E55*(1-'DB additional information '!$F$57/100))))</f>
        <v/>
      </c>
      <c r="O55" s="68" t="str">
        <f>IF(D55="","",IF(F55="","",IF(F55=2,P55*'DB additional information '!$O$10/100,(VLOOKUP(D55,'DB animal categories'!$C$101:$AH$102,8,FALSE)*VLOOKUP(D55,'DB animal categories'!$C$101:$AH$102,12,FALSE)/1000/1000-'DB additional information '!$F$54*VLOOKUP(D55,'DB animal categories'!$C$101:$AH$102,7,FALSE)/1000/1000)*E55-N55)))</f>
        <v/>
      </c>
      <c r="P55" s="58" t="str">
        <f>IF(F55=1,VLOOKUP(D55,'DB animal categories'!$C$101:$AM$102,31,FALSE)/1000*E55,IF(F55="","",IF(D55="","",IF(F55=2,E55*VLOOKUP(D55,'DB animal categories'!$C$101:$AH$102,21,FALSE)/1000,N55+O55))))</f>
        <v/>
      </c>
      <c r="Q55" s="68" t="str">
        <f>IF(D55="","",IF(F55="","",IF(F55=2,S55-R55,(VLOOKUP(D55,'DB animal categories'!$C$101:$AH$102,8,FALSE)*VLOOKUP(D55,'DB animal categories'!$C$101:$AH$102,13,FALSE)/1000/1000)*E55*(1-'DB additional information '!$F$58/100))))</f>
        <v/>
      </c>
      <c r="R55" s="68" t="str">
        <f>IF(F55="","",IF(D55="","",IF(F55=2,S55*'DB additional information '!$P$10/100,(VLOOKUP(D55,'DB animal categories'!$C$101:$AH$102,8,FALSE)*VLOOKUP(D55,'DB animal categories'!$C$101:$AH$102,13,FALSE)/1000/1000-'DB additional information '!$F$55*VLOOKUP(D55,'DB animal categories'!$C$101:$AH$102,7,FALSE)/1000/1000)*E55-Q55)))</f>
        <v/>
      </c>
      <c r="S55" s="58" t="str">
        <f>IF(F55=1,VLOOKUP(D55,'DB animal categories'!$C$101:$AM$102,32,FALSE)/1000*E55,IF(F55="","",IF(D55="","",IF(F55=2,E55*VLOOKUP(D55,'DB animal categories'!$C$101:$AH$102,24,FALSE)/1000,Q55+R55))))</f>
        <v/>
      </c>
      <c r="T55" s="58" t="str">
        <f>IF(D55="","",IF(F55=1,VLOOKUP(D55,'DB animal categories'!$C$101:$AM$102,33,FALSE)*E55,I55/VLOOKUP(D55,'DB animal categories'!$C$101:$AH$102,27,FALSE)*(VLOOKUP(D55,'DB animal categories'!$C$101:$AH$102,25,FALSE)*VLOOKUP(D55,'DB animal categories'!$C$101:$AH$102,26,FALSE)/24)))</f>
        <v/>
      </c>
      <c r="U55" s="58" t="str">
        <f>IF(D55="","",IF(F55=1,VLOOKUP(D55,'DB animal categories'!$C$101:$AM$102,34,FALSE)*E55/1000,M55/VLOOKUP(D55,'DB animal categories'!$C$101:$AH$102,27,FALSE)*(VLOOKUP(D55,'DB animal categories'!$C$101:$AH$102,25,FALSE)*VLOOKUP(D55,'DB animal categories'!$C$101:$AH$102,26,FALSE)/24)))</f>
        <v/>
      </c>
      <c r="V55" s="606">
        <f>IF(K55="",0,L55/M55*U55*'DB technologies'!$AT$11/100)</f>
        <v>0</v>
      </c>
      <c r="W55" s="606">
        <f>IF(K55="",0,(U55-V55)*'DB technologies'!$AU$11/100)</f>
        <v>0</v>
      </c>
      <c r="X55" s="58" t="str">
        <f>IF(F55=1,VLOOKUP(D55,'DB animal categories'!$C$101:$AM$102,36,FALSE)/1000*E55,IF(D55="","",IF(F55="","",P55/VLOOKUP(D55,'DB animal categories'!$C$101:$AH$102,27,FALSE)*(VLOOKUP(D55,'DB animal categories'!$C$101:$AH$102,25,FALSE)*VLOOKUP(D55,'DB animal categories'!$C$101:$AH$102,26,FALSE)/24))))</f>
        <v/>
      </c>
      <c r="Y55" s="63" t="str">
        <f>IF(F55=1,VLOOKUP(D55,'DB animal categories'!$C$101:$AM$102,37,FALSE)/1000*E55,IF(D55="","",IF(F55="","",S55/VLOOKUP(D55,'DB animal categories'!$C$101:$AH$102,27,FALSE)*(VLOOKUP(D55,'DB animal categories'!$C$101:$AH$102,25,FALSE)*VLOOKUP(D55,'DB animal categories'!$C$101:$AH$102,26,FALSE)/24))))</f>
        <v/>
      </c>
    </row>
    <row r="56" spans="2:30" x14ac:dyDescent="0.2">
      <c r="B56" s="670"/>
      <c r="C56" s="667"/>
      <c r="D56" s="1404"/>
      <c r="E56" s="1411"/>
      <c r="F56" s="1405"/>
      <c r="G56" s="59" t="str">
        <f>IF(F56=1,"",IF(D56="","",IF(F56=2,I56*VLOOKUP($C$53,'DB additional information '!$X$4:$AB$25,4,FALSE)/100,VLOOKUP(D56,'DB animal categories'!$C$101:$AH$102,8,FALSE)*VLOOKUP(D56,'DB animal categories'!$C$101:$AC$102,9,FALSE)/100*(1-(VLOOKUP(D56,'DB animal categories'!$C$101:$AH$102,10,FALSE)/100))/('DB additional information '!$K$10/100)/1000*E56)))</f>
        <v/>
      </c>
      <c r="H56" s="59" t="str">
        <f>IF(F56=1,"",IF(D56="","",IF(F56=2,I56-G56,G56/'DB additional information '!$M$10)))</f>
        <v/>
      </c>
      <c r="I56" s="58" t="str">
        <f>IF(F56=1,E56*VLOOKUP(D56,'DB animal categories'!$C$101:$AN$102,28,FALSE),IF(D56="","",IF(F56=2,VLOOKUP(D56,'DB animal categories'!$C$101:$AH$102,14,FALSE)*E56,G56+H56)))</f>
        <v/>
      </c>
      <c r="J56" s="58" t="str">
        <f>IF(F56=1,VLOOKUP(D56,'DB animal categories'!$C$101:$AN$102,38,FALSE),IF(F56="","",IF(D56="","",IF(F56=2,VLOOKUP(D56,'DB animal categories'!$C$101:$AN$102,15,FALSE),(G56*'DB additional information '!$K$10/100+H56*'DB additional information '!$L$10/100)/I56*100))))</f>
        <v/>
      </c>
      <c r="K56" s="68" t="str">
        <f>IF(F56="","",IF(D56="","",IF(F56=2,M56-L56,(VLOOKUP(D56,'DB animal categories'!$C$101:$AH$102,8,FALSE)*VLOOKUP(D56,'DB animal categories'!$C$101:$AH$102,11,FALSE)/6.25/1000/1000)*E56*(1-'DB additional information '!$F$56/100))))</f>
        <v/>
      </c>
      <c r="L56" s="68" t="str">
        <f>IF(F56="","",IF(D56="","",IF(F56=2,M56*'DB additional information '!$N$10/100,((VLOOKUP(D56,'DB animal categories'!$C$101:$AH$102,8,FALSE)*VLOOKUP(D56,'DB animal categories'!$C$101:$AH$102,11,FALSE)/6.25/1000/1000-'DB additional information '!$F$53*VLOOKUP(D56,'DB animal categories'!$C$101:$AH$102,7,FALSE)/1000/1000)*E56-K56))))</f>
        <v/>
      </c>
      <c r="M56" s="58" t="str">
        <f>IF(F56=1,VLOOKUP(D56,'DB animal categories'!$C$101:$AM$102,29,FALSE)/1000*E56,IF(F56="","",IF(D56="","",IF(F56=2,VLOOKUP(D56,'DB animal categories'!$C$101:$AH$102,18,FALSE)*E56/1000,K56+L56))))</f>
        <v/>
      </c>
      <c r="N56" s="68" t="str">
        <f>IF(D56="","",IF(F56="","",IF(F56=2,P56-O56,(VLOOKUP(D56,'DB animal categories'!$C$101:$AH$102,8,FALSE)*VLOOKUP(D56,'DB animal categories'!$C$101:$AH$102,12,FALSE)/1000/1000)*E56*(1-'DB additional information '!$F$57/100))))</f>
        <v/>
      </c>
      <c r="O56" s="68" t="str">
        <f>IF(D56="","",IF(F56="","",IF(F56=2,P56*'DB additional information '!$O$10/100,(VLOOKUP(D56,'DB animal categories'!$C$101:$AH$102,8,FALSE)*VLOOKUP(D56,'DB animal categories'!$C$101:$AH$102,12,FALSE)/1000/1000-'DB additional information '!$F$54*VLOOKUP(D56,'DB animal categories'!$C$101:$AH$102,7,FALSE)/1000/1000)*E56-N56)))</f>
        <v/>
      </c>
      <c r="P56" s="58" t="str">
        <f>IF(F56=1,VLOOKUP(D56,'DB animal categories'!$C$101:$AM$102,31,FALSE)/1000*E56,IF(F56="","",IF(D56="","",IF(F56=2,E56*VLOOKUP(D56,'DB animal categories'!$C$101:$AH$102,21,FALSE)/1000,N56+O56))))</f>
        <v/>
      </c>
      <c r="Q56" s="68" t="str">
        <f>IF(D56="","",IF(F56="","",IF(F56=2,S56-R56,(VLOOKUP(D56,'DB animal categories'!$C$101:$AH$102,8,FALSE)*VLOOKUP(D56,'DB animal categories'!$C$101:$AH$102,13,FALSE)/1000/1000)*E56*(1-'DB additional information '!$F$58/100))))</f>
        <v/>
      </c>
      <c r="R56" s="68" t="str">
        <f>IF(F56="","",IF(D56="","",IF(F56=2,S56*'DB additional information '!$P$10/100,(VLOOKUP(D56,'DB animal categories'!$C$101:$AH$102,8,FALSE)*VLOOKUP(D56,'DB animal categories'!$C$101:$AH$102,13,FALSE)/1000/1000-'DB additional information '!$F$55*VLOOKUP(D56,'DB animal categories'!$C$101:$AH$102,7,FALSE)/1000/1000)*E56-Q56)))</f>
        <v/>
      </c>
      <c r="S56" s="58" t="str">
        <f>IF(F56=1,VLOOKUP(D56,'DB animal categories'!$C$101:$AM$102,32,FALSE)/1000*E56,IF(F56="","",IF(D56="","",IF(F56=2,E56*VLOOKUP(D56,'DB animal categories'!$C$101:$AH$102,24,FALSE)/1000,Q56+R56))))</f>
        <v/>
      </c>
      <c r="T56" s="58" t="str">
        <f>IF(D56="","",IF(F56=1,VLOOKUP(D56,'DB animal categories'!$C$101:$AM$102,33,FALSE)*E56,I56/VLOOKUP(D56,'DB animal categories'!$C$101:$AH$102,27,FALSE)*(VLOOKUP(D56,'DB animal categories'!$C$101:$AH$102,25,FALSE)*VLOOKUP(D56,'DB animal categories'!$C$101:$AH$102,26,FALSE)/24)))</f>
        <v/>
      </c>
      <c r="U56" s="58" t="str">
        <f>IF(D56="","",IF(F56=1,VLOOKUP(D56,'DB animal categories'!$C$101:$AM$102,34,FALSE)*E56/1000,M56/VLOOKUP(D56,'DB animal categories'!$C$101:$AH$102,27,FALSE)*(VLOOKUP(D56,'DB animal categories'!$C$101:$AH$102,25,FALSE)*VLOOKUP(D56,'DB animal categories'!$C$101:$AH$102,26,FALSE)/24)))</f>
        <v/>
      </c>
      <c r="V56" s="606">
        <f>IF(K56="",0,L56/M56*U56*'DB technologies'!$AT$11/100)</f>
        <v>0</v>
      </c>
      <c r="W56" s="606">
        <f>IF(K56="",0,(U56-V56)*'DB technologies'!$AU$11/100)</f>
        <v>0</v>
      </c>
      <c r="X56" s="58" t="str">
        <f>IF(F56=1,VLOOKUP(D56,'DB animal categories'!$C$101:$AM$102,36,FALSE)/1000*E56,IF(D56="","",IF(F56="","",P56/VLOOKUP(D56,'DB animal categories'!$C$101:$AH$102,27,FALSE)*(VLOOKUP(D56,'DB animal categories'!$C$101:$AH$102,25,FALSE)*VLOOKUP(D56,'DB animal categories'!$C$101:$AH$102,26,FALSE)/24))))</f>
        <v/>
      </c>
      <c r="Y56" s="63" t="str">
        <f>IF(F56=1,VLOOKUP(D56,'DB animal categories'!$C$101:$AM$102,37,FALSE)/1000*E56,IF(D56="","",IF(F56="","",S56/VLOOKUP(D56,'DB animal categories'!$C$101:$AH$102,27,FALSE)*(VLOOKUP(D56,'DB animal categories'!$C$101:$AH$102,25,FALSE)*VLOOKUP(D56,'DB animal categories'!$C$101:$AH$102,26,FALSE)/24))))</f>
        <v/>
      </c>
    </row>
    <row r="57" spans="2:30" ht="12" thickBot="1" x14ac:dyDescent="0.25">
      <c r="B57" s="671"/>
      <c r="C57" s="668"/>
      <c r="D57" s="1409"/>
      <c r="E57" s="1412"/>
      <c r="F57" s="1410"/>
      <c r="G57" s="89" t="str">
        <f>IF(F57=1,"",IF(D57="","",IF(F57=2,I57*VLOOKUP($C$53,'DB additional information '!$X$4:$AB$25,4,FALSE)/100,VLOOKUP(D57,'DB animal categories'!$C$101:$AH$102,8,FALSE)*VLOOKUP(D57,'DB animal categories'!$C$101:$AC$102,9,FALSE)/100*(1-(VLOOKUP(D57,'DB animal categories'!$C$101:$AH$102,10,FALSE)/100))/('DB additional information '!$K$10/100)/1000*E57)))</f>
        <v/>
      </c>
      <c r="H57" s="59" t="str">
        <f>IF(F57=1,"",IF(D57="","",IF(F57=2,I57-G57,G57/'DB additional information '!$M$10)))</f>
        <v/>
      </c>
      <c r="I57" s="122" t="str">
        <f>IF(F57=1,E57*VLOOKUP(D57,'DB animal categories'!$C$101:$AN$102,28,FALSE),IF(D57="","",IF(F57=2,VLOOKUP(D57,'DB animal categories'!$C$101:$AH$102,14,FALSE)*E57,G57+H57)))</f>
        <v/>
      </c>
      <c r="J57" s="122" t="str">
        <f>IF(F57=1,VLOOKUP(D57,'DB animal categories'!$C$101:$AN$102,38,FALSE),IF(F57="","",IF(D57="","",IF(F57=2,VLOOKUP(D57,'DB animal categories'!$C$101:$AN$102,15,FALSE),(G57*'DB additional information '!$K$10/100+H57*'DB additional information '!$L$10/100)/I57*100))))</f>
        <v/>
      </c>
      <c r="K57" s="123" t="str">
        <f>IF(F57="","",IF(D57="","",IF(F57=2,M57-L57,(VLOOKUP(D57,'DB animal categories'!$C$101:$AH$102,8,FALSE)*VLOOKUP(D57,'DB animal categories'!$C$101:$AH$102,11,FALSE)/6.25/1000/1000)*E57*(1-'DB additional information '!$F$56/100))))</f>
        <v/>
      </c>
      <c r="L57" s="123" t="str">
        <f>IF(F57="","",IF(D57="","",IF(F57=2,M57*'DB additional information '!$N$10/100,((VLOOKUP(D57,'DB animal categories'!$C$101:$AH$102,8,FALSE)*VLOOKUP(D57,'DB animal categories'!$C$101:$AH$102,11,FALSE)/6.25/1000/1000-'DB additional information '!$F$53*VLOOKUP(D57,'DB animal categories'!$C$101:$AH$102,7,FALSE)/1000/1000)*E57-K57))))</f>
        <v/>
      </c>
      <c r="M57" s="122" t="str">
        <f>IF(F57=1,VLOOKUP(D57,'DB animal categories'!$C$101:$AM$102,29,FALSE)/1000*E57,IF(F57="","",IF(D57="","",IF(F57=2,VLOOKUP(D57,'DB animal categories'!$C$101:$AH$102,18,FALSE)*E57/1000,K57+L57))))</f>
        <v/>
      </c>
      <c r="N57" s="123" t="str">
        <f>IF(D57="","",IF(F57="","",IF(F57=2,P57-O57,(VLOOKUP(D57,'DB animal categories'!$C$101:$AH$102,8,FALSE)*VLOOKUP(D57,'DB animal categories'!$C$101:$AH$102,12,FALSE)/1000/1000)*E57*(1-'DB additional information '!$F$57/100))))</f>
        <v/>
      </c>
      <c r="O57" s="123" t="str">
        <f>IF(D57="","",IF(F57="","",IF(F57=2,P57*'DB additional information '!$O$10/100,(VLOOKUP(D57,'DB animal categories'!$C$101:$AH$102,8,FALSE)*VLOOKUP(D57,'DB animal categories'!$C$101:$AH$102,12,FALSE)/1000/1000-'DB additional information '!$F$54*VLOOKUP(D57,'DB animal categories'!$C$101:$AH$102,7,FALSE)/1000/1000)*E57-N57)))</f>
        <v/>
      </c>
      <c r="P57" s="122" t="str">
        <f>IF(F57=1,VLOOKUP(D57,'DB animal categories'!$C$101:$AM$102,31,FALSE)/1000*E57,IF(F57="","",IF(D57="","",IF(F57=2,E57*VLOOKUP(D57,'DB animal categories'!$C$101:$AH$102,21,FALSE)/1000,N57+O57))))</f>
        <v/>
      </c>
      <c r="Q57" s="123" t="str">
        <f>IF(D57="","",IF(F57="","",IF(F57=2,S57-R57,(VLOOKUP(D57,'DB animal categories'!$C$101:$AH$102,8,FALSE)*VLOOKUP(D57,'DB animal categories'!$C$101:$AH$102,13,FALSE)/1000/1000)*E57*(1-'DB additional information '!$F$58/100))))</f>
        <v/>
      </c>
      <c r="R57" s="123" t="str">
        <f>IF(F57="","",IF(D57="","",IF(F57=2,S57*'DB additional information '!$P$10/100,(VLOOKUP(D57,'DB animal categories'!$C$101:$AH$102,8,FALSE)*VLOOKUP(D57,'DB animal categories'!$C$101:$AH$102,13,FALSE)/1000/1000-'DB additional information '!$F$55*VLOOKUP(D57,'DB animal categories'!$C$101:$AH$102,7,FALSE)/1000/1000)*E57-Q57)))</f>
        <v/>
      </c>
      <c r="S57" s="122" t="str">
        <f>IF(F57=1,VLOOKUP(D57,'DB animal categories'!$C$101:$AM$102,32,FALSE)/1000*E57,IF(F57="","",IF(D57="","",IF(F57=2,E57*VLOOKUP(D57,'DB animal categories'!$C$101:$AH$102,24,FALSE)/1000,Q57+R57))))</f>
        <v/>
      </c>
      <c r="T57" s="122" t="str">
        <f>IF(D57="","",IF(F57=1,VLOOKUP(D57,'DB animal categories'!$C$101:$AM$102,33,FALSE)*E57,I57/VLOOKUP(D57,'DB animal categories'!$C$101:$AH$102,27,FALSE)*(VLOOKUP(D57,'DB animal categories'!$C$101:$AH$102,25,FALSE)*VLOOKUP(D57,'DB animal categories'!$C$101:$AH$102,26,FALSE)/24)))</f>
        <v/>
      </c>
      <c r="U57" s="122" t="str">
        <f>IF(D57="","",IF(F57=1,VLOOKUP(D57,'DB animal categories'!$C$101:$AM$102,34,FALSE)*E57/1000,M57/VLOOKUP(D57,'DB animal categories'!$C$101:$AH$102,27,FALSE)*(VLOOKUP(D57,'DB animal categories'!$C$101:$AH$102,25,FALSE)*VLOOKUP(D57,'DB animal categories'!$C$101:$AH$102,26,FALSE)/24)))</f>
        <v/>
      </c>
      <c r="V57" s="608">
        <f>IF(K57="",0,L57/M57*U57*'DB technologies'!$AT$11/100)</f>
        <v>0</v>
      </c>
      <c r="W57" s="608">
        <f>IF(K57="",0,(U57-V57)*'DB technologies'!$AU$11/100)</f>
        <v>0</v>
      </c>
      <c r="X57" s="122" t="str">
        <f>IF(F57=1,VLOOKUP(D57,'DB animal categories'!$C$101:$AM$102,36,FALSE)/1000*E57,IF(D57="","",IF(F57="","",P57/VLOOKUP(D57,'DB animal categories'!$C$101:$AH$102,27,FALSE)*(VLOOKUP(D57,'DB animal categories'!$C$101:$AH$102,25,FALSE)*VLOOKUP(D57,'DB animal categories'!$C$101:$AH$102,26,FALSE)/24))))</f>
        <v/>
      </c>
      <c r="Y57" s="124" t="str">
        <f>IF(F57=1,VLOOKUP(D57,'DB animal categories'!$C$101:$AM$102,37,FALSE)/1000*E57,IF(D57="","",IF(F57="","",S57/VLOOKUP(D57,'DB animal categories'!$C$101:$AH$102,27,FALSE)*(VLOOKUP(D57,'DB animal categories'!$C$101:$AH$102,25,FALSE)*VLOOKUP(D57,'DB animal categories'!$C$101:$AH$102,26,FALSE)/24))))</f>
        <v/>
      </c>
      <c r="AB57" s="82"/>
      <c r="AC57" s="82"/>
      <c r="AD57" s="82"/>
    </row>
    <row r="58" spans="2:30" ht="11.25" customHeight="1" x14ac:dyDescent="0.2">
      <c r="B58" s="683" t="s">
        <v>79</v>
      </c>
      <c r="C58" s="675" t="s">
        <v>36</v>
      </c>
      <c r="D58" s="1423"/>
      <c r="E58" s="1402"/>
      <c r="F58" s="1402"/>
      <c r="G58" s="59" t="str">
        <f>IF(F58=1,"",IF(D58="","",IF(F58=2,I58*VLOOKUP($C$58,'DB additional information '!$X$4:$AB$25,4,FALSE)/100,VLOOKUP(D58,'DB animal categories'!$C$107:$AH$116,8,FALSE)*VLOOKUP(D58,'DB animal categories'!$C$107:$AC$116,9,FALSE)/100*(1-(VLOOKUP(D58,'DB animal categories'!$C$107:$AH$116,10,FALSE)/100))/('DB additional information '!$K$15/100)/1000*E58)))</f>
        <v/>
      </c>
      <c r="H58" s="359"/>
      <c r="I58" s="66" t="str">
        <f>IF(F58=1,E58*VLOOKUP(D58,'DB animal categories'!$C$107:$AN$116,28,FALSE),IF(D58="","",IF(F58=2,VLOOKUP(D58,'DB animal categories'!$C$107:$AH$116,14,FALSE)*E58,G58+H58)))</f>
        <v/>
      </c>
      <c r="J58" s="66" t="str">
        <f>IF(F58=1,VLOOKUP(D58,'DB animal categories'!$C$107:$AN$116,38,FALSE),IF(F58="","",IF(D58="","",IF(F58=2,VLOOKUP(D58,'DB animal categories'!$C$107:$AH$116,15,FALSE),(G58*'DB additional information '!$K$15/100+H58*'DB additional information '!$L$15/100)/I58*100))))</f>
        <v/>
      </c>
      <c r="K58" s="74" t="str">
        <f>IF(F58="","",IF(D58="","",IF(F58=2,M58-L58,(VLOOKUP(D58,'DB animal categories'!$C$107:$AH$116,8,FALSE)*VLOOKUP(D58,'DB animal categories'!$C$107:$AH$116,11,FALSE)/6.25/1000/1000)*E58-VLOOKUP(D58,'DB animal categories'!$C$107:$O$116,7,FALSE)*'DB additional information '!$F$77*'Calc (ex-animal)'!E58/1000/1000-VLOOKUP(D58,'DB animal categories'!$C$107:$O$116,2,FALSE)*'DB additional information '!$F$80*'Calc (ex-animal)'!E58/1000/1000)))</f>
        <v/>
      </c>
      <c r="L58" s="74"/>
      <c r="M58" s="66" t="str">
        <f>IF(F58=1,VLOOKUP(D58,'DB animal categories'!$C$107:$AM$116,29,FALSE)/1000*E58,IF(F58="","",IF(D58="","",IF(F58=2,VLOOKUP(D58,'DB animal categories'!$C$107:$AH$116,18,FALSE)*E58/1000,K58+L58))))</f>
        <v/>
      </c>
      <c r="N58" s="74" t="str">
        <f>IF(F58="","",IF(D58="","",IF(F58=2,P58-O58,(VLOOKUP(D58,'DB animal categories'!$C$107:$AH$116,8,FALSE)*VLOOKUP(D58,'DB animal categories'!$C$107:$AH$116,12,FALSE)/1000/1000)*E58-VLOOKUP(D58,'DB animal categories'!$C$107:$O$116,7,FALSE)*'DB additional information '!$F$78*'Calc (ex-animal)'!E58/1000/1000-VLOOKUP(D58,'DB animal categories'!$C$107:$O$116,2,FALSE)*'DB additional information '!$F$81*'Calc (ex-animal)'!E58/1000/1000)))</f>
        <v/>
      </c>
      <c r="O58" s="74"/>
      <c r="P58" s="66" t="str">
        <f>IF(F58=1,VLOOKUP(D58,'DB animal categories'!$C$107:$AM$116,31,FALSE)/1000*E58,IF(F58="","",IF(D58="","",IF(F58=2,E58*VLOOKUP(D58,'DB animal categories'!$C$107:$AH$116,21,FALSE)/1000,N58+O58))))</f>
        <v/>
      </c>
      <c r="Q58" s="74" t="str">
        <f>IF(F58="","",IF(D58="","",IF(F58=2,S58-R58,(VLOOKUP(D58,'DB animal categories'!$C$107:$AH$116,8,FALSE)*VLOOKUP(D58,'DB animal categories'!$C$107:$AH$116,13,FALSE)/1000/1000)*E58-VLOOKUP(D58,'DB animal categories'!$C$107:$O$116,7,FALSE)*'DB additional information '!$F$79*'Calc (ex-animal)'!E58/1000/1000-VLOOKUP(D58,'DB animal categories'!$C$107:$O$116,2,FALSE)*'DB additional information '!$F$82*'Calc (ex-animal)'!E58/1000/1000)))</f>
        <v/>
      </c>
      <c r="R58" s="360"/>
      <c r="S58" s="66" t="str">
        <f>IF(F58=1,VLOOKUP(D58,'DB animal categories'!$C$107:$AM$116,32,FALSE)/1000*E58,IF(F58="","",IF(D58="","",IF(F58=2,E58*VLOOKUP(D58,'DB animal categories'!$C$107:$AH$116,24,FALSE)/1000,Q58+R58))))</f>
        <v/>
      </c>
      <c r="T58" s="66" t="str">
        <f>IF(D58="","",IF(F58=1,VLOOKUP(D58,'DB animal categories'!$C$107:$AM$116,33,FALSE)*E58,I58/VLOOKUP(D58,'DB animal categories'!$C$107:$AH$116,27,FALSE)*(VLOOKUP(D58,'DB animal categories'!$C$107:$AH$116,25,FALSE)*VLOOKUP(D58,'DB animal categories'!$C$107:$AH$116,26,FALSE)/24)))</f>
        <v/>
      </c>
      <c r="U58" s="66" t="str">
        <f>IF(D58="","",IF(F58=1,VLOOKUP(D58,'DB animal categories'!$C$107:$AM$116,34,FALSE)*E58/1000,M58/VLOOKUP(D58,'DB animal categories'!$C$107:$AH$116,27,FALSE)*(VLOOKUP(D58,'DB animal categories'!$C$107:$AH$116,25,FALSE)*VLOOKUP(D58,'DB animal categories'!$C$107:$AH$116,26,FALSE)/24)))</f>
        <v/>
      </c>
      <c r="V58" s="607">
        <f>IF(K58="",0,K58/M58*U58*'DB technologies'!$AT$11/100)</f>
        <v>0</v>
      </c>
      <c r="W58" s="607">
        <f>IF(K58="",0,(U58-V58)*'DB technologies'!$AU$11/100)</f>
        <v>0</v>
      </c>
      <c r="X58" s="66" t="str">
        <f>IF(D58="","",IF(F58=1,VLOOKUP(D58,'DB animal categories'!$C$107:$AM$116,36,FALSE)*E58/1000,P58/VLOOKUP(D58,'DB animal categories'!$C$107:$AH$116,27,FALSE)*(VLOOKUP(D58,'DB animal categories'!$C$107:$AH$116,25,FALSE)*VLOOKUP(D58,'DB animal categories'!$C$107:$AH$116,26,FALSE)/24)))</f>
        <v/>
      </c>
      <c r="Y58" s="77" t="str">
        <f>IF(D58="","",IF(F58=1,VLOOKUP(D58,'DB animal categories'!$C$107:$AM$116,37,FALSE)*E58/1000,S58/VLOOKUP(D58,'DB animal categories'!$C$107:$AH$116,27,FALSE)*(VLOOKUP(D58,'DB animal categories'!$C$107:$AH$116,25,FALSE)*VLOOKUP(D58,'DB animal categories'!$C$107:$AH$116,26,FALSE)/24)))</f>
        <v/>
      </c>
    </row>
    <row r="59" spans="2:30" ht="11.25" customHeight="1" x14ac:dyDescent="0.2">
      <c r="B59" s="684"/>
      <c r="C59" s="676"/>
      <c r="D59" s="1404"/>
      <c r="E59" s="1405"/>
      <c r="F59" s="1405"/>
      <c r="G59" s="59" t="str">
        <f>IF(F59=1,"",IF(D59="","",IF(F59=2,I59*VLOOKUP($C$58,'DB additional information '!$X$4:$AB$25,4,FALSE)/100,VLOOKUP(D59,'DB animal categories'!$C$107:$AH$116,8,FALSE)*VLOOKUP(D59,'DB animal categories'!$C$107:$AC$116,9,FALSE)/100*(1-(VLOOKUP(D59,'DB animal categories'!$C$107:$AH$116,10,FALSE)/100))/('DB additional information '!$K$15/100)/1000*E59)))</f>
        <v/>
      </c>
      <c r="H59" s="41"/>
      <c r="I59" s="58" t="str">
        <f>IF(F59=1,E59*VLOOKUP(D59,'DB animal categories'!$C$107:$AN$116,28,FALSE),IF(D59="","",IF(F59=2,VLOOKUP(D59,'DB animal categories'!$C$107:$AH$116,14,FALSE)*E59,G59+H59)))</f>
        <v/>
      </c>
      <c r="J59" s="58" t="str">
        <f>IF(F59=1,VLOOKUP(D59,'DB animal categories'!$C$107:$AN$116,38,FALSE),IF(F59="","",IF(D59="","",IF(F59=2,VLOOKUP(D59,'DB animal categories'!$C$107:$AH$116,15,FALSE),(G59*'DB additional information '!$K$15/100+H59*'DB additional information '!$L$15/100)/I59*100))))</f>
        <v/>
      </c>
      <c r="K59" s="68" t="str">
        <f>IF(F59="","",IF(D59="","",IF(F59=2,M59-L59,(VLOOKUP(D59,'DB animal categories'!$C$107:$AH$116,8,FALSE)*VLOOKUP(D59,'DB animal categories'!$C$107:$AH$116,11,FALSE)/6.25/1000/1000)*E59-VLOOKUP(D59,'DB animal categories'!$C$107:$O$116,7,FALSE)*'DB additional information '!$F$77*'Calc (ex-animal)'!E59/1000/1000-VLOOKUP(D59,'DB animal categories'!$C$107:$O$116,2,FALSE)*'DB additional information '!$F$80*'Calc (ex-animal)'!E59/1000/1000)))</f>
        <v/>
      </c>
      <c r="L59" s="68"/>
      <c r="M59" s="58" t="str">
        <f>IF(F59=1,VLOOKUP(D59,'DB animal categories'!$C$107:$AM$116,29,FALSE)/1000*E59,IF(F59="","",IF(D59="","",IF(F59=2,VLOOKUP(D59,'DB animal categories'!$C$107:$AH$116,18,FALSE)*E59/1000,K59+L59))))</f>
        <v/>
      </c>
      <c r="N59" s="68" t="str">
        <f>IF(F59="","",IF(D59="","",IF(F59=2,P59-O59,(VLOOKUP(D59,'DB animal categories'!$C$107:$AH$116,8,FALSE)*VLOOKUP(D59,'DB animal categories'!$C$107:$AH$116,12,FALSE)/1000/1000)*E59-VLOOKUP(D59,'DB animal categories'!$C$107:$O$116,7,FALSE)*'DB additional information '!$F$78*'Calc (ex-animal)'!E59/1000/1000-VLOOKUP(D59,'DB animal categories'!$C$107:$O$116,2,FALSE)*'DB additional information '!$F$81*'Calc (ex-animal)'!E59/1000/1000)))</f>
        <v/>
      </c>
      <c r="O59" s="68"/>
      <c r="P59" s="58" t="str">
        <f>IF(F59=1,VLOOKUP(D59,'DB animal categories'!$C$107:$AM$116,31,FALSE)/1000*E59,IF(F59="","",IF(D59="","",IF(F59=2,E59*VLOOKUP(D59,'DB animal categories'!$C$107:$AH$116,21,FALSE)/1000,N59+O59))))</f>
        <v/>
      </c>
      <c r="Q59" s="68" t="str">
        <f>IF(F59="","",IF(D59="","",IF(F59=2,S59-R59,(VLOOKUP(D59,'DB animal categories'!$C$107:$AH$116,8,FALSE)*VLOOKUP(D59,'DB animal categories'!$C$107:$AH$116,13,FALSE)/1000/1000)*E59-VLOOKUP(D59,'DB animal categories'!$C$107:$O$116,7,FALSE)*'DB additional information '!$F$79*'Calc (ex-animal)'!E59/1000/1000-VLOOKUP(D59,'DB animal categories'!$C$107:$O$116,2,FALSE)*'DB additional information '!$F$82*'Calc (ex-animal)'!E59/1000/1000)))</f>
        <v/>
      </c>
      <c r="R59" s="68"/>
      <c r="S59" s="58" t="str">
        <f>IF(F59=1,VLOOKUP(D59,'DB animal categories'!$C$107:$AM$116,32,FALSE)/1000*E59,IF(F59="","",IF(D59="","",IF(F59=2,E59*VLOOKUP(D59,'DB animal categories'!$C$107:$AH$116,24,FALSE)/1000,Q59+R59))))</f>
        <v/>
      </c>
      <c r="T59" s="58" t="str">
        <f>IF(D59="","",IF(F59=1,VLOOKUP(D59,'DB animal categories'!$C$107:$AM$116,33,FALSE)*E59,I59/VLOOKUP(D59,'DB animal categories'!$C$107:$AH$116,27,FALSE)*(VLOOKUP(D59,'DB animal categories'!$C$107:$AH$116,25,FALSE)*VLOOKUP(D59,'DB animal categories'!$C$107:$AH$116,26,FALSE)/24)))</f>
        <v/>
      </c>
      <c r="U59" s="58" t="str">
        <f>IF(D59="","",IF(F59=1,VLOOKUP(D59,'DB animal categories'!$C$107:$AM$116,34,FALSE)*E59/1000,M59/VLOOKUP(D59,'DB animal categories'!$C$107:$AH$116,27,FALSE)*(VLOOKUP(D59,'DB animal categories'!$C$107:$AH$116,25,FALSE)*VLOOKUP(D59,'DB animal categories'!$C$107:$AH$116,26,FALSE)/24)))</f>
        <v/>
      </c>
      <c r="V59" s="607">
        <f>IF(K59="",0,K59/M59*U59*'DB technologies'!$AT$11/100)</f>
        <v>0</v>
      </c>
      <c r="W59" s="607">
        <f>IF(K59="",0,(U59-V59)*'DB technologies'!$AU$11/100)</f>
        <v>0</v>
      </c>
      <c r="X59" s="58" t="str">
        <f>IF(D59="","",IF(F59=1,VLOOKUP(D59,'DB animal categories'!$C$107:$AM$116,36,FALSE)*E59/1000,P59/VLOOKUP(D59,'DB animal categories'!$C$107:$AH$116,27,FALSE)*(VLOOKUP(D59,'DB animal categories'!$C$107:$AH$116,25,FALSE)*VLOOKUP(D59,'DB animal categories'!$C$107:$AH$116,26,FALSE)/24)))</f>
        <v/>
      </c>
      <c r="Y59" s="63" t="str">
        <f>IF(D59="","",IF(F59=1,VLOOKUP(D59,'DB animal categories'!$C$107:$AM$116,37,FALSE)*E59/1000,S59/VLOOKUP(D59,'DB animal categories'!$C$107:$AH$116,27,FALSE)*(VLOOKUP(D59,'DB animal categories'!$C$107:$AH$116,25,FALSE)*VLOOKUP(D59,'DB animal categories'!$C$107:$AH$116,26,FALSE)/24)))</f>
        <v/>
      </c>
    </row>
    <row r="60" spans="2:30" ht="11.25" customHeight="1" x14ac:dyDescent="0.2">
      <c r="B60" s="684"/>
      <c r="C60" s="676"/>
      <c r="D60" s="1404"/>
      <c r="E60" s="1405"/>
      <c r="F60" s="1405"/>
      <c r="G60" s="59" t="str">
        <f>IF(F60=1,"",IF(D60="","",IF(F60=2,I60*VLOOKUP($C$58,'DB additional information '!$X$4:$AB$25,4,FALSE)/100,VLOOKUP(D60,'DB animal categories'!$C$107:$AH$116,8,FALSE)*VLOOKUP(D60,'DB animal categories'!$C$107:$AC$116,9,FALSE)/100*(1-(VLOOKUP(D60,'DB animal categories'!$C$107:$AH$116,10,FALSE)/100))/('DB additional information '!$K$15/100)/1000*E60)))</f>
        <v/>
      </c>
      <c r="H60" s="41"/>
      <c r="I60" s="58" t="str">
        <f>IF(F60=1,E60*VLOOKUP(D60,'DB animal categories'!$C$107:$AN$116,28,FALSE),IF(D60="","",IF(F60=2,VLOOKUP(D60,'DB animal categories'!$C$107:$AH$116,14,FALSE)*E60,G60+H60)))</f>
        <v/>
      </c>
      <c r="J60" s="58" t="str">
        <f>IF(F60=1,VLOOKUP(D60,'DB animal categories'!$C$107:$AN$116,38,FALSE),IF(F60="","",IF(D60="","",IF(F60=2,VLOOKUP(D60,'DB animal categories'!$C$107:$AH$116,15,FALSE),(G60*'DB additional information '!$K$15/100+H60*'DB additional information '!$L$15/100)/I60*100))))</f>
        <v/>
      </c>
      <c r="K60" s="68" t="str">
        <f>IF(F60="","",IF(D60="","",IF(F60=2,M60-L60,(VLOOKUP(D60,'DB animal categories'!$C$107:$AH$116,8,FALSE)*VLOOKUP(D60,'DB animal categories'!$C$107:$AH$116,11,FALSE)/6.25/1000/1000)*E60-VLOOKUP(D60,'DB animal categories'!$C$107:$O$116,7,FALSE)*'DB additional information '!$F$77*'Calc (ex-animal)'!E60/1000/1000-VLOOKUP(D60,'DB animal categories'!$C$107:$O$116,2,FALSE)*'DB additional information '!$F$80*'Calc (ex-animal)'!E60/1000/1000)))</f>
        <v/>
      </c>
      <c r="L60" s="68"/>
      <c r="M60" s="58" t="str">
        <f>IF(F60=1,VLOOKUP(D60,'DB animal categories'!$C$107:$AM$116,29,FALSE)/1000*E60,IF(F60="","",IF(D60="","",IF(F60=2,VLOOKUP(D60,'DB animal categories'!$C$107:$AH$116,18,FALSE)*E60/1000,K60+L60))))</f>
        <v/>
      </c>
      <c r="N60" s="68" t="str">
        <f>IF(F60="","",IF(D60="","",IF(F60=2,P60-O60,(VLOOKUP(D60,'DB animal categories'!$C$107:$AH$116,8,FALSE)*VLOOKUP(D60,'DB animal categories'!$C$107:$AH$116,12,FALSE)/1000/1000)*E60-VLOOKUP(D60,'DB animal categories'!$C$107:$O$116,7,FALSE)*'DB additional information '!$F$78*'Calc (ex-animal)'!E60/1000/1000-VLOOKUP(D60,'DB animal categories'!$C$107:$O$116,2,FALSE)*'DB additional information '!$F$81*'Calc (ex-animal)'!E60/1000/1000)))</f>
        <v/>
      </c>
      <c r="O60" s="68"/>
      <c r="P60" s="58" t="str">
        <f>IF(F60=1,VLOOKUP(D60,'DB animal categories'!$C$107:$AM$116,31,FALSE)/1000*E60,IF(F60="","",IF(D60="","",IF(F60=2,E60*VLOOKUP(D60,'DB animal categories'!$C$107:$AH$116,21,FALSE)/1000,N60+O60))))</f>
        <v/>
      </c>
      <c r="Q60" s="68" t="str">
        <f>IF(F60="","",IF(D60="","",IF(F60=2,S60-R60,(VLOOKUP(D60,'DB animal categories'!$C$107:$AH$116,8,FALSE)*VLOOKUP(D60,'DB animal categories'!$C$107:$AH$116,13,FALSE)/1000/1000)*E60-VLOOKUP(D60,'DB animal categories'!$C$107:$O$116,7,FALSE)*'DB additional information '!$F$79*'Calc (ex-animal)'!E60/1000/1000-VLOOKUP(D60,'DB animal categories'!$C$107:$O$116,2,FALSE)*'DB additional information '!$F$82*'Calc (ex-animal)'!E60/1000/1000)))</f>
        <v/>
      </c>
      <c r="R60" s="68"/>
      <c r="S60" s="58" t="str">
        <f>IF(F60=1,VLOOKUP(D60,'DB animal categories'!$C$107:$AM$116,32,FALSE)/1000*E60,IF(F60="","",IF(D60="","",IF(F60=2,E60*VLOOKUP(D60,'DB animal categories'!$C$107:$AH$116,24,FALSE)/1000,Q60+R60))))</f>
        <v/>
      </c>
      <c r="T60" s="58" t="str">
        <f>IF(D60="","",IF(F60=1,VLOOKUP(D60,'DB animal categories'!$C$107:$AM$116,33,FALSE)*E60,I60/VLOOKUP(D60,'DB animal categories'!$C$107:$AH$116,27,FALSE)*(VLOOKUP(D60,'DB animal categories'!$C$107:$AH$116,25,FALSE)*VLOOKUP(D60,'DB animal categories'!$C$107:$AH$116,26,FALSE)/24)))</f>
        <v/>
      </c>
      <c r="U60" s="58" t="str">
        <f>IF(D60="","",IF(F60=1,VLOOKUP(D60,'DB animal categories'!$C$107:$AM$116,34,FALSE)*E60/1000,M60/VLOOKUP(D60,'DB animal categories'!$C$107:$AH$116,27,FALSE)*(VLOOKUP(D60,'DB animal categories'!$C$107:$AH$116,25,FALSE)*VLOOKUP(D60,'DB animal categories'!$C$107:$AH$116,26,FALSE)/24)))</f>
        <v/>
      </c>
      <c r="V60" s="607">
        <f>IF(K60="",0,K60/M60*U60*'DB technologies'!$AT$11/100)</f>
        <v>0</v>
      </c>
      <c r="W60" s="607">
        <f>IF(K60="",0,(U60-V60)*'DB technologies'!$AU$11/100)</f>
        <v>0</v>
      </c>
      <c r="X60" s="58" t="str">
        <f>IF(D60="","",IF(F60=1,VLOOKUP(D60,'DB animal categories'!$C$107:$AM$116,36,FALSE)*E60/1000,P60/VLOOKUP(D60,'DB animal categories'!$C$107:$AH$116,27,FALSE)*(VLOOKUP(D60,'DB animal categories'!$C$107:$AH$116,25,FALSE)*VLOOKUP(D60,'DB animal categories'!$C$107:$AH$116,26,FALSE)/24)))</f>
        <v/>
      </c>
      <c r="Y60" s="63" t="str">
        <f>IF(D60="","",IF(F60=1,VLOOKUP(D60,'DB animal categories'!$C$107:$AM$116,37,FALSE)*E60/1000,S60/VLOOKUP(D60,'DB animal categories'!$C$107:$AH$116,27,FALSE)*(VLOOKUP(D60,'DB animal categories'!$C$107:$AH$116,25,FALSE)*VLOOKUP(D60,'DB animal categories'!$C$107:$AH$116,26,FALSE)/24)))</f>
        <v/>
      </c>
    </row>
    <row r="61" spans="2:30" ht="11.25" customHeight="1" x14ac:dyDescent="0.2">
      <c r="B61" s="684"/>
      <c r="C61" s="676"/>
      <c r="D61" s="1404"/>
      <c r="E61" s="1405"/>
      <c r="F61" s="1405"/>
      <c r="G61" s="59" t="str">
        <f>IF(F61=1,"",IF(D61="","",IF(F61=2,I61*VLOOKUP($C$58,'DB additional information '!$X$4:$AB$25,4,FALSE)/100,VLOOKUP(D61,'DB animal categories'!$C$107:$AH$116,8,FALSE)*VLOOKUP(D61,'DB animal categories'!$C$107:$AC$116,9,FALSE)/100*(1-(VLOOKUP(D61,'DB animal categories'!$C$107:$AH$116,10,FALSE)/100))/('DB additional information '!$K$15/100)/1000*E61)))</f>
        <v/>
      </c>
      <c r="H61" s="41"/>
      <c r="I61" s="58" t="str">
        <f>IF(F61=1,E61*VLOOKUP(D61,'DB animal categories'!$C$107:$AN$116,28,FALSE),IF(D61="","",IF(F61=2,VLOOKUP(D61,'DB animal categories'!$C$107:$AH$116,14,FALSE)*E61,G61+H61)))</f>
        <v/>
      </c>
      <c r="J61" s="58" t="str">
        <f>IF(F61=1,VLOOKUP(D61,'DB animal categories'!$C$107:$AN$116,38,FALSE),IF(F61="","",IF(D61="","",IF(F61=2,VLOOKUP(D61,'DB animal categories'!$C$107:$AH$116,15,FALSE),(G61*'DB additional information '!$K$15/100+H61*'DB additional information '!$L$15/100)/I61*100))))</f>
        <v/>
      </c>
      <c r="K61" s="68" t="str">
        <f>IF(F61="","",IF(D61="","",IF(F61=2,M61-L61,(VLOOKUP(D61,'DB animal categories'!$C$107:$AH$116,8,FALSE)*VLOOKUP(D61,'DB animal categories'!$C$107:$AH$116,11,FALSE)/6.25/1000/1000)*E61-VLOOKUP(D61,'DB animal categories'!$C$107:$O$116,7,FALSE)*'DB additional information '!$F$77*'Calc (ex-animal)'!E61/1000/1000-VLOOKUP(D61,'DB animal categories'!$C$107:$O$116,2,FALSE)*'DB additional information '!$F$80*'Calc (ex-animal)'!E61/1000/1000)))</f>
        <v/>
      </c>
      <c r="L61" s="68"/>
      <c r="M61" s="58" t="str">
        <f>IF(F61=1,VLOOKUP(D61,'DB animal categories'!$C$107:$AM$116,29,FALSE)/1000*E61,IF(F61="","",IF(D61="","",IF(F61=2,VLOOKUP(D61,'DB animal categories'!$C$107:$AH$116,18,FALSE)*E61/1000,K61+L61))))</f>
        <v/>
      </c>
      <c r="N61" s="68" t="str">
        <f>IF(F61="","",IF(D61="","",IF(F61=2,P61-O61,(VLOOKUP(D61,'DB animal categories'!$C$107:$AH$116,8,FALSE)*VLOOKUP(D61,'DB animal categories'!$C$107:$AH$116,12,FALSE)/1000/1000)*E61-VLOOKUP(D61,'DB animal categories'!$C$107:$O$116,7,FALSE)*'DB additional information '!$F$78*'Calc (ex-animal)'!E61/1000/1000-VLOOKUP(D61,'DB animal categories'!$C$107:$O$116,2,FALSE)*'DB additional information '!$F$81*'Calc (ex-animal)'!E61/1000/1000)))</f>
        <v/>
      </c>
      <c r="O61" s="68"/>
      <c r="P61" s="58" t="str">
        <f>IF(F61=1,VLOOKUP(D61,'DB animal categories'!$C$107:$AM$116,31,FALSE)/1000*E61,IF(F61="","",IF(D61="","",IF(F61=2,E61*VLOOKUP(D61,'DB animal categories'!$C$107:$AH$116,21,FALSE)/1000,N61+O61))))</f>
        <v/>
      </c>
      <c r="Q61" s="68" t="str">
        <f>IF(F61="","",IF(D61="","",IF(F61=2,S61-R61,(VLOOKUP(D61,'DB animal categories'!$C$107:$AH$116,8,FALSE)*VLOOKUP(D61,'DB animal categories'!$C$107:$AH$116,13,FALSE)/1000/1000)*E61-VLOOKUP(D61,'DB animal categories'!$C$107:$O$116,7,FALSE)*'DB additional information '!$F$79*'Calc (ex-animal)'!E61/1000/1000-VLOOKUP(D61,'DB animal categories'!$C$107:$O$116,2,FALSE)*'DB additional information '!$F$82*'Calc (ex-animal)'!E61/1000/1000)))</f>
        <v/>
      </c>
      <c r="R61" s="68"/>
      <c r="S61" s="58" t="str">
        <f>IF(F61=1,VLOOKUP(D61,'DB animal categories'!$C$107:$AM$116,32,FALSE)/1000*E61,IF(F61="","",IF(D61="","",IF(F61=2,E61*VLOOKUP(D61,'DB animal categories'!$C$107:$AH$116,24,FALSE)/1000,Q61+R61))))</f>
        <v/>
      </c>
      <c r="T61" s="58" t="str">
        <f>IF(D61="","",IF(F61=1,VLOOKUP(D61,'DB animal categories'!$C$107:$AM$116,33,FALSE)*E61,I61/VLOOKUP(D61,'DB animal categories'!$C$107:$AH$116,27,FALSE)*(VLOOKUP(D61,'DB animal categories'!$C$107:$AH$116,25,FALSE)*VLOOKUP(D61,'DB animal categories'!$C$107:$AH$116,26,FALSE)/24)))</f>
        <v/>
      </c>
      <c r="U61" s="58" t="str">
        <f>IF(D61="","",IF(F61=1,VLOOKUP(D61,'DB animal categories'!$C$107:$AM$116,34,FALSE)*E61/1000,M61/VLOOKUP(D61,'DB animal categories'!$C$107:$AH$116,27,FALSE)*(VLOOKUP(D61,'DB animal categories'!$C$107:$AH$116,25,FALSE)*VLOOKUP(D61,'DB animal categories'!$C$107:$AH$116,26,FALSE)/24)))</f>
        <v/>
      </c>
      <c r="V61" s="607">
        <f>IF(K61="",0,K61/M61*U61*'DB technologies'!$AT$11/100)</f>
        <v>0</v>
      </c>
      <c r="W61" s="607">
        <f>IF(K61="",0,(U61-V61)*'DB technologies'!$AU$11/100)</f>
        <v>0</v>
      </c>
      <c r="X61" s="58" t="str">
        <f>IF(D61="","",IF(F61=1,VLOOKUP(D61,'DB animal categories'!$C$107:$AM$116,36,FALSE)*E61/1000,P61/VLOOKUP(D61,'DB animal categories'!$C$107:$AH$116,27,FALSE)*(VLOOKUP(D61,'DB animal categories'!$C$107:$AH$116,25,FALSE)*VLOOKUP(D61,'DB animal categories'!$C$107:$AH$116,26,FALSE)/24)))</f>
        <v/>
      </c>
      <c r="Y61" s="63" t="str">
        <f>IF(D61="","",IF(F61=1,VLOOKUP(D61,'DB animal categories'!$C$107:$AM$116,37,FALSE)*E61/1000,S61/VLOOKUP(D61,'DB animal categories'!$C$107:$AH$116,27,FALSE)*(VLOOKUP(D61,'DB animal categories'!$C$107:$AH$116,25,FALSE)*VLOOKUP(D61,'DB animal categories'!$C$107:$AH$116,26,FALSE)/24)))</f>
        <v/>
      </c>
    </row>
    <row r="62" spans="2:30" ht="12" customHeight="1" thickBot="1" x14ac:dyDescent="0.25">
      <c r="B62" s="684"/>
      <c r="C62" s="677"/>
      <c r="D62" s="1409"/>
      <c r="E62" s="1410"/>
      <c r="F62" s="1410"/>
      <c r="G62" s="89" t="str">
        <f>IF(F62=1,"",IF(D62="","",IF(F62=2,I62*VLOOKUP($C$58,'DB additional information '!$X$4:$AB$25,4,FALSE)/100,VLOOKUP(D62,'DB animal categories'!$C$107:$AH$116,8,FALSE)*VLOOKUP(D62,'DB animal categories'!$C$107:$AC$116,9,FALSE)/100*(1-(VLOOKUP(D62,'DB animal categories'!$C$107:$AH$116,10,FALSE)/100))/('DB additional information '!$K$15/100)/1000*E62)))</f>
        <v/>
      </c>
      <c r="H62" s="64"/>
      <c r="I62" s="122" t="str">
        <f>IF(F62=1,E62*VLOOKUP(D62,'DB animal categories'!$C$107:$AN$116,28,FALSE),IF(D62="","",IF(F62=2,VLOOKUP(D62,'DB animal categories'!$C$107:$AH$116,14,FALSE)*E62,G62+H62)))</f>
        <v/>
      </c>
      <c r="J62" s="122" t="str">
        <f>IF(F62=1,VLOOKUP(D62,'DB animal categories'!$C$107:$AN$116,38,FALSE),IF(F62="","",IF(D62="","",IF(F62=2,VLOOKUP(D62,'DB animal categories'!$C$107:$AH$116,15,FALSE),(G62*'DB additional information '!$K$15/100+H62*'DB additional information '!$L$15/100)/I62*100))))</f>
        <v/>
      </c>
      <c r="K62" s="123" t="str">
        <f>IF(F62="","",IF(D62="","",IF(F62=2,M62-L62,(VLOOKUP(D62,'DB animal categories'!$C$107:$AH$116,8,FALSE)*VLOOKUP(D62,'DB animal categories'!$C$107:$AH$116,11,FALSE)/6.25/1000/1000)*E62-VLOOKUP(D62,'DB animal categories'!$C$107:$O$116,7,FALSE)*'DB additional information '!$F$77*'Calc (ex-animal)'!E62/1000/1000-VLOOKUP(D62,'DB animal categories'!$C$107:$O$116,2,FALSE)*'DB additional information '!$F$80*'Calc (ex-animal)'!E62/1000/1000)))</f>
        <v/>
      </c>
      <c r="L62" s="123"/>
      <c r="M62" s="122" t="str">
        <f>IF(F62=1,VLOOKUP(D62,'DB animal categories'!$C$107:$AM$116,29,FALSE)/1000*E62,IF(F62="","",IF(D62="","",IF(F62=2,VLOOKUP(D62,'DB animal categories'!$C$107:$AH$116,18,FALSE)*E62/1000,K62+L62))))</f>
        <v/>
      </c>
      <c r="N62" s="123" t="str">
        <f>IF(F62="","",IF(D62="","",IF(F62=2,P62-O62,(VLOOKUP(D62,'DB animal categories'!$C$107:$AH$116,8,FALSE)*VLOOKUP(D62,'DB animal categories'!$C$107:$AH$116,12,FALSE)/1000/1000)*E62-VLOOKUP(D62,'DB animal categories'!$C$107:$O$116,7,FALSE)*'DB additional information '!$F$78*'Calc (ex-animal)'!E62/1000/1000-VLOOKUP(D62,'DB animal categories'!$C$107:$O$116,2,FALSE)*'DB additional information '!$F$81*'Calc (ex-animal)'!E62/1000/1000)))</f>
        <v/>
      </c>
      <c r="O62" s="123"/>
      <c r="P62" s="122" t="str">
        <f>IF(F62=1,VLOOKUP(D62,'DB animal categories'!$C$107:$AM$116,31,FALSE)/1000*E62,IF(F62="","",IF(D62="","",IF(F62=2,E62*VLOOKUP(D62,'DB animal categories'!$C$107:$AH$116,21,FALSE)/1000,N62+O62))))</f>
        <v/>
      </c>
      <c r="Q62" s="123" t="str">
        <f>IF(F62="","",IF(D62="","",IF(F62=2,S62-R62,(VLOOKUP(D62,'DB animal categories'!$C$107:$AH$116,8,FALSE)*VLOOKUP(D62,'DB animal categories'!$C$107:$AH$116,13,FALSE)/1000/1000)*E62-VLOOKUP(D62,'DB animal categories'!$C$107:$O$116,7,FALSE)*'DB additional information '!$F$79*'Calc (ex-animal)'!E62/1000/1000-VLOOKUP(D62,'DB animal categories'!$C$107:$O$116,2,FALSE)*'DB additional information '!$F$82*'Calc (ex-animal)'!E62/1000/1000)))</f>
        <v/>
      </c>
      <c r="R62" s="123"/>
      <c r="S62" s="122" t="str">
        <f>IF(F62=1,VLOOKUP(D62,'DB animal categories'!$C$107:$AM$116,32,FALSE)/1000*E62,IF(F62="","",IF(D62="","",IF(F62=2,E62*VLOOKUP(D62,'DB animal categories'!$C$107:$AH$116,24,FALSE)/1000,Q62+R62))))</f>
        <v/>
      </c>
      <c r="T62" s="122" t="str">
        <f>IF(D62="","",IF(F62=1,VLOOKUP(D62,'DB animal categories'!$C$107:$AM$116,33,FALSE)*E62,I62/VLOOKUP(D62,'DB animal categories'!$C$107:$AH$116,27,FALSE)*(VLOOKUP(D62,'DB animal categories'!$C$107:$AH$116,25,FALSE)*VLOOKUP(D62,'DB animal categories'!$C$107:$AH$116,26,FALSE)/24)))</f>
        <v/>
      </c>
      <c r="U62" s="122" t="str">
        <f>IF(D62="","",IF(F62=1,VLOOKUP(D62,'DB animal categories'!$C$107:$AM$116,34,FALSE)*E62/1000,M62/VLOOKUP(D62,'DB animal categories'!$C$107:$AH$116,27,FALSE)*(VLOOKUP(D62,'DB animal categories'!$C$107:$AH$116,25,FALSE)*VLOOKUP(D62,'DB animal categories'!$C$107:$AH$116,26,FALSE)/24)))</f>
        <v/>
      </c>
      <c r="V62" s="608">
        <f>IF(K62="",0,K62/M62*U62*'DB technologies'!$AT$11/100)</f>
        <v>0</v>
      </c>
      <c r="W62" s="608">
        <f>IF(K62="",0,(U62-V62)*'DB technologies'!$AU$11/100)</f>
        <v>0</v>
      </c>
      <c r="X62" s="122" t="str">
        <f>IF(D62="","",IF(F62=1,VLOOKUP(D62,'DB animal categories'!$C$107:$AM$116,36,FALSE)*E62/1000,P62/VLOOKUP(D62,'DB animal categories'!$C$107:$AH$116,27,FALSE)*(VLOOKUP(D62,'DB animal categories'!$C$107:$AH$116,25,FALSE)*VLOOKUP(D62,'DB animal categories'!$C$107:$AH$116,26,FALSE)/24)))</f>
        <v/>
      </c>
      <c r="Y62" s="124" t="str">
        <f>IF(D62="","",IF(F62=1,VLOOKUP(D62,'DB animal categories'!$C$107:$AM$116,37,FALSE)*E62/1000,S62/VLOOKUP(D62,'DB animal categories'!$C$107:$AH$116,27,FALSE)*(VLOOKUP(D62,'DB animal categories'!$C$107:$AH$116,25,FALSE)*VLOOKUP(D62,'DB animal categories'!$C$107:$AH$116,26,FALSE)/24)))</f>
        <v/>
      </c>
    </row>
    <row r="63" spans="2:30" ht="11.25" customHeight="1" x14ac:dyDescent="0.2">
      <c r="B63" s="684"/>
      <c r="C63" s="686" t="s">
        <v>34</v>
      </c>
      <c r="D63" s="1401"/>
      <c r="E63" s="1402"/>
      <c r="F63" s="1402"/>
      <c r="G63" s="59" t="str">
        <f>IF(F63=1,"",IF(D63="","",IF(F63=2,I63*VLOOKUP($C$63,'DB additional information '!$X$4:$AB$25,4,FALSE)/100,VLOOKUP(D63,'DB animal categories'!$C$117:$AH$126,8,FALSE)*VLOOKUP(D63,'DB animal categories'!$C$117:$AC$126,9,FALSE)/100*(1-(VLOOKUP(D63,'DB animal categories'!$C$117:$AH$126,10,FALSE)/100))/('DB additional information '!$K$13/100)/1000*E63)))</f>
        <v/>
      </c>
      <c r="H63" s="359"/>
      <c r="I63" s="66" t="str">
        <f>IF(F63=1,E63*VLOOKUP(D63,'DB animal categories'!$C$117:$AN$126,28,FALSE),IF(D63="","",IF(F63=2,VLOOKUP(D63,'DB animal categories'!$C$117:$AH$126,14,FALSE)*E63,G63+H63)))</f>
        <v/>
      </c>
      <c r="J63" s="66" t="str">
        <f>IF(F63=1,VLOOKUP(D63,'DB animal categories'!$C$117:$AN$126,38,FALSE),IF(F63="","",IF(D63="","",IF(F63=2,VLOOKUP(D63,'DB animal categories'!$C$117:$AH$126,15,FALSE),(G63*'DB additional information '!$K$13/100+H63*'DB additional information '!$L$13/100)/I63*100))))</f>
        <v/>
      </c>
      <c r="K63" s="74" t="str">
        <f>IF(F63="","",IF(D63="","",IF(F63=2,M63-L63,(VLOOKUP(D63,'DB animal categories'!$C$117:$AH$126,8,FALSE)*VLOOKUP(D63,'DB animal categories'!$C$117:$AH$126,11,FALSE)/6.25/1000/1000)*E63-VLOOKUP(D63,'DB animal categories'!$C$117:$O$126,7,FALSE)*'DB additional information '!$F$71*'Calc (ex-animal)'!E63/1000/1000)))</f>
        <v/>
      </c>
      <c r="L63" s="74"/>
      <c r="M63" s="66" t="str">
        <f>IF(F63=1,VLOOKUP(D63,'DB animal categories'!$C$117:$AM$125,29,FALSE)/1000*E63,IF(F63="","",IF(D63="","",IF(F63=2,VLOOKUP(D63,'DB animal categories'!$C$117:$AH$125,18,FALSE)*E63/1000,K63+L63))))</f>
        <v/>
      </c>
      <c r="N63" s="74" t="str">
        <f>IF(F63="","",IF(D63="","",IF(F63=2,P63-O63,(VLOOKUP(D63,'DB animal categories'!$C$117:$AH$126,8,FALSE)*VLOOKUP(D63,'DB animal categories'!$C$117:$AH$126,12,FALSE)/1000/1000)*E63-VLOOKUP(D63,'DB animal categories'!$C$117:$O$126,7,FALSE)*'DB additional information '!$F$72*'Calc (ex-animal)'!E63/1000/1000)))</f>
        <v/>
      </c>
      <c r="O63" s="74"/>
      <c r="P63" s="66" t="str">
        <f>IF(F63=1,VLOOKUP(D63,'DB animal categories'!$C$117:$AM$125,31,FALSE)/1000*E63,IF(F63="","",IF(D63="","",IF(F63=2,E63*VLOOKUP(D63,'DB animal categories'!$C$117:$AH$125,21,FALSE)/1000,N63+O63))))</f>
        <v/>
      </c>
      <c r="Q63" s="74" t="str">
        <f>IF(F63="","",IF(D63="","",IF(F63=2,S63-R63,(VLOOKUP(D63,'DB animal categories'!$C$117:$AH$126,8,FALSE)*VLOOKUP(D63,'DB animal categories'!$C$117:$AH$126,13,FALSE)/1000/1000)*E63-VLOOKUP(D63,'DB animal categories'!$C$117:$O$126,7,FALSE)*'DB additional information '!$F$73*'Calc (ex-animal)'!E63/1000/1000)))</f>
        <v/>
      </c>
      <c r="R63" s="74"/>
      <c r="S63" s="66" t="str">
        <f>IF(F63=1,VLOOKUP(D63,'DB animal categories'!$C$117:$AM$125,32,FALSE)/1000*E63,IF(F63="","",IF(D63="","",IF(F63=2,E63*VLOOKUP(D63,'DB animal categories'!$C$117:$AH$125,24,FALSE)/1000,Q63+R63))))</f>
        <v/>
      </c>
      <c r="T63" s="66" t="str">
        <f>IF(D63="","",IF(F63=1,VLOOKUP(D63,'DB animal categories'!$C$117:$AM$126,33,FALSE)*E63,I63/VLOOKUP(D63,'DB animal categories'!$C$117:$AH$126,27,FALSE)*(VLOOKUP(D63,'DB animal categories'!$C$117:$AH$126,25,FALSE)*VLOOKUP(D63,'DB animal categories'!$C$117:$AH$126,26,FALSE)/24)))</f>
        <v/>
      </c>
      <c r="U63" s="66" t="str">
        <f>IF(D63="","",IF(F63=1,VLOOKUP(D63,'DB animal categories'!$C$117:$AM$126,34,FALSE)*E63/1000,M63/VLOOKUP(D63,'DB animal categories'!$C$117:$AH$126,27,FALSE)*(VLOOKUP(D63,'DB animal categories'!$C$117:$AH$126,25,FALSE)*VLOOKUP(D63,'DB animal categories'!$C$117:$AH$126,26,FALSE)/24)))</f>
        <v/>
      </c>
      <c r="V63" s="607">
        <f>IF(K63="",0,K63/M63*U63*'DB technologies'!$AT$11/100)</f>
        <v>0</v>
      </c>
      <c r="W63" s="607">
        <f>IF(K63="",0,(U63-V63)*'DB technologies'!$AU$11/100)</f>
        <v>0</v>
      </c>
      <c r="X63" s="66" t="str">
        <f>IF(D63="","",IF(F63=1,VLOOKUP(D63,'DB animal categories'!$C$117:$AM$126,36,FALSE)*E63/1000,P63/VLOOKUP(D63,'DB animal categories'!$C$117:$AH$126,27,FALSE)*(VLOOKUP(D63,'DB animal categories'!$C$117:$AH$126,25,FALSE)*VLOOKUP(D63,'DB animal categories'!$C$117:$AH$126,26,FALSE)/24)))</f>
        <v/>
      </c>
      <c r="Y63" s="77" t="str">
        <f>IF(D63="","",IF(F63=1,VLOOKUP(D63,'DB animal categories'!$C$117:$AM$126,37,FALSE)*E63/1000,S63/VLOOKUP(D63,'DB animal categories'!$C$117:$AH$126,27,FALSE)*(VLOOKUP(D63,'DB animal categories'!$C$117:$AH$126,25,FALSE)*VLOOKUP(D63,'DB animal categories'!$C$117:$AH$126,26,FALSE)/24)))</f>
        <v/>
      </c>
    </row>
    <row r="64" spans="2:30" ht="11.25" customHeight="1" x14ac:dyDescent="0.2">
      <c r="B64" s="684"/>
      <c r="C64" s="676"/>
      <c r="D64" s="1404"/>
      <c r="E64" s="1405"/>
      <c r="F64" s="1405"/>
      <c r="G64" s="59" t="str">
        <f>IF(F64=1,"",IF(D64="","",IF(F64=2,I64*VLOOKUP($C$63,'DB additional information '!$X$4:$AB$25,4,FALSE)/100,VLOOKUP(D64,'DB animal categories'!$C$117:$AH$126,8,FALSE)*VLOOKUP(D64,'DB animal categories'!$C$117:$AC$126,9,FALSE)/100*(1-(VLOOKUP(D64,'DB animal categories'!$C$117:$AH$126,10,FALSE)/100))/('DB additional information '!$K$13/100)/1000*E64)))</f>
        <v/>
      </c>
      <c r="H64" s="41"/>
      <c r="I64" s="58" t="str">
        <f>IF(F64=1,E64*VLOOKUP(D64,'DB animal categories'!$C$117:$AN$126,28,FALSE),IF(D64="","",IF(F64=2,VLOOKUP(D64,'DB animal categories'!$C$117:$AH$126,14,FALSE)*E64,G64+H64)))</f>
        <v/>
      </c>
      <c r="J64" s="58" t="str">
        <f>IF(F64=1,VLOOKUP(D64,'DB animal categories'!$C$117:$AN$126,38,FALSE),IF(F64="","",IF(D64="","",IF(F64=2,VLOOKUP(D64,'DB animal categories'!$C$117:$AH$126,15,FALSE),(G64*'DB additional information '!$K$13/100+H64*'DB additional information '!$L$13/100)/I64*100))))</f>
        <v/>
      </c>
      <c r="K64" s="68" t="str">
        <f>IF(F64="","",IF(D64="","",IF(F64=2,M64-L64,(VLOOKUP(D64,'DB animal categories'!$C$117:$AH$126,8,FALSE)*VLOOKUP(D64,'DB animal categories'!$C$117:$AH$126,11,FALSE)/6.25/1000/1000)*E64-VLOOKUP(D64,'DB animal categories'!$C$117:$O$126,7,FALSE)*'DB additional information '!$F$71*'Calc (ex-animal)'!E64/1000/1000)))</f>
        <v/>
      </c>
      <c r="L64" s="68"/>
      <c r="M64" s="58" t="str">
        <f>IF(F64=1,VLOOKUP(D64,'DB animal categories'!$C$117:$AM$125,29,FALSE)/1000*E64,IF(F64="","",IF(D64="","",IF(F64=2,VLOOKUP(D64,'DB animal categories'!$C$117:$AH$125,18,FALSE)*E64/1000,K64+L64))))</f>
        <v/>
      </c>
      <c r="N64" s="68" t="str">
        <f>IF(F64="","",IF(D64="","",IF(F64=2,P64-O64,(VLOOKUP(D64,'DB animal categories'!$C$117:$AH$126,8,FALSE)*VLOOKUP(D64,'DB animal categories'!$C$117:$AH$126,12,FALSE)/1000/1000)*E64-VLOOKUP(D64,'DB animal categories'!$C$117:$O$126,7,FALSE)*'DB additional information '!$F$72*'Calc (ex-animal)'!E64/1000/1000)))</f>
        <v/>
      </c>
      <c r="O64" s="68"/>
      <c r="P64" s="58" t="str">
        <f>IF(F64=1,VLOOKUP(D64,'DB animal categories'!$C$117:$AM$125,31,FALSE)/1000*E64,IF(F64="","",IF(D64="","",IF(F64=2,E64*VLOOKUP(D64,'DB animal categories'!$C$117:$AH$125,21,FALSE)/1000,N64+O64))))</f>
        <v/>
      </c>
      <c r="Q64" s="68" t="str">
        <f>IF(F64="","",IF(D64="","",IF(F64=2,S64-R64,(VLOOKUP(D64,'DB animal categories'!$C$117:$AH$126,8,FALSE)*VLOOKUP(D64,'DB animal categories'!$C$117:$AH$126,13,FALSE)/1000/1000)*E64-VLOOKUP(D64,'DB animal categories'!$C$117:$O$126,7,FALSE)*'DB additional information '!$F$73*'Calc (ex-animal)'!E64/1000/1000)))</f>
        <v/>
      </c>
      <c r="R64" s="68"/>
      <c r="S64" s="58" t="str">
        <f>IF(F64=1,VLOOKUP(D64,'DB animal categories'!$C$117:$AM$125,32,FALSE)/1000*E64,IF(F64="","",IF(D64="","",IF(F64=2,E64*VLOOKUP(D64,'DB animal categories'!$C$117:$AH$125,24,FALSE)/1000,Q64+R64))))</f>
        <v/>
      </c>
      <c r="T64" s="58" t="str">
        <f>IF(D64="","",IF(F64=1,VLOOKUP(D64,'DB animal categories'!$C$117:$AM$126,33,FALSE)*E64,I64/VLOOKUP(D64,'DB animal categories'!$C$117:$AH$126,27,FALSE)*(VLOOKUP(D64,'DB animal categories'!$C$117:$AH$126,25,FALSE)*VLOOKUP(D64,'DB animal categories'!$C$117:$AH$126,26,FALSE)/24)))</f>
        <v/>
      </c>
      <c r="U64" s="58" t="str">
        <f>IF(D64="","",IF(F64=1,VLOOKUP(D64,'DB animal categories'!$C$117:$AM$126,34,FALSE)*E64/1000,M64/VLOOKUP(D64,'DB animal categories'!$C$117:$AH$126,27,FALSE)*(VLOOKUP(D64,'DB animal categories'!$C$117:$AH$126,25,FALSE)*VLOOKUP(D64,'DB animal categories'!$C$117:$AH$126,26,FALSE)/24)))</f>
        <v/>
      </c>
      <c r="V64" s="607">
        <f>IF(K64="",0,K64/M64*U64*'DB technologies'!$AT$11/100)</f>
        <v>0</v>
      </c>
      <c r="W64" s="607">
        <f>IF(K64="",0,(U64-V64)*'DB technologies'!$AU$11/100)</f>
        <v>0</v>
      </c>
      <c r="X64" s="58" t="str">
        <f>IF(D64="","",IF(F64=1,VLOOKUP(D64,'DB animal categories'!$C$117:$AM$126,36,FALSE)*E64/1000,P64/VLOOKUP(D64,'DB animal categories'!$C$117:$AH$126,27,FALSE)*(VLOOKUP(D64,'DB animal categories'!$C$117:$AH$126,25,FALSE)*VLOOKUP(D64,'DB animal categories'!$C$117:$AH$126,26,FALSE)/24)))</f>
        <v/>
      </c>
      <c r="Y64" s="63" t="str">
        <f>IF(D64="","",IF(F64=1,VLOOKUP(D64,'DB animal categories'!$C$117:$AM$126,37,FALSE)*E64/1000,S64/VLOOKUP(D64,'DB animal categories'!$C$117:$AH$126,27,FALSE)*(VLOOKUP(D64,'DB animal categories'!$C$117:$AH$126,25,FALSE)*VLOOKUP(D64,'DB animal categories'!$C$117:$AH$126,26,FALSE)/24)))</f>
        <v/>
      </c>
    </row>
    <row r="65" spans="2:25" ht="11.25" customHeight="1" x14ac:dyDescent="0.2">
      <c r="B65" s="684"/>
      <c r="C65" s="676"/>
      <c r="D65" s="1404"/>
      <c r="E65" s="1405"/>
      <c r="F65" s="1405"/>
      <c r="G65" s="59" t="str">
        <f>IF(F65=1,"",IF(D65="","",IF(F65=2,I65*VLOOKUP($C$63,'DB additional information '!$X$4:$AB$25,4,FALSE)/100,VLOOKUP(D65,'DB animal categories'!$C$117:$AH$126,8,FALSE)*VLOOKUP(D65,'DB animal categories'!$C$117:$AC$126,9,FALSE)/100*(1-(VLOOKUP(D65,'DB animal categories'!$C$117:$AH$126,10,FALSE)/100))/('DB additional information '!$K$13/100)/1000*E65)))</f>
        <v/>
      </c>
      <c r="H65" s="41"/>
      <c r="I65" s="58" t="str">
        <f>IF(F65=1,E65*VLOOKUP(D65,'DB animal categories'!$C$117:$AN$126,28,FALSE),IF(D65="","",IF(F65=2,VLOOKUP(D65,'DB animal categories'!$C$117:$AH$126,14,FALSE)*E65,G65+H65)))</f>
        <v/>
      </c>
      <c r="J65" s="58" t="str">
        <f>IF(F65=1,VLOOKUP(D65,'DB animal categories'!$C$117:$AN$126,38,FALSE),IF(F65="","",IF(D65="","",IF(F65=2,VLOOKUP(D65,'DB animal categories'!$C$117:$AH$126,15,FALSE),(G65*'DB additional information '!$K$13/100+H65*'DB additional information '!$L$13/100)/I65*100))))</f>
        <v/>
      </c>
      <c r="K65" s="68" t="str">
        <f>IF(F65="","",IF(D65="","",IF(F65=2,M65-L65,(VLOOKUP(D65,'DB animal categories'!$C$117:$AH$126,8,FALSE)*VLOOKUP(D65,'DB animal categories'!$C$117:$AH$126,11,FALSE)/6.25/1000/1000)*E65-VLOOKUP(D65,'DB animal categories'!$C$117:$O$126,7,FALSE)*'DB additional information '!$F$71*'Calc (ex-animal)'!E65/1000/1000)))</f>
        <v/>
      </c>
      <c r="L65" s="68"/>
      <c r="M65" s="58" t="str">
        <f>IF(F65=1,VLOOKUP(D65,'DB animal categories'!$C$117:$AM$125,29,FALSE)/1000*E65,IF(F65="","",IF(D65="","",IF(F65=2,VLOOKUP(D65,'DB animal categories'!$C$117:$AH$125,18,FALSE)*E65/1000,K65+L65))))</f>
        <v/>
      </c>
      <c r="N65" s="68" t="str">
        <f>IF(F65="","",IF(D65="","",IF(F65=2,P65-O65,(VLOOKUP(D65,'DB animal categories'!$C$117:$AH$126,8,FALSE)*VLOOKUP(D65,'DB animal categories'!$C$117:$AH$126,12,FALSE)/1000/1000)*E65-VLOOKUP(D65,'DB animal categories'!$C$117:$O$126,7,FALSE)*'DB additional information '!$F$72*'Calc (ex-animal)'!E65/1000/1000)))</f>
        <v/>
      </c>
      <c r="O65" s="68"/>
      <c r="P65" s="58" t="str">
        <f>IF(F65=1,VLOOKUP(D65,'DB animal categories'!$C$117:$AM$125,31,FALSE)/1000*E65,IF(F65="","",IF(D65="","",IF(F65=2,E65*VLOOKUP(D65,'DB animal categories'!$C$117:$AH$125,21,FALSE)/1000,N65+O65))))</f>
        <v/>
      </c>
      <c r="Q65" s="68" t="str">
        <f>IF(F65="","",IF(D65="","",IF(F65=2,S65-R65,(VLOOKUP(D65,'DB animal categories'!$C$117:$AH$126,8,FALSE)*VLOOKUP(D65,'DB animal categories'!$C$117:$AH$126,13,FALSE)/1000/1000)*E65-VLOOKUP(D65,'DB animal categories'!$C$117:$O$126,7,FALSE)*'DB additional information '!$F$73*'Calc (ex-animal)'!E65/1000/1000)))</f>
        <v/>
      </c>
      <c r="R65" s="68"/>
      <c r="S65" s="58" t="str">
        <f>IF(F65=1,VLOOKUP(D65,'DB animal categories'!$C$117:$AM$125,32,FALSE)/1000*E65,IF(F65="","",IF(D65="","",IF(F65=2,E65*VLOOKUP(D65,'DB animal categories'!$C$117:$AH$125,24,FALSE)/1000,Q65+R65))))</f>
        <v/>
      </c>
      <c r="T65" s="58" t="str">
        <f>IF(D65="","",IF(F65=1,VLOOKUP(D65,'DB animal categories'!$C$117:$AM$126,33,FALSE)*E65,I65/VLOOKUP(D65,'DB animal categories'!$C$117:$AH$126,27,FALSE)*(VLOOKUP(D65,'DB animal categories'!$C$117:$AH$126,25,FALSE)*VLOOKUP(D65,'DB animal categories'!$C$117:$AH$126,26,FALSE)/24)))</f>
        <v/>
      </c>
      <c r="U65" s="58" t="str">
        <f>IF(D65="","",IF(F65=1,VLOOKUP(D65,'DB animal categories'!$C$117:$AM$126,34,FALSE)*E65/1000,M65/VLOOKUP(D65,'DB animal categories'!$C$117:$AH$126,27,FALSE)*(VLOOKUP(D65,'DB animal categories'!$C$117:$AH$126,25,FALSE)*VLOOKUP(D65,'DB animal categories'!$C$117:$AH$126,26,FALSE)/24)))</f>
        <v/>
      </c>
      <c r="V65" s="607">
        <f>IF(K65="",0,K65/M65*U65*'DB technologies'!$AT$11/100)</f>
        <v>0</v>
      </c>
      <c r="W65" s="607">
        <f>IF(K65="",0,(U65-V65)*'DB technologies'!$AU$11/100)</f>
        <v>0</v>
      </c>
      <c r="X65" s="58" t="str">
        <f>IF(D65="","",IF(F65=1,VLOOKUP(D65,'DB animal categories'!$C$117:$AM$126,36,FALSE)*E65/1000,P65/VLOOKUP(D65,'DB animal categories'!$C$117:$AH$126,27,FALSE)*(VLOOKUP(D65,'DB animal categories'!$C$117:$AH$126,25,FALSE)*VLOOKUP(D65,'DB animal categories'!$C$117:$AH$126,26,FALSE)/24)))</f>
        <v/>
      </c>
      <c r="Y65" s="63" t="str">
        <f>IF(D65="","",IF(F65=1,VLOOKUP(D65,'DB animal categories'!$C$117:$AM$126,37,FALSE)*E65/1000,S65/VLOOKUP(D65,'DB animal categories'!$C$117:$AH$126,27,FALSE)*(VLOOKUP(D65,'DB animal categories'!$C$117:$AH$126,25,FALSE)*VLOOKUP(D65,'DB animal categories'!$C$117:$AH$126,26,FALSE)/24)))</f>
        <v/>
      </c>
    </row>
    <row r="66" spans="2:25" ht="11.25" customHeight="1" x14ac:dyDescent="0.2">
      <c r="B66" s="684"/>
      <c r="C66" s="676"/>
      <c r="D66" s="1404"/>
      <c r="E66" s="1405"/>
      <c r="F66" s="1405"/>
      <c r="G66" s="59" t="str">
        <f>IF(F66=1,"",IF(D66="","",IF(F66=2,I66*VLOOKUP($C$63,'DB additional information '!$X$4:$AB$25,4,FALSE)/100,VLOOKUP(D66,'DB animal categories'!$C$117:$AH$126,8,FALSE)*VLOOKUP(D66,'DB animal categories'!$C$117:$AC$126,9,FALSE)/100*(1-(VLOOKUP(D66,'DB animal categories'!$C$117:$AH$126,10,FALSE)/100))/('DB additional information '!$K$13/100)/1000*E66)))</f>
        <v/>
      </c>
      <c r="H66" s="41"/>
      <c r="I66" s="58" t="str">
        <f>IF(F66=1,E66*VLOOKUP(D66,'DB animal categories'!$C$117:$AN$126,28,FALSE),IF(D66="","",IF(F66=2,VLOOKUP(D66,'DB animal categories'!$C$117:$AH$126,14,FALSE)*E66,G66+H66)))</f>
        <v/>
      </c>
      <c r="J66" s="58" t="str">
        <f>IF(F66=1,VLOOKUP(D66,'DB animal categories'!$C$117:$AN$126,38,FALSE),IF(F66="","",IF(D66="","",IF(F66=2,VLOOKUP(D66,'DB animal categories'!$C$117:$AH$126,15,FALSE),(G66*'DB additional information '!$K$13/100+H66*'DB additional information '!$L$13/100)/I66*100))))</f>
        <v/>
      </c>
      <c r="K66" s="68" t="str">
        <f>IF(F66="","",IF(D66="","",IF(F66=2,M66-L66,(VLOOKUP(D66,'DB animal categories'!$C$117:$AH$126,8,FALSE)*VLOOKUP(D66,'DB animal categories'!$C$117:$AH$126,11,FALSE)/6.25/1000/1000)*E66-VLOOKUP(D66,'DB animal categories'!$C$117:$O$126,7,FALSE)*'DB additional information '!$F$71*'Calc (ex-animal)'!E66/1000/1000)))</f>
        <v/>
      </c>
      <c r="L66" s="68"/>
      <c r="M66" s="58" t="str">
        <f>IF(F66=1,VLOOKUP(D66,'DB animal categories'!$C$117:$AM$125,29,FALSE)/1000*E66,IF(F66="","",IF(D66="","",IF(F66=2,VLOOKUP(D66,'DB animal categories'!$C$117:$AH$125,18,FALSE)*E66/1000,K66+L66))))</f>
        <v/>
      </c>
      <c r="N66" s="68" t="str">
        <f>IF(F66="","",IF(D66="","",IF(F66=2,P66-O66,(VLOOKUP(D66,'DB animal categories'!$C$117:$AH$126,8,FALSE)*VLOOKUP(D66,'DB animal categories'!$C$117:$AH$126,12,FALSE)/1000/1000)*E66-VLOOKUP(D66,'DB animal categories'!$C$117:$O$126,7,FALSE)*'DB additional information '!$F$72*'Calc (ex-animal)'!E66/1000/1000)))</f>
        <v/>
      </c>
      <c r="O66" s="68"/>
      <c r="P66" s="58" t="str">
        <f>IF(F66=1,VLOOKUP(D66,'DB animal categories'!$C$117:$AM$125,31,FALSE)/1000*E66,IF(F66="","",IF(D66="","",IF(F66=2,E66*VLOOKUP(D66,'DB animal categories'!$C$117:$AH$125,21,FALSE)/1000,N66+O66))))</f>
        <v/>
      </c>
      <c r="Q66" s="68" t="str">
        <f>IF(F66="","",IF(D66="","",IF(F66=2,S66-R66,(VLOOKUP(D66,'DB animal categories'!$C$117:$AH$126,8,FALSE)*VLOOKUP(D66,'DB animal categories'!$C$117:$AH$126,13,FALSE)/1000/1000)*E66-VLOOKUP(D66,'DB animal categories'!$C$117:$O$126,7,FALSE)*'DB additional information '!$F$73*'Calc (ex-animal)'!E66/1000/1000)))</f>
        <v/>
      </c>
      <c r="R66" s="68"/>
      <c r="S66" s="58" t="str">
        <f>IF(F66=1,VLOOKUP(D66,'DB animal categories'!$C$117:$AM$125,32,FALSE)/1000*E66,IF(F66="","",IF(D66="","",IF(F66=2,E66*VLOOKUP(D66,'DB animal categories'!$C$117:$AH$125,24,FALSE)/1000,Q66+R66))))</f>
        <v/>
      </c>
      <c r="T66" s="58" t="str">
        <f>IF(D66="","",IF(F66=1,VLOOKUP(D66,'DB animal categories'!$C$117:$AM$126,33,FALSE)*E66,I66/VLOOKUP(D66,'DB animal categories'!$C$117:$AH$126,27,FALSE)*(VLOOKUP(D66,'DB animal categories'!$C$117:$AH$126,25,FALSE)*VLOOKUP(D66,'DB animal categories'!$C$117:$AH$126,26,FALSE)/24)))</f>
        <v/>
      </c>
      <c r="U66" s="58" t="str">
        <f>IF(D66="","",IF(F66=1,VLOOKUP(D66,'DB animal categories'!$C$117:$AM$126,34,FALSE)*E66/1000,M66/VLOOKUP(D66,'DB animal categories'!$C$117:$AH$126,27,FALSE)*(VLOOKUP(D66,'DB animal categories'!$C$117:$AH$126,25,FALSE)*VLOOKUP(D66,'DB animal categories'!$C$117:$AH$126,26,FALSE)/24)))</f>
        <v/>
      </c>
      <c r="V66" s="607">
        <f>IF(K66="",0,K66/M66*U66*'DB technologies'!$AT$11/100)</f>
        <v>0</v>
      </c>
      <c r="W66" s="607">
        <f>IF(K66="",0,(U66-V66)*'DB technologies'!$AU$11/100)</f>
        <v>0</v>
      </c>
      <c r="X66" s="58" t="str">
        <f>IF(D66="","",IF(F66=1,VLOOKUP(D66,'DB animal categories'!$C$117:$AM$126,36,FALSE)*E66/1000,P66/VLOOKUP(D66,'DB animal categories'!$C$117:$AH$126,27,FALSE)*(VLOOKUP(D66,'DB animal categories'!$C$117:$AH$126,25,FALSE)*VLOOKUP(D66,'DB animal categories'!$C$117:$AH$126,26,FALSE)/24)))</f>
        <v/>
      </c>
      <c r="Y66" s="63" t="str">
        <f>IF(D66="","",IF(F66=1,VLOOKUP(D66,'DB animal categories'!$C$117:$AM$126,37,FALSE)*E66/1000,S66/VLOOKUP(D66,'DB animal categories'!$C$117:$AH$126,27,FALSE)*(VLOOKUP(D66,'DB animal categories'!$C$117:$AH$126,25,FALSE)*VLOOKUP(D66,'DB animal categories'!$C$117:$AH$126,26,FALSE)/24)))</f>
        <v/>
      </c>
    </row>
    <row r="67" spans="2:25" ht="12" customHeight="1" thickBot="1" x14ac:dyDescent="0.25">
      <c r="B67" s="684"/>
      <c r="C67" s="677"/>
      <c r="D67" s="1409"/>
      <c r="E67" s="1410"/>
      <c r="F67" s="1410"/>
      <c r="G67" s="89" t="str">
        <f>IF(F67=1,"",IF(D67="","",IF(F67=2,I67*VLOOKUP($C$63,'DB additional information '!$X$4:$AB$25,4,FALSE)/100,VLOOKUP(D67,'DB animal categories'!$C$117:$AH$126,8,FALSE)*VLOOKUP(D67,'DB animal categories'!$C$117:$AC$126,9,FALSE)/100*(1-(VLOOKUP(D67,'DB animal categories'!$C$117:$AH$126,10,FALSE)/100))/('DB additional information '!$K$13/100)/1000*E67)))</f>
        <v/>
      </c>
      <c r="H67" s="64"/>
      <c r="I67" s="122" t="str">
        <f>IF(F67=1,E67*VLOOKUP(D67,'DB animal categories'!$C$117:$AN$126,28,FALSE),IF(D67="","",IF(F67=2,VLOOKUP(D67,'DB animal categories'!$C$117:$AH$126,14,FALSE)*E67,G67+H67)))</f>
        <v/>
      </c>
      <c r="J67" s="122" t="str">
        <f>IF(F67=1,VLOOKUP(D67,'DB animal categories'!$C$117:$AN$126,38,FALSE),IF(F67="","",IF(D67="","",IF(F67=2,VLOOKUP(D67,'DB animal categories'!$C$117:$AH$126,15,FALSE),(G67*'DB additional information '!$K$13/100+H67*'DB additional information '!$L$13/100)/I67*100))))</f>
        <v/>
      </c>
      <c r="K67" s="123" t="str">
        <f>IF(F67="","",IF(D67="","",IF(F67=2,M67-L67,(VLOOKUP(D67,'DB animal categories'!$C$117:$AH$126,8,FALSE)*VLOOKUP(D67,'DB animal categories'!$C$117:$AH$126,11,FALSE)/6.25/1000/1000)*E67-VLOOKUP(D67,'DB animal categories'!$C$117:$O$126,7,FALSE)*'DB additional information '!$F$71*'Calc (ex-animal)'!E67/1000/1000)))</f>
        <v/>
      </c>
      <c r="L67" s="123"/>
      <c r="M67" s="122" t="str">
        <f>IF(F67=1,VLOOKUP(D67,'DB animal categories'!$C$117:$AM$125,29,FALSE)/1000*E67,IF(F67="","",IF(D67="","",IF(F67=2,VLOOKUP(D67,'DB animal categories'!$C$117:$AH$125,18,FALSE)*E67/1000,K67+L67))))</f>
        <v/>
      </c>
      <c r="N67" s="123" t="str">
        <f>IF(F67="","",IF(D67="","",IF(F67=2,P67-O67,(VLOOKUP(D67,'DB animal categories'!$C$117:$AH$126,8,FALSE)*VLOOKUP(D67,'DB animal categories'!$C$117:$AH$126,12,FALSE)/1000/1000)*E67-VLOOKUP(D67,'DB animal categories'!$C$117:$O$126,7,FALSE)*'DB additional information '!$F$72*'Calc (ex-animal)'!E67/1000/1000)))</f>
        <v/>
      </c>
      <c r="O67" s="123"/>
      <c r="P67" s="122" t="str">
        <f>IF(F67=1,VLOOKUP(D67,'DB animal categories'!$C$117:$AM$125,31,FALSE)/1000*E67,IF(F67="","",IF(D67="","",IF(F67=2,E67*VLOOKUP(D67,'DB animal categories'!$C$117:$AH$125,21,FALSE)/1000,N67+O67))))</f>
        <v/>
      </c>
      <c r="Q67" s="123" t="str">
        <f>IF(F67="","",IF(D67="","",IF(F67=2,S67-R67,(VLOOKUP(D67,'DB animal categories'!$C$117:$AH$126,8,FALSE)*VLOOKUP(D67,'DB animal categories'!$C$117:$AH$126,13,FALSE)/1000/1000)*E67-VLOOKUP(D67,'DB animal categories'!$C$117:$O$126,7,FALSE)*'DB additional information '!$F$73*'Calc (ex-animal)'!E67/1000/1000)))</f>
        <v/>
      </c>
      <c r="R67" s="123"/>
      <c r="S67" s="122" t="str">
        <f>IF(F67=1,VLOOKUP(D67,'DB animal categories'!$C$117:$AM$125,32,FALSE)/1000*E67,IF(F67="","",IF(D67="","",IF(F67=2,E67*VLOOKUP(D67,'DB animal categories'!$C$117:$AH$125,24,FALSE)/1000,Q67+R67))))</f>
        <v/>
      </c>
      <c r="T67" s="122" t="str">
        <f>IF(D67="","",IF(F67=1,VLOOKUP(D67,'DB animal categories'!$C$117:$AM$126,33,FALSE)*E67,I67/VLOOKUP(D67,'DB animal categories'!$C$117:$AH$126,27,FALSE)*(VLOOKUP(D67,'DB animal categories'!$C$117:$AH$126,25,FALSE)*VLOOKUP(D67,'DB animal categories'!$C$117:$AH$126,26,FALSE)/24)))</f>
        <v/>
      </c>
      <c r="U67" s="122" t="str">
        <f>IF(D67="","",IF(F67=1,VLOOKUP(D67,'DB animal categories'!$C$117:$AM$126,34,FALSE)*E67/1000,M67/VLOOKUP(D67,'DB animal categories'!$C$117:$AH$126,27,FALSE)*(VLOOKUP(D67,'DB animal categories'!$C$117:$AH$126,25,FALSE)*VLOOKUP(D67,'DB animal categories'!$C$117:$AH$126,26,FALSE)/24)))</f>
        <v/>
      </c>
      <c r="V67" s="608">
        <f>IF(K67="",0,K67/M67*U67*'DB technologies'!$AT$11/100)</f>
        <v>0</v>
      </c>
      <c r="W67" s="608">
        <f>IF(K67="",0,(U67-V67)*'DB technologies'!$AU$11/100)</f>
        <v>0</v>
      </c>
      <c r="X67" s="122" t="str">
        <f>IF(D67="","",IF(F67=1,VLOOKUP(D67,'DB animal categories'!$C$117:$AM$126,36,FALSE)*E67/1000,P67/VLOOKUP(D67,'DB animal categories'!$C$117:$AH$126,27,FALSE)*(VLOOKUP(D67,'DB animal categories'!$C$117:$AH$126,25,FALSE)*VLOOKUP(D67,'DB animal categories'!$C$117:$AH$126,26,FALSE)/24)))</f>
        <v/>
      </c>
      <c r="Y67" s="124" t="str">
        <f>IF(D67="","",IF(F67=1,VLOOKUP(D67,'DB animal categories'!$C$117:$AM$126,37,FALSE)*E67/1000,S67/VLOOKUP(D67,'DB animal categories'!$C$117:$AH$126,27,FALSE)*(VLOOKUP(D67,'DB animal categories'!$C$117:$AH$126,25,FALSE)*VLOOKUP(D67,'DB animal categories'!$C$117:$AH$126,26,FALSE)/24)))</f>
        <v/>
      </c>
    </row>
    <row r="68" spans="2:25" ht="11.25" customHeight="1" x14ac:dyDescent="0.2">
      <c r="B68" s="684"/>
      <c r="C68" s="686" t="s">
        <v>35</v>
      </c>
      <c r="D68" s="1401"/>
      <c r="E68" s="1421"/>
      <c r="F68" s="1402"/>
      <c r="G68" s="59" t="str">
        <f>IF(F68=1,"",IF(D68="","",IF(F68=2,I68*VLOOKUP($C$68,'DB additional information '!$X$4:$AB$25,4,FALSE)/100,VLOOKUP(D68,'DB animal categories'!$C$127:$AH$136,8,FALSE)*VLOOKUP(D68,'DB animal categories'!$C$127:$AC$136,9,FALSE)/100*(1-(VLOOKUP(D68,'DB animal categories'!$C$127:$AH$136,10,FALSE)/100))/('DB additional information '!$K$14/100)/1000*E68)))</f>
        <v/>
      </c>
      <c r="H68" s="359"/>
      <c r="I68" s="66" t="str">
        <f>IF(F68=1,E68*VLOOKUP(D68,'DB animal categories'!$C$127:$AN$136,28,FALSE),IF(D68="","",IF(F68=2,VLOOKUP(D68,'DB animal categories'!$C$127:$AH$136,14,FALSE)*E68,G68+H68)))</f>
        <v/>
      </c>
      <c r="J68" s="66" t="str">
        <f>IF(F68=1,VLOOKUP(D68,'DB animal categories'!$C$127:$AN$136,38,FALSE),IF(F68="","",IF(D68="","",IF(F68=2,VLOOKUP(D68,'DB animal categories'!$C$127:$AH$136,15,FALSE),(G68*'DB additional information '!$K$14/100+H68*'DB additional information '!$L$14/100)/I68*100))))</f>
        <v/>
      </c>
      <c r="K68" s="74" t="str">
        <f>IF(F68="","",IF(D68="","",IF(F68=2,M68-L68,(VLOOKUP(D68,'DB animal categories'!$C$127:$AH$136,8,FALSE)*VLOOKUP(D68,'DB animal categories'!$C$127:$AH$136,11,FALSE)/6.25/1000/1000)*E68-VLOOKUP(D68,'DB animal categories'!$C$127:$O$136,7,FALSE)*'DB additional information '!$F$74*'Calc (ex-animal)'!E68/1000/1000)))</f>
        <v/>
      </c>
      <c r="L68" s="361"/>
      <c r="M68" s="66" t="str">
        <f>IF(F68=1,VLOOKUP(D68,'DB animal categories'!$C$127:$AM$136,29,FALSE)/1000*E68,IF(F68="","",IF(D68="","",IF(F68=2,VLOOKUP(D68,'DB animal categories'!$C$127:$AH$136,18,FALSE)*E68/1000,K68+L68))))</f>
        <v/>
      </c>
      <c r="N68" s="74" t="str">
        <f>IF(F68="","",IF(D68="","",IF(F68=2,P68-O68,(VLOOKUP(D68,'DB animal categories'!$C$127:$AH$136,8,FALSE)*VLOOKUP(D68,'DB animal categories'!$C$127:$AH$136,12,FALSE)/1000/1000)*E68-VLOOKUP(D68,'DB animal categories'!$C$127:$O$136,7,FALSE)*'DB additional information '!$F$75*'Calc (ex-animal)'!E68/1000/1000)))</f>
        <v/>
      </c>
      <c r="O68" s="361"/>
      <c r="P68" s="66" t="str">
        <f>IF(F68=1,VLOOKUP(D68,'DB animal categories'!$C$127:$AM$135,31,FALSE)/1000*E68,IF(F68="","",IF(D68="","",IF(F68=2,E68*VLOOKUP(D68,'DB animal categories'!$C$127:$AH$135,21,FALSE)/1000,N68+O68))))</f>
        <v/>
      </c>
      <c r="Q68" s="74" t="str">
        <f>IF(F68="","",IF(D68="","",IF(F68=2,S68-R68,(VLOOKUP(D68,'DB animal categories'!$C$127:$AH$136,8,FALSE)*VLOOKUP(D68,'DB animal categories'!$C$126:$AH$127,13,FALSE)/1000/1000)*E68-VLOOKUP(D68,'DB animal categories'!$C$127:$O$136,7,FALSE)*'DB additional information '!$F$76*'Calc (ex-animal)'!E68/1000/1000)))</f>
        <v/>
      </c>
      <c r="R68" s="74"/>
      <c r="S68" s="66" t="str">
        <f>IF(F68=1,VLOOKUP(D68,'DB animal categories'!$C$127:$AM$135,32,FALSE)/1000*E68,IF(F68="","",IF(D68="","",IF(F68=2,E68*VLOOKUP(D68,'DB animal categories'!$C$127:$AH$135,24,FALSE)/1000,Q68+R68))))</f>
        <v/>
      </c>
      <c r="T68" s="66" t="str">
        <f>IF(D68="","",IF(F68=1,VLOOKUP(D68,'DB animal categories'!$C$127:$AM$136,33,FALSE)*E68,I68/VLOOKUP(D68,'DB animal categories'!$C$127:$AH$136,27,FALSE)*(VLOOKUP(D68,'DB animal categories'!$C$127:$AH$136,25,FALSE)*VLOOKUP(D68,'DB animal categories'!$C$127:$AH$136,26,FALSE)/24)))</f>
        <v/>
      </c>
      <c r="U68" s="66" t="str">
        <f>IF(D68="","",IF(F68=1,VLOOKUP(D68,'DB animal categories'!$C$127:$AM$136,34,FALSE)*E68/1000,M68/VLOOKUP(D68,'DB animal categories'!$C$127:$AH$136,27,FALSE)*(VLOOKUP(D68,'DB animal categories'!$C$127:$AH$136,25,FALSE)*VLOOKUP(D68,'DB animal categories'!$C$127:$AH$136,26,FALSE)/24)))</f>
        <v/>
      </c>
      <c r="V68" s="607">
        <f>IF(K68="",0,K68/M68*U68*'DB technologies'!$AT$11/100)</f>
        <v>0</v>
      </c>
      <c r="W68" s="607">
        <f>IF(K68="",0,(U68-V68)*'DB technologies'!$AU$11/100)</f>
        <v>0</v>
      </c>
      <c r="X68" s="66" t="str">
        <f>IF(D68="","",IF(F68=1,VLOOKUP(D68,'DB animal categories'!$C$127:$AM$136,36,FALSE)*E68/1000,P68/VLOOKUP(D68,'DB animal categories'!$C$127:$AH$136,27,FALSE)*(VLOOKUP(D68,'DB animal categories'!$C$127:$AH$136,25,FALSE)*VLOOKUP(D68,'DB animal categories'!$C$127:$AH$136,26,FALSE)/24)))</f>
        <v/>
      </c>
      <c r="Y68" s="77" t="str">
        <f>IF(D68="","",IF(F68=1,VLOOKUP(D68,'DB animal categories'!$C$127:$AM$136,37,FALSE)*E68/1000,S68/VLOOKUP(D68,'DB animal categories'!$C$127:$AH$136,27,FALSE)*(VLOOKUP(D68,'DB animal categories'!$C$127:$AH$136,25,FALSE)*VLOOKUP(D68,'DB animal categories'!$C$127:$AH$136,26,FALSE)/24)))</f>
        <v/>
      </c>
    </row>
    <row r="69" spans="2:25" ht="11.25" customHeight="1" x14ac:dyDescent="0.2">
      <c r="B69" s="684"/>
      <c r="C69" s="676"/>
      <c r="D69" s="1404"/>
      <c r="E69" s="1411"/>
      <c r="F69" s="1405"/>
      <c r="G69" s="59" t="str">
        <f>IF(F69=1,"",IF(D69="","",IF(F69=2,I69*VLOOKUP($C$68,'DB additional information '!$X$4:$AB$25,4,FALSE)/100,VLOOKUP(D69,'DB animal categories'!$C$127:$AH$136,8,FALSE)*VLOOKUP(D69,'DB animal categories'!$C$127:$AC$136,9,FALSE)/100*(1-(VLOOKUP(D69,'DB animal categories'!$C$127:$AH$136,10,FALSE)/100))/('DB additional information '!$K$14/100)/1000*E69)))</f>
        <v/>
      </c>
      <c r="H69" s="41"/>
      <c r="I69" s="58" t="str">
        <f>IF(F69=1,E69*VLOOKUP(D69,'DB animal categories'!$C$127:$AN$136,28,FALSE),IF(D69="","",IF(F69=2,VLOOKUP(D69,'DB animal categories'!$C$127:$AH$136,14,FALSE)*E69,G69+H69)))</f>
        <v/>
      </c>
      <c r="J69" s="58" t="str">
        <f>IF(F69=1,VLOOKUP(D69,'DB animal categories'!$C$127:$AN$136,38,FALSE),IF(F69="","",IF(D69="","",IF(F69=2,VLOOKUP(D69,'DB animal categories'!$C$127:$AH$136,15,FALSE),(G69*'DB additional information '!$K$14/100+H69*'DB additional information '!$L$14/100)/I69*100))))</f>
        <v/>
      </c>
      <c r="K69" s="68" t="str">
        <f>IF(F69="","",IF(D69="","",IF(F69=2,M69-L69,(VLOOKUP(D69,'DB animal categories'!$C$127:$AH$136,8,FALSE)*VLOOKUP(D69,'DB animal categories'!$C$127:$AH$136,11,FALSE)/6.25/1000/1000)*E69-VLOOKUP(D69,'DB animal categories'!$C$127:$O$136,7,FALSE)*'DB additional information '!$F$74*'Calc (ex-animal)'!E69/1000/1000)))</f>
        <v/>
      </c>
      <c r="L69" s="362"/>
      <c r="M69" s="58" t="str">
        <f>IF(F69=1,VLOOKUP(D69,'DB animal categories'!$C$127:$AM$136,29,FALSE)/1000*E69,IF(F69="","",IF(D69="","",IF(F69=2,VLOOKUP(D69,'DB animal categories'!$C$127:$AH$136,18,FALSE)*E69/1000,K69+L69))))</f>
        <v/>
      </c>
      <c r="N69" s="68" t="str">
        <f>IF(F69="","",IF(D69="","",IF(F69=2,P69-O69,(VLOOKUP(D69,'DB animal categories'!$C$127:$AH$136,8,FALSE)*VLOOKUP(D69,'DB animal categories'!$C$127:$AH$136,12,FALSE)/1000/1000)*E69-VLOOKUP(D69,'DB animal categories'!$C$127:$O$136,7,FALSE)*'DB additional information '!$F$75*'Calc (ex-animal)'!E69/1000/1000)))</f>
        <v/>
      </c>
      <c r="O69" s="362"/>
      <c r="P69" s="58" t="str">
        <f>IF(F69=1,VLOOKUP(D69,'DB animal categories'!$C$127:$AM$135,31,FALSE)/1000*E69,IF(F69="","",IF(D69="","",IF(F69=2,E69*VLOOKUP(D69,'DB animal categories'!$C$127:$AH$135,21,FALSE)/1000,N69+O69))))</f>
        <v/>
      </c>
      <c r="Q69" s="68" t="str">
        <f>IF(F69="","",IF(D69="","",IF(F69=2,S69-R69,(VLOOKUP(D69,'DB animal categories'!$C$127:$AH$136,8,FALSE)*VLOOKUP(D69,'DB animal categories'!$C$126:$AH$127,13,FALSE)/1000/1000)*E69-VLOOKUP(D69,'DB animal categories'!$C$127:$O$136,7,FALSE)*'DB additional information '!$F$76*'Calc (ex-animal)'!E69/1000/1000)))</f>
        <v/>
      </c>
      <c r="R69" s="68"/>
      <c r="S69" s="58" t="str">
        <f>IF(F69=1,VLOOKUP(D69,'DB animal categories'!$C$127:$AM$135,32,FALSE)/1000*E69,IF(F69="","",IF(D69="","",IF(F69=2,E69*VLOOKUP(D69,'DB animal categories'!$C$127:$AH$135,24,FALSE)/1000,Q69+R69))))</f>
        <v/>
      </c>
      <c r="T69" s="58" t="str">
        <f>IF(D69="","",IF(F69=1,VLOOKUP(D69,'DB animal categories'!$C$127:$AM$136,33,FALSE)*E69,I69/VLOOKUP(D69,'DB animal categories'!$C$127:$AH$136,27,FALSE)*(VLOOKUP(D69,'DB animal categories'!$C$127:$AH$136,25,FALSE)*VLOOKUP(D69,'DB animal categories'!$C$127:$AH$136,26,FALSE)/24)))</f>
        <v/>
      </c>
      <c r="U69" s="58" t="str">
        <f>IF(D69="","",IF(F69=1,VLOOKUP(D69,'DB animal categories'!$C$127:$AM$136,34,FALSE)*E69/1000,M69/VLOOKUP(D69,'DB animal categories'!$C$127:$AH$136,27,FALSE)*(VLOOKUP(D69,'DB animal categories'!$C$127:$AH$136,25,FALSE)*VLOOKUP(D69,'DB animal categories'!$C$127:$AH$136,26,FALSE)/24)))</f>
        <v/>
      </c>
      <c r="V69" s="607">
        <f>IF(K69="",0,K69/M69*U69*'DB technologies'!$AT$11/100)</f>
        <v>0</v>
      </c>
      <c r="W69" s="607">
        <f>IF(K69="",0,(U69-V69)*'DB technologies'!$AU$11/100)</f>
        <v>0</v>
      </c>
      <c r="X69" s="58" t="str">
        <f>IF(D69="","",IF(F69=1,VLOOKUP(D69,'DB animal categories'!$C$127:$AM$136,36,FALSE)*E69/1000,P69/VLOOKUP(D69,'DB animal categories'!$C$127:$AH$136,27,FALSE)*(VLOOKUP(D69,'DB animal categories'!$C$127:$AH$136,25,FALSE)*VLOOKUP(D69,'DB animal categories'!$C$127:$AH$136,26,FALSE)/24)))</f>
        <v/>
      </c>
      <c r="Y69" s="63" t="str">
        <f>IF(D69="","",IF(F69=1,VLOOKUP(D69,'DB animal categories'!$C$127:$AM$136,37,FALSE)*E69/1000,S69/VLOOKUP(D69,'DB animal categories'!$C$127:$AH$136,27,FALSE)*(VLOOKUP(D69,'DB animal categories'!$C$127:$AH$136,25,FALSE)*VLOOKUP(D69,'DB animal categories'!$C$127:$AH$136,26,FALSE)/24)))</f>
        <v/>
      </c>
    </row>
    <row r="70" spans="2:25" ht="11.25" customHeight="1" x14ac:dyDescent="0.2">
      <c r="B70" s="684"/>
      <c r="C70" s="676"/>
      <c r="D70" s="1404"/>
      <c r="E70" s="1411"/>
      <c r="F70" s="1405"/>
      <c r="G70" s="59" t="str">
        <f>IF(F70=1,"",IF(D70="","",IF(F70=2,I70*VLOOKUP($C$68,'DB additional information '!$X$4:$AB$25,4,FALSE)/100,VLOOKUP(D70,'DB animal categories'!$C$127:$AH$136,8,FALSE)*VLOOKUP(D70,'DB animal categories'!$C$127:$AC$136,9,FALSE)/100*(1-(VLOOKUP(D70,'DB animal categories'!$C$127:$AH$136,10,FALSE)/100))/('DB additional information '!$K$14/100)/1000*E70)))</f>
        <v/>
      </c>
      <c r="H70" s="41"/>
      <c r="I70" s="58" t="str">
        <f>IF(F70=1,E70*VLOOKUP(D70,'DB animal categories'!$C$127:$AN$136,28,FALSE),IF(D70="","",IF(F70=2,VLOOKUP(D70,'DB animal categories'!$C$127:$AH$136,14,FALSE)*E70,G70+H70)))</f>
        <v/>
      </c>
      <c r="J70" s="58" t="str">
        <f>IF(F70=1,VLOOKUP(D70,'DB animal categories'!$C$127:$AN$136,38,FALSE),IF(F70="","",IF(D70="","",IF(F70=2,VLOOKUP(D70,'DB animal categories'!$C$127:$AH$136,15,FALSE),(G70*'DB additional information '!$K$14/100+H70*'DB additional information '!$L$14/100)/I70*100))))</f>
        <v/>
      </c>
      <c r="K70" s="68" t="str">
        <f>IF(F70="","",IF(D70="","",IF(F70=2,M70-L70,(VLOOKUP(D70,'DB animal categories'!$C$127:$AH$136,8,FALSE)*VLOOKUP(D70,'DB animal categories'!$C$127:$AH$136,11,FALSE)/6.25/1000/1000)*E70-VLOOKUP(D70,'DB animal categories'!$C$127:$O$136,7,FALSE)*'DB additional information '!$F$74*'Calc (ex-animal)'!E70/1000/1000)))</f>
        <v/>
      </c>
      <c r="L70" s="362"/>
      <c r="M70" s="58" t="str">
        <f>IF(F70=1,VLOOKUP(D70,'DB animal categories'!$C$127:$AM$136,29,FALSE)/1000*E70,IF(F70="","",IF(D70="","",IF(F70=2,VLOOKUP(D70,'DB animal categories'!$C$127:$AH$136,18,FALSE)*E70/1000,K70+L70))))</f>
        <v/>
      </c>
      <c r="N70" s="68" t="str">
        <f>IF(F70="","",IF(D70="","",IF(F70=2,P70-O70,(VLOOKUP(D70,'DB animal categories'!$C$127:$AH$136,8,FALSE)*VLOOKUP(D70,'DB animal categories'!$C$127:$AH$136,12,FALSE)/1000/1000)*E70-VLOOKUP(D70,'DB animal categories'!$C$127:$O$136,7,FALSE)*'DB additional information '!$F$75*'Calc (ex-animal)'!E70/1000/1000)))</f>
        <v/>
      </c>
      <c r="O70" s="362"/>
      <c r="P70" s="58" t="str">
        <f>IF(F70=1,VLOOKUP(D70,'DB animal categories'!$C$127:$AM$135,31,FALSE)/1000*E70,IF(F70="","",IF(D70="","",IF(F70=2,E70*VLOOKUP(D70,'DB animal categories'!$C$127:$AH$135,21,FALSE)/1000,N70+O70))))</f>
        <v/>
      </c>
      <c r="Q70" s="68" t="str">
        <f>IF(F70="","",IF(D70="","",IF(F70=2,S70-R70,(VLOOKUP(D70,'DB animal categories'!$C$127:$AH$136,8,FALSE)*VLOOKUP(D70,'DB animal categories'!$C$126:$AH$127,13,FALSE)/1000/1000)*E70-VLOOKUP(D70,'DB animal categories'!$C$127:$O$136,7,FALSE)*'DB additional information '!$F$76*'Calc (ex-animal)'!E70/1000/1000)))</f>
        <v/>
      </c>
      <c r="R70" s="68"/>
      <c r="S70" s="58" t="str">
        <f>IF(F70=1,VLOOKUP(D70,'DB animal categories'!$C$127:$AM$135,32,FALSE)/1000*E70,IF(F70="","",IF(D70="","",IF(F70=2,E70*VLOOKUP(D70,'DB animal categories'!$C$127:$AH$135,24,FALSE)/1000,Q70+R70))))</f>
        <v/>
      </c>
      <c r="T70" s="58" t="str">
        <f>IF(D70="","",IF(F70=1,VLOOKUP(D70,'DB animal categories'!$C$127:$AM$136,33,FALSE)*E70,I70/VLOOKUP(D70,'DB animal categories'!$C$127:$AH$136,27,FALSE)*(VLOOKUP(D70,'DB animal categories'!$C$127:$AH$136,25,FALSE)*VLOOKUP(D70,'DB animal categories'!$C$127:$AH$136,26,FALSE)/24)))</f>
        <v/>
      </c>
      <c r="U70" s="58" t="str">
        <f>IF(D70="","",IF(F70=1,VLOOKUP(D70,'DB animal categories'!$C$127:$AM$136,34,FALSE)*E70/1000,M70/VLOOKUP(D70,'DB animal categories'!$C$127:$AH$136,27,FALSE)*(VLOOKUP(D70,'DB animal categories'!$C$127:$AH$136,25,FALSE)*VLOOKUP(D70,'DB animal categories'!$C$127:$AH$136,26,FALSE)/24)))</f>
        <v/>
      </c>
      <c r="V70" s="607">
        <f>IF(K70="",0,K70/M70*U70*'DB technologies'!$AT$11/100)</f>
        <v>0</v>
      </c>
      <c r="W70" s="607">
        <f>IF(K70="",0,(U70-V70)*'DB technologies'!$AU$11/100)</f>
        <v>0</v>
      </c>
      <c r="X70" s="58" t="str">
        <f>IF(D70="","",IF(F70=1,VLOOKUP(D70,'DB animal categories'!$C$127:$AM$136,36,FALSE)*E70/1000,P70/VLOOKUP(D70,'DB animal categories'!$C$127:$AH$136,27,FALSE)*(VLOOKUP(D70,'DB animal categories'!$C$127:$AH$136,25,FALSE)*VLOOKUP(D70,'DB animal categories'!$C$127:$AH$136,26,FALSE)/24)))</f>
        <v/>
      </c>
      <c r="Y70" s="63" t="str">
        <f>IF(D70="","",IF(F70=1,VLOOKUP(D70,'DB animal categories'!$C$127:$AM$136,37,FALSE)*E70/1000,S70/VLOOKUP(D70,'DB animal categories'!$C$127:$AH$136,27,FALSE)*(VLOOKUP(D70,'DB animal categories'!$C$127:$AH$136,25,FALSE)*VLOOKUP(D70,'DB animal categories'!$C$127:$AH$136,26,FALSE)/24)))</f>
        <v/>
      </c>
    </row>
    <row r="71" spans="2:25" ht="11.25" customHeight="1" x14ac:dyDescent="0.2">
      <c r="B71" s="684"/>
      <c r="C71" s="676"/>
      <c r="D71" s="1404"/>
      <c r="E71" s="1411"/>
      <c r="F71" s="1405"/>
      <c r="G71" s="59" t="str">
        <f>IF(F71=1,"",IF(D71="","",IF(F71=2,I71*VLOOKUP($C$68,'DB additional information '!$X$4:$AB$25,4,FALSE)/100,VLOOKUP(D71,'DB animal categories'!$C$127:$AH$136,8,FALSE)*VLOOKUP(D71,'DB animal categories'!$C$127:$AC$136,9,FALSE)/100*(1-(VLOOKUP(D71,'DB animal categories'!$C$127:$AH$136,10,FALSE)/100))/('DB additional information '!$K$14/100)/1000*E71)))</f>
        <v/>
      </c>
      <c r="H71" s="41"/>
      <c r="I71" s="58" t="str">
        <f>IF(F71=1,E71*VLOOKUP(D71,'DB animal categories'!$C$127:$AN$136,28,FALSE),IF(D71="","",IF(F71=2,VLOOKUP(D71,'DB animal categories'!$C$127:$AH$136,14,FALSE)*E71,G71+H71)))</f>
        <v/>
      </c>
      <c r="J71" s="58" t="str">
        <f>IF(F71=1,VLOOKUP(D71,'DB animal categories'!$C$127:$AN$136,38,FALSE),IF(F71="","",IF(D71="","",IF(F71=2,VLOOKUP(D71,'DB animal categories'!$C$127:$AH$136,15,FALSE),(G71*'DB additional information '!$K$14/100+H71*'DB additional information '!$L$14/100)/I71*100))))</f>
        <v/>
      </c>
      <c r="K71" s="68" t="str">
        <f>IF(F71="","",IF(D71="","",IF(F71=2,M71-L71,(VLOOKUP(D71,'DB animal categories'!$C$127:$AH$136,8,FALSE)*VLOOKUP(D71,'DB animal categories'!$C$127:$AH$136,11,FALSE)/6.25/1000/1000)*E71-VLOOKUP(D71,'DB animal categories'!$C$127:$O$136,7,FALSE)*'DB additional information '!$F$74*'Calc (ex-animal)'!E71/1000/1000)))</f>
        <v/>
      </c>
      <c r="L71" s="362"/>
      <c r="M71" s="58" t="str">
        <f>IF(F71=1,VLOOKUP(D71,'DB animal categories'!$C$127:$AM$136,29,FALSE)/1000*E71,IF(F71="","",IF(D71="","",IF(F71=2,VLOOKUP(D71,'DB animal categories'!$C$127:$AH$136,18,FALSE)*E71/1000,K71+L71))))</f>
        <v/>
      </c>
      <c r="N71" s="68" t="str">
        <f>IF(F71="","",IF(D71="","",IF(F71=2,P71-O71,(VLOOKUP(D71,'DB animal categories'!$C$127:$AH$136,8,FALSE)*VLOOKUP(D71,'DB animal categories'!$C$127:$AH$136,12,FALSE)/1000/1000)*E71-VLOOKUP(D71,'DB animal categories'!$C$127:$O$136,7,FALSE)*'DB additional information '!$F$75*'Calc (ex-animal)'!E71/1000/1000)))</f>
        <v/>
      </c>
      <c r="O71" s="362"/>
      <c r="P71" s="58" t="str">
        <f>IF(F71=1,VLOOKUP(D71,'DB animal categories'!$C$127:$AM$135,31,FALSE)/1000*E71,IF(F71="","",IF(D71="","",IF(F71=2,E71*VLOOKUP(D71,'DB animal categories'!$C$127:$AH$135,21,FALSE)/1000,N71+O71))))</f>
        <v/>
      </c>
      <c r="Q71" s="68" t="str">
        <f>IF(F71="","",IF(D71="","",IF(F71=2,S71-R71,(VLOOKUP(D71,'DB animal categories'!$C$127:$AH$136,8,FALSE)*VLOOKUP(D71,'DB animal categories'!$C$126:$AH$127,13,FALSE)/1000/1000)*E71-VLOOKUP(D71,'DB animal categories'!$C$127:$O$136,7,FALSE)*'DB additional information '!$F$76*'Calc (ex-animal)'!E71/1000/1000)))</f>
        <v/>
      </c>
      <c r="R71" s="68"/>
      <c r="S71" s="58" t="str">
        <f>IF(F71=1,VLOOKUP(D71,'DB animal categories'!$C$127:$AM$135,32,FALSE)/1000*E71,IF(F71="","",IF(D71="","",IF(F71=2,E71*VLOOKUP(D71,'DB animal categories'!$C$127:$AH$135,24,FALSE)/1000,Q71+R71))))</f>
        <v/>
      </c>
      <c r="T71" s="58" t="str">
        <f>IF(D71="","",IF(F71=1,VLOOKUP(D71,'DB animal categories'!$C$127:$AM$136,33,FALSE)*E71,I71/VLOOKUP(D71,'DB animal categories'!$C$127:$AH$136,27,FALSE)*(VLOOKUP(D71,'DB animal categories'!$C$127:$AH$136,25,FALSE)*VLOOKUP(D71,'DB animal categories'!$C$127:$AH$136,26,FALSE)/24)))</f>
        <v/>
      </c>
      <c r="U71" s="58" t="str">
        <f>IF(D71="","",IF(F71=1,VLOOKUP(D71,'DB animal categories'!$C$127:$AM$136,34,FALSE)*E71/1000,M71/VLOOKUP(D71,'DB animal categories'!$C$127:$AH$136,27,FALSE)*(VLOOKUP(D71,'DB animal categories'!$C$127:$AH$136,25,FALSE)*VLOOKUP(D71,'DB animal categories'!$C$127:$AH$136,26,FALSE)/24)))</f>
        <v/>
      </c>
      <c r="V71" s="607">
        <f>IF(K71="",0,K71/M71*U71*'DB technologies'!$AT$11/100)</f>
        <v>0</v>
      </c>
      <c r="W71" s="607">
        <f>IF(K71="",0,(U71-V71)*'DB technologies'!$AU$11/100)</f>
        <v>0</v>
      </c>
      <c r="X71" s="58" t="str">
        <f>IF(D71="","",IF(F71=1,VLOOKUP(D71,'DB animal categories'!$C$127:$AM$136,36,FALSE)*E71/1000,P71/VLOOKUP(D71,'DB animal categories'!$C$127:$AH$136,27,FALSE)*(VLOOKUP(D71,'DB animal categories'!$C$127:$AH$136,25,FALSE)*VLOOKUP(D71,'DB animal categories'!$C$127:$AH$136,26,FALSE)/24)))</f>
        <v/>
      </c>
      <c r="Y71" s="63" t="str">
        <f>IF(D71="","",IF(F71=1,VLOOKUP(D71,'DB animal categories'!$C$127:$AM$136,37,FALSE)*E71/1000,S71/VLOOKUP(D71,'DB animal categories'!$C$127:$AH$136,27,FALSE)*(VLOOKUP(D71,'DB animal categories'!$C$127:$AH$136,25,FALSE)*VLOOKUP(D71,'DB animal categories'!$C$127:$AH$136,26,FALSE)/24)))</f>
        <v/>
      </c>
    </row>
    <row r="72" spans="2:25" ht="12" customHeight="1" thickBot="1" x14ac:dyDescent="0.25">
      <c r="B72" s="684"/>
      <c r="C72" s="677"/>
      <c r="D72" s="1409"/>
      <c r="E72" s="1412"/>
      <c r="F72" s="1410"/>
      <c r="G72" s="89" t="str">
        <f>IF(F72=1,"",IF(D72="","",IF(F72=2,I72*VLOOKUP($C$68,'DB additional information '!$X$4:$AB$25,4,FALSE)/100,VLOOKUP(D72,'DB animal categories'!$C$127:$AH$136,8,FALSE)*VLOOKUP(D72,'DB animal categories'!$C$127:$AC$136,9,FALSE)/100*(1-(VLOOKUP(D72,'DB animal categories'!$C$127:$AH$136,10,FALSE)/100))/('DB additional information '!$K$14/100)/1000*E72)))</f>
        <v/>
      </c>
      <c r="H72" s="64"/>
      <c r="I72" s="122" t="str">
        <f>IF(F72=1,E72*VLOOKUP(D72,'DB animal categories'!$C$127:$AN$136,28,FALSE),IF(D72="","",IF(F72=2,VLOOKUP(D72,'DB animal categories'!$C$127:$AH$136,14,FALSE)*E72,G72+H72)))</f>
        <v/>
      </c>
      <c r="J72" s="122" t="str">
        <f>IF(F72=1,VLOOKUP(D72,'DB animal categories'!$C$127:$AN$136,38,FALSE),IF(F72="","",IF(D72="","",IF(F72=2,VLOOKUP(D72,'DB animal categories'!$C$127:$AH$136,15,FALSE),(G72*'DB additional information '!$K$14/100+H72*'DB additional information '!$L$14/100)/I72*100))))</f>
        <v/>
      </c>
      <c r="K72" s="123" t="str">
        <f>IF(F72="","",IF(D72="","",IF(F72=2,M72-L72,(VLOOKUP(D72,'DB animal categories'!$C$127:$AH$136,8,FALSE)*VLOOKUP(D72,'DB animal categories'!$C$127:$AH$136,11,FALSE)/6.25/1000/1000)*E72-VLOOKUP(D72,'DB animal categories'!$C$127:$O$136,7,FALSE)*'DB additional information '!$F$74*'Calc (ex-animal)'!E72/1000/1000)))</f>
        <v/>
      </c>
      <c r="L72" s="363"/>
      <c r="M72" s="122" t="str">
        <f>IF(F72=1,VLOOKUP(D72,'DB animal categories'!$C$127:$AM$136,29,FALSE)/1000*E72,IF(F72="","",IF(D72="","",IF(F72=2,VLOOKUP(D72,'DB animal categories'!$C$127:$AH$136,18,FALSE)*E72/1000,K72+L72))))</f>
        <v/>
      </c>
      <c r="N72" s="123" t="str">
        <f>IF(F72="","",IF(D72="","",IF(F72=2,P72-O72,(VLOOKUP(D72,'DB animal categories'!$C$127:$AH$136,8,FALSE)*VLOOKUP(D72,'DB animal categories'!$C$127:$AH$136,12,FALSE)/1000/1000)*E72-VLOOKUP(D72,'DB animal categories'!$C$127:$O$136,7,FALSE)*'DB additional information '!$F$75*'Calc (ex-animal)'!E72/1000/1000)))</f>
        <v/>
      </c>
      <c r="O72" s="363"/>
      <c r="P72" s="122" t="str">
        <f>IF(F72=1,VLOOKUP(D72,'DB animal categories'!$C$127:$AM$135,31,FALSE)/1000*E72,IF(F72="","",IF(D72="","",IF(F72=2,E72*VLOOKUP(D72,'DB animal categories'!$C$127:$AH$135,21,FALSE)/1000,N72+O72))))</f>
        <v/>
      </c>
      <c r="Q72" s="123" t="str">
        <f>IF(F72="","",IF(D72="","",IF(F72=2,S72-R72,(VLOOKUP(D72,'DB animal categories'!$C$127:$AH$136,8,FALSE)*VLOOKUP(D72,'DB animal categories'!$C$126:$AH$127,13,FALSE)/1000/1000)*E72-VLOOKUP(D72,'DB animal categories'!$C$127:$O$136,7,FALSE)*'DB additional information '!$F$76*'Calc (ex-animal)'!E72/1000/1000)))</f>
        <v/>
      </c>
      <c r="R72" s="123"/>
      <c r="S72" s="122" t="str">
        <f>IF(F72=1,VLOOKUP(D72,'DB animal categories'!$C$127:$AM$135,32,FALSE)/1000*E72,IF(F72="","",IF(D72="","",IF(F72=2,E72*VLOOKUP(D72,'DB animal categories'!$C$127:$AH$135,24,FALSE)/1000,Q72+R72))))</f>
        <v/>
      </c>
      <c r="T72" s="122" t="str">
        <f>IF(D72="","",IF(F72=1,VLOOKUP(D72,'DB animal categories'!$C$127:$AM$136,33,FALSE)*E72,I72/VLOOKUP(D72,'DB animal categories'!$C$127:$AH$136,27,FALSE)*(VLOOKUP(D72,'DB animal categories'!$C$127:$AH$136,25,FALSE)*VLOOKUP(D72,'DB animal categories'!$C$127:$AH$136,26,FALSE)/24)))</f>
        <v/>
      </c>
      <c r="U72" s="122" t="str">
        <f>IF(D72="","",IF(F72=1,VLOOKUP(D72,'DB animal categories'!$C$127:$AM$136,34,FALSE)*E72/1000,M72/VLOOKUP(D72,'DB animal categories'!$C$127:$AH$136,27,FALSE)*(VLOOKUP(D72,'DB animal categories'!$C$127:$AH$136,25,FALSE)*VLOOKUP(D72,'DB animal categories'!$C$127:$AH$136,26,FALSE)/24)))</f>
        <v/>
      </c>
      <c r="V72" s="608">
        <f>IF(K72="",0,K72/M72*U72*'DB technologies'!$AT$11/100)</f>
        <v>0</v>
      </c>
      <c r="W72" s="608">
        <f>IF(K72="",0,(U72-V72)*'DB technologies'!$AU$11/100)</f>
        <v>0</v>
      </c>
      <c r="X72" s="122" t="str">
        <f>IF(D72="","",IF(F72=1,VLOOKUP(D72,'DB animal categories'!$C$127:$AM$136,36,FALSE)*E72/1000,P72/VLOOKUP(D72,'DB animal categories'!$C$127:$AH$136,27,FALSE)*(VLOOKUP(D72,'DB animal categories'!$C$127:$AH$136,25,FALSE)*VLOOKUP(D72,'DB animal categories'!$C$127:$AH$136,26,FALSE)/24)))</f>
        <v/>
      </c>
      <c r="Y72" s="124" t="str">
        <f>IF(D72="","",IF(F72=1,VLOOKUP(D72,'DB animal categories'!$C$127:$AM$136,37,FALSE)*E72/1000,S72/VLOOKUP(D72,'DB animal categories'!$C$127:$AH$136,27,FALSE)*(VLOOKUP(D72,'DB animal categories'!$C$127:$AH$136,25,FALSE)*VLOOKUP(D72,'DB animal categories'!$C$127:$AH$136,26,FALSE)/24)))</f>
        <v/>
      </c>
    </row>
    <row r="73" spans="2:25" ht="11.25" customHeight="1" x14ac:dyDescent="0.2">
      <c r="B73" s="684"/>
      <c r="C73" s="686" t="s">
        <v>184</v>
      </c>
      <c r="D73" s="1401"/>
      <c r="E73" s="1402"/>
      <c r="F73" s="1402"/>
      <c r="G73" s="59" t="str">
        <f>IF(F73=1,"",IF(D73="","",IF(F73=2,I73*VLOOKUP($C$73,'DB additional information '!$X$4:$AB$25,4,FALSE)/100,VLOOKUP(D73,'DB animal categories'!$C$137:$AH$146,8,FALSE)*VLOOKUP(D73,'DB animal categories'!$C$137:$AC$146,9,FALSE)/100*(1-(VLOOKUP(D73,'DB animal categories'!$C$137:$AH$146,10,FALSE)/100))/('DB additional information '!$K$16/100)/1000*E73)))</f>
        <v/>
      </c>
      <c r="H73" s="374"/>
      <c r="I73" s="66" t="str">
        <f>IF(F73=1,E73*VLOOKUP(D73,'DB animal categories'!$C$137:$AN$146,28,FALSE),IF(D73="","",IF(F73=2,VLOOKUP(D73,'DB animal categories'!$C$137:$AH$146,14,FALSE)*E73,G73+H73)))</f>
        <v/>
      </c>
      <c r="J73" s="66" t="str">
        <f>IF(F73=1,VLOOKUP(D73,'DB animal categories'!$C$137:$AN$146,38,FALSE),IF(F73="","",IF(D73="","",IF(F73=2,VLOOKUP(D73,'DB animal categories'!$C$137:$AH$146,15,FALSE),(G73*'DB additional information '!$K$16/100+H73*'DB additional information '!$L$16/100)/I73*100))))</f>
        <v/>
      </c>
      <c r="K73" s="74" t="str">
        <f>IF(F73="","",IF(D73="","",IF(F73=2,M73-L73,(VLOOKUP(D73,'DB animal categories'!$C$137:$AH$146,8,FALSE)*VLOOKUP(D73,'DB animal categories'!$C$137:$AH$146,11,FALSE)/6.25/1000/1000)*E73-VLOOKUP(D73,'DB animal categories'!$C$137:$O$146,7,FALSE)*'DB additional information '!$F$84*'Calc (ex-animal)'!E73/1000/1000)))</f>
        <v/>
      </c>
      <c r="L73" s="375"/>
      <c r="M73" s="66" t="str">
        <f>IF(F73=1,VLOOKUP(D73,'DB animal categories'!$C$137:$AM$146,29,FALSE)/1000*E73,IF(F73="","",IF(D73="","",IF(F73=2,VLOOKUP(D73,'DB animal categories'!$C$137:$AH$146,18,FALSE)*E73/1000,K73+L73))))</f>
        <v/>
      </c>
      <c r="N73" s="74" t="str">
        <f>IF(F73="","",IF(D73="","",IF(F73=2,P73-O73,(VLOOKUP(D73,'DB animal categories'!$C$137:$AH$146,8,FALSE)*VLOOKUP(D73,'DB animal categories'!$C$137:$AH$146,12,FALSE)/1000/1000)*E73-VLOOKUP(D73,'DB animal categories'!$C$137:$O$146,7,FALSE)*'DB additional information '!$F$85*'Calc (ex-animal)'!E73/1000/1000)))</f>
        <v/>
      </c>
      <c r="O73" s="361"/>
      <c r="P73" s="66" t="str">
        <f>IF(F73=1,VLOOKUP(D73,'DB animal categories'!$C$137:$AM$145,31,FALSE)/1000*E73,IF(F73="","",IF(D73="","",IF(F73=2,E73*VLOOKUP(D73,'DB animal categories'!$C$137:$AH$145,21,FALSE)/1000,N73+O73))))</f>
        <v/>
      </c>
      <c r="Q73" s="74" t="str">
        <f>IF(F73="","",IF(D73="","",IF(F73=2,S73-R73,(VLOOKUP(D73,'DB animal categories'!$C$137:$AH$146,8,FALSE)*VLOOKUP(D73,'DB animal categories'!$C$136:$AH$147,13,FALSE)/1000/1000)*E73-VLOOKUP(D73,'DB animal categories'!$C$137:$O$146,7,FALSE)*'DB additional information '!$F$86*'Calc (ex-animal)'!E73/1000/1000)))</f>
        <v/>
      </c>
      <c r="R73" s="74"/>
      <c r="S73" s="66" t="str">
        <f>IF(F73=1,VLOOKUP(D73,'DB animal categories'!$C$137:$AM$145,32,FALSE)/1000*E73,IF(F73="","",IF(D73="","",IF(F73=2,E73*VLOOKUP(D73,'DB animal categories'!$C$137:$AH$145,24,FALSE)/1000,Q73+R73))))</f>
        <v/>
      </c>
      <c r="T73" s="66" t="str">
        <f>IF(D73="","",IF(F73=1,VLOOKUP(D73,'DB animal categories'!$C$137:$AM$146,33,FALSE)*E73,I73/VLOOKUP(D73,'DB animal categories'!$C$137:$AH$146,27,FALSE)*(VLOOKUP(D73,'DB animal categories'!$C$137:$AH$146,25,FALSE)*VLOOKUP(D73,'DB animal categories'!$C$137:$AH$146,26,FALSE)/24)))</f>
        <v/>
      </c>
      <c r="U73" s="66" t="str">
        <f>IF(D73="","",IF(F73=1,VLOOKUP(D73,'DB animal categories'!$C$137:$AM$146,34,FALSE)*E73/1000,M73/VLOOKUP(D73,'DB animal categories'!$C$137:$AH$146,27,FALSE)*(VLOOKUP(D73,'DB animal categories'!$C$137:$AH$146,25,FALSE)*VLOOKUP(D73,'DB animal categories'!$C$137:$AH$146,26,FALSE)/24)))</f>
        <v/>
      </c>
      <c r="V73" s="607">
        <f>IF(K73="",0,K73/M73*U73*'DB technologies'!$AT$11/100)</f>
        <v>0</v>
      </c>
      <c r="W73" s="607">
        <f>IF(K73="",0,(U73-V73)*'DB technologies'!$AU$11/100)</f>
        <v>0</v>
      </c>
      <c r="X73" s="66" t="str">
        <f>IF(D73="","",IF(F73=1,VLOOKUP(D73,'DB animal categories'!$C$137:$AM$146,36,FALSE)*E73/1000,P73/VLOOKUP(D73,'DB animal categories'!$C$137:$AH$146,27,FALSE)*(VLOOKUP(D73,'DB animal categories'!$C$137:$AH$146,25,FALSE)*VLOOKUP(D73,'DB animal categories'!$C$137:$AH$146,26,FALSE)/24)))</f>
        <v/>
      </c>
      <c r="Y73" s="77" t="str">
        <f>IF(D73="","",IF(F73=1,VLOOKUP(D73,'DB animal categories'!$C$137:$AM$146,37,FALSE)*E73/1000,S73/VLOOKUP(D73,'DB animal categories'!$C$137:$AH$146,27,FALSE)*(VLOOKUP(D73,'DB animal categories'!$C$137:$AH$146,25,FALSE)*VLOOKUP(D73,'DB animal categories'!$C$137:$AH$146,26,FALSE)/24)))</f>
        <v/>
      </c>
    </row>
    <row r="74" spans="2:25" ht="11.25" customHeight="1" x14ac:dyDescent="0.2">
      <c r="B74" s="684"/>
      <c r="C74" s="676"/>
      <c r="D74" s="1422"/>
      <c r="E74" s="1405"/>
      <c r="F74" s="1405"/>
      <c r="G74" s="59" t="str">
        <f>IF(F74=1,"",IF(D74="","",IF(F74=2,I74*VLOOKUP($C$73,'DB additional information '!$X$4:$AB$25,4,FALSE)/100,VLOOKUP(D74,'DB animal categories'!$C$137:$AH$146,8,FALSE)*VLOOKUP(D74,'DB animal categories'!$C$137:$AC$146,9,FALSE)/100*(1-(VLOOKUP(D74,'DB animal categories'!$C$137:$AH$146,10,FALSE)/100))/('DB additional information '!$K$16/100)/1000*E74)))</f>
        <v/>
      </c>
      <c r="H74" s="366"/>
      <c r="I74" s="58" t="str">
        <f>IF(F74=1,E74*VLOOKUP(D74,'DB animal categories'!$C$137:$AN$146,28,FALSE),IF(D74="","",IF(F74=2,VLOOKUP(D74,'DB animal categories'!$C$137:$AH$146,14,FALSE)*E74,G74+H74)))</f>
        <v/>
      </c>
      <c r="J74" s="58" t="str">
        <f>IF(F74=1,VLOOKUP(D74,'DB animal categories'!$C$137:$AN$146,38,FALSE),IF(F74="","",IF(D74="","",IF(F74=2,VLOOKUP(D74,'DB animal categories'!$C$137:$AH$146,15,FALSE),(G74*'DB additional information '!$K$16/100+H74*'DB additional information '!$L$16/100)/I74*100))))</f>
        <v/>
      </c>
      <c r="K74" s="68" t="str">
        <f>IF(F74="","",IF(D74="","",IF(F74=2,M74-L74,(VLOOKUP(D74,'DB animal categories'!$C$137:$AH$146,8,FALSE)*VLOOKUP(D74,'DB animal categories'!$C$137:$AH$146,11,FALSE)/6.25/1000/1000)*E74-VLOOKUP(D74,'DB animal categories'!$C$137:$O$146,7,FALSE)*'DB additional information '!$F$84*'Calc (ex-animal)'!E74/1000/1000)))</f>
        <v/>
      </c>
      <c r="L74" s="376"/>
      <c r="M74" s="58" t="str">
        <f>IF(F74=1,VLOOKUP(D74,'DB animal categories'!$C$137:$AM$146,29,FALSE)/1000*E74,IF(F74="","",IF(D74="","",IF(F74=2,VLOOKUP(D74,'DB animal categories'!$C$137:$AH$146,18,FALSE)*E74/1000,K74+L74))))</f>
        <v/>
      </c>
      <c r="N74" s="68" t="str">
        <f>IF(F74="","",IF(D74="","",IF(F74=2,P74-O74,(VLOOKUP(D74,'DB animal categories'!$C$137:$AH$146,8,FALSE)*VLOOKUP(D74,'DB animal categories'!$C$137:$AH$146,12,FALSE)/1000/1000)*E74-VLOOKUP(D74,'DB animal categories'!$C$137:$O$146,7,FALSE)*'DB additional information '!$F$85*'Calc (ex-animal)'!E74/1000/1000)))</f>
        <v/>
      </c>
      <c r="O74" s="362"/>
      <c r="P74" s="58" t="str">
        <f>IF(F74=1,VLOOKUP(D74,'DB animal categories'!$C$137:$AM$145,31,FALSE)/1000*E74,IF(F74="","",IF(D74="","",IF(F74=2,E74*VLOOKUP(D74,'DB animal categories'!$C$137:$AH$145,21,FALSE)/1000,N74+O74))))</f>
        <v/>
      </c>
      <c r="Q74" s="68" t="str">
        <f>IF(F74="","",IF(D74="","",IF(F74=2,S74-R74,(VLOOKUP(D74,'DB animal categories'!$C$137:$AH$146,8,FALSE)*VLOOKUP(D74,'DB animal categories'!$C$136:$AH$147,13,FALSE)/1000/1000)*E74-VLOOKUP(D74,'DB animal categories'!$C$137:$O$146,7,FALSE)*'DB additional information '!$F$86*'Calc (ex-animal)'!E74/1000/1000)))</f>
        <v/>
      </c>
      <c r="R74" s="68"/>
      <c r="S74" s="58" t="str">
        <f>IF(F74=1,VLOOKUP(D74,'DB animal categories'!$C$137:$AM$145,32,FALSE)/1000*E74,IF(F74="","",IF(D74="","",IF(F74=2,E74*VLOOKUP(D74,'DB animal categories'!$C$137:$AH$145,24,FALSE)/1000,Q74+R74))))</f>
        <v/>
      </c>
      <c r="T74" s="58" t="str">
        <f>IF(D74="","",IF(F74=1,VLOOKUP(D74,'DB animal categories'!$C$137:$AM$146,33,FALSE)*E74,I74/VLOOKUP(D74,'DB animal categories'!$C$137:$AH$146,27,FALSE)*(VLOOKUP(D74,'DB animal categories'!$C$137:$AH$146,25,FALSE)*VLOOKUP(D74,'DB animal categories'!$C$137:$AH$146,26,FALSE)/24)))</f>
        <v/>
      </c>
      <c r="U74" s="58" t="str">
        <f>IF(D74="","",IF(F74=1,VLOOKUP(D74,'DB animal categories'!$C$137:$AM$146,34,FALSE)*E74/1000,M74/VLOOKUP(D74,'DB animal categories'!$C$137:$AH$146,27,FALSE)*(VLOOKUP(D74,'DB animal categories'!$C$137:$AH$146,25,FALSE)*VLOOKUP(D74,'DB animal categories'!$C$137:$AH$146,26,FALSE)/24)))</f>
        <v/>
      </c>
      <c r="V74" s="607">
        <f>IF(K74="",0,K74/M74*U74*'DB technologies'!$AT$11/100)</f>
        <v>0</v>
      </c>
      <c r="W74" s="607">
        <f>IF(K74="",0,(U74-V74)*'DB technologies'!$AU$11/100)</f>
        <v>0</v>
      </c>
      <c r="X74" s="58" t="str">
        <f>IF(D74="","",IF(F74=1,VLOOKUP(D74,'DB animal categories'!$C$137:$AM$146,36,FALSE)*E74/1000,P74/VLOOKUP(D74,'DB animal categories'!$C$137:$AH$146,27,FALSE)*(VLOOKUP(D74,'DB animal categories'!$C$137:$AH$146,25,FALSE)*VLOOKUP(D74,'DB animal categories'!$C$137:$AH$146,26,FALSE)/24)))</f>
        <v/>
      </c>
      <c r="Y74" s="63" t="str">
        <f>IF(D74="","",IF(F74=1,VLOOKUP(D74,'DB animal categories'!$C$137:$AM$146,37,FALSE)*E74/1000,S74/VLOOKUP(D74,'DB animal categories'!$C$137:$AH$146,27,FALSE)*(VLOOKUP(D74,'DB animal categories'!$C$137:$AH$146,25,FALSE)*VLOOKUP(D74,'DB animal categories'!$C$137:$AH$146,26,FALSE)/24)))</f>
        <v/>
      </c>
    </row>
    <row r="75" spans="2:25" ht="11.25" customHeight="1" x14ac:dyDescent="0.2">
      <c r="B75" s="684"/>
      <c r="C75" s="676"/>
      <c r="D75" s="1422"/>
      <c r="E75" s="1405"/>
      <c r="F75" s="1405"/>
      <c r="G75" s="59" t="str">
        <f>IF(F75=1,"",IF(D75="","",IF(F75=2,I75*VLOOKUP($C$73,'DB additional information '!$X$4:$AB$25,4,FALSE)/100,VLOOKUP(D75,'DB animal categories'!$C$137:$AH$146,8,FALSE)*VLOOKUP(D75,'DB animal categories'!$C$137:$AC$146,9,FALSE)/100*(1-(VLOOKUP(D75,'DB animal categories'!$C$137:$AH$146,10,FALSE)/100))/('DB additional information '!$K$16/100)/1000*E75)))</f>
        <v/>
      </c>
      <c r="H75" s="366"/>
      <c r="I75" s="58" t="str">
        <f>IF(F75=1,E75*VLOOKUP(D75,'DB animal categories'!$C$137:$AN$146,28,FALSE),IF(D75="","",IF(F75=2,VLOOKUP(D75,'DB animal categories'!$C$137:$AH$146,14,FALSE)*E75,G75+H75)))</f>
        <v/>
      </c>
      <c r="J75" s="58" t="str">
        <f>IF(F75=1,VLOOKUP(D75,'DB animal categories'!$C$137:$AN$146,38,FALSE),IF(F75="","",IF(D75="","",IF(F75=2,VLOOKUP(D75,'DB animal categories'!$C$137:$AH$146,15,FALSE),(G75*'DB additional information '!$K$16/100+H75*'DB additional information '!$L$16/100)/I75*100))))</f>
        <v/>
      </c>
      <c r="K75" s="68" t="str">
        <f>IF(F75="","",IF(D75="","",IF(F75=2,M75-L75,(VLOOKUP(D75,'DB animal categories'!$C$137:$AH$146,8,FALSE)*VLOOKUP(D75,'DB animal categories'!$C$137:$AH$146,11,FALSE)/6.25/1000/1000)*E75-VLOOKUP(D75,'DB animal categories'!$C$137:$O$146,7,FALSE)*'DB additional information '!$F$84*'Calc (ex-animal)'!E75/1000/1000)))</f>
        <v/>
      </c>
      <c r="L75" s="376"/>
      <c r="M75" s="58" t="str">
        <f>IF(F75=1,VLOOKUP(D75,'DB animal categories'!$C$137:$AM$146,29,FALSE)/1000*E75,IF(F75="","",IF(D75="","",IF(F75=2,VLOOKUP(D75,'DB animal categories'!$C$137:$AH$146,18,FALSE)*E75/1000,K75+L75))))</f>
        <v/>
      </c>
      <c r="N75" s="68" t="str">
        <f>IF(F75="","",IF(D75="","",IF(F75=2,P75-O75,(VLOOKUP(D75,'DB animal categories'!$C$137:$AH$146,8,FALSE)*VLOOKUP(D75,'DB animal categories'!$C$137:$AH$146,12,FALSE)/1000/1000)*E75-VLOOKUP(D75,'DB animal categories'!$C$137:$O$146,7,FALSE)*'DB additional information '!$F$85*'Calc (ex-animal)'!E75/1000/1000)))</f>
        <v/>
      </c>
      <c r="O75" s="362"/>
      <c r="P75" s="58" t="str">
        <f>IF(F75=1,VLOOKUP(D75,'DB animal categories'!$C$137:$AM$145,31,FALSE)/1000*E75,IF(F75="","",IF(D75="","",IF(F75=2,E75*VLOOKUP(D75,'DB animal categories'!$C$137:$AH$145,21,FALSE)/1000,N75+O75))))</f>
        <v/>
      </c>
      <c r="Q75" s="68" t="str">
        <f>IF(F75="","",IF(D75="","",IF(F75=2,S75-R75,(VLOOKUP(D75,'DB animal categories'!$C$137:$AH$146,8,FALSE)*VLOOKUP(D75,'DB animal categories'!$C$136:$AH$147,13,FALSE)/1000/1000)*E75-VLOOKUP(D75,'DB animal categories'!$C$137:$O$146,7,FALSE)*'DB additional information '!$F$86*'Calc (ex-animal)'!E75/1000/1000)))</f>
        <v/>
      </c>
      <c r="R75" s="68"/>
      <c r="S75" s="58" t="str">
        <f>IF(F75=1,VLOOKUP(D75,'DB animal categories'!$C$137:$AM$145,32,FALSE)/1000*E75,IF(F75="","",IF(D75="","",IF(F75=2,E75*VLOOKUP(D75,'DB animal categories'!$C$137:$AH$145,24,FALSE)/1000,Q75+R75))))</f>
        <v/>
      </c>
      <c r="T75" s="58" t="str">
        <f>IF(D75="","",IF(F75=1,VLOOKUP(D75,'DB animal categories'!$C$137:$AM$146,33,FALSE)*E75,I75/VLOOKUP(D75,'DB animal categories'!$C$137:$AH$146,27,FALSE)*(VLOOKUP(D75,'DB animal categories'!$C$137:$AH$146,25,FALSE)*VLOOKUP(D75,'DB animal categories'!$C$137:$AH$146,26,FALSE)/24)))</f>
        <v/>
      </c>
      <c r="U75" s="58" t="str">
        <f>IF(D75="","",IF(F75=1,VLOOKUP(D75,'DB animal categories'!$C$137:$AM$146,34,FALSE)*E75/1000,M75/VLOOKUP(D75,'DB animal categories'!$C$137:$AH$146,27,FALSE)*(VLOOKUP(D75,'DB animal categories'!$C$137:$AH$146,25,FALSE)*VLOOKUP(D75,'DB animal categories'!$C$137:$AH$146,26,FALSE)/24)))</f>
        <v/>
      </c>
      <c r="V75" s="607">
        <f>IF(K75="",0,K75/M75*U75*'DB technologies'!$AT$11/100)</f>
        <v>0</v>
      </c>
      <c r="W75" s="607">
        <f>IF(K75="",0,(U75-V75)*'DB technologies'!$AU$11/100)</f>
        <v>0</v>
      </c>
      <c r="X75" s="58" t="str">
        <f>IF(D75="","",IF(F75=1,VLOOKUP(D75,'DB animal categories'!$C$137:$AM$146,36,FALSE)*E75/1000,P75/VLOOKUP(D75,'DB animal categories'!$C$137:$AH$146,27,FALSE)*(VLOOKUP(D75,'DB animal categories'!$C$137:$AH$146,25,FALSE)*VLOOKUP(D75,'DB animal categories'!$C$137:$AH$146,26,FALSE)/24)))</f>
        <v/>
      </c>
      <c r="Y75" s="63" t="str">
        <f>IF(D75="","",IF(F75=1,VLOOKUP(D75,'DB animal categories'!$C$137:$AM$146,37,FALSE)*E75/1000,S75/VLOOKUP(D75,'DB animal categories'!$C$137:$AH$146,27,FALSE)*(VLOOKUP(D75,'DB animal categories'!$C$137:$AH$146,25,FALSE)*VLOOKUP(D75,'DB animal categories'!$C$137:$AH$146,26,FALSE)/24)))</f>
        <v/>
      </c>
    </row>
    <row r="76" spans="2:25" ht="11.25" customHeight="1" x14ac:dyDescent="0.2">
      <c r="B76" s="684"/>
      <c r="C76" s="676"/>
      <c r="D76" s="1422"/>
      <c r="E76" s="1405"/>
      <c r="F76" s="1405"/>
      <c r="G76" s="59" t="str">
        <f>IF(F76=1,"",IF(D76="","",IF(F76=2,I76*VLOOKUP($C$73,'DB additional information '!$X$4:$AB$25,4,FALSE)/100,VLOOKUP(D76,'DB animal categories'!$C$137:$AH$146,8,FALSE)*VLOOKUP(D76,'DB animal categories'!$C$137:$AC$146,9,FALSE)/100*(1-(VLOOKUP(D76,'DB animal categories'!$C$137:$AH$146,10,FALSE)/100))/('DB additional information '!$K$16/100)/1000*E76)))</f>
        <v/>
      </c>
      <c r="H76" s="366"/>
      <c r="I76" s="58" t="str">
        <f>IF(F76=1,E76*VLOOKUP(D76,'DB animal categories'!$C$137:$AN$146,28,FALSE),IF(D76="","",IF(F76=2,VLOOKUP(D76,'DB animal categories'!$C$137:$AH$146,14,FALSE)*E76,G76+H76)))</f>
        <v/>
      </c>
      <c r="J76" s="58" t="str">
        <f>IF(F76=1,VLOOKUP(D76,'DB animal categories'!$C$137:$AN$146,38,FALSE),IF(F76="","",IF(D76="","",IF(F76=2,VLOOKUP(D76,'DB animal categories'!$C$137:$AH$146,15,FALSE),(G76*'DB additional information '!$K$16/100+H76*'DB additional information '!$L$16/100)/I76*100))))</f>
        <v/>
      </c>
      <c r="K76" s="68" t="str">
        <f>IF(F76="","",IF(D76="","",IF(F76=2,M76-L76,(VLOOKUP(D76,'DB animal categories'!$C$137:$AH$146,8,FALSE)*VLOOKUP(D76,'DB animal categories'!$C$137:$AH$146,11,FALSE)/6.25/1000/1000)*E76-VLOOKUP(D76,'DB animal categories'!$C$137:$O$146,7,FALSE)*'DB additional information '!$F$84*'Calc (ex-animal)'!E76/1000/1000)))</f>
        <v/>
      </c>
      <c r="L76" s="376"/>
      <c r="M76" s="58" t="str">
        <f>IF(F76=1,VLOOKUP(D76,'DB animal categories'!$C$137:$AM$146,29,FALSE)/1000*E76,IF(F76="","",IF(D76="","",IF(F76=2,VLOOKUP(D76,'DB animal categories'!$C$137:$AH$146,18,FALSE)*E76/1000,K76+L76))))</f>
        <v/>
      </c>
      <c r="N76" s="68" t="str">
        <f>IF(F76="","",IF(D76="","",IF(F76=2,P76-O76,(VLOOKUP(D76,'DB animal categories'!$C$137:$AH$146,8,FALSE)*VLOOKUP(D76,'DB animal categories'!$C$137:$AH$146,12,FALSE)/1000/1000)*E76-VLOOKUP(D76,'DB animal categories'!$C$137:$O$146,7,FALSE)*'DB additional information '!$F$85*'Calc (ex-animal)'!E76/1000/1000)))</f>
        <v/>
      </c>
      <c r="O76" s="362"/>
      <c r="P76" s="58" t="str">
        <f>IF(F76=1,VLOOKUP(D76,'DB animal categories'!$C$137:$AM$145,31,FALSE)/1000*E76,IF(F76="","",IF(D76="","",IF(F76=2,E76*VLOOKUP(D76,'DB animal categories'!$C$137:$AH$145,21,FALSE)/1000,N76+O76))))</f>
        <v/>
      </c>
      <c r="Q76" s="68" t="str">
        <f>IF(F76="","",IF(D76="","",IF(F76=2,S76-R76,(VLOOKUP(D76,'DB animal categories'!$C$137:$AH$146,8,FALSE)*VLOOKUP(D76,'DB animal categories'!$C$136:$AH$147,13,FALSE)/1000/1000)*E76-VLOOKUP(D76,'DB animal categories'!$C$137:$O$146,7,FALSE)*'DB additional information '!$F$86*'Calc (ex-animal)'!E76/1000/1000)))</f>
        <v/>
      </c>
      <c r="R76" s="68"/>
      <c r="S76" s="58" t="str">
        <f>IF(F76=1,VLOOKUP(D76,'DB animal categories'!$C$137:$AM$145,32,FALSE)/1000*E76,IF(F76="","",IF(D76="","",IF(F76=2,E76*VLOOKUP(D76,'DB animal categories'!$C$137:$AH$145,24,FALSE)/1000,Q76+R76))))</f>
        <v/>
      </c>
      <c r="T76" s="58" t="str">
        <f>IF(D76="","",IF(F76=1,VLOOKUP(D76,'DB animal categories'!$C$137:$AM$146,33,FALSE)*E76,I76/VLOOKUP(D76,'DB animal categories'!$C$137:$AH$146,27,FALSE)*(VLOOKUP(D76,'DB animal categories'!$C$137:$AH$146,25,FALSE)*VLOOKUP(D76,'DB animal categories'!$C$137:$AH$146,26,FALSE)/24)))</f>
        <v/>
      </c>
      <c r="U76" s="58" t="str">
        <f>IF(D76="","",IF(F76=1,VLOOKUP(D76,'DB animal categories'!$C$137:$AM$146,34,FALSE)*E76/1000,M76/VLOOKUP(D76,'DB animal categories'!$C$137:$AH$146,27,FALSE)*(VLOOKUP(D76,'DB animal categories'!$C$137:$AH$146,25,FALSE)*VLOOKUP(D76,'DB animal categories'!$C$137:$AH$146,26,FALSE)/24)))</f>
        <v/>
      </c>
      <c r="V76" s="607">
        <f>IF(K76="",0,K76/M76*U76*'DB technologies'!$AT$11/100)</f>
        <v>0</v>
      </c>
      <c r="W76" s="607">
        <f>IF(K76="",0,(U76-V76)*'DB technologies'!$AU$11/100)</f>
        <v>0</v>
      </c>
      <c r="X76" s="58" t="str">
        <f>IF(D76="","",IF(F76=1,VLOOKUP(D76,'DB animal categories'!$C$137:$AM$146,36,FALSE)*E76/1000,P76/VLOOKUP(D76,'DB animal categories'!$C$137:$AH$146,27,FALSE)*(VLOOKUP(D76,'DB animal categories'!$C$137:$AH$146,25,FALSE)*VLOOKUP(D76,'DB animal categories'!$C$137:$AH$146,26,FALSE)/24)))</f>
        <v/>
      </c>
      <c r="Y76" s="63" t="str">
        <f>IF(D76="","",IF(F76=1,VLOOKUP(D76,'DB animal categories'!$C$137:$AM$146,37,FALSE)*E76/1000,S76/VLOOKUP(D76,'DB animal categories'!$C$137:$AH$146,27,FALSE)*(VLOOKUP(D76,'DB animal categories'!$C$137:$AH$146,25,FALSE)*VLOOKUP(D76,'DB animal categories'!$C$137:$AH$146,26,FALSE)/24)))</f>
        <v/>
      </c>
    </row>
    <row r="77" spans="2:25" ht="12" customHeight="1" thickBot="1" x14ac:dyDescent="0.25">
      <c r="B77" s="684"/>
      <c r="C77" s="677"/>
      <c r="D77" s="1409"/>
      <c r="E77" s="1410"/>
      <c r="F77" s="1410"/>
      <c r="G77" s="89" t="str">
        <f>IF(F77=1,"",IF(D77="","",IF(F77=2,I77*VLOOKUP($C$73,'DB additional information '!$X$4:$AB$25,4,FALSE)/100,VLOOKUP(D77,'DB animal categories'!$C$137:$AH$146,8,FALSE)*VLOOKUP(D77,'DB animal categories'!$C$137:$AC$146,9,FALSE)/100*(1-(VLOOKUP(D77,'DB animal categories'!$C$137:$AH$146,10,FALSE)/100))/('DB additional information '!$K$16/100)/1000*E77)))</f>
        <v/>
      </c>
      <c r="H77" s="377"/>
      <c r="I77" s="122" t="str">
        <f>IF(F77=1,E77*VLOOKUP(D77,'DB animal categories'!$C$137:$AN$146,28,FALSE),IF(D77="","",IF(F77=2,VLOOKUP(D77,'DB animal categories'!$C$137:$AH$146,14,FALSE)*E77,G77+H77)))</f>
        <v/>
      </c>
      <c r="J77" s="122" t="str">
        <f>IF(F77=1,VLOOKUP(D77,'DB animal categories'!$C$137:$AN$146,38,FALSE),IF(F77="","",IF(D77="","",IF(F77=2,VLOOKUP(D77,'DB animal categories'!$C$137:$AH$146,15,FALSE),(G77*'DB additional information '!$K$16/100+H77*'DB additional information '!$L$16/100)/I77*100))))</f>
        <v/>
      </c>
      <c r="K77" s="123" t="str">
        <f>IF(F77="","",IF(D77="","",IF(F77=2,M77-L77,(VLOOKUP(D77,'DB animal categories'!$C$137:$AH$146,8,FALSE)*VLOOKUP(D77,'DB animal categories'!$C$137:$AH$146,11,FALSE)/6.25/1000/1000)*E77-VLOOKUP(D77,'DB animal categories'!$C$137:$O$146,7,FALSE)*'DB additional information '!$F$84*'Calc (ex-animal)'!E77/1000/1000)))</f>
        <v/>
      </c>
      <c r="L77" s="378"/>
      <c r="M77" s="122" t="str">
        <f>IF(F77=1,VLOOKUP(D77,'DB animal categories'!$C$137:$AM$146,29,FALSE)/1000*E77,IF(F77="","",IF(D77="","",IF(F77=2,VLOOKUP(D77,'DB animal categories'!$C$137:$AH$146,18,FALSE)*E77/1000,K77+L77))))</f>
        <v/>
      </c>
      <c r="N77" s="123" t="str">
        <f>IF(F77="","",IF(D77="","",IF(F77=2,P77-O77,(VLOOKUP(D77,'DB animal categories'!$C$137:$AH$146,8,FALSE)*VLOOKUP(D77,'DB animal categories'!$C$137:$AH$146,12,FALSE)/1000/1000)*E77-VLOOKUP(D77,'DB animal categories'!$C$137:$O$146,7,FALSE)*'DB additional information '!$F$85*'Calc (ex-animal)'!E77/1000/1000)))</f>
        <v/>
      </c>
      <c r="O77" s="363"/>
      <c r="P77" s="122" t="str">
        <f>IF(F77=1,VLOOKUP(D77,'DB animal categories'!$C$137:$AM$145,31,FALSE)/1000*E77,IF(F77="","",IF(D77="","",IF(F77=2,E77*VLOOKUP(D77,'DB animal categories'!$C$137:$AH$145,21,FALSE)/1000,N77+O77))))</f>
        <v/>
      </c>
      <c r="Q77" s="123" t="str">
        <f>IF(F77="","",IF(D77="","",IF(F77=2,S77-R77,(VLOOKUP(D77,'DB animal categories'!$C$137:$AH$146,8,FALSE)*VLOOKUP(D77,'DB animal categories'!$C$136:$AH$147,13,FALSE)/1000/1000)*E77-VLOOKUP(D77,'DB animal categories'!$C$137:$O$146,7,FALSE)*'DB additional information '!$F$86*'Calc (ex-animal)'!E77/1000/1000)))</f>
        <v/>
      </c>
      <c r="R77" s="123"/>
      <c r="S77" s="122" t="str">
        <f>IF(F77=1,VLOOKUP(D77,'DB animal categories'!$C$137:$AM$145,32,FALSE)/1000*E77,IF(F77="","",IF(D77="","",IF(F77=2,E77*VLOOKUP(D77,'DB animal categories'!$C$137:$AH$145,24,FALSE)/1000,Q77+R77))))</f>
        <v/>
      </c>
      <c r="T77" s="122" t="str">
        <f>IF(D77="","",IF(F77=1,VLOOKUP(D77,'DB animal categories'!$C$137:$AM$146,33,FALSE)*E77,I77/VLOOKUP(D77,'DB animal categories'!$C$137:$AH$146,27,FALSE)*(VLOOKUP(D77,'DB animal categories'!$C$137:$AH$146,25,FALSE)*VLOOKUP(D77,'DB animal categories'!$C$137:$AH$146,26,FALSE)/24)))</f>
        <v/>
      </c>
      <c r="U77" s="122" t="str">
        <f>IF(D77="","",IF(F77=1,VLOOKUP(D77,'DB animal categories'!$C$137:$AM$146,34,FALSE)*E77/1000,M77/VLOOKUP(D77,'DB animal categories'!$C$137:$AH$146,27,FALSE)*(VLOOKUP(D77,'DB animal categories'!$C$137:$AH$146,25,FALSE)*VLOOKUP(D77,'DB animal categories'!$C$137:$AH$146,26,FALSE)/24)))</f>
        <v/>
      </c>
      <c r="V77" s="608">
        <f>IF(K77="",0,K77/M77*U77*'DB technologies'!$AT$11/100)</f>
        <v>0</v>
      </c>
      <c r="W77" s="608">
        <f>IF(K77="",0,(U77-V77)*'DB technologies'!$AU$11/100)</f>
        <v>0</v>
      </c>
      <c r="X77" s="122" t="str">
        <f>IF(D77="","",IF(F77=1,VLOOKUP(D77,'DB animal categories'!$C$137:$AM$146,36,FALSE)*E77/1000,P77/VLOOKUP(D77,'DB animal categories'!$C$137:$AH$146,27,FALSE)*(VLOOKUP(D77,'DB animal categories'!$C$137:$AH$146,25,FALSE)*VLOOKUP(D77,'DB animal categories'!$C$137:$AH$146,26,FALSE)/24)))</f>
        <v/>
      </c>
      <c r="Y77" s="124" t="str">
        <f>IF(D77="","",IF(F77=1,VLOOKUP(D77,'DB animal categories'!$C$137:$AM$146,37,FALSE)*E77/1000,S77/VLOOKUP(D77,'DB animal categories'!$C$137:$AH$146,27,FALSE)*(VLOOKUP(D77,'DB animal categories'!$C$137:$AH$146,25,FALSE)*VLOOKUP(D77,'DB animal categories'!$C$137:$AH$146,26,FALSE)/24)))</f>
        <v/>
      </c>
    </row>
    <row r="78" spans="2:25" ht="11.25" customHeight="1" x14ac:dyDescent="0.2">
      <c r="B78" s="684"/>
      <c r="C78" s="672" t="s">
        <v>187</v>
      </c>
      <c r="D78" s="1401"/>
      <c r="E78" s="1402"/>
      <c r="F78" s="1402"/>
      <c r="G78" s="59" t="str">
        <f>IF(F78=1,"",IF(D78="","",IF(F78=2,I78*VLOOKUP($C$78,'DB additional information '!$X$4:$AB$25,4,FALSE)/100,VLOOKUP(D78,'DB animal categories'!$C$147:$AH$156,8,FALSE)*VLOOKUP(D78,'DB animal categories'!$C$147:$AC$156,9,FALSE)/100*(1-(VLOOKUP(D78,'DB animal categories'!$C$147:$AH$156,10,FALSE)/100))/('DB additional information '!$K$17/100)/1000*E78)))</f>
        <v/>
      </c>
      <c r="H78" s="374"/>
      <c r="I78" s="66" t="str">
        <f>IF(F78=1,E78*VLOOKUP(D78,'DB animal categories'!$C$147:$AN$156,28,FALSE),IF(D78="","",IF(F78=2,VLOOKUP(D78,'DB animal categories'!$C$147:$AH$156,14,FALSE)*E78,G78+H78)))</f>
        <v/>
      </c>
      <c r="J78" s="66" t="str">
        <f>IF(F78=1,VLOOKUP(D78,'DB animal categories'!$C$147:$AN$156,38,FALSE),IF(F78="","",IF(D78="","",IF(F78=2,VLOOKUP(D78,'DB animal categories'!$C$147:$AH$156,15,FALSE),(G78*'DB additional information '!$K$17/100+H78*'DB additional information '!$L$17/100)/I78*100))))</f>
        <v/>
      </c>
      <c r="K78" s="74" t="str">
        <f>IF(F78="","",IF(D78="","",IF(F78=2,M78-L78,(VLOOKUP(D78,'DB animal categories'!$C$147:$AH$156,8,FALSE)*VLOOKUP(D78,'DB animal categories'!$C$147:$AH$156,11,FALSE)/6.25/1000/1000)*E78-VLOOKUP(D78,'DB animal categories'!$C$147:$O$156,7,FALSE)*'DB additional information '!$F$84*'Calc (ex-animal)'!E78/1000/1000)))</f>
        <v/>
      </c>
      <c r="L78" s="361"/>
      <c r="M78" s="66" t="str">
        <f>IF(F78=1,VLOOKUP(D78,'DB animal categories'!$C$147:$AM$156,29,FALSE)/1000*E78,IF(F78="","",IF(D78="","",IF(F78=2,VLOOKUP(D78,'DB animal categories'!$C$147:$AH$156,18,FALSE)*E78/1000,K78+L78))))</f>
        <v/>
      </c>
      <c r="N78" s="74" t="str">
        <f>IF(F78="","",IF(D78="","",IF(F78=2,P78-O78,(VLOOKUP(D78,'DB animal categories'!$C$147:$AH$156,8,FALSE)*VLOOKUP(D78,'DB animal categories'!$C$147:$AH$156,12,FALSE)/1000/1000)*E78-VLOOKUP(D78,'DB animal categories'!$C$147:$O$156,7,FALSE)*'DB additional information '!$F$85*'Calc (ex-animal)'!E78/1000/1000)))</f>
        <v/>
      </c>
      <c r="O78" s="361"/>
      <c r="P78" s="66" t="str">
        <f>IF(F78=1,VLOOKUP(D78,'DB animal categories'!$C$147:$AM$155,31,FALSE)/1000*E78,IF(F78="","",IF(D78="","",IF(F78=2,E78*VLOOKUP(D78,'DB animal categories'!$C$147:$AH$155,21,FALSE)/1000,N78+O78))))</f>
        <v/>
      </c>
      <c r="Q78" s="74" t="str">
        <f>IF(F78="","",IF(D78="","",IF(F78=2,S78-R78,(VLOOKUP(D78,'DB animal categories'!$C$147:$AH$156,8,FALSE)*VLOOKUP(D78,'DB animal categories'!$C$146:$AH$157,13,FALSE)/1000/1000)*E78-VLOOKUP(D78,'DB animal categories'!$C$147:$O$156,7,FALSE)*'DB additional information '!$F$86*'Calc (ex-animal)'!E78/1000/1000)))</f>
        <v/>
      </c>
      <c r="R78" s="74"/>
      <c r="S78" s="66" t="str">
        <f>IF(F78=1,VLOOKUP(D78,'DB animal categories'!$C$147:$AM$155,32,FALSE)/1000*E78,IF(F78="","",IF(D78="","",IF(F78=2,E78*VLOOKUP(D78,'DB animal categories'!$C$147:$AH$155,24,FALSE)/1000,Q78+R78))))</f>
        <v/>
      </c>
      <c r="T78" s="66" t="str">
        <f>IF(D78="","",IF(F78=1,VLOOKUP(D78,'DB animal categories'!$C$147:$AM$156,33,FALSE)*E78,I78/VLOOKUP(D78,'DB animal categories'!$C$147:$AH$156,27,FALSE)*(VLOOKUP(D78,'DB animal categories'!$C$147:$AH$156,25,FALSE)*VLOOKUP(D78,'DB animal categories'!$C$147:$AH$156,26,FALSE)/24)))</f>
        <v/>
      </c>
      <c r="U78" s="66" t="str">
        <f>IF(D78="","",IF(F78=1,VLOOKUP(D78,'DB animal categories'!$C$147:$AM$156,34,FALSE)*E78/1000,M78/VLOOKUP(D78,'DB animal categories'!$C$147:$AH$156,27,FALSE)*(VLOOKUP(D78,'DB animal categories'!$C$147:$AH$156,25,FALSE)*VLOOKUP(D78,'DB animal categories'!$C$147:$AH$156,26,FALSE)/24)))</f>
        <v/>
      </c>
      <c r="V78" s="607">
        <f>IF(K78="",0,K78/M78*U78*'DB technologies'!$AT$11/100)</f>
        <v>0</v>
      </c>
      <c r="W78" s="607">
        <f>IF(K78="",0,(U78-V78)*'DB technologies'!$AU$11/100)</f>
        <v>0</v>
      </c>
      <c r="X78" s="66" t="str">
        <f>IF(D78="","",IF(F78=1,VLOOKUP(D78,'DB animal categories'!$C$147:$AM$156,36,FALSE)*E78/1000,P78/VLOOKUP(D78,'DB animal categories'!$C$147:$AH$156,27,FALSE)*(VLOOKUP(D78,'DB animal categories'!$C$147:$AH$156,25,FALSE)*VLOOKUP(D78,'DB animal categories'!$C$147:$AH$156,26,FALSE)/24)))</f>
        <v/>
      </c>
      <c r="Y78" s="77" t="str">
        <f>IF(D78="","",IF(F78=1,VLOOKUP(D78,'DB animal categories'!$C$147:$AM$156,37,FALSE)*E78/1000,S78/VLOOKUP(D78,'DB animal categories'!$C$147:$AH$156,27,FALSE)*(VLOOKUP(D78,'DB animal categories'!$C$147:$AH$156,25,FALSE)*VLOOKUP(D78,'DB animal categories'!$C$147:$AH$156,26,FALSE)/24)))</f>
        <v/>
      </c>
    </row>
    <row r="79" spans="2:25" ht="11.25" customHeight="1" x14ac:dyDescent="0.2">
      <c r="B79" s="684"/>
      <c r="C79" s="681"/>
      <c r="D79" s="1404"/>
      <c r="E79" s="1405"/>
      <c r="F79" s="1405"/>
      <c r="G79" s="59" t="str">
        <f>IF(F79=1,"",IF(D79="","",IF(F79=2,I79*VLOOKUP($C$78,'DB additional information '!$X$4:$AB$25,4,FALSE)/100,VLOOKUP(D79,'DB animal categories'!$C$147:$AH$156,8,FALSE)*VLOOKUP(D79,'DB animal categories'!$C$147:$AC$156,9,FALSE)/100*(1-(VLOOKUP(D79,'DB animal categories'!$C$147:$AH$156,10,FALSE)/100))/('DB additional information '!$K$17/100)/1000*E79)))</f>
        <v/>
      </c>
      <c r="H79" s="366"/>
      <c r="I79" s="58" t="str">
        <f>IF(F79=1,E79*VLOOKUP(D79,'DB animal categories'!$C$147:$AN$156,28,FALSE),IF(D79="","",IF(F79=2,VLOOKUP(D79,'DB animal categories'!$C$147:$AH$156,14,FALSE)*E79,G79+H79)))</f>
        <v/>
      </c>
      <c r="J79" s="58" t="str">
        <f>IF(F79=1,VLOOKUP(D79,'DB animal categories'!$C$147:$AN$156,38,FALSE),IF(F79="","",IF(D79="","",IF(F79=2,VLOOKUP(D79,'DB animal categories'!$C$147:$AH$156,15,FALSE),(G79*'DB additional information '!$K$17/100+H79*'DB additional information '!$L$17/100)/I79*100))))</f>
        <v/>
      </c>
      <c r="K79" s="68" t="str">
        <f>IF(F79="","",IF(D79="","",IF(F79=2,M79-L79,(VLOOKUP(D79,'DB animal categories'!$C$147:$AH$156,8,FALSE)*VLOOKUP(D79,'DB animal categories'!$C$147:$AH$156,11,FALSE)/6.25/1000/1000)*E79-VLOOKUP(D79,'DB animal categories'!$C$147:$O$156,7,FALSE)*'DB additional information '!$F$84*'Calc (ex-animal)'!E79/1000/1000)))</f>
        <v/>
      </c>
      <c r="L79" s="362"/>
      <c r="M79" s="58" t="str">
        <f>IF(F79=1,VLOOKUP(D79,'DB animal categories'!$C$147:$AM$156,29,FALSE)/1000*E79,IF(F79="","",IF(D79="","",IF(F79=2,VLOOKUP(D79,'DB animal categories'!$C$147:$AH$156,18,FALSE)*E79/1000,K79+L79))))</f>
        <v/>
      </c>
      <c r="N79" s="68" t="str">
        <f>IF(F79="","",IF(D79="","",IF(F79=2,P79-O79,(VLOOKUP(D79,'DB animal categories'!$C$147:$AH$156,8,FALSE)*VLOOKUP(D79,'DB animal categories'!$C$147:$AH$156,12,FALSE)/1000/1000)*E79-VLOOKUP(D79,'DB animal categories'!$C$147:$O$156,7,FALSE)*'DB additional information '!$F$85*'Calc (ex-animal)'!E79/1000/1000)))</f>
        <v/>
      </c>
      <c r="O79" s="362"/>
      <c r="P79" s="58" t="str">
        <f>IF(F79=1,VLOOKUP(D79,'DB animal categories'!$C$147:$AM$155,31,FALSE)/1000*E79,IF(F79="","",IF(D79="","",IF(F79=2,E79*VLOOKUP(D79,'DB animal categories'!$C$147:$AH$155,21,FALSE)/1000,N79+O79))))</f>
        <v/>
      </c>
      <c r="Q79" s="68" t="str">
        <f>IF(F79="","",IF(D79="","",IF(F79=2,S79-R79,(VLOOKUP(D79,'DB animal categories'!$C$147:$AH$156,8,FALSE)*VLOOKUP(D79,'DB animal categories'!$C$146:$AH$157,13,FALSE)/1000/1000)*E79-VLOOKUP(D79,'DB animal categories'!$C$147:$O$156,7,FALSE)*'DB additional information '!$F$86*'Calc (ex-animal)'!E79/1000/1000)))</f>
        <v/>
      </c>
      <c r="R79" s="68"/>
      <c r="S79" s="58" t="str">
        <f>IF(F79=1,VLOOKUP(D79,'DB animal categories'!$C$147:$AM$155,32,FALSE)/1000*E79,IF(F79="","",IF(D79="","",IF(F79=2,E79*VLOOKUP(D79,'DB animal categories'!$C$147:$AH$155,24,FALSE)/1000,Q79+R79))))</f>
        <v/>
      </c>
      <c r="T79" s="58" t="str">
        <f>IF(D79="","",IF(F79=1,VLOOKUP(D79,'DB animal categories'!$C$147:$AM$156,33,FALSE)*E79,I79/VLOOKUP(D79,'DB animal categories'!$C$147:$AH$156,27,FALSE)*(VLOOKUP(D79,'DB animal categories'!$C$147:$AH$156,25,FALSE)*VLOOKUP(D79,'DB animal categories'!$C$147:$AH$156,26,FALSE)/24)))</f>
        <v/>
      </c>
      <c r="U79" s="58" t="str">
        <f>IF(D79="","",IF(F79=1,VLOOKUP(D79,'DB animal categories'!$C$147:$AM$156,34,FALSE)*E79/1000,M79/VLOOKUP(D79,'DB animal categories'!$C$147:$AH$156,27,FALSE)*(VLOOKUP(D79,'DB animal categories'!$C$147:$AH$156,25,FALSE)*VLOOKUP(D79,'DB animal categories'!$C$147:$AH$156,26,FALSE)/24)))</f>
        <v/>
      </c>
      <c r="V79" s="607">
        <f>IF(K79="",0,K79/M79*U79*'DB technologies'!$AT$11/100)</f>
        <v>0</v>
      </c>
      <c r="W79" s="607">
        <f>IF(K79="",0,(U79-V79)*'DB technologies'!$AU$11/100)</f>
        <v>0</v>
      </c>
      <c r="X79" s="58" t="str">
        <f>IF(D79="","",IF(F79=1,VLOOKUP(D79,'DB animal categories'!$C$147:$AM$156,36,FALSE)*E79/1000,P79/VLOOKUP(D79,'DB animal categories'!$C$147:$AH$156,27,FALSE)*(VLOOKUP(D79,'DB animal categories'!$C$147:$AH$156,25,FALSE)*VLOOKUP(D79,'DB animal categories'!$C$147:$AH$156,26,FALSE)/24)))</f>
        <v/>
      </c>
      <c r="Y79" s="63" t="str">
        <f>IF(D79="","",IF(F79=1,VLOOKUP(D79,'DB animal categories'!$C$147:$AM$156,37,FALSE)*E79/1000,S79/VLOOKUP(D79,'DB animal categories'!$C$147:$AH$156,27,FALSE)*(VLOOKUP(D79,'DB animal categories'!$C$147:$AH$156,25,FALSE)*VLOOKUP(D79,'DB animal categories'!$C$147:$AH$156,26,FALSE)/24)))</f>
        <v/>
      </c>
    </row>
    <row r="80" spans="2:25" ht="11.25" customHeight="1" x14ac:dyDescent="0.2">
      <c r="B80" s="684"/>
      <c r="C80" s="681"/>
      <c r="D80" s="1404"/>
      <c r="E80" s="1405"/>
      <c r="F80" s="1405"/>
      <c r="G80" s="59" t="str">
        <f>IF(F80=1,"",IF(D80="","",IF(F80=2,I80*VLOOKUP($C$78,'DB additional information '!$X$4:$AB$25,4,FALSE)/100,VLOOKUP(D80,'DB animal categories'!$C$147:$AH$156,8,FALSE)*VLOOKUP(D80,'DB animal categories'!$C$147:$AC$156,9,FALSE)/100*(1-(VLOOKUP(D80,'DB animal categories'!$C$147:$AH$156,10,FALSE)/100))/('DB additional information '!$K$17/100)/1000*E80)))</f>
        <v/>
      </c>
      <c r="H80" s="366"/>
      <c r="I80" s="58" t="str">
        <f>IF(F80=1,E80*VLOOKUP(D80,'DB animal categories'!$C$147:$AN$156,28,FALSE),IF(D80="","",IF(F80=2,VLOOKUP(D80,'DB animal categories'!$C$147:$AH$156,14,FALSE)*E80,G80+H80)))</f>
        <v/>
      </c>
      <c r="J80" s="58" t="str">
        <f>IF(F80=1,VLOOKUP(D80,'DB animal categories'!$C$147:$AN$156,38,FALSE),IF(F80="","",IF(D80="","",IF(F80=2,VLOOKUP(D80,'DB animal categories'!$C$147:$AH$156,15,FALSE),(G80*'DB additional information '!$K$17/100+H80*'DB additional information '!$L$17/100)/I80*100))))</f>
        <v/>
      </c>
      <c r="K80" s="68" t="str">
        <f>IF(F80="","",IF(D80="","",IF(F80=2,M80-L80,(VLOOKUP(D80,'DB animal categories'!$C$147:$AH$156,8,FALSE)*VLOOKUP(D80,'DB animal categories'!$C$147:$AH$156,11,FALSE)/6.25/1000/1000)*E80-VLOOKUP(D80,'DB animal categories'!$C$147:$O$156,7,FALSE)*'DB additional information '!$F$84*'Calc (ex-animal)'!E80/1000/1000)))</f>
        <v/>
      </c>
      <c r="L80" s="362"/>
      <c r="M80" s="58" t="str">
        <f>IF(F80=1,VLOOKUP(D80,'DB animal categories'!$C$147:$AM$156,29,FALSE)/1000*E80,IF(F80="","",IF(D80="","",IF(F80=2,VLOOKUP(D80,'DB animal categories'!$C$147:$AH$156,18,FALSE)*E80/1000,K80+L80))))</f>
        <v/>
      </c>
      <c r="N80" s="68" t="str">
        <f>IF(F80="","",IF(D80="","",IF(F80=2,P80-O80,(VLOOKUP(D80,'DB animal categories'!$C$147:$AH$156,8,FALSE)*VLOOKUP(D80,'DB animal categories'!$C$147:$AH$156,12,FALSE)/1000/1000)*E80-VLOOKUP(D80,'DB animal categories'!$C$147:$O$156,7,FALSE)*'DB additional information '!$F$85*'Calc (ex-animal)'!E80/1000/1000)))</f>
        <v/>
      </c>
      <c r="O80" s="362"/>
      <c r="P80" s="58" t="str">
        <f>IF(F80=1,VLOOKUP(D80,'DB animal categories'!$C$147:$AM$155,31,FALSE)/1000*E80,IF(F80="","",IF(D80="","",IF(F80=2,E80*VLOOKUP(D80,'DB animal categories'!$C$147:$AH$155,21,FALSE)/1000,N80+O80))))</f>
        <v/>
      </c>
      <c r="Q80" s="68" t="str">
        <f>IF(F80="","",IF(D80="","",IF(F80=2,S80-R80,(VLOOKUP(D80,'DB animal categories'!$C$147:$AH$156,8,FALSE)*VLOOKUP(D80,'DB animal categories'!$C$146:$AH$157,13,FALSE)/1000/1000)*E80-VLOOKUP(D80,'DB animal categories'!$C$147:$O$156,7,FALSE)*'DB additional information '!$F$86*'Calc (ex-animal)'!E80/1000/1000)))</f>
        <v/>
      </c>
      <c r="R80" s="68"/>
      <c r="S80" s="58" t="str">
        <f>IF(F80=1,VLOOKUP(D80,'DB animal categories'!$C$147:$AM$155,32,FALSE)/1000*E80,IF(F80="","",IF(D80="","",IF(F80=2,E80*VLOOKUP(D80,'DB animal categories'!$C$147:$AH$155,24,FALSE)/1000,Q80+R80))))</f>
        <v/>
      </c>
      <c r="T80" s="58" t="str">
        <f>IF(D80="","",IF(F80=1,VLOOKUP(D80,'DB animal categories'!$C$147:$AM$156,33,FALSE)*E80,I80/VLOOKUP(D80,'DB animal categories'!$C$147:$AH$156,27,FALSE)*(VLOOKUP(D80,'DB animal categories'!$C$147:$AH$156,25,FALSE)*VLOOKUP(D80,'DB animal categories'!$C$147:$AH$156,26,FALSE)/24)))</f>
        <v/>
      </c>
      <c r="U80" s="58" t="str">
        <f>IF(D80="","",IF(F80=1,VLOOKUP(D80,'DB animal categories'!$C$147:$AM$156,34,FALSE)*E80/1000,M80/VLOOKUP(D80,'DB animal categories'!$C$147:$AH$156,27,FALSE)*(VLOOKUP(D80,'DB animal categories'!$C$147:$AH$156,25,FALSE)*VLOOKUP(D80,'DB animal categories'!$C$147:$AH$156,26,FALSE)/24)))</f>
        <v/>
      </c>
      <c r="V80" s="607">
        <f>IF(K80="",0,K80/M80*U80*'DB technologies'!$AT$11/100)</f>
        <v>0</v>
      </c>
      <c r="W80" s="607">
        <f>IF(K80="",0,(U80-V80)*'DB technologies'!$AU$11/100)</f>
        <v>0</v>
      </c>
      <c r="X80" s="58" t="str">
        <f>IF(D80="","",IF(F80=1,VLOOKUP(D80,'DB animal categories'!$C$147:$AM$156,36,FALSE)*E80/1000,P80/VLOOKUP(D80,'DB animal categories'!$C$147:$AH$156,27,FALSE)*(VLOOKUP(D80,'DB animal categories'!$C$147:$AH$156,25,FALSE)*VLOOKUP(D80,'DB animal categories'!$C$147:$AH$156,26,FALSE)/24)))</f>
        <v/>
      </c>
      <c r="Y80" s="63" t="str">
        <f>IF(D80="","",IF(F80=1,VLOOKUP(D80,'DB animal categories'!$C$147:$AM$156,37,FALSE)*E80/1000,S80/VLOOKUP(D80,'DB animal categories'!$C$147:$AH$156,27,FALSE)*(VLOOKUP(D80,'DB animal categories'!$C$147:$AH$156,25,FALSE)*VLOOKUP(D80,'DB animal categories'!$C$147:$AH$156,26,FALSE)/24)))</f>
        <v/>
      </c>
    </row>
    <row r="81" spans="2:29" ht="11.25" customHeight="1" x14ac:dyDescent="0.2">
      <c r="B81" s="684"/>
      <c r="C81" s="681"/>
      <c r="D81" s="1404"/>
      <c r="E81" s="1405"/>
      <c r="F81" s="1405"/>
      <c r="G81" s="59" t="str">
        <f>IF(F81=1,"",IF(D81="","",IF(F81=2,I81*VLOOKUP($C$78,'DB additional information '!$X$4:$AB$25,4,FALSE)/100,VLOOKUP(D81,'DB animal categories'!$C$147:$AH$156,8,FALSE)*VLOOKUP(D81,'DB animal categories'!$C$147:$AC$156,9,FALSE)/100*(1-(VLOOKUP(D81,'DB animal categories'!$C$147:$AH$156,10,FALSE)/100))/('DB additional information '!$K$17/100)/1000*E81)))</f>
        <v/>
      </c>
      <c r="H81" s="366"/>
      <c r="I81" s="58" t="str">
        <f>IF(F81=1,E81*VLOOKUP(D81,'DB animal categories'!$C$147:$AN$156,28,FALSE),IF(D81="","",IF(F81=2,VLOOKUP(D81,'DB animal categories'!$C$147:$AH$156,14,FALSE)*E81,G81+H81)))</f>
        <v/>
      </c>
      <c r="J81" s="58" t="str">
        <f>IF(F81=1,VLOOKUP(D81,'DB animal categories'!$C$147:$AN$156,38,FALSE),IF(F81="","",IF(D81="","",IF(F81=2,VLOOKUP(D81,'DB animal categories'!$C$147:$AH$156,15,FALSE),(G81*'DB additional information '!$K$17/100+H81*'DB additional information '!$L$17/100)/I81*100))))</f>
        <v/>
      </c>
      <c r="K81" s="68" t="str">
        <f>IF(F81="","",IF(D81="","",IF(F81=2,M81-L81,(VLOOKUP(D81,'DB animal categories'!$C$147:$AH$156,8,FALSE)*VLOOKUP(D81,'DB animal categories'!$C$147:$AH$156,11,FALSE)/6.25/1000/1000)*E81-VLOOKUP(D81,'DB animal categories'!$C$147:$O$156,7,FALSE)*'DB additional information '!$F$84*'Calc (ex-animal)'!E81/1000/1000)))</f>
        <v/>
      </c>
      <c r="L81" s="362"/>
      <c r="M81" s="58" t="str">
        <f>IF(F81=1,VLOOKUP(D81,'DB animal categories'!$C$147:$AM$156,29,FALSE)/1000*E81,IF(F81="","",IF(D81="","",IF(F81=2,VLOOKUP(D81,'DB animal categories'!$C$147:$AH$156,18,FALSE)*E81/1000,K81+L81))))</f>
        <v/>
      </c>
      <c r="N81" s="68" t="str">
        <f>IF(F81="","",IF(D81="","",IF(F81=2,P81-O81,(VLOOKUP(D81,'DB animal categories'!$C$147:$AH$156,8,FALSE)*VLOOKUP(D81,'DB animal categories'!$C$147:$AH$156,12,FALSE)/1000/1000)*E81-VLOOKUP(D81,'DB animal categories'!$C$147:$O$156,7,FALSE)*'DB additional information '!$F$85*'Calc (ex-animal)'!E81/1000/1000)))</f>
        <v/>
      </c>
      <c r="O81" s="362"/>
      <c r="P81" s="58" t="str">
        <f>IF(F81=1,VLOOKUP(D81,'DB animal categories'!$C$147:$AM$155,31,FALSE)/1000*E81,IF(F81="","",IF(D81="","",IF(F81=2,E81*VLOOKUP(D81,'DB animal categories'!$C$147:$AH$155,21,FALSE)/1000,N81+O81))))</f>
        <v/>
      </c>
      <c r="Q81" s="68" t="str">
        <f>IF(F81="","",IF(D81="","",IF(F81=2,S81-R81,(VLOOKUP(D81,'DB animal categories'!$C$147:$AH$156,8,FALSE)*VLOOKUP(D81,'DB animal categories'!$C$146:$AH$157,13,FALSE)/1000/1000)*E81-VLOOKUP(D81,'DB animal categories'!$C$147:$O$156,7,FALSE)*'DB additional information '!$F$86*'Calc (ex-animal)'!E81/1000/1000)))</f>
        <v/>
      </c>
      <c r="R81" s="68"/>
      <c r="S81" s="58" t="str">
        <f>IF(F81=1,VLOOKUP(D81,'DB animal categories'!$C$147:$AM$155,32,FALSE)/1000*E81,IF(F81="","",IF(D81="","",IF(F81=2,E81*VLOOKUP(D81,'DB animal categories'!$C$147:$AH$155,24,FALSE)/1000,Q81+R81))))</f>
        <v/>
      </c>
      <c r="T81" s="58" t="str">
        <f>IF(D81="","",IF(F81=1,VLOOKUP(D81,'DB animal categories'!$C$147:$AM$156,33,FALSE)*E81,I81/VLOOKUP(D81,'DB animal categories'!$C$147:$AH$156,27,FALSE)*(VLOOKUP(D81,'DB animal categories'!$C$147:$AH$156,25,FALSE)*VLOOKUP(D81,'DB animal categories'!$C$147:$AH$156,26,FALSE)/24)))</f>
        <v/>
      </c>
      <c r="U81" s="58" t="str">
        <f>IF(D81="","",IF(F81=1,VLOOKUP(D81,'DB animal categories'!$C$147:$AM$156,34,FALSE)*E81/1000,M81/VLOOKUP(D81,'DB animal categories'!$C$147:$AH$156,27,FALSE)*(VLOOKUP(D81,'DB animal categories'!$C$147:$AH$156,25,FALSE)*VLOOKUP(D81,'DB animal categories'!$C$147:$AH$156,26,FALSE)/24)))</f>
        <v/>
      </c>
      <c r="V81" s="607">
        <f>IF(K81="",0,K81/M81*U81*'DB technologies'!$AT$11/100)</f>
        <v>0</v>
      </c>
      <c r="W81" s="607">
        <f>IF(K81="",0,(U81-V81)*'DB technologies'!$AU$11/100)</f>
        <v>0</v>
      </c>
      <c r="X81" s="58" t="str">
        <f>IF(D81="","",IF(F81=1,VLOOKUP(D81,'DB animal categories'!$C$147:$AM$156,36,FALSE)*E81/1000,P81/VLOOKUP(D81,'DB animal categories'!$C$147:$AH$156,27,FALSE)*(VLOOKUP(D81,'DB animal categories'!$C$147:$AH$156,25,FALSE)*VLOOKUP(D81,'DB animal categories'!$C$147:$AH$156,26,FALSE)/24)))</f>
        <v/>
      </c>
      <c r="Y81" s="63" t="str">
        <f>IF(D81="","",IF(F81=1,VLOOKUP(D81,'DB animal categories'!$C$147:$AM$156,37,FALSE)*E81/1000,S81/VLOOKUP(D81,'DB animal categories'!$C$147:$AH$156,27,FALSE)*(VLOOKUP(D81,'DB animal categories'!$C$147:$AH$156,25,FALSE)*VLOOKUP(D81,'DB animal categories'!$C$147:$AH$156,26,FALSE)/24)))</f>
        <v/>
      </c>
    </row>
    <row r="82" spans="2:29" ht="11.25" customHeight="1" thickBot="1" x14ac:dyDescent="0.25">
      <c r="B82" s="684"/>
      <c r="C82" s="682"/>
      <c r="D82" s="1409"/>
      <c r="E82" s="1410"/>
      <c r="F82" s="1410"/>
      <c r="G82" s="89" t="str">
        <f>IF(F82=1,"",IF(D82="","",IF(F82=2,I82*VLOOKUP($C$78,'DB additional information '!$X$4:$AB$25,4,FALSE)/100,VLOOKUP(D82,'DB animal categories'!$C$147:$AH$156,8,FALSE)*VLOOKUP(D82,'DB animal categories'!$C$147:$AC$156,9,FALSE)/100*(1-(VLOOKUP(D82,'DB animal categories'!$C$147:$AH$156,10,FALSE)/100))/('DB additional information '!$K$17/100)/1000*E82)))</f>
        <v/>
      </c>
      <c r="H82" s="377"/>
      <c r="I82" s="122" t="str">
        <f>IF(F82=1,E82*VLOOKUP(D82,'DB animal categories'!$C$147:$AN$156,28,FALSE),IF(D82="","",IF(F82=2,VLOOKUP(D82,'DB animal categories'!$C$147:$AH$156,14,FALSE)*E82,G82+H82)))</f>
        <v/>
      </c>
      <c r="J82" s="122" t="str">
        <f>IF(F82=1,VLOOKUP(D82,'DB animal categories'!$C$147:$AN$156,38,FALSE),IF(F82="","",IF(D82="","",IF(F82=2,VLOOKUP(D82,'DB animal categories'!$C$147:$AH$156,15,FALSE),(G82*'DB additional information '!$K$17/100+H82*'DB additional information '!$L$17/100)/I82*100))))</f>
        <v/>
      </c>
      <c r="K82" s="123" t="str">
        <f>IF(F82="","",IF(D82="","",IF(F82=2,M82-L82,(VLOOKUP(D82,'DB animal categories'!$C$147:$AH$156,8,FALSE)*VLOOKUP(D82,'DB animal categories'!$C$147:$AH$156,11,FALSE)/6.25/1000/1000)*E82-VLOOKUP(D82,'DB animal categories'!$C$147:$O$156,7,FALSE)*'DB additional information '!$F$84*'Calc (ex-animal)'!E82/1000/1000)))</f>
        <v/>
      </c>
      <c r="L82" s="363"/>
      <c r="M82" s="122" t="str">
        <f>IF(F82=1,VLOOKUP(D82,'DB animal categories'!$C$147:$AM$156,29,FALSE)/1000*E82,IF(F82="","",IF(D82="","",IF(F82=2,VLOOKUP(D82,'DB animal categories'!$C$147:$AH$156,18,FALSE)*E82/1000,K82+L82))))</f>
        <v/>
      </c>
      <c r="N82" s="123" t="str">
        <f>IF(F82="","",IF(D82="","",IF(F82=2,P82-O82,(VLOOKUP(D82,'DB animal categories'!$C$147:$AH$156,8,FALSE)*VLOOKUP(D82,'DB animal categories'!$C$147:$AH$156,12,FALSE)/1000/1000)*E82-VLOOKUP(D82,'DB animal categories'!$C$147:$O$156,7,FALSE)*'DB additional information '!$F$85*'Calc (ex-animal)'!E82/1000/1000)))</f>
        <v/>
      </c>
      <c r="O82" s="363"/>
      <c r="P82" s="122" t="str">
        <f>IF(F82=1,VLOOKUP(D82,'DB animal categories'!$C$147:$AM$155,31,FALSE)/1000*E82,IF(F82="","",IF(D82="","",IF(F82=2,E82*VLOOKUP(D82,'DB animal categories'!$C$147:$AH$155,21,FALSE)/1000,N82+O82))))</f>
        <v/>
      </c>
      <c r="Q82" s="123" t="str">
        <f>IF(F82="","",IF(D82="","",IF(F82=2,S82-R82,(VLOOKUP(D82,'DB animal categories'!$C$147:$AH$156,8,FALSE)*VLOOKUP(D82,'DB animal categories'!$C$146:$AH$157,13,FALSE)/1000/1000)*E82-VLOOKUP(D82,'DB animal categories'!$C$147:$O$156,7,FALSE)*'DB additional information '!$F$86*'Calc (ex-animal)'!E82/1000/1000)))</f>
        <v/>
      </c>
      <c r="R82" s="123"/>
      <c r="S82" s="122" t="str">
        <f>IF(F82=1,VLOOKUP(D82,'DB animal categories'!$C$147:$AM$155,32,FALSE)/1000*E82,IF(F82="","",IF(D82="","",IF(F82=2,E82*VLOOKUP(D82,'DB animal categories'!$C$147:$AH$155,24,FALSE)/1000,Q82+R82))))</f>
        <v/>
      </c>
      <c r="T82" s="122" t="str">
        <f>IF(D82="","",IF(F82=1,VLOOKUP(D82,'DB animal categories'!$C$147:$AM$156,33,FALSE)*E82,I82/VLOOKUP(D82,'DB animal categories'!$C$147:$AH$156,27,FALSE)*(VLOOKUP(D82,'DB animal categories'!$C$147:$AH$156,25,FALSE)*VLOOKUP(D82,'DB animal categories'!$C$147:$AH$156,26,FALSE)/24)))</f>
        <v/>
      </c>
      <c r="U82" s="122" t="str">
        <f>IF(D82="","",IF(F82=1,VLOOKUP(D82,'DB animal categories'!$C$147:$AM$156,34,FALSE)*E82/1000,M82/VLOOKUP(D82,'DB animal categories'!$C$147:$AH$156,27,FALSE)*(VLOOKUP(D82,'DB animal categories'!$C$147:$AH$156,25,FALSE)*VLOOKUP(D82,'DB animal categories'!$C$147:$AH$156,26,FALSE)/24)))</f>
        <v/>
      </c>
      <c r="V82" s="608">
        <f>IF(K82="",0,K82/M82*U82*'DB technologies'!$AT$11/100)</f>
        <v>0</v>
      </c>
      <c r="W82" s="608">
        <f>IF(K82="",0,(U82-V82)*'DB technologies'!$AU$11/100)</f>
        <v>0</v>
      </c>
      <c r="X82" s="122" t="str">
        <f>IF(D82="","",IF(F82=1,VLOOKUP(D82,'DB animal categories'!$C$147:$AM$156,36,FALSE)*E82/1000,P82/VLOOKUP(D82,'DB animal categories'!$C$147:$AH$156,27,FALSE)*(VLOOKUP(D82,'DB animal categories'!$C$147:$AH$156,25,FALSE)*VLOOKUP(D82,'DB animal categories'!$C$147:$AH$156,26,FALSE)/24)))</f>
        <v/>
      </c>
      <c r="Y82" s="124" t="str">
        <f>IF(D82="","",IF(F82=1,VLOOKUP(D82,'DB animal categories'!$C$147:$AM$156,37,FALSE)*E82/1000,S82/VLOOKUP(D82,'DB animal categories'!$C$147:$AH$156,27,FALSE)*(VLOOKUP(D82,'DB animal categories'!$C$147:$AH$156,25,FALSE)*VLOOKUP(D82,'DB animal categories'!$C$147:$AH$156,26,FALSE)/24)))</f>
        <v/>
      </c>
      <c r="AA82" s="82"/>
    </row>
    <row r="83" spans="2:29" x14ac:dyDescent="0.2">
      <c r="B83" s="684"/>
      <c r="C83" s="672" t="s">
        <v>190</v>
      </c>
      <c r="D83" s="1408"/>
      <c r="E83" s="1402"/>
      <c r="F83" s="1402"/>
      <c r="G83" s="59" t="str">
        <f>IF(F83=1,"",IF(D83="","",IF(F83=2,I83*VLOOKUP($C$83,'DB additional information '!$X$4:$AB$25,4,FALSE)/100,VLOOKUP(D83,'DB animal categories'!$C$157:$AH$166,8,FALSE)*VLOOKUP(D83,'DB animal categories'!$C$157:$AC$166,9,FALSE)/100*(1-(VLOOKUP(D83,'DB animal categories'!$C$157:$AH$166,10,FALSE)/100))/('DB additional information '!$K$18/100)/1000*E83)))</f>
        <v/>
      </c>
      <c r="H83" s="374"/>
      <c r="I83" s="66" t="str">
        <f>IF(F83=1,E83*VLOOKUP(D83,'DB animal categories'!$C$157:$AN$166,28,FALSE),IF(D83="","",IF(F83=2,VLOOKUP(D83,'DB animal categories'!$C$157:$AH$166,14,FALSE)*E83,G83+H83)))</f>
        <v/>
      </c>
      <c r="J83" s="66" t="str">
        <f>IF(F83=1,VLOOKUP(D83,'DB animal categories'!$C$157:$AN$166,38,FALSE),IF(F83="","",IF(D83="","",IF(F83=2,VLOOKUP(D83,'DB animal categories'!$C$157:$AH$166,15,FALSE),(G83*'DB additional information '!$K$18/100+H83*'DB additional information '!$L$18/100)/I83*100))))</f>
        <v/>
      </c>
      <c r="K83" s="74" t="str">
        <f>IF(F83="","",IF(D83="","",IF(F83=2,M83-L83,(VLOOKUP(D83,'DB animal categories'!$C$157:$AH$166,8,FALSE)*VLOOKUP(D83,'DB animal categories'!$C$157:$AH$166,11,FALSE)/6.25/1000/1000)*E83-VLOOKUP(D83,'DB animal categories'!$C$157:$O$166,7,FALSE)*'DB additional information '!$F$84*'Calc (ex-animal)'!E83/1000/1000)))</f>
        <v/>
      </c>
      <c r="L83" s="361"/>
      <c r="M83" s="66" t="str">
        <f>IF(F83=1,VLOOKUP(D83,'DB animal categories'!$C$157:$AM$166,29,FALSE)/1000*E83,IF(F83="","",IF(D83="","",IF(F83=2,VLOOKUP(D83,'DB animal categories'!$C$157:$AH$166,18,FALSE)*E83/1000,K83+L83))))</f>
        <v/>
      </c>
      <c r="N83" s="74" t="str">
        <f>IF(F83="","",IF(D83="","",IF(F83=2,P83-O83,(VLOOKUP(D83,'DB animal categories'!$C$157:$AH$166,8,FALSE)*VLOOKUP(D83,'DB animal categories'!$C$157:$AH$166,12,FALSE)/1000/1000)*E83-VLOOKUP(D83,'DB animal categories'!$C$157:$O$166,7,FALSE)*'DB additional information '!$F$85*'Calc (ex-animal)'!E83/1000/1000)))</f>
        <v/>
      </c>
      <c r="O83" s="361"/>
      <c r="P83" s="66" t="str">
        <f>IF(F83=1,VLOOKUP(D83,'DB animal categories'!$C$157:$AM$165,31,FALSE)/1000*E83,IF(F83="","",IF(D83="","",IF(F83=2,E83*VLOOKUP(D83,'DB animal categories'!$C$157:$AH$165,21,FALSE)/1000,N83+O83))))</f>
        <v/>
      </c>
      <c r="Q83" s="74" t="str">
        <f>IF(F83="","",IF(D83="","",IF(F83=2,S83-R83,(VLOOKUP(D83,'DB animal categories'!$C$157:$AH$166,8,FALSE)*VLOOKUP(D83,'DB animal categories'!$C$156:$AH$167,13,FALSE)/1000/1000)*E83-VLOOKUP(D83,'DB animal categories'!$C$157:$O$166,7,FALSE)*'DB additional information '!$F$86*'Calc (ex-animal)'!E83/1000/1000)))</f>
        <v/>
      </c>
      <c r="R83" s="74"/>
      <c r="S83" s="66" t="str">
        <f>IF(F83=1,VLOOKUP(D83,'DB animal categories'!$C$157:$AM$165,32,FALSE)/1000*E83,IF(F83="","",IF(D83="","",IF(F83=2,E83*VLOOKUP(D83,'DB animal categories'!$C$157:$AH$165,24,FALSE)/1000,Q83+R83))))</f>
        <v/>
      </c>
      <c r="T83" s="66" t="str">
        <f>IF(D83="","",IF(F83=1,VLOOKUP(D83,'DB animal categories'!$C$157:$AM$166,33,FALSE)*E83,I83/VLOOKUP(D83,'DB animal categories'!$C$157:$AH$166,27,FALSE)*(VLOOKUP(D83,'DB animal categories'!$C$157:$AH$166,25,FALSE)*VLOOKUP(D83,'DB animal categories'!$C$157:$AH$166,26,FALSE)/24)))</f>
        <v/>
      </c>
      <c r="U83" s="66" t="str">
        <f>IF(D83="","",IF(F83=1,VLOOKUP(D83,'DB animal categories'!$C$157:$AM$166,34,FALSE)*E83/1000,M83/VLOOKUP(D83,'DB animal categories'!$C$157:$AH$166,27,FALSE)*(VLOOKUP(D83,'DB animal categories'!$C$157:$AH$166,25,FALSE)*VLOOKUP(D83,'DB animal categories'!$C$157:$AH$166,26,FALSE)/24)))</f>
        <v/>
      </c>
      <c r="V83" s="607">
        <f>IF(K83="",0,K83/M83*U83*'DB technologies'!$AT$11/100)</f>
        <v>0</v>
      </c>
      <c r="W83" s="607">
        <f>IF(K83="",0,(U83-V83)*'DB technologies'!$AU$11/100)</f>
        <v>0</v>
      </c>
      <c r="X83" s="66" t="str">
        <f>IF(D83="","",IF(F83=1,VLOOKUP(D83,'DB animal categories'!$C$157:$AM$166,36,FALSE)*E83/1000,P83/VLOOKUP(D83,'DB animal categories'!$C$157:$AH$166,27,FALSE)*(VLOOKUP(D83,'DB animal categories'!$C$157:$AH$166,25,FALSE)*VLOOKUP(D83,'DB animal categories'!$C$157:$AH$166,26,FALSE)/24)))</f>
        <v/>
      </c>
      <c r="Y83" s="77" t="str">
        <f>IF(D83="","",IF(F83=1,VLOOKUP(D83,'DB animal categories'!$C$157:$AM$166,37,FALSE)*E83/1000,S83/VLOOKUP(D83,'DB animal categories'!$C$157:$AH$166,27,FALSE)*(VLOOKUP(D83,'DB animal categories'!$C$157:$AH$166,25,FALSE)*VLOOKUP(D83,'DB animal categories'!$C$157:$AH$166,26,FALSE)/24)))</f>
        <v/>
      </c>
    </row>
    <row r="84" spans="2:29" x14ac:dyDescent="0.2">
      <c r="B84" s="684"/>
      <c r="C84" s="681"/>
      <c r="D84" s="1404"/>
      <c r="E84" s="1405"/>
      <c r="F84" s="1413"/>
      <c r="G84" s="59" t="str">
        <f>IF(F84=1,"",IF(D84="","",IF(F84=2,I84*VLOOKUP($C$83,'DB additional information '!$X$4:$AB$25,4,FALSE)/100,VLOOKUP(D84,'DB animal categories'!$C$157:$AH$166,8,FALSE)*VLOOKUP(D84,'DB animal categories'!$C$157:$AC$166,9,FALSE)/100*(1-(VLOOKUP(D84,'DB animal categories'!$C$157:$AH$166,10,FALSE)/100))/('DB additional information '!$K$18/100)/1000*E84)))</f>
        <v/>
      </c>
      <c r="H84" s="366"/>
      <c r="I84" s="58" t="str">
        <f>IF(F84=1,E84*VLOOKUP(D84,'DB animal categories'!$C$157:$AN$166,28,FALSE),IF(D84="","",IF(F84=2,VLOOKUP(D84,'DB animal categories'!$C$157:$AH$166,14,FALSE)*E84,G84+H84)))</f>
        <v/>
      </c>
      <c r="J84" s="58" t="str">
        <f>IF(F84=1,VLOOKUP(D84,'DB animal categories'!$C$157:$AN$166,38,FALSE),IF(F84="","",IF(D84="","",IF(F84=2,VLOOKUP(D84,'DB animal categories'!$C$157:$AH$166,15,FALSE),(G84*'DB additional information '!$K$18/100+H84*'DB additional information '!$L$18/100)/I84*100))))</f>
        <v/>
      </c>
      <c r="K84" s="386" t="str">
        <f>IF(F84="","",IF(D84="","",IF(F84=2,M84-L84,(VLOOKUP(D84,'DB animal categories'!$C$157:$AH$166,8,FALSE)*VLOOKUP(D84,'DB animal categories'!$C$157:$AH$166,11,FALSE)/6.25/1000/1000)*E84-VLOOKUP(D84,'DB animal categories'!$C$157:$O$166,7,FALSE)*'DB additional information '!$F$84*'Calc (ex-animal)'!E84/1000/1000)))</f>
        <v/>
      </c>
      <c r="L84" s="362"/>
      <c r="M84" s="58" t="str">
        <f>IF(F84=1,VLOOKUP(D84,'DB animal categories'!$C$157:$AM$166,29,FALSE)/1000*E84,IF(F84="","",IF(D84="","",IF(F84=2,VLOOKUP(D84,'DB animal categories'!$C$157:$AH$166,18,FALSE)*E84/1000,K84+L84))))</f>
        <v/>
      </c>
      <c r="N84" s="68" t="str">
        <f>IF(F84="","",IF(D84="","",IF(F84=2,P84-O84,(VLOOKUP(D84,'DB animal categories'!$C$157:$AH$166,8,FALSE)*VLOOKUP(D84,'DB animal categories'!$C$157:$AH$166,12,FALSE)/1000/1000)*E84-VLOOKUP(D84,'DB animal categories'!$C$157:$O$166,7,FALSE)*'DB additional information '!$F$85*'Calc (ex-animal)'!E84/1000/1000)))</f>
        <v/>
      </c>
      <c r="O84" s="362"/>
      <c r="P84" s="58" t="str">
        <f>IF(F84=1,VLOOKUP(D84,'DB animal categories'!$C$157:$AM$165,31,FALSE)/1000*E84,IF(F84="","",IF(D84="","",IF(F84=2,E84*VLOOKUP(D84,'DB animal categories'!$C$157:$AH$165,21,FALSE)/1000,N84+O84))))</f>
        <v/>
      </c>
      <c r="Q84" s="68" t="str">
        <f>IF(F84="","",IF(D84="","",IF(F84=2,S84-R84,(VLOOKUP(D84,'DB animal categories'!$C$157:$AH$166,8,FALSE)*VLOOKUP(D84,'DB animal categories'!$C$156:$AH$167,13,FALSE)/1000/1000)*E84-VLOOKUP(D84,'DB animal categories'!$C$157:$O$166,7,FALSE)*'DB additional information '!$F$86*'Calc (ex-animal)'!E84/1000/1000)))</f>
        <v/>
      </c>
      <c r="R84" s="68"/>
      <c r="S84" s="58" t="str">
        <f>IF(F84=1,VLOOKUP(D84,'DB animal categories'!$C$157:$AM$165,32,FALSE)/1000*E84,IF(F84="","",IF(D84="","",IF(F84=2,E84*VLOOKUP(D84,'DB animal categories'!$C$157:$AH$165,24,FALSE)/1000,Q84+R84))))</f>
        <v/>
      </c>
      <c r="T84" s="58" t="str">
        <f>IF(D84="","",IF(F84=1,VLOOKUP(D84,'DB animal categories'!$C$157:$AM$166,33,FALSE)*E84,I84/VLOOKUP(D84,'DB animal categories'!$C$157:$AH$166,27,FALSE)*(VLOOKUP(D84,'DB animal categories'!$C$157:$AH$166,25,FALSE)*VLOOKUP(D84,'DB animal categories'!$C$157:$AH$166,26,FALSE)/24)))</f>
        <v/>
      </c>
      <c r="U84" s="58" t="str">
        <f>IF(D84="","",IF(F84=1,VLOOKUP(D84,'DB animal categories'!$C$157:$AM$166,34,FALSE)*E84/1000,M84/VLOOKUP(D84,'DB animal categories'!$C$157:$AH$166,27,FALSE)*(VLOOKUP(D84,'DB animal categories'!$C$157:$AH$166,25,FALSE)*VLOOKUP(D84,'DB animal categories'!$C$157:$AH$166,26,FALSE)/24)))</f>
        <v/>
      </c>
      <c r="V84" s="607">
        <f>IF(K84="",0,K84/M84*U84*'DB technologies'!$AT$11/100)</f>
        <v>0</v>
      </c>
      <c r="W84" s="607">
        <f>IF(K84="",0,(U84-V84)*'DB technologies'!$AU$11/100)</f>
        <v>0</v>
      </c>
      <c r="X84" s="58" t="str">
        <f>IF(D84="","",IF(F84=1,VLOOKUP(D84,'DB animal categories'!$C$157:$AM$166,36,FALSE)*E84/1000,P84/VLOOKUP(D84,'DB animal categories'!$C$157:$AH$166,27,FALSE)*(VLOOKUP(D84,'DB animal categories'!$C$157:$AH$166,25,FALSE)*VLOOKUP(D84,'DB animal categories'!$C$157:$AH$166,26,FALSE)/24)))</f>
        <v/>
      </c>
      <c r="Y84" s="63" t="str">
        <f>IF(D84="","",IF(F84=1,VLOOKUP(D84,'DB animal categories'!$C$157:$AM$166,37,FALSE)*E84/1000,S84/VLOOKUP(D84,'DB animal categories'!$C$157:$AH$166,27,FALSE)*(VLOOKUP(D84,'DB animal categories'!$C$157:$AH$166,25,FALSE)*VLOOKUP(D84,'DB animal categories'!$C$157:$AH$166,26,FALSE)/24)))</f>
        <v/>
      </c>
    </row>
    <row r="85" spans="2:29" x14ac:dyDescent="0.2">
      <c r="B85" s="684"/>
      <c r="C85" s="681"/>
      <c r="D85" s="1404"/>
      <c r="E85" s="1405"/>
      <c r="F85" s="1413"/>
      <c r="G85" s="59" t="str">
        <f>IF(F85=1,"",IF(D85="","",IF(F85=2,I85*VLOOKUP($C$83,'DB additional information '!$X$4:$AB$25,4,FALSE)/100,VLOOKUP(D85,'DB animal categories'!$C$157:$AH$166,8,FALSE)*VLOOKUP(D85,'DB animal categories'!$C$157:$AC$166,9,FALSE)/100*(1-(VLOOKUP(D85,'DB animal categories'!$C$157:$AH$166,10,FALSE)/100))/('DB additional information '!$K$18/100)/1000*E85)))</f>
        <v/>
      </c>
      <c r="H85" s="366"/>
      <c r="I85" s="58" t="str">
        <f>IF(F85=1,E85*VLOOKUP(D85,'DB animal categories'!$C$157:$AN$166,28,FALSE),IF(D85="","",IF(F85=2,VLOOKUP(D85,'DB animal categories'!$C$157:$AH$166,14,FALSE)*E85,G85+H85)))</f>
        <v/>
      </c>
      <c r="J85" s="58" t="str">
        <f>IF(F85=1,VLOOKUP(D85,'DB animal categories'!$C$157:$AN$166,38,FALSE),IF(F85="","",IF(D85="","",IF(F85=2,VLOOKUP(D85,'DB animal categories'!$C$157:$AH$166,15,FALSE),(G85*'DB additional information '!$K$18/100+H85*'DB additional information '!$L$18/100)/I85*100))))</f>
        <v/>
      </c>
      <c r="K85" s="386" t="str">
        <f>IF(F85="","",IF(D85="","",IF(F85=2,M85-L85,(VLOOKUP(D85,'DB animal categories'!$C$157:$AH$166,8,FALSE)*VLOOKUP(D85,'DB animal categories'!$C$157:$AH$166,11,FALSE)/6.25/1000/1000)*E85-VLOOKUP(D85,'DB animal categories'!$C$157:$O$166,7,FALSE)*'DB additional information '!$F$84*'Calc (ex-animal)'!E85/1000/1000)))</f>
        <v/>
      </c>
      <c r="L85" s="362"/>
      <c r="M85" s="58" t="str">
        <f>IF(F85=1,VLOOKUP(D85,'DB animal categories'!$C$157:$AM$166,29,FALSE)/1000*E85,IF(F85="","",IF(D85="","",IF(F85=2,VLOOKUP(D85,'DB animal categories'!$C$157:$AH$166,18,FALSE)*E85/1000,K85+L85))))</f>
        <v/>
      </c>
      <c r="N85" s="68" t="str">
        <f>IF(F85="","",IF(D85="","",IF(F85=2,P85-O85,(VLOOKUP(D85,'DB animal categories'!$C$157:$AH$166,8,FALSE)*VLOOKUP(D85,'DB animal categories'!$C$157:$AH$166,12,FALSE)/1000/1000)*E85-VLOOKUP(D85,'DB animal categories'!$C$157:$O$166,7,FALSE)*'DB additional information '!$F$85*'Calc (ex-animal)'!E85/1000/1000)))</f>
        <v/>
      </c>
      <c r="O85" s="362"/>
      <c r="P85" s="58" t="str">
        <f>IF(F85=1,VLOOKUP(D85,'DB animal categories'!$C$157:$AM$165,31,FALSE)/1000*E85,IF(F85="","",IF(D85="","",IF(F85=2,E85*VLOOKUP(D85,'DB animal categories'!$C$157:$AH$165,21,FALSE)/1000,N85+O85))))</f>
        <v/>
      </c>
      <c r="Q85" s="68" t="str">
        <f>IF(F85="","",IF(D85="","",IF(F85=2,S85-R85,(VLOOKUP(D85,'DB animal categories'!$C$157:$AH$166,8,FALSE)*VLOOKUP(D85,'DB animal categories'!$C$156:$AH$167,13,FALSE)/1000/1000)*E85-VLOOKUP(D85,'DB animal categories'!$C$157:$O$166,7,FALSE)*'DB additional information '!$F$86*'Calc (ex-animal)'!E85/1000/1000)))</f>
        <v/>
      </c>
      <c r="R85" s="68"/>
      <c r="S85" s="58" t="str">
        <f>IF(F85=1,VLOOKUP(D85,'DB animal categories'!$C$157:$AM$165,32,FALSE)/1000*E85,IF(F85="","",IF(D85="","",IF(F85=2,E85*VLOOKUP(D85,'DB animal categories'!$C$157:$AH$165,24,FALSE)/1000,Q85+R85))))</f>
        <v/>
      </c>
      <c r="T85" s="58" t="str">
        <f>IF(D85="","",IF(F85=1,VLOOKUP(D85,'DB animal categories'!$C$157:$AM$166,33,FALSE)*E85,I85/VLOOKUP(D85,'DB animal categories'!$C$157:$AH$166,27,FALSE)*(VLOOKUP(D85,'DB animal categories'!$C$157:$AH$166,25,FALSE)*VLOOKUP(D85,'DB animal categories'!$C$157:$AH$166,26,FALSE)/24)))</f>
        <v/>
      </c>
      <c r="U85" s="58" t="str">
        <f>IF(D85="","",IF(F85=1,VLOOKUP(D85,'DB animal categories'!$C$157:$AM$166,34,FALSE)*E85/1000,M85/VLOOKUP(D85,'DB animal categories'!$C$157:$AH$166,27,FALSE)*(VLOOKUP(D85,'DB animal categories'!$C$157:$AH$166,25,FALSE)*VLOOKUP(D85,'DB animal categories'!$C$157:$AH$166,26,FALSE)/24)))</f>
        <v/>
      </c>
      <c r="V85" s="607">
        <f>IF(K85="",0,K85/M85*U85*'DB technologies'!$AT$11/100)</f>
        <v>0</v>
      </c>
      <c r="W85" s="607">
        <f>IF(K85="",0,(U85-V85)*'DB technologies'!$AU$11/100)</f>
        <v>0</v>
      </c>
      <c r="X85" s="58" t="str">
        <f>IF(D85="","",IF(F85=1,VLOOKUP(D85,'DB animal categories'!$C$157:$AM$166,36,FALSE)*E85/1000,P85/VLOOKUP(D85,'DB animal categories'!$C$157:$AH$166,27,FALSE)*(VLOOKUP(D85,'DB animal categories'!$C$157:$AH$166,25,FALSE)*VLOOKUP(D85,'DB animal categories'!$C$157:$AH$166,26,FALSE)/24)))</f>
        <v/>
      </c>
      <c r="Y85" s="63" t="str">
        <f>IF(D85="","",IF(F85=1,VLOOKUP(D85,'DB animal categories'!$C$157:$AM$166,37,FALSE)*E85/1000,S85/VLOOKUP(D85,'DB animal categories'!$C$157:$AH$166,27,FALSE)*(VLOOKUP(D85,'DB animal categories'!$C$157:$AH$166,25,FALSE)*VLOOKUP(D85,'DB animal categories'!$C$157:$AH$166,26,FALSE)/24)))</f>
        <v/>
      </c>
    </row>
    <row r="86" spans="2:29" x14ac:dyDescent="0.2">
      <c r="B86" s="684"/>
      <c r="C86" s="681"/>
      <c r="D86" s="1404"/>
      <c r="E86" s="1405"/>
      <c r="F86" s="1413"/>
      <c r="G86" s="59" t="str">
        <f>IF(F86=1,"",IF(D86="","",IF(F86=2,I86*VLOOKUP($C$83,'DB additional information '!$X$4:$AB$25,4,FALSE)/100,VLOOKUP(D86,'DB animal categories'!$C$157:$AH$166,8,FALSE)*VLOOKUP(D86,'DB animal categories'!$C$157:$AC$166,9,FALSE)/100*(1-(VLOOKUP(D86,'DB animal categories'!$C$157:$AH$166,10,FALSE)/100))/('DB additional information '!$K$18/100)/1000*E86)))</f>
        <v/>
      </c>
      <c r="H86" s="366"/>
      <c r="I86" s="58" t="str">
        <f>IF(F86=1,E86*VLOOKUP(D86,'DB animal categories'!$C$157:$AN$166,28,FALSE),IF(D86="","",IF(F86=2,VLOOKUP(D86,'DB animal categories'!$C$157:$AH$166,14,FALSE)*E86,G86+H86)))</f>
        <v/>
      </c>
      <c r="J86" s="58" t="str">
        <f>IF(F86=1,VLOOKUP(D86,'DB animal categories'!$C$157:$AN$166,38,FALSE),IF(F86="","",IF(D86="","",IF(F86=2,VLOOKUP(D86,'DB animal categories'!$C$157:$AH$166,15,FALSE),(G86*'DB additional information '!$K$18/100+H86*'DB additional information '!$L$18/100)/I86*100))))</f>
        <v/>
      </c>
      <c r="K86" s="386" t="str">
        <f>IF(F86="","",IF(D86="","",IF(F86=2,M86-L86,(VLOOKUP(D86,'DB animal categories'!$C$157:$AH$166,8,FALSE)*VLOOKUP(D86,'DB animal categories'!$C$157:$AH$166,11,FALSE)/6.25/1000/1000)*E86-VLOOKUP(D86,'DB animal categories'!$C$157:$O$166,7,FALSE)*'DB additional information '!$F$84*'Calc (ex-animal)'!E86/1000/1000)))</f>
        <v/>
      </c>
      <c r="L86" s="362"/>
      <c r="M86" s="58" t="str">
        <f>IF(F86=1,VLOOKUP(D86,'DB animal categories'!$C$157:$AM$166,29,FALSE)/1000*E86,IF(F86="","",IF(D86="","",IF(F86=2,VLOOKUP(D86,'DB animal categories'!$C$157:$AH$166,18,FALSE)*E86/1000,K86+L86))))</f>
        <v/>
      </c>
      <c r="N86" s="68" t="str">
        <f>IF(F86="","",IF(D86="","",IF(F86=2,P86-O86,(VLOOKUP(D86,'DB animal categories'!$C$157:$AH$166,8,FALSE)*VLOOKUP(D86,'DB animal categories'!$C$157:$AH$166,12,FALSE)/1000/1000)*E86-VLOOKUP(D86,'DB animal categories'!$C$157:$O$166,7,FALSE)*'DB additional information '!$F$85*'Calc (ex-animal)'!E86/1000/1000)))</f>
        <v/>
      </c>
      <c r="O86" s="362"/>
      <c r="P86" s="58" t="str">
        <f>IF(F86=1,VLOOKUP(D86,'DB animal categories'!$C$157:$AM$165,31,FALSE)/1000*E86,IF(F86="","",IF(D86="","",IF(F86=2,E86*VLOOKUP(D86,'DB animal categories'!$C$157:$AH$165,21,FALSE)/1000,N86+O86))))</f>
        <v/>
      </c>
      <c r="Q86" s="68" t="str">
        <f>IF(F86="","",IF(D86="","",IF(F86=2,S86-R86,(VLOOKUP(D86,'DB animal categories'!$C$157:$AH$166,8,FALSE)*VLOOKUP(D86,'DB animal categories'!$C$156:$AH$167,13,FALSE)/1000/1000)*E86-VLOOKUP(D86,'DB animal categories'!$C$157:$O$166,7,FALSE)*'DB additional information '!$F$86*'Calc (ex-animal)'!E86/1000/1000)))</f>
        <v/>
      </c>
      <c r="R86" s="68"/>
      <c r="S86" s="58" t="str">
        <f>IF(F86=1,VLOOKUP(D86,'DB animal categories'!$C$157:$AM$165,32,FALSE)/1000*E86,IF(F86="","",IF(D86="","",IF(F86=2,E86*VLOOKUP(D86,'DB animal categories'!$C$157:$AH$165,24,FALSE)/1000,Q86+R86))))</f>
        <v/>
      </c>
      <c r="T86" s="58" t="str">
        <f>IF(D86="","",IF(F86=1,VLOOKUP(D86,'DB animal categories'!$C$157:$AM$166,33,FALSE)*E86,I86/VLOOKUP(D86,'DB animal categories'!$C$157:$AH$166,27,FALSE)*(VLOOKUP(D86,'DB animal categories'!$C$157:$AH$166,25,FALSE)*VLOOKUP(D86,'DB animal categories'!$C$157:$AH$166,26,FALSE)/24)))</f>
        <v/>
      </c>
      <c r="U86" s="58" t="str">
        <f>IF(D86="","",IF(F86=1,VLOOKUP(D86,'DB animal categories'!$C$157:$AM$166,34,FALSE)*E86/1000,M86/VLOOKUP(D86,'DB animal categories'!$C$157:$AH$166,27,FALSE)*(VLOOKUP(D86,'DB animal categories'!$C$157:$AH$166,25,FALSE)*VLOOKUP(D86,'DB animal categories'!$C$157:$AH$166,26,FALSE)/24)))</f>
        <v/>
      </c>
      <c r="V86" s="607">
        <f>IF(K86="",0,K86/M86*U86*'DB technologies'!$AT$11/100)</f>
        <v>0</v>
      </c>
      <c r="W86" s="607">
        <f>IF(K86="",0,(U86-V86)*'DB technologies'!$AU$11/100)</f>
        <v>0</v>
      </c>
      <c r="X86" s="58" t="str">
        <f>IF(D86="","",IF(F86=1,VLOOKUP(D86,'DB animal categories'!$C$157:$AM$166,36,FALSE)*E86/1000,P86/VLOOKUP(D86,'DB animal categories'!$C$157:$AH$166,27,FALSE)*(VLOOKUP(D86,'DB animal categories'!$C$157:$AH$166,25,FALSE)*VLOOKUP(D86,'DB animal categories'!$C$157:$AH$166,26,FALSE)/24)))</f>
        <v/>
      </c>
      <c r="Y86" s="63" t="str">
        <f>IF(D86="","",IF(F86=1,VLOOKUP(D86,'DB animal categories'!$C$157:$AM$166,37,FALSE)*E86/1000,S86/VLOOKUP(D86,'DB animal categories'!$C$157:$AH$166,27,FALSE)*(VLOOKUP(D86,'DB animal categories'!$C$157:$AH$166,25,FALSE)*VLOOKUP(D86,'DB animal categories'!$C$157:$AH$166,26,FALSE)/24)))</f>
        <v/>
      </c>
    </row>
    <row r="87" spans="2:29" ht="12" thickBot="1" x14ac:dyDescent="0.25">
      <c r="B87" s="684"/>
      <c r="C87" s="681"/>
      <c r="D87" s="1406"/>
      <c r="E87" s="1407"/>
      <c r="F87" s="1424"/>
      <c r="G87" s="89" t="str">
        <f>IF(F87=1,"",IF(D87="","",IF(F87=2,I87*VLOOKUP($C$83,'DB additional information '!$X$4:$AB$25,4,FALSE)/100,VLOOKUP(D87,'DB animal categories'!$C$157:$AH$166,8,FALSE)*VLOOKUP(D87,'DB animal categories'!$C$157:$AC$166,9,FALSE)/100*(1-(VLOOKUP(D87,'DB animal categories'!$C$157:$AH$166,10,FALSE)/100))/('DB additional information '!$K$18/100)/1000*E87)))</f>
        <v/>
      </c>
      <c r="H87" s="382"/>
      <c r="I87" s="220" t="str">
        <f>IF(F87=1,E87*VLOOKUP(D87,'DB animal categories'!$C$157:$AN$166,28,FALSE),IF(D87="","",IF(F87=2,VLOOKUP(D87,'DB animal categories'!$C$157:$AH$166,14,FALSE)*E87,G87+H87)))</f>
        <v/>
      </c>
      <c r="J87" s="220" t="str">
        <f>IF(F87=1,VLOOKUP(D87,'DB animal categories'!$C$157:$AN$166,38,FALSE),IF(F87="","",IF(D87="","",IF(F87=2,VLOOKUP(D87,'DB animal categories'!$C$157:$AH$166,15,FALSE),(G87*'DB additional information '!$K$18/100+H87*'DB additional information '!$L$18/100)/I87*100))))</f>
        <v/>
      </c>
      <c r="K87" s="387" t="str">
        <f>IF(F87="","",IF(D87="","",IF(F87=2,M87-L87,(VLOOKUP(D87,'DB animal categories'!$C$157:$AH$166,8,FALSE)*VLOOKUP(D87,'DB animal categories'!$C$157:$AH$166,11,FALSE)/6.25/1000/1000)*E87-VLOOKUP(D87,'DB animal categories'!$C$157:$O$166,7,FALSE)*'DB additional information '!$F$84*'Calc (ex-animal)'!E87/1000/1000)))</f>
        <v/>
      </c>
      <c r="L87" s="388"/>
      <c r="M87" s="220" t="str">
        <f>IF(F87=1,VLOOKUP(D87,'DB animal categories'!$C$157:$AM$166,29,FALSE)/1000*E87,IF(F87="","",IF(D87="","",IF(F87=2,VLOOKUP(D87,'DB animal categories'!$C$157:$AH$166,18,FALSE)*E87/1000,K87+L87))))</f>
        <v/>
      </c>
      <c r="N87" s="219" t="str">
        <f>IF(F87="","",IF(D87="","",IF(F87=2,P87-O87,(VLOOKUP(D87,'DB animal categories'!$C$157:$AH$166,8,FALSE)*VLOOKUP(D87,'DB animal categories'!$C$157:$AH$166,12,FALSE)/1000/1000)*E87-VLOOKUP(D87,'DB animal categories'!$C$157:$O$166,7,FALSE)*'DB additional information '!$F$85*'Calc (ex-animal)'!E87/1000/1000)))</f>
        <v/>
      </c>
      <c r="O87" s="388"/>
      <c r="P87" s="220" t="str">
        <f>IF(F87=1,VLOOKUP(D87,'DB animal categories'!$C$157:$AM$165,31,FALSE)/1000*E87,IF(F87="","",IF(D87="","",IF(F87=2,E87*VLOOKUP(D87,'DB animal categories'!$C$157:$AH$165,21,FALSE)/1000,N87+O87))))</f>
        <v/>
      </c>
      <c r="Q87" s="219" t="str">
        <f>IF(F87="","",IF(D87="","",IF(F87=2,S87-R87,(VLOOKUP(D87,'DB animal categories'!$C$157:$AH$166,8,FALSE)*VLOOKUP(D87,'DB animal categories'!$C$156:$AH$167,13,FALSE)/1000/1000)*E87-VLOOKUP(D87,'DB animal categories'!$C$157:$O$166,7,FALSE)*'DB additional information '!$F$86*'Calc (ex-animal)'!E87/1000/1000)))</f>
        <v/>
      </c>
      <c r="R87" s="219"/>
      <c r="S87" s="220" t="str">
        <f>IF(F87=1,VLOOKUP(D87,'DB animal categories'!$C$157:$AM$165,32,FALSE)/1000*E87,IF(F87="","",IF(D87="","",IF(F87=2,E87*VLOOKUP(D87,'DB animal categories'!$C$157:$AH$165,24,FALSE)/1000,Q87+R87))))</f>
        <v/>
      </c>
      <c r="T87" s="220" t="str">
        <f>IF(D87="","",IF(F87=1,VLOOKUP(D87,'DB animal categories'!$C$157:$AM$166,33,FALSE)*E87,I87/VLOOKUP(D87,'DB animal categories'!$C$157:$AH$166,27,FALSE)*(VLOOKUP(D87,'DB animal categories'!$C$157:$AH$166,25,FALSE)*VLOOKUP(D87,'DB animal categories'!$C$157:$AH$166,26,FALSE)/24)))</f>
        <v/>
      </c>
      <c r="U87" s="220" t="str">
        <f>IF(D87="","",IF(F87=1,VLOOKUP(D87,'DB animal categories'!$C$157:$AM$166,34,FALSE)*E87/1000,M87/VLOOKUP(D87,'DB animal categories'!$C$157:$AH$166,27,FALSE)*(VLOOKUP(D87,'DB animal categories'!$C$157:$AH$166,25,FALSE)*VLOOKUP(D87,'DB animal categories'!$C$157:$AH$166,26,FALSE)/24)))</f>
        <v/>
      </c>
      <c r="V87" s="608">
        <f>IF(K87="",0,K87/M87*U87*'DB technologies'!$AT$11/100)</f>
        <v>0</v>
      </c>
      <c r="W87" s="608">
        <f>IF(K87="",0,(U87-V87)*'DB technologies'!$AU$11/100)</f>
        <v>0</v>
      </c>
      <c r="X87" s="220" t="str">
        <f>IF(D87="","",IF(F87=1,VLOOKUP(D87,'DB animal categories'!$C$157:$AM$166,36,FALSE)*E87/1000,P87/VLOOKUP(D87,'DB animal categories'!$C$157:$AH$166,27,FALSE)*(VLOOKUP(D87,'DB animal categories'!$C$157:$AH$166,25,FALSE)*VLOOKUP(D87,'DB animal categories'!$C$157:$AH$166,26,FALSE)/24)))</f>
        <v/>
      </c>
      <c r="Y87" s="221" t="str">
        <f>IF(D87="","",IF(F87=1,VLOOKUP(D87,'DB animal categories'!$C$157:$AM$166,37,FALSE)*E87/1000,S87/VLOOKUP(D87,'DB animal categories'!$C$157:$AH$166,27,FALSE)*(VLOOKUP(D87,'DB animal categories'!$C$157:$AH$166,25,FALSE)*VLOOKUP(D87,'DB animal categories'!$C$157:$AH$166,26,FALSE)/24)))</f>
        <v/>
      </c>
      <c r="AC87" s="82"/>
    </row>
    <row r="88" spans="2:29" x14ac:dyDescent="0.2">
      <c r="B88" s="684"/>
      <c r="C88" s="672" t="s">
        <v>193</v>
      </c>
      <c r="D88" s="1408"/>
      <c r="E88" s="1402"/>
      <c r="F88" s="1402"/>
      <c r="G88" s="59" t="str">
        <f>IF(F88=1,"",IF(D88="","",IF(F88=2,I88*VLOOKUP($C$88,'DB additional information '!$X$4:$AB$25,4,FALSE)/100,VLOOKUP(D88,'DB animal categories'!$C$167:$AH$176,8,FALSE)*VLOOKUP(D88,'DB animal categories'!$C$167:$AC$176,9,FALSE)/100*(1-(VLOOKUP(D88,'DB animal categories'!$C$167:$AH$176,10,FALSE)/100))/('DB additional information '!$K$19/100)/1000*E88)))</f>
        <v/>
      </c>
      <c r="H88" s="374"/>
      <c r="I88" s="66" t="str">
        <f>IF(F88=1,E88*VLOOKUP(D88,'DB animal categories'!$C$167:$AN$176,28,FALSE),IF(D88="","",IF(F88=2,VLOOKUP(D88,'DB animal categories'!$C$167:$AH$176,14,FALSE)*E88,G88+H88)))</f>
        <v/>
      </c>
      <c r="J88" s="66" t="str">
        <f>IF(F88=1,VLOOKUP(D88,'DB animal categories'!$C$167:$AN$176,38,FALSE),IF(F88="","",IF(D88="","",IF(F88=2,VLOOKUP(D88,'DB animal categories'!$C$167:$AH$176,15,FALSE),(G88*'DB additional information '!$K$19/100+H88*'DB additional information '!$L$19/100)/I88*100))))</f>
        <v/>
      </c>
      <c r="K88" s="208" t="str">
        <f>IF(F88="","",IF(D88="","",IF(F88=2,M88-L88,(VLOOKUP(D88,'DB animal categories'!$C$167:$AH$176,8,FALSE)*VLOOKUP(D88,'DB animal categories'!$C$167:$AH$176,11,FALSE)/6.25/1000/1000)*E88-VLOOKUP(D88,'DB animal categories'!$C$167:$O$176,7,FALSE)*'DB additional information '!$F$84*'Calc (ex-animal)'!E88/1000/1000)))</f>
        <v/>
      </c>
      <c r="L88" s="79"/>
      <c r="M88" s="66" t="str">
        <f>IF(F88=1,VLOOKUP(D88,'DB animal categories'!$C$167:$AM$176,29,FALSE)/1000*E88,IF(F88="","",IF(D88="","",IF(F88=2,VLOOKUP(D88,'DB animal categories'!$C$167:$AH$176,18,FALSE)*E88/1000,K88+L88))))</f>
        <v/>
      </c>
      <c r="N88" s="208" t="str">
        <f>IF(F88="","",IF(D88="","",IF(F88=2,P88-O88,(VLOOKUP(D88,'DB animal categories'!$C$167:$AH$176,8,FALSE)*VLOOKUP(D88,'DB animal categories'!$C$167:$AH$176,12,FALSE)/1000/1000)*E88-VLOOKUP(D88,'DB animal categories'!$C$167:$O$176,7,FALSE)*'DB additional information '!$F$85*'Calc (ex-animal)'!E88/1000/1000)))</f>
        <v/>
      </c>
      <c r="O88" s="79"/>
      <c r="P88" s="66" t="str">
        <f>IF(F88=1,VLOOKUP(D88,'DB animal categories'!$C$167:$AM$176,31,FALSE)/1000*E88,IF(F88="","",IF(D88="","",IF(F88=2,E88*VLOOKUP(D88,'DB animal categories'!$C$167:$AH$176,21,FALSE)/1000,N88+O88))))</f>
        <v/>
      </c>
      <c r="Q88" s="208" t="str">
        <f>IF(F88="","",IF(D88="","",IF(F88=2,S88-R88,(VLOOKUP(D88,'DB animal categories'!$C$167:$AH$176,8,FALSE)*VLOOKUP(D88,'DB animal categories'!$C$167:$AH$176,13,FALSE)/1000/1000)*E88-VLOOKUP(D88,'DB animal categories'!$C$167:$O$176,7,FALSE)*'DB additional information '!$F$86*'Calc (ex-animal)'!E88/1000/1000)))</f>
        <v/>
      </c>
      <c r="R88" s="208"/>
      <c r="S88" s="383" t="str">
        <f>IF(F88=1,VLOOKUP(D88,'DB animal categories'!$C$167:$AM$176,32,FALSE)/1000*E88,IF(F88="","",IF(D88="","",IF(F88=2,E88*VLOOKUP(D88,'DB animal categories'!$C$167:$AH$176,24,FALSE)/1000,Q88+R88))))</f>
        <v/>
      </c>
      <c r="T88" s="61" t="str">
        <f>IF(D88="","",IF(F88=1,VLOOKUP(D88,'DB animal categories'!$C$167:$AM$176,33,FALSE)*E88,I88/VLOOKUP(D88,'DB animal categories'!$C$167:$AH$176,27,FALSE)*(VLOOKUP(D88,'DB animal categories'!$C$167:$AH$176,25,FALSE)*VLOOKUP(D88,'DB animal categories'!$C$167:$AH$176,26,FALSE)/24)))</f>
        <v/>
      </c>
      <c r="U88" s="61" t="str">
        <f>IF(D88="","",IF(F88=1,VLOOKUP(D88,'DB animal categories'!$C$167:$AM$176,34,FALSE)*E88/1000,M88/VLOOKUP(D88,'DB animal categories'!$C$167:$AH$176,27,FALSE)*(VLOOKUP(D88,'DB animal categories'!$C$167:$AH$176,25,FALSE)*VLOOKUP(D88,'DB animal categories'!$C$167:$AH$176,26,FALSE)/24)))</f>
        <v/>
      </c>
      <c r="V88" s="607">
        <f>IF(K88="",0,K88/M88*U88*'DB technologies'!$AT$11/100)</f>
        <v>0</v>
      </c>
      <c r="W88" s="607">
        <f>IF(K88="",0,(U88-V88)*'DB technologies'!$AU$11/100)</f>
        <v>0</v>
      </c>
      <c r="X88" s="61" t="str">
        <f>IF(D88="","",IF(F88=1,VLOOKUP(D88,'DB animal categories'!$C$167:$AM$176,36,FALSE)*E88/1000,P88/VLOOKUP(D88,'DB animal categories'!$C$167:$AH$176,27,FALSE)*(VLOOKUP(D88,'DB animal categories'!$C$167:$AH$176,25,FALSE)*VLOOKUP(D88,'DB animal categories'!$C$167:$AH$176,26,FALSE)/24)))</f>
        <v/>
      </c>
      <c r="Y88" s="62" t="str">
        <f>IF(D88="","",IF(F88=1,VLOOKUP(D88,'DB animal categories'!$C$167:$AM$176,37,FALSE)*E88/1000,S88/VLOOKUP(D88,'DB animal categories'!$C$167:$AH$176,27,FALSE)*(VLOOKUP(D88,'DB animal categories'!$C$167:$AH$176,25,FALSE)*VLOOKUP(D88,'DB animal categories'!$C$167:$AH$176,26,FALSE)/24)))</f>
        <v/>
      </c>
    </row>
    <row r="89" spans="2:29" x14ac:dyDescent="0.2">
      <c r="B89" s="684"/>
      <c r="C89" s="681"/>
      <c r="D89" s="1404"/>
      <c r="E89" s="1405"/>
      <c r="F89" s="1405"/>
      <c r="G89" s="59" t="str">
        <f>IF(F89=1,"",IF(D89="","",IF(F89=2,I89*VLOOKUP($C$88,'DB additional information '!$X$4:$AB$25,4,FALSE)/100,VLOOKUP(D89,'DB animal categories'!$C$167:$AH$176,8,FALSE)*VLOOKUP(D89,'DB animal categories'!$C$167:$AC$176,9,FALSE)/100*(1-(VLOOKUP(D89,'DB animal categories'!$C$167:$AH$176,10,FALSE)/100))/('DB additional information '!$K$19/100)/1000*E89)))</f>
        <v/>
      </c>
      <c r="H89" s="366"/>
      <c r="I89" s="58" t="str">
        <f>IF(F89=1,E89*VLOOKUP(D89,'DB animal categories'!$C$167:$AN$176,28,FALSE),IF(D89="","",IF(F89=2,VLOOKUP(D89,'DB animal categories'!$C$167:$AH$176,14,FALSE)*E89,G89+H89)))</f>
        <v/>
      </c>
      <c r="J89" s="58" t="str">
        <f>IF(F89=1,VLOOKUP(D89,'DB animal categories'!$C$167:$AN$176,38,FALSE),IF(F89="","",IF(D89="","",IF(F89=2,VLOOKUP(D89,'DB animal categories'!$C$167:$AH$176,15,FALSE),(G89*'DB additional information '!$K$19/100+H89*'DB additional information '!$L$19/100)/I89*100))))</f>
        <v/>
      </c>
      <c r="K89" s="209" t="str">
        <f>IF(F89="","",IF(D89="","",IF(F89=2,M89-L89,(VLOOKUP(D89,'DB animal categories'!$C$167:$AH$176,8,FALSE)*VLOOKUP(D89,'DB animal categories'!$C$167:$AH$176,11,FALSE)/6.25/1000/1000)*E89-VLOOKUP(D89,'DB animal categories'!$C$167:$O$176,7,FALSE)*'DB additional information '!$F$84*'Calc (ex-animal)'!E89/1000/1000)))</f>
        <v/>
      </c>
      <c r="L89" s="69"/>
      <c r="M89" s="58" t="str">
        <f>IF(F89=1,VLOOKUP(D89,'DB animal categories'!$C$167:$AM$176,29,FALSE)/1000*E89,IF(F89="","",IF(D89="","",IF(F89=2,VLOOKUP(D89,'DB animal categories'!$C$167:$AH$176,18,FALSE)*E89/1000,K89+L89))))</f>
        <v/>
      </c>
      <c r="N89" s="209" t="str">
        <f>IF(F89="","",IF(D89="","",IF(F89=2,P89-O89,(VLOOKUP(D89,'DB animal categories'!$C$167:$AH$176,8,FALSE)*VLOOKUP(D89,'DB animal categories'!$C$167:$AH$176,12,FALSE)/1000/1000)*E89-VLOOKUP(D89,'DB animal categories'!$C$167:$O$176,7,FALSE)*'DB additional information '!$F$85*'Calc (ex-animal)'!E89/1000/1000)))</f>
        <v/>
      </c>
      <c r="O89" s="69"/>
      <c r="P89" s="58" t="str">
        <f>IF(F89=1,VLOOKUP(D89,'DB animal categories'!$C$167:$AM$176,31,FALSE)/1000*E89,IF(F89="","",IF(D89="","",IF(F89=2,E89*VLOOKUP(D89,'DB animal categories'!$C$167:$AH$176,21,FALSE)/1000,N89+O89))))</f>
        <v/>
      </c>
      <c r="Q89" s="209" t="str">
        <f>IF(F89="","",IF(D89="","",IF(F89=2,S89-R89,(VLOOKUP(D89,'DB animal categories'!$C$167:$AH$176,8,FALSE)*VLOOKUP(D89,'DB animal categories'!$C$167:$AH$176,13,FALSE)/1000/1000)*E89-VLOOKUP(D89,'DB animal categories'!$C$167:$O$176,7,FALSE)*'DB additional information '!$F$86*'Calc (ex-animal)'!E89/1000/1000)))</f>
        <v/>
      </c>
      <c r="R89" s="209"/>
      <c r="S89" s="380" t="str">
        <f>IF(F89=1,VLOOKUP(D89,'DB animal categories'!$C$167:$AM$176,32,FALSE)/1000*E89,IF(F89="","",IF(D89="","",IF(F89=2,E89*VLOOKUP(D89,'DB animal categories'!$C$167:$AH$176,24,FALSE)/1000,Q89+R89))))</f>
        <v/>
      </c>
      <c r="T89" s="58" t="str">
        <f>IF(D89="","",IF(F89=1,VLOOKUP(D89,'DB animal categories'!$C$167:$AM$176,33,FALSE)*E89,I89/VLOOKUP(D89,'DB animal categories'!$C$167:$AH$176,27,FALSE)*(VLOOKUP(D89,'DB animal categories'!$C$167:$AH$176,25,FALSE)*VLOOKUP(D89,'DB animal categories'!$C$167:$AH$176,26,FALSE)/24)))</f>
        <v/>
      </c>
      <c r="U89" s="58" t="str">
        <f>IF(D89="","",IF(F89=1,VLOOKUP(D89,'DB animal categories'!$C$167:$AM$176,34,FALSE)*E89/1000,M89/VLOOKUP(D89,'DB animal categories'!$C$167:$AH$176,27,FALSE)*(VLOOKUP(D89,'DB animal categories'!$C$167:$AH$176,25,FALSE)*VLOOKUP(D89,'DB animal categories'!$C$167:$AH$176,26,FALSE)/24)))</f>
        <v/>
      </c>
      <c r="V89" s="607">
        <f>IF(K89="",0,K89/M89*U89*'DB technologies'!$AT$11/100)</f>
        <v>0</v>
      </c>
      <c r="W89" s="607">
        <f>IF(K89="",0,(U89-V89)*'DB technologies'!$AU$11/100)</f>
        <v>0</v>
      </c>
      <c r="X89" s="58" t="str">
        <f>IF(D89="","",IF(F89=1,VLOOKUP(D89,'DB animal categories'!$C$167:$AM$176,36,FALSE)*E89/1000,P89/VLOOKUP(D89,'DB animal categories'!$C$167:$AH$176,27,FALSE)*(VLOOKUP(D89,'DB animal categories'!$C$167:$AH$176,25,FALSE)*VLOOKUP(D89,'DB animal categories'!$C$167:$AH$176,26,FALSE)/24)))</f>
        <v/>
      </c>
      <c r="Y89" s="63" t="str">
        <f>IF(D89="","",IF(F89=1,VLOOKUP(D89,'DB animal categories'!$C$167:$AM$176,37,FALSE)*E89/1000,S89/VLOOKUP(D89,'DB animal categories'!$C$167:$AH$176,27,FALSE)*(VLOOKUP(D89,'DB animal categories'!$C$167:$AH$176,25,FALSE)*VLOOKUP(D89,'DB animal categories'!$C$167:$AH$176,26,FALSE)/24)))</f>
        <v/>
      </c>
    </row>
    <row r="90" spans="2:29" x14ac:dyDescent="0.2">
      <c r="B90" s="684"/>
      <c r="C90" s="681"/>
      <c r="D90" s="1404"/>
      <c r="E90" s="1405"/>
      <c r="F90" s="1405"/>
      <c r="G90" s="59" t="str">
        <f>IF(F90=1,"",IF(D90="","",IF(F90=2,I90*VLOOKUP($C$88,'DB additional information '!$X$4:$AB$25,4,FALSE)/100,VLOOKUP(D90,'DB animal categories'!$C$167:$AH$176,8,FALSE)*VLOOKUP(D90,'DB animal categories'!$C$167:$AC$176,9,FALSE)/100*(1-(VLOOKUP(D90,'DB animal categories'!$C$167:$AH$176,10,FALSE)/100))/('DB additional information '!$K$19/100)/1000*E90)))</f>
        <v/>
      </c>
      <c r="H90" s="366"/>
      <c r="I90" s="58" t="str">
        <f>IF(F90=1,E90*VLOOKUP(D90,'DB animal categories'!$C$167:$AN$176,28,FALSE),IF(D90="","",IF(F90=2,VLOOKUP(D90,'DB animal categories'!$C$167:$AH$176,14,FALSE)*E90,G90+H90)))</f>
        <v/>
      </c>
      <c r="J90" s="58" t="str">
        <f>IF(F90=1,VLOOKUP(D90,'DB animal categories'!$C$167:$AN$176,38,FALSE),IF(F90="","",IF(D90="","",IF(F90=2,VLOOKUP(D90,'DB animal categories'!$C$167:$AH$176,15,FALSE),(G90*'DB additional information '!$K$19/100+H90*'DB additional information '!$L$19/100)/I90*100))))</f>
        <v/>
      </c>
      <c r="K90" s="209" t="str">
        <f>IF(F90="","",IF(D90="","",IF(F90=2,M90-L90,(VLOOKUP(D90,'DB animal categories'!$C$167:$AH$176,8,FALSE)*VLOOKUP(D90,'DB animal categories'!$C$167:$AH$176,11,FALSE)/6.25/1000/1000)*E90-VLOOKUP(D90,'DB animal categories'!$C$167:$O$176,7,FALSE)*'DB additional information '!$F$84*'Calc (ex-animal)'!E90/1000/1000)))</f>
        <v/>
      </c>
      <c r="L90" s="69"/>
      <c r="M90" s="58" t="str">
        <f>IF(F90=1,VLOOKUP(D90,'DB animal categories'!$C$167:$AM$176,29,FALSE)/1000*E90,IF(F90="","",IF(D90="","",IF(F90=2,VLOOKUP(D90,'DB animal categories'!$C$167:$AH$176,18,FALSE)*E90/1000,K90+L90))))</f>
        <v/>
      </c>
      <c r="N90" s="209" t="str">
        <f>IF(F90="","",IF(D90="","",IF(F90=2,P90-O90,(VLOOKUP(D90,'DB animal categories'!$C$167:$AH$176,8,FALSE)*VLOOKUP(D90,'DB animal categories'!$C$167:$AH$176,12,FALSE)/1000/1000)*E90-VLOOKUP(D90,'DB animal categories'!$C$167:$O$176,7,FALSE)*'DB additional information '!$F$85*'Calc (ex-animal)'!E90/1000/1000)))</f>
        <v/>
      </c>
      <c r="O90" s="69"/>
      <c r="P90" s="58" t="str">
        <f>IF(F90=1,VLOOKUP(D90,'DB animal categories'!$C$167:$AM$176,31,FALSE)/1000*E90,IF(F90="","",IF(D90="","",IF(F90=2,E90*VLOOKUP(D90,'DB animal categories'!$C$167:$AH$176,21,FALSE)/1000,N90+O90))))</f>
        <v/>
      </c>
      <c r="Q90" s="209" t="str">
        <f>IF(F90="","",IF(D90="","",IF(F90=2,S90-R90,(VLOOKUP(D90,'DB animal categories'!$C$167:$AH$176,8,FALSE)*VLOOKUP(D90,'DB animal categories'!$C$167:$AH$176,13,FALSE)/1000/1000)*E90-VLOOKUP(D90,'DB animal categories'!$C$167:$O$176,7,FALSE)*'DB additional information '!$F$86*'Calc (ex-animal)'!E90/1000/1000)))</f>
        <v/>
      </c>
      <c r="R90" s="209"/>
      <c r="S90" s="380" t="str">
        <f>IF(F90=1,VLOOKUP(D90,'DB animal categories'!$C$167:$AM$176,32,FALSE)/1000*E90,IF(F90="","",IF(D90="","",IF(F90=2,E90*VLOOKUP(D90,'DB animal categories'!$C$167:$AH$176,24,FALSE)/1000,Q90+R90))))</f>
        <v/>
      </c>
      <c r="T90" s="58" t="str">
        <f>IF(D90="","",IF(F90=1,VLOOKUP(D90,'DB animal categories'!$C$167:$AM$176,33,FALSE)*E90,I90/VLOOKUP(D90,'DB animal categories'!$C$167:$AH$176,27,FALSE)*(VLOOKUP(D90,'DB animal categories'!$C$167:$AH$176,25,FALSE)*VLOOKUP(D90,'DB animal categories'!$C$167:$AH$176,26,FALSE)/24)))</f>
        <v/>
      </c>
      <c r="U90" s="58" t="str">
        <f>IF(D90="","",IF(F90=1,VLOOKUP(D90,'DB animal categories'!$C$167:$AM$176,34,FALSE)*E90/1000,M90/VLOOKUP(D90,'DB animal categories'!$C$167:$AH$176,27,FALSE)*(VLOOKUP(D90,'DB animal categories'!$C$167:$AH$176,25,FALSE)*VLOOKUP(D90,'DB animal categories'!$C$167:$AH$176,26,FALSE)/24)))</f>
        <v/>
      </c>
      <c r="V90" s="607">
        <f>IF(K90="",0,K90/M90*U90*'DB technologies'!$AT$11/100)</f>
        <v>0</v>
      </c>
      <c r="W90" s="607">
        <f>IF(K90="",0,(U90-V90)*'DB technologies'!$AU$11/100)</f>
        <v>0</v>
      </c>
      <c r="X90" s="58" t="str">
        <f>IF(D90="","",IF(F90=1,VLOOKUP(D90,'DB animal categories'!$C$167:$AM$176,36,FALSE)*E90/1000,P90/VLOOKUP(D90,'DB animal categories'!$C$167:$AH$176,27,FALSE)*(VLOOKUP(D90,'DB animal categories'!$C$167:$AH$176,25,FALSE)*VLOOKUP(D90,'DB animal categories'!$C$167:$AH$176,26,FALSE)/24)))</f>
        <v/>
      </c>
      <c r="Y90" s="63" t="str">
        <f>IF(D90="","",IF(F90=1,VLOOKUP(D90,'DB animal categories'!$C$167:$AM$176,37,FALSE)*E90/1000,S90/VLOOKUP(D90,'DB animal categories'!$C$167:$AH$176,27,FALSE)*(VLOOKUP(D90,'DB animal categories'!$C$167:$AH$176,25,FALSE)*VLOOKUP(D90,'DB animal categories'!$C$167:$AH$176,26,FALSE)/24)))</f>
        <v/>
      </c>
    </row>
    <row r="91" spans="2:29" x14ac:dyDescent="0.2">
      <c r="B91" s="684"/>
      <c r="C91" s="681"/>
      <c r="D91" s="1404"/>
      <c r="E91" s="1405"/>
      <c r="F91" s="1405"/>
      <c r="G91" s="59" t="str">
        <f>IF(F91=1,"",IF(D91="","",IF(F91=2,I91*VLOOKUP($C$88,'DB additional information '!$X$4:$AB$25,4,FALSE)/100,VLOOKUP(D91,'DB animal categories'!$C$167:$AH$176,8,FALSE)*VLOOKUP(D91,'DB animal categories'!$C$167:$AC$176,9,FALSE)/100*(1-(VLOOKUP(D91,'DB animal categories'!$C$167:$AH$176,10,FALSE)/100))/('DB additional information '!$K$19/100)/1000*E91)))</f>
        <v/>
      </c>
      <c r="H91" s="366"/>
      <c r="I91" s="58" t="str">
        <f>IF(F91=1,E91*VLOOKUP(D91,'DB animal categories'!$C$167:$AN$176,28,FALSE),IF(D91="","",IF(F91=2,VLOOKUP(D91,'DB animal categories'!$C$167:$AH$176,14,FALSE)*E91,G91+H91)))</f>
        <v/>
      </c>
      <c r="J91" s="58" t="str">
        <f>IF(F91=1,VLOOKUP(D91,'DB animal categories'!$C$167:$AN$176,38,FALSE),IF(F91="","",IF(D91="","",IF(F91=2,VLOOKUP(D91,'DB animal categories'!$C$167:$AH$176,15,FALSE),(G91*'DB additional information '!$K$19/100+H91*'DB additional information '!$L$19/100)/I91*100))))</f>
        <v/>
      </c>
      <c r="K91" s="209" t="str">
        <f>IF(F91="","",IF(D91="","",IF(F91=2,M91-L91,(VLOOKUP(D91,'DB animal categories'!$C$167:$AH$176,8,FALSE)*VLOOKUP(D91,'DB animal categories'!$C$167:$AH$176,11,FALSE)/6.25/1000/1000)*E91-VLOOKUP(D91,'DB animal categories'!$C$167:$O$176,7,FALSE)*'DB additional information '!$F$84*'Calc (ex-animal)'!E91/1000/1000)))</f>
        <v/>
      </c>
      <c r="L91" s="69"/>
      <c r="M91" s="58" t="str">
        <f>IF(F91=1,VLOOKUP(D91,'DB animal categories'!$C$167:$AM$176,29,FALSE)/1000*E91,IF(F91="","",IF(D91="","",IF(F91=2,VLOOKUP(D91,'DB animal categories'!$C$167:$AH$176,18,FALSE)*E91/1000,K91+L91))))</f>
        <v/>
      </c>
      <c r="N91" s="209" t="str">
        <f>IF(F91="","",IF(D91="","",IF(F91=2,P91-O91,(VLOOKUP(D91,'DB animal categories'!$C$167:$AH$176,8,FALSE)*VLOOKUP(D91,'DB animal categories'!$C$167:$AH$176,12,FALSE)/1000/1000)*E91-VLOOKUP(D91,'DB animal categories'!$C$167:$O$176,7,FALSE)*'DB additional information '!$F$85*'Calc (ex-animal)'!E91/1000/1000)))</f>
        <v/>
      </c>
      <c r="O91" s="69"/>
      <c r="P91" s="58" t="str">
        <f>IF(F91=1,VLOOKUP(D91,'DB animal categories'!$C$167:$AM$176,31,FALSE)/1000*E91,IF(F91="","",IF(D91="","",IF(F91=2,E91*VLOOKUP(D91,'DB animal categories'!$C$167:$AH$176,21,FALSE)/1000,N91+O91))))</f>
        <v/>
      </c>
      <c r="Q91" s="209" t="str">
        <f>IF(F91="","",IF(D91="","",IF(F91=2,S91-R91,(VLOOKUP(D91,'DB animal categories'!$C$167:$AH$176,8,FALSE)*VLOOKUP(D91,'DB animal categories'!$C$167:$AH$176,13,FALSE)/1000/1000)*E91-VLOOKUP(D91,'DB animal categories'!$C$167:$O$176,7,FALSE)*'DB additional information '!$F$86*'Calc (ex-animal)'!E91/1000/1000)))</f>
        <v/>
      </c>
      <c r="R91" s="209"/>
      <c r="S91" s="380" t="str">
        <f>IF(F91=1,VLOOKUP(D91,'DB animal categories'!$C$167:$AM$176,32,FALSE)/1000*E91,IF(F91="","",IF(D91="","",IF(F91=2,E91*VLOOKUP(D91,'DB animal categories'!$C$167:$AH$176,24,FALSE)/1000,Q91+R91))))</f>
        <v/>
      </c>
      <c r="T91" s="58" t="str">
        <f>IF(D91="","",IF(F91=1,VLOOKUP(D91,'DB animal categories'!$C$167:$AM$176,33,FALSE)*E91,I91/VLOOKUP(D91,'DB animal categories'!$C$167:$AH$176,27,FALSE)*(VLOOKUP(D91,'DB animal categories'!$C$167:$AH$176,25,FALSE)*VLOOKUP(D91,'DB animal categories'!$C$167:$AH$176,26,FALSE)/24)))</f>
        <v/>
      </c>
      <c r="U91" s="58" t="str">
        <f>IF(D91="","",IF(F91=1,VLOOKUP(D91,'DB animal categories'!$C$167:$AM$176,34,FALSE)*E91/1000,M91/VLOOKUP(D91,'DB animal categories'!$C$167:$AH$176,27,FALSE)*(VLOOKUP(D91,'DB animal categories'!$C$167:$AH$176,25,FALSE)*VLOOKUP(D91,'DB animal categories'!$C$167:$AH$176,26,FALSE)/24)))</f>
        <v/>
      </c>
      <c r="V91" s="607">
        <f>IF(K91="",0,K91/M91*U91*'DB technologies'!$AT$11/100)</f>
        <v>0</v>
      </c>
      <c r="W91" s="607">
        <f>IF(K91="",0,(U91-V91)*'DB technologies'!$AU$11/100)</f>
        <v>0</v>
      </c>
      <c r="X91" s="58" t="str">
        <f>IF(D91="","",IF(F91=1,VLOOKUP(D91,'DB animal categories'!$C$167:$AM$176,36,FALSE)*E91/1000,P91/VLOOKUP(D91,'DB animal categories'!$C$167:$AH$176,27,FALSE)*(VLOOKUP(D91,'DB animal categories'!$C$167:$AH$176,25,FALSE)*VLOOKUP(D91,'DB animal categories'!$C$167:$AH$176,26,FALSE)/24)))</f>
        <v/>
      </c>
      <c r="Y91" s="63" t="str">
        <f>IF(D91="","",IF(F91=1,VLOOKUP(D91,'DB animal categories'!$C$167:$AM$176,37,FALSE)*E91/1000,S91/VLOOKUP(D91,'DB animal categories'!$C$167:$AH$176,27,FALSE)*(VLOOKUP(D91,'DB animal categories'!$C$167:$AH$176,25,FALSE)*VLOOKUP(D91,'DB animal categories'!$C$167:$AH$176,26,FALSE)/24)))</f>
        <v/>
      </c>
    </row>
    <row r="92" spans="2:29" ht="12" thickBot="1" x14ac:dyDescent="0.25">
      <c r="B92" s="685"/>
      <c r="C92" s="682"/>
      <c r="D92" s="1409"/>
      <c r="E92" s="1410"/>
      <c r="F92" s="1410"/>
      <c r="G92" s="89" t="str">
        <f>IF(F92=1,"",IF(D92="","",IF(F92=2,I92*VLOOKUP($C$88,'DB additional information '!$X$4:$AB$25,4,FALSE)/100,VLOOKUP(D92,'DB animal categories'!$C$167:$AH$176,8,FALSE)*VLOOKUP(D92,'DB animal categories'!$C$167:$AC$176,9,FALSE)/100*(1-(VLOOKUP(D92,'DB animal categories'!$C$167:$AH$176,10,FALSE)/100))/('DB additional information '!$K$19/100)/1000*E92)))</f>
        <v/>
      </c>
      <c r="H92" s="377"/>
      <c r="I92" s="122" t="str">
        <f>IF(F92=1,E92*VLOOKUP(D92,'DB animal categories'!$C$167:$AN$176,28,FALSE),IF(D92="","",IF(F92=2,VLOOKUP(D92,'DB animal categories'!$C$167:$AH$176,14,FALSE)*E92,G92+H92)))</f>
        <v/>
      </c>
      <c r="J92" s="122" t="str">
        <f>IF(F92=1,VLOOKUP(D92,'DB animal categories'!$C$167:$AN$176,38,FALSE),IF(F92="","",IF(D92="","",IF(F92=2,VLOOKUP(D92,'DB animal categories'!$C$167:$AH$176,15,FALSE),(G92*'DB additional information '!$K$19/100+H92*'DB additional information '!$L$19/100)/I92*100))))</f>
        <v/>
      </c>
      <c r="K92" s="210" t="str">
        <f>IF(F92="","",IF(D92="","",IF(F92=2,M92-L92,(VLOOKUP(D92,'DB animal categories'!$C$167:$AH$176,8,FALSE)*VLOOKUP(D92,'DB animal categories'!$C$167:$AH$176,11,FALSE)/6.25/1000/1000)*E92-VLOOKUP(D92,'DB animal categories'!$C$167:$O$176,7,FALSE)*'DB additional information '!$F$84*'Calc (ex-animal)'!E92/1000/1000)))</f>
        <v/>
      </c>
      <c r="L92" s="70"/>
      <c r="M92" s="122" t="str">
        <f>IF(F92=1,VLOOKUP(D92,'DB animal categories'!$C$167:$AM$176,29,FALSE)/1000*E92,IF(F92="","",IF(D92="","",IF(F92=2,VLOOKUP(D92,'DB animal categories'!$C$167:$AH$176,18,FALSE)*E92/1000,K92+L92))))</f>
        <v/>
      </c>
      <c r="N92" s="210" t="str">
        <f>IF(F92="","",IF(D92="","",IF(F92=2,P92-O92,(VLOOKUP(D92,'DB animal categories'!$C$167:$AH$176,8,FALSE)*VLOOKUP(D92,'DB animal categories'!$C$167:$AH$176,12,FALSE)/1000/1000)*E92-VLOOKUP(D92,'DB animal categories'!$C$167:$O$176,7,FALSE)*'DB additional information '!$F$85*'Calc (ex-animal)'!E92/1000/1000)))</f>
        <v/>
      </c>
      <c r="O92" s="70"/>
      <c r="P92" s="122" t="str">
        <f>IF(F92=1,VLOOKUP(D92,'DB animal categories'!$C$167:$AM$176,31,FALSE)/1000*E92,IF(F92="","",IF(D92="","",IF(F92=2,E92*VLOOKUP(D92,'DB animal categories'!$C$167:$AH$176,21,FALSE)/1000,N92+O92))))</f>
        <v/>
      </c>
      <c r="Q92" s="210" t="str">
        <f>IF(F92="","",IF(D92="","",IF(F92=2,S92-R92,(VLOOKUP(D92,'DB animal categories'!$C$167:$AH$176,8,FALSE)*VLOOKUP(D92,'DB animal categories'!$C$167:$AH$176,13,FALSE)/1000/1000)*E92-VLOOKUP(D92,'DB animal categories'!$C$167:$O$176,7,FALSE)*'DB additional information '!$F$86*'Calc (ex-animal)'!E92/1000/1000)))</f>
        <v/>
      </c>
      <c r="R92" s="210"/>
      <c r="S92" s="381" t="str">
        <f>IF(F92=1,VLOOKUP(D92,'DB animal categories'!$C$167:$AM$176,32,FALSE)/1000*E92,IF(F92="","",IF(D92="","",IF(F92=2,E92*VLOOKUP(D92,'DB animal categories'!$C$167:$AH$176,24,FALSE)/1000,Q92+R92))))</f>
        <v/>
      </c>
      <c r="T92" s="122" t="str">
        <f>IF(D92="","",IF(F92=1,VLOOKUP(D92,'DB animal categories'!$C$167:$AM$176,33,FALSE)*E92,I92/VLOOKUP(D92,'DB animal categories'!$C$167:$AH$176,27,FALSE)*(VLOOKUP(D92,'DB animal categories'!$C$167:$AH$176,25,FALSE)*VLOOKUP(D92,'DB animal categories'!$C$167:$AH$176,26,FALSE)/24)))</f>
        <v/>
      </c>
      <c r="U92" s="122" t="str">
        <f>IF(D92="","",IF(F92=1,VLOOKUP(D92,'DB animal categories'!$C$167:$AM$176,34,FALSE)*E92/1000,M92/VLOOKUP(D92,'DB animal categories'!$C$167:$AH$176,27,FALSE)*(VLOOKUP(D92,'DB animal categories'!$C$167:$AH$176,25,FALSE)*VLOOKUP(D92,'DB animal categories'!$C$167:$AH$176,26,FALSE)/24)))</f>
        <v/>
      </c>
      <c r="V92" s="608">
        <f>IF(K92="",0,K92/M92*U92*'DB technologies'!$AT$11/100)</f>
        <v>0</v>
      </c>
      <c r="W92" s="608">
        <f>IF(K92="",0,(U92-V92)*'DB technologies'!$AU$11/100)</f>
        <v>0</v>
      </c>
      <c r="X92" s="122" t="str">
        <f>IF(D92="","",IF(F92=1,VLOOKUP(D92,'DB animal categories'!$C$167:$AM$176,36,FALSE)*E92/1000,P92/VLOOKUP(D92,'DB animal categories'!$C$167:$AH$176,27,FALSE)*(VLOOKUP(D92,'DB animal categories'!$C$167:$AH$176,25,FALSE)*VLOOKUP(D92,'DB animal categories'!$C$167:$AH$176,26,FALSE)/24)))</f>
        <v/>
      </c>
      <c r="Y92" s="124" t="str">
        <f>IF(D92="","",IF(F92=1,VLOOKUP(D92,'DB animal categories'!$C$167:$AM$176,37,FALSE)*E92/1000,S92/VLOOKUP(D92,'DB animal categories'!$C$167:$AH$176,27,FALSE)*(VLOOKUP(D92,'DB animal categories'!$C$167:$AH$176,25,FALSE)*VLOOKUP(D92,'DB animal categories'!$C$167:$AH$176,26,FALSE)/24)))</f>
        <v/>
      </c>
    </row>
    <row r="93" spans="2:29" x14ac:dyDescent="0.2">
      <c r="B93" s="687" t="s">
        <v>204</v>
      </c>
      <c r="C93" s="672" t="s">
        <v>201</v>
      </c>
      <c r="D93" s="1408"/>
      <c r="E93" s="1402"/>
      <c r="F93" s="1402"/>
      <c r="G93" s="59" t="str">
        <f>IF(F93=1,"",IF(D93="","",IF(F93=2,I93*VLOOKUP($C$93,'DB additional information '!$X$4:$AB$25,4,FALSE)/100,VLOOKUP(D93,'DB animal categories'!$C$181:$AH$190,8,FALSE)*VLOOKUP(D93,'DB animal categories'!$C$181:$AC$190,9,FALSE)/100*(1-(VLOOKUP(D93,'DB animal categories'!$C$181:$AH$190,10,FALSE)/100))/('DB additional information '!$K$20/100)/1000*E93)))</f>
        <v/>
      </c>
      <c r="H93" s="59" t="str">
        <f>IF(F93=1,"",IF(D93="","",IF(F93=2,I93-G93,G93/'DB additional information '!$M$20)))</f>
        <v/>
      </c>
      <c r="I93" s="66" t="str">
        <f>IF(F93=1,E93*VLOOKUP(D93,'DB animal categories'!$C$181:$AN$190,28,FALSE),IF(D93="","",IF(F93=2,VLOOKUP(D93,'DB animal categories'!$C$181:$AH$190,14,FALSE)*E93,G93+H93)))</f>
        <v/>
      </c>
      <c r="J93" s="66" t="str">
        <f>IF(F93=1,VLOOKUP(D93,'DB animal categories'!$C$181:$AN$190,38,FALSE),IF(F93="","",IF(D93="","",IF(F93=2,VLOOKUP(D93,'DB animal categories'!$C$181:$AN$190,15,FALSE),(G93*'DB additional information '!$K$20/100+H93*'DB additional information '!$L$20/100)/I93*100))))</f>
        <v/>
      </c>
      <c r="K93" s="74" t="str">
        <f>IF(F93="","",IF(D93="","",IF(F93=2,M93-L93,(VLOOKUP(D93,'DB animal categories'!$C$181:$AH$190,8,FALSE)*VLOOKUP(D93,'DB animal categories'!$C$181:$AH$190,11,FALSE)/6.25/1000/1000)*E93*(1-'DB additional information '!$F$94/100))))</f>
        <v/>
      </c>
      <c r="L93" s="74" t="str">
        <f>IF(F93="","",IF(D93="","",IF(F93=2,M93*'DB additional information '!$N$20/100,((VLOOKUP(D93,'DB animal categories'!$C$181:$AH$190,8,FALSE)*VLOOKUP(D93,'DB animal categories'!$C$181:$AH$190,11,FALSE)/6.25/1000/1000-'DB additional information '!$F$91*VLOOKUP(D93,'DB animal categories'!$C$181:$AH$190,7,FALSE)/1000/1000)*E93-K93))))</f>
        <v/>
      </c>
      <c r="M93" s="66" t="str">
        <f>IF(F93=1,VLOOKUP(D93,'DB animal categories'!$C$181:$AM$190,29,FALSE)/1000*E93,IF(F93="","",IF(D93="","",IF(F93=2,VLOOKUP(D93,'DB animal categories'!$C$181:$AH$190,18,FALSE)*E93/1000,K93+L93))))</f>
        <v/>
      </c>
      <c r="N93" s="74" t="str">
        <f>IF(D93="","",IF(F93="","",IF(F93=2,P93-O93,(VLOOKUP(D93,'DB animal categories'!$C$181:$AH$190,8,FALSE)*VLOOKUP(D93,'DB animal categories'!$C$181:$AH$190,12,FALSE)/1000/1000)*E93*(1-'DB additional information '!$F$95/100))))</f>
        <v/>
      </c>
      <c r="O93" s="74" t="str">
        <f>IF(D93="","",IF(F93="","",IF(F93=2,P93*'DB additional information '!$O$20/100,(VLOOKUP(D93,'DB animal categories'!$C$181:$AH$190,8,FALSE)*VLOOKUP(D93,'DB animal categories'!$C$181:$AH$190,12,FALSE)/1000/1000-'DB additional information '!$F$92*VLOOKUP(D93,'DB animal categories'!$C$181:$AH$190,7,FALSE)/1000/1000)*E93-N93)))</f>
        <v/>
      </c>
      <c r="P93" s="66" t="str">
        <f>IF(F93=1,VLOOKUP(D93,'DB animal categories'!$C$181:$AM$190,31,FALSE)/1000*E93,IF(F93="","",IF(D93="","",IF(F93=2,E93*VLOOKUP(D93,'DB animal categories'!$C$181:$AH$190,21,FALSE)/1000,N93+O93))))</f>
        <v/>
      </c>
      <c r="Q93" s="74" t="str">
        <f>IF(F93="","",IF(D93="","",IF(F93=2,S93-R93,(VLOOKUP(D93,'DB animal categories'!$C$181:$AH$190,8,FALSE)*VLOOKUP(D93,'DB animal categories'!$C$181:$AH$190,13,FALSE)/1000/1000)*E93*(1-'DB additional information '!$F$96/100))))</f>
        <v/>
      </c>
      <c r="R93" s="74" t="str">
        <f>IF(F93="","",IF(D93="","",IF(F93=2,S93*'DB additional information '!$P$20/100,(VLOOKUP(D93,'DB animal categories'!$C$181:$AH$190,8,FALSE)*VLOOKUP(D93,'DB animal categories'!$C$181:$AH$190,13,FALSE)/1000/1000-'DB additional information '!$F$93*VLOOKUP(D93,'DB animal categories'!$C$181:$AH$190,7,FALSE)/1000/1000)*E93-Q93)))</f>
        <v/>
      </c>
      <c r="S93" s="66" t="str">
        <f>IF(F93=1,VLOOKUP(D93,'DB animal categories'!$C$181:$AM$190,32,FALSE)/1000*E93,IF(F93="","",IF(D93="","",IF(F93=2,E93*VLOOKUP(D93,'DB animal categories'!$C$181:$AH$190,24,FALSE)/1000,Q93+R93))))</f>
        <v/>
      </c>
      <c r="T93" s="66" t="str">
        <f>IF(D93="","",IF(F93=1,VLOOKUP(D93,'DB animal categories'!$C$181:$AM$190,33,FALSE)*E93,I93/VLOOKUP(D93,'DB animal categories'!$C$181:$AH$190,27,FALSE)*(VLOOKUP(D93,'DB animal categories'!$C$181:$AH$190,25,FALSE)*VLOOKUP(D93,'DB animal categories'!$C$181:$AH$190,26,FALSE)/24)))</f>
        <v/>
      </c>
      <c r="U93" s="66" t="str">
        <f>IF(D93="","",IF(F93=1,VLOOKUP(D93,'DB animal categories'!$C$181:$AM$190,34,FALSE)*E93/1000,M93/VLOOKUP(D93,'DB animal categories'!$C$181:$AH$190,27,FALSE)*(VLOOKUP(D93,'DB animal categories'!$C$181:$AH$190,25,FALSE)*VLOOKUP(D93,'DB animal categories'!$C$181:$AH$190,26,FALSE)/24)))</f>
        <v/>
      </c>
      <c r="V93" s="607">
        <f>IF(K93="",0,L93/M93*U93*'DB technologies'!$AT$11/100)</f>
        <v>0</v>
      </c>
      <c r="W93" s="607">
        <f>IF(K93="",0,(U93-V93)*'DB technologies'!$AU$11/100)</f>
        <v>0</v>
      </c>
      <c r="X93" s="66" t="str">
        <f>IF(D93="","",IF(F93=1,VLOOKUP(D93,'DB animal categories'!$C$181:$AM$190,36,FALSE)*E93/1000,P93/VLOOKUP(D93,'DB animal categories'!$C$181:$AH$190,27,FALSE)*(VLOOKUP(D93,'DB animal categories'!$C$181:$AH$190,25,FALSE)*VLOOKUP(D93,'DB animal categories'!$C$181:$AH$190,26,FALSE)/24)))</f>
        <v/>
      </c>
      <c r="Y93" s="77" t="str">
        <f>IF(D93="","",IF(F93=1,VLOOKUP(D93,'DB animal categories'!$C$181:$AM$190,37,FALSE)*E93/1000,S93/VLOOKUP(D93,'DB animal categories'!$C$181:$AH$190,27,FALSE)*(VLOOKUP(D93,'DB animal categories'!$C$181:$AH$190,25,FALSE)*VLOOKUP(D93,'DB animal categories'!$C$181:$AH$190,26,FALSE)/24)))</f>
        <v/>
      </c>
    </row>
    <row r="94" spans="2:29" x14ac:dyDescent="0.2">
      <c r="B94" s="688"/>
      <c r="C94" s="681"/>
      <c r="D94" s="1404"/>
      <c r="E94" s="1405"/>
      <c r="F94" s="1405"/>
      <c r="G94" s="59" t="str">
        <f>IF(F94=1,"",IF(D94="","",IF(F94=2,I94*VLOOKUP($C$93,'DB additional information '!$X$4:$AB$25,4,FALSE)/100,VLOOKUP(D94,'DB animal categories'!$C$181:$AH$190,8,FALSE)*VLOOKUP(D94,'DB animal categories'!$C$181:$AC$190,9,FALSE)/100*(1-(VLOOKUP(D94,'DB animal categories'!$C$181:$AH$190,10,FALSE)/100))/('DB additional information '!$K$20/100)/1000*E94)))</f>
        <v/>
      </c>
      <c r="H94" s="59" t="str">
        <f>IF(F94=1,"",IF(D94="","",IF(F94=2,I94-G94,G94/'DB additional information '!$M$20)))</f>
        <v/>
      </c>
      <c r="I94" s="58" t="str">
        <f>IF(F94=1,E94*VLOOKUP(D94,'DB animal categories'!$C$181:$AN$190,28,FALSE),IF(D94="","",IF(F94=2,VLOOKUP(D94,'DB animal categories'!$C$181:$AH$190,14,FALSE)*E94,G94+H94)))</f>
        <v/>
      </c>
      <c r="J94" s="58" t="str">
        <f>IF(F94=1,VLOOKUP(D94,'DB animal categories'!$C$181:$AN$190,38,FALSE),IF(F94="","",IF(D94="","",IF(F94=2,VLOOKUP(D94,'DB animal categories'!$C$181:$AN$190,15,FALSE),(G94*'DB additional information '!$K$20/100+H94*'DB additional information '!$L$20/100)/I94*100))))</f>
        <v/>
      </c>
      <c r="K94" s="68" t="str">
        <f>IF(F94="","",IF(D94="","",IF(F94=2,M94-L94,(VLOOKUP(D94,'DB animal categories'!$C$181:$AH$190,8,FALSE)*VLOOKUP(D94,'DB animal categories'!$C$181:$AH$190,11,FALSE)/6.25/1000/1000)*E94*(1-'DB additional information '!$F$94/100))))</f>
        <v/>
      </c>
      <c r="L94" s="68" t="str">
        <f>IF(F94="","",IF(D94="","",IF(F94=2,M94*'DB additional information '!$N$20/100,((VLOOKUP(D94,'DB animal categories'!$C$181:$AH$190,8,FALSE)*VLOOKUP(D94,'DB animal categories'!$C$181:$AH$190,11,FALSE)/6.25/1000/1000-'DB additional information '!$F$91*VLOOKUP(D94,'DB animal categories'!$C$181:$AH$190,7,FALSE)/1000/1000)*E94-K94))))</f>
        <v/>
      </c>
      <c r="M94" s="244" t="str">
        <f>IF(F94=1,VLOOKUP(D94,'DB animal categories'!$C$181:$AM$190,29,FALSE)/1000*E94,IF(F94="","",IF(D94="","",IF(F94=2,VLOOKUP(D94,'DB animal categories'!$C$181:$AH$190,18,FALSE)*E94/1000,K94+L94))))</f>
        <v/>
      </c>
      <c r="N94" s="68" t="str">
        <f>IF(D94="","",IF(F94="","",IF(F94=2,P94-O94,(VLOOKUP(D94,'DB animal categories'!$C$181:$AH$190,8,FALSE)*VLOOKUP(D94,'DB animal categories'!$C$181:$AH$190,12,FALSE)/1000/1000)*E94*(1-'DB additional information '!$F$95/100))))</f>
        <v/>
      </c>
      <c r="O94" s="68" t="str">
        <f>IF(D94="","",IF(F94="","",IF(F94=2,P94*'DB additional information '!$O$20/100,(VLOOKUP(D94,'DB animal categories'!$C$181:$AH$190,8,FALSE)*VLOOKUP(D94,'DB animal categories'!$C$181:$AH$190,12,FALSE)/1000/1000-'DB additional information '!$F$92*VLOOKUP(D94,'DB animal categories'!$C$181:$AH$190,7,FALSE)/1000/1000)*E94-N94)))</f>
        <v/>
      </c>
      <c r="P94" s="58" t="str">
        <f>IF(F94=1,VLOOKUP(D94,'DB animal categories'!$C$181:$AM$190,31,FALSE)/1000*E94,IF(F94="","",IF(D94="","",IF(F94=2,E94*VLOOKUP(D94,'DB animal categories'!$C$181:$AH$190,21,FALSE)/1000,N94+O94))))</f>
        <v/>
      </c>
      <c r="Q94" s="68" t="str">
        <f>IF(F94="","",IF(D94="","",IF(F94=2,S94-R94,(VLOOKUP(D94,'DB animal categories'!$C$181:$AH$190,8,FALSE)*VLOOKUP(D94,'DB animal categories'!$C$181:$AH$190,13,FALSE)/1000/1000)*E94*(1-'DB additional information '!$F$96/100))))</f>
        <v/>
      </c>
      <c r="R94" s="68" t="str">
        <f>IF(F94="","",IF(D94="","",IF(F94=2,S94*'DB additional information '!$P$20/100,(VLOOKUP(D94,'DB animal categories'!$C$181:$AH$190,8,FALSE)*VLOOKUP(D94,'DB animal categories'!$C$181:$AH$190,13,FALSE)/1000/1000-'DB additional information '!$F$93*VLOOKUP(D94,'DB animal categories'!$C$181:$AH$190,7,FALSE)/1000/1000)*E94-Q94)))</f>
        <v/>
      </c>
      <c r="S94" s="58" t="str">
        <f>IF(F94=1,VLOOKUP(D94,'DB animal categories'!$C$181:$AM$190,32,FALSE)/1000*E94,IF(F94="","",IF(D94="","",IF(F94=2,E94*VLOOKUP(D94,'DB animal categories'!$C$181:$AH$190,24,FALSE)/1000,Q94+R94))))</f>
        <v/>
      </c>
      <c r="T94" s="58" t="str">
        <f>IF(D94="","",IF(F94=1,VLOOKUP(D94,'DB animal categories'!$C$181:$AM$190,33,FALSE)*E94,I94/VLOOKUP(D94,'DB animal categories'!$C$181:$AH$190,27,FALSE)*(VLOOKUP(D94,'DB animal categories'!$C$181:$AH$190,25,FALSE)*VLOOKUP(D94,'DB animal categories'!$C$181:$AH$190,26,FALSE)/24)))</f>
        <v/>
      </c>
      <c r="U94" s="58" t="str">
        <f>IF(D94="","",IF(F94=1,VLOOKUP(D94,'DB animal categories'!$C$181:$AM$190,34,FALSE)*E94/1000,M94/VLOOKUP(D94,'DB animal categories'!$C$181:$AH$190,27,FALSE)*(VLOOKUP(D94,'DB animal categories'!$C$181:$AH$190,25,FALSE)*VLOOKUP(D94,'DB animal categories'!$C$181:$AH$190,26,FALSE)/24)))</f>
        <v/>
      </c>
      <c r="V94" s="606">
        <f>IF(K94="",0,L94/M94*U94*'DB technologies'!$AT$11/100)</f>
        <v>0</v>
      </c>
      <c r="W94" s="606">
        <f>IF(K94="",0,(U94-V94)*'DB technologies'!$AU$11/100)</f>
        <v>0</v>
      </c>
      <c r="X94" s="58" t="str">
        <f>IF(D94="","",IF(F94=1,VLOOKUP(D94,'DB animal categories'!$C$181:$AM$190,36,FALSE)*E94/1000,P94/VLOOKUP(D94,'DB animal categories'!$C$181:$AH$190,27,FALSE)*(VLOOKUP(D94,'DB animal categories'!$C$181:$AH$190,25,FALSE)*VLOOKUP(D94,'DB animal categories'!$C$181:$AH$190,26,FALSE)/24)))</f>
        <v/>
      </c>
      <c r="Y94" s="63" t="str">
        <f>IF(D94="","",IF(F94=1,VLOOKUP(D94,'DB animal categories'!$C$181:$AM$190,37,FALSE)*E94/1000,S94/VLOOKUP(D94,'DB animal categories'!$C$181:$AH$190,27,FALSE)*(VLOOKUP(D94,'DB animal categories'!$C$181:$AH$190,25,FALSE)*VLOOKUP(D94,'DB animal categories'!$C$181:$AH$190,26,FALSE)/24)))</f>
        <v/>
      </c>
    </row>
    <row r="95" spans="2:29" x14ac:dyDescent="0.2">
      <c r="B95" s="688"/>
      <c r="C95" s="681"/>
      <c r="D95" s="1404"/>
      <c r="E95" s="1405"/>
      <c r="F95" s="1405"/>
      <c r="G95" s="59" t="str">
        <f>IF(F95=1,"",IF(D95="","",IF(F95=2,I95*VLOOKUP($C$93,'DB additional information '!$X$4:$AB$25,4,FALSE)/100,VLOOKUP(D95,'DB animal categories'!$C$181:$AH$190,8,FALSE)*VLOOKUP(D95,'DB animal categories'!$C$181:$AC$190,9,FALSE)/100*(1-(VLOOKUP(D95,'DB animal categories'!$C$181:$AH$190,10,FALSE)/100))/('DB additional information '!$K$20/100)/1000*E95)))</f>
        <v/>
      </c>
      <c r="H95" s="59" t="str">
        <f>IF(F95=1,"",IF(D95="","",IF(F95=2,I95-G95,G95/'DB additional information '!$M$20)))</f>
        <v/>
      </c>
      <c r="I95" s="58" t="str">
        <f>IF(F95=1,E95*VLOOKUP(D95,'DB animal categories'!$C$181:$AN$190,28,FALSE),IF(D95="","",IF(F95=2,VLOOKUP(D95,'DB animal categories'!$C$181:$AH$190,14,FALSE)*E95,G95+H95)))</f>
        <v/>
      </c>
      <c r="J95" s="58" t="str">
        <f>IF(F95=1,VLOOKUP(D95,'DB animal categories'!$C$181:$AN$190,38,FALSE),IF(F95="","",IF(D95="","",IF(F95=2,VLOOKUP(D95,'DB animal categories'!$C$181:$AN$190,15,FALSE),(G95*'DB additional information '!$K$20/100+H95*'DB additional information '!$L$20/100)/I95*100))))</f>
        <v/>
      </c>
      <c r="K95" s="68" t="str">
        <f>IF(F95="","",IF(D95="","",IF(F95=2,M95-L95,(VLOOKUP(D95,'DB animal categories'!$C$181:$AH$190,8,FALSE)*VLOOKUP(D95,'DB animal categories'!$C$181:$AH$190,11,FALSE)/6.25/1000/1000)*E95*(1-'DB additional information '!$F$94/100))))</f>
        <v/>
      </c>
      <c r="L95" s="68" t="str">
        <f>IF(F95="","",IF(D95="","",IF(F95=2,M95*'DB additional information '!$N$20/100,((VLOOKUP(D95,'DB animal categories'!$C$181:$AH$190,8,FALSE)*VLOOKUP(D95,'DB animal categories'!$C$181:$AH$190,11,FALSE)/6.25/1000/1000-'DB additional information '!$F$91*VLOOKUP(D95,'DB animal categories'!$C$181:$AH$190,7,FALSE)/1000/1000)*E95-K95))))</f>
        <v/>
      </c>
      <c r="M95" s="244" t="str">
        <f>IF(F95=1,VLOOKUP(D95,'DB animal categories'!$C$181:$AM$190,29,FALSE)/1000*E95,IF(F95="","",IF(D95="","",IF(F95=2,VLOOKUP(D95,'DB animal categories'!$C$181:$AH$190,18,FALSE)*E95/1000,K95+L95))))</f>
        <v/>
      </c>
      <c r="N95" s="68" t="str">
        <f>IF(D95="","",IF(F95="","",IF(F95=2,P95-O95,(VLOOKUP(D95,'DB animal categories'!$C$181:$AH$190,8,FALSE)*VLOOKUP(D95,'DB animal categories'!$C$181:$AH$190,12,FALSE)/1000/1000)*E95*(1-'DB additional information '!$F$95/100))))</f>
        <v/>
      </c>
      <c r="O95" s="68" t="str">
        <f>IF(D95="","",IF(F95="","",IF(F95=2,P95*'DB additional information '!$O$20/100,(VLOOKUP(D95,'DB animal categories'!$C$181:$AH$190,8,FALSE)*VLOOKUP(D95,'DB animal categories'!$C$181:$AH$190,12,FALSE)/1000/1000-'DB additional information '!$F$92*VLOOKUP(D95,'DB animal categories'!$C$181:$AH$190,7,FALSE)/1000/1000)*E95-N95)))</f>
        <v/>
      </c>
      <c r="P95" s="58" t="str">
        <f>IF(F95=1,VLOOKUP(D95,'DB animal categories'!$C$181:$AM$190,31,FALSE)/1000*E95,IF(F95="","",IF(D95="","",IF(F95=2,E95*VLOOKUP(D95,'DB animal categories'!$C$181:$AH$190,21,FALSE)/1000,N95+O95))))</f>
        <v/>
      </c>
      <c r="Q95" s="68" t="str">
        <f>IF(F95="","",IF(D95="","",IF(F95=2,S95-R95,(VLOOKUP(D95,'DB animal categories'!$C$181:$AH$190,8,FALSE)*VLOOKUP(D95,'DB animal categories'!$C$181:$AH$190,13,FALSE)/1000/1000)*E95*(1-'DB additional information '!$F$96/100))))</f>
        <v/>
      </c>
      <c r="R95" s="68" t="str">
        <f>IF(F95="","",IF(D95="","",IF(F95=2,S95*'DB additional information '!$P$20/100,(VLOOKUP(D95,'DB animal categories'!$C$181:$AH$190,8,FALSE)*VLOOKUP(D95,'DB animal categories'!$C$181:$AH$190,13,FALSE)/1000/1000-'DB additional information '!$F$93*VLOOKUP(D95,'DB animal categories'!$C$181:$AH$190,7,FALSE)/1000/1000)*E95-Q95)))</f>
        <v/>
      </c>
      <c r="S95" s="58" t="str">
        <f>IF(F95=1,VLOOKUP(D95,'DB animal categories'!$C$181:$AM$190,32,FALSE)/1000*E95,IF(F95="","",IF(D95="","",IF(F95=2,E95*VLOOKUP(D95,'DB animal categories'!$C$181:$AH$190,24,FALSE)/1000,Q95+R95))))</f>
        <v/>
      </c>
      <c r="T95" s="58" t="str">
        <f>IF(D95="","",IF(F95=1,VLOOKUP(D95,'DB animal categories'!$C$181:$AM$190,33,FALSE)*E95,I95/VLOOKUP(D95,'DB animal categories'!$C$181:$AH$190,27,FALSE)*(VLOOKUP(D95,'DB animal categories'!$C$181:$AH$190,25,FALSE)*VLOOKUP(D95,'DB animal categories'!$C$181:$AH$190,26,FALSE)/24)))</f>
        <v/>
      </c>
      <c r="U95" s="58" t="str">
        <f>IF(D95="","",IF(F95=1,VLOOKUP(D95,'DB animal categories'!$C$181:$AM$190,34,FALSE)*E95/1000,M95/VLOOKUP(D95,'DB animal categories'!$C$181:$AH$190,27,FALSE)*(VLOOKUP(D95,'DB animal categories'!$C$181:$AH$190,25,FALSE)*VLOOKUP(D95,'DB animal categories'!$C$181:$AH$190,26,FALSE)/24)))</f>
        <v/>
      </c>
      <c r="V95" s="606">
        <f>IF(K95="",0,L95/M95*U95*'DB technologies'!$AT$11/100)</f>
        <v>0</v>
      </c>
      <c r="W95" s="606">
        <f>IF(K95="",0,(U95-V95)*'DB technologies'!$AU$11/100)</f>
        <v>0</v>
      </c>
      <c r="X95" s="58" t="str">
        <f>IF(D95="","",IF(F95=1,VLOOKUP(D95,'DB animal categories'!$C$181:$AM$190,36,FALSE)*E95/1000,P95/VLOOKUP(D95,'DB animal categories'!$C$181:$AH$190,27,FALSE)*(VLOOKUP(D95,'DB animal categories'!$C$181:$AH$190,25,FALSE)*VLOOKUP(D95,'DB animal categories'!$C$181:$AH$190,26,FALSE)/24)))</f>
        <v/>
      </c>
      <c r="Y95" s="63" t="str">
        <f>IF(D95="","",IF(F95=1,VLOOKUP(D95,'DB animal categories'!$C$181:$AM$190,37,FALSE)*E95/1000,S95/VLOOKUP(D95,'DB animal categories'!$C$181:$AH$190,27,FALSE)*(VLOOKUP(D95,'DB animal categories'!$C$181:$AH$190,25,FALSE)*VLOOKUP(D95,'DB animal categories'!$C$181:$AH$190,26,FALSE)/24)))</f>
        <v/>
      </c>
    </row>
    <row r="96" spans="2:29" x14ac:dyDescent="0.2">
      <c r="B96" s="688"/>
      <c r="C96" s="681"/>
      <c r="D96" s="1404"/>
      <c r="E96" s="1405"/>
      <c r="F96" s="1405"/>
      <c r="G96" s="59" t="str">
        <f>IF(F96=1,"",IF(D96="","",IF(F96=2,I96*VLOOKUP($C$93,'DB additional information '!$X$4:$AB$25,4,FALSE)/100,VLOOKUP(D96,'DB animal categories'!$C$181:$AH$190,8,FALSE)*VLOOKUP(D96,'DB animal categories'!$C$181:$AC$190,9,FALSE)/100*(1-(VLOOKUP(D96,'DB animal categories'!$C$181:$AH$190,10,FALSE)/100))/('DB additional information '!$K$20/100)/1000*E96)))</f>
        <v/>
      </c>
      <c r="H96" s="59" t="str">
        <f>IF(F96=1,"",IF(D96="","",IF(F96=2,I96-G96,G96/'DB additional information '!$M$20)))</f>
        <v/>
      </c>
      <c r="I96" s="58" t="str">
        <f>IF(F96=1,E96*VLOOKUP(D96,'DB animal categories'!$C$181:$AN$190,28,FALSE),IF(D96="","",IF(F96=2,VLOOKUP(D96,'DB animal categories'!$C$181:$AH$190,14,FALSE)*E96,G96+H96)))</f>
        <v/>
      </c>
      <c r="J96" s="58" t="str">
        <f>IF(F96=1,VLOOKUP(D96,'DB animal categories'!$C$181:$AN$190,38,FALSE),IF(F96="","",IF(D96="","",IF(F96=2,VLOOKUP(D96,'DB animal categories'!$C$181:$AN$190,15,FALSE),(G96*'DB additional information '!$K$20/100+H96*'DB additional information '!$L$20/100)/I96*100))))</f>
        <v/>
      </c>
      <c r="K96" s="68" t="str">
        <f>IF(F96="","",IF(D96="","",IF(F96=2,M96-L96,(VLOOKUP(D96,'DB animal categories'!$C$181:$AH$190,8,FALSE)*VLOOKUP(D96,'DB animal categories'!$C$181:$AH$190,11,FALSE)/6.25/1000/1000)*E96*(1-'DB additional information '!$F$94/100))))</f>
        <v/>
      </c>
      <c r="L96" s="68" t="str">
        <f>IF(F96="","",IF(D96="","",IF(F96=2,M96*'DB additional information '!$N$20/100,((VLOOKUP(D96,'DB animal categories'!$C$181:$AH$190,8,FALSE)*VLOOKUP(D96,'DB animal categories'!$C$181:$AH$190,11,FALSE)/6.25/1000/1000-'DB additional information '!$F$91*VLOOKUP(D96,'DB animal categories'!$C$181:$AH$190,7,FALSE)/1000/1000)*E96-K96))))</f>
        <v/>
      </c>
      <c r="M96" s="244" t="str">
        <f>IF(F96=1,VLOOKUP(D96,'DB animal categories'!$C$181:$AM$190,29,FALSE)/1000*E96,IF(F96="","",IF(D96="","",IF(F96=2,VLOOKUP(D96,'DB animal categories'!$C$181:$AH$190,18,FALSE)*E96/1000,K96+L96))))</f>
        <v/>
      </c>
      <c r="N96" s="68" t="str">
        <f>IF(D96="","",IF(F96="","",IF(F96=2,P96-O96,(VLOOKUP(D96,'DB animal categories'!$C$181:$AH$190,8,FALSE)*VLOOKUP(D96,'DB animal categories'!$C$181:$AH$190,12,FALSE)/1000/1000)*E96*(1-'DB additional information '!$F$95/100))))</f>
        <v/>
      </c>
      <c r="O96" s="68" t="str">
        <f>IF(D96="","",IF(F96="","",IF(F96=2,P96*'DB additional information '!$O$20/100,(VLOOKUP(D96,'DB animal categories'!$C$181:$AH$190,8,FALSE)*VLOOKUP(D96,'DB animal categories'!$C$181:$AH$190,12,FALSE)/1000/1000-'DB additional information '!$F$92*VLOOKUP(D96,'DB animal categories'!$C$181:$AH$190,7,FALSE)/1000/1000)*E96-N96)))</f>
        <v/>
      </c>
      <c r="P96" s="58" t="str">
        <f>IF(F96=1,VLOOKUP(D96,'DB animal categories'!$C$181:$AM$190,31,FALSE)/1000*E96,IF(F96="","",IF(D96="","",IF(F96=2,E96*VLOOKUP(D96,'DB animal categories'!$C$181:$AH$190,21,FALSE)/1000,N96+O96))))</f>
        <v/>
      </c>
      <c r="Q96" s="68" t="str">
        <f>IF(F96="","",IF(D96="","",IF(F96=2,S96-R96,(VLOOKUP(D96,'DB animal categories'!$C$181:$AH$190,8,FALSE)*VLOOKUP(D96,'DB animal categories'!$C$181:$AH$190,13,FALSE)/1000/1000)*E96*(1-'DB additional information '!$F$96/100))))</f>
        <v/>
      </c>
      <c r="R96" s="68" t="str">
        <f>IF(F96="","",IF(D96="","",IF(F96=2,S96*'DB additional information '!$P$20/100,(VLOOKUP(D96,'DB animal categories'!$C$181:$AH$190,8,FALSE)*VLOOKUP(D96,'DB animal categories'!$C$181:$AH$190,13,FALSE)/1000/1000-'DB additional information '!$F$93*VLOOKUP(D96,'DB animal categories'!$C$181:$AH$190,7,FALSE)/1000/1000)*E96-Q96)))</f>
        <v/>
      </c>
      <c r="S96" s="58" t="str">
        <f>IF(F96=1,VLOOKUP(D96,'DB animal categories'!$C$181:$AM$190,32,FALSE)/1000*E96,IF(F96="","",IF(D96="","",IF(F96=2,E96*VLOOKUP(D96,'DB animal categories'!$C$181:$AH$190,24,FALSE)/1000,Q96+R96))))</f>
        <v/>
      </c>
      <c r="T96" s="58" t="str">
        <f>IF(D96="","",IF(F96=1,VLOOKUP(D96,'DB animal categories'!$C$181:$AM$190,33,FALSE)*E96,I96/VLOOKUP(D96,'DB animal categories'!$C$181:$AH$190,27,FALSE)*(VLOOKUP(D96,'DB animal categories'!$C$181:$AH$190,25,FALSE)*VLOOKUP(D96,'DB animal categories'!$C$181:$AH$190,26,FALSE)/24)))</f>
        <v/>
      </c>
      <c r="U96" s="58" t="str">
        <f>IF(D96="","",IF(F96=1,VLOOKUP(D96,'DB animal categories'!$C$181:$AM$190,34,FALSE)*E96/1000,M96/VLOOKUP(D96,'DB animal categories'!$C$181:$AH$190,27,FALSE)*(VLOOKUP(D96,'DB animal categories'!$C$181:$AH$190,25,FALSE)*VLOOKUP(D96,'DB animal categories'!$C$181:$AH$190,26,FALSE)/24)))</f>
        <v/>
      </c>
      <c r="V96" s="606">
        <f>IF(K96="",0,L96/M96*U96*'DB technologies'!$AT$11/100)</f>
        <v>0</v>
      </c>
      <c r="W96" s="606">
        <f>IF(K96="",0,(U96-V96)*'DB technologies'!$AU$11/100)</f>
        <v>0</v>
      </c>
      <c r="X96" s="58" t="str">
        <f>IF(D96="","",IF(F96=1,VLOOKUP(D96,'DB animal categories'!$C$181:$AM$190,36,FALSE)*E96/1000,P96/VLOOKUP(D96,'DB animal categories'!$C$181:$AH$190,27,FALSE)*(VLOOKUP(D96,'DB animal categories'!$C$181:$AH$190,25,FALSE)*VLOOKUP(D96,'DB animal categories'!$C$181:$AH$190,26,FALSE)/24)))</f>
        <v/>
      </c>
      <c r="Y96" s="63" t="str">
        <f>IF(D96="","",IF(F96=1,VLOOKUP(D96,'DB animal categories'!$C$181:$AM$190,37,FALSE)*E96/1000,S96/VLOOKUP(D96,'DB animal categories'!$C$181:$AH$190,27,FALSE)*(VLOOKUP(D96,'DB animal categories'!$C$181:$AH$190,25,FALSE)*VLOOKUP(D96,'DB animal categories'!$C$181:$AH$190,26,FALSE)/24)))</f>
        <v/>
      </c>
    </row>
    <row r="97" spans="2:25" ht="12" thickBot="1" x14ac:dyDescent="0.25">
      <c r="B97" s="688"/>
      <c r="C97" s="682"/>
      <c r="D97" s="1409"/>
      <c r="E97" s="1410"/>
      <c r="F97" s="1410"/>
      <c r="G97" s="89" t="str">
        <f>IF(F97=1,"",IF(D97="","",IF(F97=2,I97*VLOOKUP($C$93,'DB additional information '!$X$4:$AB$25,4,FALSE)/100,VLOOKUP(D97,'DB animal categories'!$C$181:$AH$190,8,FALSE)*VLOOKUP(D97,'DB animal categories'!$C$181:$AC$190,9,FALSE)/100*(1-(VLOOKUP(D97,'DB animal categories'!$C$181:$AH$190,10,FALSE)/100))/('DB additional information '!$K$20/100)/1000*E97)))</f>
        <v/>
      </c>
      <c r="H97" s="89" t="str">
        <f>IF(F97=1,"",IF(D97="","",IF(F97=2,I97-G97,G97/'DB additional information '!$M$20)))</f>
        <v/>
      </c>
      <c r="I97" s="122" t="str">
        <f>IF(F97=1,E97*VLOOKUP(D97,'DB animal categories'!$C$181:$AN$190,28,FALSE),IF(D97="","",IF(F97=2,VLOOKUP(D97,'DB animal categories'!$C$181:$AH$190,14,FALSE)*E97,G97+H97)))</f>
        <v/>
      </c>
      <c r="J97" s="122" t="str">
        <f>IF(F97=1,VLOOKUP(D97,'DB animal categories'!$C$181:$AN$190,38,FALSE),IF(F97="","",IF(D97="","",IF(F97=2,VLOOKUP(D97,'DB animal categories'!$C$181:$AN$190,15,FALSE),(G97*'DB additional information '!$K$20/100+H97*'DB additional information '!$L$20/100)/I97*100))))</f>
        <v/>
      </c>
      <c r="K97" s="123" t="str">
        <f>IF(F97="","",IF(D97="","",IF(F97=2,M97-L97,(VLOOKUP(D97,'DB animal categories'!$C$181:$AH$190,8,FALSE)*VLOOKUP(D97,'DB animal categories'!$C$181:$AH$190,11,FALSE)/6.25/1000/1000)*E97*(1-'DB additional information '!$F$94/100))))</f>
        <v/>
      </c>
      <c r="L97" s="123" t="str">
        <f>IF(F97="","",IF(D97="","",IF(F97=2,M97*'DB additional information '!$N$20/100,((VLOOKUP(D97,'DB animal categories'!$C$181:$AH$190,8,FALSE)*VLOOKUP(D97,'DB animal categories'!$C$181:$AH$190,11,FALSE)/6.25/1000/1000-'DB additional information '!$F$91*VLOOKUP(D97,'DB animal categories'!$C$181:$AH$190,7,FALSE)/1000/1000)*E97-K97))))</f>
        <v/>
      </c>
      <c r="M97" s="245" t="str">
        <f>IF(F97=1,VLOOKUP(D97,'DB animal categories'!$C$181:$AM$190,29,FALSE)/1000*E97,IF(F97="","",IF(D97="","",IF(F97=2,VLOOKUP(D97,'DB animal categories'!$C$181:$AH$190,18,FALSE)*E97/1000,K97+L97))))</f>
        <v/>
      </c>
      <c r="N97" s="123" t="str">
        <f>IF(D97="","",IF(F97="","",IF(F97=2,P97-O97,(VLOOKUP(D97,'DB animal categories'!$C$181:$AH$190,8,FALSE)*VLOOKUP(D97,'DB animal categories'!$C$181:$AH$190,12,FALSE)/1000/1000)*E97*(1-'DB additional information '!$F$95/100))))</f>
        <v/>
      </c>
      <c r="O97" s="123" t="str">
        <f>IF(D97="","",IF(F97="","",IF(F97=2,P97*'DB additional information '!$O$20/100,(VLOOKUP(D97,'DB animal categories'!$C$181:$AH$190,8,FALSE)*VLOOKUP(D97,'DB animal categories'!$C$181:$AH$190,12,FALSE)/1000/1000-'DB additional information '!$F$92*VLOOKUP(D97,'DB animal categories'!$C$181:$AH$190,7,FALSE)/1000/1000)*E97-N97)))</f>
        <v/>
      </c>
      <c r="P97" s="122" t="str">
        <f>IF(F97=1,VLOOKUP(D97,'DB animal categories'!$C$181:$AM$190,31,FALSE)/1000*E97,IF(F97="","",IF(D97="","",IF(F97=2,E97*VLOOKUP(D97,'DB animal categories'!$C$181:$AH$190,21,FALSE)/1000,N97+O97))))</f>
        <v/>
      </c>
      <c r="Q97" s="123" t="str">
        <f>IF(F97="","",IF(D97="","",IF(F97=2,S97-R97,(VLOOKUP(D97,'DB animal categories'!$C$181:$AH$190,8,FALSE)*VLOOKUP(D97,'DB animal categories'!$C$181:$AH$190,13,FALSE)/1000/1000)*E97*(1-'DB additional information '!$F$96/100))))</f>
        <v/>
      </c>
      <c r="R97" s="123" t="str">
        <f>IF(F97="","",IF(D97="","",IF(F97=2,S97*'DB additional information '!$P$20/100,(VLOOKUP(D97,'DB animal categories'!$C$181:$AH$190,8,FALSE)*VLOOKUP(D97,'DB animal categories'!$C$181:$AH$190,13,FALSE)/1000/1000-'DB additional information '!$F$93*VLOOKUP(D97,'DB animal categories'!$C$181:$AH$190,7,FALSE)/1000/1000)*E97-Q97)))</f>
        <v/>
      </c>
      <c r="S97" s="122" t="str">
        <f>IF(F97=1,VLOOKUP(D97,'DB animal categories'!$C$181:$AM$190,32,FALSE)/1000*E97,IF(F97="","",IF(D97="","",IF(F97=2,E97*VLOOKUP(D97,'DB animal categories'!$C$181:$AH$190,24,FALSE)/1000,Q97+R97))))</f>
        <v/>
      </c>
      <c r="T97" s="122" t="str">
        <f>IF(D97="","",IF(F97=1,VLOOKUP(D97,'DB animal categories'!$C$181:$AM$190,33,FALSE)*E97,I97/VLOOKUP(D97,'DB animal categories'!$C$181:$AH$190,27,FALSE)*(VLOOKUP(D97,'DB animal categories'!$C$181:$AH$190,25,FALSE)*VLOOKUP(D97,'DB animal categories'!$C$181:$AH$190,26,FALSE)/24)))</f>
        <v/>
      </c>
      <c r="U97" s="122" t="str">
        <f>IF(D97="","",IF(F97=1,VLOOKUP(D97,'DB animal categories'!$C$181:$AM$190,34,FALSE)*E97/1000,M97/VLOOKUP(D97,'DB animal categories'!$C$181:$AH$190,27,FALSE)*(VLOOKUP(D97,'DB animal categories'!$C$181:$AH$190,25,FALSE)*VLOOKUP(D97,'DB animal categories'!$C$181:$AH$190,26,FALSE)/24)))</f>
        <v/>
      </c>
      <c r="V97" s="608">
        <f>IF(K97="",0,L97/M97*U97*'DB technologies'!$AT$11/100)</f>
        <v>0</v>
      </c>
      <c r="W97" s="608">
        <f>IF(K97="",0,(U97-V97)*'DB technologies'!$AU$11/100)</f>
        <v>0</v>
      </c>
      <c r="X97" s="122" t="str">
        <f>IF(D97="","",IF(F97=1,VLOOKUP(D97,'DB animal categories'!$C$181:$AM$190,36,FALSE)*E97/1000,P97/VLOOKUP(D97,'DB animal categories'!$C$181:$AH$190,27,FALSE)*(VLOOKUP(D97,'DB animal categories'!$C$181:$AH$190,25,FALSE)*VLOOKUP(D97,'DB animal categories'!$C$181:$AH$190,26,FALSE)/24)))</f>
        <v/>
      </c>
      <c r="Y97" s="124" t="str">
        <f>IF(D97="","",IF(F97=1,VLOOKUP(D97,'DB animal categories'!$C$181:$AM$190,37,FALSE)*E97/1000,S97/VLOOKUP(D97,'DB animal categories'!$C$181:$AH$190,27,FALSE)*(VLOOKUP(D97,'DB animal categories'!$C$181:$AH$190,25,FALSE)*VLOOKUP(D97,'DB animal categories'!$C$181:$AH$190,26,FALSE)/24)))</f>
        <v/>
      </c>
    </row>
    <row r="98" spans="2:25" x14ac:dyDescent="0.2">
      <c r="B98" s="688"/>
      <c r="C98" s="672" t="s">
        <v>205</v>
      </c>
      <c r="D98" s="1415"/>
      <c r="E98" s="1402"/>
      <c r="F98" s="1402"/>
      <c r="G98" s="59" t="str">
        <f>IF(F98=1,"",IF(D98="","",IF(F98=2,I98*VLOOKUP($C$98,'DB additional information '!$X$4:$AB$25,4,FALSE)/100,VLOOKUP(D98,'DB animal categories'!$C$191:$AH$200,8,FALSE)*VLOOKUP(D98,'DB animal categories'!$C$191:$AC$200,9,FALSE)/100*(1-(VLOOKUP(D98,'DB animal categories'!$C$191:$AH$200,10,FALSE)/100))/('DB additional information '!$K$21/100)/1000*E98)))</f>
        <v/>
      </c>
      <c r="H98" s="59" t="str">
        <f>IF(F98=1,"",IF(D98="","",IF(F98=2,I98-G98,G98/'DB additional information '!$M$21)))</f>
        <v/>
      </c>
      <c r="I98" s="66" t="str">
        <f>IF(F98=1,E98*VLOOKUP(D98,'DB animal categories'!$C$191:$AN$200,28,FALSE),IF(D98="","",IF(F98=2,VLOOKUP(D98,'DB animal categories'!$C$191:$AH$200,14,FALSE)*E98,G98+H98)))</f>
        <v/>
      </c>
      <c r="J98" s="66" t="str">
        <f>IF(F98=1,VLOOKUP(D98,'DB animal categories'!$C$191:$AN$200,38,FALSE),IF(F98="","",IF(D98="","",IF(F98=2,VLOOKUP(D98,'DB animal categories'!$C$191:$AN$200,15,FALSE),(G98*'DB additional information '!$K$21/100+H98*'DB additional information '!$L$21/100)/I98*100))))</f>
        <v/>
      </c>
      <c r="K98" s="74" t="str">
        <f>IF(F98="","",IF(D98="","",IF(F98=2,M98-L98,(VLOOKUP(D98,'DB animal categories'!$C$191:$AH$200,8,FALSE)*VLOOKUP(D98,'DB animal categories'!$C$191:$AH$200,11,FALSE)/6.25/1000/1000)*E98*(1-'DB additional information '!$F$94/100))))</f>
        <v/>
      </c>
      <c r="L98" s="72" t="str">
        <f>IF(F98="","",IF(D98="","",IF(F98=2,M98*'DB additional information '!$N$21/100,((VLOOKUP(D98,'DB animal categories'!$C$191:$AH$200,8,FALSE)*VLOOKUP(D98,'DB animal categories'!$C$191:$AH$200,11,FALSE)/6.25/1000/1000-'DB additional information '!$F$91*VLOOKUP(D98,'DB animal categories'!$C$191:$AH$200,7,FALSE)/1000/1000)*E98-K98))))</f>
        <v/>
      </c>
      <c r="M98" s="66" t="str">
        <f>IF(F98=1,VLOOKUP(D98,'DB animal categories'!$C$191:$AM$200,29,FALSE)/1000*E98,IF(F98="","",IF(D98="","",IF(F98=2,VLOOKUP(D98,'DB animal categories'!$C$191:$AH$200,18,FALSE)*E98/1000,K98+L98))))</f>
        <v/>
      </c>
      <c r="N98" s="74" t="str">
        <f>IF(D98="","",IF(F98="","",IF(F98=2,P98-O98,(VLOOKUP(D98,'DB animal categories'!$C$191:$AH$200,8,FALSE)*VLOOKUP(D98,'DB animal categories'!$C$191:$AH$200,12,FALSE)/1000/1000)*E98*(1-'DB additional information '!$F$95/100))))</f>
        <v/>
      </c>
      <c r="O98" s="74" t="str">
        <f>IF(D98="","",IF(F98="","",IF(F98=2,P98*'DB additional information '!$O$21/100,(VLOOKUP(D98,'DB animal categories'!$C$191:$AH$200,8,FALSE)*VLOOKUP(D98,'DB animal categories'!$C$191:$AH$200,12,FALSE)/1000/1000-'DB additional information '!$F$92*VLOOKUP(D98,'DB animal categories'!$C$191:$AH$200,7,FALSE)/1000/1000)*E98-N98)))</f>
        <v/>
      </c>
      <c r="P98" s="66" t="str">
        <f>IF(F98=1,VLOOKUP(D98,'DB animal categories'!$C$191:$AM$200,31,FALSE)/1000*E98,IF(F98="","",IF(D98="","",IF(F98=2,E98*VLOOKUP(D98,'DB animal categories'!$C$191:$AH$200,21,FALSE)/1000,N98+O98))))</f>
        <v/>
      </c>
      <c r="Q98" s="74" t="str">
        <f>IF(F98="","",IF(D98="","",IF(F98=2,S98-R98,(VLOOKUP(D98,'DB animal categories'!$C$191:$AH$200,8,FALSE)*VLOOKUP(D98,'DB animal categories'!$C$191:$AH$200,13,FALSE)/1000/1000)*E98*(1-'DB additional information '!$F$96/100))))</f>
        <v/>
      </c>
      <c r="R98" s="74" t="str">
        <f>IF(F98="","",IF(D98="","",IF(F98=2,S98*'DB additional information '!$P$21/100,(VLOOKUP(D98,'DB animal categories'!$C$191:$AH$200,8,FALSE)*VLOOKUP(D98,'DB animal categories'!$C$191:$AH$200,13,FALSE)/1000/1000-'DB additional information '!$F$93*VLOOKUP(D98,'DB animal categories'!$C$191:$AH$200,7,FALSE)/1000/1000)*E98-Q98)))</f>
        <v/>
      </c>
      <c r="S98" s="66" t="str">
        <f>IF(F98=1,VLOOKUP(D98,'DB animal categories'!$C$191:$AM$200,32,FALSE)/1000*E98,IF(F98="","",IF(D98="","",IF(F98=2,E98*VLOOKUP(D98,'DB animal categories'!$C$191:$AH$200,24,FALSE)/1000,Q98+R98))))</f>
        <v/>
      </c>
      <c r="T98" s="66" t="str">
        <f>IF(D98="","",IF(F98=1,VLOOKUP(D98,'DB animal categories'!$C$191:$AM$200,33,FALSE)*E98,I98/VLOOKUP(D98,'DB animal categories'!$C$191:$AH$200,27,FALSE)*(VLOOKUP(D98,'DB animal categories'!$C$191:$AH$200,25,FALSE)*VLOOKUP(D98,'DB animal categories'!$C$191:$AH$200,26,FALSE)/24)))</f>
        <v/>
      </c>
      <c r="U98" s="66" t="str">
        <f>IF(D98="","",IF(F98=1,VLOOKUP(D98,'DB animal categories'!$C$191:$AM$200,34,FALSE)*E98/1000,M98/VLOOKUP(D98,'DB animal categories'!$C$191:$AH$200,27,FALSE)*(VLOOKUP(D98,'DB animal categories'!$C$191:$AH$200,25,FALSE)*VLOOKUP(D98,'DB animal categories'!$C$191:$AH$200,26,FALSE)/24)))</f>
        <v/>
      </c>
      <c r="V98" s="607">
        <f>IF(K98="",0,L98/M98*U98*'DB technologies'!$AT$11/100)</f>
        <v>0</v>
      </c>
      <c r="W98" s="607">
        <f>IF(K98="",0,(U98-V98)*'DB technologies'!$AU$11/100)</f>
        <v>0</v>
      </c>
      <c r="X98" s="66" t="str">
        <f>IF(D98="","",IF(F98=1,VLOOKUP(D98,'DB animal categories'!$C$191:$AM$200,36,FALSE)*E98/1000,P98/VLOOKUP(D98,'DB animal categories'!$C$191:$AH$200,27,FALSE)*(VLOOKUP(D98,'DB animal categories'!$C$191:$AH$200,25,FALSE)*VLOOKUP(D98,'DB animal categories'!$C$191:$AH$200,26,FALSE)/24)))</f>
        <v/>
      </c>
      <c r="Y98" s="77" t="str">
        <f>IF(D98="","",IF(F98=1,VLOOKUP(D98,'DB animal categories'!$C$191:$AM$200,37,FALSE)*E98/1000,S98/VLOOKUP(D98,'DB animal categories'!$C$191:$AH$200,27,FALSE)*(VLOOKUP(D98,'DB animal categories'!$C$191:$AH$200,25,FALSE)*VLOOKUP(D98,'DB animal categories'!$C$191:$AH$200,26,FALSE)/24)))</f>
        <v/>
      </c>
    </row>
    <row r="99" spans="2:25" x14ac:dyDescent="0.2">
      <c r="B99" s="688"/>
      <c r="C99" s="681"/>
      <c r="D99" s="1416"/>
      <c r="E99" s="1405"/>
      <c r="F99" s="1405"/>
      <c r="G99" s="59" t="str">
        <f>IF(F99=1,"",IF(D99="","",IF(F99=2,I99*VLOOKUP($C$98,'DB additional information '!$X$4:$AB$25,4,FALSE)/100,VLOOKUP(D99,'DB animal categories'!$C$191:$AH$200,8,FALSE)*VLOOKUP(D99,'DB animal categories'!$C$191:$AC$200,9,FALSE)/100*(1-(VLOOKUP(D99,'DB animal categories'!$C$191:$AH$200,10,FALSE)/100))/('DB additional information '!$K$21/100)/1000*E99)))</f>
        <v/>
      </c>
      <c r="H99" s="59" t="str">
        <f>IF(F99=1,"",IF(D99="","",IF(F99=2,I99-G99,G99/'DB additional information '!$M$21)))</f>
        <v/>
      </c>
      <c r="I99" s="58" t="str">
        <f>IF(F99=1,E99*VLOOKUP(D99,'DB animal categories'!$C$191:$AN$200,28,FALSE),IF(D99="","",IF(F99=2,VLOOKUP(D99,'DB animal categories'!$C$191:$AH$200,14,FALSE)*E99,G99+H99)))</f>
        <v/>
      </c>
      <c r="J99" s="380" t="str">
        <f>IF(F99=1,VLOOKUP(D99,'DB animal categories'!$C$191:$AN$200,38,FALSE),IF(F99="","",IF(D99="","",IF(F99=2,VLOOKUP(D99,'DB animal categories'!$C$191:$AN$200,15,FALSE),(G99*'DB additional information '!$K$21/100+H99*'DB additional information '!$L$21/100)/I99*100))))</f>
        <v/>
      </c>
      <c r="K99" s="68" t="str">
        <f>IF(F99="","",IF(D99="","",IF(F99=2,M99-L99,(VLOOKUP(D99,'DB animal categories'!$C$191:$AH$200,8,FALSE)*VLOOKUP(D99,'DB animal categories'!$C$191:$AH$200,11,FALSE)/6.25/1000/1000)*E99*(1-'DB additional information '!$F$94/100))))</f>
        <v/>
      </c>
      <c r="L99" s="386" t="str">
        <f>IF(F99="","",IF(D99="","",IF(F99=2,M99*'DB additional information '!$N$21/100,((VLOOKUP(D99,'DB animal categories'!$C$191:$AH$200,8,FALSE)*VLOOKUP(D99,'DB animal categories'!$C$191:$AH$200,11,FALSE)/6.25/1000/1000-'DB additional information '!$F$91*VLOOKUP(D99,'DB animal categories'!$C$191:$AH$200,7,FALSE)/1000/1000)*E99-K99))))</f>
        <v/>
      </c>
      <c r="M99" s="58" t="str">
        <f>IF(F99=1,VLOOKUP(D99,'DB animal categories'!$C$191:$AM$200,29,FALSE)/1000*E99,IF(F99="","",IF(D99="","",IF(F99=2,VLOOKUP(D99,'DB animal categories'!$C$191:$AH$200,18,FALSE)*E99/1000,K99+L99))))</f>
        <v/>
      </c>
      <c r="N99" s="68" t="str">
        <f>IF(D99="","",IF(F99="","",IF(F99=2,P99-O99,(VLOOKUP(D99,'DB animal categories'!$C$191:$AH$200,8,FALSE)*VLOOKUP(D99,'DB animal categories'!$C$191:$AH$200,12,FALSE)/1000/1000)*E99*(1-'DB additional information '!$F$95/100))))</f>
        <v/>
      </c>
      <c r="O99" s="68" t="str">
        <f>IF(D99="","",IF(F99="","",IF(F99=2,P99*'DB additional information '!$O$21/100,(VLOOKUP(D99,'DB animal categories'!$C$191:$AH$200,8,FALSE)*VLOOKUP(D99,'DB animal categories'!$C$191:$AH$200,12,FALSE)/1000/1000-'DB additional information '!$F$92*VLOOKUP(D99,'DB animal categories'!$C$191:$AH$200,7,FALSE)/1000/1000)*E99-N99)))</f>
        <v/>
      </c>
      <c r="P99" s="380" t="str">
        <f>IF(F99=1,VLOOKUP(D99,'DB animal categories'!$C$191:$AM$200,31,FALSE)/1000*E99,IF(F99="","",IF(D99="","",IF(F99=2,E99*VLOOKUP(D99,'DB animal categories'!$C$191:$AH$200,21,FALSE)/1000,N99+O99))))</f>
        <v/>
      </c>
      <c r="Q99" s="68" t="str">
        <f>IF(F99="","",IF(D99="","",IF(F99=2,S99-R99,(VLOOKUP(D99,'DB animal categories'!$C$191:$AH$200,8,FALSE)*VLOOKUP(D99,'DB animal categories'!$C$191:$AH$200,13,FALSE)/1000/1000)*E99*(1-'DB additional information '!$F$96/100))))</f>
        <v/>
      </c>
      <c r="R99" s="386" t="str">
        <f>IF(F99="","",IF(D99="","",IF(F99=2,S99*'DB additional information '!$P$21/100,(VLOOKUP(D99,'DB animal categories'!$C$191:$AH$200,8,FALSE)*VLOOKUP(D99,'DB animal categories'!$C$191:$AH$200,13,FALSE)/1000/1000-'DB additional information '!$F$93*VLOOKUP(D99,'DB animal categories'!$C$191:$AH$200,7,FALSE)/1000/1000)*E99-Q99)))</f>
        <v/>
      </c>
      <c r="S99" s="58" t="str">
        <f>IF(F99=1,VLOOKUP(D99,'DB animal categories'!$C$191:$AM$200,32,FALSE)/1000*E99,IF(F99="","",IF(D99="","",IF(F99=2,E99*VLOOKUP(D99,'DB animal categories'!$C$191:$AH$200,24,FALSE)/1000,Q99+R99))))</f>
        <v/>
      </c>
      <c r="T99" s="58" t="str">
        <f>IF(D99="","",IF(F99=1,VLOOKUP(D99,'DB animal categories'!$C$191:$AM$200,33,FALSE)*E99,I99/VLOOKUP(D99,'DB animal categories'!$C$191:$AH$200,27,FALSE)*(VLOOKUP(D99,'DB animal categories'!$C$191:$AH$200,25,FALSE)*VLOOKUP(D99,'DB animal categories'!$C$191:$AH$200,26,FALSE)/24)))</f>
        <v/>
      </c>
      <c r="U99" s="58" t="str">
        <f>IF(D99="","",IF(F99=1,VLOOKUP(D99,'DB animal categories'!$C$191:$AM$200,34,FALSE)*E99/1000,M99/VLOOKUP(D99,'DB animal categories'!$C$191:$AH$200,27,FALSE)*(VLOOKUP(D99,'DB animal categories'!$C$191:$AH$200,25,FALSE)*VLOOKUP(D99,'DB animal categories'!$C$191:$AH$200,26,FALSE)/24)))</f>
        <v/>
      </c>
      <c r="V99" s="606">
        <f>IF(K99="",0,L99/M99*U99*'DB technologies'!$AT$11/100)</f>
        <v>0</v>
      </c>
      <c r="W99" s="606">
        <f>IF(K99="",0,(U99-V99)*'DB technologies'!$AU$11/100)</f>
        <v>0</v>
      </c>
      <c r="X99" s="58" t="str">
        <f>IF(D99="","",IF(F99=1,VLOOKUP(D99,'DB animal categories'!$C$191:$AM$200,36,FALSE)*E99/1000,P99/VLOOKUP(D99,'DB animal categories'!$C$191:$AH$200,27,FALSE)*(VLOOKUP(D99,'DB animal categories'!$C$191:$AH$200,25,FALSE)*VLOOKUP(D99,'DB animal categories'!$C$191:$AH$200,26,FALSE)/24)))</f>
        <v/>
      </c>
      <c r="Y99" s="63" t="str">
        <f>IF(D99="","",IF(F99=1,VLOOKUP(D99,'DB animal categories'!$C$191:$AM$200,37,FALSE)*E99/1000,S99/VLOOKUP(D99,'DB animal categories'!$C$191:$AH$200,27,FALSE)*(VLOOKUP(D99,'DB animal categories'!$C$191:$AH$200,25,FALSE)*VLOOKUP(D99,'DB animal categories'!$C$191:$AH$200,26,FALSE)/24)))</f>
        <v/>
      </c>
    </row>
    <row r="100" spans="2:25" x14ac:dyDescent="0.2">
      <c r="B100" s="688"/>
      <c r="C100" s="681"/>
      <c r="D100" s="1416"/>
      <c r="E100" s="1405"/>
      <c r="F100" s="1405"/>
      <c r="G100" s="59" t="str">
        <f>IF(F100=1,"",IF(D100="","",IF(F100=2,I100*VLOOKUP($C$98,'DB additional information '!$X$4:$AB$25,4,FALSE)/100,VLOOKUP(D100,'DB animal categories'!$C$191:$AH$200,8,FALSE)*VLOOKUP(D100,'DB animal categories'!$C$191:$AC$200,9,FALSE)/100*(1-(VLOOKUP(D100,'DB animal categories'!$C$191:$AH$200,10,FALSE)/100))/('DB additional information '!$K$21/100)/1000*E100)))</f>
        <v/>
      </c>
      <c r="H100" s="59" t="str">
        <f>IF(F100=1,"",IF(D100="","",IF(F100=2,I100-G100,G100/'DB additional information '!$M$21)))</f>
        <v/>
      </c>
      <c r="I100" s="58" t="str">
        <f>IF(F100=1,E100*VLOOKUP(D100,'DB animal categories'!$C$191:$AN$200,28,FALSE),IF(D100="","",IF(F100=2,VLOOKUP(D100,'DB animal categories'!$C$191:$AH$200,14,FALSE)*E100,G100+H100)))</f>
        <v/>
      </c>
      <c r="J100" s="380" t="str">
        <f>IF(F100=1,VLOOKUP(D100,'DB animal categories'!$C$191:$AN$200,38,FALSE),IF(F100="","",IF(D100="","",IF(F100=2,VLOOKUP(D100,'DB animal categories'!$C$191:$AN$200,15,FALSE),(G100*'DB additional information '!$K$21/100+H100*'DB additional information '!$L$21/100)/I100*100))))</f>
        <v/>
      </c>
      <c r="K100" s="68" t="str">
        <f>IF(F100="","",IF(D100="","",IF(F100=2,M100-L100,(VLOOKUP(D100,'DB animal categories'!$C$191:$AH$200,8,FALSE)*VLOOKUP(D100,'DB animal categories'!$C$191:$AH$200,11,FALSE)/6.25/1000/1000)*E100*(1-'DB additional information '!$F$94/100))))</f>
        <v/>
      </c>
      <c r="L100" s="386" t="str">
        <f>IF(F100="","",IF(D100="","",IF(F100=2,M100*'DB additional information '!$N$21/100,((VLOOKUP(D100,'DB animal categories'!$C$191:$AH$200,8,FALSE)*VLOOKUP(D100,'DB animal categories'!$C$191:$AH$200,11,FALSE)/6.25/1000/1000-'DB additional information '!$F$91*VLOOKUP(D100,'DB animal categories'!$C$191:$AH$200,7,FALSE)/1000/1000)*E100-K100))))</f>
        <v/>
      </c>
      <c r="M100" s="58" t="str">
        <f>IF(F100=1,VLOOKUP(D100,'DB animal categories'!$C$191:$AM$200,29,FALSE)/1000*E100,IF(F100="","",IF(D100="","",IF(F100=2,VLOOKUP(D100,'DB animal categories'!$C$191:$AH$200,18,FALSE)*E100/1000,K100+L100))))</f>
        <v/>
      </c>
      <c r="N100" s="68" t="str">
        <f>IF(D100="","",IF(F100="","",IF(F100=2,P100-O100,(VLOOKUP(D100,'DB animal categories'!$C$191:$AH$200,8,FALSE)*VLOOKUP(D100,'DB animal categories'!$C$191:$AH$200,12,FALSE)/1000/1000)*E100*(1-'DB additional information '!$F$95/100))))</f>
        <v/>
      </c>
      <c r="O100" s="68" t="str">
        <f>IF(D100="","",IF(F100="","",IF(F100=2,P100*'DB additional information '!$O$21/100,(VLOOKUP(D100,'DB animal categories'!$C$191:$AH$200,8,FALSE)*VLOOKUP(D100,'DB animal categories'!$C$191:$AH$200,12,FALSE)/1000/1000-'DB additional information '!$F$92*VLOOKUP(D100,'DB animal categories'!$C$191:$AH$200,7,FALSE)/1000/1000)*E100-N100)))</f>
        <v/>
      </c>
      <c r="P100" s="380" t="str">
        <f>IF(F100=1,VLOOKUP(D100,'DB animal categories'!$C$191:$AM$200,31,FALSE)/1000*E100,IF(F100="","",IF(D100="","",IF(F100=2,E100*VLOOKUP(D100,'DB animal categories'!$C$191:$AH$200,21,FALSE)/1000,N100+O100))))</f>
        <v/>
      </c>
      <c r="Q100" s="68" t="str">
        <f>IF(F100="","",IF(D100="","",IF(F100=2,S100-R100,(VLOOKUP(D100,'DB animal categories'!$C$191:$AH$200,8,FALSE)*VLOOKUP(D100,'DB animal categories'!$C$191:$AH$200,13,FALSE)/1000/1000)*E100*(1-'DB additional information '!$F$96/100))))</f>
        <v/>
      </c>
      <c r="R100" s="386" t="str">
        <f>IF(F100="","",IF(D100="","",IF(F100=2,S100*'DB additional information '!$P$21/100,(VLOOKUP(D100,'DB animal categories'!$C$191:$AH$200,8,FALSE)*VLOOKUP(D100,'DB animal categories'!$C$191:$AH$200,13,FALSE)/1000/1000-'DB additional information '!$F$93*VLOOKUP(D100,'DB animal categories'!$C$191:$AH$200,7,FALSE)/1000/1000)*E100-Q100)))</f>
        <v/>
      </c>
      <c r="S100" s="58" t="str">
        <f>IF(F100=1,VLOOKUP(D100,'DB animal categories'!$C$191:$AM$200,32,FALSE)/1000*E100,IF(F100="","",IF(D100="","",IF(F100=2,E100*VLOOKUP(D100,'DB animal categories'!$C$191:$AH$200,24,FALSE)/1000,Q100+R100))))</f>
        <v/>
      </c>
      <c r="T100" s="58" t="str">
        <f>IF(D100="","",IF(F100=1,VLOOKUP(D100,'DB animal categories'!$C$191:$AM$200,33,FALSE)*E100,I100/VLOOKUP(D100,'DB animal categories'!$C$191:$AH$200,27,FALSE)*(VLOOKUP(D100,'DB animal categories'!$C$191:$AH$200,25,FALSE)*VLOOKUP(D100,'DB animal categories'!$C$191:$AH$200,26,FALSE)/24)))</f>
        <v/>
      </c>
      <c r="U100" s="58" t="str">
        <f>IF(D100="","",IF(F100=1,VLOOKUP(D100,'DB animal categories'!$C$191:$AM$200,34,FALSE)*E100/1000,M100/VLOOKUP(D100,'DB animal categories'!$C$191:$AH$200,27,FALSE)*(VLOOKUP(D100,'DB animal categories'!$C$191:$AH$200,25,FALSE)*VLOOKUP(D100,'DB animal categories'!$C$191:$AH$200,26,FALSE)/24)))</f>
        <v/>
      </c>
      <c r="V100" s="606">
        <f>IF(K100="",0,L100/M100*U100*'DB technologies'!$AT$11/100)</f>
        <v>0</v>
      </c>
      <c r="W100" s="606">
        <f>IF(K100="",0,(U100-V100)*'DB technologies'!$AU$11/100)</f>
        <v>0</v>
      </c>
      <c r="X100" s="58" t="str">
        <f>IF(D100="","",IF(F100=1,VLOOKUP(D100,'DB animal categories'!$C$191:$AM$200,36,FALSE)*E100/1000,P100/VLOOKUP(D100,'DB animal categories'!$C$191:$AH$200,27,FALSE)*(VLOOKUP(D100,'DB animal categories'!$C$191:$AH$200,25,FALSE)*VLOOKUP(D100,'DB animal categories'!$C$191:$AH$200,26,FALSE)/24)))</f>
        <v/>
      </c>
      <c r="Y100" s="63" t="str">
        <f>IF(D100="","",IF(F100=1,VLOOKUP(D100,'DB animal categories'!$C$191:$AM$200,37,FALSE)*E100/1000,S100/VLOOKUP(D100,'DB animal categories'!$C$191:$AH$200,27,FALSE)*(VLOOKUP(D100,'DB animal categories'!$C$191:$AH$200,25,FALSE)*VLOOKUP(D100,'DB animal categories'!$C$191:$AH$200,26,FALSE)/24)))</f>
        <v/>
      </c>
    </row>
    <row r="101" spans="2:25" x14ac:dyDescent="0.2">
      <c r="B101" s="688"/>
      <c r="C101" s="681"/>
      <c r="D101" s="1416"/>
      <c r="E101" s="1405"/>
      <c r="F101" s="1405"/>
      <c r="G101" s="59" t="str">
        <f>IF(F101=1,"",IF(D101="","",IF(F101=2,I101*VLOOKUP($C$98,'DB additional information '!$X$4:$AB$25,4,FALSE)/100,VLOOKUP(D101,'DB animal categories'!$C$191:$AH$200,8,FALSE)*VLOOKUP(D101,'DB animal categories'!$C$191:$AC$200,9,FALSE)/100*(1-(VLOOKUP(D101,'DB animal categories'!$C$191:$AH$200,10,FALSE)/100))/('DB additional information '!$K$21/100)/1000*E101)))</f>
        <v/>
      </c>
      <c r="H101" s="59" t="str">
        <f>IF(F101=1,"",IF(D101="","",IF(F101=2,I101-G101,G101/'DB additional information '!$M$21)))</f>
        <v/>
      </c>
      <c r="I101" s="58" t="str">
        <f>IF(F101=1,E101*VLOOKUP(D101,'DB animal categories'!$C$191:$AN$200,28,FALSE),IF(D101="","",IF(F101=2,VLOOKUP(D101,'DB animal categories'!$C$191:$AH$200,14,FALSE)*E101,G101+H101)))</f>
        <v/>
      </c>
      <c r="J101" s="380" t="str">
        <f>IF(F101=1,VLOOKUP(D101,'DB animal categories'!$C$191:$AN$200,38,FALSE),IF(F101="","",IF(D101="","",IF(F101=2,VLOOKUP(D101,'DB animal categories'!$C$191:$AN$200,15,FALSE),(G101*'DB additional information '!$K$21/100+H101*'DB additional information '!$L$21/100)/I101*100))))</f>
        <v/>
      </c>
      <c r="K101" s="68" t="str">
        <f>IF(F101="","",IF(D101="","",IF(F101=2,M101-L101,(VLOOKUP(D101,'DB animal categories'!$C$191:$AH$200,8,FALSE)*VLOOKUP(D101,'DB animal categories'!$C$191:$AH$200,11,FALSE)/6.25/1000/1000)*E101*(1-'DB additional information '!$F$94/100))))</f>
        <v/>
      </c>
      <c r="L101" s="386" t="str">
        <f>IF(F101="","",IF(D101="","",IF(F101=2,M101*'DB additional information '!$N$21/100,((VLOOKUP(D101,'DB animal categories'!$C$191:$AH$200,8,FALSE)*VLOOKUP(D101,'DB animal categories'!$C$191:$AH$200,11,FALSE)/6.25/1000/1000-'DB additional information '!$F$91*VLOOKUP(D101,'DB animal categories'!$C$191:$AH$200,7,FALSE)/1000/1000)*E101-K101))))</f>
        <v/>
      </c>
      <c r="M101" s="58" t="str">
        <f>IF(F101=1,VLOOKUP(D101,'DB animal categories'!$C$191:$AM$200,29,FALSE)/1000*E101,IF(F101="","",IF(D101="","",IF(F101=2,VLOOKUP(D101,'DB animal categories'!$C$191:$AH$200,18,FALSE)*E101/1000,K101+L101))))</f>
        <v/>
      </c>
      <c r="N101" s="68" t="str">
        <f>IF(D101="","",IF(F101="","",IF(F101=2,P101-O101,(VLOOKUP(D101,'DB animal categories'!$C$191:$AH$200,8,FALSE)*VLOOKUP(D101,'DB animal categories'!$C$191:$AH$200,12,FALSE)/1000/1000)*E101*(1-'DB additional information '!$F$95/100))))</f>
        <v/>
      </c>
      <c r="O101" s="68" t="str">
        <f>IF(D101="","",IF(F101="","",IF(F101=2,P101*'DB additional information '!$O$21/100,(VLOOKUP(D101,'DB animal categories'!$C$191:$AH$200,8,FALSE)*VLOOKUP(D101,'DB animal categories'!$C$191:$AH$200,12,FALSE)/1000/1000-'DB additional information '!$F$92*VLOOKUP(D101,'DB animal categories'!$C$191:$AH$200,7,FALSE)/1000/1000)*E101-N101)))</f>
        <v/>
      </c>
      <c r="P101" s="380" t="str">
        <f>IF(F101=1,VLOOKUP(D101,'DB animal categories'!$C$191:$AM$200,31,FALSE)/1000*E101,IF(F101="","",IF(D101="","",IF(F101=2,E101*VLOOKUP(D101,'DB animal categories'!$C$191:$AH$200,21,FALSE)/1000,N101+O101))))</f>
        <v/>
      </c>
      <c r="Q101" s="68" t="str">
        <f>IF(F101="","",IF(D101="","",IF(F101=2,S101-R101,(VLOOKUP(D101,'DB animal categories'!$C$191:$AH$200,8,FALSE)*VLOOKUP(D101,'DB animal categories'!$C$191:$AH$200,13,FALSE)/1000/1000)*E101*(1-'DB additional information '!$F$96/100))))</f>
        <v/>
      </c>
      <c r="R101" s="386" t="str">
        <f>IF(F101="","",IF(D101="","",IF(F101=2,S101*'DB additional information '!$P$21/100,(VLOOKUP(D101,'DB animal categories'!$C$191:$AH$200,8,FALSE)*VLOOKUP(D101,'DB animal categories'!$C$191:$AH$200,13,FALSE)/1000/1000-'DB additional information '!$F$93*VLOOKUP(D101,'DB animal categories'!$C$191:$AH$200,7,FALSE)/1000/1000)*E101-Q101)))</f>
        <v/>
      </c>
      <c r="S101" s="58" t="str">
        <f>IF(F101=1,VLOOKUP(D101,'DB animal categories'!$C$191:$AM$200,32,FALSE)/1000*E101,IF(F101="","",IF(D101="","",IF(F101=2,E101*VLOOKUP(D101,'DB animal categories'!$C$191:$AH$200,24,FALSE)/1000,Q101+R101))))</f>
        <v/>
      </c>
      <c r="T101" s="58" t="str">
        <f>IF(D101="","",IF(F101=1,VLOOKUP(D101,'DB animal categories'!$C$191:$AM$200,33,FALSE)*E101,I101/VLOOKUP(D101,'DB animal categories'!$C$191:$AH$200,27,FALSE)*(VLOOKUP(D101,'DB animal categories'!$C$191:$AH$200,25,FALSE)*VLOOKUP(D101,'DB animal categories'!$C$191:$AH$200,26,FALSE)/24)))</f>
        <v/>
      </c>
      <c r="U101" s="58" t="str">
        <f>IF(D101="","",IF(F101=1,VLOOKUP(D101,'DB animal categories'!$C$191:$AM$200,34,FALSE)*E101/1000,M101/VLOOKUP(D101,'DB animal categories'!$C$191:$AH$200,27,FALSE)*(VLOOKUP(D101,'DB animal categories'!$C$191:$AH$200,25,FALSE)*VLOOKUP(D101,'DB animal categories'!$C$191:$AH$200,26,FALSE)/24)))</f>
        <v/>
      </c>
      <c r="V101" s="606">
        <f>IF(K101="",0,L101/M101*U101*'DB technologies'!$AT$11/100)</f>
        <v>0</v>
      </c>
      <c r="W101" s="606">
        <f>IF(K101="",0,(U101-V101)*'DB technologies'!$AU$11/100)</f>
        <v>0</v>
      </c>
      <c r="X101" s="58" t="str">
        <f>IF(D101="","",IF(F101=1,VLOOKUP(D101,'DB animal categories'!$C$191:$AM$200,36,FALSE)*E101/1000,P101/VLOOKUP(D101,'DB animal categories'!$C$191:$AH$200,27,FALSE)*(VLOOKUP(D101,'DB animal categories'!$C$191:$AH$200,25,FALSE)*VLOOKUP(D101,'DB animal categories'!$C$191:$AH$200,26,FALSE)/24)))</f>
        <v/>
      </c>
      <c r="Y101" s="63" t="str">
        <f>IF(D101="","",IF(F101=1,VLOOKUP(D101,'DB animal categories'!$C$191:$AM$200,37,FALSE)*E101/1000,S101/VLOOKUP(D101,'DB animal categories'!$C$191:$AH$200,27,FALSE)*(VLOOKUP(D101,'DB animal categories'!$C$191:$AH$200,25,FALSE)*VLOOKUP(D101,'DB animal categories'!$C$191:$AH$200,26,FALSE)/24)))</f>
        <v/>
      </c>
    </row>
    <row r="102" spans="2:25" ht="12" thickBot="1" x14ac:dyDescent="0.25">
      <c r="B102" s="688"/>
      <c r="C102" s="682"/>
      <c r="D102" s="1420"/>
      <c r="E102" s="1410"/>
      <c r="F102" s="1410"/>
      <c r="G102" s="89" t="str">
        <f>IF(F102=1,"",IF(D102="","",IF(F102=2,I102*VLOOKUP($C$98,'DB additional information '!$X$4:$AB$25,4,FALSE)/100,VLOOKUP(D102,'DB animal categories'!$C$191:$AH$200,8,FALSE)*VLOOKUP(D102,'DB animal categories'!$C$191:$AC$200,9,FALSE)/100*(1-(VLOOKUP(D102,'DB animal categories'!$C$191:$AH$200,10,FALSE)/100))/('DB additional information '!$K$21/100)/1000*E102)))</f>
        <v/>
      </c>
      <c r="H102" s="89" t="str">
        <f>IF(F102=1,"",IF(D102="","",IF(F102=2,I102-G102,G102/'DB additional information '!$M$21)))</f>
        <v/>
      </c>
      <c r="I102" s="122" t="str">
        <f>IF(F102=1,E102*VLOOKUP(D102,'DB animal categories'!$C$191:$AN$200,28,FALSE),IF(D102="","",IF(F102=2,VLOOKUP(D102,'DB animal categories'!$C$191:$AH$200,14,FALSE)*E102,G102+H102)))</f>
        <v/>
      </c>
      <c r="J102" s="381" t="str">
        <f>IF(F102=1,VLOOKUP(D102,'DB animal categories'!$C$191:$AN$200,38,FALSE),IF(F102="","",IF(D102="","",IF(F102=2,VLOOKUP(D102,'DB animal categories'!$C$191:$AN$200,15,FALSE),(G102*'DB additional information '!$K$21/100+H102*'DB additional information '!$L$21/100)/I102*100))))</f>
        <v/>
      </c>
      <c r="K102" s="123" t="str">
        <f>IF(F102="","",IF(D102="","",IF(F102=2,M102-L102,(VLOOKUP(D102,'DB animal categories'!$C$191:$AH$200,8,FALSE)*VLOOKUP(D102,'DB animal categories'!$C$191:$AH$200,11,FALSE)/6.25/1000/1000)*E102*(1-'DB additional information '!$F$94/100))))</f>
        <v/>
      </c>
      <c r="L102" s="562" t="str">
        <f>IF(F102="","",IF(D102="","",IF(F102=2,M102*'DB additional information '!$N$21/100,((VLOOKUP(D102,'DB animal categories'!$C$191:$AH$200,8,FALSE)*VLOOKUP(D102,'DB animal categories'!$C$191:$AH$200,11,FALSE)/6.25/1000/1000-'DB additional information '!$F$91*VLOOKUP(D102,'DB animal categories'!$C$191:$AH$200,7,FALSE)/1000/1000)*E102-K102))))</f>
        <v/>
      </c>
      <c r="M102" s="122" t="str">
        <f>IF(F102=1,VLOOKUP(D102,'DB animal categories'!$C$191:$AM$200,29,FALSE)/1000*E102,IF(F102="","",IF(D102="","",IF(F102=2,VLOOKUP(D102,'DB animal categories'!$C$191:$AH$200,18,FALSE)*E102/1000,K102+L102))))</f>
        <v/>
      </c>
      <c r="N102" s="123" t="str">
        <f>IF(D102="","",IF(F102="","",IF(F102=2,P102-O102,(VLOOKUP(D102,'DB animal categories'!$C$191:$AH$200,8,FALSE)*VLOOKUP(D102,'DB animal categories'!$C$191:$AH$200,12,FALSE)/1000/1000)*E102*(1-'DB additional information '!$F$95/100))))</f>
        <v/>
      </c>
      <c r="O102" s="123" t="str">
        <f>IF(D102="","",IF(F102="","",IF(F102=2,P102*'DB additional information '!$O$21/100,(VLOOKUP(D102,'DB animal categories'!$C$191:$AH$200,8,FALSE)*VLOOKUP(D102,'DB animal categories'!$C$191:$AH$200,12,FALSE)/1000/1000-'DB additional information '!$F$92*VLOOKUP(D102,'DB animal categories'!$C$191:$AH$200,7,FALSE)/1000/1000)*E102-N102)))</f>
        <v/>
      </c>
      <c r="P102" s="381" t="str">
        <f>IF(F102=1,VLOOKUP(D102,'DB animal categories'!$C$191:$AM$200,31,FALSE)/1000*E102,IF(F102="","",IF(D102="","",IF(F102=2,E102*VLOOKUP(D102,'DB animal categories'!$C$191:$AH$200,21,FALSE)/1000,N102+O102))))</f>
        <v/>
      </c>
      <c r="Q102" s="123" t="str">
        <f>IF(F102="","",IF(D102="","",IF(F102=2,S102-R102,(VLOOKUP(D102,'DB animal categories'!$C$191:$AH$200,8,FALSE)*VLOOKUP(D102,'DB animal categories'!$C$191:$AH$200,13,FALSE)/1000/1000)*E102*(1-'DB additional information '!$F$96/100))))</f>
        <v/>
      </c>
      <c r="R102" s="562" t="str">
        <f>IF(F102="","",IF(D102="","",IF(F102=2,S102*'DB additional information '!$P$21/100,(VLOOKUP(D102,'DB animal categories'!$C$191:$AH$200,8,FALSE)*VLOOKUP(D102,'DB animal categories'!$C$191:$AH$200,13,FALSE)/1000/1000-'DB additional information '!$F$93*VLOOKUP(D102,'DB animal categories'!$C$191:$AH$200,7,FALSE)/1000/1000)*E102-Q102)))</f>
        <v/>
      </c>
      <c r="S102" s="122" t="str">
        <f>IF(F102=1,VLOOKUP(D102,'DB animal categories'!$C$191:$AM$200,32,FALSE)/1000*E102,IF(F102="","",IF(D102="","",IF(F102=2,E102*VLOOKUP(D102,'DB animal categories'!$C$191:$AH$200,24,FALSE)/1000,Q102+R102))))</f>
        <v/>
      </c>
      <c r="T102" s="122" t="str">
        <f>IF(D102="","",IF(F102=1,VLOOKUP(D102,'DB animal categories'!$C$191:$AM$200,33,FALSE)*E102,I102/VLOOKUP(D102,'DB animal categories'!$C$191:$AH$200,27,FALSE)*(VLOOKUP(D102,'DB animal categories'!$C$191:$AH$200,25,FALSE)*VLOOKUP(D102,'DB animal categories'!$C$191:$AH$200,26,FALSE)/24)))</f>
        <v/>
      </c>
      <c r="U102" s="122" t="str">
        <f>IF(D102="","",IF(F102=1,VLOOKUP(D102,'DB animal categories'!$C$191:$AM$200,34,FALSE)*E102/1000,M102/VLOOKUP(D102,'DB animal categories'!$C$191:$AH$200,27,FALSE)*(VLOOKUP(D102,'DB animal categories'!$C$191:$AH$200,25,FALSE)*VLOOKUP(D102,'DB animal categories'!$C$191:$AH$200,26,FALSE)/24)))</f>
        <v/>
      </c>
      <c r="V102" s="608">
        <f>IF(K102="",0,L102/M102*U102*'DB technologies'!$AT$11/100)</f>
        <v>0</v>
      </c>
      <c r="W102" s="608">
        <f>IF(K102="",0,(U102-V102)*'DB technologies'!$AU$11/100)</f>
        <v>0</v>
      </c>
      <c r="X102" s="122" t="str">
        <f>IF(D102="","",IF(F102=1,VLOOKUP(D102,'DB animal categories'!$C$191:$AM$200,36,FALSE)*E102/1000,P102/VLOOKUP(D102,'DB animal categories'!$C$191:$AH$200,27,FALSE)*(VLOOKUP(D102,'DB animal categories'!$C$191:$AH$200,25,FALSE)*VLOOKUP(D102,'DB animal categories'!$C$191:$AH$200,26,FALSE)/24)))</f>
        <v/>
      </c>
      <c r="Y102" s="124" t="str">
        <f>IF(D102="","",IF(F102=1,VLOOKUP(D102,'DB animal categories'!$C$191:$AM$200,37,FALSE)*E102/1000,S102/VLOOKUP(D102,'DB animal categories'!$C$191:$AH$200,27,FALSE)*(VLOOKUP(D102,'DB animal categories'!$C$191:$AH$200,25,FALSE)*VLOOKUP(D102,'DB animal categories'!$C$191:$AH$200,26,FALSE)/24)))</f>
        <v/>
      </c>
    </row>
    <row r="103" spans="2:25" x14ac:dyDescent="0.2">
      <c r="B103" s="688"/>
      <c r="C103" s="672" t="s">
        <v>208</v>
      </c>
      <c r="D103" s="1415"/>
      <c r="E103" s="1402"/>
      <c r="F103" s="1402"/>
      <c r="G103" s="59" t="str">
        <f>IF(F103=1,"",IF(D103="","",IF(F103=2,I103*VLOOKUP($C$103,'DB additional information '!$X$4:$AB$25,4,FALSE)/100,VLOOKUP(D103,'DB animal categories'!$C$201:$AH$210,8,FALSE)*VLOOKUP(D103,'DB animal categories'!$C$201:$AC$210,9,FALSE)/100*(1-(VLOOKUP(D103,'DB animal categories'!$C$201:$AH$210,10,FALSE)/100))/('DB additional information '!$K$22/100)/1000*E103)))</f>
        <v/>
      </c>
      <c r="H103" s="59" t="str">
        <f>IF(F103=1,"",IF(D103="","",IF(F103=2,I103-G103,G103/'DB additional information '!$M$22)))</f>
        <v/>
      </c>
      <c r="I103" s="66" t="str">
        <f>IF(F103=1,E103*VLOOKUP(D103,'DB animal categories'!$C$201:$AN$210,28,FALSE),IF(D103="","",IF(F103=2,VLOOKUP(D103,'DB animal categories'!$C$201:$AH$210,14,FALSE)*E103,G103+H103)))</f>
        <v/>
      </c>
      <c r="J103" s="66" t="str">
        <f>IF(F103=1,VLOOKUP(D103,'DB animal categories'!$C$201:$AN$210,38,FALSE),IF(F103="","",IF(D103="","",IF(F103=2,VLOOKUP(D103,'DB animal categories'!$C$201:$AN$210,15,FALSE),(G103*'DB additional information '!$K$22/100+H103*'DB additional information '!$L$22/100)/I103*100))))</f>
        <v/>
      </c>
      <c r="K103" s="74" t="str">
        <f>IF(F103="","",IF(D103="","",IF(F103=2,M103-L103,(VLOOKUP(D103,'DB animal categories'!$C$201:$AH$210,8,FALSE)*VLOOKUP(D103,'DB animal categories'!$C$201:$AH$210,11,FALSE)/6.25/1000/1000)*E103*(1-'DB additional information '!$F$94/100))))</f>
        <v/>
      </c>
      <c r="L103" s="74" t="str">
        <f>IF(F103="","",IF(D103="","",IF(F103=2,M103*'DB additional information '!$N$22/100,((VLOOKUP(D103,'DB animal categories'!$C$201:$AH$210,8,FALSE)*VLOOKUP(D103,'DB animal categories'!$C$201:$AH$210,11,FALSE)/6.25/1000/1000-'DB additional information '!$F$91*VLOOKUP(D103,'DB animal categories'!$C$201:$AH$210,7,FALSE)/1000/1000)*E103-K103))))</f>
        <v/>
      </c>
      <c r="M103" s="66" t="str">
        <f>IF(F103=1,VLOOKUP(D103,'DB animal categories'!$C$201:$AM$210,29,FALSE)/1000*E103,IF(F103="","",IF(D103="","",IF(F103=2,VLOOKUP(D103,'DB animal categories'!$C$201:$AH$210,18,FALSE)*E103/1000,K103+L103))))</f>
        <v/>
      </c>
      <c r="N103" s="74" t="str">
        <f>IF(D103="","",IF(F103="","",IF(F103=2,P103-O103,(VLOOKUP(D103,'DB animal categories'!$C$201:$AH$210,8,FALSE)*VLOOKUP(D103,'DB animal categories'!$C$201:$AH$210,12,FALSE)/1000/1000)*E103*(1-'DB additional information '!$F$95/100))))</f>
        <v/>
      </c>
      <c r="O103" s="74" t="str">
        <f>IF(D103="","",IF(F103="","",IF(F103=2,P103*'DB additional information '!$O$22/100,(VLOOKUP(D103,'DB animal categories'!$C$201:$AH$210,8,FALSE)*VLOOKUP(D103,'DB animal categories'!$C$201:$AH$210,12,FALSE)/1000/1000-'DB additional information '!$F$92*VLOOKUP(D103,'DB animal categories'!$C$201:$AH$210,7,FALSE)/1000/1000)*E103-N103)))</f>
        <v/>
      </c>
      <c r="P103" s="66" t="str">
        <f>IF(F103=1,VLOOKUP(D103,'DB animal categories'!$C$201:$AM$210,31,FALSE)/1000*E103,IF(F103="","",IF(D103="","",IF(F103=2,E103*VLOOKUP(D103,'DB animal categories'!$C$201:$AH$210,21,FALSE)/1000,N103+O103))))</f>
        <v/>
      </c>
      <c r="Q103" s="74" t="str">
        <f>IF(F103="","",IF(D103="","",IF(F103=2,S103-R103,(VLOOKUP(D103,'DB animal categories'!$C$201:$AH$210,8,FALSE)*VLOOKUP(D103,'DB animal categories'!$C$201:$AH$210,13,FALSE)/1000/1000)*E103*(1-'DB additional information '!$F$96/100))))</f>
        <v/>
      </c>
      <c r="R103" s="74" t="str">
        <f>IF(F103="","",IF(D103="","",IF(F103=2,S103*'DB additional information '!$P$22/100,(VLOOKUP(D103,'DB animal categories'!$C$201:$AH$210,8,FALSE)*VLOOKUP(D103,'DB animal categories'!$C$201:$AH$210,13,FALSE)/1000/1000-'DB additional information '!$F$93*VLOOKUP(D103,'DB animal categories'!$C$201:$AH$210,7,FALSE)/1000/1000)*E103-Q103)))</f>
        <v/>
      </c>
      <c r="S103" s="66" t="str">
        <f>IF(F103=1,VLOOKUP(D103,'DB animal categories'!$C$201:$AM$210,32,FALSE)/1000*E103,IF(F103="","",IF(D103="","",IF(F103=2,E103*VLOOKUP(D103,'DB animal categories'!$C$201:$AH$210,24,FALSE)/1000,Q103+R103))))</f>
        <v/>
      </c>
      <c r="T103" s="66" t="str">
        <f>IF(D103="","",IF(F103=1,VLOOKUP(D103,'DB animal categories'!$C$201:$AM$210,33,FALSE)*E103,I103/VLOOKUP(D103,'DB animal categories'!$C$201:$AH$210,27,FALSE)*(VLOOKUP(D103,'DB animal categories'!$C$201:$AH$210,25,FALSE)*VLOOKUP(D103,'DB animal categories'!$C$201:$AH$210,26,FALSE)/24)))</f>
        <v/>
      </c>
      <c r="U103" s="66" t="str">
        <f>IF(D103="","",IF(F103=1,VLOOKUP(D103,'DB animal categories'!$C$201:$AM$210,34,FALSE)*E103/1000,M103/VLOOKUP(D103,'DB animal categories'!$C$201:$AH$210,27,FALSE)*(VLOOKUP(D103,'DB animal categories'!$C$201:$AH$210,25,FALSE)*VLOOKUP(D103,'DB animal categories'!$C$201:$AH$210,26,FALSE)/24)))</f>
        <v/>
      </c>
      <c r="V103" s="607">
        <f>IF(K103="",0,L103/M103*U103*'DB technologies'!$AT$11/100)</f>
        <v>0</v>
      </c>
      <c r="W103" s="607">
        <f>IF(K103="",0,(U103-V103)*'DB technologies'!$AU$11/100)</f>
        <v>0</v>
      </c>
      <c r="X103" s="66" t="str">
        <f>IF(D103="","",IF(F103=1,VLOOKUP(D103,'DB animal categories'!$C$201:$AM$210,36,FALSE)*E103/1000,P103/VLOOKUP(D103,'DB animal categories'!$C$201:$AH$210,27,FALSE)*(VLOOKUP(D103,'DB animal categories'!$C$201:$AH$210,25,FALSE)*VLOOKUP(D103,'DB animal categories'!$C$201:$AH$210,26,FALSE)/24)))</f>
        <v/>
      </c>
      <c r="Y103" s="77" t="str">
        <f>IF(D103="","",IF(F103=1,VLOOKUP(D103,'DB animal categories'!$C$201:$AM$210,37,FALSE)*E103/1000,S103/VLOOKUP(D103,'DB animal categories'!$C$201:$AH$210,27,FALSE)*(VLOOKUP(D103,'DB animal categories'!$C$201:$AH$210,25,FALSE)*VLOOKUP(D103,'DB animal categories'!$C$201:$AH$210,26,FALSE)/24)))</f>
        <v/>
      </c>
    </row>
    <row r="104" spans="2:25" x14ac:dyDescent="0.2">
      <c r="B104" s="688"/>
      <c r="C104" s="681"/>
      <c r="D104" s="1416"/>
      <c r="E104" s="1405"/>
      <c r="F104" s="1405"/>
      <c r="G104" s="59" t="str">
        <f>IF(F104=1,"",IF(D104="","",IF(F104=2,I104*VLOOKUP($C$103,'DB additional information '!$X$4:$AB$25,4,FALSE)/100,VLOOKUP(D104,'DB animal categories'!$C$201:$AH$210,8,FALSE)*VLOOKUP(D104,'DB animal categories'!$C$201:$AC$210,9,FALSE)/100*(1-(VLOOKUP(D104,'DB animal categories'!$C$201:$AH$210,10,FALSE)/100))/('DB additional information '!$K$22/100)/1000*E104)))</f>
        <v/>
      </c>
      <c r="H104" s="59" t="str">
        <f>IF(F104=1,"",IF(D104="","",IF(F104=2,I104-G104,G104/'DB additional information '!$M$22)))</f>
        <v/>
      </c>
      <c r="I104" s="58" t="str">
        <f>IF(F104=1,E104*VLOOKUP(D104,'DB animal categories'!$C$201:$AN$210,28,FALSE),IF(D104="","",IF(F104=2,VLOOKUP(D104,'DB animal categories'!$C$201:$AH$210,14,FALSE)*E104,G104+H104)))</f>
        <v/>
      </c>
      <c r="J104" s="380" t="str">
        <f>IF(F104=1,VLOOKUP(D104,'DB animal categories'!$C$201:$AN$210,38,FALSE),IF(F104="","",IF(D104="","",IF(F104=2,VLOOKUP(D104,'DB animal categories'!$C$201:$AN$210,15,FALSE),(G104*'DB additional information '!$K$22/100+H104*'DB additional information '!$L$22/100)/I104*100))))</f>
        <v/>
      </c>
      <c r="K104" s="68" t="str">
        <f>IF(F104="","",IF(D104="","",IF(F104=2,M104-L104,(VLOOKUP(D104,'DB animal categories'!$C$201:$AH$210,8,FALSE)*VLOOKUP(D104,'DB animal categories'!$C$201:$AH$210,11,FALSE)/6.25/1000/1000)*E104*(1-'DB additional information '!$F$94/100))))</f>
        <v/>
      </c>
      <c r="L104" s="386" t="str">
        <f>IF(F104="","",IF(D104="","",IF(F104=2,M104*'DB additional information '!$N$22/100,((VLOOKUP(D104,'DB animal categories'!$C$201:$AH$210,8,FALSE)*VLOOKUP(D104,'DB animal categories'!$C$201:$AH$210,11,FALSE)/6.25/1000/1000-'DB additional information '!$F$91*VLOOKUP(D104,'DB animal categories'!$C$201:$AH$210,7,FALSE)/1000/1000)*E104-K104))))</f>
        <v/>
      </c>
      <c r="M104" s="58" t="str">
        <f>IF(F104=1,VLOOKUP(D104,'DB animal categories'!$C$201:$AM$210,29,FALSE)/1000*E104,IF(F104="","",IF(D104="","",IF(F104=2,VLOOKUP(D104,'DB animal categories'!$C$201:$AH$210,18,FALSE)*E104/1000,K104+L104))))</f>
        <v/>
      </c>
      <c r="N104" s="68" t="str">
        <f>IF(D104="","",IF(F104="","",IF(F104=2,P104-O104,(VLOOKUP(D104,'DB animal categories'!$C$201:$AH$210,8,FALSE)*VLOOKUP(D104,'DB animal categories'!$C$201:$AH$210,12,FALSE)/1000/1000)*E104*(1-'DB additional information '!$F$95/100))))</f>
        <v/>
      </c>
      <c r="O104" s="68" t="str">
        <f>IF(D104="","",IF(F104="","",IF(F104=2,P104*'DB additional information '!$O$22/100,(VLOOKUP(D104,'DB animal categories'!$C$201:$AH$210,8,FALSE)*VLOOKUP(D104,'DB animal categories'!$C$201:$AH$210,12,FALSE)/1000/1000-'DB additional information '!$F$92*VLOOKUP(D104,'DB animal categories'!$C$201:$AH$210,7,FALSE)/1000/1000)*E104-N104)))</f>
        <v/>
      </c>
      <c r="P104" s="244" t="str">
        <f>IF(F104=1,VLOOKUP(D104,'DB animal categories'!$C$201:$AM$210,31,FALSE)/1000*E104,IF(F104="","",IF(D104="","",IF(F104=2,E104*VLOOKUP(D104,'DB animal categories'!$C$201:$AH$210,21,FALSE)/1000,N104+O104))))</f>
        <v/>
      </c>
      <c r="Q104" s="68" t="str">
        <f>IF(F104="","",IF(D104="","",IF(F104=2,S104-R104,(VLOOKUP(D104,'DB animal categories'!$C$201:$AH$210,8,FALSE)*VLOOKUP(D104,'DB animal categories'!$C$201:$AH$210,13,FALSE)/1000/1000)*E104*(1-'DB additional information '!$F$96/100))))</f>
        <v/>
      </c>
      <c r="R104" s="68" t="str">
        <f>IF(F104="","",IF(D104="","",IF(F104=2,S104*'DB additional information '!$P$22/100,(VLOOKUP(D104,'DB animal categories'!$C$201:$AH$210,8,FALSE)*VLOOKUP(D104,'DB animal categories'!$C$201:$AH$210,13,FALSE)/1000/1000-'DB additional information '!$F$93*VLOOKUP(D104,'DB animal categories'!$C$201:$AH$210,7,FALSE)/1000/1000)*E104-Q104)))</f>
        <v/>
      </c>
      <c r="S104" s="58" t="str">
        <f>IF(F104=1,VLOOKUP(D104,'DB animal categories'!$C$201:$AM$210,32,FALSE)/1000*E104,IF(F104="","",IF(D104="","",IF(F104=2,E104*VLOOKUP(D104,'DB animal categories'!$C$201:$AH$210,24,FALSE)/1000,Q104+R104))))</f>
        <v/>
      </c>
      <c r="T104" s="58" t="str">
        <f>IF(D104="","",IF(F104=1,VLOOKUP(D104,'DB animal categories'!$C$201:$AM$210,33,FALSE)*E104,I104/VLOOKUP(D104,'DB animal categories'!$C$201:$AH$210,27,FALSE)*(VLOOKUP(D104,'DB animal categories'!$C$201:$AH$210,25,FALSE)*VLOOKUP(D104,'DB animal categories'!$C$201:$AH$210,26,FALSE)/24)))</f>
        <v/>
      </c>
      <c r="U104" s="58" t="str">
        <f>IF(D104="","",IF(F104=1,VLOOKUP(D104,'DB animal categories'!$C$201:$AM$210,34,FALSE)*E104/1000,M104/VLOOKUP(D104,'DB animal categories'!$C$201:$AH$210,27,FALSE)*(VLOOKUP(D104,'DB animal categories'!$C$201:$AH$210,25,FALSE)*VLOOKUP(D104,'DB animal categories'!$C$201:$AH$210,26,FALSE)/24)))</f>
        <v/>
      </c>
      <c r="V104" s="606">
        <f>IF(K104="",0,L104/M104*U104*'DB technologies'!$AT$11/100)</f>
        <v>0</v>
      </c>
      <c r="W104" s="606">
        <f>IF(K104="",0,(U104-V104)*'DB technologies'!$AU$11/100)</f>
        <v>0</v>
      </c>
      <c r="X104" s="58" t="str">
        <f>IF(D104="","",IF(F104=1,VLOOKUP(D104,'DB animal categories'!$C$201:$AM$210,36,FALSE)*E104/1000,P104/VLOOKUP(D104,'DB animal categories'!$C$201:$AH$210,27,FALSE)*(VLOOKUP(D104,'DB animal categories'!$C$201:$AH$210,25,FALSE)*VLOOKUP(D104,'DB animal categories'!$C$201:$AH$210,26,FALSE)/24)))</f>
        <v/>
      </c>
      <c r="Y104" s="63" t="str">
        <f>IF(D104="","",IF(F104=1,VLOOKUP(D104,'DB animal categories'!$C$201:$AM$210,37,FALSE)*E104/1000,S104/VLOOKUP(D104,'DB animal categories'!$C$201:$AH$210,27,FALSE)*(VLOOKUP(D104,'DB animal categories'!$C$201:$AH$210,25,FALSE)*VLOOKUP(D104,'DB animal categories'!$C$201:$AH$210,26,FALSE)/24)))</f>
        <v/>
      </c>
    </row>
    <row r="105" spans="2:25" x14ac:dyDescent="0.2">
      <c r="B105" s="688"/>
      <c r="C105" s="681"/>
      <c r="D105" s="1416"/>
      <c r="E105" s="1405"/>
      <c r="F105" s="1405"/>
      <c r="G105" s="59" t="str">
        <f>IF(F105=1,"",IF(D105="","",IF(F105=2,I105*VLOOKUP($C$103,'DB additional information '!$X$4:$AB$25,4,FALSE)/100,VLOOKUP(D105,'DB animal categories'!$C$201:$AH$210,8,FALSE)*VLOOKUP(D105,'DB animal categories'!$C$201:$AC$210,9,FALSE)/100*(1-(VLOOKUP(D105,'DB animal categories'!$C$201:$AH$210,10,FALSE)/100))/('DB additional information '!$K$22/100)/1000*E105)))</f>
        <v/>
      </c>
      <c r="H105" s="59" t="str">
        <f>IF(F105=1,"",IF(D105="","",IF(F105=2,I105-G105,G105/'DB additional information '!$M$22)))</f>
        <v/>
      </c>
      <c r="I105" s="58" t="str">
        <f>IF(F105=1,E105*VLOOKUP(D105,'DB animal categories'!$C$201:$AN$210,28,FALSE),IF(D105="","",IF(F105=2,VLOOKUP(D105,'DB animal categories'!$C$201:$AH$210,14,FALSE)*E105,G105+H105)))</f>
        <v/>
      </c>
      <c r="J105" s="380" t="str">
        <f>IF(F105=1,VLOOKUP(D105,'DB animal categories'!$C$201:$AN$210,38,FALSE),IF(F105="","",IF(D105="","",IF(F105=2,VLOOKUP(D105,'DB animal categories'!$C$201:$AN$210,15,FALSE),(G105*'DB additional information '!$K$22/100+H105*'DB additional information '!$L$22/100)/I105*100))))</f>
        <v/>
      </c>
      <c r="K105" s="68" t="str">
        <f>IF(F105="","",IF(D105="","",IF(F105=2,M105-L105,(VLOOKUP(D105,'DB animal categories'!$C$201:$AH$210,8,FALSE)*VLOOKUP(D105,'DB animal categories'!$C$201:$AH$210,11,FALSE)/6.25/1000/1000)*E105*(1-'DB additional information '!$F$94/100))))</f>
        <v/>
      </c>
      <c r="L105" s="386" t="str">
        <f>IF(F105="","",IF(D105="","",IF(F105=2,M105*'DB additional information '!$N$22/100,((VLOOKUP(D105,'DB animal categories'!$C$201:$AH$210,8,FALSE)*VLOOKUP(D105,'DB animal categories'!$C$201:$AH$210,11,FALSE)/6.25/1000/1000-'DB additional information '!$F$91*VLOOKUP(D105,'DB animal categories'!$C$201:$AH$210,7,FALSE)/1000/1000)*E105-K105))))</f>
        <v/>
      </c>
      <c r="M105" s="58" t="str">
        <f>IF(F105=1,VLOOKUP(D105,'DB animal categories'!$C$201:$AM$210,29,FALSE)/1000*E105,IF(F105="","",IF(D105="","",IF(F105=2,VLOOKUP(D105,'DB animal categories'!$C$201:$AH$210,18,FALSE)*E105/1000,K105+L105))))</f>
        <v/>
      </c>
      <c r="N105" s="68" t="str">
        <f>IF(D105="","",IF(F105="","",IF(F105=2,P105-O105,(VLOOKUP(D105,'DB animal categories'!$C$201:$AH$210,8,FALSE)*VLOOKUP(D105,'DB animal categories'!$C$201:$AH$210,12,FALSE)/1000/1000)*E105*(1-'DB additional information '!$F$95/100))))</f>
        <v/>
      </c>
      <c r="O105" s="68" t="str">
        <f>IF(D105="","",IF(F105="","",IF(F105=2,P105*'DB additional information '!$O$22/100,(VLOOKUP(D105,'DB animal categories'!$C$201:$AH$210,8,FALSE)*VLOOKUP(D105,'DB animal categories'!$C$201:$AH$210,12,FALSE)/1000/1000-'DB additional information '!$F$92*VLOOKUP(D105,'DB animal categories'!$C$201:$AH$210,7,FALSE)/1000/1000)*E105-N105)))</f>
        <v/>
      </c>
      <c r="P105" s="244" t="str">
        <f>IF(F105=1,VLOOKUP(D105,'DB animal categories'!$C$201:$AM$210,31,FALSE)/1000*E105,IF(F105="","",IF(D105="","",IF(F105=2,E105*VLOOKUP(D105,'DB animal categories'!$C$201:$AH$210,21,FALSE)/1000,N105+O105))))</f>
        <v/>
      </c>
      <c r="Q105" s="68" t="str">
        <f>IF(F105="","",IF(D105="","",IF(F105=2,S105-R105,(VLOOKUP(D105,'DB animal categories'!$C$201:$AH$210,8,FALSE)*VLOOKUP(D105,'DB animal categories'!$C$201:$AH$210,13,FALSE)/1000/1000)*E105*(1-'DB additional information '!$F$96/100))))</f>
        <v/>
      </c>
      <c r="R105" s="68" t="str">
        <f>IF(F105="","",IF(D105="","",IF(F105=2,S105*'DB additional information '!$P$22/100,(VLOOKUP(D105,'DB animal categories'!$C$201:$AH$210,8,FALSE)*VLOOKUP(D105,'DB animal categories'!$C$201:$AH$210,13,FALSE)/1000/1000-'DB additional information '!$F$93*VLOOKUP(D105,'DB animal categories'!$C$201:$AH$210,7,FALSE)/1000/1000)*E105-Q105)))</f>
        <v/>
      </c>
      <c r="S105" s="58" t="str">
        <f>IF(F105=1,VLOOKUP(D105,'DB animal categories'!$C$201:$AM$210,32,FALSE)/1000*E105,IF(F105="","",IF(D105="","",IF(F105=2,E105*VLOOKUP(D105,'DB animal categories'!$C$201:$AH$210,24,FALSE)/1000,Q105+R105))))</f>
        <v/>
      </c>
      <c r="T105" s="58" t="str">
        <f>IF(D105="","",IF(F105=1,VLOOKUP(D105,'DB animal categories'!$C$201:$AM$210,33,FALSE)*E105,I105/VLOOKUP(D105,'DB animal categories'!$C$201:$AH$210,27,FALSE)*(VLOOKUP(D105,'DB animal categories'!$C$201:$AH$210,25,FALSE)*VLOOKUP(D105,'DB animal categories'!$C$201:$AH$210,26,FALSE)/24)))</f>
        <v/>
      </c>
      <c r="U105" s="58" t="str">
        <f>IF(D105="","",IF(F105=1,VLOOKUP(D105,'DB animal categories'!$C$201:$AM$210,34,FALSE)*E105/1000,M105/VLOOKUP(D105,'DB animal categories'!$C$201:$AH$210,27,FALSE)*(VLOOKUP(D105,'DB animal categories'!$C$201:$AH$210,25,FALSE)*VLOOKUP(D105,'DB animal categories'!$C$201:$AH$210,26,FALSE)/24)))</f>
        <v/>
      </c>
      <c r="V105" s="606">
        <f>IF(K105="",0,L105/M105*U105*'DB technologies'!$AT$11/100)</f>
        <v>0</v>
      </c>
      <c r="W105" s="606">
        <f>IF(K105="",0,(U105-V105)*'DB technologies'!$AU$11/100)</f>
        <v>0</v>
      </c>
      <c r="X105" s="58" t="str">
        <f>IF(D105="","",IF(F105=1,VLOOKUP(D105,'DB animal categories'!$C$201:$AM$210,36,FALSE)*E105/1000,P105/VLOOKUP(D105,'DB animal categories'!$C$201:$AH$210,27,FALSE)*(VLOOKUP(D105,'DB animal categories'!$C$201:$AH$210,25,FALSE)*VLOOKUP(D105,'DB animal categories'!$C$201:$AH$210,26,FALSE)/24)))</f>
        <v/>
      </c>
      <c r="Y105" s="63" t="str">
        <f>IF(D105="","",IF(F105=1,VLOOKUP(D105,'DB animal categories'!$C$201:$AM$210,37,FALSE)*E105/1000,S105/VLOOKUP(D105,'DB animal categories'!$C$201:$AH$210,27,FALSE)*(VLOOKUP(D105,'DB animal categories'!$C$201:$AH$210,25,FALSE)*VLOOKUP(D105,'DB animal categories'!$C$201:$AH$210,26,FALSE)/24)))</f>
        <v/>
      </c>
    </row>
    <row r="106" spans="2:25" x14ac:dyDescent="0.2">
      <c r="B106" s="688"/>
      <c r="C106" s="681"/>
      <c r="D106" s="1416"/>
      <c r="E106" s="1405"/>
      <c r="F106" s="1405"/>
      <c r="G106" s="59" t="str">
        <f>IF(F106=1,"",IF(D106="","",IF(F106=2,I106*VLOOKUP($C$103,'DB additional information '!$X$4:$AB$25,4,FALSE)/100,VLOOKUP(D106,'DB animal categories'!$C$201:$AH$210,8,FALSE)*VLOOKUP(D106,'DB animal categories'!$C$201:$AC$210,9,FALSE)/100*(1-(VLOOKUP(D106,'DB animal categories'!$C$201:$AH$210,10,FALSE)/100))/('DB additional information '!$K$22/100)/1000*E106)))</f>
        <v/>
      </c>
      <c r="H106" s="59" t="str">
        <f>IF(F106=1,"",IF(D106="","",IF(F106=2,I106-G106,G106/'DB additional information '!$M$22)))</f>
        <v/>
      </c>
      <c r="I106" s="58" t="str">
        <f>IF(F106=1,E106*VLOOKUP(D106,'DB animal categories'!$C$201:$AN$210,28,FALSE),IF(D106="","",IF(F106=2,VLOOKUP(D106,'DB animal categories'!$C$201:$AH$210,14,FALSE)*E106,G106+H106)))</f>
        <v/>
      </c>
      <c r="J106" s="380" t="str">
        <f>IF(F106=1,VLOOKUP(D106,'DB animal categories'!$C$201:$AN$210,38,FALSE),IF(F106="","",IF(D106="","",IF(F106=2,VLOOKUP(D106,'DB animal categories'!$C$201:$AN$210,15,FALSE),(G106*'DB additional information '!$K$22/100+H106*'DB additional information '!$L$22/100)/I106*100))))</f>
        <v/>
      </c>
      <c r="K106" s="68" t="str">
        <f>IF(F106="","",IF(D106="","",IF(F106=2,M106-L106,(VLOOKUP(D106,'DB animal categories'!$C$201:$AH$210,8,FALSE)*VLOOKUP(D106,'DB animal categories'!$C$201:$AH$210,11,FALSE)/6.25/1000/1000)*E106*(1-'DB additional information '!$F$94/100))))</f>
        <v/>
      </c>
      <c r="L106" s="386" t="str">
        <f>IF(F106="","",IF(D106="","",IF(F106=2,M106*'DB additional information '!$N$22/100,((VLOOKUP(D106,'DB animal categories'!$C$201:$AH$210,8,FALSE)*VLOOKUP(D106,'DB animal categories'!$C$201:$AH$210,11,FALSE)/6.25/1000/1000-'DB additional information '!$F$91*VLOOKUP(D106,'DB animal categories'!$C$201:$AH$210,7,FALSE)/1000/1000)*E106-K106))))</f>
        <v/>
      </c>
      <c r="M106" s="58" t="str">
        <f>IF(F106=1,VLOOKUP(D106,'DB animal categories'!$C$201:$AM$210,29,FALSE)/1000*E106,IF(F106="","",IF(D106="","",IF(F106=2,VLOOKUP(D106,'DB animal categories'!$C$201:$AH$210,18,FALSE)*E106/1000,K106+L106))))</f>
        <v/>
      </c>
      <c r="N106" s="68" t="str">
        <f>IF(D106="","",IF(F106="","",IF(F106=2,P106-O106,(VLOOKUP(D106,'DB animal categories'!$C$201:$AH$210,8,FALSE)*VLOOKUP(D106,'DB animal categories'!$C$201:$AH$210,12,FALSE)/1000/1000)*E106*(1-'DB additional information '!$F$95/100))))</f>
        <v/>
      </c>
      <c r="O106" s="68" t="str">
        <f>IF(D106="","",IF(F106="","",IF(F106=2,P106*'DB additional information '!$O$22/100,(VLOOKUP(D106,'DB animal categories'!$C$201:$AH$210,8,FALSE)*VLOOKUP(D106,'DB animal categories'!$C$201:$AH$210,12,FALSE)/1000/1000-'DB additional information '!$F$92*VLOOKUP(D106,'DB animal categories'!$C$201:$AH$210,7,FALSE)/1000/1000)*E106-N106)))</f>
        <v/>
      </c>
      <c r="P106" s="244" t="str">
        <f>IF(F106=1,VLOOKUP(D106,'DB animal categories'!$C$201:$AM$210,31,FALSE)/1000*E106,IF(F106="","",IF(D106="","",IF(F106=2,E106*VLOOKUP(D106,'DB animal categories'!$C$201:$AH$210,21,FALSE)/1000,N106+O106))))</f>
        <v/>
      </c>
      <c r="Q106" s="68" t="str">
        <f>IF(F106="","",IF(D106="","",IF(F106=2,S106-R106,(VLOOKUP(D106,'DB animal categories'!$C$201:$AH$210,8,FALSE)*VLOOKUP(D106,'DB animal categories'!$C$201:$AH$210,13,FALSE)/1000/1000)*E106*(1-'DB additional information '!$F$96/100))))</f>
        <v/>
      </c>
      <c r="R106" s="68" t="str">
        <f>IF(F106="","",IF(D106="","",IF(F106=2,S106*'DB additional information '!$P$22/100,(VLOOKUP(D106,'DB animal categories'!$C$201:$AH$210,8,FALSE)*VLOOKUP(D106,'DB animal categories'!$C$201:$AH$210,13,FALSE)/1000/1000-'DB additional information '!$F$93*VLOOKUP(D106,'DB animal categories'!$C$201:$AH$210,7,FALSE)/1000/1000)*E106-Q106)))</f>
        <v/>
      </c>
      <c r="S106" s="58" t="str">
        <f>IF(F106=1,VLOOKUP(D106,'DB animal categories'!$C$201:$AM$210,32,FALSE)/1000*E106,IF(F106="","",IF(D106="","",IF(F106=2,E106*VLOOKUP(D106,'DB animal categories'!$C$201:$AH$210,24,FALSE)/1000,Q106+R106))))</f>
        <v/>
      </c>
      <c r="T106" s="58" t="str">
        <f>IF(D106="","",IF(F106=1,VLOOKUP(D106,'DB animal categories'!$C$201:$AM$210,33,FALSE)*E106,I106/VLOOKUP(D106,'DB animal categories'!$C$201:$AH$210,27,FALSE)*(VLOOKUP(D106,'DB animal categories'!$C$201:$AH$210,25,FALSE)*VLOOKUP(D106,'DB animal categories'!$C$201:$AH$210,26,FALSE)/24)))</f>
        <v/>
      </c>
      <c r="U106" s="58" t="str">
        <f>IF(D106="","",IF(F106=1,VLOOKUP(D106,'DB animal categories'!$C$201:$AM$210,34,FALSE)*E106/1000,M106/VLOOKUP(D106,'DB animal categories'!$C$201:$AH$210,27,FALSE)*(VLOOKUP(D106,'DB animal categories'!$C$201:$AH$210,25,FALSE)*VLOOKUP(D106,'DB animal categories'!$C$201:$AH$210,26,FALSE)/24)))</f>
        <v/>
      </c>
      <c r="V106" s="606">
        <f>IF(K106="",0,L106/M106*U106*'DB technologies'!$AT$11/100)</f>
        <v>0</v>
      </c>
      <c r="W106" s="606">
        <f>IF(K106="",0,(U106-V106)*'DB technologies'!$AU$11/100)</f>
        <v>0</v>
      </c>
      <c r="X106" s="58" t="str">
        <f>IF(D106="","",IF(F106=1,VLOOKUP(D106,'DB animal categories'!$C$201:$AM$210,36,FALSE)*E106/1000,P106/VLOOKUP(D106,'DB animal categories'!$C$201:$AH$210,27,FALSE)*(VLOOKUP(D106,'DB animal categories'!$C$201:$AH$210,25,FALSE)*VLOOKUP(D106,'DB animal categories'!$C$201:$AH$210,26,FALSE)/24)))</f>
        <v/>
      </c>
      <c r="Y106" s="63" t="str">
        <f>IF(D106="","",IF(F106=1,VLOOKUP(D106,'DB animal categories'!$C$201:$AM$210,37,FALSE)*E106/1000,S106/VLOOKUP(D106,'DB animal categories'!$C$201:$AH$210,27,FALSE)*(VLOOKUP(D106,'DB animal categories'!$C$201:$AH$210,25,FALSE)*VLOOKUP(D106,'DB animal categories'!$C$201:$AH$210,26,FALSE)/24)))</f>
        <v/>
      </c>
    </row>
    <row r="107" spans="2:25" ht="12" thickBot="1" x14ac:dyDescent="0.25">
      <c r="B107" s="688"/>
      <c r="C107" s="682"/>
      <c r="D107" s="1420"/>
      <c r="E107" s="1410"/>
      <c r="F107" s="1410"/>
      <c r="G107" s="89" t="str">
        <f>IF(F107=1,"",IF(D107="","",IF(F107=2,I107*VLOOKUP($C$103,'DB additional information '!$X$4:$AB$25,4,FALSE)/100,VLOOKUP(D107,'DB animal categories'!$C$201:$AH$210,8,FALSE)*VLOOKUP(D107,'DB animal categories'!$C$201:$AC$210,9,FALSE)/100*(1-(VLOOKUP(D107,'DB animal categories'!$C$201:$AH$210,10,FALSE)/100))/('DB additional information '!$K$22/100)/1000*E107)))</f>
        <v/>
      </c>
      <c r="H107" s="89" t="str">
        <f>IF(F107=1,"",IF(D107="","",IF(F107=2,I107-G107,G107/'DB additional information '!$M$22)))</f>
        <v/>
      </c>
      <c r="I107" s="122" t="str">
        <f>IF(F107=1,E107*VLOOKUP(D107,'DB animal categories'!$C$201:$AN$210,28,FALSE),IF(D107="","",IF(F107=2,VLOOKUP(D107,'DB animal categories'!$C$201:$AH$210,14,FALSE)*E107,G107+H107)))</f>
        <v/>
      </c>
      <c r="J107" s="381" t="str">
        <f>IF(F107=1,VLOOKUP(D107,'DB animal categories'!$C$201:$AN$210,38,FALSE),IF(F107="","",IF(D107="","",IF(F107=2,VLOOKUP(D107,'DB animal categories'!$C$201:$AN$210,15,FALSE),(G107*'DB additional information '!$K$22/100+H107*'DB additional information '!$L$22/100)/I107*100))))</f>
        <v/>
      </c>
      <c r="K107" s="123" t="str">
        <f>IF(F107="","",IF(D107="","",IF(F107=2,M107-L107,(VLOOKUP(D107,'DB animal categories'!$C$201:$AH$210,8,FALSE)*VLOOKUP(D107,'DB animal categories'!$C$201:$AH$210,11,FALSE)/6.25/1000/1000)*E107*(1-'DB additional information '!$F$94/100))))</f>
        <v/>
      </c>
      <c r="L107" s="562" t="str">
        <f>IF(F107="","",IF(D107="","",IF(F107=2,M107*'DB additional information '!$N$22/100,((VLOOKUP(D107,'DB animal categories'!$C$201:$AH$210,8,FALSE)*VLOOKUP(D107,'DB animal categories'!$C$201:$AH$210,11,FALSE)/6.25/1000/1000-'DB additional information '!$F$91*VLOOKUP(D107,'DB animal categories'!$C$201:$AH$210,7,FALSE)/1000/1000)*E107-K107))))</f>
        <v/>
      </c>
      <c r="M107" s="122" t="str">
        <f>IF(F107=1,VLOOKUP(D107,'DB animal categories'!$C$201:$AM$210,29,FALSE)/1000*E107,IF(F107="","",IF(D107="","",IF(F107=2,VLOOKUP(D107,'DB animal categories'!$C$201:$AH$210,18,FALSE)*E107/1000,K107+L107))))</f>
        <v/>
      </c>
      <c r="N107" s="123" t="str">
        <f>IF(D107="","",IF(F107="","",IF(F107=2,P107-O107,(VLOOKUP(D107,'DB animal categories'!$C$201:$AH$210,8,FALSE)*VLOOKUP(D107,'DB animal categories'!$C$201:$AH$210,12,FALSE)/1000/1000)*E107*(1-'DB additional information '!$F$95/100))))</f>
        <v/>
      </c>
      <c r="O107" s="123" t="str">
        <f>IF(D107="","",IF(F107="","",IF(F107=2,P107*'DB additional information '!$O$22/100,(VLOOKUP(D107,'DB animal categories'!$C$201:$AH$210,8,FALSE)*VLOOKUP(D107,'DB animal categories'!$C$201:$AH$210,12,FALSE)/1000/1000-'DB additional information '!$F$92*VLOOKUP(D107,'DB animal categories'!$C$201:$AH$210,7,FALSE)/1000/1000)*E107-N107)))</f>
        <v/>
      </c>
      <c r="P107" s="245" t="str">
        <f>IF(F107=1,VLOOKUP(D107,'DB animal categories'!$C$201:$AM$210,31,FALSE)/1000*E107,IF(F107="","",IF(D107="","",IF(F107=2,E107*VLOOKUP(D107,'DB animal categories'!$C$201:$AH$210,21,FALSE)/1000,N107+O107))))</f>
        <v/>
      </c>
      <c r="Q107" s="123" t="str">
        <f>IF(F107="","",IF(D107="","",IF(F107=2,S107-R107,(VLOOKUP(D107,'DB animal categories'!$C$201:$AH$210,8,FALSE)*VLOOKUP(D107,'DB animal categories'!$C$201:$AH$210,13,FALSE)/1000/1000)*E107*(1-'DB additional information '!$F$96/100))))</f>
        <v/>
      </c>
      <c r="R107" s="123" t="str">
        <f>IF(F107="","",IF(D107="","",IF(F107=2,S107*'DB additional information '!$P$22/100,(VLOOKUP(D107,'DB animal categories'!$C$201:$AH$210,8,FALSE)*VLOOKUP(D107,'DB animal categories'!$C$201:$AH$210,13,FALSE)/1000/1000-'DB additional information '!$F$93*VLOOKUP(D107,'DB animal categories'!$C$201:$AH$210,7,FALSE)/1000/1000)*E107-Q107)))</f>
        <v/>
      </c>
      <c r="S107" s="122" t="str">
        <f>IF(F107=1,VLOOKUP(D107,'DB animal categories'!$C$201:$AM$210,32,FALSE)/1000*E107,IF(F107="","",IF(D107="","",IF(F107=2,E107*VLOOKUP(D107,'DB animal categories'!$C$201:$AH$210,24,FALSE)/1000,Q107+R107))))</f>
        <v/>
      </c>
      <c r="T107" s="122" t="str">
        <f>IF(D107="","",IF(F107=1,VLOOKUP(D107,'DB animal categories'!$C$201:$AM$210,33,FALSE)*E107,I107/VLOOKUP(D107,'DB animal categories'!$C$201:$AH$210,27,FALSE)*(VLOOKUP(D107,'DB animal categories'!$C$201:$AH$210,25,FALSE)*VLOOKUP(D107,'DB animal categories'!$C$201:$AH$210,26,FALSE)/24)))</f>
        <v/>
      </c>
      <c r="U107" s="122" t="str">
        <f>IF(D107="","",IF(F107=1,VLOOKUP(D107,'DB animal categories'!$C$201:$AM$210,34,FALSE)*E107/1000,M107/VLOOKUP(D107,'DB animal categories'!$C$201:$AH$210,27,FALSE)*(VLOOKUP(D107,'DB animal categories'!$C$201:$AH$210,25,FALSE)*VLOOKUP(D107,'DB animal categories'!$C$201:$AH$210,26,FALSE)/24)))</f>
        <v/>
      </c>
      <c r="V107" s="608">
        <f>IF(K107="",0,L107/M107*U107*'DB technologies'!$AT$11/100)</f>
        <v>0</v>
      </c>
      <c r="W107" s="608">
        <f>IF(K107="",0,(U107-V107)*'DB technologies'!$AU$11/100)</f>
        <v>0</v>
      </c>
      <c r="X107" s="122" t="str">
        <f>IF(D107="","",IF(F107=1,VLOOKUP(D107,'DB animal categories'!$C$201:$AM$210,36,FALSE)*E107/1000,P107/VLOOKUP(D107,'DB animal categories'!$C$201:$AH$210,27,FALSE)*(VLOOKUP(D107,'DB animal categories'!$C$201:$AH$210,25,FALSE)*VLOOKUP(D107,'DB animal categories'!$C$201:$AH$210,26,FALSE)/24)))</f>
        <v/>
      </c>
      <c r="Y107" s="124" t="str">
        <f>IF(D107="","",IF(F107=1,VLOOKUP(D107,'DB animal categories'!$C$201:$AM$210,37,FALSE)*E107/1000,S107/VLOOKUP(D107,'DB animal categories'!$C$201:$AH$210,27,FALSE)*(VLOOKUP(D107,'DB animal categories'!$C$201:$AH$210,25,FALSE)*VLOOKUP(D107,'DB animal categories'!$C$201:$AH$210,26,FALSE)/24)))</f>
        <v/>
      </c>
    </row>
    <row r="108" spans="2:25" x14ac:dyDescent="0.2">
      <c r="B108" s="688"/>
      <c r="C108" s="672" t="s">
        <v>210</v>
      </c>
      <c r="D108" s="1415"/>
      <c r="E108" s="1402"/>
      <c r="F108" s="1402"/>
      <c r="G108" s="59" t="str">
        <f>IF(F108=1,"",IF(D108="","",IF(F108=2,I108*VLOOKUP($C$108,'DB additional information '!$X$4:$AB$25,4,FALSE)/100,VLOOKUP(D108,'DB animal categories'!$C$211:$AH$220,8,FALSE)*VLOOKUP(D108,'DB animal categories'!$C$211:$AC$220,9,FALSE)/100*(1-(VLOOKUP(D108,'DB animal categories'!$C$211:$AH$220,10,FALSE)/100))/('DB additional information '!$K$23/100)/1000*E108)))</f>
        <v/>
      </c>
      <c r="H108" s="59" t="str">
        <f>IF(F108=1,"",IF(D108="","",IF(F108=2,I108-G108,G108/'DB additional information '!$M$23)))</f>
        <v/>
      </c>
      <c r="I108" s="66" t="str">
        <f>IF(F108=1,E108*VLOOKUP(D108,'DB animal categories'!$C$211:$AN$220,28,FALSE),IF(D108="","",IF(F108=2,VLOOKUP(D108,'DB animal categories'!$C$211:$AH$220,14,FALSE)*E108,G108+H108)))</f>
        <v/>
      </c>
      <c r="J108" s="66" t="str">
        <f>IF(F108=1,VLOOKUP(D108,'DB animal categories'!$C$211:$AN$220,38,FALSE),IF(F108="","",IF(D108="","",IF(F108=2,VLOOKUP(D108,'DB animal categories'!$C$211:$AN$220,15,FALSE),(G108*'DB additional information '!$K$23/100+H108*'DB additional information '!$L$23/100)/I108*100))))</f>
        <v/>
      </c>
      <c r="K108" s="74" t="str">
        <f>IF(F108="","",IF(D108="","",IF(F108=2,M108-L108,(VLOOKUP(D108,'DB animal categories'!$C$211:$AH$220,8,FALSE)*VLOOKUP(D108,'DB animal categories'!$C$211:$AH$220,11,FALSE)/6.25/1000/1000)*E108*(1-'DB additional information '!$F$116/100))))</f>
        <v/>
      </c>
      <c r="L108" s="74" t="str">
        <f>IF(F108="","",IF(D108="","",IF(F108=2,M108*'DB additional information '!$N$23/100,((VLOOKUP(D108,'DB animal categories'!$C$211:$AH$220,8,FALSE)*VLOOKUP(D108,'DB animal categories'!$C$211:$AH$220,11,FALSE)/6.25/1000/1000-'DB additional information '!$F$113*VLOOKUP(D108,'DB animal categories'!$C$211:$AH$220,7,FALSE)/1000/1000)*E108-K108))))</f>
        <v/>
      </c>
      <c r="M108" s="66" t="str">
        <f>IF(F108=1,VLOOKUP(D108,'DB animal categories'!$C$211:$AM$220,29,FALSE)/1000*E108,IF(F108="","",IF(D108="","",IF(F108=2,VLOOKUP(D108,'DB animal categories'!$C$211:$AH$220,18,FALSE)*E108/1000,K108+L108))))</f>
        <v/>
      </c>
      <c r="N108" s="74" t="str">
        <f>IF(D108="","",IF(F108="","",IF(F108=2,P108-O108,(VLOOKUP(D108,'DB animal categories'!$C$211:$AH$220,8,FALSE)*VLOOKUP(D108,'DB animal categories'!$C$211:$AH$220,12,FALSE)/1000/1000)*E108*(1-'DB additional information '!$F$117/100))))</f>
        <v/>
      </c>
      <c r="O108" s="74" t="str">
        <f>IF(D108="","",IF(F108="","",IF(F108=2,P108*'DB additional information '!$O$23/100,(VLOOKUP(D108,'DB animal categories'!$C$211:$AH$220,8,FALSE)*VLOOKUP(D108,'DB animal categories'!$C$211:$AH$220,12,FALSE)/1000/1000-'DB additional information '!$F$114*VLOOKUP(D108,'DB animal categories'!$C$211:$AH$220,7,FALSE)/1000/1000)*E108-N108)))</f>
        <v/>
      </c>
      <c r="P108" s="66" t="str">
        <f>IF(F108=1,VLOOKUP(D108,'DB animal categories'!$C$211:$AM$220,31,FALSE)/1000*E108,IF(F108="","",IF(D108="","",IF(F108=2,E108*VLOOKUP(D108,'DB animal categories'!$C$211:$AH$220,21,FALSE)/1000,N108+O108))))</f>
        <v/>
      </c>
      <c r="Q108" s="74" t="str">
        <f>IF(F108="","",IF(D108="","",IF(F108=2,S108-R108,(VLOOKUP(D108,'DB animal categories'!$C$211:$AH$220,8,FALSE)*VLOOKUP(D108,'DB animal categories'!$C$211:$AH$220,13,FALSE)/1000/1000)*E108*(1-'DB additional information '!$F$118/100))))</f>
        <v/>
      </c>
      <c r="R108" s="74" t="str">
        <f>IF(F108="","",IF(D108="","",IF(F108=2,S108*'DB additional information '!$P$23/100,(VLOOKUP(D108,'DB animal categories'!$C$211:$AH$220,8,FALSE)*VLOOKUP(D108,'DB animal categories'!$C$211:$AH$220,13,FALSE)/1000/1000-'DB additional information '!$F$115*VLOOKUP(D108,'DB animal categories'!$C$211:$AH$220,7,FALSE)/1000/1000)*E108-Q108)))</f>
        <v/>
      </c>
      <c r="S108" s="66" t="str">
        <f>IF(F108=1,VLOOKUP(D108,'DB animal categories'!$C$211:$AM$220,32,FALSE)/1000*E108,IF(F108="","",IF(D108="","",IF(F108=2,E108*VLOOKUP(D108,'DB animal categories'!$C$211:$AH$220,24,FALSE)/1000,Q108+R108))))</f>
        <v/>
      </c>
      <c r="T108" s="66" t="str">
        <f>IF(D108="","",IF(F108=1,VLOOKUP(D108,'DB animal categories'!$C$211:$AM$220,33,FALSE)*E108,I108/VLOOKUP(D108,'DB animal categories'!$C$211:$AH$220,27,FALSE)*(VLOOKUP(D108,'DB animal categories'!$C$211:$AH$220,25,FALSE)*VLOOKUP(D108,'DB animal categories'!$C$211:$AH$220,26,FALSE)/24)))</f>
        <v/>
      </c>
      <c r="U108" s="66" t="str">
        <f>IF(D108="","",IF(F108=1,VLOOKUP(D108,'DB animal categories'!$C$211:$AM$220,34,FALSE)*E108/1000,M108/VLOOKUP(D108,'DB animal categories'!$C$211:$AH$220,27,FALSE)*(VLOOKUP(D108,'DB animal categories'!$C$211:$AH$220,25,FALSE)*VLOOKUP(D108,'DB animal categories'!$C$211:$AH$220,26,FALSE)/24)))</f>
        <v/>
      </c>
      <c r="V108" s="607">
        <f>IF(K108="",0,L108/M108*U108*'DB technologies'!$AT$11/100)</f>
        <v>0</v>
      </c>
      <c r="W108" s="607">
        <f>IF(K108="",0,(U108-V108)*'DB technologies'!$AU$11/100)</f>
        <v>0</v>
      </c>
      <c r="X108" s="66" t="str">
        <f>IF(D108="","",IF(F108=1,VLOOKUP(D108,'DB animal categories'!$C$211:$AM$220,36,FALSE)*E108/1000,P108/VLOOKUP(D108,'DB animal categories'!$C$211:$AH$220,27,FALSE)*(VLOOKUP(D108,'DB animal categories'!$C$211:$AH$220,25,FALSE)*VLOOKUP(D108,'DB animal categories'!$C$211:$AH$220,26,FALSE)/24)))</f>
        <v/>
      </c>
      <c r="Y108" s="77" t="str">
        <f>IF(D108="","",IF(F108=1,VLOOKUP(D108,'DB animal categories'!$C$211:$AM$220,37,FALSE)*E108/1000,S108/VLOOKUP(D108,'DB animal categories'!$C$211:$AH$220,27,FALSE)*(VLOOKUP(D108,'DB animal categories'!$C$211:$AH$220,25,FALSE)*VLOOKUP(D108,'DB animal categories'!$C$211:$AH$220,26,FALSE)/24)))</f>
        <v/>
      </c>
    </row>
    <row r="109" spans="2:25" x14ac:dyDescent="0.2">
      <c r="B109" s="688"/>
      <c r="C109" s="681"/>
      <c r="D109" s="1416"/>
      <c r="E109" s="1411"/>
      <c r="F109" s="1405"/>
      <c r="G109" s="59" t="str">
        <f>IF(F109=1,"",IF(D109="","",IF(F109=2,I109*VLOOKUP($C$108,'DB additional information '!$X$4:$AB$25,4,FALSE)/100,VLOOKUP(D109,'DB animal categories'!$C$211:$AH$220,8,FALSE)*VLOOKUP(D109,'DB animal categories'!$C$211:$AC$220,9,FALSE)/100*(1-(VLOOKUP(D109,'DB animal categories'!$C$211:$AH$220,10,FALSE)/100))/('DB additional information '!$K$23/100)/1000*E109)))</f>
        <v/>
      </c>
      <c r="H109" s="59" t="str">
        <f>IF(F109=1,"",IF(D109="","",IF(F109=2,I109-G109,G109/'DB additional information '!$M$23)))</f>
        <v/>
      </c>
      <c r="I109" s="58" t="str">
        <f>IF(F109=1,E109*VLOOKUP(D109,'DB animal categories'!$C$211:$AN$220,28,FALSE),IF(D109="","",IF(F109=2,VLOOKUP(D109,'DB animal categories'!$C$211:$AH$220,14,FALSE)*E109,G109+H109)))</f>
        <v/>
      </c>
      <c r="J109" s="58" t="str">
        <f>IF(F109=1,VLOOKUP(D109,'DB animal categories'!$C$211:$AN$220,38,FALSE),IF(F109="","",IF(D109="","",IF(F109=2,VLOOKUP(D109,'DB animal categories'!$C$211:$AN$220,15,FALSE),(G109*'DB additional information '!$K$23/100+H109*'DB additional information '!$L$23/100)/I109*100))))</f>
        <v/>
      </c>
      <c r="K109" s="68" t="str">
        <f>IF(F109="","",IF(D109="","",IF(F109=2,M109-L109,(VLOOKUP(D109,'DB animal categories'!$C$211:$AH$220,8,FALSE)*VLOOKUP(D109,'DB animal categories'!$C$211:$AH$220,11,FALSE)/6.25/1000/1000)*E109*(1-'DB additional information '!$F$116/100))))</f>
        <v/>
      </c>
      <c r="L109" s="68" t="str">
        <f>IF(F109="","",IF(D109="","",IF(F109=2,M109*'DB additional information '!$N$23/100,((VLOOKUP(D109,'DB animal categories'!$C$211:$AH$220,8,FALSE)*VLOOKUP(D109,'DB animal categories'!$C$211:$AH$220,11,FALSE)/6.25/1000/1000-'DB additional information '!$F$113*VLOOKUP(D109,'DB animal categories'!$C$211:$AH$220,7,FALSE)/1000/1000)*E109-K109))))</f>
        <v/>
      </c>
      <c r="M109" s="58" t="str">
        <f>IF(F109=1,VLOOKUP(D109,'DB animal categories'!$C$211:$AM$220,29,FALSE)/1000*E109,IF(F109="","",IF(D109="","",IF(F109=2,VLOOKUP(D109,'DB animal categories'!$C$211:$AH$220,18,FALSE)*E109/1000,K109+L109))))</f>
        <v/>
      </c>
      <c r="N109" s="68" t="str">
        <f>IF(D109="","",IF(F109="","",IF(F109=2,P109-O109,(VLOOKUP(D109,'DB animal categories'!$C$211:$AH$220,8,FALSE)*VLOOKUP(D109,'DB animal categories'!$C$211:$AH$220,12,FALSE)/1000/1000)*E109*(1-'DB additional information '!$F$117/100))))</f>
        <v/>
      </c>
      <c r="O109" s="68" t="str">
        <f>IF(D109="","",IF(F109="","",IF(F109=2,P109*'DB additional information '!$O$23/100,(VLOOKUP(D109,'DB animal categories'!$C$211:$AH$220,8,FALSE)*VLOOKUP(D109,'DB animal categories'!$C$211:$AH$220,12,FALSE)/1000/1000-'DB additional information '!$F$114*VLOOKUP(D109,'DB animal categories'!$C$211:$AH$220,7,FALSE)/1000/1000)*E109-N109)))</f>
        <v/>
      </c>
      <c r="P109" s="58" t="str">
        <f>IF(F109=1,VLOOKUP(D109,'DB animal categories'!$C$211:$AM$220,31,FALSE)/1000*E109,IF(F109="","",IF(D109="","",IF(F109=2,E109*VLOOKUP(D109,'DB animal categories'!$C$211:$AH$220,21,FALSE)/1000,N109+O109))))</f>
        <v/>
      </c>
      <c r="Q109" s="68" t="str">
        <f>IF(F109="","",IF(D109="","",IF(F109=2,S109-R109,(VLOOKUP(D109,'DB animal categories'!$C$211:$AH$220,8,FALSE)*VLOOKUP(D109,'DB animal categories'!$C$211:$AH$220,13,FALSE)/1000/1000)*E109*(1-'DB additional information '!$F$118/100))))</f>
        <v/>
      </c>
      <c r="R109" s="68" t="str">
        <f>IF(F109="","",IF(D109="","",IF(F109=2,S109*'DB additional information '!$P$23/100,(VLOOKUP(D109,'DB animal categories'!$C$211:$AH$220,8,FALSE)*VLOOKUP(D109,'DB animal categories'!$C$211:$AH$220,13,FALSE)/1000/1000-'DB additional information '!$F$115*VLOOKUP(D109,'DB animal categories'!$C$211:$AH$220,7,FALSE)/1000/1000)*E109-Q109)))</f>
        <v/>
      </c>
      <c r="S109" s="58" t="str">
        <f>IF(F109=1,VLOOKUP(D109,'DB animal categories'!$C$211:$AM$220,32,FALSE)/1000*E109,IF(F109="","",IF(D109="","",IF(F109=2,E109*VLOOKUP(D109,'DB animal categories'!$C$211:$AH$220,24,FALSE)/1000,Q109+R109))))</f>
        <v/>
      </c>
      <c r="T109" s="58" t="str">
        <f>IF(D109="","",IF(F109=1,VLOOKUP(D109,'DB animal categories'!$C$211:$AM$220,33,FALSE)*E109,I109/VLOOKUP(D109,'DB animal categories'!$C$211:$AH$220,27,FALSE)*(VLOOKUP(D109,'DB animal categories'!$C$211:$AH$220,25,FALSE)*VLOOKUP(D109,'DB animal categories'!$C$211:$AH$220,26,FALSE)/24)))</f>
        <v/>
      </c>
      <c r="U109" s="58" t="str">
        <f>IF(D109="","",IF(F109=1,VLOOKUP(D109,'DB animal categories'!$C$211:$AM$220,34,FALSE)*E109/1000,M109/VLOOKUP(D109,'DB animal categories'!$C$211:$AH$220,27,FALSE)*(VLOOKUP(D109,'DB animal categories'!$C$211:$AH$220,25,FALSE)*VLOOKUP(D109,'DB animal categories'!$C$211:$AH$220,26,FALSE)/24)))</f>
        <v/>
      </c>
      <c r="V109" s="606">
        <f>IF(K109="",0,L109/M109*U109*'DB technologies'!$AT$11/100)</f>
        <v>0</v>
      </c>
      <c r="W109" s="606">
        <f>IF(K109="",0,(U109-V109)*'DB technologies'!$AU$11/100)</f>
        <v>0</v>
      </c>
      <c r="X109" s="58" t="str">
        <f>IF(D109="","",IF(F109=1,VLOOKUP(D109,'DB animal categories'!$C$211:$AM$220,36,FALSE)*E109/1000,P109/VLOOKUP(D109,'DB animal categories'!$C$211:$AH$220,27,FALSE)*(VLOOKUP(D109,'DB animal categories'!$C$211:$AH$220,25,FALSE)*VLOOKUP(D109,'DB animal categories'!$C$211:$AH$220,26,FALSE)/24)))</f>
        <v/>
      </c>
      <c r="Y109" s="63" t="str">
        <f>IF(D109="","",IF(F109=1,VLOOKUP(D109,'DB animal categories'!$C$211:$AM$220,37,FALSE)*E109/1000,S109/VLOOKUP(D109,'DB animal categories'!$C$211:$AH$220,27,FALSE)*(VLOOKUP(D109,'DB animal categories'!$C$211:$AH$220,25,FALSE)*VLOOKUP(D109,'DB animal categories'!$C$211:$AH$220,26,FALSE)/24)))</f>
        <v/>
      </c>
    </row>
    <row r="110" spans="2:25" x14ac:dyDescent="0.2">
      <c r="B110" s="688"/>
      <c r="C110" s="681"/>
      <c r="D110" s="1416"/>
      <c r="E110" s="1411"/>
      <c r="F110" s="1405"/>
      <c r="G110" s="59" t="str">
        <f>IF(F110=1,"",IF(D110="","",IF(F110=2,I110*VLOOKUP($C$108,'DB additional information '!$X$4:$AB$25,4,FALSE)/100,VLOOKUP(D110,'DB animal categories'!$C$211:$AH$220,8,FALSE)*VLOOKUP(D110,'DB animal categories'!$C$211:$AC$220,9,FALSE)/100*(1-(VLOOKUP(D110,'DB animal categories'!$C$211:$AH$220,10,FALSE)/100))/('DB additional information '!$K$23/100)/1000*E110)))</f>
        <v/>
      </c>
      <c r="H110" s="59" t="str">
        <f>IF(F110=1,"",IF(D110="","",IF(F110=2,I110-G110,G110/'DB additional information '!$M$23)))</f>
        <v/>
      </c>
      <c r="I110" s="58" t="str">
        <f>IF(F110=1,E110*VLOOKUP(D110,'DB animal categories'!$C$211:$AN$220,28,FALSE),IF(D110="","",IF(F110=2,VLOOKUP(D110,'DB animal categories'!$C$211:$AH$220,14,FALSE)*E110,G110+H110)))</f>
        <v/>
      </c>
      <c r="J110" s="58" t="str">
        <f>IF(F110=1,VLOOKUP(D110,'DB animal categories'!$C$211:$AN$220,38,FALSE),IF(F110="","",IF(D110="","",IF(F110=2,VLOOKUP(D110,'DB animal categories'!$C$211:$AN$220,15,FALSE),(G110*'DB additional information '!$K$23/100+H110*'DB additional information '!$L$23/100)/I110*100))))</f>
        <v/>
      </c>
      <c r="K110" s="68" t="str">
        <f>IF(F110="","",IF(D110="","",IF(F110=2,M110-L110,(VLOOKUP(D110,'DB animal categories'!$C$211:$AH$220,8,FALSE)*VLOOKUP(D110,'DB animal categories'!$C$211:$AH$220,11,FALSE)/6.25/1000/1000)*E110*(1-'DB additional information '!$F$116/100))))</f>
        <v/>
      </c>
      <c r="L110" s="68" t="str">
        <f>IF(F110="","",IF(D110="","",IF(F110=2,M110*'DB additional information '!$N$23/100,((VLOOKUP(D110,'DB animal categories'!$C$211:$AH$220,8,FALSE)*VLOOKUP(D110,'DB animal categories'!$C$211:$AH$220,11,FALSE)/6.25/1000/1000-'DB additional information '!$F$113*VLOOKUP(D110,'DB animal categories'!$C$211:$AH$220,7,FALSE)/1000/1000)*E110-K110))))</f>
        <v/>
      </c>
      <c r="M110" s="58" t="str">
        <f>IF(F110=1,VLOOKUP(D110,'DB animal categories'!$C$211:$AM$220,29,FALSE)/1000*E110,IF(F110="","",IF(D110="","",IF(F110=2,VLOOKUP(D110,'DB animal categories'!$C$211:$AH$220,18,FALSE)*E110/1000,K110+L110))))</f>
        <v/>
      </c>
      <c r="N110" s="68" t="str">
        <f>IF(D110="","",IF(F110="","",IF(F110=2,P110-O110,(VLOOKUP(D110,'DB animal categories'!$C$211:$AH$220,8,FALSE)*VLOOKUP(D110,'DB animal categories'!$C$211:$AH$220,12,FALSE)/1000/1000)*E110*(1-'DB additional information '!$F$117/100))))</f>
        <v/>
      </c>
      <c r="O110" s="68" t="str">
        <f>IF(D110="","",IF(F110="","",IF(F110=2,P110*'DB additional information '!$O$23/100,(VLOOKUP(D110,'DB animal categories'!$C$211:$AH$220,8,FALSE)*VLOOKUP(D110,'DB animal categories'!$C$211:$AH$220,12,FALSE)/1000/1000-'DB additional information '!$F$114*VLOOKUP(D110,'DB animal categories'!$C$211:$AH$220,7,FALSE)/1000/1000)*E110-N110)))</f>
        <v/>
      </c>
      <c r="P110" s="58" t="str">
        <f>IF(F110=1,VLOOKUP(D110,'DB animal categories'!$C$211:$AM$220,31,FALSE)/1000*E110,IF(F110="","",IF(D110="","",IF(F110=2,E110*VLOOKUP(D110,'DB animal categories'!$C$211:$AH$220,21,FALSE)/1000,N110+O110))))</f>
        <v/>
      </c>
      <c r="Q110" s="68" t="str">
        <f>IF(F110="","",IF(D110="","",IF(F110=2,S110-R110,(VLOOKUP(D110,'DB animal categories'!$C$211:$AH$220,8,FALSE)*VLOOKUP(D110,'DB animal categories'!$C$211:$AH$220,13,FALSE)/1000/1000)*E110*(1-'DB additional information '!$F$118/100))))</f>
        <v/>
      </c>
      <c r="R110" s="68" t="str">
        <f>IF(F110="","",IF(D110="","",IF(F110=2,S110*'DB additional information '!$P$23/100,(VLOOKUP(D110,'DB animal categories'!$C$211:$AH$220,8,FALSE)*VLOOKUP(D110,'DB animal categories'!$C$211:$AH$220,13,FALSE)/1000/1000-'DB additional information '!$F$115*VLOOKUP(D110,'DB animal categories'!$C$211:$AH$220,7,FALSE)/1000/1000)*E110-Q110)))</f>
        <v/>
      </c>
      <c r="S110" s="58" t="str">
        <f>IF(F110=1,VLOOKUP(D110,'DB animal categories'!$C$211:$AM$220,32,FALSE)/1000*E110,IF(F110="","",IF(D110="","",IF(F110=2,E110*VLOOKUP(D110,'DB animal categories'!$C$211:$AH$220,24,FALSE)/1000,Q110+R110))))</f>
        <v/>
      </c>
      <c r="T110" s="58" t="str">
        <f>IF(D110="","",IF(F110=1,VLOOKUP(D110,'DB animal categories'!$C$211:$AM$220,33,FALSE)*E110,I110/VLOOKUP(D110,'DB animal categories'!$C$211:$AH$220,27,FALSE)*(VLOOKUP(D110,'DB animal categories'!$C$211:$AH$220,25,FALSE)*VLOOKUP(D110,'DB animal categories'!$C$211:$AH$220,26,FALSE)/24)))</f>
        <v/>
      </c>
      <c r="U110" s="58" t="str">
        <f>IF(D110="","",IF(F110=1,VLOOKUP(D110,'DB animal categories'!$C$211:$AM$220,34,FALSE)*E110/1000,M110/VLOOKUP(D110,'DB animal categories'!$C$211:$AH$220,27,FALSE)*(VLOOKUP(D110,'DB animal categories'!$C$211:$AH$220,25,FALSE)*VLOOKUP(D110,'DB animal categories'!$C$211:$AH$220,26,FALSE)/24)))</f>
        <v/>
      </c>
      <c r="V110" s="606">
        <f>IF(K110="",0,L110/M110*U110*'DB technologies'!$AT$11/100)</f>
        <v>0</v>
      </c>
      <c r="W110" s="606">
        <f>IF(K110="",0,(U110-V110)*'DB technologies'!$AU$11/100)</f>
        <v>0</v>
      </c>
      <c r="X110" s="58" t="str">
        <f>IF(D110="","",IF(F110=1,VLOOKUP(D110,'DB animal categories'!$C$211:$AM$220,36,FALSE)*E110/1000,P110/VLOOKUP(D110,'DB animal categories'!$C$211:$AH$220,27,FALSE)*(VLOOKUP(D110,'DB animal categories'!$C$211:$AH$220,25,FALSE)*VLOOKUP(D110,'DB animal categories'!$C$211:$AH$220,26,FALSE)/24)))</f>
        <v/>
      </c>
      <c r="Y110" s="63" t="str">
        <f>IF(D110="","",IF(F110=1,VLOOKUP(D110,'DB animal categories'!$C$211:$AM$220,37,FALSE)*E110/1000,S110/VLOOKUP(D110,'DB animal categories'!$C$211:$AH$220,27,FALSE)*(VLOOKUP(D110,'DB animal categories'!$C$211:$AH$220,25,FALSE)*VLOOKUP(D110,'DB animal categories'!$C$211:$AH$220,26,FALSE)/24)))</f>
        <v/>
      </c>
    </row>
    <row r="111" spans="2:25" x14ac:dyDescent="0.2">
      <c r="B111" s="688"/>
      <c r="C111" s="681"/>
      <c r="D111" s="1416"/>
      <c r="E111" s="1411"/>
      <c r="F111" s="1405"/>
      <c r="G111" s="59" t="str">
        <f>IF(F111=1,"",IF(D111="","",IF(F111=2,I111*VLOOKUP($C$108,'DB additional information '!$X$4:$AB$25,4,FALSE)/100,VLOOKUP(D111,'DB animal categories'!$C$211:$AH$220,8,FALSE)*VLOOKUP(D111,'DB animal categories'!$C$211:$AC$220,9,FALSE)/100*(1-(VLOOKUP(D111,'DB animal categories'!$C$211:$AH$220,10,FALSE)/100))/('DB additional information '!$K$23/100)/1000*E111)))</f>
        <v/>
      </c>
      <c r="H111" s="59" t="str">
        <f>IF(F111=1,"",IF(D111="","",IF(F111=2,I111-G111,G111/'DB additional information '!$M$23)))</f>
        <v/>
      </c>
      <c r="I111" s="58" t="str">
        <f>IF(F111=1,E111*VLOOKUP(D111,'DB animal categories'!$C$211:$AN$220,28,FALSE),IF(D111="","",IF(F111=2,VLOOKUP(D111,'DB animal categories'!$C$211:$AH$220,14,FALSE)*E111,G111+H111)))</f>
        <v/>
      </c>
      <c r="J111" s="58" t="str">
        <f>IF(F111=1,VLOOKUP(D111,'DB animal categories'!$C$211:$AN$220,38,FALSE),IF(F111="","",IF(D111="","",IF(F111=2,VLOOKUP(D111,'DB animal categories'!$C$211:$AN$220,15,FALSE),(G111*'DB additional information '!$K$23/100+H111*'DB additional information '!$L$23/100)/I111*100))))</f>
        <v/>
      </c>
      <c r="K111" s="68" t="str">
        <f>IF(F111="","",IF(D111="","",IF(F111=2,M111-L111,(VLOOKUP(D111,'DB animal categories'!$C$211:$AH$220,8,FALSE)*VLOOKUP(D111,'DB animal categories'!$C$211:$AH$220,11,FALSE)/6.25/1000/1000)*E111*(1-'DB additional information '!$F$116/100))))</f>
        <v/>
      </c>
      <c r="L111" s="68" t="str">
        <f>IF(F111="","",IF(D111="","",IF(F111=2,M111*'DB additional information '!$N$23/100,((VLOOKUP(D111,'DB animal categories'!$C$211:$AH$220,8,FALSE)*VLOOKUP(D111,'DB animal categories'!$C$211:$AH$220,11,FALSE)/6.25/1000/1000-'DB additional information '!$F$113*VLOOKUP(D111,'DB animal categories'!$C$211:$AH$220,7,FALSE)/1000/1000)*E111-K111))))</f>
        <v/>
      </c>
      <c r="M111" s="58" t="str">
        <f>IF(F111=1,VLOOKUP(D111,'DB animal categories'!$C$211:$AM$220,29,FALSE)/1000*E111,IF(F111="","",IF(D111="","",IF(F111=2,VLOOKUP(D111,'DB animal categories'!$C$211:$AH$220,18,FALSE)*E111/1000,K111+L111))))</f>
        <v/>
      </c>
      <c r="N111" s="68" t="str">
        <f>IF(D111="","",IF(F111="","",IF(F111=2,P111-O111,(VLOOKUP(D111,'DB animal categories'!$C$211:$AH$220,8,FALSE)*VLOOKUP(D111,'DB animal categories'!$C$211:$AH$220,12,FALSE)/1000/1000)*E111*(1-'DB additional information '!$F$117/100))))</f>
        <v/>
      </c>
      <c r="O111" s="68" t="str">
        <f>IF(D111="","",IF(F111="","",IF(F111=2,P111*'DB additional information '!$O$23/100,(VLOOKUP(D111,'DB animal categories'!$C$211:$AH$220,8,FALSE)*VLOOKUP(D111,'DB animal categories'!$C$211:$AH$220,12,FALSE)/1000/1000-'DB additional information '!$F$114*VLOOKUP(D111,'DB animal categories'!$C$211:$AH$220,7,FALSE)/1000/1000)*E111-N111)))</f>
        <v/>
      </c>
      <c r="P111" s="58" t="str">
        <f>IF(F111=1,VLOOKUP(D111,'DB animal categories'!$C$211:$AM$220,31,FALSE)/1000*E111,IF(F111="","",IF(D111="","",IF(F111=2,E111*VLOOKUP(D111,'DB animal categories'!$C$211:$AH$220,21,FALSE)/1000,N111+O111))))</f>
        <v/>
      </c>
      <c r="Q111" s="68" t="str">
        <f>IF(F111="","",IF(D111="","",IF(F111=2,S111-R111,(VLOOKUP(D111,'DB animal categories'!$C$211:$AH$220,8,FALSE)*VLOOKUP(D111,'DB animal categories'!$C$211:$AH$220,13,FALSE)/1000/1000)*E111*(1-'DB additional information '!$F$118/100))))</f>
        <v/>
      </c>
      <c r="R111" s="68" t="str">
        <f>IF(F111="","",IF(D111="","",IF(F111=2,S111*'DB additional information '!$P$23/100,(VLOOKUP(D111,'DB animal categories'!$C$211:$AH$220,8,FALSE)*VLOOKUP(D111,'DB animal categories'!$C$211:$AH$220,13,FALSE)/1000/1000-'DB additional information '!$F$115*VLOOKUP(D111,'DB animal categories'!$C$211:$AH$220,7,FALSE)/1000/1000)*E111-Q111)))</f>
        <v/>
      </c>
      <c r="S111" s="58" t="str">
        <f>IF(F111=1,VLOOKUP(D111,'DB animal categories'!$C$211:$AM$220,32,FALSE)/1000*E111,IF(F111="","",IF(D111="","",IF(F111=2,E111*VLOOKUP(D111,'DB animal categories'!$C$211:$AH$220,24,FALSE)/1000,Q111+R111))))</f>
        <v/>
      </c>
      <c r="T111" s="58" t="str">
        <f>IF(D111="","",IF(F111=1,VLOOKUP(D111,'DB animal categories'!$C$211:$AM$220,33,FALSE)*E111,I111/VLOOKUP(D111,'DB animal categories'!$C$211:$AH$220,27,FALSE)*(VLOOKUP(D111,'DB animal categories'!$C$211:$AH$220,25,FALSE)*VLOOKUP(D111,'DB animal categories'!$C$211:$AH$220,26,FALSE)/24)))</f>
        <v/>
      </c>
      <c r="U111" s="58" t="str">
        <f>IF(D111="","",IF(F111=1,VLOOKUP(D111,'DB animal categories'!$C$211:$AM$220,34,FALSE)*E111/1000,M111/VLOOKUP(D111,'DB animal categories'!$C$211:$AH$220,27,FALSE)*(VLOOKUP(D111,'DB animal categories'!$C$211:$AH$220,25,FALSE)*VLOOKUP(D111,'DB animal categories'!$C$211:$AH$220,26,FALSE)/24)))</f>
        <v/>
      </c>
      <c r="V111" s="606">
        <f>IF(K111="",0,L111/M111*U111*'DB technologies'!$AT$11/100)</f>
        <v>0</v>
      </c>
      <c r="W111" s="606">
        <f>IF(K111="",0,(U111-V111)*'DB technologies'!$AU$11/100)</f>
        <v>0</v>
      </c>
      <c r="X111" s="58" t="str">
        <f>IF(D111="","",IF(F111=1,VLOOKUP(D111,'DB animal categories'!$C$211:$AM$220,36,FALSE)*E111/1000,P111/VLOOKUP(D111,'DB animal categories'!$C$211:$AH$220,27,FALSE)*(VLOOKUP(D111,'DB animal categories'!$C$211:$AH$220,25,FALSE)*VLOOKUP(D111,'DB animal categories'!$C$211:$AH$220,26,FALSE)/24)))</f>
        <v/>
      </c>
      <c r="Y111" s="63" t="str">
        <f>IF(D111="","",IF(F111=1,VLOOKUP(D111,'DB animal categories'!$C$211:$AM$220,37,FALSE)*E111/1000,S111/VLOOKUP(D111,'DB animal categories'!$C$211:$AH$220,27,FALSE)*(VLOOKUP(D111,'DB animal categories'!$C$211:$AH$220,25,FALSE)*VLOOKUP(D111,'DB animal categories'!$C$211:$AH$220,26,FALSE)/24)))</f>
        <v/>
      </c>
    </row>
    <row r="112" spans="2:25" ht="12" thickBot="1" x14ac:dyDescent="0.25">
      <c r="B112" s="688"/>
      <c r="C112" s="682"/>
      <c r="D112" s="1409"/>
      <c r="E112" s="1412"/>
      <c r="F112" s="1410"/>
      <c r="G112" s="89" t="str">
        <f>IF(F112=1,"",IF(D112="","",IF(F112=2,I112*VLOOKUP($C$108,'DB additional information '!$X$4:$AB$25,4,FALSE)/100,VLOOKUP(D112,'DB animal categories'!$C$211:$AH$220,8,FALSE)*VLOOKUP(D112,'DB animal categories'!$C$211:$AC$220,9,FALSE)/100*(1-(VLOOKUP(D112,'DB animal categories'!$C$211:$AH$220,10,FALSE)/100))/('DB additional information '!$K$23/100)/1000*E112)))</f>
        <v/>
      </c>
      <c r="H112" s="89" t="str">
        <f>IF(F112=1,"",IF(D112="","",IF(F112=2,I112-G112,G112/'DB additional information '!$M$23)))</f>
        <v/>
      </c>
      <c r="I112" s="122" t="str">
        <f>IF(F112=1,E112*VLOOKUP(D112,'DB animal categories'!$C$211:$AN$220,28,FALSE),IF(D112="","",IF(F112=2,VLOOKUP(D112,'DB animal categories'!$C$211:$AH$220,14,FALSE)*E112,G112+H112)))</f>
        <v/>
      </c>
      <c r="J112" s="122" t="str">
        <f>IF(F112=1,VLOOKUP(D112,'DB animal categories'!$C$211:$AN$220,38,FALSE),IF(F112="","",IF(D112="","",IF(F112=2,VLOOKUP(D112,'DB animal categories'!$C$211:$AN$220,15,FALSE),(G112*'DB additional information '!$K$23/100+H112*'DB additional information '!$L$23/100)/I112*100))))</f>
        <v/>
      </c>
      <c r="K112" s="123" t="str">
        <f>IF(F112="","",IF(D112="","",IF(F112=2,M112-L112,(VLOOKUP(D112,'DB animal categories'!$C$211:$AH$220,8,FALSE)*VLOOKUP(D112,'DB animal categories'!$C$211:$AH$220,11,FALSE)/6.25/1000/1000)*E112*(1-'DB additional information '!$F$116/100))))</f>
        <v/>
      </c>
      <c r="L112" s="123" t="str">
        <f>IF(F112="","",IF(D112="","",IF(F112=2,M112*'DB additional information '!$N$23/100,((VLOOKUP(D112,'DB animal categories'!$C$211:$AH$220,8,FALSE)*VLOOKUP(D112,'DB animal categories'!$C$211:$AH$220,11,FALSE)/6.25/1000/1000-'DB additional information '!$F$113*VLOOKUP(D112,'DB animal categories'!$C$211:$AH$220,7,FALSE)/1000/1000)*E112-K112))))</f>
        <v/>
      </c>
      <c r="M112" s="122" t="str">
        <f>IF(F112=1,VLOOKUP(D112,'DB animal categories'!$C$211:$AM$220,29,FALSE)/1000*E112,IF(F112="","",IF(D112="","",IF(F112=2,VLOOKUP(D112,'DB animal categories'!$C$211:$AH$220,18,FALSE)*E112/1000,K112+L112))))</f>
        <v/>
      </c>
      <c r="N112" s="123" t="str">
        <f>IF(D112="","",IF(F112="","",IF(F112=2,P112-O112,(VLOOKUP(D112,'DB animal categories'!$C$211:$AH$220,8,FALSE)*VLOOKUP(D112,'DB animal categories'!$C$211:$AH$220,12,FALSE)/1000/1000)*E112*(1-'DB additional information '!$F$117/100))))</f>
        <v/>
      </c>
      <c r="O112" s="123" t="str">
        <f>IF(D112="","",IF(F112="","",IF(F112=2,P112*'DB additional information '!$O$23/100,(VLOOKUP(D112,'DB animal categories'!$C$211:$AH$220,8,FALSE)*VLOOKUP(D112,'DB animal categories'!$C$211:$AH$220,12,FALSE)/1000/1000-'DB additional information '!$F$114*VLOOKUP(D112,'DB animal categories'!$C$211:$AH$220,7,FALSE)/1000/1000)*E112-N112)))</f>
        <v/>
      </c>
      <c r="P112" s="122" t="str">
        <f>IF(F112=1,VLOOKUP(D112,'DB animal categories'!$C$211:$AM$220,31,FALSE)/1000*E112,IF(F112="","",IF(D112="","",IF(F112=2,E112*VLOOKUP(D112,'DB animal categories'!$C$211:$AH$220,21,FALSE)/1000,N112+O112))))</f>
        <v/>
      </c>
      <c r="Q112" s="123" t="str">
        <f>IF(F112="","",IF(D112="","",IF(F112=2,S112-R112,(VLOOKUP(D112,'DB animal categories'!$C$211:$AH$220,8,FALSE)*VLOOKUP(D112,'DB animal categories'!$C$211:$AH$220,13,FALSE)/1000/1000)*E112*(1-'DB additional information '!$F$118/100))))</f>
        <v/>
      </c>
      <c r="R112" s="123" t="str">
        <f>IF(F112="","",IF(D112="","",IF(F112=2,S112*'DB additional information '!$P$23/100,(VLOOKUP(D112,'DB animal categories'!$C$211:$AH$220,8,FALSE)*VLOOKUP(D112,'DB animal categories'!$C$211:$AH$220,13,FALSE)/1000/1000-'DB additional information '!$F$115*VLOOKUP(D112,'DB animal categories'!$C$211:$AH$220,7,FALSE)/1000/1000)*E112-Q112)))</f>
        <v/>
      </c>
      <c r="S112" s="122" t="str">
        <f>IF(F112=1,VLOOKUP(D112,'DB animal categories'!$C$211:$AM$220,32,FALSE)/1000*E112,IF(F112="","",IF(D112="","",IF(F112=2,E112*VLOOKUP(D112,'DB animal categories'!$C$211:$AH$220,24,FALSE)/1000,Q112+R112))))</f>
        <v/>
      </c>
      <c r="T112" s="122" t="str">
        <f>IF(D112="","",IF(F112=1,VLOOKUP(D112,'DB animal categories'!$C$211:$AM$220,33,FALSE)*E112,I112/VLOOKUP(D112,'DB animal categories'!$C$211:$AH$220,27,FALSE)*(VLOOKUP(D112,'DB animal categories'!$C$211:$AH$220,25,FALSE)*VLOOKUP(D112,'DB animal categories'!$C$211:$AH$220,26,FALSE)/24)))</f>
        <v/>
      </c>
      <c r="U112" s="122" t="str">
        <f>IF(D112="","",IF(F112=1,VLOOKUP(D112,'DB animal categories'!$C$211:$AM$220,34,FALSE)*E112/1000,M112/VLOOKUP(D112,'DB animal categories'!$C$211:$AH$220,27,FALSE)*(VLOOKUP(D112,'DB animal categories'!$C$211:$AH$220,25,FALSE)*VLOOKUP(D112,'DB animal categories'!$C$211:$AH$220,26,FALSE)/24)))</f>
        <v/>
      </c>
      <c r="V112" s="608">
        <f>IF(K112="",0,L112/M112*U112*'DB technologies'!$AT$11/100)</f>
        <v>0</v>
      </c>
      <c r="W112" s="608">
        <f>IF(K112="",0,(U112-V112)*'DB technologies'!$AU$11/100)</f>
        <v>0</v>
      </c>
      <c r="X112" s="122" t="str">
        <f>IF(D112="","",IF(F112=1,VLOOKUP(D112,'DB animal categories'!$C$211:$AM$220,36,FALSE)*E112/1000,P112/VLOOKUP(D112,'DB animal categories'!$C$211:$AH$220,27,FALSE)*(VLOOKUP(D112,'DB animal categories'!$C$211:$AH$220,25,FALSE)*VLOOKUP(D112,'DB animal categories'!$C$211:$AH$220,26,FALSE)/24)))</f>
        <v/>
      </c>
      <c r="Y112" s="124" t="str">
        <f>IF(D112="","",IF(F112=1,VLOOKUP(D112,'DB animal categories'!$C$211:$AM$220,37,FALSE)*E112/1000,S112/VLOOKUP(D112,'DB animal categories'!$C$211:$AH$220,27,FALSE)*(VLOOKUP(D112,'DB animal categories'!$C$211:$AH$220,25,FALSE)*VLOOKUP(D112,'DB animal categories'!$C$211:$AH$220,26,FALSE)/24)))</f>
        <v/>
      </c>
    </row>
    <row r="113" spans="2:27" x14ac:dyDescent="0.2">
      <c r="B113" s="688"/>
      <c r="C113" s="678" t="s">
        <v>226</v>
      </c>
      <c r="D113" s="1401"/>
      <c r="E113" s="1402"/>
      <c r="F113" s="1402"/>
      <c r="G113" s="59" t="str">
        <f>IF(F113=1,"",IF(D113="","",IF(F113=2,I113*VLOOKUP($C$113,'DB additional information '!$X$4:$AB$25,4,FALSE)/100,VLOOKUP(D113,'DB animal categories'!$C$221:$AH$230,8,FALSE)*VLOOKUP(D113,'DB animal categories'!$C$221:$AC$230,9,FALSE)/100*(1-(VLOOKUP(D113,'DB animal categories'!$C$221:$AH$230,10,FALSE)/100))/('DB additional information '!$K$24/100)/1000*E113)))</f>
        <v/>
      </c>
      <c r="H113" s="59" t="str">
        <f>IF(F113=1,"",IF(D113="","",IF(F113=2,I113-G113,G113/'DB additional information '!$M$24)))</f>
        <v/>
      </c>
      <c r="I113" s="66" t="str">
        <f>IF(F113=1,E113*VLOOKUP(D113,'DB animal categories'!$C$221:$AN$230,28,FALSE),IF(D113="","",IF(F113=2,VLOOKUP(D113,'DB animal categories'!$C$221:$AH$230,14,FALSE)*E113,G113+H113)))</f>
        <v/>
      </c>
      <c r="J113" s="66" t="str">
        <f>IF(F113=1,VLOOKUP(D113,'DB animal categories'!$C$221:$AN$230,38,FALSE),IF(F113="","",IF(D113="","",IF(F113=2,VLOOKUP(D113,'DB animal categories'!$C$221:$AN$230,15,FALSE),(G113*'DB additional information '!$K$24/100+H113*'DB additional information '!$L$24/100)/I113*100))))</f>
        <v/>
      </c>
      <c r="K113" s="72" t="str">
        <f>IF(F113="","",IF(D113="","",IF(F113=2,M113-L113,(VLOOKUP(D113,'DB animal categories'!$C$221:$AH$230,8,FALSE)*VLOOKUP(D113,'DB animal categories'!$C$221:$AH$230,11,FALSE)/6.25/1000/1000)*E113*(1-'DB additional information '!$F$94/100))))</f>
        <v/>
      </c>
      <c r="L113" s="67" t="str">
        <f>IF(F113="","",IF(D113="","",IF(F113=2,M113*'DB additional information '!$N$24/100,((VLOOKUP(D113,'DB animal categories'!$C$221:$AH$230,8,FALSE)*VLOOKUP(D113,'DB animal categories'!$C$221:$AH$230,11,FALSE)/6.25/1000/1000-'DB additional information '!$F$91*VLOOKUP(D113,'DB animal categories'!$C$221:$AH$230,7,FALSE)/1000/1000)*E113-K113))))</f>
        <v/>
      </c>
      <c r="M113" s="61" t="str">
        <f>IF(F113=1,VLOOKUP(D113,'DB animal categories'!$C$221:$AM$230,29,FALSE)/1000*E113,IF(F113="","",IF(D113="","",IF(F113=2,VLOOKUP(D113,'DB animal categories'!$C$221:$AH$230,18,FALSE)*E113/1000,K113+L113))))</f>
        <v/>
      </c>
      <c r="N113" s="72" t="str">
        <f>IF(D113="","",IF(F113="","",IF(F113=2,P113-O113,(VLOOKUP(D113,'DB animal categories'!$C$221:$AH$230,8,FALSE)*VLOOKUP(D113,'DB animal categories'!$C$221:$AH$230,12,FALSE)/1000/1000)*E113*(1-'DB additional information '!$F$95/100))))</f>
        <v/>
      </c>
      <c r="O113" s="67" t="str">
        <f>IF(D113="","",IF(F113="","",IF(F113=2,P113*'DB additional information '!$O$24/100,(VLOOKUP(D113,'DB animal categories'!$C$221:$AH$230,8,FALSE)*VLOOKUP(D113,'DB animal categories'!$C$221:$AH$230,12,FALSE)/1000/1000-'DB additional information '!$F$92*VLOOKUP(D113,'DB animal categories'!$C$221:$AH$230,7,FALSE)/1000/1000)*E113-N113)))</f>
        <v/>
      </c>
      <c r="P113" s="61" t="str">
        <f>IF(F113=1,VLOOKUP(D113,'DB animal categories'!$C$221:$AM$230,31,FALSE)/1000*E113,IF(F113="","",IF(D113="","",IF(F113=2,E113*VLOOKUP(D113,'DB animal categories'!$C$221:$AH$230,21,FALSE)/1000,N113+O113))))</f>
        <v/>
      </c>
      <c r="Q113" s="72" t="str">
        <f>IF(F113="","",IF(D113="","",IF(F113=2,S113-R113,(VLOOKUP(D113,'DB animal categories'!$C$221:$AH$230,8,FALSE)*VLOOKUP(D113,'DB animal categories'!$C$221:$AH$230,13,FALSE)/1000/1000)*E113*(1-'DB additional information '!$F$96/100))))</f>
        <v/>
      </c>
      <c r="R113" s="67" t="str">
        <f>IF(F113="","",IF(D113="","",IF(F113=2,S113*'DB additional information '!$P$24/100,(VLOOKUP(D113,'DB animal categories'!$C$221:$AH$230,8,FALSE)*VLOOKUP(D113,'DB animal categories'!$C$221:$AH$230,13,FALSE)/1000/1000-'DB additional information '!$F$93*VLOOKUP(D113,'DB animal categories'!$C$221:$AH$230,7,FALSE)/1000/1000)*E113-Q113)))</f>
        <v/>
      </c>
      <c r="S113" s="61" t="str">
        <f>IF(F113=1,VLOOKUP(D113,'DB animal categories'!$C$221:$AM$230,32,FALSE)/1000*E113,IF(F113="","",IF(D113="","",IF(F113=2,E113*VLOOKUP(D113,'DB animal categories'!$C$221:$AH$230,24,FALSE)/1000,Q113+R113))))</f>
        <v/>
      </c>
      <c r="T113" s="66" t="str">
        <f>IF(D113="","",IF(F113=1,VLOOKUP(D113,'DB animal categories'!$C$221:$AM$230,33,FALSE)*E113,I113/VLOOKUP(D113,'DB animal categories'!$C$221:$AH$230,27,FALSE)*(VLOOKUP(D113,'DB animal categories'!$C$221:$AH$230,25,FALSE)*VLOOKUP(D113,'DB animal categories'!$C$221:$AH$230,26,FALSE)/24)))</f>
        <v/>
      </c>
      <c r="U113" s="66" t="str">
        <f>IF(D113="","",IF(F113=1,VLOOKUP(D113,'DB animal categories'!$C$221:$AM$230,34,FALSE)*E113/1000,M113/VLOOKUP(D113,'DB animal categories'!$C$221:$AH$230,27,FALSE)*(VLOOKUP(D113,'DB animal categories'!$C$221:$AH$230,25,FALSE)*VLOOKUP(D113,'DB animal categories'!$C$221:$AH$230,26,FALSE)/24)))</f>
        <v/>
      </c>
      <c r="V113" s="607">
        <f>IF(K113="",0,L113/M113*U113*'DB technologies'!$AT$11/100)</f>
        <v>0</v>
      </c>
      <c r="W113" s="607">
        <f>IF(K113="",0,(U113-V113)*'DB technologies'!$AU$11/100)</f>
        <v>0</v>
      </c>
      <c r="X113" s="66" t="str">
        <f>IF(D113="","",IF(F113=1,VLOOKUP(D113,'DB animal categories'!$C$221:$AM$230,36,FALSE)*E113/1000,P113/VLOOKUP(D113,'DB animal categories'!$C$221:$AH$230,27,FALSE)*(VLOOKUP(D113,'DB animal categories'!$C$221:$AH$230,25,FALSE)*VLOOKUP(D113,'DB animal categories'!$C$221:$AH$230,26,FALSE)/24)))</f>
        <v/>
      </c>
      <c r="Y113" s="77" t="str">
        <f>IF(D113="","",IF(F113=1,VLOOKUP(D113,'DB animal categories'!$C$221:$AM$230,37,FALSE)*E113/1000,S113/VLOOKUP(D113,'DB animal categories'!$C$221:$AH$230,27,FALSE)*(VLOOKUP(D113,'DB animal categories'!$C$221:$AH$230,25,FALSE)*VLOOKUP(D113,'DB animal categories'!$C$221:$AH$230,26,FALSE)/24)))</f>
        <v/>
      </c>
    </row>
    <row r="114" spans="2:27" x14ac:dyDescent="0.2">
      <c r="B114" s="688"/>
      <c r="C114" s="690"/>
      <c r="D114" s="1404"/>
      <c r="E114" s="1411"/>
      <c r="F114" s="1405"/>
      <c r="G114" s="59" t="str">
        <f>IF(F114=1,"",IF(D114="","",IF(F114=2,I114*VLOOKUP($C$113,'DB additional information '!$X$4:$AB$25,4,FALSE)/100,VLOOKUP(D114,'DB animal categories'!$C$221:$AH$230,8,FALSE)*VLOOKUP(D114,'DB animal categories'!$C$221:$AC$230,9,FALSE)/100*(1-(VLOOKUP(D114,'DB animal categories'!$C$221:$AH$230,10,FALSE)/100))/('DB additional information '!$K$24/100)/1000*E114)))</f>
        <v/>
      </c>
      <c r="H114" s="59" t="str">
        <f>IF(F114=1,"",IF(D114="","",IF(F114=2,I114-G114,G114/'DB additional information '!$M$24)))</f>
        <v/>
      </c>
      <c r="I114" s="58" t="str">
        <f>IF(F114=1,E114*VLOOKUP(D114,'DB animal categories'!$C$221:$AN$230,28,FALSE),IF(D114="","",IF(F114=2,VLOOKUP(D114,'DB animal categories'!$C$221:$AH$230,14,FALSE)*E114,G114+H114)))</f>
        <v/>
      </c>
      <c r="J114" s="58" t="str">
        <f>IF(F114=1,VLOOKUP(D114,'DB animal categories'!$C$221:$AN$230,38,FALSE),IF(F114="","",IF(D114="","",IF(F114=2,VLOOKUP(D114,'DB animal categories'!$C$221:$AN$230,15,FALSE),(G114*'DB additional information '!$K$24/100+H114*'DB additional information '!$L$24/100)/I114*100))))</f>
        <v/>
      </c>
      <c r="K114" s="68" t="str">
        <f>IF(F114="","",IF(D114="","",IF(F114=2,M114-L114,(VLOOKUP(D114,'DB animal categories'!$C$221:$AH$230,8,FALSE)*VLOOKUP(D114,'DB animal categories'!$C$221:$AH$230,11,FALSE)/6.25/1000/1000)*E114*(1-'DB additional information '!$F$94/100))))</f>
        <v/>
      </c>
      <c r="L114" s="68" t="str">
        <f>IF(F114="","",IF(D114="","",IF(F114=2,M114*'DB additional information '!$N$24/100,((VLOOKUP(D114,'DB animal categories'!$C$221:$AH$230,8,FALSE)*VLOOKUP(D114,'DB animal categories'!$C$221:$AH$230,11,FALSE)/6.25/1000/1000-'DB additional information '!$F$91*VLOOKUP(D114,'DB animal categories'!$C$221:$AH$230,7,FALSE)/1000/1000)*E114-K114))))</f>
        <v/>
      </c>
      <c r="M114" s="58" t="str">
        <f>IF(F114=1,VLOOKUP(D114,'DB animal categories'!$C$221:$AM$230,29,FALSE)/1000*E114,IF(F114="","",IF(D114="","",IF(F114=2,VLOOKUP(D114,'DB animal categories'!$C$221:$AH$230,18,FALSE)*E114/1000,K114+L114))))</f>
        <v/>
      </c>
      <c r="N114" s="68" t="str">
        <f>IF(D114="","",IF(F114="","",IF(F114=2,P114-O114,(VLOOKUP(D114,'DB animal categories'!$C$221:$AH$230,8,FALSE)*VLOOKUP(D114,'DB animal categories'!$C$221:$AH$230,12,FALSE)/1000/1000)*E114*(1-'DB additional information '!$F$95/100))))</f>
        <v/>
      </c>
      <c r="O114" s="68" t="str">
        <f>IF(D114="","",IF(F114="","",IF(F114=2,P114*'DB additional information '!$O$24/100,(VLOOKUP(D114,'DB animal categories'!$C$221:$AH$230,8,FALSE)*VLOOKUP(D114,'DB animal categories'!$C$221:$AH$230,12,FALSE)/1000/1000-'DB additional information '!$F$92*VLOOKUP(D114,'DB animal categories'!$C$221:$AH$230,7,FALSE)/1000/1000)*E114-N114)))</f>
        <v/>
      </c>
      <c r="P114" s="58" t="str">
        <f>IF(F114=1,VLOOKUP(D114,'DB animal categories'!$C$221:$AM$230,31,FALSE)/1000*E114,IF(F114="","",IF(D114="","",IF(F114=2,E114*VLOOKUP(D114,'DB animal categories'!$C$221:$AH$230,21,FALSE)/1000,N114+O114))))</f>
        <v/>
      </c>
      <c r="Q114" s="68" t="str">
        <f>IF(F114="","",IF(D114="","",IF(F114=2,S114-R114,(VLOOKUP(D114,'DB animal categories'!$C$221:$AH$230,8,FALSE)*VLOOKUP(D114,'DB animal categories'!$C$221:$AH$230,13,FALSE)/1000/1000)*E114*(1-'DB additional information '!$F$96/100))))</f>
        <v/>
      </c>
      <c r="R114" s="68" t="str">
        <f>IF(F114="","",IF(D114="","",IF(F114=2,S114*'DB additional information '!$P$24/100,(VLOOKUP(D114,'DB animal categories'!$C$221:$AH$230,8,FALSE)*VLOOKUP(D114,'DB animal categories'!$C$221:$AH$230,13,FALSE)/1000/1000-'DB additional information '!$F$93*VLOOKUP(D114,'DB animal categories'!$C$221:$AH$230,7,FALSE)/1000/1000)*E114-Q114)))</f>
        <v/>
      </c>
      <c r="S114" s="58" t="str">
        <f>IF(F114=1,VLOOKUP(D114,'DB animal categories'!$C$221:$AM$230,32,FALSE)/1000*E114,IF(F114="","",IF(D114="","",IF(F114=2,E114*VLOOKUP(D114,'DB animal categories'!$C$221:$AH$230,24,FALSE)/1000,Q114+R114))))</f>
        <v/>
      </c>
      <c r="T114" s="58" t="str">
        <f>IF(D114="","",IF(F114=1,VLOOKUP(D114,'DB animal categories'!$C$221:$AM$230,33,FALSE)*E114,I114/VLOOKUP(D114,'DB animal categories'!$C$221:$AH$230,27,FALSE)*(VLOOKUP(D114,'DB animal categories'!$C$221:$AH$230,25,FALSE)*VLOOKUP(D114,'DB animal categories'!$C$221:$AH$230,26,FALSE)/24)))</f>
        <v/>
      </c>
      <c r="U114" s="58" t="str">
        <f>IF(D114="","",IF(F114=1,VLOOKUP(D114,'DB animal categories'!$C$221:$AM$230,34,FALSE)*E114/1000,M114/VLOOKUP(D114,'DB animal categories'!$C$221:$AH$230,27,FALSE)*(VLOOKUP(D114,'DB animal categories'!$C$221:$AH$230,25,FALSE)*VLOOKUP(D114,'DB animal categories'!$C$221:$AH$230,26,FALSE)/24)))</f>
        <v/>
      </c>
      <c r="V114" s="606">
        <f>IF(K114="",0,L114/M114*U114*'DB technologies'!$AT$11/100)</f>
        <v>0</v>
      </c>
      <c r="W114" s="606">
        <f>IF(K114="",0,(U114-V114)*'DB technologies'!$AU$11/100)</f>
        <v>0</v>
      </c>
      <c r="X114" s="58" t="str">
        <f>IF(D114="","",IF(F114=1,VLOOKUP(D114,'DB animal categories'!$C$221:$AM$230,36,FALSE)*E114/1000,P114/VLOOKUP(D114,'DB animal categories'!$C$221:$AH$230,27,FALSE)*(VLOOKUP(D114,'DB animal categories'!$C$221:$AH$230,25,FALSE)*VLOOKUP(D114,'DB animal categories'!$C$221:$AH$230,26,FALSE)/24)))</f>
        <v/>
      </c>
      <c r="Y114" s="63" t="str">
        <f>IF(D114="","",IF(F114=1,VLOOKUP(D114,'DB animal categories'!$C$221:$AM$230,37,FALSE)*E114/1000,S114/VLOOKUP(D114,'DB animal categories'!$C$221:$AH$230,27,FALSE)*(VLOOKUP(D114,'DB animal categories'!$C$221:$AH$230,25,FALSE)*VLOOKUP(D114,'DB animal categories'!$C$221:$AH$230,26,FALSE)/24)))</f>
        <v/>
      </c>
    </row>
    <row r="115" spans="2:27" x14ac:dyDescent="0.2">
      <c r="B115" s="688"/>
      <c r="C115" s="690"/>
      <c r="D115" s="1404"/>
      <c r="E115" s="1411"/>
      <c r="F115" s="1405"/>
      <c r="G115" s="59" t="str">
        <f>IF(F115=1,"",IF(D115="","",IF(F115=2,I115*VLOOKUP($C$113,'DB additional information '!$X$4:$AB$25,4,FALSE)/100,VLOOKUP(D115,'DB animal categories'!$C$221:$AH$230,8,FALSE)*VLOOKUP(D115,'DB animal categories'!$C$221:$AC$230,9,FALSE)/100*(1-(VLOOKUP(D115,'DB animal categories'!$C$221:$AH$230,10,FALSE)/100))/('DB additional information '!$K$24/100)/1000*E115)))</f>
        <v/>
      </c>
      <c r="H115" s="59" t="str">
        <f>IF(F115=1,"",IF(D115="","",IF(F115=2,I115-G115,G115/'DB additional information '!$M$24)))</f>
        <v/>
      </c>
      <c r="I115" s="58" t="str">
        <f>IF(F115=1,E115*VLOOKUP(D115,'DB animal categories'!$C$221:$AN$230,28,FALSE),IF(D115="","",IF(F115=2,VLOOKUP(D115,'DB animal categories'!$C$221:$AH$230,14,FALSE)*E115,G115+H115)))</f>
        <v/>
      </c>
      <c r="J115" s="58" t="str">
        <f>IF(F115=1,VLOOKUP(D115,'DB animal categories'!$C$221:$AN$230,38,FALSE),IF(F115="","",IF(D115="","",IF(F115=2,VLOOKUP(D115,'DB animal categories'!$C$221:$AN$230,15,FALSE),(G115*'DB additional information '!$K$24/100+H115*'DB additional information '!$L$24/100)/I115*100))))</f>
        <v/>
      </c>
      <c r="K115" s="68" t="str">
        <f>IF(F115="","",IF(D115="","",IF(F115=2,M115-L115,(VLOOKUP(D115,'DB animal categories'!$C$221:$AH$230,8,FALSE)*VLOOKUP(D115,'DB animal categories'!$C$221:$AH$230,11,FALSE)/6.25/1000/1000)*E115*(1-'DB additional information '!$F$94/100))))</f>
        <v/>
      </c>
      <c r="L115" s="68" t="str">
        <f>IF(F115="","",IF(D115="","",IF(F115=2,M115*'DB additional information '!$N$24/100,((VLOOKUP(D115,'DB animal categories'!$C$221:$AH$230,8,FALSE)*VLOOKUP(D115,'DB animal categories'!$C$221:$AH$230,11,FALSE)/6.25/1000/1000-'DB additional information '!$F$91*VLOOKUP(D115,'DB animal categories'!$C$221:$AH$230,7,FALSE)/1000/1000)*E115-K115))))</f>
        <v/>
      </c>
      <c r="M115" s="58" t="str">
        <f>IF(F115=1,VLOOKUP(D115,'DB animal categories'!$C$221:$AM$230,29,FALSE)/1000*E115,IF(F115="","",IF(D115="","",IF(F115=2,VLOOKUP(D115,'DB animal categories'!$C$221:$AH$230,18,FALSE)*E115/1000,K115+L115))))</f>
        <v/>
      </c>
      <c r="N115" s="68" t="str">
        <f>IF(D115="","",IF(F115="","",IF(F115=2,P115-O115,(VLOOKUP(D115,'DB animal categories'!$C$221:$AH$230,8,FALSE)*VLOOKUP(D115,'DB animal categories'!$C$221:$AH$230,12,FALSE)/1000/1000)*E115*(1-'DB additional information '!$F$95/100))))</f>
        <v/>
      </c>
      <c r="O115" s="68" t="str">
        <f>IF(D115="","",IF(F115="","",IF(F115=2,P115*'DB additional information '!$O$24/100,(VLOOKUP(D115,'DB animal categories'!$C$221:$AH$230,8,FALSE)*VLOOKUP(D115,'DB animal categories'!$C$221:$AH$230,12,FALSE)/1000/1000-'DB additional information '!$F$92*VLOOKUP(D115,'DB animal categories'!$C$221:$AH$230,7,FALSE)/1000/1000)*E115-N115)))</f>
        <v/>
      </c>
      <c r="P115" s="58" t="str">
        <f>IF(F115=1,VLOOKUP(D115,'DB animal categories'!$C$221:$AM$230,31,FALSE)/1000*E115,IF(F115="","",IF(D115="","",IF(F115=2,E115*VLOOKUP(D115,'DB animal categories'!$C$221:$AH$230,21,FALSE)/1000,N115+O115))))</f>
        <v/>
      </c>
      <c r="Q115" s="68" t="str">
        <f>IF(F115="","",IF(D115="","",IF(F115=2,S115-R115,(VLOOKUP(D115,'DB animal categories'!$C$221:$AH$230,8,FALSE)*VLOOKUP(D115,'DB animal categories'!$C$221:$AH$230,13,FALSE)/1000/1000)*E115*(1-'DB additional information '!$F$96/100))))</f>
        <v/>
      </c>
      <c r="R115" s="68" t="str">
        <f>IF(F115="","",IF(D115="","",IF(F115=2,S115*'DB additional information '!$P$24/100,(VLOOKUP(D115,'DB animal categories'!$C$221:$AH$230,8,FALSE)*VLOOKUP(D115,'DB animal categories'!$C$221:$AH$230,13,FALSE)/1000/1000-'DB additional information '!$F$93*VLOOKUP(D115,'DB animal categories'!$C$221:$AH$230,7,FALSE)/1000/1000)*E115-Q115)))</f>
        <v/>
      </c>
      <c r="S115" s="58" t="str">
        <f>IF(F115=1,VLOOKUP(D115,'DB animal categories'!$C$221:$AM$230,32,FALSE)/1000*E115,IF(F115="","",IF(D115="","",IF(F115=2,E115*VLOOKUP(D115,'DB animal categories'!$C$221:$AH$230,24,FALSE)/1000,Q115+R115))))</f>
        <v/>
      </c>
      <c r="T115" s="58" t="str">
        <f>IF(D115="","",IF(F115=1,VLOOKUP(D115,'DB animal categories'!$C$221:$AM$230,33,FALSE)*E115,I115/VLOOKUP(D115,'DB animal categories'!$C$221:$AH$230,27,FALSE)*(VLOOKUP(D115,'DB animal categories'!$C$221:$AH$230,25,FALSE)*VLOOKUP(D115,'DB animal categories'!$C$221:$AH$230,26,FALSE)/24)))</f>
        <v/>
      </c>
      <c r="U115" s="58" t="str">
        <f>IF(D115="","",IF(F115=1,VLOOKUP(D115,'DB animal categories'!$C$221:$AM$230,34,FALSE)*E115/1000,M115/VLOOKUP(D115,'DB animal categories'!$C$221:$AH$230,27,FALSE)*(VLOOKUP(D115,'DB animal categories'!$C$221:$AH$230,25,FALSE)*VLOOKUP(D115,'DB animal categories'!$C$221:$AH$230,26,FALSE)/24)))</f>
        <v/>
      </c>
      <c r="V115" s="606">
        <f>IF(K115="",0,L115/M115*U115*'DB technologies'!$AT$11/100)</f>
        <v>0</v>
      </c>
      <c r="W115" s="606">
        <f>IF(K115="",0,(U115-V115)*'DB technologies'!$AU$11/100)</f>
        <v>0</v>
      </c>
      <c r="X115" s="58" t="str">
        <f>IF(D115="","",IF(F115=1,VLOOKUP(D115,'DB animal categories'!$C$221:$AM$230,36,FALSE)*E115/1000,P115/VLOOKUP(D115,'DB animal categories'!$C$221:$AH$230,27,FALSE)*(VLOOKUP(D115,'DB animal categories'!$C$221:$AH$230,25,FALSE)*VLOOKUP(D115,'DB animal categories'!$C$221:$AH$230,26,FALSE)/24)))</f>
        <v/>
      </c>
      <c r="Y115" s="63" t="str">
        <f>IF(D115="","",IF(F115=1,VLOOKUP(D115,'DB animal categories'!$C$221:$AM$230,37,FALSE)*E115/1000,S115/VLOOKUP(D115,'DB animal categories'!$C$221:$AH$230,27,FALSE)*(VLOOKUP(D115,'DB animal categories'!$C$221:$AH$230,25,FALSE)*VLOOKUP(D115,'DB animal categories'!$C$221:$AH$230,26,FALSE)/24)))</f>
        <v/>
      </c>
    </row>
    <row r="116" spans="2:27" x14ac:dyDescent="0.2">
      <c r="B116" s="688"/>
      <c r="C116" s="690"/>
      <c r="D116" s="1404"/>
      <c r="E116" s="1411"/>
      <c r="F116" s="1405"/>
      <c r="G116" s="59" t="str">
        <f>IF(F116=1,"",IF(D116="","",IF(F116=2,I116*VLOOKUP($C$113,'DB additional information '!$X$4:$AB$25,4,FALSE)/100,VLOOKUP(D116,'DB animal categories'!$C$221:$AH$230,8,FALSE)*VLOOKUP(D116,'DB animal categories'!$C$221:$AC$230,9,FALSE)/100*(1-(VLOOKUP(D116,'DB animal categories'!$C$221:$AH$230,10,FALSE)/100))/('DB additional information '!$K$24/100)/1000*E116)))</f>
        <v/>
      </c>
      <c r="H116" s="59" t="str">
        <f>IF(F116=1,"",IF(D116="","",IF(F116=2,I116-G116,G116/'DB additional information '!$M$24)))</f>
        <v/>
      </c>
      <c r="I116" s="58" t="str">
        <f>IF(F116=1,E116*VLOOKUP(D116,'DB animal categories'!$C$221:$AN$230,28,FALSE),IF(D116="","",IF(F116=2,VLOOKUP(D116,'DB animal categories'!$C$221:$AH$230,14,FALSE)*E116,G116+H116)))</f>
        <v/>
      </c>
      <c r="J116" s="58" t="str">
        <f>IF(F116=1,VLOOKUP(D116,'DB animal categories'!$C$221:$AN$230,38,FALSE),IF(F116="","",IF(D116="","",IF(F116=2,VLOOKUP(D116,'DB animal categories'!$C$221:$AN$230,15,FALSE),(G116*'DB additional information '!$K$24/100+H116*'DB additional information '!$L$24/100)/I116*100))))</f>
        <v/>
      </c>
      <c r="K116" s="68" t="str">
        <f>IF(F116="","",IF(D116="","",IF(F116=2,M116-L116,(VLOOKUP(D116,'DB animal categories'!$C$221:$AH$230,8,FALSE)*VLOOKUP(D116,'DB animal categories'!$C$221:$AH$230,11,FALSE)/6.25/1000/1000)*E116*(1-'DB additional information '!$F$94/100))))</f>
        <v/>
      </c>
      <c r="L116" s="68" t="str">
        <f>IF(F116="","",IF(D116="","",IF(F116=2,M116*'DB additional information '!$N$24/100,((VLOOKUP(D116,'DB animal categories'!$C$221:$AH$230,8,FALSE)*VLOOKUP(D116,'DB animal categories'!$C$221:$AH$230,11,FALSE)/6.25/1000/1000-'DB additional information '!$F$91*VLOOKUP(D116,'DB animal categories'!$C$221:$AH$230,7,FALSE)/1000/1000)*E116-K116))))</f>
        <v/>
      </c>
      <c r="M116" s="58" t="str">
        <f>IF(F116=1,VLOOKUP(D116,'DB animal categories'!$C$221:$AM$230,29,FALSE)/1000*E116,IF(F116="","",IF(D116="","",IF(F116=2,VLOOKUP(D116,'DB animal categories'!$C$221:$AH$230,18,FALSE)*E116/1000,K116+L116))))</f>
        <v/>
      </c>
      <c r="N116" s="68" t="str">
        <f>IF(D116="","",IF(F116="","",IF(F116=2,P116-O116,(VLOOKUP(D116,'DB animal categories'!$C$221:$AH$230,8,FALSE)*VLOOKUP(D116,'DB animal categories'!$C$221:$AH$230,12,FALSE)/1000/1000)*E116*(1-'DB additional information '!$F$95/100))))</f>
        <v/>
      </c>
      <c r="O116" s="68" t="str">
        <f>IF(D116="","",IF(F116="","",IF(F116=2,P116*'DB additional information '!$O$24/100,(VLOOKUP(D116,'DB animal categories'!$C$221:$AH$230,8,FALSE)*VLOOKUP(D116,'DB animal categories'!$C$221:$AH$230,12,FALSE)/1000/1000-'DB additional information '!$F$92*VLOOKUP(D116,'DB animal categories'!$C$221:$AH$230,7,FALSE)/1000/1000)*E116-N116)))</f>
        <v/>
      </c>
      <c r="P116" s="58" t="str">
        <f>IF(F116=1,VLOOKUP(D116,'DB animal categories'!$C$221:$AM$230,31,FALSE)/1000*E116,IF(F116="","",IF(D116="","",IF(F116=2,E116*VLOOKUP(D116,'DB animal categories'!$C$221:$AH$230,21,FALSE)/1000,N116+O116))))</f>
        <v/>
      </c>
      <c r="Q116" s="68" t="str">
        <f>IF(F116="","",IF(D116="","",IF(F116=2,S116-R116,(VLOOKUP(D116,'DB animal categories'!$C$221:$AH$230,8,FALSE)*VLOOKUP(D116,'DB animal categories'!$C$221:$AH$230,13,FALSE)/1000/1000)*E116*(1-'DB additional information '!$F$96/100))))</f>
        <v/>
      </c>
      <c r="R116" s="68" t="str">
        <f>IF(F116="","",IF(D116="","",IF(F116=2,S116*'DB additional information '!$P$24/100,(VLOOKUP(D116,'DB animal categories'!$C$221:$AH$230,8,FALSE)*VLOOKUP(D116,'DB animal categories'!$C$221:$AH$230,13,FALSE)/1000/1000-'DB additional information '!$F$93*VLOOKUP(D116,'DB animal categories'!$C$221:$AH$230,7,FALSE)/1000/1000)*E116-Q116)))</f>
        <v/>
      </c>
      <c r="S116" s="58" t="str">
        <f>IF(F116=1,VLOOKUP(D116,'DB animal categories'!$C$221:$AM$230,32,FALSE)/1000*E116,IF(F116="","",IF(D116="","",IF(F116=2,E116*VLOOKUP(D116,'DB animal categories'!$C$221:$AH$230,24,FALSE)/1000,Q116+R116))))</f>
        <v/>
      </c>
      <c r="T116" s="58" t="str">
        <f>IF(D116="","",IF(F116=1,VLOOKUP(D116,'DB animal categories'!$C$221:$AM$230,33,FALSE)*E116,I116/VLOOKUP(D116,'DB animal categories'!$C$221:$AH$230,27,FALSE)*(VLOOKUP(D116,'DB animal categories'!$C$221:$AH$230,25,FALSE)*VLOOKUP(D116,'DB animal categories'!$C$221:$AH$230,26,FALSE)/24)))</f>
        <v/>
      </c>
      <c r="U116" s="58" t="str">
        <f>IF(D116="","",IF(F116=1,VLOOKUP(D116,'DB animal categories'!$C$221:$AM$230,34,FALSE)*E116/1000,M116/VLOOKUP(D116,'DB animal categories'!$C$221:$AH$230,27,FALSE)*(VLOOKUP(D116,'DB animal categories'!$C$221:$AH$230,25,FALSE)*VLOOKUP(D116,'DB animal categories'!$C$221:$AH$230,26,FALSE)/24)))</f>
        <v/>
      </c>
      <c r="V116" s="606">
        <f>IF(K116="",0,L116/M116*U116*'DB technologies'!$AT$11/100)</f>
        <v>0</v>
      </c>
      <c r="W116" s="606">
        <f>IF(K116="",0,(U116-V116)*'DB technologies'!$AU$11/100)</f>
        <v>0</v>
      </c>
      <c r="X116" s="58" t="str">
        <f>IF(D116="","",IF(F116=1,VLOOKUP(D116,'DB animal categories'!$C$221:$AM$230,36,FALSE)*E116/1000,P116/VLOOKUP(D116,'DB animal categories'!$C$221:$AH$230,27,FALSE)*(VLOOKUP(D116,'DB animal categories'!$C$221:$AH$230,25,FALSE)*VLOOKUP(D116,'DB animal categories'!$C$221:$AH$230,26,FALSE)/24)))</f>
        <v/>
      </c>
      <c r="Y116" s="63" t="str">
        <f>IF(D116="","",IF(F116=1,VLOOKUP(D116,'DB animal categories'!$C$221:$AM$230,37,FALSE)*E116/1000,S116/VLOOKUP(D116,'DB animal categories'!$C$221:$AH$230,27,FALSE)*(VLOOKUP(D116,'DB animal categories'!$C$221:$AH$230,25,FALSE)*VLOOKUP(D116,'DB animal categories'!$C$221:$AH$230,26,FALSE)/24)))</f>
        <v/>
      </c>
    </row>
    <row r="117" spans="2:27" ht="12" thickBot="1" x14ac:dyDescent="0.25">
      <c r="B117" s="689"/>
      <c r="C117" s="691"/>
      <c r="D117" s="1409"/>
      <c r="E117" s="1412"/>
      <c r="F117" s="1410"/>
      <c r="G117" s="89" t="str">
        <f>IF(F117=1,"",IF(D117="","",IF(F117=2,I117*VLOOKUP($C$113,'DB additional information '!$X$4:$AB$25,4,FALSE)/100,VLOOKUP(D117,'DB animal categories'!$C$221:$AH$230,8,FALSE)*VLOOKUP(D117,'DB animal categories'!$C$221:$AC$230,9,FALSE)/100*(1-(VLOOKUP(D117,'DB animal categories'!$C$221:$AH$230,10,FALSE)/100))/('DB additional information '!$K$24/100)/1000*E117)))</f>
        <v/>
      </c>
      <c r="H117" s="89" t="str">
        <f>IF(F117=1,"",IF(D117="","",IF(F117=2,I117-G117,G117/'DB additional information '!$M$24)))</f>
        <v/>
      </c>
      <c r="I117" s="122" t="str">
        <f>IF(F117=1,E117*VLOOKUP(D117,'DB animal categories'!$C$221:$AN$230,28,FALSE),IF(D117="","",IF(F117=2,VLOOKUP(D117,'DB animal categories'!$C$221:$AH$230,14,FALSE)*E117,G117+H117)))</f>
        <v/>
      </c>
      <c r="J117" s="122" t="str">
        <f>IF(F117=1,VLOOKUP(D117,'DB animal categories'!$C$221:$AN$230,38,FALSE),IF(F117="","",IF(D117="","",IF(F117=2,VLOOKUP(D117,'DB animal categories'!$C$221:$AN$230,15,FALSE),(G117*'DB additional information '!$K$24/100+H117*'DB additional information '!$L$24/100)/I117*100))))</f>
        <v/>
      </c>
      <c r="K117" s="123" t="str">
        <f>IF(F117="","",IF(D117="","",IF(F117=2,M117-L117,(VLOOKUP(D117,'DB animal categories'!$C$221:$AH$230,8,FALSE)*VLOOKUP(D117,'DB animal categories'!$C$221:$AH$230,11,FALSE)/6.25/1000/1000)*E117*(1-'DB additional information '!$F$94/100))))</f>
        <v/>
      </c>
      <c r="L117" s="123" t="str">
        <f>IF(F117="","",IF(D117="","",IF(F117=2,M117*'DB additional information '!$N$24/100,((VLOOKUP(D117,'DB animal categories'!$C$221:$AH$230,8,FALSE)*VLOOKUP(D117,'DB animal categories'!$C$221:$AH$230,11,FALSE)/6.25/1000/1000-'DB additional information '!$F$91*VLOOKUP(D117,'DB animal categories'!$C$221:$AH$230,7,FALSE)/1000/1000)*E117-K117))))</f>
        <v/>
      </c>
      <c r="M117" s="122" t="str">
        <f>IF(F117=1,VLOOKUP(D117,'DB animal categories'!$C$221:$AM$230,29,FALSE)/1000*E117,IF(F117="","",IF(D117="","",IF(F117=2,VLOOKUP(D117,'DB animal categories'!$C$221:$AH$230,18,FALSE)*E117/1000,K117+L117))))</f>
        <v/>
      </c>
      <c r="N117" s="123" t="str">
        <f>IF(D117="","",IF(F117="","",IF(F117=2,P117-O117,(VLOOKUP(D117,'DB animal categories'!$C$221:$AH$230,8,FALSE)*VLOOKUP(D117,'DB animal categories'!$C$221:$AH$230,12,FALSE)/1000/1000)*E117*(1-'DB additional information '!$F$95/100))))</f>
        <v/>
      </c>
      <c r="O117" s="123" t="str">
        <f>IF(D117="","",IF(F117="","",IF(F117=2,P117*'DB additional information '!$O$24/100,(VLOOKUP(D117,'DB animal categories'!$C$221:$AH$230,8,FALSE)*VLOOKUP(D117,'DB animal categories'!$C$221:$AH$230,12,FALSE)/1000/1000-'DB additional information '!$F$92*VLOOKUP(D117,'DB animal categories'!$C$221:$AH$230,7,FALSE)/1000/1000)*E117-N117)))</f>
        <v/>
      </c>
      <c r="P117" s="122" t="str">
        <f>IF(F117=1,VLOOKUP(D117,'DB animal categories'!$C$221:$AM$230,31,FALSE)/1000*E117,IF(F117="","",IF(D117="","",IF(F117=2,E117*VLOOKUP(D117,'DB animal categories'!$C$221:$AH$230,21,FALSE)/1000,N117+O117))))</f>
        <v/>
      </c>
      <c r="Q117" s="123" t="str">
        <f>IF(F117="","",IF(D117="","",IF(F117=2,S117-R117,(VLOOKUP(D117,'DB animal categories'!$C$221:$AH$230,8,FALSE)*VLOOKUP(D117,'DB animal categories'!$C$221:$AH$230,13,FALSE)/1000/1000)*E117*(1-'DB additional information '!$F$96/100))))</f>
        <v/>
      </c>
      <c r="R117" s="123" t="str">
        <f>IF(F117="","",IF(D117="","",IF(F117=2,S117*'DB additional information '!$P$24/100,(VLOOKUP(D117,'DB animal categories'!$C$221:$AH$230,8,FALSE)*VLOOKUP(D117,'DB animal categories'!$C$221:$AH$230,13,FALSE)/1000/1000-'DB additional information '!$F$93*VLOOKUP(D117,'DB animal categories'!$C$221:$AH$230,7,FALSE)/1000/1000)*E117-Q117)))</f>
        <v/>
      </c>
      <c r="S117" s="122" t="str">
        <f>IF(F117=1,VLOOKUP(D117,'DB animal categories'!$C$221:$AM$230,32,FALSE)/1000*E117,IF(F117="","",IF(D117="","",IF(F117=2,E117*VLOOKUP(D117,'DB animal categories'!$C$221:$AH$230,24,FALSE)/1000,Q117+R117))))</f>
        <v/>
      </c>
      <c r="T117" s="122" t="str">
        <f>IF(D117="","",IF(F117=1,VLOOKUP(D117,'DB animal categories'!$C$221:$AM$230,33,FALSE)*E117,I117/VLOOKUP(D117,'DB animal categories'!$C$221:$AH$230,27,FALSE)*(VLOOKUP(D117,'DB animal categories'!$C$221:$AH$230,25,FALSE)*VLOOKUP(D117,'DB animal categories'!$C$221:$AH$230,26,FALSE)/24)))</f>
        <v/>
      </c>
      <c r="U117" s="122" t="str">
        <f>IF(D117="","",IF(F117=1,VLOOKUP(D117,'DB animal categories'!$C$221:$AM$230,34,FALSE)*E117/1000,M117/VLOOKUP(D117,'DB animal categories'!$C$221:$AH$230,27,FALSE)*(VLOOKUP(D117,'DB animal categories'!$C$221:$AH$230,25,FALSE)*VLOOKUP(D117,'DB animal categories'!$C$221:$AH$230,26,FALSE)/24)))</f>
        <v/>
      </c>
      <c r="V117" s="608">
        <f>IF(K117="",0,L117/M117*U117*'DB technologies'!$AT$11/100)</f>
        <v>0</v>
      </c>
      <c r="W117" s="608">
        <f>IF(K117="",0,(U117-V117)*'DB technologies'!$AU$11/100)</f>
        <v>0</v>
      </c>
      <c r="X117" s="122" t="str">
        <f>IF(D117="","",IF(F117=1,VLOOKUP(D117,'DB animal categories'!$C$221:$AM$230,36,FALSE)*E117/1000,P117/VLOOKUP(D117,'DB animal categories'!$C$221:$AH$230,27,FALSE)*(VLOOKUP(D117,'DB animal categories'!$C$221:$AH$230,25,FALSE)*VLOOKUP(D117,'DB animal categories'!$C$221:$AH$230,26,FALSE)/24)))</f>
        <v/>
      </c>
      <c r="Y117" s="124" t="str">
        <f>IF(D117="","",IF(F117=1,VLOOKUP(D117,'DB animal categories'!$C$221:$AM$230,37,FALSE)*E117/1000,S117/VLOOKUP(D117,'DB animal categories'!$C$221:$AH$230,27,FALSE)*(VLOOKUP(D117,'DB animal categories'!$C$221:$AH$230,25,FALSE)*VLOOKUP(D117,'DB animal categories'!$C$221:$AH$230,26,FALSE)/24)))</f>
        <v/>
      </c>
      <c r="AA117" s="82"/>
    </row>
  </sheetData>
  <sheetProtection algorithmName="SHA-512" hashValue="9q3hFu1JxF/HRQeFB4XvTFcd/yJcwUh2A2fn7KFE2H+PFDCZe2mxZnRyuJkyqrt5TcfbGtQ9x67WUfmdpERvTg==" saltValue="bN64MFWrQrgWJir9n0ci5g==" spinCount="100000" sheet="1" formatCells="0" formatColumns="0" formatRows="0" insertColumns="0" insertRows="0" insertHyperlinks="0" deleteColumns="0" deleteRows="0" sort="0" autoFilter="0" pivotTables="0"/>
  <mergeCells count="41">
    <mergeCell ref="C108:C112"/>
    <mergeCell ref="B58:B92"/>
    <mergeCell ref="C93:C97"/>
    <mergeCell ref="C58:C62"/>
    <mergeCell ref="C63:C67"/>
    <mergeCell ref="C68:C72"/>
    <mergeCell ref="C73:C77"/>
    <mergeCell ref="C88:C92"/>
    <mergeCell ref="C78:C82"/>
    <mergeCell ref="C83:C87"/>
    <mergeCell ref="C98:C102"/>
    <mergeCell ref="C103:C107"/>
    <mergeCell ref="B93:B117"/>
    <mergeCell ref="C113:C117"/>
    <mergeCell ref="C53:C57"/>
    <mergeCell ref="B8:B37"/>
    <mergeCell ref="B38:B57"/>
    <mergeCell ref="C28:C32"/>
    <mergeCell ref="C33:C37"/>
    <mergeCell ref="C38:C42"/>
    <mergeCell ref="C43:C47"/>
    <mergeCell ref="C48:C52"/>
    <mergeCell ref="C18:C22"/>
    <mergeCell ref="C13:C17"/>
    <mergeCell ref="C8:C12"/>
    <mergeCell ref="C23:C27"/>
    <mergeCell ref="B2:Y2"/>
    <mergeCell ref="G4:S4"/>
    <mergeCell ref="F4:F7"/>
    <mergeCell ref="T4:Y4"/>
    <mergeCell ref="T6:T7"/>
    <mergeCell ref="U6:Y7"/>
    <mergeCell ref="K5:M5"/>
    <mergeCell ref="N5:P5"/>
    <mergeCell ref="J6:J7"/>
    <mergeCell ref="Q5:S5"/>
    <mergeCell ref="I6:I7"/>
    <mergeCell ref="K7:S7"/>
    <mergeCell ref="M6:S6"/>
    <mergeCell ref="E4:E7"/>
    <mergeCell ref="B4:D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'DB animal categories'!$C$10:$C$21</xm:f>
          </x14:formula1>
          <xm:sqref>D8:D12</xm:sqref>
        </x14:dataValidation>
        <x14:dataValidation type="list" allowBlank="1" showInputMessage="1" showErrorMessage="1">
          <x14:formula1>
            <xm:f>'DB animal categories'!$C$32:$C$41</xm:f>
          </x14:formula1>
          <xm:sqref>D18:D22</xm:sqref>
        </x14:dataValidation>
        <x14:dataValidation type="list" allowBlank="1" showInputMessage="1" showErrorMessage="1">
          <x14:formula1>
            <xm:f>'DB animal categories'!$C$22:$C$31</xm:f>
          </x14:formula1>
          <xm:sqref>D13:D17</xm:sqref>
        </x14:dataValidation>
        <x14:dataValidation type="list" allowBlank="1" showInputMessage="1" showErrorMessage="1">
          <x14:formula1>
            <xm:f>'DB animal categories'!$C$42:$C$51</xm:f>
          </x14:formula1>
          <xm:sqref>D23:D27</xm:sqref>
        </x14:dataValidation>
        <x14:dataValidation type="list" allowBlank="1" showInputMessage="1" showErrorMessage="1">
          <x14:formula1>
            <xm:f>'DB animal categories'!$C$52:$C$61</xm:f>
          </x14:formula1>
          <xm:sqref>D28:D32</xm:sqref>
        </x14:dataValidation>
        <x14:dataValidation type="list" allowBlank="1" showInputMessage="1" showErrorMessage="1">
          <x14:formula1>
            <xm:f>'DB animal categories'!$C$68:$C$80</xm:f>
          </x14:formula1>
          <xm:sqref>D38:D42</xm:sqref>
        </x14:dataValidation>
        <x14:dataValidation type="list" allowBlank="1" showInputMessage="1" showErrorMessage="1">
          <x14:formula1>
            <xm:f>'DB animal categories'!$C$81:$C$90</xm:f>
          </x14:formula1>
          <xm:sqref>D43:D47</xm:sqref>
        </x14:dataValidation>
        <x14:dataValidation type="list" allowBlank="1" showInputMessage="1" showErrorMessage="1">
          <x14:formula1>
            <xm:f>'DB animal categories'!$C$91:$C$100</xm:f>
          </x14:formula1>
          <xm:sqref>D48:D52</xm:sqref>
        </x14:dataValidation>
        <x14:dataValidation type="list" allowBlank="1" showInputMessage="1" showErrorMessage="1">
          <x14:formula1>
            <xm:f>'DB animal categories'!$C$107:$C$116</xm:f>
          </x14:formula1>
          <xm:sqref>D58:D62</xm:sqref>
        </x14:dataValidation>
        <x14:dataValidation type="list" allowBlank="1" showInputMessage="1" showErrorMessage="1">
          <x14:formula1>
            <xm:f>'DB animal categories'!$C$117:$C$126</xm:f>
          </x14:formula1>
          <xm:sqref>D63:D67</xm:sqref>
        </x14:dataValidation>
        <x14:dataValidation type="list" allowBlank="1" showInputMessage="1" showErrorMessage="1">
          <x14:formula1>
            <xm:f>'DB animal categories'!$C$127:$C$136</xm:f>
          </x14:formula1>
          <xm:sqref>D68:D72</xm:sqref>
        </x14:dataValidation>
        <x14:dataValidation type="list" allowBlank="1" showInputMessage="1" showErrorMessage="1">
          <x14:formula1>
            <xm:f>'DB animal categories'!$C$137:$C$146</xm:f>
          </x14:formula1>
          <xm:sqref>D73:D77</xm:sqref>
        </x14:dataValidation>
        <x14:dataValidation type="list" allowBlank="1" showInputMessage="1" showErrorMessage="1">
          <x14:formula1>
            <xm:f>'DB animal categories'!$C$147:$C$156</xm:f>
          </x14:formula1>
          <xm:sqref>D78:D82</xm:sqref>
        </x14:dataValidation>
        <x14:dataValidation type="list" allowBlank="1" showInputMessage="1" showErrorMessage="1">
          <x14:formula1>
            <xm:f>'DB animal categories'!$C$157:$C$166</xm:f>
          </x14:formula1>
          <xm:sqref>D83:D87</xm:sqref>
        </x14:dataValidation>
        <x14:dataValidation type="list" allowBlank="1" showInputMessage="1" showErrorMessage="1">
          <x14:formula1>
            <xm:f>'DB animal categories'!$C$167:$C$176</xm:f>
          </x14:formula1>
          <xm:sqref>D88:D92</xm:sqref>
        </x14:dataValidation>
        <x14:dataValidation type="list" allowBlank="1" showInputMessage="1" showErrorMessage="1">
          <x14:formula1>
            <xm:f>'DB animal categories'!$C$181:$C$190</xm:f>
          </x14:formula1>
          <xm:sqref>D93:D97</xm:sqref>
        </x14:dataValidation>
        <x14:dataValidation type="list" allowBlank="1" showInputMessage="1" showErrorMessage="1">
          <x14:formula1>
            <xm:f>'DB animal categories'!$C$191:$C$200</xm:f>
          </x14:formula1>
          <xm:sqref>D98:D102</xm:sqref>
        </x14:dataValidation>
        <x14:dataValidation type="list" allowBlank="1" showInputMessage="1" showErrorMessage="1">
          <x14:formula1>
            <xm:f>'DB animal categories'!$C$201:$C$210</xm:f>
          </x14:formula1>
          <xm:sqref>D103:D107</xm:sqref>
        </x14:dataValidation>
        <x14:dataValidation type="list" allowBlank="1" showInputMessage="1" showErrorMessage="1">
          <x14:formula1>
            <xm:f>'DB animal categories'!$C$211:$C$220</xm:f>
          </x14:formula1>
          <xm:sqref>D108:D112</xm:sqref>
        </x14:dataValidation>
        <x14:dataValidation type="list" allowBlank="1" showInputMessage="1" showErrorMessage="1">
          <x14:formula1>
            <xm:f>'DB animal categories'!$C$221:$C$230</xm:f>
          </x14:formula1>
          <xm:sqref>D113:D117</xm:sqref>
        </x14:dataValidation>
        <x14:dataValidation type="list" allowBlank="1" showInputMessage="1" showErrorMessage="1">
          <x14:formula1>
            <xm:f>'DB animal categories'!$C$62:$C$63</xm:f>
          </x14:formula1>
          <xm:sqref>D35:D37</xm:sqref>
        </x14:dataValidation>
        <x14:dataValidation type="list" allowBlank="1" showInputMessage="1" showErrorMessage="1">
          <x14:formula1>
            <xm:f>'DB animal categories'!$C$61:$C$63</xm:f>
          </x14:formula1>
          <xm:sqref>D33:D34</xm:sqref>
        </x14:dataValidation>
        <x14:dataValidation type="list" allowBlank="1" showInputMessage="1" showErrorMessage="1">
          <x14:formula1>
            <xm:f>'DB animal categories'!$C$100:$C$102</xm:f>
          </x14:formula1>
          <xm:sqref>D53:D57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3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3" sqref="D23"/>
    </sheetView>
  </sheetViews>
  <sheetFormatPr defaultColWidth="8.7109375" defaultRowHeight="11.25" x14ac:dyDescent="0.2"/>
  <cols>
    <col min="1" max="1" width="10" style="1" customWidth="1"/>
    <col min="2" max="2" width="13.7109375" style="1" customWidth="1"/>
    <col min="3" max="3" width="30.85546875" style="1" customWidth="1"/>
    <col min="4" max="4" width="56.5703125" style="1" customWidth="1"/>
    <col min="5" max="5" width="8.85546875" style="1" customWidth="1"/>
    <col min="6" max="6" width="12.5703125" style="1" customWidth="1"/>
    <col min="7" max="7" width="13.28515625" style="1" customWidth="1"/>
    <col min="8" max="15" width="9.28515625" style="1" hidden="1" customWidth="1"/>
    <col min="16" max="16" width="11.28515625" style="1" customWidth="1"/>
    <col min="17" max="17" width="9.28515625" style="1" hidden="1" customWidth="1"/>
    <col min="18" max="18" width="11" style="1" hidden="1" customWidth="1"/>
    <col min="19" max="19" width="8.7109375" style="1" hidden="1" customWidth="1"/>
    <col min="20" max="20" width="8.7109375" style="1" customWidth="1"/>
    <col min="21" max="23" width="8.7109375" style="1" hidden="1" customWidth="1"/>
    <col min="24" max="24" width="8.7109375" style="1" customWidth="1"/>
    <col min="25" max="27" width="8.7109375" style="1" hidden="1" customWidth="1"/>
    <col min="28" max="30" width="8.7109375" style="1" customWidth="1"/>
    <col min="31" max="31" width="10.5703125" style="1" customWidth="1"/>
    <col min="32" max="32" width="2.28515625" style="1" customWidth="1"/>
    <col min="33" max="33" width="8.7109375" style="1" customWidth="1"/>
    <col min="34" max="34" width="8.42578125" style="1" customWidth="1"/>
    <col min="35" max="35" width="0.140625" style="1" hidden="1" customWidth="1"/>
    <col min="36" max="40" width="8" style="1" hidden="1" customWidth="1"/>
    <col min="41" max="42" width="7.85546875" style="1" hidden="1" customWidth="1"/>
    <col min="43" max="43" width="8" style="1" hidden="1" customWidth="1"/>
    <col min="44" max="49" width="8.140625" style="1" hidden="1" customWidth="1"/>
    <col min="50" max="50" width="8" style="1" hidden="1" customWidth="1"/>
    <col min="51" max="51" width="8.140625" style="1" hidden="1" customWidth="1"/>
    <col min="52" max="52" width="8.28515625" style="1" hidden="1" customWidth="1"/>
    <col min="53" max="55" width="8.28515625" style="450" hidden="1" customWidth="1"/>
    <col min="56" max="56" width="8.28515625" style="1" hidden="1" customWidth="1"/>
    <col min="57" max="57" width="8.42578125" style="1" hidden="1" customWidth="1"/>
    <col min="58" max="58" width="8.7109375" style="1" hidden="1" customWidth="1"/>
    <col min="59" max="59" width="15.7109375" style="1" customWidth="1"/>
    <col min="60" max="61" width="9.85546875" style="1" customWidth="1"/>
    <col min="62" max="62" width="9.85546875" style="1" hidden="1" customWidth="1"/>
    <col min="63" max="63" width="8.7109375" style="1" customWidth="1"/>
    <col min="64" max="67" width="8.7109375" style="1"/>
    <col min="68" max="68" width="8.7109375" style="1" customWidth="1"/>
    <col min="69" max="69" width="10.5703125" style="1" customWidth="1"/>
    <col min="70" max="72" width="8.7109375" style="1"/>
    <col min="73" max="73" width="8.7109375" style="1" customWidth="1"/>
    <col min="74" max="16384" width="8.7109375" style="1"/>
  </cols>
  <sheetData>
    <row r="1" spans="1:74" x14ac:dyDescent="0.2">
      <c r="G1" s="82"/>
      <c r="H1" s="111"/>
    </row>
    <row r="2" spans="1:74" ht="15.75" x14ac:dyDescent="0.25">
      <c r="A2" s="637" t="s">
        <v>67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637"/>
      <c r="BG2" s="637"/>
      <c r="BH2" s="637"/>
      <c r="BI2" s="637"/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521"/>
    </row>
    <row r="3" spans="1:74" ht="11.25" customHeight="1" thickBot="1" x14ac:dyDescent="0.3">
      <c r="P3" s="414"/>
      <c r="Q3" s="111"/>
      <c r="Z3" s="111"/>
      <c r="AC3" s="111"/>
      <c r="AE3" s="111"/>
      <c r="AG3" s="91"/>
      <c r="AH3" s="91"/>
      <c r="AI3" s="91"/>
      <c r="AJ3" s="406"/>
      <c r="AK3" s="424"/>
      <c r="AL3" s="424"/>
      <c r="AM3" s="424"/>
      <c r="AN3" s="424"/>
      <c r="AO3" s="91"/>
      <c r="AP3" s="91"/>
      <c r="AQ3" s="91"/>
      <c r="AR3" s="91"/>
      <c r="AS3" s="91"/>
      <c r="AT3" s="424"/>
      <c r="AU3" s="424"/>
      <c r="AV3" s="424"/>
      <c r="AW3" s="424"/>
      <c r="AX3" s="91"/>
      <c r="AY3" s="91"/>
      <c r="AZ3" s="91"/>
      <c r="BA3" s="505"/>
      <c r="BB3" s="505"/>
      <c r="BC3" s="505"/>
      <c r="BD3" s="91"/>
      <c r="BE3" s="91"/>
      <c r="BF3" s="91"/>
      <c r="BG3" s="91"/>
      <c r="BH3" s="91"/>
      <c r="BI3" s="499"/>
      <c r="BJ3" s="563"/>
      <c r="BK3" s="499"/>
      <c r="BL3" s="91"/>
      <c r="BM3" s="91"/>
      <c r="BN3" s="91"/>
      <c r="BO3" s="91"/>
      <c r="BP3" s="91"/>
      <c r="BQ3" s="91"/>
    </row>
    <row r="4" spans="1:74" ht="12" customHeight="1" thickBot="1" x14ac:dyDescent="0.25">
      <c r="A4" s="657" t="s">
        <v>57</v>
      </c>
      <c r="B4" s="658"/>
      <c r="C4" s="658"/>
      <c r="D4" s="657" t="s">
        <v>91</v>
      </c>
      <c r="E4" s="726" t="s">
        <v>71</v>
      </c>
      <c r="F4" s="727"/>
      <c r="G4" s="407"/>
      <c r="H4" s="407"/>
      <c r="I4" s="407"/>
      <c r="J4" s="407"/>
      <c r="K4" s="407"/>
      <c r="L4" s="425"/>
      <c r="M4" s="425"/>
      <c r="N4" s="425"/>
      <c r="O4" s="425"/>
      <c r="P4" s="407"/>
      <c r="Q4" s="407"/>
      <c r="R4" s="407"/>
      <c r="S4" s="407"/>
      <c r="T4" s="732" t="s">
        <v>131</v>
      </c>
      <c r="U4" s="732"/>
      <c r="V4" s="732"/>
      <c r="W4" s="732"/>
      <c r="X4" s="738"/>
      <c r="Y4" s="738"/>
      <c r="Z4" s="738"/>
      <c r="AA4" s="738"/>
      <c r="AB4" s="738"/>
      <c r="AC4" s="709" t="s">
        <v>95</v>
      </c>
      <c r="AD4" s="710"/>
      <c r="AE4" s="711"/>
      <c r="AG4" s="697" t="s">
        <v>57</v>
      </c>
      <c r="AH4" s="697" t="s">
        <v>111</v>
      </c>
      <c r="AI4" s="306"/>
      <c r="AJ4" s="306"/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/>
      <c r="BD4" s="306"/>
      <c r="BE4" s="306"/>
      <c r="BF4" s="306"/>
      <c r="BG4" s="739" t="s">
        <v>134</v>
      </c>
      <c r="BH4" s="641" t="s">
        <v>136</v>
      </c>
      <c r="BI4" s="702" t="s">
        <v>150</v>
      </c>
      <c r="BJ4" s="658"/>
      <c r="BK4" s="658"/>
      <c r="BL4" s="658"/>
      <c r="BM4" s="658"/>
      <c r="BN4" s="659"/>
      <c r="BO4" s="730" t="s">
        <v>95</v>
      </c>
      <c r="BP4" s="731"/>
      <c r="BQ4" s="732"/>
      <c r="BR4" s="709" t="s">
        <v>144</v>
      </c>
      <c r="BS4" s="710"/>
      <c r="BT4" s="711"/>
      <c r="BU4" s="43"/>
    </row>
    <row r="5" spans="1:74" ht="10.5" customHeight="1" x14ac:dyDescent="0.2">
      <c r="A5" s="660"/>
      <c r="B5" s="661"/>
      <c r="C5" s="661"/>
      <c r="D5" s="660"/>
      <c r="E5" s="647"/>
      <c r="F5" s="648"/>
      <c r="G5" s="733" t="s">
        <v>53</v>
      </c>
      <c r="H5" s="409"/>
      <c r="I5" s="409"/>
      <c r="J5" s="409"/>
      <c r="K5" s="409"/>
      <c r="L5" s="429"/>
      <c r="M5" s="429"/>
      <c r="N5" s="429"/>
      <c r="O5" s="429"/>
      <c r="P5" s="645" t="s">
        <v>68</v>
      </c>
      <c r="Q5" s="409"/>
      <c r="R5" s="409"/>
      <c r="S5" s="409"/>
      <c r="T5" s="653" t="s">
        <v>9</v>
      </c>
      <c r="U5" s="409"/>
      <c r="V5" s="409"/>
      <c r="W5" s="409"/>
      <c r="X5" s="647" t="s">
        <v>11</v>
      </c>
      <c r="Y5" s="409"/>
      <c r="Z5" s="409"/>
      <c r="AA5" s="409"/>
      <c r="AB5" s="647" t="s">
        <v>12</v>
      </c>
      <c r="AC5" s="651" t="s">
        <v>132</v>
      </c>
      <c r="AD5" s="647" t="s">
        <v>146</v>
      </c>
      <c r="AE5" s="648" t="s">
        <v>119</v>
      </c>
      <c r="AG5" s="698"/>
      <c r="AH5" s="698"/>
      <c r="AI5" s="704" t="s">
        <v>137</v>
      </c>
      <c r="AJ5" s="412"/>
      <c r="AK5" s="426"/>
      <c r="AL5" s="426"/>
      <c r="AM5" s="426"/>
      <c r="AN5" s="431"/>
      <c r="AO5" s="703" t="s">
        <v>9</v>
      </c>
      <c r="AP5" s="704"/>
      <c r="AQ5" s="641" t="s">
        <v>11</v>
      </c>
      <c r="AR5" s="641" t="s">
        <v>12</v>
      </c>
      <c r="AS5" s="641" t="s">
        <v>133</v>
      </c>
      <c r="AT5" s="426"/>
      <c r="AU5" s="426"/>
      <c r="AV5" s="426"/>
      <c r="AW5" s="426"/>
      <c r="AX5" s="641" t="s">
        <v>9</v>
      </c>
      <c r="AY5" s="641" t="s">
        <v>11</v>
      </c>
      <c r="AZ5" s="641" t="s">
        <v>12</v>
      </c>
      <c r="BA5" s="641" t="s">
        <v>53</v>
      </c>
      <c r="BB5" s="703" t="s">
        <v>68</v>
      </c>
      <c r="BC5" s="704"/>
      <c r="BD5" s="641" t="s">
        <v>9</v>
      </c>
      <c r="BE5" s="641" t="s">
        <v>11</v>
      </c>
      <c r="BF5" s="703" t="s">
        <v>12</v>
      </c>
      <c r="BG5" s="690"/>
      <c r="BH5" s="642"/>
      <c r="BI5" s="712" t="s">
        <v>53</v>
      </c>
      <c r="BJ5" s="568"/>
      <c r="BK5" s="712" t="s">
        <v>68</v>
      </c>
      <c r="BL5" s="714" t="s">
        <v>9</v>
      </c>
      <c r="BM5" s="645" t="s">
        <v>11</v>
      </c>
      <c r="BN5" s="733" t="s">
        <v>12</v>
      </c>
      <c r="BO5" s="728" t="s">
        <v>123</v>
      </c>
      <c r="BP5" s="645" t="s">
        <v>148</v>
      </c>
      <c r="BQ5" s="714" t="s">
        <v>119</v>
      </c>
      <c r="BR5" s="647" t="s">
        <v>9</v>
      </c>
      <c r="BS5" s="647" t="s">
        <v>11</v>
      </c>
      <c r="BT5" s="648" t="s">
        <v>12</v>
      </c>
      <c r="BU5" s="43"/>
    </row>
    <row r="6" spans="1:74" ht="11.25" customHeight="1" x14ac:dyDescent="0.2">
      <c r="A6" s="660"/>
      <c r="B6" s="661"/>
      <c r="C6" s="661"/>
      <c r="D6" s="660"/>
      <c r="E6" s="647" t="s">
        <v>92</v>
      </c>
      <c r="F6" s="648" t="s">
        <v>30</v>
      </c>
      <c r="G6" s="734"/>
      <c r="H6" s="410" t="s">
        <v>165</v>
      </c>
      <c r="I6" s="410" t="s">
        <v>236</v>
      </c>
      <c r="J6" s="410" t="s">
        <v>237</v>
      </c>
      <c r="K6" s="410" t="s">
        <v>246</v>
      </c>
      <c r="L6" s="430" t="s">
        <v>242</v>
      </c>
      <c r="M6" s="430" t="s">
        <v>236</v>
      </c>
      <c r="N6" s="430" t="s">
        <v>237</v>
      </c>
      <c r="O6" s="430" t="s">
        <v>246</v>
      </c>
      <c r="P6" s="720"/>
      <c r="Q6" s="410" t="s">
        <v>236</v>
      </c>
      <c r="R6" s="410" t="s">
        <v>237</v>
      </c>
      <c r="S6" s="410" t="s">
        <v>246</v>
      </c>
      <c r="T6" s="653"/>
      <c r="U6" s="410" t="s">
        <v>236</v>
      </c>
      <c r="V6" s="410" t="s">
        <v>237</v>
      </c>
      <c r="W6" s="410" t="s">
        <v>246</v>
      </c>
      <c r="X6" s="647"/>
      <c r="Y6" s="410" t="s">
        <v>236</v>
      </c>
      <c r="Z6" s="410" t="s">
        <v>237</v>
      </c>
      <c r="AA6" s="410" t="s">
        <v>246</v>
      </c>
      <c r="AB6" s="647"/>
      <c r="AC6" s="651"/>
      <c r="AD6" s="647"/>
      <c r="AE6" s="648"/>
      <c r="AG6" s="698"/>
      <c r="AH6" s="698"/>
      <c r="AI6" s="706"/>
      <c r="AJ6" s="437" t="s">
        <v>240</v>
      </c>
      <c r="AK6" s="427" t="s">
        <v>53</v>
      </c>
      <c r="AL6" s="427" t="s">
        <v>68</v>
      </c>
      <c r="AM6" s="427" t="s">
        <v>242</v>
      </c>
      <c r="AN6" s="437" t="s">
        <v>68</v>
      </c>
      <c r="AO6" s="705"/>
      <c r="AP6" s="706"/>
      <c r="AQ6" s="642"/>
      <c r="AR6" s="642"/>
      <c r="AS6" s="642"/>
      <c r="AT6" s="427" t="s">
        <v>53</v>
      </c>
      <c r="AU6" s="427" t="s">
        <v>68</v>
      </c>
      <c r="AV6" s="427" t="s">
        <v>242</v>
      </c>
      <c r="AW6" s="427" t="s">
        <v>68</v>
      </c>
      <c r="AX6" s="642"/>
      <c r="AY6" s="642"/>
      <c r="AZ6" s="642"/>
      <c r="BA6" s="642"/>
      <c r="BB6" s="716"/>
      <c r="BC6" s="737"/>
      <c r="BD6" s="713"/>
      <c r="BE6" s="713"/>
      <c r="BF6" s="716"/>
      <c r="BG6" s="690"/>
      <c r="BH6" s="642"/>
      <c r="BI6" s="713"/>
      <c r="BJ6" s="569"/>
      <c r="BK6" s="713"/>
      <c r="BL6" s="715"/>
      <c r="BM6" s="720"/>
      <c r="BN6" s="734"/>
      <c r="BO6" s="729"/>
      <c r="BP6" s="720"/>
      <c r="BQ6" s="715"/>
      <c r="BR6" s="647"/>
      <c r="BS6" s="647"/>
      <c r="BT6" s="648"/>
      <c r="BU6" s="43"/>
    </row>
    <row r="7" spans="1:74" ht="10.5" customHeight="1" thickBot="1" x14ac:dyDescent="0.25">
      <c r="A7" s="663"/>
      <c r="B7" s="664"/>
      <c r="C7" s="664"/>
      <c r="D7" s="663"/>
      <c r="E7" s="649"/>
      <c r="F7" s="650"/>
      <c r="G7" s="411" t="s">
        <v>54</v>
      </c>
      <c r="H7" s="735"/>
      <c r="I7" s="736"/>
      <c r="J7" s="736"/>
      <c r="K7" s="736"/>
      <c r="L7" s="736"/>
      <c r="M7" s="736"/>
      <c r="N7" s="736"/>
      <c r="O7" s="722"/>
      <c r="P7" s="408" t="s">
        <v>30</v>
      </c>
      <c r="Q7" s="411"/>
      <c r="R7" s="411"/>
      <c r="S7" s="411"/>
      <c r="T7" s="722" t="s">
        <v>54</v>
      </c>
      <c r="U7" s="722"/>
      <c r="V7" s="722"/>
      <c r="W7" s="722"/>
      <c r="X7" s="649"/>
      <c r="Y7" s="649"/>
      <c r="Z7" s="649"/>
      <c r="AA7" s="649"/>
      <c r="AB7" s="649"/>
      <c r="AC7" s="649"/>
      <c r="AD7" s="649"/>
      <c r="AE7" s="650"/>
      <c r="AG7" s="699"/>
      <c r="AH7" s="699"/>
      <c r="AI7" s="708"/>
      <c r="AJ7" s="413"/>
      <c r="AK7" s="428"/>
      <c r="AL7" s="428" t="s">
        <v>241</v>
      </c>
      <c r="AM7" s="428" t="s">
        <v>241</v>
      </c>
      <c r="AN7" s="432" t="s">
        <v>30</v>
      </c>
      <c r="AO7" s="707"/>
      <c r="AP7" s="708"/>
      <c r="AQ7" s="643"/>
      <c r="AR7" s="643"/>
      <c r="AS7" s="643"/>
      <c r="AT7" s="428"/>
      <c r="AU7" s="428" t="s">
        <v>241</v>
      </c>
      <c r="AV7" s="428" t="s">
        <v>241</v>
      </c>
      <c r="AW7" s="428" t="s">
        <v>30</v>
      </c>
      <c r="AX7" s="643"/>
      <c r="AY7" s="643"/>
      <c r="AZ7" s="643"/>
      <c r="BA7" s="497" t="s">
        <v>54</v>
      </c>
      <c r="BB7" s="497" t="s">
        <v>54</v>
      </c>
      <c r="BC7" s="497" t="s">
        <v>30</v>
      </c>
      <c r="BD7" s="717" t="s">
        <v>54</v>
      </c>
      <c r="BE7" s="718"/>
      <c r="BF7" s="719"/>
      <c r="BG7" s="691"/>
      <c r="BH7" s="643"/>
      <c r="BI7" s="518" t="s">
        <v>54</v>
      </c>
      <c r="BJ7" s="572"/>
      <c r="BK7" s="519" t="s">
        <v>30</v>
      </c>
      <c r="BL7" s="664" t="s">
        <v>54</v>
      </c>
      <c r="BM7" s="664"/>
      <c r="BN7" s="664"/>
      <c r="BO7" s="664"/>
      <c r="BP7" s="664"/>
      <c r="BQ7" s="664"/>
      <c r="BR7" s="664"/>
      <c r="BS7" s="664"/>
      <c r="BT7" s="721"/>
      <c r="BU7" s="43"/>
    </row>
    <row r="8" spans="1:74" ht="11.25" customHeight="1" x14ac:dyDescent="0.2">
      <c r="A8" s="683" t="s">
        <v>63</v>
      </c>
      <c r="B8" s="694" t="s">
        <v>1</v>
      </c>
      <c r="C8" s="250">
        <f>'Calc (ex-animal)'!D8</f>
        <v>0</v>
      </c>
      <c r="D8" s="1355"/>
      <c r="E8" s="1356"/>
      <c r="F8" s="479" t="str">
        <f>IF('Calc (ex-animal)'!$F$8=1,"",IF($C$8=0,"",IF(D8="","",E8/'Calc (ex-animal)'!$E$8*100)))</f>
        <v/>
      </c>
      <c r="G8" s="484" t="str">
        <f>IF($C$8=0,"",IF('Calc (ex-animal)'!$F$8=1,"",IF(D8="","",SUM(H8:O8))))</f>
        <v/>
      </c>
      <c r="H8" s="471" t="str">
        <f>IF('Calc (ex-animal)'!$F$8=1,"",IF(D8="","",(((VLOOKUP($C$8,'Calc (ex-animal)'!$D$8:$Y$12,6,FALSE)-VLOOKUP($C$8,'Calc (ex-animal)'!$D$8:$Y$12,17,FALSE))*F8/100))*VLOOKUP($C$8,'Calc (ex-animal)'!$D$8:$Y$12,7,FALSE)/100*(1-VLOOKUP(D8,'DB technologies'!$N$11:$Y$25,9,FALSE)/100)))</f>
        <v/>
      </c>
      <c r="I8" s="471" t="str">
        <f>IF(D8="","",((VLOOKUP(D8,'DB technologies'!$N$11:$Y$25,2,FALSE)*VLOOKUP($C$8,'DB animal categories'!$C$10:$AC$21,27,FALSE)*E8/1000)/365*(VLOOKUP($C$8,'DB animal categories'!$C$10:$AC$21,27,FALSE)-VLOOKUP($C$8,'DB animal categories'!$C$10:$AC$21,25,FALSE)*VLOOKUP($C$8,'DB animal categories'!$C$10:$AC$21,26,FALSE)/24))*'DB additional information '!$S$6/100*(1-VLOOKUP(D8,'DB technologies'!$N$11:$Y$25,9,FALSE)/100))</f>
        <v/>
      </c>
      <c r="J8" s="472" t="str">
        <f>IF(D8="","",((VLOOKUP(D8,'DB technologies'!$N$11:$Y$25,3,FALSE)*VLOOKUP($C$8,'DB animal categories'!$C$10:$AC$21,27,FALSE)*E8/1000)/365*(VLOOKUP($C$8,'DB animal categories'!$C$10:$AC$21,27,FALSE)-VLOOKUP($C$8,'DB animal categories'!$C$10:$AC$21,25,FALSE)*VLOOKUP($C$8,'DB animal categories'!$C$10:$AC$21,26,FALSE)/24))*'DB additional information '!$S$7/100*(1-VLOOKUP(D8,'DB technologies'!$N$11:$Y$25,9,FALSE)/100))</f>
        <v/>
      </c>
      <c r="K8" s="472" t="str">
        <f>IF(D8="","",((VLOOKUP(D8,'DB technologies'!$N$11:$Y$25,4,FALSE)*E8*'DB additional information '!$S$8/100*(1-VLOOKUP(D8,'DB technologies'!$N$11:$Y$25,9,FALSE)/100))/365*(VLOOKUP($C$8,'DB animal categories'!$C$10:$AC$21,27,FALSE)-VLOOKUP($C$8,'DB animal categories'!$C$10:$AC$21,25,FALSE)*VLOOKUP($C$8,'DB animal categories'!$C$10:$AC$21,26,FALSE)/24)))</f>
        <v/>
      </c>
      <c r="L8" s="471" t="str">
        <f>IF('Calc (ex-animal)'!$F$8=1,"",IF(D8="","",(((VLOOKUP($C$8,'Calc (ex-animal)'!$D$8:$Y$12,6,FALSE)-VLOOKUP($C$8,'Calc (ex-animal)'!$D$8:$Y$12,17,FALSE))*F8/100))*(1-VLOOKUP($C$8,'Calc (ex-animal)'!$D$8:$Y$12,7,FALSE)/100)*(1-VLOOKUP(D8,'DB technologies'!$N$11:$V$25,8,FALSE)/100)))</f>
        <v/>
      </c>
      <c r="M8" s="472" t="str">
        <f>IF(D8="","",((VLOOKUP(D8,'DB technologies'!$N$11:$Y$25,2,FALSE)*VLOOKUP($C$8,'DB animal categories'!$C$10:$AC$21,27,FALSE)*E8/1000)/365*(VLOOKUP($C$8,'DB animal categories'!$C$10:$AC$21,27,FALSE)-VLOOKUP($C$8,'DB animal categories'!$C$10:$AC$21,25,FALSE)*VLOOKUP($C$8,'DB animal categories'!$C$10:$AC$21,26,FALSE)/24))*(1-'DB additional information '!$S$6/100)*(1-VLOOKUP(D8,'DB technologies'!$N$11:$Y$25,9,FALSE)/100))</f>
        <v/>
      </c>
      <c r="N8" s="472" t="str">
        <f>IF(D8="","",((VLOOKUP(D8,'DB technologies'!$N$11:$Y$25,3,FALSE)*VLOOKUP($C$8,'DB animal categories'!$C$10:$AC$21,27,FALSE)*E8/1000)/365*(VLOOKUP($C$8,'DB animal categories'!$C$10:$AC$21,27,FALSE)-VLOOKUP($C$8,'DB animal categories'!$C$10:$AC$21,25,FALSE)*VLOOKUP($C$8,'DB animal categories'!$C$10:$AC$21,26,FALSE)/24))*(1-'DB additional information '!$S$7/100)*(1-VLOOKUP(D8,'DB technologies'!$N$11:$Y$25,9,FALSE)/100))</f>
        <v/>
      </c>
      <c r="O8" s="471" t="str">
        <f>IF(D8="","",((VLOOKUP(D8,'DB technologies'!$N$11:$Y$25,4,FALSE)*E8*(1-'DB additional information '!$S$8/100)*(1-VLOOKUP(D8,'DB technologies'!$N$11:$Y$25,8,FALSE)/100))/365*(VLOOKUP($C$8,'DB animal categories'!$C$10:$AC$21,27,FALSE)-VLOOKUP($C$8,'DB animal categories'!$C$10:$AC$21,25,FALSE)*VLOOKUP($C$8,'DB animal categories'!$C$10:$AC$21,26,FALSE)/24)))</f>
        <v/>
      </c>
      <c r="P8" s="630" t="str">
        <f>IF(E8="","",IF(F8="","",IF($C$8=0,"",IF(D8="","",SUM(H8:K8)/G8*100))))</f>
        <v/>
      </c>
      <c r="Q8" s="473" t="str">
        <f>IF(D8="","",(VLOOKUP(D8,'DB technologies'!$N$11:$Y$25,2,FALSE)*'DB additional information '!$S$6/100*'DB additional information '!$T$6*VLOOKUP($C$8,'DB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R8" s="473" t="str">
        <f>IF(D8="","",(VLOOKUP(D8,'DB technologies'!$N$11:$Y$25,3,FALSE)*'DB additional information '!$S$7/100*'DB additional information '!$T$7*VLOOKUP($C$8,'DB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S8" s="490" t="str">
        <f>IF(D8="","",(VLOOKUP(D8,'DB technologies'!$N$11:$Y$25,4,FALSE)*('DB additional information '!$S$8/100*'DB additional information '!$T$8*E8/1000/1000)))</f>
        <v/>
      </c>
      <c r="T8" s="259" t="str">
        <f>IF($C$8=0,"",IF('Calc (ex-animal)'!$F$8=1,"",IF(D8="","",((VLOOKUP($C$8,'Calc (ex-animal)'!$D$8:$Y$12,10,FALSE)-VLOOKUP($C$8,'Calc (ex-animal)'!$D$8:$Y$12,18,FALSE))*F8/100+Q8+R8+S8)-AC8-AD8-AE8)))</f>
        <v/>
      </c>
      <c r="U8" s="422" t="str">
        <f>IF(D8="","",(VLOOKUP(D8,'DB technologies'!$N$11:$Y$25,2,FALSE)*'DB additional information '!$S$6/100*'DB additional information '!$U$6*VLOOKUP($C$8,'DB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V8" s="418" t="str">
        <f>IF(D8="","",(VLOOKUP(D8,'DB technologies'!$N$11:$Y$25,3,FALSE)*'DB additional information '!$S$7/100*'DB additional information '!$U$7*VLOOKUP($C$8,'DB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W8" s="417" t="str">
        <f>IF(D8="","",(VLOOKUP(D8,'DB technologies'!$N$11:$Y$25,4,FALSE)*('DB additional information '!$S$8/100*'DB additional information '!$U$8*E8/1000/1000)))</f>
        <v/>
      </c>
      <c r="X8" s="261" t="str">
        <f>IF($C$8=0,"",IF('Calc (ex-animal)'!$F$8=1,"",IF(D8="","",((VLOOKUP($C$8,'Calc (ex-animal)'!$D$8:$Y$12,13,FALSE)-VLOOKUP($C$8,'Calc (ex-animal)'!$D$8:$Y$12,19,FALSE))*F8/100+U8+V8+W8))))</f>
        <v/>
      </c>
      <c r="Y8" s="418" t="str">
        <f>IF(D8="","",(VLOOKUP(D8,'DB technologies'!$N$11:$Y$25,2,FALSE)*'DB additional information '!$S$6/100*'DB additional information '!$V$6*VLOOKUP($C$8,'DB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Z8" s="418" t="str">
        <f>IF(D8="","",(VLOOKUP(D8,'DB technologies'!$N$11:$Y$25,3,FALSE)*'DB additional information '!$S$7/100*'DB additional information '!$V$7*VLOOKUP($C$8,'DB animal categories'!$C$10:$AC$21,27,FALSE)*E8/1000/1000)/365*(VLOOKUP($C$8,'DB animal categories'!$C$10:$AC$21,27,FALSE)-VLOOKUP($C$8,'DB animal categories'!$C$10:$AC$21,25,FALSE)*VLOOKUP($C$8,'DB animal categories'!$C$10:$AC$21,26,FALSE)/24))</f>
        <v/>
      </c>
      <c r="AA8" s="418" t="str">
        <f>IF(D8="","",(VLOOKUP(D8,'DB technologies'!$N$11:$Y$25,4,FALSE)*('DB additional information '!$S$8/100*'DB additional information '!$V$8*E8/1000/1000)))</f>
        <v/>
      </c>
      <c r="AB8" s="261" t="str">
        <f>IF($C$8=0,"",IF('Calc (ex-animal)'!$F$8=1,"",IF(D8="","",((VLOOKUP($C$8,'Calc (ex-animal)'!$D$8:$Y$12,16,FALSE)-VLOOKUP($C$8,'Calc (ex-animal)'!$D$8:$Y$12,20,FALSE))*F8/100+Y8+Z8+AA8))))</f>
        <v/>
      </c>
      <c r="AC8" s="261" t="str">
        <f>IF($C$8=0,"",IF('Calc (ex-animal)'!$F$8=1,"",IF(D8="","",VLOOKUP($C$8,'Calc (ex-animal)'!$D$8:$Y$12,9,FALSE)/365*(VLOOKUP($C$8,'DB animal categories'!$C$10:$AC$21,27,FALSE)-VLOOKUP($C$8,'DB animal categories'!$C$10:$AC$21,25,FALSE)*VLOOKUP($C$8,'DB animal categories'!$C$10:$AC$21,26,FALSE)/24)*F8/100*VLOOKUP(D8,'DB technologies'!$N$11:$R$25,5,FALSE)/100)))</f>
        <v/>
      </c>
      <c r="AD8" s="261" t="str">
        <f>IF($C$8=0,"",IF('Calc (ex-animal)'!$F$8=1,"",IF(D8="","",VLOOKUP($C$8,'Calc (ex-animal)'!$D$8:$Y$12,10,FALSE)/365*(VLOOKUP($C$8,'DB animal categories'!$C$10:$AC$21,27,FALSE)-VLOOKUP($C$8,'DB animal categories'!$C$10:$AC$21,25,FALSE)*VLOOKUP($C$8,'DB animal categories'!$C$10:$AC$21,26,FALSE)/24)*F8/100*VLOOKUP(D8,'DB technologies'!$N$11:$Y$25,6,FALSE)/100)))</f>
        <v/>
      </c>
      <c r="AE8" s="262" t="str">
        <f>IF($C$8=0,"",IF('Calc (ex-animal)'!$F$8=1,"",IF(D8="","",VLOOKUP($C$8,'Calc (ex-animal)'!$D$8:$Y$12,10,FALSE)/365*(VLOOKUP($C$8,'DB animal categories'!$C$10:$AC$21,27,FALSE)-VLOOKUP($C$8,'DB animal categories'!$C$10:$AC$21,25,FALSE)*VLOOKUP($C$8,'DB animal categories'!$C$10:$AC$21,26,FALSE)/24)*F8/100*VLOOKUP(D8,'DB technologies'!$N$11:$Y$25,7,FALSE)/100)))</f>
        <v/>
      </c>
      <c r="AG8" s="694" t="s">
        <v>63</v>
      </c>
      <c r="AH8" s="694" t="s">
        <v>129</v>
      </c>
      <c r="AI8" s="188" t="str">
        <f>IF(D8="","",VLOOKUP(D8,'DB technologies'!$N$11:$Y$25,10,FALSE))</f>
        <v/>
      </c>
      <c r="AJ8" s="447" t="e">
        <f>VLOOKUP($C$8,'DB animal categories'!$C$10:$AN$21,27,FALSE)-VLOOKUP($C$8,'DB animal categories'!$C$10:$AN$21,26,FALSE)*VLOOKUP($C$8,'DB animal categories'!$C$10:$AN$21,25,FALSE)/24</f>
        <v>#N/A</v>
      </c>
      <c r="AK8" s="448" t="str">
        <f>IF(AI8="","",AL8+AM8)</f>
        <v/>
      </c>
      <c r="AL8" s="448" t="str">
        <f>IF(D8="","",IF(AI8=2,(('Calc (ex-animal)'!$G$8*'DB additional information '!$K$4/100*(1-VLOOKUP(D8,'DB technologies'!$N$11:$Y$25,9,FALSE)/100)*'Calc (ex-housing, ex-storage)'!F8/100+'Calc (ex-animal)'!$H$8*'DB additional information '!$L$4/100*(1-VLOOKUP(D8,'DB technologies'!$N$11:$Y$25,9,FALSE)/100)*'Calc (ex-housing, ex-storage)'!F8/100))/365*AJ8+I8+J8+K8,IF(AI8=1,('Calc (ex-animal)'!$H$8*'DB additional information '!$L$4/100*(1-VLOOKUP(D8,'DB technologies'!$N$11:$Y$25,9,FALSE)/100)*'Calc (ex-housing, ex-storage)'!F8/100)/365*AJ8,IF(AI8=4,('Calc (ex-animal)'!$G$8*'DB additional information '!$K$4/100+'Calc (ex-animal)'!$H$8*'DB additional information '!$L$4/100)*(1-VLOOKUP(D8,'DB technologies'!$N$11:$Y$25,9,FALSE)/100)*'Calc (ex-housing, ex-storage)'!F8/100*VLOOKUP(D8,'DB technologies'!$N$11:$Y$25,11,FALSE)/100/365*AJ8,0))))</f>
        <v/>
      </c>
      <c r="AM8" s="448" t="str">
        <f>IF(D8="","",IF(AI8=2,(('Calc (ex-animal)'!$G$8*(1-'DB additional information '!$K$4/100)*(1-VLOOKUP(D8,'DB technologies'!$N$11:$Y$25,8,FALSE)/100)*'Calc (ex-housing, ex-storage)'!F8/100+'Calc (ex-animal)'!$H$8*(1-'DB additional information '!$L$4/100)*(1-VLOOKUP(D8,'DB technologies'!$N$11:$Y$25,8,FALSE)/100)*'Calc (ex-housing, ex-storage)'!F8/100))/365*AJ8+M8+N8+O8,IF(AI8=1,('Calc (ex-animal)'!$H$8*(1-'DB additional information '!$L$4/100)*(1-VLOOKUP(D8,'DB technologies'!$N$11:$Y$25,8,FALSE)/100)*'Calc (ex-housing, ex-storage)'!F8/100)/365*AJ8,IF(AI8=4,('Calc (ex-animal)'!$G$8*(1-'DB additional information '!$K$4/100)+'Calc (ex-animal)'!$H$8*(1-'DB additional information '!$L$4/100))*(1-VLOOKUP(D8,'DB technologies'!$N$11:$Y$25,8,FALSE)/100)*'Calc (ex-housing, ex-storage)'!F8/100*VLOOKUP(D8,'DB technologies'!$N$11:$Y$25,11,FALSE)/100/365*AJ8,0))))</f>
        <v/>
      </c>
      <c r="AN8" s="448" t="str">
        <f>IF(AI8="","",IF(AL8=0,0,AL8/AK8*100))</f>
        <v/>
      </c>
      <c r="AO8" s="189" t="str">
        <f>IF(D8="","",IF(AI8=2,(('Calc (ex-animal)'!$L$8*'Calc (ex-housing, ex-storage)'!F8/100+'Calc (ex-animal)'!$K$8*'Calc (ex-housing, ex-storage)'!F8/100))/365*AJ8+Q8+R8+S8-AC8,IF(AI8=1,('Calc (ex-animal)'!$L$8*'Calc (ex-housing, ex-storage)'!F8/100)/365*AJ8-'Calc (ex-housing, ex-storage)'!AC8,IF(AI8=4,('Calc (ex-animal)'!$L$8+'Calc (ex-animal)'!$K$8)*'Calc (ex-housing, ex-storage)'!F8/100*VLOOKUP(D8,'DB technologies'!$N$11:$Y$25,11,FALSE)/100/365*AJ8-AC8*VLOOKUP(D8,'DB technologies'!$N$11:$Y$25,11,FALSE)/100,0))))</f>
        <v/>
      </c>
      <c r="AP8" s="189" t="str">
        <f>IF(D8="","",IF(AO8&lt;-0.01,0,IF(AI8=2,(('Calc (ex-animal)'!$L$8*'Calc (ex-housing, ex-storage)'!F8/100+'Calc (ex-animal)'!$K$8*'Calc (ex-housing, ex-storage)'!F8/100))/365*AJ8+Q8+R8+S8-AC8,IF(AI8=1,('Calc (ex-animal)'!$L$8*'Calc (ex-housing, ex-storage)'!F8/100)/365*AJ8-'Calc (ex-housing, ex-storage)'!AC8,IF(AI8=4,('Calc (ex-animal)'!$L$8+'Calc (ex-animal)'!$K$8)*'Calc (ex-housing, ex-storage)'!F8/100*VLOOKUP(D8,'DB technologies'!$N$11:$Y$25,11,FALSE)/100/365*AJ8-AC8*VLOOKUP(D8,'DB technologies'!$N$11:$Y$25,11,FALSE)/100,0)))))</f>
        <v/>
      </c>
      <c r="AQ8" s="189" t="str">
        <f>IF(D8="","",IF(AI8=2,('Calc (ex-animal)'!$O$8*'Calc (ex-housing, ex-storage)'!F8/100+'Calc (ex-animal)'!$N$8*'Calc (ex-housing, ex-storage)'!F8/100)/365*AJ8+U8+V8+W8,IF(AI8=1,'Calc (ex-animal)'!$O$8*'Calc (ex-housing, ex-storage)'!F8/100/365*AJ8,IF(AI8=4,('Calc (ex-animal)'!$O$8+'Calc (ex-animal)'!$N$8)*'Calc (ex-housing, ex-storage)'!F8/100*VLOOKUP(D8,'DB technologies'!$N$11:$Y$25,11,FALSE)/100/365*AJ8,0))))</f>
        <v/>
      </c>
      <c r="AR8" s="189" t="str">
        <f>IF(D8="","",IF(AI8=2,('Calc (ex-animal)'!$R$8*'Calc (ex-housing, ex-storage)'!F8/100+'Calc (ex-animal)'!$Q$8*'Calc (ex-housing, ex-storage)'!F8/100)/365*AJ8+Y8+Z8+AA8,IF(AI8=1,'Calc (ex-animal)'!$R$8*'Calc (ex-housing, ex-storage)'!F8/100/365*AJ8,IF(AI8=4,('Calc (ex-animal)'!$R$8+'Calc (ex-animal)'!$Q$8)*'Calc (ex-housing, ex-storage)'!F8/100*VLOOKUP(D8,'DB technologies'!$N$11:$Y$25,11,FALSE)/100/365*AJ8,0))))</f>
        <v/>
      </c>
      <c r="AS8" s="190" t="str">
        <f>IF(D8="","",VLOOKUP(D8,'DB technologies'!$N$11:$Y$25,10,FALSE))</f>
        <v/>
      </c>
      <c r="AT8" s="448" t="str">
        <f>IF(AS8="","",AU8+AV8)</f>
        <v/>
      </c>
      <c r="AU8" s="448" t="str">
        <f>IF(D8="","",IF(AS8=2,0,IF(AS8=1,'Calc (ex-animal)'!$G$8*'DB additional information '!$K$4/100*(1-VLOOKUP(D8,'DB technologies'!$N$11:$Y$25,8,FALSE)/100)*'Calc (ex-housing, ex-storage)'!F8/100/365*AJ8+I8+J8+K8,IF(AS8=5,(('Calc (ex-animal)'!$G$8*'DB additional information '!$K$4/100+'Calc (ex-animal)'!$H$8*'DB additional information '!$L$4/100))*(1-VLOOKUP(D8,'DB technologies'!$N$11:$Y$25,9,FALSE)/100)*'Calc (ex-housing, ex-storage)'!F8/100/365*AJ8+I8+J8+K8,IF(AS8=3,('Calc (ex-animal)'!$G$8*'DB additional information '!$K$4/100+'Calc (ex-animal)'!$H$8*'DB additional information '!$L$4/100)*(1-VLOOKUP(D8,'DB technologies'!$N$11:$Y$25,9,FALSE)/100)*'Calc (ex-housing, ex-storage)'!F8/100/365*AJ8+I8+J8+K8,IF(AS8=4,('Calc (ex-animal)'!$G$8*'DB additional information '!$K$4/100+'Calc (ex-animal)'!$H$8*'DB additional information '!$L$4/100)*(1-VLOOKUP(D8,'DB technologies'!$N$11:$Y$25,9,FALSE)/100)*'Calc (ex-housing, ex-storage)'!F8/100*VLOOKUP(D8,'DB technologies'!$N$11:$Y$25,12,FALSE)/100/365*AJ8+I8+J8+K8,0))))))</f>
        <v/>
      </c>
      <c r="AV8" s="448" t="str">
        <f>IF(D8="","",IF(AS8=2,0,IF(AS8=1,'Calc (ex-animal)'!$G$8*(1-'DB additional information '!$K$4/100)*(1-VLOOKUP(D8,'DB technologies'!$N$11:$Y$25,8,FALSE)/100)*'Calc (ex-housing, ex-storage)'!F8/100/365*AJ8+M8+N8+O8,IF(AS8=5,('Calc (ex-animal)'!$G$8*(1-'DB additional information '!$K$4/100)+'Calc (ex-animal)'!$H$8*(1-'DB additional information '!$L$4/100))*(1-VLOOKUP(D8,'DB technologies'!$N$11:$Y$25,8,FALSE)/100)*'Calc (ex-housing, ex-storage)'!F8/100/365*AJ8+M8+N8+O8,IF(AS8=3,('Calc (ex-animal)'!$G$8*(1-'DB additional information '!$K$4/100)+'Calc (ex-animal)'!$H$8*(1-'DB additional information '!$L$4/100))*(1-VLOOKUP(D8,'DB technologies'!$N$11:$Y$25,8,FALSE)/100)*'Calc (ex-housing, ex-storage)'!F8/100/365*AJ8+M8+N8+O8,IF(AS8=4,('Calc (ex-animal)'!$G$8*(1-'DB additional information '!$K$4/100)+'Calc (ex-animal)'!$H$8*(1-'DB additional information '!$L$4/100))*(1-VLOOKUP(D8,'DB technologies'!$N$11:$Y$25,8,FALSE)/100)*'Calc (ex-housing, ex-storage)'!F8/100*VLOOKUP(D8,'DB technologies'!$N$11:$Y$25,12,FALSE)/100/365*AJ8+M8+N8+O8,0))))))</f>
        <v/>
      </c>
      <c r="AW8" s="448" t="str">
        <f>IF(AS8="","",IF(AU8=0,0,AU8/AT8*100))</f>
        <v/>
      </c>
      <c r="AX8" s="189" t="str">
        <f>IF(D8="","",IF(AS8=2,0,IF(AS8=1,'Calc (ex-animal)'!$K$8*'Calc (ex-housing, ex-storage)'!F8/100/365*AJ8+Q8+R8+S8,IF(AS8=5,('Calc (ex-animal)'!$K$8+'Calc (ex-animal)'!$L$8)*'Calc (ex-housing, ex-storage)'!F8/100/365*AJ8+Q8+R8+S8-'Calc (ex-housing, ex-storage)'!AC8,IF(AS8=3,('Calc (ex-animal)'!$K$8+'Calc (ex-animal)'!$L$8)*'Calc (ex-housing, ex-storage)'!F8/100/365*AJ8+Q8+R8+S8-'Calc (ex-housing, ex-storage)'!AC8-AD8-AE8,IF(AI8=4,('Calc (ex-animal)'!$K$8+'Calc (ex-animal)'!$L$8)*'Calc (ex-housing, ex-storage)'!F8/100*VLOOKUP(D8,'DB technologies'!$N$11:$Y$25,12,FALSE)/100/365*AJ8+Q8+R8+S8-(VLOOKUP(D8,'DB technologies'!$N$11:$Y$25,12,FALSE)/100*AC8)-AD8-AE8,0))))))</f>
        <v/>
      </c>
      <c r="AY8" s="189" t="str">
        <f>IF(D8="","",IF(AS8=2,0,IF(AS8=1,'Calc (ex-animal)'!$N$8*'Calc (ex-housing, ex-storage)'!F8/100/365*AJ8+U8+V8+W8,IF(AS8=5,('Calc (ex-animal)'!$N$8+'Calc (ex-animal)'!$O$8)*'Calc (ex-housing, ex-storage)'!F8/100/365*AJ8+U8+V8+W8,IF(AS8=3,('Calc (ex-animal)'!$N$8+'Calc (ex-animal)'!$O$8)*'Calc (ex-housing, ex-storage)'!F8/100/365*AJ8+U8+V8+W8,IF(AS8=4,('Calc (ex-animal)'!$N$8+'Calc (ex-animal)'!$O$8)*'Calc (ex-housing, ex-storage)'!F8/100*VLOOKUP(D8,'DB technologies'!$N$11:$Y$25,12,FALSE)/100/365*AJ8+U8+V8+W8,0))))))</f>
        <v/>
      </c>
      <c r="AZ8" s="189" t="str">
        <f>IF(D8="","",IF(AS8=2,0,IF(AS8=1,'Calc (ex-animal)'!$Q$8*'Calc (ex-housing, ex-storage)'!F8/100/365*AJ8+Y8+Z8+AA8,IF(AS8=5,('Calc (ex-animal)'!$Q$8+'Calc (ex-animal)'!$R$8)*'Calc (ex-housing, ex-storage)'!F8/100/365*AJ8+Y8+Z8+AA8,IF(AS8=3,('Calc (ex-animal)'!$Q$8+'Calc (ex-animal)'!$R$8)*'Calc (ex-housing, ex-storage)'!F8/100/365*AJ8+Y8+Z8+AA8,IF(AS8=4,('Calc (ex-animal)'!$Q$8+'Calc (ex-animal)'!$R$8)*'Calc (ex-housing, ex-storage)'!F8/100*VLOOKUP(D8,'DB technologies'!$N$11:$Y$25,12,FALSE)/100/365*AJ8+Y8+Z8+AA8,0))))))</f>
        <v/>
      </c>
      <c r="BA8" s="97">
        <f>SUM(AK8:AK156)</f>
        <v>0</v>
      </c>
      <c r="BB8" s="97">
        <f>SUM(AL8:AL156)</f>
        <v>0</v>
      </c>
      <c r="BC8" s="506" t="e">
        <f>BB8/BA8*100</f>
        <v>#DIV/0!</v>
      </c>
      <c r="BD8" s="97">
        <f>SUM(AP8:AP156)</f>
        <v>0</v>
      </c>
      <c r="BE8" s="97">
        <f>SUM(AQ8:AQ156)</f>
        <v>0</v>
      </c>
      <c r="BF8" s="97">
        <f>SUM(AR8:AR156)</f>
        <v>0</v>
      </c>
      <c r="BG8" s="1357"/>
      <c r="BH8" s="1361"/>
      <c r="BI8" s="598" t="str">
        <f>IF(BG8="","",$BA$8*BH8/100-($BB$8*BH8/100*VLOOKUP(BG8,'DB technologies'!$AC$11:$AM$15,5,FALSE)/100)+(VLOOKUP(BG8,'DB technologies'!$AC$11:$AN$15,12,FALSE)*$BA$8*BH8/100))</f>
        <v/>
      </c>
      <c r="BJ8" s="551">
        <f>IF(BI8="",0,BI8*BK8/100)</f>
        <v>0</v>
      </c>
      <c r="BK8" s="508" t="str">
        <f>IF(BG8="","",($BB$8*BH8/100)/BI8*(1-(VLOOKUP(BG8,'DB technologies'!$AC$11:$AM$15,5,FALSE))/100)*100)</f>
        <v/>
      </c>
      <c r="BL8" s="261" t="str">
        <f>IF(BG8="","",$BD$8*BH8/100-BO8-BP8-BQ8)</f>
        <v/>
      </c>
      <c r="BM8" s="261" t="str">
        <f>IF(BG8="","",$BE$8*BH8/100)</f>
        <v/>
      </c>
      <c r="BN8" s="261" t="str">
        <f>IF(BG8="","",$BF$8*BH8/100)</f>
        <v/>
      </c>
      <c r="BO8" s="261" t="str">
        <f>IF(BG8="","",$BD$8*BH8/100*VLOOKUP(BG8,'DB technologies'!$AC$11:$AF$15,2,FALSE)/100)</f>
        <v/>
      </c>
      <c r="BP8" s="261" t="str">
        <f>IF(BG8="","",$BD$8*BH8/100*VLOOKUP(BG8,'DB technologies'!$AC$11:$AN$15,3,FALSE)/100)</f>
        <v/>
      </c>
      <c r="BQ8" s="262" t="str">
        <f>IF(BG8="","",$BD$8*BH8/100*VLOOKUP(BG8,'DB technologies'!$AC$11:$AN$15,4,FALSE)/100)</f>
        <v/>
      </c>
      <c r="BR8" s="116"/>
      <c r="BS8" s="117"/>
      <c r="BT8" s="118"/>
    </row>
    <row r="9" spans="1:74" ht="11.25" customHeight="1" x14ac:dyDescent="0.2">
      <c r="A9" s="684"/>
      <c r="B9" s="695"/>
      <c r="C9" s="251"/>
      <c r="D9" s="1357"/>
      <c r="E9" s="1358"/>
      <c r="F9" s="480" t="str">
        <f>IF('Calc (ex-animal)'!$F$8=1,"",IF($C$8=0,"",IF(D9="","",E9/'Calc (ex-animal)'!$E$8*100)))</f>
        <v/>
      </c>
      <c r="G9" s="485" t="str">
        <f>IF($C$8=0,"",IF('Calc (ex-animal)'!$F$8=1,"",IF(D9="","",SUM(H9:O9))))</f>
        <v/>
      </c>
      <c r="H9" s="423" t="str">
        <f>IF('Calc (ex-animal)'!$F$8=1,"",IF(D9="","",(((VLOOKUP($C$8,'Calc (ex-animal)'!$D$8:$Y$12,6,FALSE)-VLOOKUP($C$8,'Calc (ex-animal)'!$D$8:$Y$12,17,FALSE))*F9/100))*VLOOKUP($C$8,'Calc (ex-animal)'!$D$8:$Y$12,7,FALSE)/100*(1-VLOOKUP(D9,'DB technologies'!$N$11:$Y$25,9,FALSE)/100)))</f>
        <v/>
      </c>
      <c r="I9" s="423" t="str">
        <f>IF(D9="","",((VLOOKUP(D9,'DB technologies'!$N$11:$Y$25,2,FALSE)*VLOOKUP($C$8,'DB animal categories'!$C$10:$AC$21,27,FALSE)*E9/1000)/365*(VLOOKUP($C$8,'DB animal categories'!$C$10:$AC$21,27,FALSE)-VLOOKUP($C$8,'DB animal categories'!$C$10:$AC$21,25,FALSE)*VLOOKUP($C$8,'DB animal categories'!$C$10:$AC$21,26,FALSE)/24))*'DB additional information '!$S$6/100*(1-VLOOKUP(D9,'DB technologies'!$N$11:$Y$25,9,FALSE)/100))</f>
        <v/>
      </c>
      <c r="J9" s="434" t="str">
        <f>IF(D9="","",((VLOOKUP(D9,'DB technologies'!$N$11:$Y$25,3,FALSE)*VLOOKUP($C$8,'DB animal categories'!$C$10:$AC$21,27,FALSE)*E9/1000)/365*(VLOOKUP($C$8,'DB animal categories'!$C$10:$AC$21,27,FALSE)-VLOOKUP($C$8,'DB animal categories'!$C$10:$AC$21,25,FALSE)*VLOOKUP($C$8,'DB animal categories'!$C$10:$AC$21,26,FALSE)/24))*'DB additional information '!$S$7/100*(1-VLOOKUP(D9,'DB technologies'!$N$11:$Y$25,9,FALSE)/100))</f>
        <v/>
      </c>
      <c r="K9" s="434" t="str">
        <f>IF(D9="","",((VLOOKUP(D9,'DB technologies'!$N$11:$Y$25,4,FALSE)*E9*'DB additional information '!$S$8/100*(1-VLOOKUP(D9,'DB technologies'!$N$11:$Y$25,9,FALSE)/100))/365*(VLOOKUP($C$8,'DB animal categories'!$C$10:$AC$21,27,FALSE)-VLOOKUP($C$8,'DB animal categories'!$C$10:$AC$21,25,FALSE)*VLOOKUP($C$8,'DB animal categories'!$C$10:$AC$21,26,FALSE)/24)))</f>
        <v/>
      </c>
      <c r="L9" s="423" t="str">
        <f>IF('Calc (ex-animal)'!$F$8=1,"",IF(D9="","",(((VLOOKUP($C$8,'Calc (ex-animal)'!$D$8:$Y$12,6,FALSE)-VLOOKUP($C$8,'Calc (ex-animal)'!$D$8:$Y$12,17,FALSE))*F9/100))*(1-VLOOKUP($C$8,'Calc (ex-animal)'!$D$8:$Y$12,7,FALSE)/100)*(1-VLOOKUP(D9,'DB technologies'!$N$11:$V$25,8,FALSE)/100)))</f>
        <v/>
      </c>
      <c r="M9" s="434" t="str">
        <f>IF(D9="","",((VLOOKUP(D9,'DB technologies'!$N$11:$Y$25,2,FALSE)*VLOOKUP($C$8,'DB animal categories'!$C$10:$AC$21,27,FALSE)*E9/1000)/365*(VLOOKUP($C$8,'DB animal categories'!$C$10:$AC$21,27,FALSE)-VLOOKUP($C$8,'DB animal categories'!$C$10:$AC$21,25,FALSE)*VLOOKUP($C$8,'DB animal categories'!$C$10:$AC$21,26,FALSE)/24))*(1-'DB additional information '!$S$6/100)*(1-VLOOKUP(D9,'DB technologies'!$N$11:$Y$25,9,FALSE)/100))</f>
        <v/>
      </c>
      <c r="N9" s="434" t="str">
        <f>IF(D9="","",((VLOOKUP(D9,'DB technologies'!$N$11:$Y$25,3,FALSE)*VLOOKUP($C$8,'DB animal categories'!$C$10:$AC$21,27,FALSE)*E9/1000)/365*(VLOOKUP($C$8,'DB animal categories'!$C$10:$AC$21,27,FALSE)-VLOOKUP($C$8,'DB animal categories'!$C$10:$AC$21,25,FALSE)*VLOOKUP($C$8,'DB animal categories'!$C$10:$AC$21,26,FALSE)/24))*(1-'DB additional information '!$S$7/100)*(1-VLOOKUP(D9,'DB technologies'!$N$11:$Y$25,9,FALSE)/100))</f>
        <v/>
      </c>
      <c r="O9" s="423" t="str">
        <f>IF(D9="","",((VLOOKUP(D9,'DB technologies'!$N$11:$Y$25,4,FALSE)*E9*(1-'DB additional information '!$S$8/100)*(1-VLOOKUP(D9,'DB technologies'!$N$11:$Y$25,8,FALSE)/100))/365*(VLOOKUP($C$8,'DB animal categories'!$C$10:$AC$21,27,FALSE)-VLOOKUP($C$8,'DB animal categories'!$C$10:$AC$21,25,FALSE)*VLOOKUP($C$8,'DB animal categories'!$C$10:$AC$21,26,FALSE)/24)))</f>
        <v/>
      </c>
      <c r="P9" s="631" t="str">
        <f>IF(E9="","",IF(F9="","",IF($C$8=0,"",IF(D9="","",SUM(H9:K9)/G9*100))))</f>
        <v/>
      </c>
      <c r="Q9" s="416" t="str">
        <f>IF(D9="","",(VLOOKUP(D9,'DB technologies'!$N$11:$Y$25,2,FALSE)*'DB additional information '!$S$6/100*'DB additional information '!$T$6*VLOOKUP($C$8,'DB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R9" s="416" t="str">
        <f>IF(D9="","",(VLOOKUP(D9,'DB technologies'!$N$11:$Y$25,3,FALSE)*'DB additional information '!$S$7/100*'DB additional information '!$T$7*VLOOKUP($C$8,'DB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S9" s="491" t="str">
        <f>IF(D9="","",(VLOOKUP(D9,'DB technologies'!$N$11:$Y$25,4,FALSE)*('DB additional information '!$S$8/100*'DB additional information '!$T$8*E9/1000/1000)))</f>
        <v/>
      </c>
      <c r="T9" s="261" t="str">
        <f>IF($C$8=0,"",IF('Calc (ex-animal)'!$F$8=1,"",IF(D9="","",((VLOOKUP($C$8,'Calc (ex-animal)'!$D$8:$Y$12,10,FALSE)-VLOOKUP($C$8,'Calc (ex-animal)'!$D$8:$Y$12,18,FALSE))*F9/100+Q9+R9+S9)-AC9-AD9-AE9)))</f>
        <v/>
      </c>
      <c r="U9" s="422" t="str">
        <f>IF(D9="","",(VLOOKUP(D9,'DB technologies'!$N$11:$Y$25,2,FALSE)*'DB additional information '!$S$6/100*'DB additional information '!$U$6*VLOOKUP($C$8,'DB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V9" s="418" t="str">
        <f>IF(D9="","",(VLOOKUP(D9,'DB technologies'!$N$11:$Y$25,3,FALSE)*'DB additional information '!$S$7/100*'DB additional information '!$U$7*VLOOKUP($C$8,'DB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W9" s="417" t="str">
        <f>IF(D9="","",(VLOOKUP(D9,'DB technologies'!$N$11:$Y$25,4,FALSE)*('DB additional information '!$S$8/100*'DB additional information '!$U$8*E9/1000/1000)))</f>
        <v/>
      </c>
      <c r="X9" s="261" t="str">
        <f>IF($C$8=0,"",IF('Calc (ex-animal)'!$F$8=1,"",IF(D9="","",((VLOOKUP($C$8,'Calc (ex-animal)'!$D$8:$Y$12,13,FALSE)-VLOOKUP($C$8,'Calc (ex-animal)'!$D$8:$Y$12,19,FALSE))*F9/100+U9+V9+W9))))</f>
        <v/>
      </c>
      <c r="Y9" s="418" t="str">
        <f>IF(D9="","",(VLOOKUP(D9,'DB technologies'!$N$11:$Y$25,2,FALSE)*'DB additional information '!$S$6/100*'DB additional information '!$V$6*VLOOKUP($C$8,'DB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Z9" s="418" t="str">
        <f>IF(D9="","",(VLOOKUP(D9,'DB technologies'!$N$11:$Y$25,3,FALSE)*'DB additional information '!$S$7/100*'DB additional information '!$V$7*VLOOKUP($C$8,'DB animal categories'!$C$10:$AC$21,27,FALSE)*E9/1000/1000)/365*(VLOOKUP($C$8,'DB animal categories'!$C$10:$AC$21,27,FALSE)-VLOOKUP($C$8,'DB animal categories'!$C$10:$AC$21,25,FALSE)*VLOOKUP($C$8,'DB animal categories'!$C$10:$AC$21,26,FALSE)/24))</f>
        <v/>
      </c>
      <c r="AA9" s="418" t="str">
        <f>IF(D9="","",(VLOOKUP(D9,'DB technologies'!$N$11:$Y$25,4,FALSE)*('DB additional information '!$S$8/100*'DB additional information '!$V$8*E9/1000/1000)))</f>
        <v/>
      </c>
      <c r="AB9" s="261" t="str">
        <f>IF($C$8=0,"",IF('Calc (ex-animal)'!$F$8=1,"",IF(D9="","",((VLOOKUP($C$8,'Calc (ex-animal)'!$D$8:$Y$12,16,FALSE)-VLOOKUP($C$8,'Calc (ex-animal)'!$D$8:$Y$12,20,FALSE))*F9/100+Y9+Z9+AA9))))</f>
        <v/>
      </c>
      <c r="AC9" s="261" t="str">
        <f>IF($C$8=0,"",IF('Calc (ex-animal)'!$F$8=1,"",IF(D9="","",VLOOKUP($C$8,'Calc (ex-animal)'!$D$8:$Y$12,9,FALSE)/365*(VLOOKUP($C$8,'DB animal categories'!$C$10:$AC$21,27,FALSE)-VLOOKUP($C$8,'DB animal categories'!$C$10:$AC$21,25,FALSE)*VLOOKUP($C$8,'DB animal categories'!$C$10:$AC$21,26,FALSE)/24)*F9/100*VLOOKUP(D9,'DB technologies'!$N$11:$R$25,5,FALSE)/100)))</f>
        <v/>
      </c>
      <c r="AD9" s="261" t="str">
        <f>IF($C$8=0,"",IF('Calc (ex-animal)'!$F$8=1,"",IF(D9="","",VLOOKUP($C$8,'Calc (ex-animal)'!$D$8:$Y$12,10,FALSE)/365*(VLOOKUP($C$8,'DB animal categories'!$C$10:$AC$21,27,FALSE)-VLOOKUP($C$8,'DB animal categories'!$C$10:$AC$21,25,FALSE)*VLOOKUP($C$8,'DB animal categories'!$C$10:$AC$21,26,FALSE)/24)*F9/100*VLOOKUP(D9,'DB technologies'!$N$11:$Y$25,6,FALSE)/100)))</f>
        <v/>
      </c>
      <c r="AE9" s="262" t="str">
        <f>IF($C$8=0,"",IF('Calc (ex-animal)'!$F$8=1,"",IF(D9="","",VLOOKUP($C$8,'Calc (ex-animal)'!$D$8:$Y$12,10,FALSE)/365*(VLOOKUP($C$8,'DB animal categories'!$C$10:$AC$21,27,FALSE)-VLOOKUP($C$8,'DB animal categories'!$C$10:$AC$21,25,FALSE)*VLOOKUP($C$8,'DB animal categories'!$C$10:$AC$21,26,FALSE)/24)*F9/100*VLOOKUP(D9,'DB technologies'!$N$11:$Y$25,7,FALSE)/100)))</f>
        <v/>
      </c>
      <c r="AG9" s="695"/>
      <c r="AH9" s="695"/>
      <c r="AI9" s="186" t="str">
        <f>IF(D9="","",VLOOKUP(D9,'DB technologies'!$N$11:$Y$25,10,FALSE))</f>
        <v/>
      </c>
      <c r="AJ9" s="449" t="e">
        <f>VLOOKUP($C$8,'DB animal categories'!$C$10:$AN$21,27,FALSE)-VLOOKUP($C$8,'DB animal categories'!$C$10:$AN$21,26,FALSE)*VLOOKUP($C$8,'DB animal categories'!$C$10:$AN$21,25,FALSE)/24</f>
        <v>#N/A</v>
      </c>
      <c r="AK9" s="442" t="str">
        <f>IF(AI9="","",AL9+AM9)</f>
        <v/>
      </c>
      <c r="AL9" s="442" t="str">
        <f>IF(D9="","",IF(AI9=2,(('Calc (ex-animal)'!$G$8*'DB additional information '!$K$4/100*(1-VLOOKUP(D9,'DB technologies'!$N$11:$Y$25,9,FALSE)/100)*'Calc (ex-housing, ex-storage)'!F9/100+'Calc (ex-animal)'!$H$8*'DB additional information '!$L$4/100*(1-VLOOKUP(D9,'DB technologies'!$N$11:$Y$25,9,FALSE)/100)*'Calc (ex-housing, ex-storage)'!F9/100))/365*AJ9+I9+J9+K9,IF(AI9=1,('Calc (ex-animal)'!$H$8*'DB additional information '!$L$4/100*(1-VLOOKUP(D9,'DB technologies'!$N$11:$Y$25,9,FALSE)/100)*'Calc (ex-housing, ex-storage)'!F9/100)/365*AJ9,IF(AI9=4,('Calc (ex-animal)'!$G$8*'DB additional information '!$K$4/100+'Calc (ex-animal)'!$H$8*'DB additional information '!$L$4/100)*(1-VLOOKUP(D9,'DB technologies'!$N$11:$Y$25,9,FALSE)/100)*'Calc (ex-housing, ex-storage)'!F9/100*VLOOKUP(D9,'DB technologies'!$N$11:$Y$25,11,FALSE)/100/365*AJ9,0))))</f>
        <v/>
      </c>
      <c r="AM9" s="442" t="str">
        <f>IF(D9="","",IF(AI9=2,(('Calc (ex-animal)'!$G$8*(1-'DB additional information '!$K$4/100)*(1-VLOOKUP(D9,'DB technologies'!$N$11:$Y$25,8,FALSE)/100)*'Calc (ex-housing, ex-storage)'!F9/100+'Calc (ex-animal)'!$H$8*(1-'DB additional information '!$L$4/100)*(1-VLOOKUP(D9,'DB technologies'!$N$11:$Y$25,8,FALSE)/100)*'Calc (ex-housing, ex-storage)'!F9/100))/365*AJ9+M9+N9+O9,IF(AI9=1,('Calc (ex-animal)'!$H$8*(1-'DB additional information '!$L$4/100)*(1-VLOOKUP(D9,'DB technologies'!$N$11:$Y$25,8,FALSE)/100)*'Calc (ex-housing, ex-storage)'!F9/100)/365*AJ9,IF(AI9=4,('Calc (ex-animal)'!$G$8*(1-'DB additional information '!$K$4/100)+'Calc (ex-animal)'!$H$8*(1-'DB additional information '!$L$4/100))*(1-VLOOKUP(D9,'DB technologies'!$N$11:$Y$25,8,FALSE)/100)*'Calc (ex-housing, ex-storage)'!F9/100*VLOOKUP(D9,'DB technologies'!$N$11:$Y$25,11,FALSE)/100/365*AJ9,0))))</f>
        <v/>
      </c>
      <c r="AN9" s="442" t="str">
        <f>IF(AI9="","",IF(AL9=0,0,AL9/AK9*100))</f>
        <v/>
      </c>
      <c r="AO9" s="182" t="str">
        <f>IF(D9="","",IF(AI9=2,(('Calc (ex-animal)'!$L$8*'Calc (ex-housing, ex-storage)'!F9/100+'Calc (ex-animal)'!$K$8*'Calc (ex-housing, ex-storage)'!F9/100))/365*AJ9+Q9+R9+S9-AC9,IF(AI9=1,('Calc (ex-animal)'!$L$8*'Calc (ex-housing, ex-storage)'!F9/100)/365*AJ9-'Calc (ex-housing, ex-storage)'!AC9,IF(AI9=4,('Calc (ex-animal)'!$L$8+'Calc (ex-animal)'!$K$8)*'Calc (ex-housing, ex-storage)'!F9/100*VLOOKUP(D9,'DB technologies'!$N$11:$Y$25,11,FALSE)/100/365*AJ9-AC9*VLOOKUP(D9,'DB technologies'!$N$11:$Y$25,11,FALSE)/100,0))))</f>
        <v/>
      </c>
      <c r="AP9" s="182" t="str">
        <f>IF(D9="","",IF(AO9&lt;-0.01,0,IF(AI9=2,(('Calc (ex-animal)'!$L$8*'Calc (ex-housing, ex-storage)'!F9/100+'Calc (ex-animal)'!$K$8*'Calc (ex-housing, ex-storage)'!F9/100))/365*AJ9+Q9+R9+S9-AC9,IF(AI9=1,('Calc (ex-animal)'!$L$8*'Calc (ex-housing, ex-storage)'!F9/100)/365*AJ9-'Calc (ex-housing, ex-storage)'!AC9,IF(AI9=4,('Calc (ex-animal)'!$L$8+'Calc (ex-animal)'!$K$8)*'Calc (ex-housing, ex-storage)'!F9/100*VLOOKUP(D9,'DB technologies'!$N$11:$Y$25,11,FALSE)/100/365*AJ9-AC9*VLOOKUP(D9,'DB technologies'!$N$11:$Y$25,11,FALSE)/100,0)))))</f>
        <v/>
      </c>
      <c r="AQ9" s="182" t="str">
        <f>IF(D9="","",IF(AI9=2,('Calc (ex-animal)'!$O$8*'Calc (ex-housing, ex-storage)'!F9/100+'Calc (ex-animal)'!$N$8*'Calc (ex-housing, ex-storage)'!F9/100)/365*AJ9+U9+V9+W9,IF(AI9=1,'Calc (ex-animal)'!$O$8*'Calc (ex-housing, ex-storage)'!F9/100/365*AJ9,IF(AI9=4,('Calc (ex-animal)'!$O$8+'Calc (ex-animal)'!$N$8)*'Calc (ex-housing, ex-storage)'!F9/100*VLOOKUP(D9,'DB technologies'!$N$11:$Y$25,11,FALSE)/100/365*AJ9,0))))</f>
        <v/>
      </c>
      <c r="AR9" s="182" t="str">
        <f>IF(D9="","",IF(AI9=2,('Calc (ex-animal)'!$R$8*'Calc (ex-housing, ex-storage)'!F9/100+'Calc (ex-animal)'!$Q$8*'Calc (ex-housing, ex-storage)'!F9/100)/365*AJ9+Y9+Z9+AA9,IF(AI9=1,'Calc (ex-animal)'!$R$8*'Calc (ex-housing, ex-storage)'!F9/100/365*AJ9,IF(AI9=4,('Calc (ex-animal)'!$R$8+'Calc (ex-animal)'!$Q$8)*'Calc (ex-housing, ex-storage)'!F9/100*VLOOKUP(D9,'DB technologies'!$N$11:$Y$25,11,FALSE)/100/365*AJ9,0))))</f>
        <v/>
      </c>
      <c r="AS9" s="181" t="str">
        <f>IF(D9="","",VLOOKUP(D9,'DB technologies'!$N$11:$Y$25,10,FALSE))</f>
        <v/>
      </c>
      <c r="AT9" s="442" t="str">
        <f>IF(AS9="","",AU9+AV9)</f>
        <v/>
      </c>
      <c r="AU9" s="442" t="str">
        <f>IF(D9="","",IF(AS9=2,0,IF(AS9=1,'Calc (ex-animal)'!$G$8*'DB additional information '!$K$4/100*(1-VLOOKUP(D9,'DB technologies'!$N$11:$Y$25,8,FALSE)/100)*'Calc (ex-housing, ex-storage)'!F9/100/365*AJ9+I9+J9+K9,IF(AS9=5,(('Calc (ex-animal)'!$G$8*'DB additional information '!$K$4/100+'Calc (ex-animal)'!$H$8*'DB additional information '!$L$4/100))*(1-VLOOKUP(D9,'DB technologies'!$N$11:$Y$25,9,FALSE)/100)*'Calc (ex-housing, ex-storage)'!F9/100/365*AJ9+I9+J9+K9,IF(AS9=3,('Calc (ex-animal)'!$G$8*'DB additional information '!$K$4/100+'Calc (ex-animal)'!$H$8*'DB additional information '!$L$4/100)*(1-VLOOKUP(D9,'DB technologies'!$N$11:$Y$25,9,FALSE)/100)*'Calc (ex-housing, ex-storage)'!F9/100/365*AJ9+I9+J9+K9,IF(AS9=4,('Calc (ex-animal)'!$G$8*'DB additional information '!$K$4/100+'Calc (ex-animal)'!$H$8*'DB additional information '!$L$4/100)*(1-VLOOKUP(D9,'DB technologies'!$N$11:$Y$25,9,FALSE)/100)*'Calc (ex-housing, ex-storage)'!F9/100*VLOOKUP(D9,'DB technologies'!$N$11:$Y$25,12,FALSE)/100/365*AJ9+I9+J9+K9,0))))))</f>
        <v/>
      </c>
      <c r="AV9" s="442" t="str">
        <f>IF(D9="","",IF(AS9=2,0,IF(AS9=1,'Calc (ex-animal)'!$G$8*(1-'DB additional information '!$K$4/100)*(1-VLOOKUP(D9,'DB technologies'!$N$11:$Y$25,8,FALSE)/100)*'Calc (ex-housing, ex-storage)'!F9/100/365*AJ9+M9+N9+O9,IF(AS9=5,('Calc (ex-animal)'!$G$8*(1-'DB additional information '!$K$4/100)+'Calc (ex-animal)'!$H$8*(1-'DB additional information '!$L$4/100))*(1-VLOOKUP(D9,'DB technologies'!$N$11:$Y$25,8,FALSE)/100)*'Calc (ex-housing, ex-storage)'!F9/100/365*AJ9+M9+N9+O9,IF(AS9=3,('Calc (ex-animal)'!$G$8*(1-'DB additional information '!$K$4/100)+'Calc (ex-animal)'!$H$8*(1-'DB additional information '!$L$4/100))*(1-VLOOKUP(D9,'DB technologies'!$N$11:$Y$25,8,FALSE)/100)*'Calc (ex-housing, ex-storage)'!F9/100/365*AJ9+M9+N9+O9,IF(AS9=4,('Calc (ex-animal)'!$G$8*(1-'DB additional information '!$K$4/100)+'Calc (ex-animal)'!$H$8*(1-'DB additional information '!$L$4/100))*(1-VLOOKUP(D9,'DB technologies'!$N$11:$Y$25,8,FALSE)/100)*'Calc (ex-housing, ex-storage)'!F9/100*VLOOKUP(D9,'DB technologies'!$N$11:$Y$25,12,FALSE)/100/365*AJ9+M9+N9+O9,0))))))</f>
        <v/>
      </c>
      <c r="AW9" s="442" t="str">
        <f>IF(AS9="","",IF(AU9=0,0,AU9/AT9*100))</f>
        <v/>
      </c>
      <c r="AX9" s="182" t="str">
        <f>IF(D9="","",IF(AS9=2,0,IF(AS9=1,'Calc (ex-animal)'!$K$8*'Calc (ex-housing, ex-storage)'!F9/100/365*AJ9+Q9+R9+S9,IF(AS9=5,('Calc (ex-animal)'!$K$8+'Calc (ex-animal)'!$L$8)*'Calc (ex-housing, ex-storage)'!F9/100/365*AJ9+Q9+R9+S9-'Calc (ex-housing, ex-storage)'!AC9,IF(AS9=3,('Calc (ex-animal)'!$K$8+'Calc (ex-animal)'!$L$8)*'Calc (ex-housing, ex-storage)'!F9/100/365*AJ9+Q9+R9+S9-'Calc (ex-housing, ex-storage)'!AC9-AD9-AE9,IF(AI9=4,('Calc (ex-animal)'!$K$8+'Calc (ex-animal)'!$L$8)*'Calc (ex-housing, ex-storage)'!F9/100*VLOOKUP(D9,'DB technologies'!$N$11:$Y$25,12,FALSE)/100/365*AJ9+Q9+R9+S9-(VLOOKUP(D9,'DB technologies'!$N$11:$Y$25,12,FALSE)/100*AC9)-AD9-AE9,0))))))</f>
        <v/>
      </c>
      <c r="AY9" s="182" t="str">
        <f>IF(D9="","",IF(AS9=2,0,IF(AS9=1,'Calc (ex-animal)'!$N$8*'Calc (ex-housing, ex-storage)'!F9/100/365*AJ9+U9+V9+W9,IF(AS9=5,('Calc (ex-animal)'!$N$8+'Calc (ex-animal)'!$O$8)*'Calc (ex-housing, ex-storage)'!F9/100/365*AJ9+U9+V9+W9,IF(AS9=3,('Calc (ex-animal)'!$N$8+'Calc (ex-animal)'!$O$8)*'Calc (ex-housing, ex-storage)'!F9/100/365*AJ9+U9+V9+W9,IF(AS9=4,('Calc (ex-animal)'!$N$8+'Calc (ex-animal)'!$O$8)*'Calc (ex-housing, ex-storage)'!F9/100*VLOOKUP(D9,'DB technologies'!$N$11:$Y$25,12,FALSE)/100/365*AJ9+U9+V9+W9,0))))))</f>
        <v/>
      </c>
      <c r="AZ9" s="182" t="str">
        <f>IF(D9="","",IF(AS9=2,0,IF(AS9=1,'Calc (ex-animal)'!$Q$8*'Calc (ex-housing, ex-storage)'!F9/100/365*AJ9+Y9+Z9+AA9,IF(AS9=5,('Calc (ex-animal)'!$Q$8+'Calc (ex-animal)'!$R$8)*'Calc (ex-housing, ex-storage)'!F9/100/365*AJ9+Y9+Z9+AA9,IF(AS9=3,('Calc (ex-animal)'!$Q$8+'Calc (ex-animal)'!$R$8)*'Calc (ex-housing, ex-storage)'!F9/100/365*AJ9+Y9+Z9+AA9,IF(AS9=4,('Calc (ex-animal)'!$Q$8+'Calc (ex-animal)'!$R$8)*'Calc (ex-housing, ex-storage)'!F9/100*VLOOKUP(D9,'DB technologies'!$N$11:$Y$25,12,FALSE)/100/365*AJ9+Y9+Z9+AA9,0))))))</f>
        <v/>
      </c>
      <c r="BA9" s="506"/>
      <c r="BB9" s="506"/>
      <c r="BC9" s="506"/>
      <c r="BD9" s="97"/>
      <c r="BE9" s="42"/>
      <c r="BF9" s="42"/>
      <c r="BG9" s="1357"/>
      <c r="BH9" s="1361"/>
      <c r="BI9" s="598" t="str">
        <f>IF(BG9="","",$BA$8*BH9/100-($BB$8*BH9/100*VLOOKUP(BG9,'DB technologies'!$AC$11:$AM$15,5,FALSE)/100)+(VLOOKUP(BG9,'DB technologies'!$AC$11:$AN$15,12,FALSE)*$BA$8*BH9/100))</f>
        <v/>
      </c>
      <c r="BJ9" s="551">
        <f>IF(BI9="",0,BI9*BK9/100)</f>
        <v>0</v>
      </c>
      <c r="BK9" s="508" t="str">
        <f>IF(BG9="","",($BB$8*BH9/100)/BI9*(1-(VLOOKUP(BG9,'DB technologies'!$AC$11:$AM$15,5,FALSE))/100)*100)</f>
        <v/>
      </c>
      <c r="BL9" s="261" t="str">
        <f>IF(BG9="","",$BD$8*BH9/100-BO9-BP9-BQ9)</f>
        <v/>
      </c>
      <c r="BM9" s="261" t="str">
        <f>IF(BG9="","",$BE$8*BH9/100)</f>
        <v/>
      </c>
      <c r="BN9" s="261" t="str">
        <f>IF(BG9="","",$BF$8*BH9/100)</f>
        <v/>
      </c>
      <c r="BO9" s="261" t="str">
        <f>IF(BG9="","",$BD$8*BH9/100*VLOOKUP(BG9,'DB technologies'!$AC$11:$AF$15,2,FALSE)/100)</f>
        <v/>
      </c>
      <c r="BP9" s="261" t="str">
        <f>IF(BG9="","",$BD$8*BH9/100*VLOOKUP(BG9,'DB technologies'!$AC$11:$AN$15,3,FALSE)/100)</f>
        <v/>
      </c>
      <c r="BQ9" s="262" t="str">
        <f>IF(BG9="","",$BD$8*BH9/100*VLOOKUP(BG9,'DB technologies'!$AC$11:$AN$15,4,FALSE)/100)</f>
        <v/>
      </c>
      <c r="BR9" s="116"/>
      <c r="BS9" s="117"/>
      <c r="BT9" s="118"/>
    </row>
    <row r="10" spans="1:74" ht="11.25" customHeight="1" x14ac:dyDescent="0.2">
      <c r="A10" s="684"/>
      <c r="B10" s="695"/>
      <c r="C10" s="251"/>
      <c r="D10" s="1357"/>
      <c r="E10" s="1358"/>
      <c r="F10" s="480" t="str">
        <f>IF('Calc (ex-animal)'!$F$8=1,"",IF($C$8=0,"",IF(D10="","",E10/'Calc (ex-animal)'!$E$8*100)))</f>
        <v/>
      </c>
      <c r="G10" s="485" t="str">
        <f>IF($C$8=0,"",IF('Calc (ex-animal)'!$F$8=1,"",IF(D10="","",SUM(H10:O10))))</f>
        <v/>
      </c>
      <c r="H10" s="423" t="str">
        <f>IF('Calc (ex-animal)'!$F$8=1,"",IF(D10="","",(((VLOOKUP($C$8,'Calc (ex-animal)'!$D$8:$Y$12,6,FALSE)-VLOOKUP($C$8,'Calc (ex-animal)'!$D$8:$Y$12,17,FALSE))*F10/100))*VLOOKUP($C$8,'Calc (ex-animal)'!$D$8:$Y$12,7,FALSE)/100*(1-VLOOKUP(D10,'DB technologies'!$N$11:$Y$25,9,FALSE)/100)))</f>
        <v/>
      </c>
      <c r="I10" s="423" t="str">
        <f>IF(D10="","",((VLOOKUP(D10,'DB technologies'!$N$11:$Y$25,2,FALSE)*VLOOKUP($C$8,'DB animal categories'!$C$10:$AC$21,27,FALSE)*E10/1000)/365*(VLOOKUP($C$8,'DB animal categories'!$C$10:$AC$21,27,FALSE)-VLOOKUP($C$8,'DB animal categories'!$C$10:$AC$21,25,FALSE)*VLOOKUP($C$8,'DB animal categories'!$C$10:$AC$21,26,FALSE)/24))*'DB additional information '!$S$6/100*(1-VLOOKUP(D10,'DB technologies'!$N$11:$Y$25,9,FALSE)/100))</f>
        <v/>
      </c>
      <c r="J10" s="434" t="str">
        <f>IF(D10="","",((VLOOKUP(D10,'DB technologies'!$N$11:$Y$25,3,FALSE)*VLOOKUP($C$8,'DB animal categories'!$C$10:$AC$21,27,FALSE)*E10/1000)/365*(VLOOKUP($C$8,'DB animal categories'!$C$10:$AC$21,27,FALSE)-VLOOKUP($C$8,'DB animal categories'!$C$10:$AC$21,25,FALSE)*VLOOKUP($C$8,'DB animal categories'!$C$10:$AC$21,26,FALSE)/24))*'DB additional information '!$S$7/100*(1-VLOOKUP(D10,'DB technologies'!$N$11:$Y$25,9,FALSE)/100))</f>
        <v/>
      </c>
      <c r="K10" s="434" t="str">
        <f>IF(D10="","",((VLOOKUP(D10,'DB technologies'!$N$11:$Y$25,4,FALSE)*E10*'DB additional information '!$S$8/100*(1-VLOOKUP(D10,'DB technologies'!$N$11:$Y$25,9,FALSE)/100))/365*(VLOOKUP($C$8,'DB animal categories'!$C$10:$AC$21,27,FALSE)-VLOOKUP($C$8,'DB animal categories'!$C$10:$AC$21,25,FALSE)*VLOOKUP($C$8,'DB animal categories'!$C$10:$AC$21,26,FALSE)/24)))</f>
        <v/>
      </c>
      <c r="L10" s="423" t="str">
        <f>IF('Calc (ex-animal)'!$F$8=1,"",IF(D10="","",(((VLOOKUP($C$8,'Calc (ex-animal)'!$D$8:$Y$12,6,FALSE)-VLOOKUP($C$8,'Calc (ex-animal)'!$D$8:$Y$12,17,FALSE))*F10/100))*(1-VLOOKUP($C$8,'Calc (ex-animal)'!$D$8:$Y$12,7,FALSE)/100)*(1-VLOOKUP(D10,'DB technologies'!$N$11:$V$25,8,FALSE)/100)))</f>
        <v/>
      </c>
      <c r="M10" s="434" t="str">
        <f>IF(D10="","",((VLOOKUP(D10,'DB technologies'!$N$11:$Y$25,2,FALSE)*VLOOKUP($C$8,'DB animal categories'!$C$10:$AC$21,27,FALSE)*E10/1000)/365*(VLOOKUP($C$8,'DB animal categories'!$C$10:$AC$21,27,FALSE)-VLOOKUP($C$8,'DB animal categories'!$C$10:$AC$21,25,FALSE)*VLOOKUP($C$8,'DB animal categories'!$C$10:$AC$21,26,FALSE)/24))*(1-'DB additional information '!$S$6/100)*(1-VLOOKUP(D10,'DB technologies'!$N$11:$Y$25,9,FALSE)/100))</f>
        <v/>
      </c>
      <c r="N10" s="434" t="str">
        <f>IF(D10="","",((VLOOKUP(D10,'DB technologies'!$N$11:$Y$25,3,FALSE)*VLOOKUP($C$8,'DB animal categories'!$C$10:$AC$21,27,FALSE)*E10/1000)/365*(VLOOKUP($C$8,'DB animal categories'!$C$10:$AC$21,27,FALSE)-VLOOKUP($C$8,'DB animal categories'!$C$10:$AC$21,25,FALSE)*VLOOKUP($C$8,'DB animal categories'!$C$10:$AC$21,26,FALSE)/24))*(1-'DB additional information '!$S$7/100)*(1-VLOOKUP(D10,'DB technologies'!$N$11:$Y$25,9,FALSE)/100))</f>
        <v/>
      </c>
      <c r="O10" s="423" t="str">
        <f>IF(D10="","",((VLOOKUP(D10,'DB technologies'!$N$11:$Y$25,4,FALSE)*E10*(1-'DB additional information '!$S$8/100)*(1-VLOOKUP(D10,'DB technologies'!$N$11:$Y$25,8,FALSE)/100))/365*(VLOOKUP($C$8,'DB animal categories'!$C$10:$AC$21,27,FALSE)-VLOOKUP($C$8,'DB animal categories'!$C$10:$AC$21,25,FALSE)*VLOOKUP($C$8,'DB animal categories'!$C$10:$AC$21,26,FALSE)/24)))</f>
        <v/>
      </c>
      <c r="P10" s="631" t="str">
        <f>IF(E10="","",IF(F10="","",IF($C$8=0,"",IF(D10="","",SUM(H10:K10)/G10*100))))</f>
        <v/>
      </c>
      <c r="Q10" s="416" t="str">
        <f>IF(D10="","",(VLOOKUP(D10,'DB technologies'!$N$11:$Y$25,2,FALSE)*'DB additional information '!$S$6/100*'DB additional information '!$T$6*VLOOKUP($C$8,'DB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R10" s="416" t="str">
        <f>IF(D10="","",(VLOOKUP(D10,'DB technologies'!$N$11:$Y$25,3,FALSE)*'DB additional information '!$S$7/100*'DB additional information '!$T$7*VLOOKUP($C$8,'DB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S10" s="491" t="str">
        <f>IF(D10="","",(VLOOKUP(D10,'DB technologies'!$N$11:$Y$25,4,FALSE)*('DB additional information '!$S$8/100*'DB additional information '!$T$8*E10/1000/1000)))</f>
        <v/>
      </c>
      <c r="T10" s="261" t="str">
        <f>IF($C$8=0,"",IF('Calc (ex-animal)'!$F$8=1,"",IF(D10="","",((VLOOKUP($C$8,'Calc (ex-animal)'!$D$8:$Y$12,10,FALSE)-VLOOKUP($C$8,'Calc (ex-animal)'!$D$8:$Y$12,18,FALSE))*F10/100+Q10+R10+S10)-AC10-AD10-AE10)))</f>
        <v/>
      </c>
      <c r="U10" s="422" t="str">
        <f>IF(D10="","",(VLOOKUP(D10,'DB technologies'!$N$11:$Y$25,2,FALSE)*'DB additional information '!$S$6/100*'DB additional information '!$U$6*VLOOKUP($C$8,'DB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V10" s="418" t="str">
        <f>IF(D10="","",(VLOOKUP(D10,'DB technologies'!$N$11:$Y$25,3,FALSE)*'DB additional information '!$S$7/100*'DB additional information '!$U$7*VLOOKUP($C$8,'DB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W10" s="417" t="str">
        <f>IF(D10="","",(VLOOKUP(D10,'DB technologies'!$N$11:$Y$25,4,FALSE)*('DB additional information '!$S$8/100*'DB additional information '!$U$8*E10/1000/1000)))</f>
        <v/>
      </c>
      <c r="X10" s="261" t="str">
        <f>IF($C$8=0,"",IF('Calc (ex-animal)'!$F$8=1,"",IF(D10="","",((VLOOKUP($C$8,'Calc (ex-animal)'!$D$8:$Y$12,13,FALSE)-VLOOKUP($C$8,'Calc (ex-animal)'!$D$8:$Y$12,19,FALSE))*F10/100+U10+V10+W10))))</f>
        <v/>
      </c>
      <c r="Y10" s="418" t="str">
        <f>IF(D10="","",(VLOOKUP(D10,'DB technologies'!$N$11:$Y$25,2,FALSE)*'DB additional information '!$S$6/100*'DB additional information '!$V$6*VLOOKUP($C$8,'DB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Z10" s="418" t="str">
        <f>IF(D10="","",(VLOOKUP(D10,'DB technologies'!$N$11:$Y$25,3,FALSE)*'DB additional information '!$S$7/100*'DB additional information '!$V$7*VLOOKUP($C$8,'DB animal categories'!$C$10:$AC$21,27,FALSE)*E10/1000/1000)/365*(VLOOKUP($C$8,'DB animal categories'!$C$10:$AC$21,27,FALSE)-VLOOKUP($C$8,'DB animal categories'!$C$10:$AC$21,25,FALSE)*VLOOKUP($C$8,'DB animal categories'!$C$10:$AC$21,26,FALSE)/24))</f>
        <v/>
      </c>
      <c r="AA10" s="418" t="str">
        <f>IF(D10="","",(VLOOKUP(D10,'DB technologies'!$N$11:$Y$25,4,FALSE)*('DB additional information '!$S$8/100*'DB additional information '!$V$8*E10/1000/1000)))</f>
        <v/>
      </c>
      <c r="AB10" s="261" t="str">
        <f>IF($C$8=0,"",IF('Calc (ex-animal)'!$F$8=1,"",IF(D10="","",((VLOOKUP($C$8,'Calc (ex-animal)'!$D$8:$Y$12,16,FALSE)-VLOOKUP($C$8,'Calc (ex-animal)'!$D$8:$Y$12,20,FALSE))*F10/100+Y10+Z10+AA10))))</f>
        <v/>
      </c>
      <c r="AC10" s="261" t="str">
        <f>IF($C$8=0,"",IF('Calc (ex-animal)'!$F$8=1,"",IF(D10="","",VLOOKUP($C$8,'Calc (ex-animal)'!$D$8:$Y$12,9,FALSE)/365*(VLOOKUP($C$8,'DB animal categories'!$C$10:$AC$21,27,FALSE)-VLOOKUP($C$8,'DB animal categories'!$C$10:$AC$21,25,FALSE)*VLOOKUP($C$8,'DB animal categories'!$C$10:$AC$21,26,FALSE)/24)*F10/100*VLOOKUP(D10,'DB technologies'!$N$11:$R$25,5,FALSE)/100)))</f>
        <v/>
      </c>
      <c r="AD10" s="261" t="str">
        <f>IF($C$8=0,"",IF('Calc (ex-animal)'!$F$8=1,"",IF(D10="","",VLOOKUP($C$8,'Calc (ex-animal)'!$D$8:$Y$12,10,FALSE)/365*(VLOOKUP($C$8,'DB animal categories'!$C$10:$AC$21,27,FALSE)-VLOOKUP($C$8,'DB animal categories'!$C$10:$AC$21,25,FALSE)*VLOOKUP($C$8,'DB animal categories'!$C$10:$AC$21,26,FALSE)/24)*F10/100*VLOOKUP(D10,'DB technologies'!$N$11:$Y$25,6,FALSE)/100)))</f>
        <v/>
      </c>
      <c r="AE10" s="262" t="str">
        <f>IF($C$8=0,"",IF('Calc (ex-animal)'!$F$8=1,"",IF(D10="","",VLOOKUP($C$8,'Calc (ex-animal)'!$D$8:$Y$12,10,FALSE)/365*(VLOOKUP($C$8,'DB animal categories'!$C$10:$AC$21,27,FALSE)-VLOOKUP($C$8,'DB animal categories'!$C$10:$AC$21,25,FALSE)*VLOOKUP($C$8,'DB animal categories'!$C$10:$AC$21,26,FALSE)/24)*F10/100*VLOOKUP(D10,'DB technologies'!$N$11:$Y$25,7,FALSE)/100)))</f>
        <v/>
      </c>
      <c r="AG10" s="695"/>
      <c r="AH10" s="695"/>
      <c r="AI10" s="186" t="str">
        <f>IF(D10="","",VLOOKUP(D10,'DB technologies'!$N$11:$Y$25,10,FALSE))</f>
        <v/>
      </c>
      <c r="AJ10" s="449" t="e">
        <f>VLOOKUP($C$8,'DB animal categories'!$C$10:$AN$21,27,FALSE)-VLOOKUP($C$8,'DB animal categories'!$C$10:$AN$21,26,FALSE)*VLOOKUP($C$8,'DB animal categories'!$C$10:$AN$21,25,FALSE)/24</f>
        <v>#N/A</v>
      </c>
      <c r="AK10" s="442" t="str">
        <f>IF(AI10="","",AL10+AM10)</f>
        <v/>
      </c>
      <c r="AL10" s="442" t="str">
        <f>IF(D10="","",IF(AI10=2,(('Calc (ex-animal)'!$G$8*'DB additional information '!$K$4/100*(1-VLOOKUP(D10,'DB technologies'!$N$11:$Y$25,9,FALSE)/100)*'Calc (ex-housing, ex-storage)'!F10/100+'Calc (ex-animal)'!$H$8*'DB additional information '!$L$4/100*(1-VLOOKUP(D10,'DB technologies'!$N$11:$Y$25,9,FALSE)/100)*'Calc (ex-housing, ex-storage)'!F10/100))/365*AJ10+I10+J10+K10,IF(AI10=1,('Calc (ex-animal)'!$H$8*'DB additional information '!$L$4/100*(1-VLOOKUP(D10,'DB technologies'!$N$11:$Y$25,9,FALSE)/100)*'Calc (ex-housing, ex-storage)'!F10/100)/365*AJ10,IF(AI10=4,('Calc (ex-animal)'!$G$8*'DB additional information '!$K$4/100+'Calc (ex-animal)'!$H$8*'DB additional information '!$L$4/100)*(1-VLOOKUP(D10,'DB technologies'!$N$11:$Y$25,9,FALSE)/100)*'Calc (ex-housing, ex-storage)'!F10/100*VLOOKUP(D10,'DB technologies'!$N$11:$Y$25,11,FALSE)/100/365*AJ10,0))))</f>
        <v/>
      </c>
      <c r="AM10" s="442" t="str">
        <f>IF(D10="","",IF(AI10=2,(('Calc (ex-animal)'!$G$8*(1-'DB additional information '!$K$4/100)*(1-VLOOKUP(D10,'DB technologies'!$N$11:$Y$25,8,FALSE)/100)*'Calc (ex-housing, ex-storage)'!F10/100+'Calc (ex-animal)'!$H$8*(1-'DB additional information '!$L$4/100)*(1-VLOOKUP(D10,'DB technologies'!$N$11:$Y$25,8,FALSE)/100)*'Calc (ex-housing, ex-storage)'!F10/100))/365*AJ10+M10+N10+O10,IF(AI10=1,('Calc (ex-animal)'!$H$8*(1-'DB additional information '!$L$4/100)*(1-VLOOKUP(D10,'DB technologies'!$N$11:$Y$25,8,FALSE)/100)*'Calc (ex-housing, ex-storage)'!F10/100)/365*AJ10,IF(AI10=4,('Calc (ex-animal)'!$G$8*(1-'DB additional information '!$K$4/100)+'Calc (ex-animal)'!$H$8*(1-'DB additional information '!$L$4/100))*(1-VLOOKUP(D10,'DB technologies'!$N$11:$Y$25,8,FALSE)/100)*'Calc (ex-housing, ex-storage)'!F10/100*VLOOKUP(D10,'DB technologies'!$N$11:$Y$25,11,FALSE)/100/365*AJ10,0))))</f>
        <v/>
      </c>
      <c r="AN10" s="442" t="str">
        <f>IF(AI10="","",IF(AL10=0,0,AL10/AK10*100))</f>
        <v/>
      </c>
      <c r="AO10" s="182" t="str">
        <f>IF(D10="","",IF(AI10=2,(('Calc (ex-animal)'!$L$8*'Calc (ex-housing, ex-storage)'!F10/100+'Calc (ex-animal)'!$K$8*'Calc (ex-housing, ex-storage)'!F10/100))/365*AJ10+Q10+R10+S10-AC10,IF(AI10=1,('Calc (ex-animal)'!$L$8*'Calc (ex-housing, ex-storage)'!F10/100)/365*AJ10-'Calc (ex-housing, ex-storage)'!AC10,IF(AI10=4,('Calc (ex-animal)'!$L$8+'Calc (ex-animal)'!$K$8)*'Calc (ex-housing, ex-storage)'!F10/100*VLOOKUP(D10,'DB technologies'!$N$11:$Y$25,11,FALSE)/100/365*AJ10-AC10*VLOOKUP(D10,'DB technologies'!$N$11:$Y$25,11,FALSE)/100,0))))</f>
        <v/>
      </c>
      <c r="AP10" s="182" t="str">
        <f>IF(D10="","",IF(AO10&lt;-0.01,0,IF(AI10=2,(('Calc (ex-animal)'!$L$8*'Calc (ex-housing, ex-storage)'!F10/100+'Calc (ex-animal)'!$K$8*'Calc (ex-housing, ex-storage)'!F10/100))/365*AJ10+Q10+R10+S10-AC10,IF(AI10=1,('Calc (ex-animal)'!$L$8*'Calc (ex-housing, ex-storage)'!F10/100)/365*AJ10-'Calc (ex-housing, ex-storage)'!AC10,IF(AI10=4,('Calc (ex-animal)'!$L$8+'Calc (ex-animal)'!$K$8)*'Calc (ex-housing, ex-storage)'!F10/100*VLOOKUP(D10,'DB technologies'!$N$11:$Y$25,11,FALSE)/100/365*AJ10-AC10*VLOOKUP(D10,'DB technologies'!$N$11:$Y$25,11,FALSE)/100,0)))))</f>
        <v/>
      </c>
      <c r="AQ10" s="182" t="str">
        <f>IF(D10="","",IF(AI10=2,('Calc (ex-animal)'!$O$8*'Calc (ex-housing, ex-storage)'!F10/100+'Calc (ex-animal)'!$N$8*'Calc (ex-housing, ex-storage)'!F10/100)/365*AJ10+U10+V10+W10,IF(AI10=1,'Calc (ex-animal)'!$O$8*'Calc (ex-housing, ex-storage)'!F10/100/365*AJ10,IF(AI10=4,('Calc (ex-animal)'!$O$8+'Calc (ex-animal)'!$N$8)*'Calc (ex-housing, ex-storage)'!F10/100*VLOOKUP(D10,'DB technologies'!$N$11:$Y$25,11,FALSE)/100/365*AJ10,0))))</f>
        <v/>
      </c>
      <c r="AR10" s="182" t="str">
        <f>IF(D10="","",IF(AI10=2,('Calc (ex-animal)'!$R$8*'Calc (ex-housing, ex-storage)'!F10/100+'Calc (ex-animal)'!$Q$8*'Calc (ex-housing, ex-storage)'!F10/100)/365*AJ10+Y10+Z10+AA10,IF(AI10=1,'Calc (ex-animal)'!$R$8*'Calc (ex-housing, ex-storage)'!F10/100/365*AJ10,IF(AI10=4,('Calc (ex-animal)'!$R$8+'Calc (ex-animal)'!$Q$8)*'Calc (ex-housing, ex-storage)'!F10/100*VLOOKUP(D10,'DB technologies'!$N$11:$Y$25,11,FALSE)/100/365*AJ10,0))))</f>
        <v/>
      </c>
      <c r="AS10" s="181" t="str">
        <f>IF(D10="","",VLOOKUP(D10,'DB technologies'!$N$11:$Y$25,10,FALSE))</f>
        <v/>
      </c>
      <c r="AT10" s="442" t="str">
        <f>IF(AS10="","",AU10+AV10)</f>
        <v/>
      </c>
      <c r="AU10" s="442" t="str">
        <f>IF(D10="","",IF(AS10=2,0,IF(AS10=1,'Calc (ex-animal)'!$G$8*'DB additional information '!$K$4/100*(1-VLOOKUP(D10,'DB technologies'!$N$11:$Y$25,8,FALSE)/100)*'Calc (ex-housing, ex-storage)'!F10/100/365*AJ10+I10+J10+K10,IF(AS10=5,(('Calc (ex-animal)'!$G$8*'DB additional information '!$K$4/100+'Calc (ex-animal)'!$H$8*'DB additional information '!$L$4/100))*(1-VLOOKUP(D10,'DB technologies'!$N$11:$Y$25,9,FALSE)/100)*'Calc (ex-housing, ex-storage)'!F10/100/365*AJ10+I10+J10+K10,IF(AS10=3,('Calc (ex-animal)'!$G$8*'DB additional information '!$K$4/100+'Calc (ex-animal)'!$H$8*'DB additional information '!$L$4/100)*(1-VLOOKUP(D10,'DB technologies'!$N$11:$Y$25,9,FALSE)/100)*'Calc (ex-housing, ex-storage)'!F10/100/365*AJ10+I10+J10+K10,IF(AS10=4,('Calc (ex-animal)'!$G$8*'DB additional information '!$K$4/100+'Calc (ex-animal)'!$H$8*'DB additional information '!$L$4/100)*(1-VLOOKUP(D10,'DB technologies'!$N$11:$Y$25,9,FALSE)/100)*'Calc (ex-housing, ex-storage)'!F10/100*VLOOKUP(D10,'DB technologies'!$N$11:$Y$25,12,FALSE)/100/365*AJ10+I10+J10+K10,0))))))</f>
        <v/>
      </c>
      <c r="AV10" s="442" t="str">
        <f>IF(D10="","",IF(AS10=2,0,IF(AS10=1,'Calc (ex-animal)'!$G$8*(1-'DB additional information '!$K$4/100)*(1-VLOOKUP(D10,'DB technologies'!$N$11:$Y$25,8,FALSE)/100)*'Calc (ex-housing, ex-storage)'!F10/100/365*AJ10+M10+N10+O10,IF(AS10=5,('Calc (ex-animal)'!$G$8*(1-'DB additional information '!$K$4/100)+'Calc (ex-animal)'!$H$8*(1-'DB additional information '!$L$4/100))*(1-VLOOKUP(D10,'DB technologies'!$N$11:$Y$25,8,FALSE)/100)*'Calc (ex-housing, ex-storage)'!F10/100/365*AJ10+M10+N10+O10,IF(AS10=3,('Calc (ex-animal)'!$G$8*(1-'DB additional information '!$K$4/100)+'Calc (ex-animal)'!$H$8*(1-'DB additional information '!$L$4/100))*(1-VLOOKUP(D10,'DB technologies'!$N$11:$Y$25,8,FALSE)/100)*'Calc (ex-housing, ex-storage)'!F10/100/365*AJ10+M10+N10+O10,IF(AS10=4,('Calc (ex-animal)'!$G$8*(1-'DB additional information '!$K$4/100)+'Calc (ex-animal)'!$H$8*(1-'DB additional information '!$L$4/100))*(1-VLOOKUP(D10,'DB technologies'!$N$11:$Y$25,8,FALSE)/100)*'Calc (ex-housing, ex-storage)'!F10/100*VLOOKUP(D10,'DB technologies'!$N$11:$Y$25,12,FALSE)/100/365*AJ10+M10+N10+O10,0))))))</f>
        <v/>
      </c>
      <c r="AW10" s="442" t="str">
        <f>IF(AS10="","",IF(AU10=0,0,AU10/AT10*100))</f>
        <v/>
      </c>
      <c r="AX10" s="182" t="str">
        <f>IF(D10="","",IF(AS10=2,0,IF(AS10=1,'Calc (ex-animal)'!$K$8*'Calc (ex-housing, ex-storage)'!F10/100/365*AJ10+Q10+R10+S10,IF(AS10=5,('Calc (ex-animal)'!$K$8+'Calc (ex-animal)'!$L$8)*'Calc (ex-housing, ex-storage)'!F10/100/365*AJ10+Q10+R10+S10-'Calc (ex-housing, ex-storage)'!AC10,IF(AS10=3,('Calc (ex-animal)'!$K$8+'Calc (ex-animal)'!$L$8)*'Calc (ex-housing, ex-storage)'!F10/100/365*AJ10+Q10+R10+S10-'Calc (ex-housing, ex-storage)'!AC10-AD10-AE10,IF(AI10=4,('Calc (ex-animal)'!$K$8+'Calc (ex-animal)'!$L$8)*'Calc (ex-housing, ex-storage)'!F10/100*VLOOKUP(D10,'DB technologies'!$N$11:$Y$25,12,FALSE)/100/365*AJ10+Q10+R10+S10-(VLOOKUP(D10,'DB technologies'!$N$11:$Y$25,12,FALSE)/100*AC10)-AD10-AE10,0))))))</f>
        <v/>
      </c>
      <c r="AY10" s="182" t="str">
        <f>IF(D10="","",IF(AS10=2,0,IF(AS10=1,'Calc (ex-animal)'!$N$8*'Calc (ex-housing, ex-storage)'!F10/100/365*AJ10+U10+V10+W10,IF(AS10=5,('Calc (ex-animal)'!$N$8+'Calc (ex-animal)'!$O$8)*'Calc (ex-housing, ex-storage)'!F10/100/365*AJ10+U10+V10+W10,IF(AS10=3,('Calc (ex-animal)'!$N$8+'Calc (ex-animal)'!$O$8)*'Calc (ex-housing, ex-storage)'!F10/100/365*AJ10+U10+V10+W10,IF(AS10=4,('Calc (ex-animal)'!$N$8+'Calc (ex-animal)'!$O$8)*'Calc (ex-housing, ex-storage)'!F10/100*VLOOKUP(D10,'DB technologies'!$N$11:$Y$25,12,FALSE)/100/365*AJ10+U10+V10+W10,0))))))</f>
        <v/>
      </c>
      <c r="AZ10" s="182" t="str">
        <f>IF(D10="","",IF(AS10=2,0,IF(AS10=1,'Calc (ex-animal)'!$Q$8*'Calc (ex-housing, ex-storage)'!F10/100/365*AJ10+Y10+Z10+AA10,IF(AS10=5,('Calc (ex-animal)'!$Q$8+'Calc (ex-animal)'!$R$8)*'Calc (ex-housing, ex-storage)'!F10/100/365*AJ10+Y10+Z10+AA10,IF(AS10=3,('Calc (ex-animal)'!$Q$8+'Calc (ex-animal)'!$R$8)*'Calc (ex-housing, ex-storage)'!F10/100/365*AJ10+Y10+Z10+AA10,IF(AS10=4,('Calc (ex-animal)'!$Q$8+'Calc (ex-animal)'!$R$8)*'Calc (ex-housing, ex-storage)'!F10/100*VLOOKUP(D10,'DB technologies'!$N$11:$Y$25,12,FALSE)/100/365*AJ10+Y10+Z10+AA10,0))))))</f>
        <v/>
      </c>
      <c r="BA10" s="506"/>
      <c r="BB10" s="506"/>
      <c r="BC10" s="506"/>
      <c r="BD10" s="98"/>
      <c r="BE10" s="42"/>
      <c r="BF10" s="42"/>
      <c r="BG10" s="1357"/>
      <c r="BH10" s="1361"/>
      <c r="BI10" s="598" t="str">
        <f>IF(BG10="","",$BA$8*BH10/100-($BB$8*BH10/100*VLOOKUP(BG10,'DB technologies'!$AC$11:$AM$15,5,FALSE)/100)+(VLOOKUP(BG10,'DB technologies'!$AC$11:$AN$15,12,FALSE)*$BA$8*BH10/100))</f>
        <v/>
      </c>
      <c r="BJ10" s="551">
        <f>IF(BI10="",0,BI10*BK10/100)</f>
        <v>0</v>
      </c>
      <c r="BK10" s="508" t="str">
        <f>IF(BG10="","",($BB$8*BH10/100)/BI10*(1-(VLOOKUP(BG10,'DB technologies'!$AC$11:$AM$15,5,FALSE))/100)*100)</f>
        <v/>
      </c>
      <c r="BL10" s="261" t="str">
        <f>IF(BG10="","",$BD$8*BH10/100-BO10-BP10-BQ10)</f>
        <v/>
      </c>
      <c r="BM10" s="261" t="str">
        <f>IF(BG10="","",$BE$8*BH10/100)</f>
        <v/>
      </c>
      <c r="BN10" s="261" t="str">
        <f>IF(BG10="","",$BF$8*BH10/100)</f>
        <v/>
      </c>
      <c r="BO10" s="261" t="str">
        <f>IF(BG10="","",$BD$8*BH10/100*VLOOKUP(BG10,'DB technologies'!$AC$11:$AF$15,2,FALSE)/100)</f>
        <v/>
      </c>
      <c r="BP10" s="261" t="str">
        <f>IF(BG10="","",$BD$8*BH10/100*VLOOKUP(BG10,'DB technologies'!$AC$11:$AN$15,3,FALSE)/100)</f>
        <v/>
      </c>
      <c r="BQ10" s="262" t="str">
        <f>IF(BG10="","",$BD$8*BH10/100*VLOOKUP(BG10,'DB technologies'!$AC$11:$AN$15,4,FALSE)/100)</f>
        <v/>
      </c>
      <c r="BR10" s="116"/>
      <c r="BS10" s="117"/>
      <c r="BT10" s="118"/>
    </row>
    <row r="11" spans="1:74" ht="11.25" customHeight="1" x14ac:dyDescent="0.2">
      <c r="A11" s="684"/>
      <c r="B11" s="695"/>
      <c r="C11" s="251"/>
      <c r="D11" s="1357"/>
      <c r="E11" s="1358"/>
      <c r="F11" s="480" t="str">
        <f>IF('Calc (ex-animal)'!$F$8=1,"",IF($C$8=0,"",IF(D11="","",E11/'Calc (ex-animal)'!$E$8*100)))</f>
        <v/>
      </c>
      <c r="G11" s="485" t="str">
        <f>IF($C$8=0,"",IF('Calc (ex-animal)'!$F$8=1,"",IF(D11="","",SUM(H11:O11))))</f>
        <v/>
      </c>
      <c r="H11" s="423" t="str">
        <f>IF('Calc (ex-animal)'!$F$8=1,"",IF(D11="","",(((VLOOKUP($C$8,'Calc (ex-animal)'!$D$8:$Y$12,6,FALSE)-VLOOKUP($C$8,'Calc (ex-animal)'!$D$8:$Y$12,17,FALSE))*F11/100))*VLOOKUP($C$8,'Calc (ex-animal)'!$D$8:$Y$12,7,FALSE)/100*(1-VLOOKUP(D11,'DB technologies'!$N$11:$Y$25,9,FALSE)/100)))</f>
        <v/>
      </c>
      <c r="I11" s="423" t="str">
        <f>IF(D11="","",((VLOOKUP(D11,'DB technologies'!$N$11:$Y$25,2,FALSE)*VLOOKUP($C$8,'DB animal categories'!$C$10:$AC$21,27,FALSE)*E11/1000)/365*(VLOOKUP($C$8,'DB animal categories'!$C$10:$AC$21,27,FALSE)-VLOOKUP($C$8,'DB animal categories'!$C$10:$AC$21,25,FALSE)*VLOOKUP($C$8,'DB animal categories'!$C$10:$AC$21,26,FALSE)/24))*'DB additional information '!$S$6/100*(1-VLOOKUP(D11,'DB technologies'!$N$11:$Y$25,9,FALSE)/100))</f>
        <v/>
      </c>
      <c r="J11" s="434" t="str">
        <f>IF(D11="","",((VLOOKUP(D11,'DB technologies'!$N$11:$Y$25,3,FALSE)*VLOOKUP($C$8,'DB animal categories'!$C$10:$AC$21,27,FALSE)*E11/1000)/365*(VLOOKUP($C$8,'DB animal categories'!$C$10:$AC$21,27,FALSE)-VLOOKUP($C$8,'DB animal categories'!$C$10:$AC$21,25,FALSE)*VLOOKUP($C$8,'DB animal categories'!$C$10:$AC$21,26,FALSE)/24))*'DB additional information '!$S$7/100*(1-VLOOKUP(D11,'DB technologies'!$N$11:$Y$25,9,FALSE)/100))</f>
        <v/>
      </c>
      <c r="K11" s="434" t="str">
        <f>IF(D11="","",((VLOOKUP(D11,'DB technologies'!$N$11:$Y$25,4,FALSE)*E11*'DB additional information '!$S$8/100*(1-VLOOKUP(D11,'DB technologies'!$N$11:$Y$25,9,FALSE)/100))/365*(VLOOKUP($C$8,'DB animal categories'!$C$10:$AC$21,27,FALSE)-VLOOKUP($C$8,'DB animal categories'!$C$10:$AC$21,25,FALSE)*VLOOKUP($C$8,'DB animal categories'!$C$10:$AC$21,26,FALSE)/24)))</f>
        <v/>
      </c>
      <c r="L11" s="423" t="str">
        <f>IF('Calc (ex-animal)'!$F$8=1,"",IF(D11="","",(((VLOOKUP($C$8,'Calc (ex-animal)'!$D$8:$Y$12,6,FALSE)-VLOOKUP($C$8,'Calc (ex-animal)'!$D$8:$Y$12,17,FALSE))*F11/100))*(1-VLOOKUP($C$8,'Calc (ex-animal)'!$D$8:$Y$12,7,FALSE)/100)*(1-VLOOKUP(D11,'DB technologies'!$N$11:$V$25,8,FALSE)/100)))</f>
        <v/>
      </c>
      <c r="M11" s="434" t="str">
        <f>IF(D11="","",((VLOOKUP(D11,'DB technologies'!$N$11:$Y$25,2,FALSE)*VLOOKUP($C$8,'DB animal categories'!$C$10:$AC$21,27,FALSE)*E11/1000)/365*(VLOOKUP($C$8,'DB animal categories'!$C$10:$AC$21,27,FALSE)-VLOOKUP($C$8,'DB animal categories'!$C$10:$AC$21,25,FALSE)*VLOOKUP($C$8,'DB animal categories'!$C$10:$AC$21,26,FALSE)/24))*(1-'DB additional information '!$S$6/100)*(1-VLOOKUP(D11,'DB technologies'!$N$11:$Y$25,9,FALSE)/100))</f>
        <v/>
      </c>
      <c r="N11" s="434" t="str">
        <f>IF(D11="","",((VLOOKUP(D11,'DB technologies'!$N$11:$Y$25,3,FALSE)*VLOOKUP($C$8,'DB animal categories'!$C$10:$AC$21,27,FALSE)*E11/1000)/365*(VLOOKUP($C$8,'DB animal categories'!$C$10:$AC$21,27,FALSE)-VLOOKUP($C$8,'DB animal categories'!$C$10:$AC$21,25,FALSE)*VLOOKUP($C$8,'DB animal categories'!$C$10:$AC$21,26,FALSE)/24))*(1-'DB additional information '!$S$7/100)*(1-VLOOKUP(D11,'DB technologies'!$N$11:$Y$25,9,FALSE)/100))</f>
        <v/>
      </c>
      <c r="O11" s="423" t="str">
        <f>IF(D11="","",((VLOOKUP(D11,'DB technologies'!$N$11:$Y$25,4,FALSE)*E11*(1-'DB additional information '!$S$8/100)*(1-VLOOKUP(D11,'DB technologies'!$N$11:$Y$25,8,FALSE)/100))/365*(VLOOKUP($C$8,'DB animal categories'!$C$10:$AC$21,27,FALSE)-VLOOKUP($C$8,'DB animal categories'!$C$10:$AC$21,25,FALSE)*VLOOKUP($C$8,'DB animal categories'!$C$10:$AC$21,26,FALSE)/24)))</f>
        <v/>
      </c>
      <c r="P11" s="631" t="str">
        <f>IF(E11="","",IF(F11="","",IF($C$8=0,"",IF(D11="","",SUM(H11:K11)/G11*100))))</f>
        <v/>
      </c>
      <c r="Q11" s="416" t="str">
        <f>IF(D11="","",(VLOOKUP(D11,'DB technologies'!$N$11:$Y$25,2,FALSE)*'DB additional information '!$S$6/100*'DB additional information '!$T$6*VLOOKUP($C$8,'DB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R11" s="416" t="str">
        <f>IF(D11="","",(VLOOKUP(D11,'DB technologies'!$N$11:$Y$25,3,FALSE)*'DB additional information '!$S$7/100*'DB additional information '!$T$7*VLOOKUP($C$8,'DB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S11" s="491" t="str">
        <f>IF(D11="","",(VLOOKUP(D11,'DB technologies'!$N$11:$Y$25,4,FALSE)*('DB additional information '!$S$8/100*'DB additional information '!$T$8*E11/1000/1000)))</f>
        <v/>
      </c>
      <c r="T11" s="261" t="str">
        <f>IF($C$8=0,"",IF('Calc (ex-animal)'!$F$8=1,"",IF(D11="","",((VLOOKUP($C$8,'Calc (ex-animal)'!$D$8:$Y$12,10,FALSE)-VLOOKUP($C$8,'Calc (ex-animal)'!$D$8:$Y$12,18,FALSE))*F11/100+Q11+R11+S11)-AC11-AD11-AE11)))</f>
        <v/>
      </c>
      <c r="U11" s="422" t="str">
        <f>IF(D11="","",(VLOOKUP(D11,'DB technologies'!$N$11:$Y$25,2,FALSE)*'DB additional information '!$S$6/100*'DB additional information '!$U$6*VLOOKUP($C$8,'DB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V11" s="418" t="str">
        <f>IF(D11="","",(VLOOKUP(D11,'DB technologies'!$N$11:$Y$25,3,FALSE)*'DB additional information '!$S$7/100*'DB additional information '!$U$7*VLOOKUP($C$8,'DB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W11" s="417" t="str">
        <f>IF(D11="","",(VLOOKUP(D11,'DB technologies'!$N$11:$Y$25,4,FALSE)*('DB additional information '!$S$8/100*'DB additional information '!$U$8*E11/1000/1000)))</f>
        <v/>
      </c>
      <c r="X11" s="261" t="str">
        <f>IF($C$8=0,"",IF('Calc (ex-animal)'!$F$8=1,"",IF(D11="","",((VLOOKUP($C$8,'Calc (ex-animal)'!$D$8:$Y$12,13,FALSE)-VLOOKUP($C$8,'Calc (ex-animal)'!$D$8:$Y$12,19,FALSE))*F11/100+U11+V11+W11))))</f>
        <v/>
      </c>
      <c r="Y11" s="418" t="str">
        <f>IF(D11="","",(VLOOKUP(D11,'DB technologies'!$N$11:$Y$25,2,FALSE)*'DB additional information '!$S$6/100*'DB additional information '!$V$6*VLOOKUP($C$8,'DB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Z11" s="418" t="str">
        <f>IF(D11="","",(VLOOKUP(D11,'DB technologies'!$N$11:$Y$25,3,FALSE)*'DB additional information '!$S$7/100*'DB additional information '!$V$7*VLOOKUP($C$8,'DB animal categories'!$C$10:$AC$21,27,FALSE)*E11/1000/1000)/365*(VLOOKUP($C$8,'DB animal categories'!$C$10:$AC$21,27,FALSE)-VLOOKUP($C$8,'DB animal categories'!$C$10:$AC$21,25,FALSE)*VLOOKUP($C$8,'DB animal categories'!$C$10:$AC$21,26,FALSE)/24))</f>
        <v/>
      </c>
      <c r="AA11" s="418" t="str">
        <f>IF(D11="","",(VLOOKUP(D11,'DB technologies'!$N$11:$Y$25,4,FALSE)*('DB additional information '!$S$8/100*'DB additional information '!$V$8*E11/1000/1000)))</f>
        <v/>
      </c>
      <c r="AB11" s="261" t="str">
        <f>IF($C$8=0,"",IF('Calc (ex-animal)'!$F$8=1,"",IF(D11="","",((VLOOKUP($C$8,'Calc (ex-animal)'!$D$8:$Y$12,16,FALSE)-VLOOKUP($C$8,'Calc (ex-animal)'!$D$8:$Y$12,20,FALSE))*F11/100+Y11+Z11+AA11))))</f>
        <v/>
      </c>
      <c r="AC11" s="261" t="str">
        <f>IF($C$8=0,"",IF('Calc (ex-animal)'!$F$8=1,"",IF(D11="","",VLOOKUP($C$8,'Calc (ex-animal)'!$D$8:$Y$12,9,FALSE)/365*(VLOOKUP($C$8,'DB animal categories'!$C$10:$AC$21,27,FALSE)-VLOOKUP($C$8,'DB animal categories'!$C$10:$AC$21,25,FALSE)*VLOOKUP($C$8,'DB animal categories'!$C$10:$AC$21,26,FALSE)/24)*F11/100*VLOOKUP(D11,'DB technologies'!$N$11:$R$25,5,FALSE)/100)))</f>
        <v/>
      </c>
      <c r="AD11" s="261" t="str">
        <f>IF($C$8=0,"",IF('Calc (ex-animal)'!$F$8=1,"",IF(D11="","",VLOOKUP($C$8,'Calc (ex-animal)'!$D$8:$Y$12,10,FALSE)/365*(VLOOKUP($C$8,'DB animal categories'!$C$10:$AC$21,27,FALSE)-VLOOKUP($C$8,'DB animal categories'!$C$10:$AC$21,25,FALSE)*VLOOKUP($C$8,'DB animal categories'!$C$10:$AC$21,26,FALSE)/24)*F11/100*VLOOKUP(D11,'DB technologies'!$N$11:$Y$25,6,FALSE)/100)))</f>
        <v/>
      </c>
      <c r="AE11" s="262" t="str">
        <f>IF($C$8=0,"",IF('Calc (ex-animal)'!$F$8=1,"",IF(D11="","",VLOOKUP($C$8,'Calc (ex-animal)'!$D$8:$Y$12,10,FALSE)/365*(VLOOKUP($C$8,'DB animal categories'!$C$10:$AC$21,27,FALSE)-VLOOKUP($C$8,'DB animal categories'!$C$10:$AC$21,25,FALSE)*VLOOKUP($C$8,'DB animal categories'!$C$10:$AC$21,26,FALSE)/24)*F11/100*VLOOKUP(D11,'DB technologies'!$N$11:$Y$25,7,FALSE)/100)))</f>
        <v/>
      </c>
      <c r="AG11" s="695"/>
      <c r="AH11" s="695"/>
      <c r="AI11" s="186" t="str">
        <f>IF(D11="","",VLOOKUP(D11,'DB technologies'!$N$11:$Y$25,10,FALSE))</f>
        <v/>
      </c>
      <c r="AJ11" s="449" t="e">
        <f>VLOOKUP($C$8,'DB animal categories'!$C$10:$AN$21,27,FALSE)-VLOOKUP($C$8,'DB animal categories'!$C$10:$AN$21,26,FALSE)*VLOOKUP($C$8,'DB animal categories'!$C$10:$AN$21,25,FALSE)/24</f>
        <v>#N/A</v>
      </c>
      <c r="AK11" s="442" t="str">
        <f>IF(AI11="","",AL11+AM11)</f>
        <v/>
      </c>
      <c r="AL11" s="442" t="str">
        <f>IF(D11="","",IF(AI11=2,(('Calc (ex-animal)'!$G$8*'DB additional information '!$K$4/100*(1-VLOOKUP(D11,'DB technologies'!$N$11:$Y$25,9,FALSE)/100)*'Calc (ex-housing, ex-storage)'!F11/100+'Calc (ex-animal)'!$H$8*'DB additional information '!$L$4/100*(1-VLOOKUP(D11,'DB technologies'!$N$11:$Y$25,9,FALSE)/100)*'Calc (ex-housing, ex-storage)'!F11/100))/365*AJ11+I11+J11+K11,IF(AI11=1,('Calc (ex-animal)'!$H$8*'DB additional information '!$L$4/100*(1-VLOOKUP(D11,'DB technologies'!$N$11:$Y$25,9,FALSE)/100)*'Calc (ex-housing, ex-storage)'!F11/100)/365*AJ11,IF(AI11=4,('Calc (ex-animal)'!$G$8*'DB additional information '!$K$4/100+'Calc (ex-animal)'!$H$8*'DB additional information '!$L$4/100)*(1-VLOOKUP(D11,'DB technologies'!$N$11:$Y$25,9,FALSE)/100)*'Calc (ex-housing, ex-storage)'!F11/100*VLOOKUP(D11,'DB technologies'!$N$11:$Y$25,11,FALSE)/100/365*AJ11,0))))</f>
        <v/>
      </c>
      <c r="AM11" s="442" t="str">
        <f>IF(D11="","",IF(AI11=2,(('Calc (ex-animal)'!$G$8*(1-'DB additional information '!$K$4/100)*(1-VLOOKUP(D11,'DB technologies'!$N$11:$Y$25,8,FALSE)/100)*'Calc (ex-housing, ex-storage)'!F11/100+'Calc (ex-animal)'!$H$8*(1-'DB additional information '!$L$4/100)*(1-VLOOKUP(D11,'DB technologies'!$N$11:$Y$25,8,FALSE)/100)*'Calc (ex-housing, ex-storage)'!F11/100))/365*AJ11+M11+N11+O11,IF(AI11=1,('Calc (ex-animal)'!$H$8*(1-'DB additional information '!$L$4/100)*(1-VLOOKUP(D11,'DB technologies'!$N$11:$Y$25,8,FALSE)/100)*'Calc (ex-housing, ex-storage)'!F11/100)/365*AJ11,IF(AI11=4,('Calc (ex-animal)'!$G$8*(1-'DB additional information '!$K$4/100)+'Calc (ex-animal)'!$H$8*(1-'DB additional information '!$L$4/100))*(1-VLOOKUP(D11,'DB technologies'!$N$11:$Y$25,8,FALSE)/100)*'Calc (ex-housing, ex-storage)'!F11/100*VLOOKUP(D11,'DB technologies'!$N$11:$Y$25,11,FALSE)/100/365*AJ11,0))))</f>
        <v/>
      </c>
      <c r="AN11" s="442" t="str">
        <f>IF(AI11="","",IF(AL11=0,0,AL11/AK11*100))</f>
        <v/>
      </c>
      <c r="AO11" s="182" t="str">
        <f>IF(D11="","",IF(AI11=2,(('Calc (ex-animal)'!$L$8*'Calc (ex-housing, ex-storage)'!F11/100+'Calc (ex-animal)'!$K$8*'Calc (ex-housing, ex-storage)'!F11/100))/365*AJ11+Q11+R11+S11-AC11,IF(AI11=1,('Calc (ex-animal)'!$L$8*'Calc (ex-housing, ex-storage)'!F11/100)/365*AJ11-'Calc (ex-housing, ex-storage)'!AC11,IF(AI11=4,('Calc (ex-animal)'!$L$8+'Calc (ex-animal)'!$K$8)*'Calc (ex-housing, ex-storage)'!F11/100*VLOOKUP(D11,'DB technologies'!$N$11:$Y$25,11,FALSE)/100/365*AJ11-AC11*VLOOKUP(D11,'DB technologies'!$N$11:$Y$25,11,FALSE)/100,0))))</f>
        <v/>
      </c>
      <c r="AP11" s="182" t="str">
        <f>IF(D11="","",IF(AO11&lt;-0.01,0,IF(AI11=2,(('Calc (ex-animal)'!$L$8*'Calc (ex-housing, ex-storage)'!F11/100+'Calc (ex-animal)'!$K$8*'Calc (ex-housing, ex-storage)'!F11/100))/365*AJ11+Q11+R11+S11-AC11,IF(AI11=1,('Calc (ex-animal)'!$L$8*'Calc (ex-housing, ex-storage)'!F11/100)/365*AJ11-'Calc (ex-housing, ex-storage)'!AC11,IF(AI11=4,('Calc (ex-animal)'!$L$8+'Calc (ex-animal)'!$K$8)*'Calc (ex-housing, ex-storage)'!F11/100*VLOOKUP(D11,'DB technologies'!$N$11:$Y$25,11,FALSE)/100/365*AJ11-AC11*VLOOKUP(D11,'DB technologies'!$N$11:$Y$25,11,FALSE)/100,0)))))</f>
        <v/>
      </c>
      <c r="AQ11" s="182" t="str">
        <f>IF(D11="","",IF(AI11=2,('Calc (ex-animal)'!$O$8*'Calc (ex-housing, ex-storage)'!F11/100+'Calc (ex-animal)'!$N$8*'Calc (ex-housing, ex-storage)'!F11/100)/365*AJ11+U11+V11+W11,IF(AI11=1,'Calc (ex-animal)'!$O$8*'Calc (ex-housing, ex-storage)'!F11/100/365*AJ11,IF(AI11=4,('Calc (ex-animal)'!$O$8+'Calc (ex-animal)'!$N$8)*'Calc (ex-housing, ex-storage)'!F11/100*VLOOKUP(D11,'DB technologies'!$N$11:$Y$25,11,FALSE)/100/365*AJ11,0))))</f>
        <v/>
      </c>
      <c r="AR11" s="182" t="str">
        <f>IF(D11="","",IF(AI11=2,('Calc (ex-animal)'!$R$8*'Calc (ex-housing, ex-storage)'!F11/100+'Calc (ex-animal)'!$Q$8*'Calc (ex-housing, ex-storage)'!F11/100)/365*AJ11+Y11+Z11+AA11,IF(AI11=1,'Calc (ex-animal)'!$R$8*'Calc (ex-housing, ex-storage)'!F11/100/365*AJ11,IF(AI11=4,('Calc (ex-animal)'!$R$8+'Calc (ex-animal)'!$Q$8)*'Calc (ex-housing, ex-storage)'!F11/100*VLOOKUP(D11,'DB technologies'!$N$11:$Y$25,11,FALSE)/100/365*AJ11,0))))</f>
        <v/>
      </c>
      <c r="AS11" s="181" t="str">
        <f>IF(D11="","",VLOOKUP(D11,'DB technologies'!$N$11:$Y$25,10,FALSE))</f>
        <v/>
      </c>
      <c r="AT11" s="442" t="str">
        <f>IF(AS11="","",AU11+AV11)</f>
        <v/>
      </c>
      <c r="AU11" s="442" t="str">
        <f>IF(D11="","",IF(AS11=2,0,IF(AS11=1,'Calc (ex-animal)'!$G$8*'DB additional information '!$K$4/100*(1-VLOOKUP(D11,'DB technologies'!$N$11:$Y$25,8,FALSE)/100)*'Calc (ex-housing, ex-storage)'!F11/100/365*AJ11+I11+J11+K11,IF(AS11=5,(('Calc (ex-animal)'!$G$8*'DB additional information '!$K$4/100+'Calc (ex-animal)'!$H$8*'DB additional information '!$L$4/100))*(1-VLOOKUP(D11,'DB technologies'!$N$11:$Y$25,9,FALSE)/100)*'Calc (ex-housing, ex-storage)'!F11/100/365*AJ11+I11+J11+K11,IF(AS11=3,('Calc (ex-animal)'!$G$8*'DB additional information '!$K$4/100+'Calc (ex-animal)'!$H$8*'DB additional information '!$L$4/100)*(1-VLOOKUP(D11,'DB technologies'!$N$11:$Y$25,9,FALSE)/100)*'Calc (ex-housing, ex-storage)'!F11/100/365*AJ11+I11+J11+K11,IF(AS11=4,('Calc (ex-animal)'!$G$8*'DB additional information '!$K$4/100+'Calc (ex-animal)'!$H$8*'DB additional information '!$L$4/100)*(1-VLOOKUP(D11,'DB technologies'!$N$11:$Y$25,9,FALSE)/100)*'Calc (ex-housing, ex-storage)'!F11/100*VLOOKUP(D11,'DB technologies'!$N$11:$Y$25,12,FALSE)/100/365*AJ11+I11+J11+K11,0))))))</f>
        <v/>
      </c>
      <c r="AV11" s="442" t="str">
        <f>IF(D11="","",IF(AS11=2,0,IF(AS11=1,'Calc (ex-animal)'!$G$8*(1-'DB additional information '!$K$4/100)*(1-VLOOKUP(D11,'DB technologies'!$N$11:$Y$25,8,FALSE)/100)*'Calc (ex-housing, ex-storage)'!F11/100/365*AJ11+M11+N11+O11,IF(AS11=5,('Calc (ex-animal)'!$G$8*(1-'DB additional information '!$K$4/100)+'Calc (ex-animal)'!$H$8*(1-'DB additional information '!$L$4/100))*(1-VLOOKUP(D11,'DB technologies'!$N$11:$Y$25,8,FALSE)/100)*'Calc (ex-housing, ex-storage)'!F11/100/365*AJ11+M11+N11+O11,IF(AS11=3,('Calc (ex-animal)'!$G$8*(1-'DB additional information '!$K$4/100)+'Calc (ex-animal)'!$H$8*(1-'DB additional information '!$L$4/100))*(1-VLOOKUP(D11,'DB technologies'!$N$11:$Y$25,8,FALSE)/100)*'Calc (ex-housing, ex-storage)'!F11/100/365*AJ11+M11+N11+O11,IF(AS11=4,('Calc (ex-animal)'!$G$8*(1-'DB additional information '!$K$4/100)+'Calc (ex-animal)'!$H$8*(1-'DB additional information '!$L$4/100))*(1-VLOOKUP(D11,'DB technologies'!$N$11:$Y$25,8,FALSE)/100)*'Calc (ex-housing, ex-storage)'!F11/100*VLOOKUP(D11,'DB technologies'!$N$11:$Y$25,12,FALSE)/100/365*AJ11+M11+N11+O11,0))))))</f>
        <v/>
      </c>
      <c r="AW11" s="442" t="str">
        <f>IF(AS11="","",IF(AU11=0,0,AU11/AT11*100))</f>
        <v/>
      </c>
      <c r="AX11" s="182" t="str">
        <f>IF(D11="","",IF(AS11=2,0,IF(AS11=1,'Calc (ex-animal)'!$K$8*'Calc (ex-housing, ex-storage)'!F11/100/365*AJ11+Q11+R11+S11,IF(AS11=5,('Calc (ex-animal)'!$K$8+'Calc (ex-animal)'!$L$8)*'Calc (ex-housing, ex-storage)'!F11/100/365*AJ11+Q11+R11+S11-'Calc (ex-housing, ex-storage)'!AC11,IF(AS11=3,('Calc (ex-animal)'!$K$8+'Calc (ex-animal)'!$L$8)*'Calc (ex-housing, ex-storage)'!F11/100/365*AJ11+Q11+R11+S11-'Calc (ex-housing, ex-storage)'!AC11-AD11-AE11,IF(AI11=4,('Calc (ex-animal)'!$K$8+'Calc (ex-animal)'!$L$8)*'Calc (ex-housing, ex-storage)'!F11/100*VLOOKUP(D11,'DB technologies'!$N$11:$Y$25,12,FALSE)/100/365*AJ11+Q11+R11+S11-(VLOOKUP(D11,'DB technologies'!$N$11:$Y$25,12,FALSE)/100*AC11)-AD11-AE11,0))))))</f>
        <v/>
      </c>
      <c r="AY11" s="182" t="str">
        <f>IF(D11="","",IF(AS11=2,0,IF(AS11=1,'Calc (ex-animal)'!$N$8*'Calc (ex-housing, ex-storage)'!F11/100/365*AJ11+U11+V11+W11,IF(AS11=5,('Calc (ex-animal)'!$N$8+'Calc (ex-animal)'!$O$8)*'Calc (ex-housing, ex-storage)'!F11/100/365*AJ11+U11+V11+W11,IF(AS11=3,('Calc (ex-animal)'!$N$8+'Calc (ex-animal)'!$O$8)*'Calc (ex-housing, ex-storage)'!F11/100/365*AJ11+U11+V11+W11,IF(AS11=4,('Calc (ex-animal)'!$N$8+'Calc (ex-animal)'!$O$8)*'Calc (ex-housing, ex-storage)'!F11/100*VLOOKUP(D11,'DB technologies'!$N$11:$Y$25,12,FALSE)/100/365*AJ11+U11+V11+W11,0))))))</f>
        <v/>
      </c>
      <c r="AZ11" s="182" t="str">
        <f>IF(D11="","",IF(AS11=2,0,IF(AS11=1,'Calc (ex-animal)'!$Q$8*'Calc (ex-housing, ex-storage)'!F11/100/365*AJ11+Y11+Z11+AA11,IF(AS11=5,('Calc (ex-animal)'!$Q$8+'Calc (ex-animal)'!$R$8)*'Calc (ex-housing, ex-storage)'!F11/100/365*AJ11+Y11+Z11+AA11,IF(AS11=3,('Calc (ex-animal)'!$Q$8+'Calc (ex-animal)'!$R$8)*'Calc (ex-housing, ex-storage)'!F11/100/365*AJ11+Y11+Z11+AA11,IF(AS11=4,('Calc (ex-animal)'!$Q$8+'Calc (ex-animal)'!$R$8)*'Calc (ex-housing, ex-storage)'!F11/100*VLOOKUP(D11,'DB technologies'!$N$11:$Y$25,12,FALSE)/100/365*AJ11+Y11+Z11+AA11,0))))))</f>
        <v/>
      </c>
      <c r="BA11" s="506"/>
      <c r="BB11" s="506"/>
      <c r="BC11" s="506"/>
      <c r="BD11" s="98"/>
      <c r="BE11" s="42"/>
      <c r="BF11" s="42"/>
      <c r="BG11" s="1357"/>
      <c r="BH11" s="1361"/>
      <c r="BI11" s="598" t="str">
        <f>IF(BG11="","",$BA$8*BH11/100-($BB$8*BH11/100*VLOOKUP(BG11,'DB technologies'!$AC$11:$AM$15,5,FALSE)/100)+(VLOOKUP(BG11,'DB technologies'!$AC$11:$AN$15,12,FALSE)*$BA$8*BH11/100))</f>
        <v/>
      </c>
      <c r="BJ11" s="551">
        <f>IF(BI11="",0,BI11*BK11/100)</f>
        <v>0</v>
      </c>
      <c r="BK11" s="508" t="str">
        <f>IF(BG11="","",($BB$8*BH11/100)/BI11*(1-(VLOOKUP(BG11,'DB technologies'!$AC$11:$AM$15,5,FALSE))/100)*100)</f>
        <v/>
      </c>
      <c r="BL11" s="261" t="str">
        <f>IF(BG11="","",$BD$8*BH11/100-BO11-BP11-BQ11)</f>
        <v/>
      </c>
      <c r="BM11" s="261" t="str">
        <f>IF(BG11="","",$BE$8*BH11/100)</f>
        <v/>
      </c>
      <c r="BN11" s="261" t="str">
        <f>IF(BG11="","",$BF$8*BH11/100)</f>
        <v/>
      </c>
      <c r="BO11" s="261" t="str">
        <f>IF(BG11="","",$BD$8*BH11/100*VLOOKUP(BG11,'DB technologies'!$AC$11:$AF$15,2,FALSE)/100)</f>
        <v/>
      </c>
      <c r="BP11" s="261" t="str">
        <f>IF(BG11="","",$BD$8*BH11/100*VLOOKUP(BG11,'DB technologies'!$AC$11:$AN$15,3,FALSE)/100)</f>
        <v/>
      </c>
      <c r="BQ11" s="262" t="str">
        <f>IF(BG11="","",$BD$8*BH11/100*VLOOKUP(BG11,'DB technologies'!$AC$11:$AN$15,4,FALSE)/100)</f>
        <v/>
      </c>
      <c r="BR11" s="116"/>
      <c r="BS11" s="117"/>
      <c r="BT11" s="118"/>
    </row>
    <row r="12" spans="1:74" ht="11.25" customHeight="1" thickBot="1" x14ac:dyDescent="0.25">
      <c r="A12" s="684"/>
      <c r="B12" s="695"/>
      <c r="C12" s="251"/>
      <c r="D12" s="1359"/>
      <c r="E12" s="1360"/>
      <c r="F12" s="481" t="str">
        <f>IF('Calc (ex-animal)'!$F$8=1,"",IF($C$8=0,"",IF(D12="","",E12/'Calc (ex-animal)'!$E$8*100)))</f>
        <v/>
      </c>
      <c r="G12" s="483" t="str">
        <f>IF($C$8=0,"",IF('Calc (ex-animal)'!$F$8=1,"",IF(D12="","",SUM(H12:O12))))</f>
        <v/>
      </c>
      <c r="H12" s="445" t="str">
        <f>IF('Calc (ex-animal)'!$F$8=1,"",IF(D12="","",(((VLOOKUP($C$8,'Calc (ex-animal)'!$D$8:$Y$12,6,FALSE)-VLOOKUP($C$8,'Calc (ex-animal)'!$D$8:$Y$12,17,FALSE))*F12/100))*VLOOKUP($C$8,'Calc (ex-animal)'!$D$8:$Y$12,7,FALSE)/100*(1-VLOOKUP(D12,'DB technologies'!$N$11:$Y$25,9,FALSE)/100)))</f>
        <v/>
      </c>
      <c r="I12" s="445" t="str">
        <f>IF(D12="","",((VLOOKUP(D12,'DB technologies'!$N$11:$Y$25,2,FALSE)*VLOOKUP($C$8,'DB animal categories'!$C$10:$AC$21,27,FALSE)*E12/1000)/365*(VLOOKUP($C$8,'DB animal categories'!$C$10:$AC$21,27,FALSE)-VLOOKUP($C$8,'DB animal categories'!$C$10:$AC$21,25,FALSE)*VLOOKUP($C$8,'DB animal categories'!$C$10:$AC$21,26,FALSE)/24))*'DB additional information '!$S$6/100*(1-VLOOKUP(D12,'DB technologies'!$N$11:$Y$25,9,FALSE)/100))</f>
        <v/>
      </c>
      <c r="J12" s="446" t="str">
        <f>IF(D12="","",((VLOOKUP(D12,'DB technologies'!$N$11:$Y$25,3,FALSE)*VLOOKUP($C$8,'DB animal categories'!$C$10:$AC$21,27,FALSE)*E12/1000)/365*(VLOOKUP($C$8,'DB animal categories'!$C$10:$AC$21,27,FALSE)-VLOOKUP($C$8,'DB animal categories'!$C$10:$AC$21,25,FALSE)*VLOOKUP($C$8,'DB animal categories'!$C$10:$AC$21,26,FALSE)/24))*'DB additional information '!$S$7/100*(1-VLOOKUP(D12,'DB technologies'!$N$11:$Y$25,9,FALSE)/100))</f>
        <v/>
      </c>
      <c r="K12" s="446" t="str">
        <f>IF(D12="","",((VLOOKUP(D12,'DB technologies'!$N$11:$Y$25,4,FALSE)*E12*'DB additional information '!$S$8/100*(1-VLOOKUP(D12,'DB technologies'!$N$11:$Y$25,9,FALSE)/100))/365*(VLOOKUP($C$8,'DB animal categories'!$C$10:$AC$21,27,FALSE)-VLOOKUP($C$8,'DB animal categories'!$C$10:$AC$21,25,FALSE)*VLOOKUP($C$8,'DB animal categories'!$C$10:$AC$21,26,FALSE)/24)))</f>
        <v/>
      </c>
      <c r="L12" s="445" t="str">
        <f>IF('Calc (ex-animal)'!$F$8=1,"",IF(D12="","",(((VLOOKUP($C$8,'Calc (ex-animal)'!$D$8:$Y$12,6,FALSE)-VLOOKUP($C$8,'Calc (ex-animal)'!$D$8:$Y$12,17,FALSE))*F12/100))*(1-VLOOKUP($C$8,'Calc (ex-animal)'!$D$8:$Y$12,7,FALSE)/100)*(1-VLOOKUP(D12,'DB technologies'!$N$11:$V$25,8,FALSE)/100)))</f>
        <v/>
      </c>
      <c r="M12" s="446" t="str">
        <f>IF(D12="","",((VLOOKUP(D12,'DB technologies'!$N$11:$Y$25,2,FALSE)*VLOOKUP($C$8,'DB animal categories'!$C$10:$AC$21,27,FALSE)*E12/1000)/365*(VLOOKUP($C$8,'DB animal categories'!$C$10:$AC$21,27,FALSE)-VLOOKUP($C$8,'DB animal categories'!$C$10:$AC$21,25,FALSE)*VLOOKUP($C$8,'DB animal categories'!$C$10:$AC$21,26,FALSE)/24))*(1-'DB additional information '!$S$6/100)*(1-VLOOKUP(D12,'DB technologies'!$N$11:$Y$25,9,FALSE)/100))</f>
        <v/>
      </c>
      <c r="N12" s="446" t="str">
        <f>IF(D12="","",((VLOOKUP(D12,'DB technologies'!$N$11:$Y$25,3,FALSE)*VLOOKUP($C$8,'DB animal categories'!$C$10:$AC$21,27,FALSE)*E12/1000)/365*(VLOOKUP($C$8,'DB animal categories'!$C$10:$AC$21,27,FALSE)-VLOOKUP($C$8,'DB animal categories'!$C$10:$AC$21,25,FALSE)*VLOOKUP($C$8,'DB animal categories'!$C$10:$AC$21,26,FALSE)/24))*(1-'DB additional information '!$S$7/100)*(1-VLOOKUP(D12,'DB technologies'!$N$11:$Y$25,9,FALSE)/100))</f>
        <v/>
      </c>
      <c r="O12" s="445" t="str">
        <f>IF(D12="","",((VLOOKUP(D12,'DB technologies'!$N$11:$Y$25,4,FALSE)*E12*(1-'DB additional information '!$S$8/100)*(1-VLOOKUP(D12,'DB technologies'!$N$11:$Y$25,8,FALSE)/100))/365*(VLOOKUP($C$8,'DB animal categories'!$C$10:$AC$21,27,FALSE)-VLOOKUP($C$8,'DB animal categories'!$C$10:$AC$21,25,FALSE)*VLOOKUP($C$8,'DB animal categories'!$C$10:$AC$21,26,FALSE)/24)))</f>
        <v/>
      </c>
      <c r="P12" s="632" t="str">
        <f>IF(E12="","",IF(F12="","",IF($C$8=0,"",IF(D12="","",SUM(H12:K12)/G12*100))))</f>
        <v/>
      </c>
      <c r="Q12" s="416" t="str">
        <f>IF(D12="","",(VLOOKUP(D12,'DB technologies'!$N$11:$Y$25,2,FALSE)*'DB additional information '!$S$6/100*'DB additional information '!$T$6*VLOOKUP($C$8,'DB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R12" s="416" t="str">
        <f>IF(D12="","",(VLOOKUP(D12,'DB technologies'!$N$11:$Y$25,3,FALSE)*'DB additional information '!$S$7/100*'DB additional information '!$T$7*VLOOKUP($C$8,'DB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S12" s="491" t="str">
        <f>IF(D12="","",(VLOOKUP(D12,'DB technologies'!$N$11:$Y$25,4,FALSE)*('DB additional information '!$S$8/100*'DB additional information '!$T$8*E12/1000/1000)))</f>
        <v/>
      </c>
      <c r="T12" s="267" t="str">
        <f>IF($C$8=0,"",IF('Calc (ex-animal)'!$F$8=1,"",IF(D12="","",((VLOOKUP($C$8,'Calc (ex-animal)'!$D$8:$Y$12,10,FALSE)-VLOOKUP($C$8,'Calc (ex-animal)'!$D$8:$Y$12,18,FALSE))*F12/100+Q12+R12+S12)-AC12-AD12-AE12)))</f>
        <v/>
      </c>
      <c r="U12" s="422" t="str">
        <f>IF(D12="","",(VLOOKUP(D12,'DB technologies'!$N$11:$Y$25,2,FALSE)*'DB additional information '!$S$6/100*'DB additional information '!$U$6*VLOOKUP($C$8,'DB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V12" s="418" t="str">
        <f>IF(D12="","",(VLOOKUP(D12,'DB technologies'!$N$11:$Y$25,3,FALSE)*'DB additional information '!$S$7/100*'DB additional information '!$U$7*VLOOKUP($C$8,'DB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W12" s="417" t="str">
        <f>IF(D12="","",(VLOOKUP(D12,'DB technologies'!$N$11:$Y$25,4,FALSE)*('DB additional information '!$S$8/100*'DB additional information '!$U$8*E12/1000/1000)))</f>
        <v/>
      </c>
      <c r="X12" s="267" t="str">
        <f>IF($C$8=0,"",IF('Calc (ex-animal)'!$F$8=1,"",IF(D12="","",((VLOOKUP($C$8,'Calc (ex-animal)'!$D$8:$Y$12,13,FALSE)-VLOOKUP($C$8,'Calc (ex-animal)'!$D$8:$Y$12,19,FALSE))*F12/100+U12+V12+W12))))</f>
        <v/>
      </c>
      <c r="Y12" s="418" t="str">
        <f>IF(D12="","",(VLOOKUP(D12,'DB technologies'!$N$11:$Y$25,2,FALSE)*'DB additional information '!$S$6/100*'DB additional information '!$V$6*VLOOKUP($C$8,'DB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Z12" s="418" t="str">
        <f>IF(D12="","",(VLOOKUP(D12,'DB technologies'!$N$11:$Y$25,3,FALSE)*'DB additional information '!$S$7/100*'DB additional information '!$V$7*VLOOKUP($C$8,'DB animal categories'!$C$10:$AC$21,27,FALSE)*E12/1000/1000)/365*(VLOOKUP($C$8,'DB animal categories'!$C$10:$AC$21,27,FALSE)-VLOOKUP($C$8,'DB animal categories'!$C$10:$AC$21,25,FALSE)*VLOOKUP($C$8,'DB animal categories'!$C$10:$AC$21,26,FALSE)/24))</f>
        <v/>
      </c>
      <c r="AA12" s="418" t="str">
        <f>IF(D12="","",(VLOOKUP(D12,'DB technologies'!$N$11:$Y$25,4,FALSE)*('DB additional information '!$S$8/100*'DB additional information '!$V$8*E12/1000/1000)))</f>
        <v/>
      </c>
      <c r="AB12" s="267" t="str">
        <f>IF($C$8=0,"",IF('Calc (ex-animal)'!$F$8=1,"",IF(D12="","",((VLOOKUP($C$8,'Calc (ex-animal)'!$D$8:$Y$12,16,FALSE)-VLOOKUP($C$8,'Calc (ex-animal)'!$D$8:$Y$12,20,FALSE))*F12/100+Y12+Z12+AA12))))</f>
        <v/>
      </c>
      <c r="AC12" s="267" t="str">
        <f>IF($C$8=0,"",IF('Calc (ex-animal)'!$F$8=1,"",IF(D12="","",VLOOKUP($C$8,'Calc (ex-animal)'!$D$8:$Y$12,9,FALSE)/365*(VLOOKUP($C$8,'DB animal categories'!$C$10:$AC$21,27,FALSE)-VLOOKUP($C$8,'DB animal categories'!$C$10:$AC$21,25,FALSE)*VLOOKUP($C$8,'DB animal categories'!$C$10:$AC$21,26,FALSE)/24)*F12/100*VLOOKUP(D12,'DB technologies'!$N$11:$R$25,5,FALSE)/100)))</f>
        <v/>
      </c>
      <c r="AD12" s="267" t="str">
        <f>IF($C$8=0,"",IF('Calc (ex-animal)'!$F$8=1,"",IF(D12="","",VLOOKUP($C$8,'Calc (ex-animal)'!$D$8:$Y$12,10,FALSE)/365*(VLOOKUP($C$8,'DB animal categories'!$C$10:$AC$21,27,FALSE)-VLOOKUP($C$8,'DB animal categories'!$C$10:$AC$21,25,FALSE)*VLOOKUP($C$8,'DB animal categories'!$C$10:$AC$21,26,FALSE)/24)*F12/100*VLOOKUP(D12,'DB technologies'!$N$11:$Y$25,6,FALSE)/100)))</f>
        <v/>
      </c>
      <c r="AE12" s="268" t="str">
        <f>IF($C$8=0,"",IF('Calc (ex-animal)'!$F$8=1,"",IF(D12="","",VLOOKUP($C$8,'Calc (ex-animal)'!$D$8:$Y$12,10,FALSE)/365*(VLOOKUP($C$8,'DB animal categories'!$C$10:$AC$21,27,FALSE)-VLOOKUP($C$8,'DB animal categories'!$C$10:$AC$21,25,FALSE)*VLOOKUP($C$8,'DB animal categories'!$C$10:$AC$21,26,FALSE)/24)*F12/100*VLOOKUP(D12,'DB technologies'!$N$11:$Y$25,7,FALSE)/100)))</f>
        <v/>
      </c>
      <c r="AG12" s="695"/>
      <c r="AH12" s="695"/>
      <c r="AI12" s="187" t="str">
        <f>IF(D12="","",VLOOKUP(D12,'DB technologies'!$N$11:$Y$25,10,FALSE))</f>
        <v/>
      </c>
      <c r="AJ12" s="451" t="e">
        <f>VLOOKUP($C$8,'DB animal categories'!$C$10:$AN$21,27,FALSE)-VLOOKUP($C$8,'DB animal categories'!$C$10:$AN$21,26,FALSE)*VLOOKUP($C$8,'DB animal categories'!$C$10:$AN$21,25,FALSE)/24</f>
        <v>#N/A</v>
      </c>
      <c r="AK12" s="452" t="str">
        <f>IF(AI12="","",AL12+AM12)</f>
        <v/>
      </c>
      <c r="AL12" s="452" t="str">
        <f>IF(D12="","",IF(AI12=2,(('Calc (ex-animal)'!$G$8*'DB additional information '!$K$4/100*(1-VLOOKUP(D12,'DB technologies'!$N$11:$Y$25,9,FALSE)/100)*'Calc (ex-housing, ex-storage)'!F12/100+'Calc (ex-animal)'!$H$8*'DB additional information '!$L$4/100*(1-VLOOKUP(D12,'DB technologies'!$N$11:$Y$25,9,FALSE)/100)*'Calc (ex-housing, ex-storage)'!F12/100))/365*AJ12+I12+J12+K12,IF(AI12=1,('Calc (ex-animal)'!$H$8*'DB additional information '!$L$4/100*(1-VLOOKUP(D12,'DB technologies'!$N$11:$Y$25,9,FALSE)/100)*'Calc (ex-housing, ex-storage)'!F12/100)/365*AJ12,IF(AI12=4,('Calc (ex-animal)'!$G$8*'DB additional information '!$K$4/100+'Calc (ex-animal)'!$H$8*'DB additional information '!$L$4/100)*(1-VLOOKUP(D12,'DB technologies'!$N$11:$Y$25,9,FALSE)/100)*'Calc (ex-housing, ex-storage)'!F12/100*VLOOKUP(D12,'DB technologies'!$N$11:$Y$25,11,FALSE)/100/365*AJ12,0))))</f>
        <v/>
      </c>
      <c r="AM12" s="452" t="str">
        <f>IF(D12="","",IF(AI12=2,(('Calc (ex-animal)'!$G$8*(1-'DB additional information '!$K$4/100)*(1-VLOOKUP(D12,'DB technologies'!$N$11:$Y$25,8,FALSE)/100)*'Calc (ex-housing, ex-storage)'!F12/100+'Calc (ex-animal)'!$H$8*(1-'DB additional information '!$L$4/100)*(1-VLOOKUP(D12,'DB technologies'!$N$11:$Y$25,8,FALSE)/100)*'Calc (ex-housing, ex-storage)'!F12/100))/365*AJ12+M12+N12+O12,IF(AI12=1,('Calc (ex-animal)'!$H$8*(1-'DB additional information '!$L$4/100)*(1-VLOOKUP(D12,'DB technologies'!$N$11:$Y$25,8,FALSE)/100)*'Calc (ex-housing, ex-storage)'!F12/100)/365*AJ12,IF(AI12=4,('Calc (ex-animal)'!$G$8*(1-'DB additional information '!$K$4/100)+'Calc (ex-animal)'!$H$8*(1-'DB additional information '!$L$4/100))*(1-VLOOKUP(D12,'DB technologies'!$N$11:$Y$25,8,FALSE)/100)*'Calc (ex-housing, ex-storage)'!F12/100*VLOOKUP(D12,'DB technologies'!$N$11:$Y$25,11,FALSE)/100/365*AJ12,0))))</f>
        <v/>
      </c>
      <c r="AN12" s="452" t="str">
        <f>IF(AI12="","",IF(AL12=0,0,AL12/AK12*100))</f>
        <v/>
      </c>
      <c r="AO12" s="184" t="str">
        <f>IF(D12="","",IF(AI12=2,(('Calc (ex-animal)'!$L$8*'Calc (ex-housing, ex-storage)'!F12/100+'Calc (ex-animal)'!$K$8*'Calc (ex-housing, ex-storage)'!F12/100))/365*AJ12+Q12+R12+S12-AC12,IF(AI12=1,('Calc (ex-animal)'!$L$8*'Calc (ex-housing, ex-storage)'!F12/100)/365*AJ12-'Calc (ex-housing, ex-storage)'!AC12,IF(AI12=4,('Calc (ex-animal)'!$L$8+'Calc (ex-animal)'!$K$8)*'Calc (ex-housing, ex-storage)'!F12/100*VLOOKUP(D12,'DB technologies'!$N$11:$Y$25,11,FALSE)/100/365*AJ12-AC12*VLOOKUP(D12,'DB technologies'!$N$11:$Y$25,11,FALSE)/100,0))))</f>
        <v/>
      </c>
      <c r="AP12" s="184" t="str">
        <f>IF(D12="","",IF(AO12&lt;-0.01,0,IF(AI12=2,(('Calc (ex-animal)'!$L$8*'Calc (ex-housing, ex-storage)'!F12/100+'Calc (ex-animal)'!$K$8*'Calc (ex-housing, ex-storage)'!F12/100))/365*AJ12+Q12+R12+S12-AC12,IF(AI12=1,('Calc (ex-animal)'!$L$8*'Calc (ex-housing, ex-storage)'!F12/100)/365*AJ12-'Calc (ex-housing, ex-storage)'!AC12,IF(AI12=4,('Calc (ex-animal)'!$L$8+'Calc (ex-animal)'!$K$8)*'Calc (ex-housing, ex-storage)'!F12/100*VLOOKUP(D12,'DB technologies'!$N$11:$Y$25,11,FALSE)/100/365*AJ12-AC12*VLOOKUP(D12,'DB technologies'!$N$11:$Y$25,11,FALSE)/100,0)))))</f>
        <v/>
      </c>
      <c r="AQ12" s="184" t="str">
        <f>IF(D12="","",IF(AI12=2,('Calc (ex-animal)'!$O$8*'Calc (ex-housing, ex-storage)'!F12/100+'Calc (ex-animal)'!$N$8*'Calc (ex-housing, ex-storage)'!F12/100)/365*AJ12+U12+V12+W12,IF(AI12=1,'Calc (ex-animal)'!$O$8*'Calc (ex-housing, ex-storage)'!F12/100/365*AJ12,IF(AI12=4,('Calc (ex-animal)'!$O$8+'Calc (ex-animal)'!$N$8)*'Calc (ex-housing, ex-storage)'!F12/100*VLOOKUP(D12,'DB technologies'!$N$11:$Y$25,11,FALSE)/100/365*AJ12,0))))</f>
        <v/>
      </c>
      <c r="AR12" s="184" t="str">
        <f>IF(D12="","",IF(AI12=2,('Calc (ex-animal)'!$R$8*'Calc (ex-housing, ex-storage)'!F12/100+'Calc (ex-animal)'!$Q$8*'Calc (ex-housing, ex-storage)'!F12/100)/365*AJ12+Y12+Z12+AA12,IF(AI12=1,'Calc (ex-animal)'!$R$8*'Calc (ex-housing, ex-storage)'!F12/100/365*AJ12,IF(AI12=4,('Calc (ex-animal)'!$R$8+'Calc (ex-animal)'!$Q$8)*'Calc (ex-housing, ex-storage)'!F12/100*VLOOKUP(D12,'DB technologies'!$N$11:$Y$25,11,FALSE)/100/365*AJ12,0))))</f>
        <v/>
      </c>
      <c r="AS12" s="183" t="str">
        <f>IF(D12="","",VLOOKUP(D12,'DB technologies'!$N$11:$Y$25,10,FALSE))</f>
        <v/>
      </c>
      <c r="AT12" s="452" t="str">
        <f>IF(AS12="","",AU12+AV12)</f>
        <v/>
      </c>
      <c r="AU12" s="452" t="str">
        <f>IF(D12="","",IF(AS12=2,0,IF(AS12=1,'Calc (ex-animal)'!$G$8*'DB additional information '!$K$4/100*(1-VLOOKUP(D12,'DB technologies'!$N$11:$Y$25,8,FALSE)/100)*'Calc (ex-housing, ex-storage)'!F12/100/365*AJ12+I12+J12+K12,IF(AS12=5,(('Calc (ex-animal)'!$G$8*'DB additional information '!$K$4/100+'Calc (ex-animal)'!$H$8*'DB additional information '!$L$4/100))*(1-VLOOKUP(D12,'DB technologies'!$N$11:$Y$25,9,FALSE)/100)*'Calc (ex-housing, ex-storage)'!F12/100/365*AJ12+I12+J12+K12,IF(AS12=3,('Calc (ex-animal)'!$G$8*'DB additional information '!$K$4/100+'Calc (ex-animal)'!$H$8*'DB additional information '!$L$4/100)*(1-VLOOKUP(D12,'DB technologies'!$N$11:$Y$25,9,FALSE)/100)*'Calc (ex-housing, ex-storage)'!F12/100/365*AJ12+I12+J12+K12,IF(AS12=4,('Calc (ex-animal)'!$G$8*'DB additional information '!$K$4/100+'Calc (ex-animal)'!$H$8*'DB additional information '!$L$4/100)*(1-VLOOKUP(D12,'DB technologies'!$N$11:$Y$25,9,FALSE)/100)*'Calc (ex-housing, ex-storage)'!F12/100*VLOOKUP(D12,'DB technologies'!$N$11:$Y$25,12,FALSE)/100/365*AJ12+I12+J12+K12,0))))))</f>
        <v/>
      </c>
      <c r="AV12" s="452" t="str">
        <f>IF(D12="","",IF(AS12=2,0,IF(AS12=1,'Calc (ex-animal)'!$G$8*(1-'DB additional information '!$K$4/100)*(1-VLOOKUP(D12,'DB technologies'!$N$11:$Y$25,8,FALSE)/100)*'Calc (ex-housing, ex-storage)'!F12/100/365*AJ12+M12+N12+O12,IF(AS12=5,('Calc (ex-animal)'!$G$8*(1-'DB additional information '!$K$4/100)+'Calc (ex-animal)'!$H$8*(1-'DB additional information '!$L$4/100))*(1-VLOOKUP(D12,'DB technologies'!$N$11:$Y$25,8,FALSE)/100)*'Calc (ex-housing, ex-storage)'!F12/100/365*AJ12+M12+N12+O12,IF(AS12=3,('Calc (ex-animal)'!$G$8*(1-'DB additional information '!$K$4/100)+'Calc (ex-animal)'!$H$8*(1-'DB additional information '!$L$4/100))*(1-VLOOKUP(D12,'DB technologies'!$N$11:$Y$25,8,FALSE)/100)*'Calc (ex-housing, ex-storage)'!F12/100/365*AJ12+M12+N12+O12,IF(AS12=4,('Calc (ex-animal)'!$G$8*(1-'DB additional information '!$K$4/100)+'Calc (ex-animal)'!$H$8*(1-'DB additional information '!$L$4/100))*(1-VLOOKUP(D12,'DB technologies'!$N$11:$Y$25,8,FALSE)/100)*'Calc (ex-housing, ex-storage)'!F12/100*VLOOKUP(D12,'DB technologies'!$N$11:$Y$25,12,FALSE)/100/365*AJ12+M12+N12+O12,0))))))</f>
        <v/>
      </c>
      <c r="AW12" s="452" t="str">
        <f>IF(AS12="","",IF(AU12=0,0,AU12/AT12*100))</f>
        <v/>
      </c>
      <c r="AX12" s="184" t="str">
        <f>IF(D12="","",IF(AS12=2,0,IF(AS12=1,'Calc (ex-animal)'!$K$8*'Calc (ex-housing, ex-storage)'!F12/100/365*AJ12+Q12+R12+S12,IF(AS12=5,('Calc (ex-animal)'!$K$8+'Calc (ex-animal)'!$L$8)*'Calc (ex-housing, ex-storage)'!F12/100/365*AJ12+Q12+R12+S12-'Calc (ex-housing, ex-storage)'!AC12,IF(AS12=3,('Calc (ex-animal)'!$K$8+'Calc (ex-animal)'!$L$8)*'Calc (ex-housing, ex-storage)'!F12/100/365*AJ12+Q12+R12+S12-'Calc (ex-housing, ex-storage)'!AC12-AD12-AE12,IF(AI12=4,('Calc (ex-animal)'!$K$8+'Calc (ex-animal)'!$L$8)*'Calc (ex-housing, ex-storage)'!F12/100*VLOOKUP(D12,'DB technologies'!$N$11:$Y$25,12,FALSE)/100/365*AJ12+Q12+R12+S12-(VLOOKUP(D12,'DB technologies'!$N$11:$Y$25,12,FALSE)/100*AC12)-AD12-AE12,0))))))</f>
        <v/>
      </c>
      <c r="AY12" s="184" t="str">
        <f>IF(D12="","",IF(AS12=2,0,IF(AS12=1,'Calc (ex-animal)'!$N$8*'Calc (ex-housing, ex-storage)'!F12/100/365*AJ12+U12+V12+W12,IF(AS12=5,('Calc (ex-animal)'!$N$8+'Calc (ex-animal)'!$O$8)*'Calc (ex-housing, ex-storage)'!F12/100/365*AJ12+U12+V12+W12,IF(AS12=3,('Calc (ex-animal)'!$N$8+'Calc (ex-animal)'!$O$8)*'Calc (ex-housing, ex-storage)'!F12/100/365*AJ12+U12+V12+W12,IF(AS12=4,('Calc (ex-animal)'!$N$8+'Calc (ex-animal)'!$O$8)*'Calc (ex-housing, ex-storage)'!F12/100*VLOOKUP(D12,'DB technologies'!$N$11:$Y$25,12,FALSE)/100/365*AJ12+U12+V12+W12,0))))))</f>
        <v/>
      </c>
      <c r="AZ12" s="184" t="str">
        <f>IF(D12="","",IF(AS12=2,0,IF(AS12=1,'Calc (ex-animal)'!$Q$8*'Calc (ex-housing, ex-storage)'!F12/100/365*AJ12+Y12+Z12+AA12,IF(AS12=5,('Calc (ex-animal)'!$Q$8+'Calc (ex-animal)'!$R$8)*'Calc (ex-housing, ex-storage)'!F12/100/365*AJ12+Y12+Z12+AA12,IF(AS12=3,('Calc (ex-animal)'!$Q$8+'Calc (ex-animal)'!$R$8)*'Calc (ex-housing, ex-storage)'!F12/100/365*AJ12+Y12+Z12+AA12,IF(AS12=4,('Calc (ex-animal)'!$Q$8+'Calc (ex-animal)'!$R$8)*'Calc (ex-housing, ex-storage)'!F12/100*VLOOKUP(D12,'DB technologies'!$N$11:$Y$25,12,FALSE)/100/365*AJ12+Y12+Z12+AA12,0))))))</f>
        <v/>
      </c>
      <c r="BA12" s="506"/>
      <c r="BB12" s="506"/>
      <c r="BC12" s="506"/>
      <c r="BD12" s="98"/>
      <c r="BE12" s="42"/>
      <c r="BF12" s="42"/>
      <c r="BG12" s="1359"/>
      <c r="BH12" s="1362"/>
      <c r="BI12" s="598" t="str">
        <f>IF(BG12="","",$BA$8*BH12/100-($BB$8*BH12/100*VLOOKUP(BG12,'DB technologies'!$AC$11:$AM$15,5,FALSE)/100)+(VLOOKUP(BG12,'DB technologies'!$AC$11:$AN$15,12,FALSE)*$BA$8*BH12/100))</f>
        <v/>
      </c>
      <c r="BJ12" s="551">
        <f>IF(BI12="",0,BI12*BK12/100)</f>
        <v>0</v>
      </c>
      <c r="BK12" s="508" t="str">
        <f>IF(BG12="","",($BB$8*BH12/100)/BI12*(1-(VLOOKUP(BG12,'DB technologies'!$AC$11:$AM$15,5,FALSE))/100)*100)</f>
        <v/>
      </c>
      <c r="BL12" s="261" t="str">
        <f>IF(BG12="","",$BD$8*BH12/100-BO12-BP12-BQ12)</f>
        <v/>
      </c>
      <c r="BM12" s="261" t="str">
        <f>IF(BG12="","",$BE$8*BH12/100)</f>
        <v/>
      </c>
      <c r="BN12" s="261" t="str">
        <f>IF(BG12="","",$BF$8*BH12/100)</f>
        <v/>
      </c>
      <c r="BO12" s="261" t="str">
        <f>IF(BG12="","",$BD$8*BH12/100*VLOOKUP(BG12,'DB technologies'!$AC$11:$AF$15,2,FALSE)/100)</f>
        <v/>
      </c>
      <c r="BP12" s="261" t="str">
        <f>IF(BG12="","",$BD$8*BH12/100*VLOOKUP(BG12,'DB technologies'!$AC$11:$AN$15,3,FALSE)/100)</f>
        <v/>
      </c>
      <c r="BQ12" s="262" t="str">
        <f>IF(BG12="","",$BD$8*BH12/100*VLOOKUP(BG12,'DB technologies'!$AC$11:$AN$15,4,FALSE)/100)</f>
        <v/>
      </c>
      <c r="BR12" s="116"/>
      <c r="BS12" s="117"/>
      <c r="BT12" s="118"/>
    </row>
    <row r="13" spans="1:74" ht="12" customHeight="1" thickBot="1" x14ac:dyDescent="0.25">
      <c r="A13" s="684"/>
      <c r="B13" s="695"/>
      <c r="C13" s="252"/>
      <c r="D13" s="298" t="s">
        <v>58</v>
      </c>
      <c r="E13" s="299">
        <f>IF('Calc (ex-animal)'!F8=1,'Calc (ex-animal)'!E8,IF(F13&lt;=100,SUM(E8:E12),"ERROR"))</f>
        <v>0</v>
      </c>
      <c r="F13" s="283">
        <f>IF('Calc (ex-animal)'!F8=1,100,IF(SUM(F8:F12) &lt;=100,SUM(F8:F12),"ERROR, SUM&gt;100%"))</f>
        <v>0</v>
      </c>
      <c r="G13" s="492">
        <f>IF('Calc (ex-animal)'!F8=1,"",SUM(G8:G12))</f>
        <v>0</v>
      </c>
      <c r="H13" s="433">
        <f>IF('Calc (ex-animal)'!$F$8=1,"",SUM(H8:H12))</f>
        <v>0</v>
      </c>
      <c r="I13" s="433">
        <f>IF('Calc (ex-animal)'!$F$8=1,"",SUM(I8:I12))</f>
        <v>0</v>
      </c>
      <c r="J13" s="433">
        <f>IF('Calc (ex-animal)'!$F$8=1,"",SUM(J8:J12))</f>
        <v>0</v>
      </c>
      <c r="K13" s="433">
        <f>IF('Calc (ex-animal)'!$F$8=1,"",SUM(K8:K12))</f>
        <v>0</v>
      </c>
      <c r="L13" s="433" t="str">
        <f>IF('Calc (ex-animal)'!$F$8=M131,"",SUM(L8:L12))</f>
        <v/>
      </c>
      <c r="M13" s="433"/>
      <c r="N13" s="433"/>
      <c r="O13" s="433"/>
      <c r="P13" s="633">
        <f>IF(G13=0,0,IF('Calc (ex-animal)'!$F$8=1,"",IF(D13="","",SUM(H13:K13)/G13*100)))</f>
        <v>0</v>
      </c>
      <c r="Q13" s="421">
        <f>IF('Calc (ex-animal)'!$F$8=1,"",SUM(Q8:Q12))</f>
        <v>0</v>
      </c>
      <c r="R13" s="421">
        <f>IF('Calc (ex-animal)'!$F$8=1,"",SUM(R8:R12))</f>
        <v>0</v>
      </c>
      <c r="S13" s="493">
        <f>IF('Calc (ex-animal)'!$F$8=1,"",SUM(S8:S12))</f>
        <v>0</v>
      </c>
      <c r="T13" s="273">
        <f>IF('Calc (ex-animal)'!F8=1,"",SUM(T8:T12))</f>
        <v>0</v>
      </c>
      <c r="U13" s="421">
        <f>IF('Calc (ex-animal)'!$F$8=1,"",SUM(U8:U12))</f>
        <v>0</v>
      </c>
      <c r="V13" s="421">
        <f>IF('Calc (ex-animal)'!$F$8=1,"",SUM(V8:V12))</f>
        <v>0</v>
      </c>
      <c r="W13" s="421">
        <f>IF('Calc (ex-animal)'!$F$8=1,"",SUM(W8:W12))</f>
        <v>0</v>
      </c>
      <c r="X13" s="273">
        <f>IF('Calc (ex-animal)'!F8=1,"",SUM(X8:X12))</f>
        <v>0</v>
      </c>
      <c r="Y13" s="421">
        <f>IF('Calc (ex-animal)'!$F$8=1,"",SUM(Y8:Y12))</f>
        <v>0</v>
      </c>
      <c r="Z13" s="421">
        <f>IF('Calc (ex-animal)'!$F$8=1,"",SUM(Z8:Z12))</f>
        <v>0</v>
      </c>
      <c r="AA13" s="421">
        <f>IF('Calc (ex-animal)'!$F$8=1,"",SUM(AA8:AA12))</f>
        <v>0</v>
      </c>
      <c r="AB13" s="273">
        <f>IF('Calc (ex-animal)'!F8=1,"",SUM(AB8:AB12))</f>
        <v>0</v>
      </c>
      <c r="AC13" s="273">
        <f>IF('Calc (ex-animal)'!F8=1,"",SUM(AC8:AC12))</f>
        <v>0</v>
      </c>
      <c r="AD13" s="273">
        <f>IF('Calc (ex-animal)'!F8=1,"",SUM(AD8:AD12))</f>
        <v>0</v>
      </c>
      <c r="AE13" s="274">
        <f>IF('Calc (ex-animal)'!F8=1,"",SUM(AE8:AE12))</f>
        <v>0</v>
      </c>
      <c r="AG13" s="695"/>
      <c r="AH13" s="696"/>
      <c r="AI13" s="90"/>
      <c r="AJ13" s="419"/>
      <c r="AK13" s="419"/>
      <c r="AL13" s="419"/>
      <c r="AM13" s="419"/>
      <c r="AN13" s="419"/>
      <c r="AO13" s="97"/>
      <c r="AP13" s="97"/>
      <c r="AQ13" s="90"/>
      <c r="AR13" s="90"/>
      <c r="AS13" s="90"/>
      <c r="AT13" s="419"/>
      <c r="AU13" s="419"/>
      <c r="AV13" s="419"/>
      <c r="AW13" s="419"/>
      <c r="AX13" s="97"/>
      <c r="AY13" s="96"/>
      <c r="AZ13" s="96"/>
      <c r="BA13" s="507"/>
      <c r="BB13" s="507"/>
      <c r="BC13" s="507"/>
      <c r="BD13" s="98"/>
      <c r="BE13" s="42"/>
      <c r="BF13" s="42"/>
      <c r="BG13" s="314" t="s">
        <v>58</v>
      </c>
      <c r="BH13" s="289">
        <f>IF(SUM(BH8:BH12) &gt;100,"ERROR, SUM&gt;100%",SUM(BH8:BH12))</f>
        <v>0</v>
      </c>
      <c r="BI13" s="602">
        <f>SUM(BI8:BI12)</f>
        <v>0</v>
      </c>
      <c r="BJ13" s="593">
        <f>SUM(BJ8:BJ12)</f>
        <v>0</v>
      </c>
      <c r="BK13" s="597">
        <f>IF(BI13=0,0,BJ13/BI13*100)</f>
        <v>0</v>
      </c>
      <c r="BL13" s="290">
        <f t="shared" ref="BL13:BQ13" si="0">SUM(BL8:BL12)</f>
        <v>0</v>
      </c>
      <c r="BM13" s="290">
        <f t="shared" si="0"/>
        <v>0</v>
      </c>
      <c r="BN13" s="290">
        <f t="shared" si="0"/>
        <v>0</v>
      </c>
      <c r="BO13" s="290">
        <f t="shared" si="0"/>
        <v>0</v>
      </c>
      <c r="BP13" s="290">
        <f t="shared" si="0"/>
        <v>0</v>
      </c>
      <c r="BQ13" s="291">
        <f t="shared" si="0"/>
        <v>0</v>
      </c>
      <c r="BR13" s="119"/>
      <c r="BS13" s="120"/>
      <c r="BT13" s="121"/>
    </row>
    <row r="14" spans="1:74" ht="11.25" customHeight="1" x14ac:dyDescent="0.2">
      <c r="A14" s="684"/>
      <c r="B14" s="695"/>
      <c r="C14" s="250">
        <f>'Calc (ex-animal)'!D9</f>
        <v>0</v>
      </c>
      <c r="D14" s="1355"/>
      <c r="E14" s="1356"/>
      <c r="F14" s="479" t="str">
        <f>IF('Calc (ex-animal)'!$F$9=1,"",IF($C$14=0,"",IF(D14="","",E14/'Calc (ex-animal)'!$E$9*100)))</f>
        <v/>
      </c>
      <c r="G14" s="484" t="str">
        <f>IF(C14=0,"",IF('Calc (ex-animal)'!$F$8=1,"",IF(D14="","",SUM(H14:O14))))</f>
        <v/>
      </c>
      <c r="H14" s="471" t="str">
        <f>IF('Calc (ex-animal)'!$F$8=1,"",IF(D14="","",(((VLOOKUP($C$14,'Calc (ex-animal)'!$D$8:$Y$12,6,FALSE)-VLOOKUP($C$14,'Calc (ex-animal)'!$D$8:$Y$12,17,FALSE))*F14/100))*VLOOKUP($C$14,'Calc (ex-animal)'!$D$8:$Y$12,7,FALSE)/100*(1-VLOOKUP(D14,'DB technologies'!$N$11:$Y$25,9,FALSE)/100)))</f>
        <v/>
      </c>
      <c r="I14" s="471" t="str">
        <f>IF(D14="","",((VLOOKUP(D14,'DB technologies'!$N$11:$Y$25,2,FALSE)*VLOOKUP($C$14,'DB animal categories'!$C$10:$AC$21,27,FALSE)*E14/1000)/365*(VLOOKUP($C$14,'DB animal categories'!$C$10:$AC$21,27,FALSE)-VLOOKUP($C$14,'DB animal categories'!$C$10:$AC$21,25,FALSE)*VLOOKUP($C$14,'DB animal categories'!$C$10:$AC$21,26,FALSE)/24))*'DB additional information '!$S$6/100*(1-VLOOKUP(D14,'DB technologies'!$N$11:$Y$25,9,FALSE)/100))</f>
        <v/>
      </c>
      <c r="J14" s="472" t="str">
        <f>IF(D14="","",((VLOOKUP(D14,'DB technologies'!$N$11:$Y$25,3,FALSE)*VLOOKUP($C$14,'DB animal categories'!$C$10:$AC$21,27,FALSE)*E14/1000)/365*(VLOOKUP($C$14,'DB animal categories'!$C$10:$AC$21,27,FALSE)-VLOOKUP($C$14,'DB animal categories'!$C$10:$AC$21,25,FALSE)*VLOOKUP($C$14,'DB animal categories'!$C$10:$AC$21,26,FALSE)/24))*'DB additional information '!$S$7/100*(1-VLOOKUP(D14,'DB technologies'!$N$11:$Y$25,9,FALSE)/100))</f>
        <v/>
      </c>
      <c r="K14" s="472" t="str">
        <f>IF(D14="","",((VLOOKUP(D14,'DB technologies'!$N$11:$Y$25,4,FALSE)*E14*'DB additional information '!$S$8/100*(1-VLOOKUP(D14,'DB technologies'!$N$11:$Y$25,9,FALSE)/100))/365*(VLOOKUP($C$14,'DB animal categories'!$C$10:$AC$21,27,FALSE)-VLOOKUP($C$14,'DB animal categories'!$C$10:$AC$21,25,FALSE)*VLOOKUP($C$14,'DB animal categories'!$C$10:$AC$21,26,FALSE)/24)))</f>
        <v/>
      </c>
      <c r="L14" s="471" t="str">
        <f>IF('Calc (ex-animal)'!$F$8=1,"",IF(D14="","",(((VLOOKUP($C$14,'Calc (ex-animal)'!$D$8:$Y$12,6,FALSE)-VLOOKUP($C$14,'Calc (ex-animal)'!$D$8:$Y$12,17,FALSE))*F14/100))*(1-VLOOKUP($C$14,'Calc (ex-animal)'!$D$8:$Y$12,7,FALSE)/100)*(1-VLOOKUP(D14,'DB technologies'!$N$11:$V$25,8,FALSE)/100)))</f>
        <v/>
      </c>
      <c r="M14" s="472" t="str">
        <f>IF(D14="","",((VLOOKUP(D14,'DB technologies'!$N$11:$Y$25,2,FALSE)*VLOOKUP($C$14,'DB animal categories'!$C$10:$AC$21,27,FALSE)*E14/1000)/365*(VLOOKUP($C$14,'DB animal categories'!$C$10:$AC$21,27,FALSE)-VLOOKUP($C$14,'DB animal categories'!$C$10:$AC$21,25,FALSE)*VLOOKUP($C$14,'DB animal categories'!$C$10:$AC$21,26,FALSE)/24))*(1-'DB additional information '!$S$6/100)*(1-VLOOKUP(D14,'DB technologies'!$N$11:$Y$25,9,FALSE)/100))</f>
        <v/>
      </c>
      <c r="N14" s="472" t="str">
        <f>IF(D14="","",((VLOOKUP(D14,'DB technologies'!$N$11:$Y$25,3,FALSE)*VLOOKUP($C$14,'DB animal categories'!$C$10:$AC$21,27,FALSE)*E14/1000)/365*(VLOOKUP($C$14,'DB animal categories'!$C$10:$AC$21,27,FALSE)-VLOOKUP($C$14,'DB animal categories'!$C$10:$AC$21,25,FALSE)*VLOOKUP($C$14,'DB animal categories'!$C$10:$AC$21,26,FALSE)/24))*(1-'DB additional information '!$S$7/100)*(1-VLOOKUP(D14,'DB technologies'!$N$11:$Y$25,9,FALSE)/100))</f>
        <v/>
      </c>
      <c r="O14" s="471" t="str">
        <f>IF(D14="","",((VLOOKUP(D14,'DB technologies'!$N$11:$Y$25,4,FALSE)*E14*(1-'DB additional information '!$S$8/100)*(1-VLOOKUP(D14,'DB technologies'!$N$11:$Y$25,8,FALSE)/100))/365*(VLOOKUP($C$14,'DB animal categories'!$C$10:$AC$21,27,FALSE)-VLOOKUP($C$14,'DB animal categories'!$C$10:$AC$21,25,FALSE)*VLOOKUP($C$14,'DB animal categories'!$C$10:$AC$21,26,FALSE)/24)))</f>
        <v/>
      </c>
      <c r="P14" s="630" t="str">
        <f>IF(G14=0,0,IF(E14="","",IF(F14="","",IF($C$14=0,"",IF(D14="","",SUM(H14:K14)/G14*100)))))</f>
        <v/>
      </c>
      <c r="Q14" s="473" t="str">
        <f>IF(D14="","",(VLOOKUP(D14,'DB technologies'!$N$11:$Y$25,2,FALSE)*'DB additional information '!$S$6/100*'DB additional information '!$T$6*VLOOKUP($C$14,'DB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R14" s="473" t="str">
        <f>IF(D14="","",(VLOOKUP(D14,'DB technologies'!$N$11:$Y$25,3,FALSE)*'DB additional information '!$S$7/100*'DB additional information '!$T$7*VLOOKUP($C$14,'DB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S14" s="490" t="str">
        <f>IF(D14="","",(VLOOKUP(D14,'DB technologies'!$N$11:$Y$25,4,FALSE)*('DB additional information '!$S$8/100*'DB additional information '!$T$8*E14/1000/1000)))</f>
        <v/>
      </c>
      <c r="T14" s="259" t="str">
        <f>IF($C$14=0,"",IF('Calc (ex-animal)'!$F$9=1,"",IF(D14="","",((VLOOKUP($C$14,'Calc (ex-animal)'!$D$8:$Y$12,10,FALSE)-VLOOKUP($C$14,'Calc (ex-animal)'!$D$8:$Y$12,18,FALSE))*F14/100+Q14+R14+S14)-AC14-AD14-AE14)))</f>
        <v/>
      </c>
      <c r="U14" s="474" t="str">
        <f>IF(D14="","",(VLOOKUP(D14,'DB technologies'!$N$11:$Y$25,2,FALSE)*'DB additional information '!$S$6/100*'DB additional information '!$U$6*VLOOKUP($C$14,'DB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V14" s="420" t="str">
        <f>IF(D14="","",(VLOOKUP(D14,'DB technologies'!$N$11:$Y$25,3,FALSE)*'DB additional information '!$S$7/100*'DB additional information '!$U$7*VLOOKUP($C$14,'DB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W14" s="415" t="str">
        <f>IF(D14="","",(VLOOKUP(D14,'DB technologies'!$N$11:$Y$25,4,FALSE)*('DB additional information '!$S$8/100*'DB additional information '!$U$8*E14/1000/1000)))</f>
        <v/>
      </c>
      <c r="X14" s="261" t="str">
        <f>IF($C$14=0,"",IF('Calc (ex-animal)'!$F$9=1,"",IF(D14="","",((VLOOKUP($C$14,'Calc (ex-animal)'!$D$8:$Y$12,13,FALSE)-VLOOKUP($C$14,'Calc (ex-animal)'!$D$8:$Y$12,19,FALSE))*F14/100+U14+V14+W14))))</f>
        <v/>
      </c>
      <c r="Y14" s="420" t="str">
        <f>IF(D14="","",(VLOOKUP(D14,'DB technologies'!$N$11:$Y$25,2,FALSE)*'DB additional information '!$S$6/100*'DB additional information '!$V$6*VLOOKUP($C$14,'DB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Z14" s="420" t="str">
        <f>IF(D14="","",(VLOOKUP(D14,'DB technologies'!$N$11:$Y$25,3,FALSE)*'DB additional information '!$S$7/100*'DB additional information '!$V$7*VLOOKUP($C$14,'DB animal categories'!$C$10:$AC$21,27,FALSE)*E14/1000/1000)/365*(VLOOKUP($C$14,'DB animal categories'!$C$10:$AC$21,27,FALSE)-VLOOKUP($C$14,'DB animal categories'!$C$10:$AC$21,25,FALSE)*VLOOKUP($C$14,'DB animal categories'!$C$10:$AC$21,26,FALSE)/24))</f>
        <v/>
      </c>
      <c r="AA14" s="420" t="str">
        <f>IF(D14="","",(VLOOKUP(D14,'DB technologies'!$N$11:$Y$25,4,FALSE)*('DB additional information '!$S$8/100*'DB additional information '!$V$8*E14/1000/1000)))</f>
        <v/>
      </c>
      <c r="AB14" s="261" t="str">
        <f>IF($C$14=0,"",IF('Calc (ex-animal)'!$F$8=1,"",IF(D14="","",((VLOOKUP($C$14,'Calc (ex-animal)'!$D$8:$Y$12,16,FALSE)-VLOOKUP($C$14,'Calc (ex-animal)'!$D$8:$Y$12,20,FALSE))*F14/100+Y14+Z14+AA14))))</f>
        <v/>
      </c>
      <c r="AC14" s="261" t="str">
        <f>IF($C$14=0,"",IF('Calc (ex-animal)'!$F$8=1,"",IF(D14="","",VLOOKUP($C$14,'Calc (ex-animal)'!$D$8:$Y$12,9,FALSE)/365*(VLOOKUP($C$14,'DB animal categories'!$C$10:$AC$21,27,FALSE)-VLOOKUP($C$14,'DB animal categories'!$C$10:$AC$21,25,FALSE)*VLOOKUP($C$14,'DB animal categories'!$C$10:$AC$21,26,FALSE)/24)*F14/100*VLOOKUP(D14,'DB technologies'!$N$11:$R$25,5,FALSE)/100)))</f>
        <v/>
      </c>
      <c r="AD14" s="261" t="str">
        <f>IF($C$14=0,"",IF('Calc (ex-animal)'!$F$8=1,"",IF(D14="","",VLOOKUP($C$14,'Calc (ex-animal)'!$D$8:$Y$12,10,FALSE)/365*(VLOOKUP($C$14,'DB animal categories'!$C$10:$AC$21,27,FALSE)-VLOOKUP($C$14,'DB animal categories'!$C$10:$AC$21,25,FALSE)*VLOOKUP($C$14,'DB animal categories'!$C$10:$AC$21,26,FALSE)/24)*F14/100*VLOOKUP(D14,'DB technologies'!$N$11:$Y$25,6,FALSE)/100)))</f>
        <v/>
      </c>
      <c r="AE14" s="262" t="str">
        <f>IF($C$14=0,"",IF('Calc (ex-animal)'!$F$8=1,"",IF(D14="","",VLOOKUP($C$14,'Calc (ex-animal)'!$D$8:$Y$12,10,FALSE)/365*(VLOOKUP($C$14,'DB animal categories'!$C$10:$AC$21,27,FALSE)-VLOOKUP($C$14,'DB animal categories'!$C$10:$AC$21,25,FALSE)*VLOOKUP($C$14,'DB animal categories'!$C$10:$AC$21,26,FALSE)/24)*F14/100*VLOOKUP(D14,'DB technologies'!$N$11:$Y$25,7,FALSE)/100)))</f>
        <v/>
      </c>
      <c r="AG14" s="695"/>
      <c r="AH14" s="694" t="s">
        <v>133</v>
      </c>
      <c r="AI14" s="179" t="str">
        <f>IF(D14="","",VLOOKUP(D14,'DB technologies'!$N$11:$Y$25,10,FALSE))</f>
        <v/>
      </c>
      <c r="AJ14" s="482" t="e">
        <f>VLOOKUP($C$14,'DB animal categories'!$C$10:$AN$21,27,FALSE)-VLOOKUP($C$14,'DB animal categories'!$C$10:$AN$21,26,FALSE)*VLOOKUP($C$14,'DB animal categories'!$C$10:$AN$21,25,FALSE)/24</f>
        <v>#N/A</v>
      </c>
      <c r="AK14" s="453" t="str">
        <f>IF(AI14="","",AL14+AM14)</f>
        <v/>
      </c>
      <c r="AL14" s="453" t="str">
        <f>IF(D14="","",IF(AI14=2,(('Calc (ex-animal)'!$G$9*'DB additional information '!$K$4/100*(1-VLOOKUP(D14,'DB technologies'!$N$11:$Y$25,9,FALSE)/100)*'Calc (ex-housing, ex-storage)'!F14/100+'Calc (ex-animal)'!$H$9*'DB additional information '!$L$4/100*(1-VLOOKUP(D14,'DB technologies'!$N$11:$Y$25,9,FALSE)/100)*'Calc (ex-housing, ex-storage)'!F14/100))/365*AJ14+I14+J14+K14,IF(AI14=1,('Calc (ex-animal)'!$H$9*'DB additional information '!$L$4/100*(1-VLOOKUP(D14,'DB technologies'!$N$11:$Y$25,9,FALSE)/100)*'Calc (ex-housing, ex-storage)'!F14/100)/365*AJ14,IF(AI14=4,('Calc (ex-animal)'!$G$9*'DB additional information '!$K$4/100+'Calc (ex-animal)'!$H$9*'DB additional information '!$L$4/100)*(1-VLOOKUP(D14,'DB technologies'!$N$11:$Y$25,9,FALSE)/100)*'Calc (ex-housing, ex-storage)'!F14/100*VLOOKUP(D14,'DB technologies'!$N$11:$Y$25,11,FALSE)/100/365*AJ14,0))))</f>
        <v/>
      </c>
      <c r="AM14" s="453" t="str">
        <f>IF(D14="","",IF(AI14=2,(('Calc (ex-animal)'!$G$9*(1-'DB additional information '!$K$4/100)*(1-VLOOKUP(D14,'DB technologies'!$N$11:$Y$25,8,FALSE)/100)*'Calc (ex-housing, ex-storage)'!F14/100+'Calc (ex-animal)'!$H$9*(1-'DB additional information '!$L$4/100)*(1-VLOOKUP(D14,'DB technologies'!$N$11:$Y$25,8,FALSE)/100)*'Calc (ex-housing, ex-storage)'!F14/100))/365*AJ14+M14+N14+O14,IF(AI14=1,('Calc (ex-animal)'!$H$9*(1-'DB additional information '!$L$4/100)*(1-VLOOKUP(D14,'DB technologies'!$N$11:$Y$25,8,FALSE)/100)*'Calc (ex-housing, ex-storage)'!F14/100)/365*AJ14,IF(AI14=4,('Calc (ex-animal)'!$G$9*(1-'DB additional information '!$K$4/100)+'Calc (ex-animal)'!$H$9*(1-'DB additional information '!$L$4/100))*(1-VLOOKUP(D14,'DB technologies'!$N$11:$Y$25,8,FALSE)/100)*'Calc (ex-housing, ex-storage)'!F14/100*VLOOKUP(D14,'DB technologies'!$N$11:$Y$25,11,FALSE)/100/365*AJ14,0))))</f>
        <v/>
      </c>
      <c r="AN14" s="453" t="str">
        <f>IF(AI14="","",IF(AL14=0,0,AL14/AK14*100))</f>
        <v/>
      </c>
      <c r="AO14" s="180" t="str">
        <f>IF(D14="","",IF(AI14=2,(('Calc (ex-animal)'!$L$9*'Calc (ex-housing, ex-storage)'!F14/100+'Calc (ex-animal)'!$K$9*'Calc (ex-housing, ex-storage)'!F14/100))/365*AJ14+Q14+R14+S14-AC14,IF(AI14=1,('Calc (ex-animal)'!$L$9*'Calc (ex-housing, ex-storage)'!F14/100)/365*AJ14-'Calc (ex-housing, ex-storage)'!AC14,IF(AI14=4,('Calc (ex-animal)'!$L$9+'Calc (ex-animal)'!$K$9)*'Calc (ex-housing, ex-storage)'!F14/100*VLOOKUP(D14,'DB technologies'!$N$11:$Y$25,11,FALSE)/100/365*AJ14-AC14*VLOOKUP(D14,'DB technologies'!$N$11:$Y$25,11,FALSE)/100,0))))</f>
        <v/>
      </c>
      <c r="AP14" s="180" t="str">
        <f>IF(D14="","",IF(AO14&lt;-0.01,0,IF(AI14=2,(('Calc (ex-animal)'!$L$9*'Calc (ex-housing, ex-storage)'!F14/100+'Calc (ex-animal)'!$K$9*'Calc (ex-housing, ex-storage)'!F14/100))/365*AJ14+Q14+R14+S14-AC14,IF(AI14=1,('Calc (ex-animal)'!$L$9*'Calc (ex-housing, ex-storage)'!F14/100)/365*AJ14-'Calc (ex-housing, ex-storage)'!AC14,IF(AI14=4,('Calc (ex-animal)'!$L$9+'Calc (ex-animal)'!$K$9)*'Calc (ex-housing, ex-storage)'!F14/100*VLOOKUP(D14,'DB technologies'!$N$11:$Y$25,11,FALSE)/100/365*AJ14-AC14*VLOOKUP(D14,'DB technologies'!$N$11:$Y$25,11,FALSE)/100,0)))))</f>
        <v/>
      </c>
      <c r="AQ14" s="180" t="str">
        <f>IF(D14="","",IF(AI14=2,('Calc (ex-animal)'!$O$9*'Calc (ex-housing, ex-storage)'!F14/100+'Calc (ex-animal)'!$N$9*'Calc (ex-housing, ex-storage)'!F14/100)/365*AJ14+U14+V14+W14,IF(AI14=1,'Calc (ex-animal)'!$O$9*'Calc (ex-housing, ex-storage)'!F14/100/365*AJ14,IF(AI14=4,('Calc (ex-animal)'!$O$9+'Calc (ex-animal)'!$N$9)*'Calc (ex-housing, ex-storage)'!F14/100*VLOOKUP(D14,'DB technologies'!$N$11:$Y$25,11,FALSE)/100/365*AJ14,0))))</f>
        <v/>
      </c>
      <c r="AR14" s="180" t="str">
        <f>IF(D14="","",IF(AI14=2,('Calc (ex-animal)'!$R$9*'Calc (ex-housing, ex-storage)'!F14/100+'Calc (ex-animal)'!$Q$9*'Calc (ex-housing, ex-storage)'!F14/100)/365*AJ14+Y14+Z14+AA14,IF(AI14=1,'Calc (ex-animal)'!$R$9*'Calc (ex-housing, ex-storage)'!F14/100/365*AJ14,IF(AI14=4,('Calc (ex-animal)'!$R$9+'Calc (ex-animal)'!$Q$9)*'Calc (ex-housing, ex-storage)'!F14/100*VLOOKUP(D14,'DB technologies'!$N$11:$Y$25,11,FALSE)/100/365*AJ14,0))))</f>
        <v/>
      </c>
      <c r="AS14" s="179" t="str">
        <f>IF(D14="","",VLOOKUP(D14,'DB technologies'!$N$11:$Y$25,10,FALSE))</f>
        <v/>
      </c>
      <c r="AT14" s="453" t="str">
        <f t="shared" ref="AT14:AT35" si="1">IF(AS14="","",AU14+AV14)</f>
        <v/>
      </c>
      <c r="AU14" s="453" t="str">
        <f>IF(D14="","",IF(AS14=2,0,IF(AS14=1,'Calc (ex-animal)'!$G$9*'DB additional information '!$K$4/100*(1-VLOOKUP(D14,'DB technologies'!$N$11:$Y$25,8,FALSE)/100)*'Calc (ex-housing, ex-storage)'!F14/100/365*AJ14+I14+J14+K14,IF(AS14=5,(('Calc (ex-animal)'!$G$9*'DB additional information '!$K$4/100+'Calc (ex-animal)'!$H$9*'DB additional information '!$L$4/100))*(1-VLOOKUP(D14,'DB technologies'!$N$11:$Y$25,9,FALSE)/100)*'Calc (ex-housing, ex-storage)'!F14/100/365*AJ14+I14+J14+K14,IF(AS14=3,('Calc (ex-animal)'!$G$9*'DB additional information '!$K$4/100+'Calc (ex-animal)'!$H$9*'DB additional information '!$L$4/100)*(1-VLOOKUP(D14,'DB technologies'!$N$11:$Y$25,9,FALSE)/100)*'Calc (ex-housing, ex-storage)'!F14/100/365*AJ14+I14+J14+K14,IF(AS14=4,('Calc (ex-animal)'!$G$9*'DB additional information '!$K$4/100+'Calc (ex-animal)'!$H$9*'DB additional information '!$L$4/100)*(1-VLOOKUP(D14,'DB technologies'!$N$11:$Y$25,9,FALSE)/100)*'Calc (ex-housing, ex-storage)'!F14/100*VLOOKUP(D14,'DB technologies'!$N$11:$Y$25,12,FALSE)/100/365*AJ14+I14+J14+K14,0))))))</f>
        <v/>
      </c>
      <c r="AV14" s="453" t="str">
        <f>IF(D14="","",IF(AS14=2,0,IF(AS14=1,'Calc (ex-animal)'!$G$9*(1-'DB additional information '!$K$4/100)*(1-VLOOKUP(D14,'DB technologies'!$N$11:$Y$25,8,FALSE)/100)*'Calc (ex-housing, ex-storage)'!F14/100/365*AJ14+M14+N14+O14,IF(AS14=5,('Calc (ex-animal)'!$G$9*(1-'DB additional information '!$K$4/100)+'Calc (ex-animal)'!$H$9*(1-'DB additional information '!$L$4/100))*(1-VLOOKUP(D14,'DB technologies'!$N$11:$Y$25,8,FALSE)/100)*'Calc (ex-housing, ex-storage)'!F14/100/365*AJ14+M14+N14+O14,IF(AS14=3,('Calc (ex-animal)'!$G$9*(1-'DB additional information '!$K$4/100)+'Calc (ex-animal)'!$H$9*(1-'DB additional information '!$L$4/100))*(1-VLOOKUP(D14,'DB technologies'!$N$11:$Y$25,8,FALSE)/100)*'Calc (ex-housing, ex-storage)'!F14/100/365*AJ14+M14+N14+O14,IF(AS14=4,('Calc (ex-animal)'!$G$9*(1-'DB additional information '!$K$4/100)+'Calc (ex-animal)'!$H$9*(1-'DB additional information '!$L$4/100))*(1-VLOOKUP(D14,'DB technologies'!$N$11:$Y$25,8,FALSE)/100)*'Calc (ex-housing, ex-storage)'!F14/100*VLOOKUP(D14,'DB technologies'!$N$11:$Y$25,12,FALSE)/100/365*AJ14+M14+N14+O14,0))))))</f>
        <v/>
      </c>
      <c r="AW14" s="453" t="str">
        <f>IF(AS14="","",IF(AU14=0,0,AU14/AT14*100))</f>
        <v/>
      </c>
      <c r="AX14" s="180" t="str">
        <f>IF(D14="","",IF(AS14=2,0,IF(AS14=1,'Calc (ex-animal)'!$K$9*'Calc (ex-housing, ex-storage)'!F14/100/365*AJ14+Q14+R14+S14,IF(AS14=5,('Calc (ex-animal)'!$K$9+'Calc (ex-animal)'!$L$9)*'Calc (ex-housing, ex-storage)'!F14/100/365*AJ14+Q14+R14+S14-'Calc (ex-housing, ex-storage)'!AC14,IF(AS14=3,('Calc (ex-animal)'!$K$9+'Calc (ex-animal)'!$L$9)*'Calc (ex-housing, ex-storage)'!F14/100/365*AJ14+Q14+R14+S14-'Calc (ex-housing, ex-storage)'!AC14-AD14-AE14,IF(AI14=4,('Calc (ex-animal)'!$K$9+'Calc (ex-animal)'!$L$9)*'Calc (ex-housing, ex-storage)'!F14/100*VLOOKUP(D14,'DB technologies'!$N$11:$Y$25,12,FALSE)/100/365*AJ14+Q14+R14+S14-(VLOOKUP(D14,'DB technologies'!$N$11:$Y$25,12,FALSE)/100*AC14)-AD14-AE14,0))))))</f>
        <v/>
      </c>
      <c r="AY14" s="180" t="str">
        <f>IF(D14="","",IF(AS14=2,0,IF(AS14=1,'Calc (ex-animal)'!$N$9*'Calc (ex-housing, ex-storage)'!F14/100/365*AJ14+U14+V14+W14,IF(AS14=5,('Calc (ex-animal)'!$N$9+'Calc (ex-animal)'!$O$9)*'Calc (ex-housing, ex-storage)'!F14/100/365*AJ14+U14+V14+W14,IF(AS14=3,('Calc (ex-animal)'!$N$9+'Calc (ex-animal)'!$O$9)*'Calc (ex-housing, ex-storage)'!F14/100/365*AJ14+U14+V14+W14,IF(AS14=4,('Calc (ex-animal)'!$N$9+'Calc (ex-animal)'!$O$9)*'Calc (ex-housing, ex-storage)'!F14/100*VLOOKUP(D14,'DB technologies'!$N$11:$Y$25,12,FALSE)/100/365*AJ14+U14+V14+W14,0))))))</f>
        <v/>
      </c>
      <c r="AZ14" s="180" t="str">
        <f>IF(D14="","",IF(AS14=2,0,IF(AS14=1,'Calc (ex-animal)'!$Q$9*'Calc (ex-housing, ex-storage)'!F14/100/365*AJ14+Y14+Z14+AA14,IF(AS14=5,('Calc (ex-animal)'!$Q$9+'Calc (ex-animal)'!$R$9)*'Calc (ex-housing, ex-storage)'!F14/100/365*AJ14+Y14+Z14+AA14,IF(AS14=3,('Calc (ex-animal)'!$Q$9+'Calc (ex-animal)'!$R$9)*'Calc (ex-housing, ex-storage)'!F14/100/365*AJ14+Y14+Z14+AA14,IF(AS14=4,('Calc (ex-animal)'!$Q$9+'Calc (ex-animal)'!$R$9)*'Calc (ex-housing, ex-storage)'!F14/100*VLOOKUP(D14,'DB technologies'!$N$11:$Y$25,12,FALSE)/100/365*AJ14+Y14+Z14+AA14,0))))))</f>
        <v/>
      </c>
      <c r="BA14" s="98">
        <f>SUMIF(AS8:AS156,1,AT8:AT156)+SUMIF(AS8:AS156,5,AT8:AT156)</f>
        <v>0</v>
      </c>
      <c r="BB14" s="98">
        <f>SUMIF(AS8:AS156,1,AU8:AU156)+SUMIF(AS8:AS156,5,AU8:AU156)</f>
        <v>0</v>
      </c>
      <c r="BC14" s="506" t="e">
        <f>BB14/BA14*100</f>
        <v>#DIV/0!</v>
      </c>
      <c r="BD14" s="98">
        <f>SUMIF(AS8:AS156,1,AX8:AX156)+SUMIF(AS8:AS156,5,AX8:AX156)</f>
        <v>0</v>
      </c>
      <c r="BE14" s="98">
        <f>SUMIF(AS8:AS156,1,AY8:AY156)+SUMIF(AS8:AS156,5,AY8:AY156)</f>
        <v>0</v>
      </c>
      <c r="BF14" s="98">
        <f>SUMIF(AS8:AS156,1,AZ8:AZ156)+SUMIF(AS8:AS156,5,AZ8:AZ156)</f>
        <v>0</v>
      </c>
      <c r="BG14" s="1355"/>
      <c r="BH14" s="1363"/>
      <c r="BI14" s="598" t="str">
        <f>IF(BG14="","",$BA$14*BH14/100-($BB$14*BH14/100*VLOOKUP(BG14,'DB technologies'!$AC$16:$AQ$20,5,FALSE)/100)+(VLOOKUP(BG14,'DB technologies'!$AC$16:$AQ$20,12,FALSE)*$BA$14*BH14/100))</f>
        <v/>
      </c>
      <c r="BJ14" s="551">
        <f>IF(BI14="",0,BI14*BK14/100)</f>
        <v>0</v>
      </c>
      <c r="BK14" s="508" t="str">
        <f>IF(BG14="","",($BB$14*BH14/100)/BI14*(1-(VLOOKUP(BG14,'DB technologies'!$AC$16:$AQ$20,5,FALSE))/100)*100)</f>
        <v/>
      </c>
      <c r="BL14" s="261" t="str">
        <f>IF(BG14="","",$BD$14*BH14/100-BO14-BP14-BQ14-BR14)</f>
        <v/>
      </c>
      <c r="BM14" s="261" t="str">
        <f>IF(BG14="","",$BE$14*BH14/100-BS14)</f>
        <v/>
      </c>
      <c r="BN14" s="261" t="str">
        <f>IF(BG14="","",$BF$14*BH14/100-BT14)</f>
        <v/>
      </c>
      <c r="BO14" s="261" t="str">
        <f>IF(BG14="","",$BD$14*BH14/100*VLOOKUP(BG14,'DB technologies'!$AC$16:$AF$20,2,FALSE)/100)</f>
        <v/>
      </c>
      <c r="BP14" s="261" t="str">
        <f>IF(BG14="","",$BD$14*BH14/100*VLOOKUP(BG14,'DB technologies'!$AC$16:$AN$20,3,FALSE)/100)</f>
        <v/>
      </c>
      <c r="BQ14" s="261" t="str">
        <f>IF(BG14="","",$BD$14*BH14/100*VLOOKUP(BG14,'DB technologies'!$AC$16:$AN$20,4,FALSE)/100)</f>
        <v/>
      </c>
      <c r="BR14" s="263" t="str">
        <f>IF(BG14="","",VLOOKUP(BG14,'DB technologies'!$AC$16:$AQ$20,13,FALSE)/100*$BD$14*BH14/100)</f>
        <v/>
      </c>
      <c r="BS14" s="259" t="str">
        <f>IF(BG14="","",VLOOKUP(BG14,'DB technologies'!$AC$16:$AQ$20,14,FALSE)/100*$BE$14*BH14/100)</f>
        <v/>
      </c>
      <c r="BT14" s="260" t="str">
        <f>IF(BG14="","",VLOOKUP(BG14,'DB technologies'!$AC$16:$AQ$20,15,FALSE)/100*$BF$14*BH14/100)</f>
        <v/>
      </c>
      <c r="BV14" s="111"/>
    </row>
    <row r="15" spans="1:74" ht="11.25" customHeight="1" x14ac:dyDescent="0.2">
      <c r="A15" s="684"/>
      <c r="B15" s="695"/>
      <c r="C15" s="251"/>
      <c r="D15" s="1357"/>
      <c r="E15" s="1358"/>
      <c r="F15" s="480" t="str">
        <f>IF('Calc (ex-animal)'!$F$9=1,"",IF($C$14=0,"",IF(D15="","",E15/'Calc (ex-animal)'!$E$9*100)))</f>
        <v/>
      </c>
      <c r="G15" s="485" t="str">
        <f>IF(C14=0,"",IF('Calc (ex-animal)'!$F$8=1,"",IF(D15="","",SUM(H15:O15))))</f>
        <v/>
      </c>
      <c r="H15" s="423" t="str">
        <f>IF('Calc (ex-animal)'!$F$8=1,"",IF(D15="","",(((VLOOKUP($C$14,'Calc (ex-animal)'!$D$8:$Y$12,6,FALSE)-VLOOKUP($C$14,'Calc (ex-animal)'!$D$8:$Y$12,17,FALSE))*F15/100))*VLOOKUP($C$14,'Calc (ex-animal)'!$D$8:$Y$12,7,FALSE)/100*(1-VLOOKUP(D15,'DB technologies'!$N$11:$Y$25,9,FALSE)/100)))</f>
        <v/>
      </c>
      <c r="I15" s="423" t="str">
        <f>IF(D15="","",((VLOOKUP(D15,'DB technologies'!$N$11:$Y$25,2,FALSE)*VLOOKUP($C$14,'DB animal categories'!$C$10:$AC$21,27,FALSE)*E15/1000)/365*(VLOOKUP($C$14,'DB animal categories'!$C$10:$AC$21,27,FALSE)-VLOOKUP($C$14,'DB animal categories'!$C$10:$AC$21,25,FALSE)*VLOOKUP($C$14,'DB animal categories'!$C$10:$AC$21,26,FALSE)/24))*'DB additional information '!$S$6/100*(1-VLOOKUP(D15,'DB technologies'!$N$11:$Y$25,9,FALSE)/100))</f>
        <v/>
      </c>
      <c r="J15" s="434" t="str">
        <f>IF(D15="","",((VLOOKUP(D15,'DB technologies'!$N$11:$Y$25,3,FALSE)*VLOOKUP($C$14,'DB animal categories'!$C$10:$AC$21,27,FALSE)*E15/1000)/365*(VLOOKUP($C$14,'DB animal categories'!$C$10:$AC$21,27,FALSE)-VLOOKUP($C$14,'DB animal categories'!$C$10:$AC$21,25,FALSE)*VLOOKUP($C$14,'DB animal categories'!$C$10:$AC$21,26,FALSE)/24))*'DB additional information '!$S$7/100*(1-VLOOKUP(D15,'DB technologies'!$N$11:$Y$25,9,FALSE)/100))</f>
        <v/>
      </c>
      <c r="K15" s="434" t="str">
        <f>IF(D15="","",((VLOOKUP(D15,'DB technologies'!$N$11:$Y$25,4,FALSE)*E15*'DB additional information '!$S$8/100*(1-VLOOKUP(D15,'DB technologies'!$N$11:$Y$25,9,FALSE)/100))/365*(VLOOKUP($C$14,'DB animal categories'!$C$10:$AC$21,27,FALSE)-VLOOKUP($C$14,'DB animal categories'!$C$10:$AC$21,25,FALSE)*VLOOKUP($C$14,'DB animal categories'!$C$10:$AC$21,26,FALSE)/24)))</f>
        <v/>
      </c>
      <c r="L15" s="423" t="str">
        <f>IF('Calc (ex-animal)'!$F$8=1,"",IF(D15="","",(((VLOOKUP($C$14,'Calc (ex-animal)'!$D$8:$Y$12,6,FALSE)-VLOOKUP($C$14,'Calc (ex-animal)'!$D$8:$Y$12,17,FALSE))*F15/100))*(1-VLOOKUP($C$14,'Calc (ex-animal)'!$D$8:$Y$12,7,FALSE)/100)*(1-VLOOKUP(D15,'DB technologies'!$N$11:$V$25,8,FALSE)/100)))</f>
        <v/>
      </c>
      <c r="M15" s="434" t="str">
        <f>IF(D15="","",((VLOOKUP(D15,'DB technologies'!$N$11:$Y$25,2,FALSE)*VLOOKUP($C$14,'DB animal categories'!$C$10:$AC$21,27,FALSE)*E15/1000)/365*(VLOOKUP($C$14,'DB animal categories'!$C$10:$AC$21,27,FALSE)-VLOOKUP($C$14,'DB animal categories'!$C$10:$AC$21,25,FALSE)*VLOOKUP($C$14,'DB animal categories'!$C$10:$AC$21,26,FALSE)/24))*(1-'DB additional information '!$S$6/100)*(1-VLOOKUP(D15,'DB technologies'!$N$11:$Y$25,9,FALSE)/100))</f>
        <v/>
      </c>
      <c r="N15" s="434" t="str">
        <f>IF(D15="","",((VLOOKUP(D15,'DB technologies'!$N$11:$Y$25,3,FALSE)*VLOOKUP($C$14,'DB animal categories'!$C$10:$AC$21,27,FALSE)*E15/1000)/365*(VLOOKUP($C$14,'DB animal categories'!$C$10:$AC$21,27,FALSE)-VLOOKUP($C$14,'DB animal categories'!$C$10:$AC$21,25,FALSE)*VLOOKUP($C$14,'DB animal categories'!$C$10:$AC$21,26,FALSE)/24))*(1-'DB additional information '!$S$7/100)*(1-VLOOKUP(D15,'DB technologies'!$N$11:$Y$25,9,FALSE)/100))</f>
        <v/>
      </c>
      <c r="O15" s="423" t="str">
        <f>IF(D15="","",((VLOOKUP(D15,'DB technologies'!$N$11:$Y$25,4,FALSE)*E15*(1-'DB additional information '!$S$8/100)*(1-VLOOKUP(D15,'DB technologies'!$N$11:$Y$25,8,FALSE)/100))/365*(VLOOKUP($C$14,'DB animal categories'!$C$10:$AC$21,27,FALSE)-VLOOKUP($C$14,'DB animal categories'!$C$10:$AC$21,25,FALSE)*VLOOKUP($C$14,'DB animal categories'!$C$10:$AC$21,26,FALSE)/24)))</f>
        <v/>
      </c>
      <c r="P15" s="631" t="str">
        <f>IF(G15=0,0,IF(E15="","",IF(F15="","",IF($C$14=0,"",IF(D15="","",SUM(H15:K15)/G15*100)))))</f>
        <v/>
      </c>
      <c r="Q15" s="416" t="str">
        <f>IF(D15="","",(VLOOKUP(D15,'DB technologies'!$N$11:$Y$25,2,FALSE)*'DB additional information '!$S$6/100*'DB additional information '!$T$6*VLOOKUP($C$14,'DB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R15" s="416" t="str">
        <f>IF(D15="","",(VLOOKUP(D15,'DB technologies'!$N$11:$Y$25,3,FALSE)*'DB additional information '!$S$7/100*'DB additional information '!$T$7*VLOOKUP($C$14,'DB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S15" s="491" t="str">
        <f>IF(D15="","",(VLOOKUP(D15,'DB technologies'!$N$11:$Y$25,4,FALSE)*('DB additional information '!$S$8/100*'DB additional information '!$T$8*E15/1000/1000)))</f>
        <v/>
      </c>
      <c r="T15" s="261" t="str">
        <f>IF($C$14=0,"",IF('Calc (ex-animal)'!$F$9=1,"",IF(D15="","",((VLOOKUP($C$14,'Calc (ex-animal)'!$D$8:$Y$12,10,FALSE)-VLOOKUP($C$14,'Calc (ex-animal)'!$D$8:$Y$12,18,FALSE))*F15/100+Q15+R15+S15)-AC15-AD15-AE15)))</f>
        <v/>
      </c>
      <c r="U15" s="422" t="str">
        <f>IF(D15="","",(VLOOKUP(D15,'DB technologies'!$N$11:$Y$25,2,FALSE)*'DB additional information '!$S$6/100*'DB additional information '!$U$6*VLOOKUP($C$14,'DB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V15" s="418" t="str">
        <f>IF(D15="","",(VLOOKUP(D15,'DB technologies'!$N$11:$Y$25,3,FALSE)*'DB additional information '!$S$7/100*'DB additional information '!$U$7*VLOOKUP($C$14,'DB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W15" s="417" t="str">
        <f>IF(D15="","",(VLOOKUP(D15,'DB technologies'!$N$11:$Y$25,4,FALSE)*('DB additional information '!$S$8/100*'DB additional information '!$U$8*E15/1000/1000)))</f>
        <v/>
      </c>
      <c r="X15" s="261" t="str">
        <f>IF($C$14=0,"",IF('Calc (ex-animal)'!$F$9=1,"",IF(D15="","",((VLOOKUP($C$14,'Calc (ex-animal)'!$D$8:$Y$12,13,FALSE)-VLOOKUP($C$14,'Calc (ex-animal)'!$D$8:$Y$12,19,FALSE))*F15/100+U15+V15+W15))))</f>
        <v/>
      </c>
      <c r="Y15" s="418" t="str">
        <f>IF(D15="","",(VLOOKUP(D15,'DB technologies'!$N$11:$Y$25,2,FALSE)*'DB additional information '!$S$6/100*'DB additional information '!$V$6*VLOOKUP($C$14,'DB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Z15" s="418" t="str">
        <f>IF(D15="","",(VLOOKUP(D15,'DB technologies'!$N$11:$Y$25,3,FALSE)*'DB additional information '!$S$7/100*'DB additional information '!$V$7*VLOOKUP($C$14,'DB animal categories'!$C$10:$AC$21,27,FALSE)*E15/1000/1000)/365*(VLOOKUP($C$14,'DB animal categories'!$C$10:$AC$21,27,FALSE)-VLOOKUP($C$14,'DB animal categories'!$C$10:$AC$21,25,FALSE)*VLOOKUP($C$14,'DB animal categories'!$C$10:$AC$21,26,FALSE)/24))</f>
        <v/>
      </c>
      <c r="AA15" s="418" t="str">
        <f>IF(D15="","",(VLOOKUP(D15,'DB technologies'!$N$11:$Y$25,4,FALSE)*('DB additional information '!$S$8/100*'DB additional information '!$V$8*E15/1000/1000)))</f>
        <v/>
      </c>
      <c r="AB15" s="261" t="str">
        <f>IF($C$14=0,"",IF('Calc (ex-animal)'!$F$8=1,"",IF(D15="","",((VLOOKUP($C$14,'Calc (ex-animal)'!$D$8:$Y$12,16,FALSE)-VLOOKUP($C$14,'Calc (ex-animal)'!$D$8:$Y$12,20,FALSE))*F15/100+Y15+Z15+AA15))))</f>
        <v/>
      </c>
      <c r="AC15" s="261" t="str">
        <f>IF($C$14=0,"",IF('Calc (ex-animal)'!$F$8=1,"",IF(D15="","",VLOOKUP($C$14,'Calc (ex-animal)'!$D$8:$Y$12,9,FALSE)/365*(VLOOKUP($C$14,'DB animal categories'!$C$10:$AC$21,27,FALSE)-VLOOKUP($C$14,'DB animal categories'!$C$10:$AC$21,25,FALSE)*VLOOKUP($C$14,'DB animal categories'!$C$10:$AC$21,26,FALSE)/24)*F15/100*VLOOKUP(D15,'DB technologies'!$N$11:$R$25,5,FALSE)/100)))</f>
        <v/>
      </c>
      <c r="AD15" s="261" t="str">
        <f>IF($C$14=0,"",IF('Calc (ex-animal)'!$F$8=1,"",IF(D15="","",VLOOKUP($C$14,'Calc (ex-animal)'!$D$8:$Y$12,10,FALSE)/365*(VLOOKUP($C$14,'DB animal categories'!$C$10:$AC$21,27,FALSE)-VLOOKUP($C$14,'DB animal categories'!$C$10:$AC$21,25,FALSE)*VLOOKUP($C$14,'DB animal categories'!$C$10:$AC$21,26,FALSE)/24)*F15/100*VLOOKUP(D15,'DB technologies'!$N$11:$Y$25,6,FALSE)/100)))</f>
        <v/>
      </c>
      <c r="AE15" s="262" t="str">
        <f>IF($C$14=0,"",IF('Calc (ex-animal)'!$F$8=1,"",IF(D15="","",VLOOKUP($C$14,'Calc (ex-animal)'!$D$8:$Y$12,10,FALSE)/365*(VLOOKUP($C$14,'DB animal categories'!$C$10:$AC$21,27,FALSE)-VLOOKUP($C$14,'DB animal categories'!$C$10:$AC$21,25,FALSE)*VLOOKUP($C$14,'DB animal categories'!$C$10:$AC$21,26,FALSE)/24)*F15/100*VLOOKUP(D15,'DB technologies'!$N$11:$Y$25,7,FALSE)/100)))</f>
        <v/>
      </c>
      <c r="AG15" s="695"/>
      <c r="AH15" s="695"/>
      <c r="AI15" s="181" t="str">
        <f>IF(D15="","",VLOOKUP(D15,'DB technologies'!$N$11:$Y$25,10,FALSE))</f>
        <v/>
      </c>
      <c r="AJ15" s="449" t="e">
        <f>VLOOKUP($C$14,'DB animal categories'!$C$10:$AN$21,27,FALSE)-VLOOKUP($C$14,'DB animal categories'!$C$10:$AN$21,26,FALSE)*VLOOKUP($C$14,'DB animal categories'!$C$10:$AN$21,25,FALSE)/24</f>
        <v>#N/A</v>
      </c>
      <c r="AK15" s="442" t="str">
        <f>IF(AI15="","",AL15+AM15)</f>
        <v/>
      </c>
      <c r="AL15" s="442" t="str">
        <f>IF(D15="","",IF(AI15=2,(('Calc (ex-animal)'!$G$9*'DB additional information '!$K$4/100*(1-VLOOKUP(D15,'DB technologies'!$N$11:$Y$25,9,FALSE)/100)*'Calc (ex-housing, ex-storage)'!F15/100+'Calc (ex-animal)'!$H$9*'DB additional information '!$L$4/100*(1-VLOOKUP(D15,'DB technologies'!$N$11:$Y$25,9,FALSE)/100)*'Calc (ex-housing, ex-storage)'!F15/100))/365*AJ15+I15+J15+K15,IF(AI15=1,('Calc (ex-animal)'!$H$9*'DB additional information '!$L$4/100*(1-VLOOKUP(D15,'DB technologies'!$N$11:$Y$25,9,FALSE)/100)*'Calc (ex-housing, ex-storage)'!F15/100)/365*AJ15,IF(AI15=4,('Calc (ex-animal)'!$G$9*'DB additional information '!$K$4/100+'Calc (ex-animal)'!$H$9*'DB additional information '!$L$4/100)*(1-VLOOKUP(D15,'DB technologies'!$N$11:$Y$25,9,FALSE)/100)*'Calc (ex-housing, ex-storage)'!F15/100*VLOOKUP(D15,'DB technologies'!$N$11:$Y$25,11,FALSE)/100/365*AJ15,0))))</f>
        <v/>
      </c>
      <c r="AM15" s="442" t="str">
        <f>IF(D15="","",IF(AI15=2,(('Calc (ex-animal)'!$G$9*(1-'DB additional information '!$K$4/100)*(1-VLOOKUP(D15,'DB technologies'!$N$11:$Y$25,8,FALSE)/100)*'Calc (ex-housing, ex-storage)'!F15/100+'Calc (ex-animal)'!$H$9*(1-'DB additional information '!$L$4/100)*(1-VLOOKUP(D15,'DB technologies'!$N$11:$Y$25,8,FALSE)/100)*'Calc (ex-housing, ex-storage)'!F15/100))/365*AJ15+M15+N15+O15,IF(AI15=1,('Calc (ex-animal)'!$H$9*(1-'DB additional information '!$L$4/100)*(1-VLOOKUP(D15,'DB technologies'!$N$11:$Y$25,8,FALSE)/100)*'Calc (ex-housing, ex-storage)'!F15/100)/365*AJ15,IF(AI15=4,('Calc (ex-animal)'!$G$9*(1-'DB additional information '!$K$4/100)+'Calc (ex-animal)'!$H$9*(1-'DB additional information '!$L$4/100))*(1-VLOOKUP(D15,'DB technologies'!$N$11:$Y$25,8,FALSE)/100)*'Calc (ex-housing, ex-storage)'!F15/100*VLOOKUP(D15,'DB technologies'!$N$11:$Y$25,11,FALSE)/100/365*AJ15,0))))</f>
        <v/>
      </c>
      <c r="AN15" s="442" t="str">
        <f>IF(AI15="","",IF(AL15=0,0,AL15/AK15*100))</f>
        <v/>
      </c>
      <c r="AO15" s="182" t="str">
        <f>IF(D15="","",IF(AI15=2,(('Calc (ex-animal)'!$L$9*'Calc (ex-housing, ex-storage)'!F15/100+'Calc (ex-animal)'!$K$9*'Calc (ex-housing, ex-storage)'!F15/100))/365*AJ15+Q15+R15+S15-AC15,IF(AI15=1,('Calc (ex-animal)'!$L$9*'Calc (ex-housing, ex-storage)'!F15/100)/365*AJ15-'Calc (ex-housing, ex-storage)'!AC15,IF(AI15=4,('Calc (ex-animal)'!$L$9+'Calc (ex-animal)'!$K$9)*'Calc (ex-housing, ex-storage)'!F15/100*VLOOKUP(D15,'DB technologies'!$N$11:$Y$25,11,FALSE)/100/365*AJ15-AC15*VLOOKUP(D15,'DB technologies'!$N$11:$Y$25,11,FALSE)/100,0))))</f>
        <v/>
      </c>
      <c r="AP15" s="182" t="str">
        <f>IF(D15="","",IF(AO15&lt;-0.01,0,IF(AI15=2,(('Calc (ex-animal)'!$L$9*'Calc (ex-housing, ex-storage)'!F15/100+'Calc (ex-animal)'!$K$9*'Calc (ex-housing, ex-storage)'!F15/100))/365*AJ15+Q15+R15+S15-AC15,IF(AI15=1,('Calc (ex-animal)'!$L$9*'Calc (ex-housing, ex-storage)'!F15/100)/365*AJ15-'Calc (ex-housing, ex-storage)'!AC15,IF(AI15=4,('Calc (ex-animal)'!$L$9+'Calc (ex-animal)'!$K$9)*'Calc (ex-housing, ex-storage)'!F15/100*VLOOKUP(D15,'DB technologies'!$N$11:$Y$25,11,FALSE)/100/365*AJ15-AC15*VLOOKUP(D15,'DB technologies'!$N$11:$Y$25,11,FALSE)/100,0)))))</f>
        <v/>
      </c>
      <c r="AQ15" s="182" t="str">
        <f>IF(D15="","",IF(AI15=2,('Calc (ex-animal)'!$O$9*'Calc (ex-housing, ex-storage)'!F15/100+'Calc (ex-animal)'!$N$9*'Calc (ex-housing, ex-storage)'!F15/100)/365*AJ15+U15+V15+W15,IF(AI15=1,'Calc (ex-animal)'!$O$9*'Calc (ex-housing, ex-storage)'!F15/100/365*AJ15,IF(AI15=4,('Calc (ex-animal)'!$O$9+'Calc (ex-animal)'!$N$9)*'Calc (ex-housing, ex-storage)'!F15/100*VLOOKUP(D15,'DB technologies'!$N$11:$Y$25,11,FALSE)/100/365*AJ15,0))))</f>
        <v/>
      </c>
      <c r="AR15" s="182" t="str">
        <f>IF(D15="","",IF(AI15=2,('Calc (ex-animal)'!$R$9*'Calc (ex-housing, ex-storage)'!F15/100+'Calc (ex-animal)'!$Q$9*'Calc (ex-housing, ex-storage)'!F15/100)/365*AJ15+Y15+Z15+AA15,IF(AI15=1,'Calc (ex-animal)'!$R$9*'Calc (ex-housing, ex-storage)'!F15/100/365*AJ15,IF(AI15=4,('Calc (ex-animal)'!$R$9+'Calc (ex-animal)'!$Q$9)*'Calc (ex-housing, ex-storage)'!F15/100*VLOOKUP(D15,'DB technologies'!$N$11:$Y$25,11,FALSE)/100/365*AJ15,0))))</f>
        <v/>
      </c>
      <c r="AS15" s="181" t="str">
        <f>IF(D15="","",VLOOKUP(D15,'DB technologies'!$N$11:$Y$25,10,FALSE))</f>
        <v/>
      </c>
      <c r="AT15" s="442" t="str">
        <f t="shared" si="1"/>
        <v/>
      </c>
      <c r="AU15" s="442" t="str">
        <f>IF(D15="","",IF(AS15=2,0,IF(AS15=1,'Calc (ex-animal)'!$G$9*'DB additional information '!$K$4/100*(1-VLOOKUP(D15,'DB technologies'!$N$11:$Y$25,8,FALSE)/100)*'Calc (ex-housing, ex-storage)'!F15/100/365*AJ15+I15+J15+K15,IF(AS15=5,(('Calc (ex-animal)'!$G$9*'DB additional information '!$K$4/100+'Calc (ex-animal)'!$H$9*'DB additional information '!$L$4/100))*(1-VLOOKUP(D15,'DB technologies'!$N$11:$Y$25,9,FALSE)/100)*'Calc (ex-housing, ex-storage)'!F15/100/365*AJ15+I15+J15+K15,IF(AS15=3,('Calc (ex-animal)'!$G$9*'DB additional information '!$K$4/100+'Calc (ex-animal)'!$H$9*'DB additional information '!$L$4/100)*(1-VLOOKUP(D15,'DB technologies'!$N$11:$Y$25,9,FALSE)/100)*'Calc (ex-housing, ex-storage)'!F15/100/365*AJ15+I15+J15+K15,IF(AS15=4,('Calc (ex-animal)'!$G$9*'DB additional information '!$K$4/100+'Calc (ex-animal)'!$H$9*'DB additional information '!$L$4/100)*(1-VLOOKUP(D15,'DB technologies'!$N$11:$Y$25,9,FALSE)/100)*'Calc (ex-housing, ex-storage)'!F15/100*VLOOKUP(D15,'DB technologies'!$N$11:$Y$25,12,FALSE)/100/365*AJ15+I15+J15+K15,0))))))</f>
        <v/>
      </c>
      <c r="AV15" s="442" t="str">
        <f>IF(D15="","",IF(AS15=2,0,IF(AS15=1,'Calc (ex-animal)'!$G$9*(1-'DB additional information '!$K$4/100)*(1-VLOOKUP(D15,'DB technologies'!$N$11:$Y$25,8,FALSE)/100)*'Calc (ex-housing, ex-storage)'!F15/100/365*AJ15+M15+N15+O15,IF(AS15=5,('Calc (ex-animal)'!$G$9*(1-'DB additional information '!$K$4/100)+'Calc (ex-animal)'!$H$9*(1-'DB additional information '!$L$4/100))*(1-VLOOKUP(D15,'DB technologies'!$N$11:$Y$25,8,FALSE)/100)*'Calc (ex-housing, ex-storage)'!F15/100/365*AJ15+M15+N15+O15,IF(AS15=3,('Calc (ex-animal)'!$G$9*(1-'DB additional information '!$K$4/100)+'Calc (ex-animal)'!$H$9*(1-'DB additional information '!$L$4/100))*(1-VLOOKUP(D15,'DB technologies'!$N$11:$Y$25,8,FALSE)/100)*'Calc (ex-housing, ex-storage)'!F15/100/365*AJ15+M15+N15+O15,IF(AS15=4,('Calc (ex-animal)'!$G$9*(1-'DB additional information '!$K$4/100)+'Calc (ex-animal)'!$H$9*(1-'DB additional information '!$L$4/100))*(1-VLOOKUP(D15,'DB technologies'!$N$11:$Y$25,8,FALSE)/100)*'Calc (ex-housing, ex-storage)'!F15/100*VLOOKUP(D15,'DB technologies'!$N$11:$Y$25,12,FALSE)/100/365*AJ15+M15+N15+O15,0))))))</f>
        <v/>
      </c>
      <c r="AW15" s="442" t="str">
        <f>IF(AS15="","",IF(AU15=0,0,AU15/AT15*100))</f>
        <v/>
      </c>
      <c r="AX15" s="182" t="str">
        <f>IF(D15="","",IF(AS15=2,0,IF(AS15=1,'Calc (ex-animal)'!$K$9*'Calc (ex-housing, ex-storage)'!F15/100/365*AJ15+Q15+R15+S15,IF(AS15=5,('Calc (ex-animal)'!$K$9+'Calc (ex-animal)'!$L$9)*'Calc (ex-housing, ex-storage)'!F15/100/365*AJ15+Q15+R15+S15-'Calc (ex-housing, ex-storage)'!AC15,IF(AS15=3,('Calc (ex-animal)'!$K$9+'Calc (ex-animal)'!$L$9)*'Calc (ex-housing, ex-storage)'!F15/100/365*AJ15+Q15+R15+S15-'Calc (ex-housing, ex-storage)'!AC15-AD15-AE15,IF(AI15=4,('Calc (ex-animal)'!$K$9+'Calc (ex-animal)'!$L$9)*'Calc (ex-housing, ex-storage)'!F15/100*VLOOKUP(D15,'DB technologies'!$N$11:$Y$25,12,FALSE)/100/365*AJ15+Q15+R15+S15-(VLOOKUP(D15,'DB technologies'!$N$11:$Y$25,12,FALSE)/100*AC15)-AD15-AE15,0))))))</f>
        <v/>
      </c>
      <c r="AY15" s="182" t="str">
        <f>IF(D15="","",IF(AS15=2,0,IF(AS15=1,'Calc (ex-animal)'!$N$9*'Calc (ex-housing, ex-storage)'!F15/100/365*AJ15+U15+V15+W15,IF(AS15=5,('Calc (ex-animal)'!$N$9+'Calc (ex-animal)'!$O$9)*'Calc (ex-housing, ex-storage)'!F15/100/365*AJ15+U15+V15+W15,IF(AS15=3,('Calc (ex-animal)'!$N$9+'Calc (ex-animal)'!$O$9)*'Calc (ex-housing, ex-storage)'!F15/100/365*AJ15+U15+V15+W15,IF(AS15=4,('Calc (ex-animal)'!$N$9+'Calc (ex-animal)'!$O$9)*'Calc (ex-housing, ex-storage)'!F15/100*VLOOKUP(D15,'DB technologies'!$N$11:$Y$25,12,FALSE)/100/365*AJ15+U15+V15+W15,0))))))</f>
        <v/>
      </c>
      <c r="AZ15" s="182" t="str">
        <f>IF(D15="","",IF(AS15=2,0,IF(AS15=1,'Calc (ex-animal)'!$Q$9*'Calc (ex-housing, ex-storage)'!F15/100/365*AJ15+Y15+Z15+AA15,IF(AS15=5,('Calc (ex-animal)'!$Q$9+'Calc (ex-animal)'!$R$9)*'Calc (ex-housing, ex-storage)'!F15/100/365*AJ15+Y15+Z15+AA15,IF(AS15=3,('Calc (ex-animal)'!$Q$9+'Calc (ex-animal)'!$R$9)*'Calc (ex-housing, ex-storage)'!F15/100/365*AJ15+Y15+Z15+AA15,IF(AS15=4,('Calc (ex-animal)'!$Q$9+'Calc (ex-animal)'!$R$9)*'Calc (ex-housing, ex-storage)'!F15/100*VLOOKUP(D15,'DB technologies'!$N$11:$Y$25,12,FALSE)/100/365*AJ15+Y15+Z15+AA15,0))))))</f>
        <v/>
      </c>
      <c r="BA15" s="506"/>
      <c r="BB15" s="506"/>
      <c r="BC15" s="506"/>
      <c r="BD15" s="98"/>
      <c r="BE15" s="42"/>
      <c r="BF15" s="42"/>
      <c r="BG15" s="1357"/>
      <c r="BH15" s="1361"/>
      <c r="BI15" s="598" t="str">
        <f>IF(BG15="","",$BA$14*BH15/100-($BB$14*BH15/100*VLOOKUP(BG15,'DB technologies'!$AC$16:$AQ$20,5,FALSE)/100)+(VLOOKUP(BG15,'DB technologies'!$AC$16:$AQ$20,12,FALSE)*$BA$14*BH15/100))</f>
        <v/>
      </c>
      <c r="BJ15" s="551">
        <f>IF(BI15="",0,BI15*BK15/100)</f>
        <v>0</v>
      </c>
      <c r="BK15" s="508" t="str">
        <f>IF(BG15="","",($BB$14*BH15/100)/BI15*(1-(VLOOKUP(BG15,'DB technologies'!$AC$16:$AQ$20,5,FALSE))/100)*100)</f>
        <v/>
      </c>
      <c r="BL15" s="261" t="str">
        <f>IF(BG15="","",$BD$14*BH15/100-BO15-BP15-BQ15-BR15)</f>
        <v/>
      </c>
      <c r="BM15" s="261" t="str">
        <f>IF(BG15="","",$BE$14*BH15/100-BS15)</f>
        <v/>
      </c>
      <c r="BN15" s="261" t="str">
        <f>IF(BG15="","",$BF$14*BH15/100-BT15)</f>
        <v/>
      </c>
      <c r="BO15" s="261" t="str">
        <f>IF(BG15="","",$BD$14*BH15/100*VLOOKUP(BG15,'DB technologies'!$AC$16:$AF$20,2,FALSE)/100)</f>
        <v/>
      </c>
      <c r="BP15" s="261" t="str">
        <f>IF(BG15="","",$BD$14*BH15/100*VLOOKUP(BG15,'DB technologies'!$AC$16:$AN$20,3,FALSE)/100)</f>
        <v/>
      </c>
      <c r="BQ15" s="261" t="str">
        <f>IF(BG15="","",$BD$14*BH15/100*VLOOKUP(BG15,'DB technologies'!$AC$16:$AN$20,4,FALSE)/100)</f>
        <v/>
      </c>
      <c r="BR15" s="264" t="str">
        <f>IF(BG15="","",VLOOKUP(BG15,'DB technologies'!$AC$16:$AQ$20,13,FALSE)/100*$BD$14*BH15/100)</f>
        <v/>
      </c>
      <c r="BS15" s="261" t="str">
        <f>IF(BG15="","",VLOOKUP(BG15,'DB technologies'!$AC$16:$AQ$20,14,FALSE)/100*$BE$14*BH15/100)</f>
        <v/>
      </c>
      <c r="BT15" s="262" t="str">
        <f>IF(BG15="","",VLOOKUP(BG15,'DB technologies'!$AC$16:$AQ$20,15,FALSE)/100*$BF$14*BH15/100)</f>
        <v/>
      </c>
    </row>
    <row r="16" spans="1:74" ht="11.25" customHeight="1" x14ac:dyDescent="0.2">
      <c r="A16" s="684"/>
      <c r="B16" s="695"/>
      <c r="C16" s="251"/>
      <c r="D16" s="1357"/>
      <c r="E16" s="1358"/>
      <c r="F16" s="480" t="str">
        <f>IF('Calc (ex-animal)'!$F$9=1,"",IF($C$14=0,"",IF(D16="","",E16/'Calc (ex-animal)'!$E$9*100)))</f>
        <v/>
      </c>
      <c r="G16" s="485" t="str">
        <f>IF(C14=0,"",IF('Calc (ex-animal)'!$F$8=1,"",IF(D16="","",SUM(H16:O16))))</f>
        <v/>
      </c>
      <c r="H16" s="423" t="str">
        <f>IF('Calc (ex-animal)'!$F$8=1,"",IF(D16="","",(((VLOOKUP($C$14,'Calc (ex-animal)'!$D$8:$Y$12,6,FALSE)-VLOOKUP($C$14,'Calc (ex-animal)'!$D$8:$Y$12,17,FALSE))*F16/100))*VLOOKUP($C$14,'Calc (ex-animal)'!$D$8:$Y$12,7,FALSE)/100*(1-VLOOKUP(D16,'DB technologies'!$N$11:$Y$25,9,FALSE)/100)))</f>
        <v/>
      </c>
      <c r="I16" s="423" t="str">
        <f>IF(D16="","",((VLOOKUP(D16,'DB technologies'!$N$11:$Y$25,2,FALSE)*VLOOKUP($C$14,'DB animal categories'!$C$10:$AC$21,27,FALSE)*E16/1000)/365*(VLOOKUP($C$14,'DB animal categories'!$C$10:$AC$21,27,FALSE)-VLOOKUP($C$14,'DB animal categories'!$C$10:$AC$21,25,FALSE)*VLOOKUP($C$14,'DB animal categories'!$C$10:$AC$21,26,FALSE)/24))*'DB additional information '!$S$6/100*(1-VLOOKUP(D16,'DB technologies'!$N$11:$Y$25,9,FALSE)/100))</f>
        <v/>
      </c>
      <c r="J16" s="434" t="str">
        <f>IF(D16="","",((VLOOKUP(D16,'DB technologies'!$N$11:$Y$25,3,FALSE)*VLOOKUP($C$14,'DB animal categories'!$C$10:$AC$21,27,FALSE)*E16/1000)/365*(VLOOKUP($C$14,'DB animal categories'!$C$10:$AC$21,27,FALSE)-VLOOKUP($C$14,'DB animal categories'!$C$10:$AC$21,25,FALSE)*VLOOKUP($C$14,'DB animal categories'!$C$10:$AC$21,26,FALSE)/24))*'DB additional information '!$S$7/100*(1-VLOOKUP(D16,'DB technologies'!$N$11:$Y$25,9,FALSE)/100))</f>
        <v/>
      </c>
      <c r="K16" s="434" t="str">
        <f>IF(D16="","",((VLOOKUP(D16,'DB technologies'!$N$11:$Y$25,4,FALSE)*E16*'DB additional information '!$S$8/100*(1-VLOOKUP(D16,'DB technologies'!$N$11:$Y$25,9,FALSE)/100))/365*(VLOOKUP($C$14,'DB animal categories'!$C$10:$AC$21,27,FALSE)-VLOOKUP($C$14,'DB animal categories'!$C$10:$AC$21,25,FALSE)*VLOOKUP($C$14,'DB animal categories'!$C$10:$AC$21,26,FALSE)/24)))</f>
        <v/>
      </c>
      <c r="L16" s="423" t="str">
        <f>IF('Calc (ex-animal)'!$F$8=1,"",IF(D16="","",(((VLOOKUP($C$14,'Calc (ex-animal)'!$D$8:$Y$12,6,FALSE)-VLOOKUP($C$14,'Calc (ex-animal)'!$D$8:$Y$12,17,FALSE))*F16/100))*(1-VLOOKUP($C$14,'Calc (ex-animal)'!$D$8:$Y$12,7,FALSE)/100)*(1-VLOOKUP(D16,'DB technologies'!$N$11:$V$25,8,FALSE)/100)))</f>
        <v/>
      </c>
      <c r="M16" s="434" t="str">
        <f>IF(D16="","",((VLOOKUP(D16,'DB technologies'!$N$11:$Y$25,2,FALSE)*VLOOKUP($C$14,'DB animal categories'!$C$10:$AC$21,27,FALSE)*E16/1000)/365*(VLOOKUP($C$14,'DB animal categories'!$C$10:$AC$21,27,FALSE)-VLOOKUP($C$14,'DB animal categories'!$C$10:$AC$21,25,FALSE)*VLOOKUP($C$14,'DB animal categories'!$C$10:$AC$21,26,FALSE)/24))*(1-'DB additional information '!$S$6/100)*(1-VLOOKUP(D16,'DB technologies'!$N$11:$Y$25,9,FALSE)/100))</f>
        <v/>
      </c>
      <c r="N16" s="434" t="str">
        <f>IF(D16="","",((VLOOKUP(D16,'DB technologies'!$N$11:$Y$25,3,FALSE)*VLOOKUP($C$14,'DB animal categories'!$C$10:$AC$21,27,FALSE)*E16/1000)/365*(VLOOKUP($C$14,'DB animal categories'!$C$10:$AC$21,27,FALSE)-VLOOKUP($C$14,'DB animal categories'!$C$10:$AC$21,25,FALSE)*VLOOKUP($C$14,'DB animal categories'!$C$10:$AC$21,26,FALSE)/24))*(1-'DB additional information '!$S$7/100)*(1-VLOOKUP(D16,'DB technologies'!$N$11:$Y$25,9,FALSE)/100))</f>
        <v/>
      </c>
      <c r="O16" s="423" t="str">
        <f>IF(D16="","",((VLOOKUP(D16,'DB technologies'!$N$11:$Y$25,4,FALSE)*E16*(1-'DB additional information '!$S$8/100)*(1-VLOOKUP(D16,'DB technologies'!$N$11:$Y$25,8,FALSE)/100))/365*(VLOOKUP($C$14,'DB animal categories'!$C$10:$AC$21,27,FALSE)-VLOOKUP($C$14,'DB animal categories'!$C$10:$AC$21,25,FALSE)*VLOOKUP($C$14,'DB animal categories'!$C$10:$AC$21,26,FALSE)/24)))</f>
        <v/>
      </c>
      <c r="P16" s="631" t="str">
        <f>IF(G16=0,0,IF(E16="","",IF(F16="","",IF($C$14=0,"",IF(D16="","",SUM(H16:K16)/G16*100)))))</f>
        <v/>
      </c>
      <c r="Q16" s="416" t="str">
        <f>IF(D16="","",(VLOOKUP(D16,'DB technologies'!$N$11:$Y$25,2,FALSE)*'DB additional information '!$S$6/100*'DB additional information '!$T$6*VLOOKUP($C$14,'DB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R16" s="416" t="str">
        <f>IF(D16="","",(VLOOKUP(D16,'DB technologies'!$N$11:$Y$25,3,FALSE)*'DB additional information '!$S$7/100*'DB additional information '!$T$7*VLOOKUP($C$14,'DB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S16" s="491" t="str">
        <f>IF(D16="","",(VLOOKUP(D16,'DB technologies'!$N$11:$Y$25,4,FALSE)*('DB additional information '!$S$8/100*'DB additional information '!$T$8*E16/1000/1000)))</f>
        <v/>
      </c>
      <c r="T16" s="261" t="str">
        <f>IF($C$14=0,"",IF('Calc (ex-animal)'!$F$9=1,"",IF(D16="","",((VLOOKUP($C$14,'Calc (ex-animal)'!$D$8:$Y$12,10,FALSE)-VLOOKUP($C$14,'Calc (ex-animal)'!$D$8:$Y$12,18,FALSE))*F16/100+Q16+R16+S16)-AC16-AD16-AE16)))</f>
        <v/>
      </c>
      <c r="U16" s="422" t="str">
        <f>IF(D16="","",(VLOOKUP(D16,'DB technologies'!$N$11:$Y$25,2,FALSE)*'DB additional information '!$S$6/100*'DB additional information '!$U$6*VLOOKUP($C$14,'DB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V16" s="418" t="str">
        <f>IF(D16="","",(VLOOKUP(D16,'DB technologies'!$N$11:$Y$25,3,FALSE)*'DB additional information '!$S$7/100*'DB additional information '!$U$7*VLOOKUP($C$14,'DB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W16" s="417" t="str">
        <f>IF(D16="","",(VLOOKUP(D16,'DB technologies'!$N$11:$Y$25,4,FALSE)*('DB additional information '!$S$8/100*'DB additional information '!$U$8*E16/1000/1000)))</f>
        <v/>
      </c>
      <c r="X16" s="261" t="str">
        <f>IF($C$14=0,"",IF('Calc (ex-animal)'!$F$9=1,"",IF(D16="","",((VLOOKUP($C$14,'Calc (ex-animal)'!$D$8:$Y$12,13,FALSE)-VLOOKUP($C$14,'Calc (ex-animal)'!$D$8:$Y$12,19,FALSE))*F16/100+U16+V16+W16))))</f>
        <v/>
      </c>
      <c r="Y16" s="418" t="str">
        <f>IF(D16="","",(VLOOKUP(D16,'DB technologies'!$N$11:$Y$25,2,FALSE)*'DB additional information '!$S$6/100*'DB additional information '!$V$6*VLOOKUP($C$14,'DB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Z16" s="418" t="str">
        <f>IF(D16="","",(VLOOKUP(D16,'DB technologies'!$N$11:$Y$25,3,FALSE)*'DB additional information '!$S$7/100*'DB additional information '!$V$7*VLOOKUP($C$14,'DB animal categories'!$C$10:$AC$21,27,FALSE)*E16/1000/1000)/365*(VLOOKUP($C$14,'DB animal categories'!$C$10:$AC$21,27,FALSE)-VLOOKUP($C$14,'DB animal categories'!$C$10:$AC$21,25,FALSE)*VLOOKUP($C$14,'DB animal categories'!$C$10:$AC$21,26,FALSE)/24))</f>
        <v/>
      </c>
      <c r="AA16" s="418" t="str">
        <f>IF(D16="","",(VLOOKUP(D16,'DB technologies'!$N$11:$Y$25,4,FALSE)*('DB additional information '!$S$8/100*'DB additional information '!$V$8*E16/1000/1000)))</f>
        <v/>
      </c>
      <c r="AB16" s="261" t="str">
        <f>IF($C$14=0,"",IF('Calc (ex-animal)'!$F$8=1,"",IF(D16="","",((VLOOKUP($C$14,'Calc (ex-animal)'!$D$8:$Y$12,16,FALSE)-VLOOKUP($C$14,'Calc (ex-animal)'!$D$8:$Y$12,20,FALSE))*F16/100+Y16+Z16+AA16))))</f>
        <v/>
      </c>
      <c r="AC16" s="261" t="str">
        <f>IF($C$14=0,"",IF('Calc (ex-animal)'!$F$8=1,"",IF(D16="","",VLOOKUP($C$14,'Calc (ex-animal)'!$D$8:$Y$12,9,FALSE)/365*(VLOOKUP($C$14,'DB animal categories'!$C$10:$AC$21,27,FALSE)-VLOOKUP($C$14,'DB animal categories'!$C$10:$AC$21,25,FALSE)*VLOOKUP($C$14,'DB animal categories'!$C$10:$AC$21,26,FALSE)/24)*F16/100*VLOOKUP(D16,'DB technologies'!$N$11:$R$25,5,FALSE)/100)))</f>
        <v/>
      </c>
      <c r="AD16" s="261" t="str">
        <f>IF($C$14=0,"",IF('Calc (ex-animal)'!$F$8=1,"",IF(D16="","",VLOOKUP($C$14,'Calc (ex-animal)'!$D$8:$Y$12,10,FALSE)/365*(VLOOKUP($C$14,'DB animal categories'!$C$10:$AC$21,27,FALSE)-VLOOKUP($C$14,'DB animal categories'!$C$10:$AC$21,25,FALSE)*VLOOKUP($C$14,'DB animal categories'!$C$10:$AC$21,26,FALSE)/24)*F16/100*VLOOKUP(D16,'DB technologies'!$N$11:$Y$25,6,FALSE)/100)))</f>
        <v/>
      </c>
      <c r="AE16" s="262" t="str">
        <f>IF($C$14=0,"",IF('Calc (ex-animal)'!$F$8=1,"",IF(D16="","",VLOOKUP($C$14,'Calc (ex-animal)'!$D$8:$Y$12,10,FALSE)/365*(VLOOKUP($C$14,'DB animal categories'!$C$10:$AC$21,27,FALSE)-VLOOKUP($C$14,'DB animal categories'!$C$10:$AC$21,25,FALSE)*VLOOKUP($C$14,'DB animal categories'!$C$10:$AC$21,26,FALSE)/24)*F16/100*VLOOKUP(D16,'DB technologies'!$N$11:$Y$25,7,FALSE)/100)))</f>
        <v/>
      </c>
      <c r="AG16" s="695"/>
      <c r="AH16" s="695"/>
      <c r="AI16" s="181" t="str">
        <f>IF(D16="","",VLOOKUP(D16,'DB technologies'!$N$11:$Y$25,10,FALSE))</f>
        <v/>
      </c>
      <c r="AJ16" s="449" t="e">
        <f>VLOOKUP($C$14,'DB animal categories'!$C$10:$AN$21,27,FALSE)-VLOOKUP($C$14,'DB animal categories'!$C$10:$AN$21,26,FALSE)*VLOOKUP($C$14,'DB animal categories'!$C$10:$AN$21,25,FALSE)/24</f>
        <v>#N/A</v>
      </c>
      <c r="AK16" s="442" t="str">
        <f>IF(AI16="","",AL16+AM16)</f>
        <v/>
      </c>
      <c r="AL16" s="442" t="str">
        <f>IF(D16="","",IF(AI16=2,(('Calc (ex-animal)'!$G$9*'DB additional information '!$K$4/100*(1-VLOOKUP(D16,'DB technologies'!$N$11:$Y$25,9,FALSE)/100)*'Calc (ex-housing, ex-storage)'!F16/100+'Calc (ex-animal)'!$H$9*'DB additional information '!$L$4/100*(1-VLOOKUP(D16,'DB technologies'!$N$11:$Y$25,9,FALSE)/100)*'Calc (ex-housing, ex-storage)'!F16/100))/365*AJ16+I16+J16+K16,IF(AI16=1,('Calc (ex-animal)'!$H$9*'DB additional information '!$L$4/100*(1-VLOOKUP(D16,'DB technologies'!$N$11:$Y$25,9,FALSE)/100)*'Calc (ex-housing, ex-storage)'!F16/100)/365*AJ16,IF(AI16=4,('Calc (ex-animal)'!$G$9*'DB additional information '!$K$4/100+'Calc (ex-animal)'!$H$9*'DB additional information '!$L$4/100)*(1-VLOOKUP(D16,'DB technologies'!$N$11:$Y$25,9,FALSE)/100)*'Calc (ex-housing, ex-storage)'!F16/100*VLOOKUP(D16,'DB technologies'!$N$11:$Y$25,11,FALSE)/100/365*AJ16,0))))</f>
        <v/>
      </c>
      <c r="AM16" s="442" t="str">
        <f>IF(D16="","",IF(AI16=2,(('Calc (ex-animal)'!$G$9*(1-'DB additional information '!$K$4/100)*(1-VLOOKUP(D16,'DB technologies'!$N$11:$Y$25,8,FALSE)/100)*'Calc (ex-housing, ex-storage)'!F16/100+'Calc (ex-animal)'!$H$9*(1-'DB additional information '!$L$4/100)*(1-VLOOKUP(D16,'DB technologies'!$N$11:$Y$25,8,FALSE)/100)*'Calc (ex-housing, ex-storage)'!F16/100))/365*AJ16+M16+N16+O16,IF(AI16=1,('Calc (ex-animal)'!$H$9*(1-'DB additional information '!$L$4/100)*(1-VLOOKUP(D16,'DB technologies'!$N$11:$Y$25,8,FALSE)/100)*'Calc (ex-housing, ex-storage)'!F16/100)/365*AJ16,IF(AI16=4,('Calc (ex-animal)'!$G$9*(1-'DB additional information '!$K$4/100)+'Calc (ex-animal)'!$H$9*(1-'DB additional information '!$L$4/100))*(1-VLOOKUP(D16,'DB technologies'!$N$11:$Y$25,8,FALSE)/100)*'Calc (ex-housing, ex-storage)'!F16/100*VLOOKUP(D16,'DB technologies'!$N$11:$Y$25,11,FALSE)/100/365*AJ16,0))))</f>
        <v/>
      </c>
      <c r="AN16" s="442" t="str">
        <f>IF(AI16="","",IF(AL16=0,0,AL16/AK16*100))</f>
        <v/>
      </c>
      <c r="AO16" s="182" t="str">
        <f>IF(D16="","",IF(AI16=2,(('Calc (ex-animal)'!$L$9*'Calc (ex-housing, ex-storage)'!F16/100+'Calc (ex-animal)'!$K$9*'Calc (ex-housing, ex-storage)'!F16/100))/365*AJ16+Q16+R16+S16-AC16,IF(AI16=1,('Calc (ex-animal)'!$L$9*'Calc (ex-housing, ex-storage)'!F16/100)/365*AJ16-'Calc (ex-housing, ex-storage)'!AC16,IF(AI16=4,('Calc (ex-animal)'!$L$9+'Calc (ex-animal)'!$K$9)*'Calc (ex-housing, ex-storage)'!F16/100*VLOOKUP(D16,'DB technologies'!$N$11:$Y$25,11,FALSE)/100/365*AJ16-AC16*VLOOKUP(D16,'DB technologies'!$N$11:$Y$25,11,FALSE)/100,0))))</f>
        <v/>
      </c>
      <c r="AP16" s="182" t="str">
        <f>IF(D16="","",IF(AO16&lt;-0.01,0,IF(AI16=2,(('Calc (ex-animal)'!$L$9*'Calc (ex-housing, ex-storage)'!F16/100+'Calc (ex-animal)'!$K$9*'Calc (ex-housing, ex-storage)'!F16/100))/365*AJ16+Q16+R16+S16-AC16,IF(AI16=1,('Calc (ex-animal)'!$L$9*'Calc (ex-housing, ex-storage)'!F16/100)/365*AJ16-'Calc (ex-housing, ex-storage)'!AC16,IF(AI16=4,('Calc (ex-animal)'!$L$9+'Calc (ex-animal)'!$K$9)*'Calc (ex-housing, ex-storage)'!F16/100*VLOOKUP(D16,'DB technologies'!$N$11:$Y$25,11,FALSE)/100/365*AJ16-AC16*VLOOKUP(D16,'DB technologies'!$N$11:$Y$25,11,FALSE)/100,0)))))</f>
        <v/>
      </c>
      <c r="AQ16" s="182" t="str">
        <f>IF(D16="","",IF(AI16=2,('Calc (ex-animal)'!$O$9*'Calc (ex-housing, ex-storage)'!F16/100+'Calc (ex-animal)'!$N$9*'Calc (ex-housing, ex-storage)'!F16/100)/365*AJ16+U16+V16+W16,IF(AI16=1,'Calc (ex-animal)'!$O$9*'Calc (ex-housing, ex-storage)'!F16/100/365*AJ16,IF(AI16=4,('Calc (ex-animal)'!$O$9+'Calc (ex-animal)'!$N$9)*'Calc (ex-housing, ex-storage)'!F16/100*VLOOKUP(D16,'DB technologies'!$N$11:$Y$25,11,FALSE)/100/365*AJ16,0))))</f>
        <v/>
      </c>
      <c r="AR16" s="182" t="str">
        <f>IF(D16="","",IF(AI16=2,('Calc (ex-animal)'!$R$9*'Calc (ex-housing, ex-storage)'!F16/100+'Calc (ex-animal)'!$Q$9*'Calc (ex-housing, ex-storage)'!F16/100)/365*AJ16+Y16+Z16+AA16,IF(AI16=1,'Calc (ex-animal)'!$R$9*'Calc (ex-housing, ex-storage)'!F16/100/365*AJ16,IF(AI16=4,('Calc (ex-animal)'!$R$9+'Calc (ex-animal)'!$Q$9)*'Calc (ex-housing, ex-storage)'!F16/100*VLOOKUP(D16,'DB technologies'!$N$11:$Y$25,11,FALSE)/100/365*AJ16,0))))</f>
        <v/>
      </c>
      <c r="AS16" s="181" t="str">
        <f>IF(D16="","",VLOOKUP(D16,'DB technologies'!$N$11:$Y$25,10,FALSE))</f>
        <v/>
      </c>
      <c r="AT16" s="442" t="str">
        <f t="shared" si="1"/>
        <v/>
      </c>
      <c r="AU16" s="442" t="str">
        <f>IF(D16="","",IF(AS16=2,0,IF(AS16=1,'Calc (ex-animal)'!$G$9*'DB additional information '!$K$4/100*(1-VLOOKUP(D16,'DB technologies'!$N$11:$Y$25,8,FALSE)/100)*'Calc (ex-housing, ex-storage)'!F16/100/365*AJ16+I16+J16+K16,IF(AS16=5,(('Calc (ex-animal)'!$G$9*'DB additional information '!$K$4/100+'Calc (ex-animal)'!$H$9*'DB additional information '!$L$4/100))*(1-VLOOKUP(D16,'DB technologies'!$N$11:$Y$25,9,FALSE)/100)*'Calc (ex-housing, ex-storage)'!F16/100/365*AJ16+I16+J16+K16,IF(AS16=3,('Calc (ex-animal)'!$G$9*'DB additional information '!$K$4/100+'Calc (ex-animal)'!$H$9*'DB additional information '!$L$4/100)*(1-VLOOKUP(D16,'DB technologies'!$N$11:$Y$25,9,FALSE)/100)*'Calc (ex-housing, ex-storage)'!F16/100/365*AJ16+I16+J16+K16,IF(AS16=4,('Calc (ex-animal)'!$G$9*'DB additional information '!$K$4/100+'Calc (ex-animal)'!$H$9*'DB additional information '!$L$4/100)*(1-VLOOKUP(D16,'DB technologies'!$N$11:$Y$25,9,FALSE)/100)*'Calc (ex-housing, ex-storage)'!F16/100*VLOOKUP(D16,'DB technologies'!$N$11:$Y$25,12,FALSE)/100/365*AJ16+I16+J16+K16,0))))))</f>
        <v/>
      </c>
      <c r="AV16" s="442" t="str">
        <f>IF(D16="","",IF(AS16=2,0,IF(AS16=1,'Calc (ex-animal)'!$G$9*(1-'DB additional information '!$K$4/100)*(1-VLOOKUP(D16,'DB technologies'!$N$11:$Y$25,8,FALSE)/100)*'Calc (ex-housing, ex-storage)'!F16/100/365*AJ16+M16+N16+O16,IF(AS16=5,('Calc (ex-animal)'!$G$9*(1-'DB additional information '!$K$4/100)+'Calc (ex-animal)'!$H$9*(1-'DB additional information '!$L$4/100))*(1-VLOOKUP(D16,'DB technologies'!$N$11:$Y$25,8,FALSE)/100)*'Calc (ex-housing, ex-storage)'!F16/100/365*AJ16+M16+N16+O16,IF(AS16=3,('Calc (ex-animal)'!$G$9*(1-'DB additional information '!$K$4/100)+'Calc (ex-animal)'!$H$9*(1-'DB additional information '!$L$4/100))*(1-VLOOKUP(D16,'DB technologies'!$N$11:$Y$25,8,FALSE)/100)*'Calc (ex-housing, ex-storage)'!F16/100/365*AJ16+M16+N16+O16,IF(AS16=4,('Calc (ex-animal)'!$G$9*(1-'DB additional information '!$K$4/100)+'Calc (ex-animal)'!$H$9*(1-'DB additional information '!$L$4/100))*(1-VLOOKUP(D16,'DB technologies'!$N$11:$Y$25,8,FALSE)/100)*'Calc (ex-housing, ex-storage)'!F16/100*VLOOKUP(D16,'DB technologies'!$N$11:$Y$25,12,FALSE)/100/365*AJ16+M16+N16+O16,0))))))</f>
        <v/>
      </c>
      <c r="AW16" s="442" t="str">
        <f>IF(AS16="","",IF(AU16=0,0,AU16/AT16*100))</f>
        <v/>
      </c>
      <c r="AX16" s="182" t="str">
        <f>IF(D16="","",IF(AS16=2,0,IF(AS16=1,'Calc (ex-animal)'!$K$9*'Calc (ex-housing, ex-storage)'!F16/100/365*AJ16+Q16+R16+S16,IF(AS16=5,('Calc (ex-animal)'!$K$9+'Calc (ex-animal)'!$L$9)*'Calc (ex-housing, ex-storage)'!F16/100/365*AJ16+Q16+R16+S16-'Calc (ex-housing, ex-storage)'!AC16,IF(AS16=3,('Calc (ex-animal)'!$K$9+'Calc (ex-animal)'!$L$9)*'Calc (ex-housing, ex-storage)'!F16/100/365*AJ16+Q16+R16+S16-'Calc (ex-housing, ex-storage)'!AC16-AD16-AE16,IF(AI16=4,('Calc (ex-animal)'!$K$9+'Calc (ex-animal)'!$L$9)*'Calc (ex-housing, ex-storage)'!F16/100*VLOOKUP(D16,'DB technologies'!$N$11:$Y$25,12,FALSE)/100/365*AJ16+Q16+R16+S16-(VLOOKUP(D16,'DB technologies'!$N$11:$Y$25,12,FALSE)/100*AC16)-AD16-AE16,0))))))</f>
        <v/>
      </c>
      <c r="AY16" s="182" t="str">
        <f>IF(D16="","",IF(AS16=2,0,IF(AS16=1,'Calc (ex-animal)'!$N$9*'Calc (ex-housing, ex-storage)'!F16/100/365*AJ16+U16+V16+W16,IF(AS16=5,('Calc (ex-animal)'!$N$9+'Calc (ex-animal)'!$O$9)*'Calc (ex-housing, ex-storage)'!F16/100/365*AJ16+U16+V16+W16,IF(AS16=3,('Calc (ex-animal)'!$N$9+'Calc (ex-animal)'!$O$9)*'Calc (ex-housing, ex-storage)'!F16/100/365*AJ16+U16+V16+W16,IF(AS16=4,('Calc (ex-animal)'!$N$9+'Calc (ex-animal)'!$O$9)*'Calc (ex-housing, ex-storage)'!F16/100*VLOOKUP(D16,'DB technologies'!$N$11:$Y$25,12,FALSE)/100/365*AJ16+U16+V16+W16,0))))))</f>
        <v/>
      </c>
      <c r="AZ16" s="182" t="str">
        <f>IF(D16="","",IF(AS16=2,0,IF(AS16=1,'Calc (ex-animal)'!$Q$9*'Calc (ex-housing, ex-storage)'!F16/100/365*AJ16+Y16+Z16+AA16,IF(AS16=5,('Calc (ex-animal)'!$Q$9+'Calc (ex-animal)'!$R$9)*'Calc (ex-housing, ex-storage)'!F16/100/365*AJ16+Y16+Z16+AA16,IF(AS16=3,('Calc (ex-animal)'!$Q$9+'Calc (ex-animal)'!$R$9)*'Calc (ex-housing, ex-storage)'!F16/100/365*AJ16+Y16+Z16+AA16,IF(AS16=4,('Calc (ex-animal)'!$Q$9+'Calc (ex-animal)'!$R$9)*'Calc (ex-housing, ex-storage)'!F16/100*VLOOKUP(D16,'DB technologies'!$N$11:$Y$25,12,FALSE)/100/365*AJ16+Y16+Z16+AA16,0))))))</f>
        <v/>
      </c>
      <c r="BA16" s="506"/>
      <c r="BB16" s="506"/>
      <c r="BC16" s="506"/>
      <c r="BD16" s="98"/>
      <c r="BE16" s="42"/>
      <c r="BF16" s="42"/>
      <c r="BG16" s="1357"/>
      <c r="BH16" s="1361"/>
      <c r="BI16" s="598" t="str">
        <f>IF(BG16="","",$BA$14*BH16/100-($BB$14*BH16/100*VLOOKUP(BG16,'DB technologies'!$AC$16:$AQ$20,5,FALSE)/100)+(VLOOKUP(BG16,'DB technologies'!$AC$16:$AQ$20,12,FALSE)*$BA$14*BH16/100))</f>
        <v/>
      </c>
      <c r="BJ16" s="551">
        <f>IF(BI16="",0,BI16*BK16/100)</f>
        <v>0</v>
      </c>
      <c r="BK16" s="508" t="str">
        <f>IF(BG16="","",($BB$14*BH16/100)/BI16*(1-(VLOOKUP(BG16,'DB technologies'!$AC$16:$AQ$20,5,FALSE))/100)*100)</f>
        <v/>
      </c>
      <c r="BL16" s="261" t="str">
        <f>IF(BG16="","",$BD$14*BH16/100-BO16-BP16-BQ16-BR16)</f>
        <v/>
      </c>
      <c r="BM16" s="261" t="str">
        <f>IF(BG16="","",$BE$14*BH16/100-BS16)</f>
        <v/>
      </c>
      <c r="BN16" s="261" t="str">
        <f>IF(BG16="","",$BF$14*BH16/100-BT16)</f>
        <v/>
      </c>
      <c r="BO16" s="261" t="str">
        <f>IF(BG16="","",$BD$14*BH16/100*VLOOKUP(BG16,'DB technologies'!$AC$16:$AF$20,2,FALSE)/100)</f>
        <v/>
      </c>
      <c r="BP16" s="261" t="str">
        <f>IF(BG16="","",$BD$14*BH16/100*VLOOKUP(BG16,'DB technologies'!$AC$16:$AN$20,3,FALSE)/100)</f>
        <v/>
      </c>
      <c r="BQ16" s="261" t="str">
        <f>IF(BG16="","",$BD$14*BH16/100*VLOOKUP(BG16,'DB technologies'!$AC$16:$AN$20,4,FALSE)/100)</f>
        <v/>
      </c>
      <c r="BR16" s="264" t="str">
        <f>IF(BG16="","",VLOOKUP(BG16,'DB technologies'!$AC$16:$AQ$20,13,FALSE)/100*$BD$14*BH16/100)</f>
        <v/>
      </c>
      <c r="BS16" s="261" t="str">
        <f>IF(BG16="","",VLOOKUP(BG16,'DB technologies'!$AC$16:$AQ$20,14,FALSE)/100*$BE$14*BH16/100)</f>
        <v/>
      </c>
      <c r="BT16" s="262" t="str">
        <f>IF(BG16="","",VLOOKUP(BG16,'DB technologies'!$AC$16:$AQ$20,15,FALSE)/100*$BF$14*BH16/100)</f>
        <v/>
      </c>
    </row>
    <row r="17" spans="1:74" ht="11.25" customHeight="1" x14ac:dyDescent="0.2">
      <c r="A17" s="684"/>
      <c r="B17" s="695"/>
      <c r="C17" s="251"/>
      <c r="D17" s="1357"/>
      <c r="E17" s="1358"/>
      <c r="F17" s="480" t="str">
        <f>IF('Calc (ex-animal)'!$F$9=1,"",IF($C$14=0,"",IF(D17="","",E17/'Calc (ex-animal)'!$E$9*100)))</f>
        <v/>
      </c>
      <c r="G17" s="485" t="str">
        <f>IF(C14=0,"",IF('Calc (ex-animal)'!$F$8=1,"",IF(D17="","",SUM(H17:O17))))</f>
        <v/>
      </c>
      <c r="H17" s="423" t="str">
        <f>IF('Calc (ex-animal)'!$F$8=1,"",IF(D17="","",(((VLOOKUP($C$14,'Calc (ex-animal)'!$D$8:$Y$12,6,FALSE)-VLOOKUP($C$14,'Calc (ex-animal)'!$D$8:$Y$12,17,FALSE))*F17/100))*VLOOKUP($C$14,'Calc (ex-animal)'!$D$8:$Y$12,7,FALSE)/100*(1-VLOOKUP(D17,'DB technologies'!$N$11:$Y$25,9,FALSE)/100)))</f>
        <v/>
      </c>
      <c r="I17" s="423" t="str">
        <f>IF(D17="","",((VLOOKUP(D17,'DB technologies'!$N$11:$Y$25,2,FALSE)*VLOOKUP($C$14,'DB animal categories'!$C$10:$AC$21,27,FALSE)*E17/1000)/365*(VLOOKUP($C$14,'DB animal categories'!$C$10:$AC$21,27,FALSE)-VLOOKUP($C$14,'DB animal categories'!$C$10:$AC$21,25,FALSE)*VLOOKUP($C$14,'DB animal categories'!$C$10:$AC$21,26,FALSE)/24))*'DB additional information '!$S$6/100*(1-VLOOKUP(D17,'DB technologies'!$N$11:$Y$25,9,FALSE)/100))</f>
        <v/>
      </c>
      <c r="J17" s="434" t="str">
        <f>IF(D17="","",((VLOOKUP(D17,'DB technologies'!$N$11:$Y$25,3,FALSE)*VLOOKUP($C$14,'DB animal categories'!$C$10:$AC$21,27,FALSE)*E17/1000)/365*(VLOOKUP($C$14,'DB animal categories'!$C$10:$AC$21,27,FALSE)-VLOOKUP($C$14,'DB animal categories'!$C$10:$AC$21,25,FALSE)*VLOOKUP($C$14,'DB animal categories'!$C$10:$AC$21,26,FALSE)/24))*'DB additional information '!$S$7/100*(1-VLOOKUP(D17,'DB technologies'!$N$11:$Y$25,9,FALSE)/100))</f>
        <v/>
      </c>
      <c r="K17" s="434" t="str">
        <f>IF(D17="","",((VLOOKUP(D17,'DB technologies'!$N$11:$Y$25,4,FALSE)*E17*'DB additional information '!$S$8/100*(1-VLOOKUP(D17,'DB technologies'!$N$11:$Y$25,9,FALSE)/100))/365*(VLOOKUP($C$14,'DB animal categories'!$C$10:$AC$21,27,FALSE)-VLOOKUP($C$14,'DB animal categories'!$C$10:$AC$21,25,FALSE)*VLOOKUP($C$14,'DB animal categories'!$C$10:$AC$21,26,FALSE)/24)))</f>
        <v/>
      </c>
      <c r="L17" s="423" t="str">
        <f>IF('Calc (ex-animal)'!$F$8=1,"",IF(D17="","",(((VLOOKUP($C$14,'Calc (ex-animal)'!$D$8:$Y$12,6,FALSE)-VLOOKUP($C$14,'Calc (ex-animal)'!$D$8:$Y$12,17,FALSE))*F17/100))*(1-VLOOKUP($C$14,'Calc (ex-animal)'!$D$8:$Y$12,7,FALSE)/100)*(1-VLOOKUP(D17,'DB technologies'!$N$11:$V$25,8,FALSE)/100)))</f>
        <v/>
      </c>
      <c r="M17" s="434" t="str">
        <f>IF(D17="","",((VLOOKUP(D17,'DB technologies'!$N$11:$Y$25,2,FALSE)*VLOOKUP($C$14,'DB animal categories'!$C$10:$AC$21,27,FALSE)*E17/1000)/365*(VLOOKUP($C$14,'DB animal categories'!$C$10:$AC$21,27,FALSE)-VLOOKUP($C$14,'DB animal categories'!$C$10:$AC$21,25,FALSE)*VLOOKUP($C$14,'DB animal categories'!$C$10:$AC$21,26,FALSE)/24))*(1-'DB additional information '!$S$6/100)*(1-VLOOKUP(D17,'DB technologies'!$N$11:$Y$25,9,FALSE)/100))</f>
        <v/>
      </c>
      <c r="N17" s="434" t="str">
        <f>IF(D17="","",((VLOOKUP(D17,'DB technologies'!$N$11:$Y$25,3,FALSE)*VLOOKUP($C$14,'DB animal categories'!$C$10:$AC$21,27,FALSE)*E17/1000)/365*(VLOOKUP($C$14,'DB animal categories'!$C$10:$AC$21,27,FALSE)-VLOOKUP($C$14,'DB animal categories'!$C$10:$AC$21,25,FALSE)*VLOOKUP($C$14,'DB animal categories'!$C$10:$AC$21,26,FALSE)/24))*(1-'DB additional information '!$S$7/100)*(1-VLOOKUP(D17,'DB technologies'!$N$11:$Y$25,9,FALSE)/100))</f>
        <v/>
      </c>
      <c r="O17" s="423" t="str">
        <f>IF(D17="","",((VLOOKUP(D17,'DB technologies'!$N$11:$Y$25,4,FALSE)*E17*(1-'DB additional information '!$S$8/100)*(1-VLOOKUP(D17,'DB technologies'!$N$11:$Y$25,8,FALSE)/100))/365*(VLOOKUP($C$14,'DB animal categories'!$C$10:$AC$21,27,FALSE)-VLOOKUP($C$14,'DB animal categories'!$C$10:$AC$21,25,FALSE)*VLOOKUP($C$14,'DB animal categories'!$C$10:$AC$21,26,FALSE)/24)))</f>
        <v/>
      </c>
      <c r="P17" s="631" t="str">
        <f>IF(G17=0,0,IF(E17="","",IF(F17="","",IF($C$14=0,"",IF(D17="","",SUM(H17:K17)/G17*100)))))</f>
        <v/>
      </c>
      <c r="Q17" s="416" t="str">
        <f>IF(D17="","",(VLOOKUP(D17,'DB technologies'!$N$11:$Y$25,2,FALSE)*'DB additional information '!$S$6/100*'DB additional information '!$T$6*VLOOKUP($C$14,'DB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R17" s="416" t="str">
        <f>IF(D17="","",(VLOOKUP(D17,'DB technologies'!$N$11:$Y$25,3,FALSE)*'DB additional information '!$S$7/100*'DB additional information '!$T$7*VLOOKUP($C$14,'DB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S17" s="491" t="str">
        <f>IF(D17="","",(VLOOKUP(D17,'DB technologies'!$N$11:$Y$25,4,FALSE)*('DB additional information '!$S$8/100*'DB additional information '!$T$8*E17/1000/1000)))</f>
        <v/>
      </c>
      <c r="T17" s="261" t="str">
        <f>IF($C$14=0,"",IF('Calc (ex-animal)'!$F$9=1,"",IF(D17="","",((VLOOKUP($C$14,'Calc (ex-animal)'!$D$8:$Y$12,10,FALSE)-VLOOKUP($C$14,'Calc (ex-animal)'!$D$8:$Y$12,18,FALSE))*F17/100+Q17+R17+S17)-AC17-AD17-AE17)))</f>
        <v/>
      </c>
      <c r="U17" s="422" t="str">
        <f>IF(D17="","",(VLOOKUP(D17,'DB technologies'!$N$11:$Y$25,2,FALSE)*'DB additional information '!$S$6/100*'DB additional information '!$U$6*VLOOKUP($C$14,'DB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V17" s="418" t="str">
        <f>IF(D17="","",(VLOOKUP(D17,'DB technologies'!$N$11:$Y$25,3,FALSE)*'DB additional information '!$S$7/100*'DB additional information '!$U$7*VLOOKUP($C$14,'DB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W17" s="417" t="str">
        <f>IF(D17="","",(VLOOKUP(D17,'DB technologies'!$N$11:$Y$25,4,FALSE)*('DB additional information '!$S$8/100*'DB additional information '!$U$8*E17/1000/1000)))</f>
        <v/>
      </c>
      <c r="X17" s="261" t="str">
        <f>IF($C$14=0,"",IF('Calc (ex-animal)'!$F$9=1,"",IF(D17="","",((VLOOKUP($C$14,'Calc (ex-animal)'!$D$8:$Y$12,13,FALSE)-VLOOKUP($C$14,'Calc (ex-animal)'!$D$8:$Y$12,19,FALSE))*F17/100+U17+V17+W17))))</f>
        <v/>
      </c>
      <c r="Y17" s="418" t="str">
        <f>IF(D17="","",(VLOOKUP(D17,'DB technologies'!$N$11:$Y$25,2,FALSE)*'DB additional information '!$S$6/100*'DB additional information '!$V$6*VLOOKUP($C$14,'DB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Z17" s="418" t="str">
        <f>IF(D17="","",(VLOOKUP(D17,'DB technologies'!$N$11:$Y$25,3,FALSE)*'DB additional information '!$S$7/100*'DB additional information '!$V$7*VLOOKUP($C$14,'DB animal categories'!$C$10:$AC$21,27,FALSE)*E17/1000/1000)/365*(VLOOKUP($C$14,'DB animal categories'!$C$10:$AC$21,27,FALSE)-VLOOKUP($C$14,'DB animal categories'!$C$10:$AC$21,25,FALSE)*VLOOKUP($C$14,'DB animal categories'!$C$10:$AC$21,26,FALSE)/24))</f>
        <v/>
      </c>
      <c r="AA17" s="418" t="str">
        <f>IF(D17="","",(VLOOKUP(D17,'DB technologies'!$N$11:$Y$25,4,FALSE)*('DB additional information '!$S$8/100*'DB additional information '!$V$8*E17/1000/1000)))</f>
        <v/>
      </c>
      <c r="AB17" s="261" t="str">
        <f>IF($C$14=0,"",IF('Calc (ex-animal)'!$F$8=1,"",IF(D17="","",((VLOOKUP($C$14,'Calc (ex-animal)'!$D$8:$Y$12,16,FALSE)-VLOOKUP($C$14,'Calc (ex-animal)'!$D$8:$Y$12,20,FALSE))*F17/100+Y17+Z17+AA17))))</f>
        <v/>
      </c>
      <c r="AC17" s="261" t="str">
        <f>IF($C$14=0,"",IF('Calc (ex-animal)'!$F$8=1,"",IF(D17="","",VLOOKUP($C$14,'Calc (ex-animal)'!$D$8:$Y$12,9,FALSE)/365*(VLOOKUP($C$14,'DB animal categories'!$C$10:$AC$21,27,FALSE)-VLOOKUP($C$14,'DB animal categories'!$C$10:$AC$21,25,FALSE)*VLOOKUP($C$14,'DB animal categories'!$C$10:$AC$21,26,FALSE)/24)*F17/100*VLOOKUP(D17,'DB technologies'!$N$11:$R$25,5,FALSE)/100)))</f>
        <v/>
      </c>
      <c r="AD17" s="261" t="str">
        <f>IF($C$14=0,"",IF('Calc (ex-animal)'!$F$8=1,"",IF(D17="","",VLOOKUP($C$14,'Calc (ex-animal)'!$D$8:$Y$12,10,FALSE)/365*(VLOOKUP($C$14,'DB animal categories'!$C$10:$AC$21,27,FALSE)-VLOOKUP($C$14,'DB animal categories'!$C$10:$AC$21,25,FALSE)*VLOOKUP($C$14,'DB animal categories'!$C$10:$AC$21,26,FALSE)/24)*F17/100*VLOOKUP(D17,'DB technologies'!$N$11:$Y$25,6,FALSE)/100)))</f>
        <v/>
      </c>
      <c r="AE17" s="262" t="str">
        <f>IF($C$14=0,"",IF('Calc (ex-animal)'!$F$8=1,"",IF(D17="","",VLOOKUP($C$14,'Calc (ex-animal)'!$D$8:$Y$12,10,FALSE)/365*(VLOOKUP($C$14,'DB animal categories'!$C$10:$AC$21,27,FALSE)-VLOOKUP($C$14,'DB animal categories'!$C$10:$AC$21,25,FALSE)*VLOOKUP($C$14,'DB animal categories'!$C$10:$AC$21,26,FALSE)/24)*F17/100*VLOOKUP(D17,'DB technologies'!$N$11:$Y$25,7,FALSE)/100)))</f>
        <v/>
      </c>
      <c r="AG17" s="695"/>
      <c r="AH17" s="695"/>
      <c r="AI17" s="181" t="str">
        <f>IF(D17="","",VLOOKUP(D17,'DB technologies'!$N$11:$Y$25,10,FALSE))</f>
        <v/>
      </c>
      <c r="AJ17" s="449" t="e">
        <f>VLOOKUP($C$14,'DB animal categories'!$C$10:$AN$21,27,FALSE)-VLOOKUP($C$14,'DB animal categories'!$C$10:$AN$21,26,FALSE)*VLOOKUP($C$14,'DB animal categories'!$C$10:$AN$21,25,FALSE)/24</f>
        <v>#N/A</v>
      </c>
      <c r="AK17" s="442" t="str">
        <f>IF(AI17="","",AL17+AM17)</f>
        <v/>
      </c>
      <c r="AL17" s="442" t="str">
        <f>IF(D17="","",IF(AI17=2,(('Calc (ex-animal)'!$G$9*'DB additional information '!$K$4/100*(1-VLOOKUP(D17,'DB technologies'!$N$11:$Y$25,9,FALSE)/100)*'Calc (ex-housing, ex-storage)'!F17/100+'Calc (ex-animal)'!$H$9*'DB additional information '!$L$4/100*(1-VLOOKUP(D17,'DB technologies'!$N$11:$Y$25,9,FALSE)/100)*'Calc (ex-housing, ex-storage)'!F17/100))/365*AJ17+I17+J17+K17,IF(AI17=1,('Calc (ex-animal)'!$H$9*'DB additional information '!$L$4/100*(1-VLOOKUP(D17,'DB technologies'!$N$11:$Y$25,9,FALSE)/100)*'Calc (ex-housing, ex-storage)'!F17/100)/365*AJ17,IF(AI17=4,('Calc (ex-animal)'!$G$9*'DB additional information '!$K$4/100+'Calc (ex-animal)'!$H$9*'DB additional information '!$L$4/100)*(1-VLOOKUP(D17,'DB technologies'!$N$11:$Y$25,9,FALSE)/100)*'Calc (ex-housing, ex-storage)'!F17/100*VLOOKUP(D17,'DB technologies'!$N$11:$Y$25,11,FALSE)/100/365*AJ17,0))))</f>
        <v/>
      </c>
      <c r="AM17" s="442" t="str">
        <f>IF(D17="","",IF(AI17=2,(('Calc (ex-animal)'!$G$9*(1-'DB additional information '!$K$4/100)*(1-VLOOKUP(D17,'DB technologies'!$N$11:$Y$25,8,FALSE)/100)*'Calc (ex-housing, ex-storage)'!F17/100+'Calc (ex-animal)'!$H$9*(1-'DB additional information '!$L$4/100)*(1-VLOOKUP(D17,'DB technologies'!$N$11:$Y$25,8,FALSE)/100)*'Calc (ex-housing, ex-storage)'!F17/100))/365*AJ17+M17+N17+O17,IF(AI17=1,('Calc (ex-animal)'!$H$9*(1-'DB additional information '!$L$4/100)*(1-VLOOKUP(D17,'DB technologies'!$N$11:$Y$25,8,FALSE)/100)*'Calc (ex-housing, ex-storage)'!F17/100)/365*AJ17,IF(AI17=4,('Calc (ex-animal)'!$G$9*(1-'DB additional information '!$K$4/100)+'Calc (ex-animal)'!$H$9*(1-'DB additional information '!$L$4/100))*(1-VLOOKUP(D17,'DB technologies'!$N$11:$Y$25,8,FALSE)/100)*'Calc (ex-housing, ex-storage)'!F17/100*VLOOKUP(D17,'DB technologies'!$N$11:$Y$25,11,FALSE)/100/365*AJ17,0))))</f>
        <v/>
      </c>
      <c r="AN17" s="442" t="str">
        <f>IF(AI17="","",IF(AL17=0,0,AL17/AK17*100))</f>
        <v/>
      </c>
      <c r="AO17" s="182" t="str">
        <f>IF(D17="","",IF(AI17=2,(('Calc (ex-animal)'!$L$9*'Calc (ex-housing, ex-storage)'!F17/100+'Calc (ex-animal)'!$K$9*'Calc (ex-housing, ex-storage)'!F17/100))/365*AJ17+Q17+R17+S17-AC17,IF(AI17=1,('Calc (ex-animal)'!$L$9*'Calc (ex-housing, ex-storage)'!F17/100)/365*AJ17-'Calc (ex-housing, ex-storage)'!AC17,IF(AI17=4,('Calc (ex-animal)'!$L$9+'Calc (ex-animal)'!$K$9)*'Calc (ex-housing, ex-storage)'!F17/100*VLOOKUP(D17,'DB technologies'!$N$11:$Y$25,11,FALSE)/100/365*AJ17-AC17*VLOOKUP(D17,'DB technologies'!$N$11:$Y$25,11,FALSE)/100,0))))</f>
        <v/>
      </c>
      <c r="AP17" s="182" t="str">
        <f>IF(D17="","",IF(AO17&lt;-0.01,0,IF(AI17=2,(('Calc (ex-animal)'!$L$9*'Calc (ex-housing, ex-storage)'!F17/100+'Calc (ex-animal)'!$K$9*'Calc (ex-housing, ex-storage)'!F17/100))/365*AJ17+Q17+R17+S17-AC17,IF(AI17=1,('Calc (ex-animal)'!$L$9*'Calc (ex-housing, ex-storage)'!F17/100)/365*AJ17-'Calc (ex-housing, ex-storage)'!AC17,IF(AI17=4,('Calc (ex-animal)'!$L$9+'Calc (ex-animal)'!$K$9)*'Calc (ex-housing, ex-storage)'!F17/100*VLOOKUP(D17,'DB technologies'!$N$11:$Y$25,11,FALSE)/100/365*AJ17-AC17*VLOOKUP(D17,'DB technologies'!$N$11:$Y$25,11,FALSE)/100,0)))))</f>
        <v/>
      </c>
      <c r="AQ17" s="182" t="str">
        <f>IF(D17="","",IF(AI17=2,('Calc (ex-animal)'!$O$9*'Calc (ex-housing, ex-storage)'!F17/100+'Calc (ex-animal)'!$N$9*'Calc (ex-housing, ex-storage)'!F17/100)/365*AJ17+U17+V17+W17,IF(AI17=1,'Calc (ex-animal)'!$O$9*'Calc (ex-housing, ex-storage)'!F17/100/365*AJ17,IF(AI17=4,('Calc (ex-animal)'!$O$9+'Calc (ex-animal)'!$N$9)*'Calc (ex-housing, ex-storage)'!F17/100*VLOOKUP(D17,'DB technologies'!$N$11:$Y$25,11,FALSE)/100/365*AJ17,0))))</f>
        <v/>
      </c>
      <c r="AR17" s="182" t="str">
        <f>IF(D17="","",IF(AI17=2,('Calc (ex-animal)'!$R$9*'Calc (ex-housing, ex-storage)'!F17/100+'Calc (ex-animal)'!$Q$9*'Calc (ex-housing, ex-storage)'!F17/100)/365*AJ17+Y17+Z17+AA17,IF(AI17=1,'Calc (ex-animal)'!$R$9*'Calc (ex-housing, ex-storage)'!F17/100/365*AJ17,IF(AI17=4,('Calc (ex-animal)'!$R$9+'Calc (ex-animal)'!$Q$9)*'Calc (ex-housing, ex-storage)'!F17/100*VLOOKUP(D17,'DB technologies'!$N$11:$Y$25,11,FALSE)/100/365*AJ17,0))))</f>
        <v/>
      </c>
      <c r="AS17" s="181" t="str">
        <f>IF(D17="","",VLOOKUP(D17,'DB technologies'!$N$11:$Y$25,10,FALSE))</f>
        <v/>
      </c>
      <c r="AT17" s="442" t="str">
        <f t="shared" si="1"/>
        <v/>
      </c>
      <c r="AU17" s="442" t="str">
        <f>IF(D17="","",IF(AS17=2,0,IF(AS17=1,'Calc (ex-animal)'!$G$9*'DB additional information '!$K$4/100*(1-VLOOKUP(D17,'DB technologies'!$N$11:$Y$25,8,FALSE)/100)*'Calc (ex-housing, ex-storage)'!F17/100/365*AJ17+I17+J17+K17,IF(AS17=5,(('Calc (ex-animal)'!$G$9*'DB additional information '!$K$4/100+'Calc (ex-animal)'!$H$9*'DB additional information '!$L$4/100))*(1-VLOOKUP(D17,'DB technologies'!$N$11:$Y$25,9,FALSE)/100)*'Calc (ex-housing, ex-storage)'!F17/100/365*AJ17+I17+J17+K17,IF(AS17=3,('Calc (ex-animal)'!$G$9*'DB additional information '!$K$4/100+'Calc (ex-animal)'!$H$9*'DB additional information '!$L$4/100)*(1-VLOOKUP(D17,'DB technologies'!$N$11:$Y$25,9,FALSE)/100)*'Calc (ex-housing, ex-storage)'!F17/100/365*AJ17+I17+J17+K17,IF(AS17=4,('Calc (ex-animal)'!$G$9*'DB additional information '!$K$4/100+'Calc (ex-animal)'!$H$9*'DB additional information '!$L$4/100)*(1-VLOOKUP(D17,'DB technologies'!$N$11:$Y$25,9,FALSE)/100)*'Calc (ex-housing, ex-storage)'!F17/100*VLOOKUP(D17,'DB technologies'!$N$11:$Y$25,12,FALSE)/100/365*AJ17+I17+J17+K17,0))))))</f>
        <v/>
      </c>
      <c r="AV17" s="442" t="str">
        <f>IF(D17="","",IF(AS17=2,0,IF(AS17=1,'Calc (ex-animal)'!$G$9*(1-'DB additional information '!$K$4/100)*(1-VLOOKUP(D17,'DB technologies'!$N$11:$Y$25,8,FALSE)/100)*'Calc (ex-housing, ex-storage)'!F17/100/365*AJ17+M17+N17+O17,IF(AS17=5,('Calc (ex-animal)'!$G$9*(1-'DB additional information '!$K$4/100)+'Calc (ex-animal)'!$H$9*(1-'DB additional information '!$L$4/100))*(1-VLOOKUP(D17,'DB technologies'!$N$11:$Y$25,8,FALSE)/100)*'Calc (ex-housing, ex-storage)'!F17/100/365*AJ17+M17+N17+O17,IF(AS17=3,('Calc (ex-animal)'!$G$9*(1-'DB additional information '!$K$4/100)+'Calc (ex-animal)'!$H$9*(1-'DB additional information '!$L$4/100))*(1-VLOOKUP(D17,'DB technologies'!$N$11:$Y$25,8,FALSE)/100)*'Calc (ex-housing, ex-storage)'!F17/100/365*AJ17+M17+N17+O17,IF(AS17=4,('Calc (ex-animal)'!$G$9*(1-'DB additional information '!$K$4/100)+'Calc (ex-animal)'!$H$9*(1-'DB additional information '!$L$4/100))*(1-VLOOKUP(D17,'DB technologies'!$N$11:$Y$25,8,FALSE)/100)*'Calc (ex-housing, ex-storage)'!F17/100*VLOOKUP(D17,'DB technologies'!$N$11:$Y$25,12,FALSE)/100/365*AJ17+M17+N17+O17,0))))))</f>
        <v/>
      </c>
      <c r="AW17" s="442" t="str">
        <f>IF(AS17="","",IF(AU17=0,0,AU17/AT17*100))</f>
        <v/>
      </c>
      <c r="AX17" s="182" t="str">
        <f>IF(D17="","",IF(AS17=2,0,IF(AS17=1,'Calc (ex-animal)'!$K$9*'Calc (ex-housing, ex-storage)'!F17/100/365*AJ17+Q17+R17+S17,IF(AS17=5,('Calc (ex-animal)'!$K$9+'Calc (ex-animal)'!$L$9)*'Calc (ex-housing, ex-storage)'!F17/100/365*AJ17+Q17+R17+S17-'Calc (ex-housing, ex-storage)'!AC17,IF(AS17=3,('Calc (ex-animal)'!$K$9+'Calc (ex-animal)'!$L$9)*'Calc (ex-housing, ex-storage)'!F17/100/365*AJ17+Q17+R17+S17-'Calc (ex-housing, ex-storage)'!AC17-AD17-AE17,IF(AI17=4,('Calc (ex-animal)'!$K$9+'Calc (ex-animal)'!$L$9)*'Calc (ex-housing, ex-storage)'!F17/100*VLOOKUP(D17,'DB technologies'!$N$11:$Y$25,12,FALSE)/100/365*AJ17+Q17+R17+S17-(VLOOKUP(D17,'DB technologies'!$N$11:$Y$25,12,FALSE)/100*AC17)-AD17-AE17,0))))))</f>
        <v/>
      </c>
      <c r="AY17" s="182" t="str">
        <f>IF(D17="","",IF(AS17=2,0,IF(AS17=1,'Calc (ex-animal)'!$N$9*'Calc (ex-housing, ex-storage)'!F17/100/365*AJ17+U17+V17+W17,IF(AS17=5,('Calc (ex-animal)'!$N$9+'Calc (ex-animal)'!$O$9)*'Calc (ex-housing, ex-storage)'!F17/100/365*AJ17+U17+V17+W17,IF(AS17=3,('Calc (ex-animal)'!$N$9+'Calc (ex-animal)'!$O$9)*'Calc (ex-housing, ex-storage)'!F17/100/365*AJ17+U17+V17+W17,IF(AS17=4,('Calc (ex-animal)'!$N$9+'Calc (ex-animal)'!$O$9)*'Calc (ex-housing, ex-storage)'!F17/100*VLOOKUP(D17,'DB technologies'!$N$11:$Y$25,12,FALSE)/100/365*AJ17+U17+V17+W17,0))))))</f>
        <v/>
      </c>
      <c r="AZ17" s="182" t="str">
        <f>IF(D17="","",IF(AS17=2,0,IF(AS17=1,'Calc (ex-animal)'!$Q$9*'Calc (ex-housing, ex-storage)'!F17/100/365*AJ17+Y17+Z17+AA17,IF(AS17=5,('Calc (ex-animal)'!$Q$9+'Calc (ex-animal)'!$R$9)*'Calc (ex-housing, ex-storage)'!F17/100/365*AJ17+Y17+Z17+AA17,IF(AS17=3,('Calc (ex-animal)'!$Q$9+'Calc (ex-animal)'!$R$9)*'Calc (ex-housing, ex-storage)'!F17/100/365*AJ17+Y17+Z17+AA17,IF(AS17=4,('Calc (ex-animal)'!$Q$9+'Calc (ex-animal)'!$R$9)*'Calc (ex-housing, ex-storage)'!F17/100*VLOOKUP(D17,'DB technologies'!$N$11:$Y$25,12,FALSE)/100/365*AJ17+Y17+Z17+AA17,0))))))</f>
        <v/>
      </c>
      <c r="BA17" s="506"/>
      <c r="BB17" s="506"/>
      <c r="BC17" s="506"/>
      <c r="BD17" s="98"/>
      <c r="BE17" s="42"/>
      <c r="BF17" s="42"/>
      <c r="BG17" s="1357"/>
      <c r="BH17" s="1361"/>
      <c r="BI17" s="598" t="str">
        <f>IF(BG17="","",$BA$14*BH17/100-($BB$14*BH17/100*VLOOKUP(BG17,'DB technologies'!$AC$16:$AQ$20,5,FALSE)/100)+(VLOOKUP(BG17,'DB technologies'!$AC$16:$AQ$20,12,FALSE)*$BA$14*BH17/100))</f>
        <v/>
      </c>
      <c r="BJ17" s="551">
        <f>IF(BI17="",0,BI17*BK17/100)</f>
        <v>0</v>
      </c>
      <c r="BK17" s="508" t="str">
        <f>IF(BG17="","",($BB$14*BH17/100)/BI17*(1-(VLOOKUP(BG17,'DB technologies'!$AC$16:$AQ$20,5,FALSE))/100)*100)</f>
        <v/>
      </c>
      <c r="BL17" s="261" t="str">
        <f>IF(BG17="","",$BD$14*BH17/100-BO17-BP17-BQ17-BR17)</f>
        <v/>
      </c>
      <c r="BM17" s="261" t="str">
        <f>IF(BG17="","",$BE$14*BH17/100-BS17)</f>
        <v/>
      </c>
      <c r="BN17" s="261" t="str">
        <f>IF(BG17="","",$BF$14*BH17/100-BT17)</f>
        <v/>
      </c>
      <c r="BO17" s="261" t="str">
        <f>IF(BG17="","",$BD$14*BH17/100*VLOOKUP(BG17,'DB technologies'!$AC$16:$AF$20,2,FALSE)/100)</f>
        <v/>
      </c>
      <c r="BP17" s="261" t="str">
        <f>IF(BG17="","",$BD$14*BH17/100*VLOOKUP(BG17,'DB technologies'!$AC$16:$AN$20,3,FALSE)/100)</f>
        <v/>
      </c>
      <c r="BQ17" s="261" t="str">
        <f>IF(BG17="","",$BD$14*BH17/100*VLOOKUP(BG17,'DB technologies'!$AC$16:$AN$20,4,FALSE)/100)</f>
        <v/>
      </c>
      <c r="BR17" s="264" t="str">
        <f>IF(BG17="","",VLOOKUP(BG17,'DB technologies'!$AC$16:$AQ$20,13,FALSE)/100*$BD$14*BH17/100)</f>
        <v/>
      </c>
      <c r="BS17" s="261" t="str">
        <f>IF(BG17="","",VLOOKUP(BG17,'DB technologies'!$AC$16:$AQ$20,14,FALSE)/100*$BE$14*BH17/100)</f>
        <v/>
      </c>
      <c r="BT17" s="262" t="str">
        <f>IF(BG17="","",VLOOKUP(BG17,'DB technologies'!$AC$16:$AQ$20,15,FALSE)/100*$BF$14*BH17/100)</f>
        <v/>
      </c>
    </row>
    <row r="18" spans="1:74" ht="12" customHeight="1" thickBot="1" x14ac:dyDescent="0.25">
      <c r="A18" s="684"/>
      <c r="B18" s="695"/>
      <c r="C18" s="251"/>
      <c r="D18" s="1359"/>
      <c r="E18" s="1360"/>
      <c r="F18" s="481" t="str">
        <f>IF('Calc (ex-animal)'!$F$9=1,"",IF($C$14=0,"",IF(D18="","",E18/'Calc (ex-animal)'!$E$9*100)))</f>
        <v/>
      </c>
      <c r="G18" s="483" t="str">
        <f>IF(C14=0,"",IF('Calc (ex-animal)'!$F$8=1,"",IF(D18="","",SUM(H18:O18))))</f>
        <v/>
      </c>
      <c r="H18" s="445" t="str">
        <f>IF('Calc (ex-animal)'!$F$8=1,"",IF(D18="","",(((VLOOKUP($C$14,'Calc (ex-animal)'!$D$8:$Y$12,6,FALSE)-VLOOKUP($C$14,'Calc (ex-animal)'!$D$8:$Y$12,17,FALSE))*F18/100))*VLOOKUP($C$14,'Calc (ex-animal)'!$D$8:$Y$12,7,FALSE)/100*(1-VLOOKUP(D18,'DB technologies'!$N$11:$Y$25,9,FALSE)/100)))</f>
        <v/>
      </c>
      <c r="I18" s="445" t="str">
        <f>IF(D18="","",((VLOOKUP(D18,'DB technologies'!$N$11:$Y$25,2,FALSE)*VLOOKUP($C$14,'DB animal categories'!$C$10:$AC$21,27,FALSE)*E18/1000)/365*(VLOOKUP($C$14,'DB animal categories'!$C$10:$AC$21,27,FALSE)-VLOOKUP($C$14,'DB animal categories'!$C$10:$AC$21,25,FALSE)*VLOOKUP($C$14,'DB animal categories'!$C$10:$AC$21,26,FALSE)/24))*'DB additional information '!$S$6/100*(1-VLOOKUP(D18,'DB technologies'!$N$11:$Y$25,9,FALSE)/100))</f>
        <v/>
      </c>
      <c r="J18" s="446" t="str">
        <f>IF(D18="","",((VLOOKUP(D18,'DB technologies'!$N$11:$Y$25,3,FALSE)*VLOOKUP($C$14,'DB animal categories'!$C$10:$AC$21,27,FALSE)*E18/1000)/365*(VLOOKUP($C$14,'DB animal categories'!$C$10:$AC$21,27,FALSE)-VLOOKUP($C$14,'DB animal categories'!$C$10:$AC$21,25,FALSE)*VLOOKUP($C$14,'DB animal categories'!$C$10:$AC$21,26,FALSE)/24))*'DB additional information '!$S$7/100*(1-VLOOKUP(D18,'DB technologies'!$N$11:$Y$25,9,FALSE)/100))</f>
        <v/>
      </c>
      <c r="K18" s="446" t="str">
        <f>IF(D18="","",((VLOOKUP(D18,'DB technologies'!$N$11:$Y$25,4,FALSE)*E18*'DB additional information '!$S$8/100*(1-VLOOKUP(D18,'DB technologies'!$N$11:$Y$25,9,FALSE)/100))/365*(VLOOKUP($C$14,'DB animal categories'!$C$10:$AC$21,27,FALSE)-VLOOKUP($C$14,'DB animal categories'!$C$10:$AC$21,25,FALSE)*VLOOKUP($C$14,'DB animal categories'!$C$10:$AC$21,26,FALSE)/24)))</f>
        <v/>
      </c>
      <c r="L18" s="445" t="str">
        <f>IF('Calc (ex-animal)'!$F$8=1,"",IF(D18="","",(((VLOOKUP($C$14,'Calc (ex-animal)'!$D$8:$Y$12,6,FALSE)-VLOOKUP($C$14,'Calc (ex-animal)'!$D$8:$Y$12,17,FALSE))*F18/100))*(1-VLOOKUP($C$14,'Calc (ex-animal)'!$D$8:$Y$12,7,FALSE)/100)*(1-VLOOKUP(D18,'DB technologies'!$N$11:$V$25,8,FALSE)/100)))</f>
        <v/>
      </c>
      <c r="M18" s="446" t="str">
        <f>IF(D18="","",((VLOOKUP(D18,'DB technologies'!$N$11:$Y$25,2,FALSE)*VLOOKUP($C$14,'DB animal categories'!$C$10:$AC$21,27,FALSE)*E18/1000)/365*(VLOOKUP($C$14,'DB animal categories'!$C$10:$AC$21,27,FALSE)-VLOOKUP($C$14,'DB animal categories'!$C$10:$AC$21,25,FALSE)*VLOOKUP($C$14,'DB animal categories'!$C$10:$AC$21,26,FALSE)/24))*(1-'DB additional information '!$S$6/100)*(1-VLOOKUP(D18,'DB technologies'!$N$11:$Y$25,9,FALSE)/100))</f>
        <v/>
      </c>
      <c r="N18" s="446" t="str">
        <f>IF(D18="","",((VLOOKUP(D18,'DB technologies'!$N$11:$Y$25,3,FALSE)*VLOOKUP($C$14,'DB animal categories'!$C$10:$AC$21,27,FALSE)*E18/1000)/365*(VLOOKUP($C$14,'DB animal categories'!$C$10:$AC$21,27,FALSE)-VLOOKUP($C$14,'DB animal categories'!$C$10:$AC$21,25,FALSE)*VLOOKUP($C$14,'DB animal categories'!$C$10:$AC$21,26,FALSE)/24))*(1-'DB additional information '!$S$7/100)*(1-VLOOKUP(D18,'DB technologies'!$N$11:$Y$25,9,FALSE)/100))</f>
        <v/>
      </c>
      <c r="O18" s="445" t="str">
        <f>IF(D18="","",((VLOOKUP(D18,'DB technologies'!$N$11:$Y$25,4,FALSE)*E18*(1-'DB additional information '!$S$8/100)*(1-VLOOKUP(D18,'DB technologies'!$N$11:$Y$25,8,FALSE)/100))/365*(VLOOKUP($C$14,'DB animal categories'!$C$10:$AC$21,27,FALSE)-VLOOKUP($C$14,'DB animal categories'!$C$10:$AC$21,25,FALSE)*VLOOKUP($C$14,'DB animal categories'!$C$10:$AC$21,26,FALSE)/24)))</f>
        <v/>
      </c>
      <c r="P18" s="632" t="str">
        <f>IF(G18=0,0,IF(E18="","",IF(F18="","",IF($C$14=0,"",IF(D18="","",SUM(H18:K18)/G18*100)))))</f>
        <v/>
      </c>
      <c r="Q18" s="476" t="str">
        <f>IF(D18="","",(VLOOKUP(D18,'DB technologies'!$N$11:$Y$25,2,FALSE)*'DB additional information '!$S$6/100*'DB additional information '!$T$6*VLOOKUP($C$14,'DB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R18" s="476" t="str">
        <f>IF(D18="","",(VLOOKUP(D18,'DB technologies'!$N$11:$Y$25,3,FALSE)*'DB additional information '!$S$7/100*'DB additional information '!$T$7*VLOOKUP($C$14,'DB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S18" s="494" t="str">
        <f>IF(D18="","",(VLOOKUP(D18,'DB technologies'!$N$11:$Y$25,4,FALSE)*('DB additional information '!$S$8/100*'DB additional information '!$T$8*E18/1000/1000)))</f>
        <v/>
      </c>
      <c r="T18" s="267" t="str">
        <f>IF($C$14=0,"",IF('Calc (ex-animal)'!$F$9=1,"",IF(D18="","",((VLOOKUP($C$14,'Calc (ex-animal)'!$D$8:$Y$12,10,FALSE)-VLOOKUP($C$14,'Calc (ex-animal)'!$D$8:$Y$12,18,FALSE))*F18/100+Q18+R18+S18)-AC18-AD18-AE18)))</f>
        <v/>
      </c>
      <c r="U18" s="477" t="str">
        <f>IF(D18="","",(VLOOKUP(D18,'DB technologies'!$N$11:$Y$25,2,FALSE)*'DB additional information '!$S$6/100*'DB additional information '!$U$6*VLOOKUP($C$14,'DB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V18" s="433" t="str">
        <f>IF(D18="","",(VLOOKUP(D18,'DB technologies'!$N$11:$Y$25,3,FALSE)*'DB additional information '!$S$7/100*'DB additional information '!$U$7*VLOOKUP($C$14,'DB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W18" s="475" t="str">
        <f>IF(D18="","",(VLOOKUP(D18,'DB technologies'!$N$11:$Y$25,4,FALSE)*('DB additional information '!$S$8/100*'DB additional information '!$U$8*E18/1000/1000)))</f>
        <v/>
      </c>
      <c r="X18" s="267" t="str">
        <f>IF($C$14=0,"",IF('Calc (ex-animal)'!$F$9=1,"",IF(D18="","",((VLOOKUP($C$14,'Calc (ex-animal)'!$D$8:$Y$12,13,FALSE)-VLOOKUP($C$14,'Calc (ex-animal)'!$D$8:$Y$12,19,FALSE))*F18/100+U18+V18+W18))))</f>
        <v/>
      </c>
      <c r="Y18" s="433" t="str">
        <f>IF(D18="","",(VLOOKUP(D18,'DB technologies'!$N$11:$Y$25,2,FALSE)*'DB additional information '!$S$6/100*'DB additional information '!$V$6*VLOOKUP($C$14,'DB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Z18" s="433" t="str">
        <f>IF(D18="","",(VLOOKUP(D18,'DB technologies'!$N$11:$Y$25,3,FALSE)*'DB additional information '!$S$7/100*'DB additional information '!$V$7*VLOOKUP($C$14,'DB animal categories'!$C$10:$AC$21,27,FALSE)*E18/1000/1000)/365*(VLOOKUP($C$14,'DB animal categories'!$C$10:$AC$21,27,FALSE)-VLOOKUP($C$14,'DB animal categories'!$C$10:$AC$21,25,FALSE)*VLOOKUP($C$14,'DB animal categories'!$C$10:$AC$21,26,FALSE)/24))</f>
        <v/>
      </c>
      <c r="AA18" s="433" t="str">
        <f>IF(D18="","",(VLOOKUP(D18,'DB technologies'!$N$11:$Y$25,4,FALSE)*('DB additional information '!$S$8/100*'DB additional information '!$V$8*E18/1000/1000)))</f>
        <v/>
      </c>
      <c r="AB18" s="267" t="str">
        <f>IF($C$14=0,"",IF('Calc (ex-animal)'!$F$8=1,"",IF(D18="","",((VLOOKUP($C$14,'Calc (ex-animal)'!$D$8:$Y$12,16,FALSE)-VLOOKUP($C$14,'Calc (ex-animal)'!$D$8:$Y$12,20,FALSE))*F18/100+Y18+Z18+AA18))))</f>
        <v/>
      </c>
      <c r="AC18" s="267" t="str">
        <f>IF($C$14=0,"",IF('Calc (ex-animal)'!$F$8=1,"",IF(D18="","",VLOOKUP($C$14,'Calc (ex-animal)'!$D$8:$Y$12,9,FALSE)/365*(VLOOKUP($C$14,'DB animal categories'!$C$10:$AC$21,27,FALSE)-VLOOKUP($C$14,'DB animal categories'!$C$10:$AC$21,25,FALSE)*VLOOKUP($C$14,'DB animal categories'!$C$10:$AC$21,26,FALSE)/24)*F18/100*VLOOKUP(D18,'DB technologies'!$N$11:$R$25,5,FALSE)/100)))</f>
        <v/>
      </c>
      <c r="AD18" s="267" t="str">
        <f>IF($C$14=0,"",IF('Calc (ex-animal)'!$F$8=1,"",IF(D18="","",VLOOKUP($C$14,'Calc (ex-animal)'!$D$8:$Y$12,10,FALSE)/365*(VLOOKUP($C$14,'DB animal categories'!$C$10:$AC$21,27,FALSE)-VLOOKUP($C$14,'DB animal categories'!$C$10:$AC$21,25,FALSE)*VLOOKUP($C$14,'DB animal categories'!$C$10:$AC$21,26,FALSE)/24)*F18/100*VLOOKUP(D18,'DB technologies'!$N$11:$Y$25,6,FALSE)/100)))</f>
        <v/>
      </c>
      <c r="AE18" s="268" t="str">
        <f>IF($C$14=0,"",IF('Calc (ex-animal)'!$F$8=1,"",IF(D18="","",VLOOKUP($C$14,'Calc (ex-animal)'!$D$8:$Y$12,10,FALSE)/365*(VLOOKUP($C$14,'DB animal categories'!$C$10:$AC$21,27,FALSE)-VLOOKUP($C$14,'DB animal categories'!$C$10:$AC$21,25,FALSE)*VLOOKUP($C$14,'DB animal categories'!$C$10:$AC$21,26,FALSE)/24)*F18/100*VLOOKUP(D18,'DB technologies'!$N$11:$Y$25,7,FALSE)/100)))</f>
        <v/>
      </c>
      <c r="AG18" s="695"/>
      <c r="AH18" s="695"/>
      <c r="AI18" s="183" t="str">
        <f>IF(D18="","",VLOOKUP(D18,'DB technologies'!$N$11:$Y$25,10,FALSE))</f>
        <v/>
      </c>
      <c r="AJ18" s="451" t="e">
        <f>VLOOKUP($C$14,'DB animal categories'!$C$10:$AN$21,27,FALSE)-VLOOKUP($C$14,'DB animal categories'!$C$10:$AN$21,26,FALSE)*VLOOKUP($C$14,'DB animal categories'!$C$10:$AN$21,25,FALSE)/24</f>
        <v>#N/A</v>
      </c>
      <c r="AK18" s="452" t="str">
        <f>IF(AI18="","",AL18+AM18)</f>
        <v/>
      </c>
      <c r="AL18" s="452" t="str">
        <f>IF(D18="","",IF(AI18=2,(('Calc (ex-animal)'!$G$9*'DB additional information '!$K$4/100*(1-VLOOKUP(D18,'DB technologies'!$N$11:$Y$25,9,FALSE)/100)*'Calc (ex-housing, ex-storage)'!F18/100+'Calc (ex-animal)'!$H$9*'DB additional information '!$L$4/100*(1-VLOOKUP(D18,'DB technologies'!$N$11:$Y$25,9,FALSE)/100)*'Calc (ex-housing, ex-storage)'!F18/100))/365*AJ18+I18+J18+K18,IF(AI18=1,('Calc (ex-animal)'!$H$9*'DB additional information '!$L$4/100*(1-VLOOKUP(D18,'DB technologies'!$N$11:$Y$25,9,FALSE)/100)*'Calc (ex-housing, ex-storage)'!F18/100)/365*AJ18,IF(AI18=4,('Calc (ex-animal)'!$G$9*'DB additional information '!$K$4/100+'Calc (ex-animal)'!$H$9*'DB additional information '!$L$4/100)*(1-VLOOKUP(D18,'DB technologies'!$N$11:$Y$25,9,FALSE)/100)*'Calc (ex-housing, ex-storage)'!F18/100*VLOOKUP(D18,'DB technologies'!$N$11:$Y$25,11,FALSE)/100/365*AJ18,0))))</f>
        <v/>
      </c>
      <c r="AM18" s="452" t="str">
        <f>IF(D18="","",IF(AI18=2,(('Calc (ex-animal)'!$G$9*(1-'DB additional information '!$K$4/100)*(1-VLOOKUP(D18,'DB technologies'!$N$11:$Y$25,8,FALSE)/100)*'Calc (ex-housing, ex-storage)'!F18/100+'Calc (ex-animal)'!$H$9*(1-'DB additional information '!$L$4/100)*(1-VLOOKUP(D18,'DB technologies'!$N$11:$Y$25,8,FALSE)/100)*'Calc (ex-housing, ex-storage)'!F18/100))/365*AJ18+M18+N18+O18,IF(AI18=1,('Calc (ex-animal)'!$H$9*(1-'DB additional information '!$L$4/100)*(1-VLOOKUP(D18,'DB technologies'!$N$11:$Y$25,8,FALSE)/100)*'Calc (ex-housing, ex-storage)'!F18/100)/365*AJ18,IF(AI18=4,('Calc (ex-animal)'!$G$9*(1-'DB additional information '!$K$4/100)+'Calc (ex-animal)'!$H$9*(1-'DB additional information '!$L$4/100))*(1-VLOOKUP(D18,'DB technologies'!$N$11:$Y$25,8,FALSE)/100)*'Calc (ex-housing, ex-storage)'!F18/100*VLOOKUP(D18,'DB technologies'!$N$11:$Y$25,11,FALSE)/100/365*AJ18,0))))</f>
        <v/>
      </c>
      <c r="AN18" s="452" t="str">
        <f>IF(AI18="","",IF(AL18=0,0,AL18/AK18*100))</f>
        <v/>
      </c>
      <c r="AO18" s="184" t="str">
        <f>IF(D18="","",IF(AI18=2,(('Calc (ex-animal)'!$L$9*'Calc (ex-housing, ex-storage)'!F18/100+'Calc (ex-animal)'!$K$9*'Calc (ex-housing, ex-storage)'!F18/100))/365*AJ18+Q18+R18+S18-AC18,IF(AI18=1,('Calc (ex-animal)'!$L$9*'Calc (ex-housing, ex-storage)'!F18/100)/365*AJ18-'Calc (ex-housing, ex-storage)'!AC18,IF(AI18=4,('Calc (ex-animal)'!$L$9+'Calc (ex-animal)'!$K$9)*'Calc (ex-housing, ex-storage)'!F18/100*VLOOKUP(D18,'DB technologies'!$N$11:$Y$25,11,FALSE)/100/365*AJ18-AC18*VLOOKUP(D18,'DB technologies'!$N$11:$Y$25,11,FALSE)/100,0))))</f>
        <v/>
      </c>
      <c r="AP18" s="184" t="str">
        <f>IF(D18="","",IF(AO18&lt;-0.01,0,IF(AI18=2,(('Calc (ex-animal)'!$L$9*'Calc (ex-housing, ex-storage)'!F18/100+'Calc (ex-animal)'!$K$9*'Calc (ex-housing, ex-storage)'!F18/100))/365*AJ18+Q18+R18+S18-AC18,IF(AI18=1,('Calc (ex-animal)'!$L$9*'Calc (ex-housing, ex-storage)'!F18/100)/365*AJ18-'Calc (ex-housing, ex-storage)'!AC18,IF(AI18=4,('Calc (ex-animal)'!$L$9+'Calc (ex-animal)'!$K$9)*'Calc (ex-housing, ex-storage)'!F18/100*VLOOKUP(D18,'DB technologies'!$N$11:$Y$25,11,FALSE)/100/365*AJ18-AC18*VLOOKUP(D18,'DB technologies'!$N$11:$Y$25,11,FALSE)/100,0)))))</f>
        <v/>
      </c>
      <c r="AQ18" s="184" t="str">
        <f>IF(D18="","",IF(AI18=2,('Calc (ex-animal)'!$O$9*'Calc (ex-housing, ex-storage)'!F18/100+'Calc (ex-animal)'!$N$9*'Calc (ex-housing, ex-storage)'!F18/100)/365*AJ18+U18+V18+W18,IF(AI18=1,'Calc (ex-animal)'!$O$9*'Calc (ex-housing, ex-storage)'!F18/100/365*AJ18,IF(AI18=4,('Calc (ex-animal)'!$O$9+'Calc (ex-animal)'!$N$9)*'Calc (ex-housing, ex-storage)'!F18/100*VLOOKUP(D18,'DB technologies'!$N$11:$Y$25,11,FALSE)/100/365*AJ18,0))))</f>
        <v/>
      </c>
      <c r="AR18" s="184" t="str">
        <f>IF(D18="","",IF(AI18=2,('Calc (ex-animal)'!$R$9*'Calc (ex-housing, ex-storage)'!F18/100+'Calc (ex-animal)'!$Q$9*'Calc (ex-housing, ex-storage)'!F18/100)/365*AJ18+Y18+Z18+AA18,IF(AI18=1,'Calc (ex-animal)'!$R$9*'Calc (ex-housing, ex-storage)'!F18/100/365*AJ18,IF(AI18=4,('Calc (ex-animal)'!$R$9+'Calc (ex-animal)'!$Q$9)*'Calc (ex-housing, ex-storage)'!F18/100*VLOOKUP(D18,'DB technologies'!$N$11:$Y$25,11,FALSE)/100/365*AJ18,0))))</f>
        <v/>
      </c>
      <c r="AS18" s="183" t="str">
        <f>IF(D18="","",VLOOKUP(D18,'DB technologies'!$N$11:$Y$25,10,FALSE))</f>
        <v/>
      </c>
      <c r="AT18" s="452" t="str">
        <f>IF(AS18="","",AU18+AV18)</f>
        <v/>
      </c>
      <c r="AU18" s="452" t="str">
        <f>IF(D18="","",IF(AS18=2,0,IF(AS18=1,'Calc (ex-animal)'!$G$9*'DB additional information '!$K$4/100*(1-VLOOKUP(D18,'DB technologies'!$N$11:$Y$25,8,FALSE)/100)*'Calc (ex-housing, ex-storage)'!F18/100/365*AJ18+I18+J18+K18,IF(AS18=5,(('Calc (ex-animal)'!$G$9*'DB additional information '!$K$4/100+'Calc (ex-animal)'!$H$9*'DB additional information '!$L$4/100))*(1-VLOOKUP(D18,'DB technologies'!$N$11:$Y$25,9,FALSE)/100)*'Calc (ex-housing, ex-storage)'!F18/100/365*AJ18+I18+J18+K18,IF(AS18=3,('Calc (ex-animal)'!$G$9*'DB additional information '!$K$4/100+'Calc (ex-animal)'!$H$9*'DB additional information '!$L$4/100)*(1-VLOOKUP(D18,'DB technologies'!$N$11:$Y$25,9,FALSE)/100)*'Calc (ex-housing, ex-storage)'!F18/100/365*AJ18+I18+J18+K18,IF(AS18=4,('Calc (ex-animal)'!$G$9*'DB additional information '!$K$4/100+'Calc (ex-animal)'!$H$9*'DB additional information '!$L$4/100)*(1-VLOOKUP(D18,'DB technologies'!$N$11:$Y$25,9,FALSE)/100)*'Calc (ex-housing, ex-storage)'!F18/100*VLOOKUP(D18,'DB technologies'!$N$11:$Y$25,12,FALSE)/100/365*AJ18+I18+J18+K18,0))))))</f>
        <v/>
      </c>
      <c r="AV18" s="452" t="str">
        <f>IF(D18="","",IF(AS18=2,0,IF(AS18=1,'Calc (ex-animal)'!$G$9*(1-'DB additional information '!$K$4/100)*(1-VLOOKUP(D18,'DB technologies'!$N$11:$Y$25,8,FALSE)/100)*'Calc (ex-housing, ex-storage)'!F18/100/365*AJ18+M18+N18+O18,IF(AS18=5,('Calc (ex-animal)'!$G$9*(1-'DB additional information '!$K$4/100)+'Calc (ex-animal)'!$H$9*(1-'DB additional information '!$L$4/100))*(1-VLOOKUP(D18,'DB technologies'!$N$11:$Y$25,8,FALSE)/100)*'Calc (ex-housing, ex-storage)'!F18/100/365*AJ18+M18+N18+O18,IF(AS18=3,('Calc (ex-animal)'!$G$9*(1-'DB additional information '!$K$4/100)+'Calc (ex-animal)'!$H$9*(1-'DB additional information '!$L$4/100))*(1-VLOOKUP(D18,'DB technologies'!$N$11:$Y$25,8,FALSE)/100)*'Calc (ex-housing, ex-storage)'!F18/100/365*AJ18+M18+N18+O18,IF(AS18=4,('Calc (ex-animal)'!$G$9*(1-'DB additional information '!$K$4/100)+'Calc (ex-animal)'!$H$9*(1-'DB additional information '!$L$4/100))*(1-VLOOKUP(D18,'DB technologies'!$N$11:$Y$25,8,FALSE)/100)*'Calc (ex-housing, ex-storage)'!F18/100*VLOOKUP(D18,'DB technologies'!$N$11:$Y$25,12,FALSE)/100/365*AJ18+M18+N18+O18,0))))))</f>
        <v/>
      </c>
      <c r="AW18" s="452" t="str">
        <f>IF(AS18="","",IF(AU18=0,0,AU18/AT18*100))</f>
        <v/>
      </c>
      <c r="AX18" s="184" t="str">
        <f>IF(D18="","",IF(AS18=2,0,IF(AS18=1,'Calc (ex-animal)'!$K$9*'Calc (ex-housing, ex-storage)'!F18/100/365*AJ18+Q18+R18+S18,IF(AS18=5,('Calc (ex-animal)'!$K$9+'Calc (ex-animal)'!$L$9)*'Calc (ex-housing, ex-storage)'!F18/100/365*AJ18+Q18+R18+S18-'Calc (ex-housing, ex-storage)'!AC18,IF(AS18=3,('Calc (ex-animal)'!$K$9+'Calc (ex-animal)'!$L$9)*'Calc (ex-housing, ex-storage)'!F18/100/365*AJ18+Q18+R18+S18-'Calc (ex-housing, ex-storage)'!AC18-AD18-AE18,IF(AI18=4,('Calc (ex-animal)'!$K$9+'Calc (ex-animal)'!$L$9)*'Calc (ex-housing, ex-storage)'!F18/100*VLOOKUP(D18,'DB technologies'!$N$11:$Y$25,12,FALSE)/100/365*AJ18+Q18+R18+S18-(VLOOKUP(D18,'DB technologies'!$N$11:$Y$25,12,FALSE)/100*AC18)-AD18-AE18,0))))))</f>
        <v/>
      </c>
      <c r="AY18" s="184" t="str">
        <f>IF(D18="","",IF(AS18=2,0,IF(AS18=1,'Calc (ex-animal)'!$N$9*'Calc (ex-housing, ex-storage)'!F18/100/365*AJ18+U18+V18+W18,IF(AS18=5,('Calc (ex-animal)'!$N$9+'Calc (ex-animal)'!$O$9)*'Calc (ex-housing, ex-storage)'!F18/100/365*AJ18+U18+V18+W18,IF(AS18=3,('Calc (ex-animal)'!$N$9+'Calc (ex-animal)'!$O$9)*'Calc (ex-housing, ex-storage)'!F18/100/365*AJ18+U18+V18+W18,IF(AS18=4,('Calc (ex-animal)'!$N$9+'Calc (ex-animal)'!$O$9)*'Calc (ex-housing, ex-storage)'!F18/100*VLOOKUP(D18,'DB technologies'!$N$11:$Y$25,12,FALSE)/100/365*AJ18+U18+V18+W18,0))))))</f>
        <v/>
      </c>
      <c r="AZ18" s="184" t="str">
        <f>IF(D18="","",IF(AS18=2,0,IF(AS18=1,'Calc (ex-animal)'!$Q$9*'Calc (ex-housing, ex-storage)'!F18/100/365*AJ18+Y18+Z18+AA18,IF(AS18=5,('Calc (ex-animal)'!$Q$9+'Calc (ex-animal)'!$R$9)*'Calc (ex-housing, ex-storage)'!F18/100/365*AJ18+Y18+Z18+AA18,IF(AS18=3,('Calc (ex-animal)'!$Q$9+'Calc (ex-animal)'!$R$9)*'Calc (ex-housing, ex-storage)'!F18/100/365*AJ18+Y18+Z18+AA18,IF(AS18=4,('Calc (ex-animal)'!$Q$9+'Calc (ex-animal)'!$R$9)*'Calc (ex-housing, ex-storage)'!F18/100*VLOOKUP(D18,'DB technologies'!$N$11:$Y$25,12,FALSE)/100/365*AJ18+Y18+Z18+AA18,0))))))</f>
        <v/>
      </c>
      <c r="BA18" s="506"/>
      <c r="BB18" s="506"/>
      <c r="BC18" s="506"/>
      <c r="BD18" s="98"/>
      <c r="BE18" s="42"/>
      <c r="BF18" s="42"/>
      <c r="BG18" s="1359"/>
      <c r="BH18" s="1362"/>
      <c r="BI18" s="598" t="str">
        <f>IF(BG18="","",$BA$14*BH18/100-($BB$14*BH18/100*VLOOKUP(BG18,'DB technologies'!$AC$16:$AQ$20,5,FALSE)/100)+(VLOOKUP(BG18,'DB technologies'!$AC$16:$AQ$20,12,FALSE)*$BA$14*BH18/100))</f>
        <v/>
      </c>
      <c r="BJ18" s="551">
        <f>IF(BI18="",0,BI18*BK18/100)</f>
        <v>0</v>
      </c>
      <c r="BK18" s="508" t="str">
        <f>IF(BG18="","",($BB$14*BH18/100)/BI18*(1-(VLOOKUP(BG18,'DB technologies'!$AC$16:$AQ$20,5,FALSE))/100)*100)</f>
        <v/>
      </c>
      <c r="BL18" s="261" t="str">
        <f>IF(BG18="","",$BD$14*BH18/100-BO18-BP18-BQ18-BR18)</f>
        <v/>
      </c>
      <c r="BM18" s="261" t="str">
        <f>IF(BG18="","",$BE$14*BH18/100-BS18)</f>
        <v/>
      </c>
      <c r="BN18" s="261" t="str">
        <f>IF(BG18="","",$BF$14*BH18/100-BT18)</f>
        <v/>
      </c>
      <c r="BO18" s="267" t="str">
        <f>IF(BG18="","",$BD$14*BH18/100*VLOOKUP(BG18,'DB technologies'!$AC$16:$AF$20,2,FALSE)/100)</f>
        <v/>
      </c>
      <c r="BP18" s="267" t="str">
        <f>IF(BG18="","",$BD$14*BH18/100*VLOOKUP(BG18,'DB technologies'!$AC$16:$AN$20,3,FALSE)/100)</f>
        <v/>
      </c>
      <c r="BQ18" s="267" t="str">
        <f>IF(BG18="","",$BD$14*BH18/100*VLOOKUP(BG18,'DB technologies'!$AC$16:$AN$20,4,FALSE)/100)</f>
        <v/>
      </c>
      <c r="BR18" s="266" t="str">
        <f>IF(BG18="","",VLOOKUP(BG18,'DB technologies'!$AC$16:$AQ$20,13,FALSE)/100*$BD$14*BH18/100)</f>
        <v/>
      </c>
      <c r="BS18" s="267" t="str">
        <f>IF(BG18="","",VLOOKUP(BG18,'DB technologies'!$AC$16:$AQ$20,14,FALSE)/100*$BE$14*BH18/100)</f>
        <v/>
      </c>
      <c r="BT18" s="268" t="str">
        <f>IF(BG18="","",VLOOKUP(BG18,'DB technologies'!$AC$16:$AQ$20,15,FALSE)/100*$BF$14*BH18/100)</f>
        <v/>
      </c>
    </row>
    <row r="19" spans="1:74" ht="11.25" customHeight="1" thickBot="1" x14ac:dyDescent="0.25">
      <c r="A19" s="684"/>
      <c r="B19" s="695"/>
      <c r="C19" s="252"/>
      <c r="D19" s="269" t="s">
        <v>58</v>
      </c>
      <c r="E19" s="270">
        <f>IF('Calc (ex-animal)'!F9=1,'Calc (ex-animal)'!E9,IF(F19&lt;=100,SUM(E14:E18),"ERROR"))</f>
        <v>0</v>
      </c>
      <c r="F19" s="284">
        <f>IF('Calc (ex-animal)'!F9=1,100,IF(SUM(F14:F18) &lt;=100,SUM(F14:F18),"ERROR, SUM&gt;100%"))</f>
        <v>0</v>
      </c>
      <c r="G19" s="492">
        <f>IF('Calc (ex-animal)'!F9=1,"",SUM(G14:G18))</f>
        <v>0</v>
      </c>
      <c r="H19" s="433">
        <f>IF('Calc (ex-animal)'!$F$8=1,"",SUM(H14:H18))</f>
        <v>0</v>
      </c>
      <c r="I19" s="433">
        <f>IF('Calc (ex-animal)'!$F$8=1,"",SUM(I14:I18))</f>
        <v>0</v>
      </c>
      <c r="J19" s="433">
        <f>IF('Calc (ex-animal)'!$F$8=1,"",SUM(J14:J18))</f>
        <v>0</v>
      </c>
      <c r="K19" s="433">
        <f>IF('Calc (ex-animal)'!$F$8=1,"",SUM(K14:K18))</f>
        <v>0</v>
      </c>
      <c r="L19" s="470"/>
      <c r="M19" s="470"/>
      <c r="N19" s="470"/>
      <c r="O19" s="470"/>
      <c r="P19" s="634">
        <f>IF(G19=0,0,IF('Calc (ex-animal)'!$F$9=1,"",IF(D19="","",SUM(H19:K19)/G19*100)))</f>
        <v>0</v>
      </c>
      <c r="Q19" s="470"/>
      <c r="R19" s="470"/>
      <c r="S19" s="495"/>
      <c r="T19" s="279">
        <f>IF('Calc (ex-animal)'!F9=1,"",SUM(T14:T18))</f>
        <v>0</v>
      </c>
      <c r="U19" s="433"/>
      <c r="V19" s="433"/>
      <c r="W19" s="433"/>
      <c r="X19" s="279">
        <f>IF('Calc (ex-animal)'!F9=1,"",SUM(X14:X18))</f>
        <v>0</v>
      </c>
      <c r="Y19" s="433"/>
      <c r="Z19" s="433"/>
      <c r="AA19" s="433"/>
      <c r="AB19" s="279">
        <f>IF('Calc (ex-animal)'!F9=1,"",SUM(AB14:AB18))</f>
        <v>0</v>
      </c>
      <c r="AC19" s="279">
        <f>IF('Calc (ex-animal)'!F9=1,"",SUM(AC14:AC18))</f>
        <v>0</v>
      </c>
      <c r="AD19" s="279">
        <f>IF('Calc (ex-animal)'!F9=1,"",SUM(AD14:AD18))</f>
        <v>0</v>
      </c>
      <c r="AE19" s="280">
        <f>IF('Calc (ex-animal)'!F9=1,"",SUM(AE14:AE18))</f>
        <v>0</v>
      </c>
      <c r="AG19" s="695"/>
      <c r="AH19" s="696"/>
      <c r="AI19" s="90"/>
      <c r="AJ19" s="419"/>
      <c r="AK19" s="419"/>
      <c r="AL19" s="419"/>
      <c r="AM19" s="419"/>
      <c r="AN19" s="419"/>
      <c r="AO19" s="97"/>
      <c r="AP19" s="97"/>
      <c r="AQ19" s="90"/>
      <c r="AR19" s="90"/>
      <c r="AS19" s="90"/>
      <c r="AT19" s="419"/>
      <c r="AU19" s="419"/>
      <c r="AV19" s="419"/>
      <c r="AW19" s="419"/>
      <c r="AX19" s="98"/>
      <c r="AY19" s="96"/>
      <c r="AZ19" s="96"/>
      <c r="BA19" s="507"/>
      <c r="BB19" s="507"/>
      <c r="BC19" s="507"/>
      <c r="BD19" s="98"/>
      <c r="BE19" s="42"/>
      <c r="BF19" s="42"/>
      <c r="BG19" s="314" t="s">
        <v>58</v>
      </c>
      <c r="BH19" s="289">
        <f>IF(SUM(BH14:BH18) &gt;100,"ERROR, SUM&gt;100%",SUM(BH14:BH18))</f>
        <v>0</v>
      </c>
      <c r="BI19" s="597">
        <f t="shared" ref="BI19:BT19" si="2">SUM(BI14:BI18)</f>
        <v>0</v>
      </c>
      <c r="BJ19" s="593">
        <f>SUM(BJ14:BJ18)</f>
        <v>0</v>
      </c>
      <c r="BK19" s="597">
        <f>IF(BI19=0,0,BJ19/BI19*100)</f>
        <v>0</v>
      </c>
      <c r="BL19" s="290">
        <f t="shared" si="2"/>
        <v>0</v>
      </c>
      <c r="BM19" s="290">
        <f t="shared" si="2"/>
        <v>0</v>
      </c>
      <c r="BN19" s="290">
        <f t="shared" si="2"/>
        <v>0</v>
      </c>
      <c r="BO19" s="290">
        <f t="shared" si="2"/>
        <v>0</v>
      </c>
      <c r="BP19" s="290">
        <f t="shared" si="2"/>
        <v>0</v>
      </c>
      <c r="BQ19" s="291">
        <f t="shared" si="2"/>
        <v>0</v>
      </c>
      <c r="BR19" s="309">
        <f t="shared" si="2"/>
        <v>0</v>
      </c>
      <c r="BS19" s="307">
        <f t="shared" si="2"/>
        <v>0</v>
      </c>
      <c r="BT19" s="308">
        <f t="shared" si="2"/>
        <v>0</v>
      </c>
    </row>
    <row r="20" spans="1:74" ht="11.25" customHeight="1" x14ac:dyDescent="0.2">
      <c r="A20" s="684"/>
      <c r="B20" s="695"/>
      <c r="C20" s="250">
        <f>'Calc (ex-animal)'!D10</f>
        <v>0</v>
      </c>
      <c r="D20" s="1355"/>
      <c r="E20" s="1356"/>
      <c r="F20" s="479" t="str">
        <f>IF('Calc (ex-animal)'!$F$9=1,"",IF($C$20=0,"",IF(D20="","",E20/'Calc (ex-animal)'!$E$10*100)))</f>
        <v/>
      </c>
      <c r="G20" s="484" t="str">
        <f>IF($C$20=0,"",IF('Calc (ex-animal)'!$F$8=1,"",IF(D20="","",SUM(H20:O20))))</f>
        <v/>
      </c>
      <c r="H20" s="471" t="str">
        <f>IF('Calc (ex-animal)'!$F$8=1,"",IF(D20="","",(((VLOOKUP($C$20,'Calc (ex-animal)'!$D$8:$Y$12,6,FALSE)-VLOOKUP($C$20,'Calc (ex-animal)'!$D$8:$Y$12,17,FALSE))*F20/100))*VLOOKUP($C$20,'Calc (ex-animal)'!$D$8:$Y$12,7,FALSE)/100*(1-VLOOKUP(D20,'DB technologies'!$N$11:$Y$25,9,FALSE)/100)))</f>
        <v/>
      </c>
      <c r="I20" s="471" t="str">
        <f>IF(D20="","",((VLOOKUP(D20,'DB technologies'!$N$11:$Y$25,2,FALSE)*VLOOKUP($C$20,'DB animal categories'!$C$10:$AC$21,27,FALSE)*E20/1000)/365*(VLOOKUP($C$20,'DB animal categories'!$C$10:$AC$21,27,FALSE)-VLOOKUP($C$20,'DB animal categories'!$C$10:$AC$21,25,FALSE)*VLOOKUP($C$20,'DB animal categories'!$C$10:$AC$21,26,FALSE)/24))*'DB additional information '!$S$6/100*(1-VLOOKUP(D20,'DB technologies'!$N$11:$Y$25,9,FALSE)/100))</f>
        <v/>
      </c>
      <c r="J20" s="472" t="str">
        <f>IF(D20="","",((VLOOKUP(D20,'DB technologies'!$N$11:$Y$25,3,FALSE)*VLOOKUP($C$20,'DB animal categories'!$C$10:$AC$21,27,FALSE)*E20/1000)/365*(VLOOKUP($C$20,'DB animal categories'!$C$10:$AC$21,27,FALSE)-VLOOKUP($C$20,'DB animal categories'!$C$10:$AC$21,25,FALSE)*VLOOKUP($C$20,'DB animal categories'!$C$10:$AC$21,26,FALSE)/24))*'DB additional information '!$S$7/100*(1-VLOOKUP(D20,'DB technologies'!$N$11:$Y$25,9,FALSE)/100))</f>
        <v/>
      </c>
      <c r="K20" s="472" t="str">
        <f>IF(D20="","",((VLOOKUP(D20,'DB technologies'!$N$11:$Y$25,4,FALSE)*E20*'DB additional information '!$S$8/100*(1-VLOOKUP(D20,'DB technologies'!$N$11:$Y$25,9,FALSE)/100))/365*(VLOOKUP($C$20,'DB animal categories'!$C$10:$AC$21,27,FALSE)-VLOOKUP($C$20,'DB animal categories'!$C$10:$AC$21,25,FALSE)*VLOOKUP($C$20,'DB animal categories'!$C$10:$AC$21,26,FALSE)/24)))</f>
        <v/>
      </c>
      <c r="L20" s="471" t="str">
        <f>IF('Calc (ex-animal)'!$F$8=1,"",IF(D20="","",(((VLOOKUP($C$20,'Calc (ex-animal)'!$D$8:$Y$12,6,FALSE)-VLOOKUP($C$20,'Calc (ex-animal)'!$D$8:$Y$12,17,FALSE))*F20/100))*(1-VLOOKUP($C$20,'Calc (ex-animal)'!$D$8:$Y$12,7,FALSE)/100)*(1-VLOOKUP(D20,'DB technologies'!$N$11:$V$25,8,FALSE)/100)))</f>
        <v/>
      </c>
      <c r="M20" s="472" t="str">
        <f>IF(D20="","",((VLOOKUP(D20,'DB technologies'!$N$11:$Y$25,2,FALSE)*VLOOKUP($C$20,'DB animal categories'!$C$10:$AC$21,27,FALSE)*E20/1000)/365*(VLOOKUP($C$20,'DB animal categories'!$C$10:$AC$21,27,FALSE)-VLOOKUP($C$20,'DB animal categories'!$C$10:$AC$21,25,FALSE)*VLOOKUP($C$20,'DB animal categories'!$C$10:$AC$21,26,FALSE)/24))*(1-'DB additional information '!$S$6/100)*(1-VLOOKUP(D20,'DB technologies'!$N$11:$Y$25,9,FALSE)/100))</f>
        <v/>
      </c>
      <c r="N20" s="472" t="str">
        <f>IF(D20="","",((VLOOKUP(D20,'DB technologies'!$N$11:$Y$25,3,FALSE)*VLOOKUP($C$20,'DB animal categories'!$C$10:$AC$21,27,FALSE)*E20/1000)/365*(VLOOKUP($C$20,'DB animal categories'!$C$10:$AC$21,27,FALSE)-VLOOKUP($C$20,'DB animal categories'!$C$10:$AC$21,25,FALSE)*VLOOKUP($C$20,'DB animal categories'!$C$10:$AC$21,26,FALSE)/24))*(1-'DB additional information '!$S$7/100)*(1-VLOOKUP(D20,'DB technologies'!$N$11:$Y$25,9,FALSE)/100))</f>
        <v/>
      </c>
      <c r="O20" s="471" t="str">
        <f>IF(D20="","",((VLOOKUP(D20,'DB technologies'!$N$11:$Y$25,4,FALSE)*E20*(1-'DB additional information '!$S$8/100)*(1-VLOOKUP(D20,'DB technologies'!$N$11:$Y$25,8,FALSE)/100))/365*(VLOOKUP($C$20,'DB animal categories'!$C$10:$AC$21,27,FALSE)-VLOOKUP($C$20,'DB animal categories'!$C$10:$AC$21,25,FALSE)*VLOOKUP($C$20,'DB animal categories'!$C$10:$AC$21,26,FALSE)/24)))</f>
        <v/>
      </c>
      <c r="P20" s="631" t="str">
        <f>IF(G20=0,0,IF(E20="","",IF(F20="","",IF($C$20=0,"",IF(D20="","",SUM(H20:K20)/G20*100)))))</f>
        <v/>
      </c>
      <c r="Q20" s="473" t="str">
        <f>IF(D20="","",(VLOOKUP(D20,'DB technologies'!$N$11:$Y$25,2,FALSE)*'DB additional information '!$S$6/100*'DB additional information '!$T$6*VLOOKUP($C$20,'DB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R20" s="473" t="str">
        <f>IF(D20="","",(VLOOKUP(D20,'DB technologies'!$N$11:$Y$25,3,FALSE)*'DB additional information '!$S$7/100*'DB additional information '!$T$7*VLOOKUP($C$20,'DB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S20" s="490" t="str">
        <f>IF(D20="","",(VLOOKUP(D20,'DB technologies'!$N$11:$Y$25,4,FALSE)*('DB additional information '!$S$8/100*'DB additional information '!$T$8*E20/1000/1000)))</f>
        <v/>
      </c>
      <c r="T20" s="259" t="str">
        <f>IF($C$20=0,"",IF('Calc (ex-animal)'!$F$9=1,"",IF(D20="","",((VLOOKUP($C$20,'Calc (ex-animal)'!$D$8:$Y$12,10,FALSE)-VLOOKUP($C$20,'Calc (ex-animal)'!$D$8:$Y$12,18,FALSE))*F20/100+Q20+R20+S20)-AC20-AD20-AE20)))</f>
        <v/>
      </c>
      <c r="U20" s="474" t="str">
        <f>IF(D20="","",(VLOOKUP(D20,'DB technologies'!$N$11:$Y$25,2,FALSE)*'DB additional information '!$S$6/100*'DB additional information '!$U$6*VLOOKUP($C$20,'DB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V20" s="420" t="str">
        <f>IF(D20="","",(VLOOKUP(D20,'DB technologies'!$N$11:$Y$25,3,FALSE)*'DB additional information '!$S$7/100*'DB additional information '!$U$7*VLOOKUP($C$20,'DB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W20" s="415" t="str">
        <f>IF(D20="","",(VLOOKUP(D20,'DB technologies'!$N$11:$Y$25,4,FALSE)*('DB additional information '!$S$8/100*'DB additional information '!$U$8*E20/1000/1000)))</f>
        <v/>
      </c>
      <c r="X20" s="261" t="str">
        <f>IF($C$20=0,"",IF('Calc (ex-animal)'!$F$9=1,"",IF(D20="","",((VLOOKUP($C$20,'Calc (ex-animal)'!$D$8:$Y$12,13,FALSE)-VLOOKUP($C$20,'Calc (ex-animal)'!$D$8:$Y$12,19,FALSE))*F20/100+U20+V20+W20))))</f>
        <v/>
      </c>
      <c r="Y20" s="420" t="str">
        <f>IF(D20="","",(VLOOKUP(D20,'DB technologies'!$N$11:$Y$25,2,FALSE)*'DB additional information '!$S$6/100*'DB additional information '!$V$6*VLOOKUP($C$20,'DB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Z20" s="420" t="str">
        <f>IF(D20="","",(VLOOKUP(D20,'DB technologies'!$N$11:$Y$25,3,FALSE)*'DB additional information '!$S$7/100*'DB additional information '!$V$7*VLOOKUP($C$20,'DB animal categories'!$C$10:$AC$21,27,FALSE)*E20/1000/1000)/365*(VLOOKUP($C$20,'DB animal categories'!$C$10:$AC$21,27,FALSE)-VLOOKUP($C$20,'DB animal categories'!$C$10:$AC$21,25,FALSE)*VLOOKUP($C$20,'DB animal categories'!$C$10:$AC$21,26,FALSE)/24))</f>
        <v/>
      </c>
      <c r="AA20" s="420" t="str">
        <f>IF(D20="","",(VLOOKUP(D20,'DB technologies'!$N$11:$Y$25,4,FALSE)*('DB additional information '!$S$8/100*'DB additional information '!$V$8*E20/1000/1000)))</f>
        <v/>
      </c>
      <c r="AB20" s="261" t="str">
        <f>IF($C$20=0,"",IF('Calc (ex-animal)'!$F$8=1,"",IF(D20="","",((VLOOKUP($C$20,'Calc (ex-animal)'!$D$8:$Y$12,16,FALSE)-VLOOKUP($C$20,'Calc (ex-animal)'!$D$8:$Y$12,20,FALSE))*F20/100+Y20+Z20+AA20))))</f>
        <v/>
      </c>
      <c r="AC20" s="261" t="str">
        <f>IF($C$20=0,"",IF('Calc (ex-animal)'!$F$8=1,"",IF(D20="","",VLOOKUP($C$20,'Calc (ex-animal)'!$D$8:$Y$12,9,FALSE)/365*(VLOOKUP($C$20,'DB animal categories'!$C$10:$AC$21,27,FALSE)-VLOOKUP($C$20,'DB animal categories'!$C$10:$AC$21,25,FALSE)*VLOOKUP($C$20,'DB animal categories'!$C$10:$AC$21,26,FALSE)/24)*F20/100*VLOOKUP(D20,'DB technologies'!$N$11:$R$25,5,FALSE)/100)))</f>
        <v/>
      </c>
      <c r="AD20" s="261" t="str">
        <f>IF($C$20=0,"",IF('Calc (ex-animal)'!$F$8=1,"",IF(D20="","",VLOOKUP($C$20,'Calc (ex-animal)'!$D$8:$Y$12,10,FALSE)/365*(VLOOKUP($C$20,'DB animal categories'!$C$10:$AC$21,27,FALSE)-VLOOKUP($C$20,'DB animal categories'!$C$10:$AC$21,25,FALSE)*VLOOKUP($C$20,'DB animal categories'!$C$10:$AC$21,26,FALSE)/24)*F20/100*VLOOKUP(D20,'DB technologies'!$N$11:$Y$25,6,FALSE)/100)))</f>
        <v/>
      </c>
      <c r="AE20" s="262" t="str">
        <f>IF($C$20=0,"",IF('Calc (ex-animal)'!$F$8=1,"",IF(D20="","",VLOOKUP($C$20,'Calc (ex-animal)'!$D$8:$Y$12,10,FALSE)/365*(VLOOKUP($C$20,'DB animal categories'!$C$10:$AC$21,27,FALSE)-VLOOKUP($C$20,'DB animal categories'!$C$10:$AC$21,25,FALSE)*VLOOKUP($C$20,'DB animal categories'!$C$10:$AC$21,26,FALSE)/24)*F20/100*VLOOKUP(D20,'DB technologies'!$N$11:$Y$25,7,FALSE)/100)))</f>
        <v/>
      </c>
      <c r="AG20" s="695"/>
      <c r="AH20" s="694" t="s">
        <v>130</v>
      </c>
      <c r="AI20" s="185" t="str">
        <f>IF(D20="","",VLOOKUP(D20,'DB technologies'!$N$11:$Y$25,10,FALSE))</f>
        <v/>
      </c>
      <c r="AJ20" s="482" t="e">
        <f>VLOOKUP($C$20,'DB animal categories'!$C$10:$AN$21,27,FALSE)-VLOOKUP($C$20,'DB animal categories'!$C$10:$AN$21,26,FALSE)*VLOOKUP($C$20,'DB animal categories'!$C$10:$AN$21,25,FALSE)/24</f>
        <v>#N/A</v>
      </c>
      <c r="AK20" s="453" t="str">
        <f>IF(AI20="","",AL20+AM20)</f>
        <v/>
      </c>
      <c r="AL20" s="453" t="str">
        <f>IF(D20="","",IF(AI20=2,(('Calc (ex-animal)'!$G$10*'DB additional information '!$K$4/100*(1-VLOOKUP(D20,'DB technologies'!$N$11:$Y$25,9,FALSE)/100)*'Calc (ex-housing, ex-storage)'!F20/100+'Calc (ex-animal)'!$H$10*'DB additional information '!$L$4/100*(1-VLOOKUP(D20,'DB technologies'!$N$11:$Y$25,9,FALSE)/100)*'Calc (ex-housing, ex-storage)'!F20/100))/365*AJ20+I20+J20+K20,IF(AI20=1,('Calc (ex-animal)'!$H$10*'DB additional information '!$L$4/100*(1-VLOOKUP(D20,'DB technologies'!$N$11:$Y$25,9,FALSE)/100)*'Calc (ex-housing, ex-storage)'!F20/100)/365*AJ20,IF(AI20=4,('Calc (ex-animal)'!$G$10*'DB additional information '!$K$4/100+'Calc (ex-animal)'!$H$10*'DB additional information '!$L$4/100)*(1-VLOOKUP(D20,'DB technologies'!$N$11:$Y$25,9,FALSE)/100)*'Calc (ex-housing, ex-storage)'!F20/100*VLOOKUP(D20,'DB technologies'!$N$11:$Y$25,11,FALSE)/100/365*AJ20,0))))</f>
        <v/>
      </c>
      <c r="AM20" s="453" t="str">
        <f>IF(D20="","",IF(AI20=2,(('Calc (ex-animal)'!$G$10*(1-'DB additional information '!$K$4/100)*(1-VLOOKUP(D20,'DB technologies'!$N$11:$Y$25,8,FALSE)/100)*'Calc (ex-housing, ex-storage)'!F20/100+'Calc (ex-animal)'!$H$10*(1-'DB additional information '!$L$4/100)*(1-VLOOKUP(D20,'DB technologies'!$N$11:$Y$25,8,FALSE)/100)*'Calc (ex-housing, ex-storage)'!F20/100))/365*AJ20+M20+N20+O20,IF(AI20=1,('Calc (ex-animal)'!$H$10*(1-'DB additional information '!$L$4/100)*(1-VLOOKUP(D20,'DB technologies'!$N$11:$Y$25,8,FALSE)/100)*'Calc (ex-housing, ex-storage)'!F20/100)/365*AJ20,IF(AI20=4,('Calc (ex-animal)'!$G$10*(1-'DB additional information '!$K$4/100)+'Calc (ex-animal)'!$H$10*(1-'DB additional information '!$L$4/100))*(1-VLOOKUP(D20,'DB technologies'!$N$11:$Y$25,8,FALSE)/100)*'Calc (ex-housing, ex-storage)'!F20/100*VLOOKUP(D20,'DB technologies'!$N$11:$Y$25,11,FALSE)/100/365*AJ20,0))))</f>
        <v/>
      </c>
      <c r="AN20" s="453" t="str">
        <f>IF(AI20="","",IF(AL20=0,0,AL20/AK20*100))</f>
        <v/>
      </c>
      <c r="AO20" s="180" t="str">
        <f>IF(D20="","",IF(AI20=2,(('Calc (ex-animal)'!$L$10*'Calc (ex-housing, ex-storage)'!F20/100+'Calc (ex-animal)'!$K$10*'Calc (ex-housing, ex-storage)'!F20/100))/365*AJ20+Q20+R20+S20-AC20,IF(AI20=1,('Calc (ex-animal)'!$L$10*'Calc (ex-housing, ex-storage)'!F20/100)/365*AJ20-'Calc (ex-housing, ex-storage)'!AC20,IF(AI20=4,('Calc (ex-animal)'!$L$10+'Calc (ex-animal)'!$K$10)*'Calc (ex-housing, ex-storage)'!F20/100*VLOOKUP(D20,'DB technologies'!$N$11:$Y$25,11,FALSE)/100/365*AJ20-AC20*VLOOKUP(D20,'DB technologies'!$N$11:$Y$25,11,FALSE)/100,0))))</f>
        <v/>
      </c>
      <c r="AP20" s="180" t="str">
        <f>IF(D20="","",IF(AO20&lt;-0.01,0,IF(AI20=2,(('Calc (ex-animal)'!$L$10*'Calc (ex-housing, ex-storage)'!F20/100+'Calc (ex-animal)'!$K$10*'Calc (ex-housing, ex-storage)'!F20/100))/365*AJ20+Q20+R20+S20-AC20,IF(AI20=1,('Calc (ex-animal)'!$L$10*'Calc (ex-housing, ex-storage)'!F20/100)/365*AJ20-'Calc (ex-housing, ex-storage)'!AC20,IF(AI20=4,('Calc (ex-animal)'!$L$10+'Calc (ex-animal)'!$K$10)*'Calc (ex-housing, ex-storage)'!F20/100*VLOOKUP(D20,'DB technologies'!$N$11:$Y$25,11,FALSE)/100/365*AJ20-AC20*VLOOKUP(D20,'DB technologies'!$N$11:$Y$25,11,FALSE)/100,0)))))</f>
        <v/>
      </c>
      <c r="AQ20" s="180" t="str">
        <f>IF(D20="","",IF(AI20=2,('Calc (ex-animal)'!$O$10*'Calc (ex-housing, ex-storage)'!F20/100+'Calc (ex-animal)'!$N$10*'Calc (ex-housing, ex-storage)'!F20/100)/365*AJ20+U20+V20+W20,IF(AI20=1,'Calc (ex-animal)'!$O$10*'Calc (ex-housing, ex-storage)'!F20/100/365*AJ20,IF(AI20=4,('Calc (ex-animal)'!$O$10+'Calc (ex-animal)'!$N$10)*'Calc (ex-housing, ex-storage)'!F20/100*VLOOKUP(D20,'DB technologies'!$N$11:$Y$25,11,FALSE)/100/365*AJ20,0))))</f>
        <v/>
      </c>
      <c r="AR20" s="180" t="str">
        <f>IF(D20="","",IF(AI20=2,('Calc (ex-animal)'!$R$10*'Calc (ex-housing, ex-storage)'!F20/100+'Calc (ex-animal)'!$Q$10*'Calc (ex-housing, ex-storage)'!F20/100)/365*AJ20+Y20+Z20+AA20,IF(AI20=1,'Calc (ex-animal)'!$R$10*'Calc (ex-housing, ex-storage)'!F20/100/365*AJ20,IF(AI20=4,('Calc (ex-animal)'!$R$10+'Calc (ex-animal)'!$Q$10)*'Calc (ex-housing, ex-storage)'!F20/100*VLOOKUP(D20,'DB technologies'!$N$11:$Y$25,11,FALSE)/100/365*AJ20,0))))</f>
        <v/>
      </c>
      <c r="AS20" s="179" t="str">
        <f>IF(D20="","",VLOOKUP(D20,'DB technologies'!$N$11:$Y$25,10,FALSE))</f>
        <v/>
      </c>
      <c r="AT20" s="453" t="str">
        <f t="shared" si="1"/>
        <v/>
      </c>
      <c r="AU20" s="453" t="str">
        <f>IF(D20="","",IF(AS20=2,0,IF(AS20=1,'Calc (ex-animal)'!$G$10*'DB additional information '!$K$4/100*(1-VLOOKUP(D20,'DB technologies'!$N$11:$Y$25,8,FALSE)/100)*'Calc (ex-housing, ex-storage)'!F20/100/365*AJ20+I20+J20+K20,IF(AS20=5,(('Calc (ex-animal)'!$G$10*'DB additional information '!$K$4/100+'Calc (ex-animal)'!$H$10*'DB additional information '!$L$4/100))*(1-VLOOKUP(D20,'DB technologies'!$N$11:$Y$25,9,FALSE)/100)*'Calc (ex-housing, ex-storage)'!F20/100/365*AJ20+I20+J20+K20,IF(AS20=3,('Calc (ex-animal)'!$G$10*'DB additional information '!$K$4/100+'Calc (ex-animal)'!$H$10*'DB additional information '!$L$4/100)*(1-VLOOKUP(D20,'DB technologies'!$N$11:$Y$25,9,FALSE)/100)*'Calc (ex-housing, ex-storage)'!F20/100/365*AJ20+I20+J20+K20,IF(AS20=4,('Calc (ex-animal)'!$G$10*'DB additional information '!$K$4/100+'Calc (ex-animal)'!$H$10*'DB additional information '!$L$4/100)*(1-VLOOKUP(D20,'DB technologies'!$N$11:$Y$25,9,FALSE)/100)*'Calc (ex-housing, ex-storage)'!F20/100*VLOOKUP(D20,'DB technologies'!$N$11:$Y$25,12,FALSE)/100/365*AJ20+I20+J20+K20,0))))))</f>
        <v/>
      </c>
      <c r="AV20" s="453" t="str">
        <f>IF(D20="","",IF(AS20=2,0,IF(AS20=1,'Calc (ex-animal)'!$G$10*(1-'DB additional information '!$K$4/100)*(1-VLOOKUP(D20,'DB technologies'!$N$11:$Y$25,8,FALSE)/100)*'Calc (ex-housing, ex-storage)'!F20/100/365*AJ20+M20+N20+O20,IF(AS20=5,('Calc (ex-animal)'!$G$10*(1-'DB additional information '!$K$4/100)+'Calc (ex-animal)'!$H$10*(1-'DB additional information '!$L$4/100))*(1-VLOOKUP(D20,'DB technologies'!$N$11:$Y$25,8,FALSE)/100)*'Calc (ex-housing, ex-storage)'!F20/100/365*AJ20+M20+N20+O20,IF(AS20=3,('Calc (ex-animal)'!$G$10*(1-'DB additional information '!$K$4/100)+'Calc (ex-animal)'!$H$10*(1-'DB additional information '!$L$4/100))*(1-VLOOKUP(D20,'DB technologies'!$N$11:$Y$25,8,FALSE)/100)*'Calc (ex-housing, ex-storage)'!F20/100/365*AJ20+M20+N20+O20,IF(AS20=4,('Calc (ex-animal)'!$G$10*(1-'DB additional information '!$K$4/100)+'Calc (ex-animal)'!$H$10*(1-'DB additional information '!$L$4/100))*(1-VLOOKUP(D20,'DB technologies'!$N$11:$Y$25,8,FALSE)/100)*'Calc (ex-housing, ex-storage)'!F20/100*VLOOKUP(D20,'DB technologies'!$N$11:$Y$25,12,FALSE)/100/365*AJ20+M20+N20+O20,0))))))</f>
        <v/>
      </c>
      <c r="AW20" s="453" t="str">
        <f>IF(AS20="","",IF(AU20=0,0,AU20/AT20*100))</f>
        <v/>
      </c>
      <c r="AX20" s="180" t="str">
        <f>IF(D20="","",IF(AS20=2,0,IF(AS20=1,'Calc (ex-animal)'!$K$10*'Calc (ex-housing, ex-storage)'!F20/100/365*AJ20+Q20+R20+S20,IF(AS20=5,('Calc (ex-animal)'!$K$10+'Calc (ex-animal)'!$L$10)*'Calc (ex-housing, ex-storage)'!F20/100/365*AJ20+Q20+R20+S20-'Calc (ex-housing, ex-storage)'!AC20,IF(AS20=3,('Calc (ex-animal)'!$K$10+'Calc (ex-animal)'!$L$10)*'Calc (ex-housing, ex-storage)'!F20/100/365*AJ20+Q20+R20+S20-'Calc (ex-housing, ex-storage)'!AC20-AD20-AE20,IF(AI20=4,('Calc (ex-animal)'!$K$10+'Calc (ex-animal)'!$L$10)*'Calc (ex-housing, ex-storage)'!F20/100*VLOOKUP(D20,'DB technologies'!$N$11:$Y$25,12,FALSE)/100/365*AJ20+Q20+R20+S20-(VLOOKUP(D20,'DB technologies'!$N$11:$Y$25,12,FALSE)/100*AC20)-AD20-AE20,0))))))</f>
        <v/>
      </c>
      <c r="AY20" s="180" t="str">
        <f>IF(D20="","",IF(AS20=2,0,IF(AS20=1,'Calc (ex-animal)'!$N$10*'Calc (ex-housing, ex-storage)'!F20/100/365*AJ20+U20+V20+W20,IF(AS20=5,('Calc (ex-animal)'!$N$10+'Calc (ex-animal)'!$O$10)*'Calc (ex-housing, ex-storage)'!F20/100/365*AJ20+U20+V20+W20,IF(AS20=3,('Calc (ex-animal)'!$N$10+'Calc (ex-animal)'!$O$10)*'Calc (ex-housing, ex-storage)'!F20/100/365*AJ20+U20+V20+W20,IF(AS20=4,('Calc (ex-animal)'!$N$10+'Calc (ex-animal)'!$O$10)*'Calc (ex-housing, ex-storage)'!F20/100*VLOOKUP(D20,'DB technologies'!$N$11:$Y$25,12,FALSE)/100/365*AJ20+U20+V20+W20,0))))))</f>
        <v/>
      </c>
      <c r="AZ20" s="180" t="str">
        <f>IF(D20="","",IF(AS20=2,0,IF(AS20=1,'Calc (ex-animal)'!$Q$10*'Calc (ex-housing, ex-storage)'!F20/100/365*AJ20+Y20+Z20+AA20,IF(AS20=5,('Calc (ex-animal)'!$Q$10+'Calc (ex-animal)'!$R$10)*'Calc (ex-housing, ex-storage)'!F20/100/365*AJ20+Y20+Z20+AA20,IF(AS20=3,('Calc (ex-animal)'!$Q$10+'Calc (ex-animal)'!$R$10)*'Calc (ex-housing, ex-storage)'!F20/100/365*AJ20+Y20+Z20+AA20,IF(AS20=4,('Calc (ex-animal)'!$Q$10+'Calc (ex-animal)'!$R$10)*'Calc (ex-housing, ex-storage)'!F20/100*VLOOKUP(D20,'DB technologies'!$N$11:$Y$25,12,FALSE)/100/365*AJ20+Y20+Z20+AA20,0))))))</f>
        <v/>
      </c>
      <c r="BA20" s="98">
        <f>(SUMIF(AS8:AS156,3,AT8:AT156)+SUMIF(AS8:AS156,4,AT8:AT156))*(1-('DB technologies'!AR21/100))</f>
        <v>0</v>
      </c>
      <c r="BB20" s="98">
        <f>(SUMIF(AS8:AS156,3,AU8:AU156)+SUMIF(AS8:AS156,4,AU8:AU156))*(1-('DB technologies'!AR21/100))</f>
        <v>0</v>
      </c>
      <c r="BC20" s="506" t="e">
        <f>BB20/BA20*100</f>
        <v>#DIV/0!</v>
      </c>
      <c r="BD20" s="98">
        <f>(SUMIF(AS8:AS156,3,AX8:AX156)+SUMIF(AS8:AS156,4,AX8:AX156))*(1-('DB technologies'!AR21/100))</f>
        <v>0</v>
      </c>
      <c r="BE20" s="98">
        <f>(SUMIF(AS8:AS156,3,AY8:AY156)+SUMIF(AS8:AS156,4,AY8:AY156))*(1-('DB technologies'!AR21/100))</f>
        <v>0</v>
      </c>
      <c r="BF20" s="98">
        <f>(SUMIF(AS8:AS156,3,AZ8:AZ156)+SUMIF(AS8:AS156,4,AZ8:AZ156))*(1-('DB technologies'!AR21/100))</f>
        <v>0</v>
      </c>
      <c r="BG20" s="1355"/>
      <c r="BH20" s="1363"/>
      <c r="BI20" s="599" t="str">
        <f>IF(BG20="","",$BA$20*BH20/100-($BB$20*BH20/100*VLOOKUP(BG20,'DB technologies'!$AC$21:$AT$25,5,FALSE)/100)+(VLOOKUP(BG20,'DB technologies'!$AC$21:$AT$25,12,FALSE)*$BA$20*BH20/100))</f>
        <v/>
      </c>
      <c r="BJ20" s="551">
        <f>IF(BI20="",0,BI20*BK20/100)</f>
        <v>0</v>
      </c>
      <c r="BK20" s="510" t="str">
        <f>IF(BG20="","",IF($BA$20=0,0,($BB$20*BH20/100)/BI20*(1-(VLOOKUP(BG20,'DB technologies'!$AC$21:$AQ$25,5,FALSE))/100)*100))</f>
        <v/>
      </c>
      <c r="BL20" s="259" t="str">
        <f>IF(BG20="","",$BD$20*BH20/100-BO20-BP20-BQ20-BR20)</f>
        <v/>
      </c>
      <c r="BM20" s="259" t="str">
        <f>IF(BG20="","",$BE$20*BH20/100-BS20)</f>
        <v/>
      </c>
      <c r="BN20" s="259" t="str">
        <f>IF(BG20="","",$BF$20*BH20/100-BT20)</f>
        <v/>
      </c>
      <c r="BO20" s="259" t="str">
        <f>IF(BG20="","",$BD$20*BH20/100*VLOOKUP(BG20,'DB technologies'!$AC$16:$AF$20,2,FALSE)/100)</f>
        <v/>
      </c>
      <c r="BP20" s="259" t="str">
        <f>IF(BG20="","",$BD$20*BH20/100*VLOOKUP(BG20,'DB technologies'!$AC$16:$AN$20,3,FALSE)/100)</f>
        <v/>
      </c>
      <c r="BQ20" s="260" t="str">
        <f>IF(BG20="","",$BD$20*BH20/100*VLOOKUP(BG20,'DB technologies'!$AC$16:$AN$20,4,FALSE)/100)</f>
        <v/>
      </c>
      <c r="BR20" s="263" t="str">
        <f>IF(BG20="","",VLOOKUP(BG20,'DB technologies'!$AC$16:$AQ$20,13,FALSE)/100*$BD$20*BH20/100)</f>
        <v/>
      </c>
      <c r="BS20" s="259" t="str">
        <f>IF(BG20="","",VLOOKUP(BG20,'DB technologies'!$AC$16:$AQ$20,14,FALSE)/100*$BE$20*BH20/100)</f>
        <v/>
      </c>
      <c r="BT20" s="260" t="str">
        <f>IF(BG20="","",VLOOKUP(BG20,'DB technologies'!$AC$16:$AQ$20,15,FALSE)/100*$BF$20*BH20/100)</f>
        <v/>
      </c>
    </row>
    <row r="21" spans="1:74" ht="11.25" customHeight="1" x14ac:dyDescent="0.2">
      <c r="A21" s="684"/>
      <c r="B21" s="695"/>
      <c r="C21" s="251"/>
      <c r="D21" s="1357"/>
      <c r="E21" s="1358"/>
      <c r="F21" s="480" t="str">
        <f>IF('Calc (ex-animal)'!$F$9=1,"",IF($C$20=0,"",IF(D21="","",E21/'Calc (ex-animal)'!$E$10*100)))</f>
        <v/>
      </c>
      <c r="G21" s="485" t="str">
        <f>IF($C$20=0,"",IF('Calc (ex-animal)'!$F$8=1,"",IF(D21="","",SUM(H21:O21))))</f>
        <v/>
      </c>
      <c r="H21" s="423" t="str">
        <f>IF('Calc (ex-animal)'!$F$8=1,"",IF(D21="","",(((VLOOKUP($C$20,'Calc (ex-animal)'!$D$8:$Y$12,6,FALSE)-VLOOKUP($C$20,'Calc (ex-animal)'!$D$8:$Y$12,17,FALSE))*F21/100))*VLOOKUP($C$20,'Calc (ex-animal)'!$D$8:$Y$12,7,FALSE)/100*(1-VLOOKUP(D21,'DB technologies'!$N$11:$Y$25,9,FALSE)/100)))</f>
        <v/>
      </c>
      <c r="I21" s="423" t="str">
        <f>IF(D21="","",((VLOOKUP(D21,'DB technologies'!$N$11:$Y$25,2,FALSE)*VLOOKUP($C$20,'DB animal categories'!$C$10:$AC$21,27,FALSE)*E21/1000)/365*(VLOOKUP($C$20,'DB animal categories'!$C$10:$AC$21,27,FALSE)-VLOOKUP($C$20,'DB animal categories'!$C$10:$AC$21,25,FALSE)*VLOOKUP($C$20,'DB animal categories'!$C$10:$AC$21,26,FALSE)/24))*'DB additional information '!$S$6/100*(1-VLOOKUP(D21,'DB technologies'!$N$11:$Y$25,9,FALSE)/100))</f>
        <v/>
      </c>
      <c r="J21" s="434" t="str">
        <f>IF(D21="","",((VLOOKUP(D21,'DB technologies'!$N$11:$Y$25,3,FALSE)*VLOOKUP($C$20,'DB animal categories'!$C$10:$AC$21,27,FALSE)*E21/1000)/365*(VLOOKUP($C$20,'DB animal categories'!$C$10:$AC$21,27,FALSE)-VLOOKUP($C$20,'DB animal categories'!$C$10:$AC$21,25,FALSE)*VLOOKUP($C$20,'DB animal categories'!$C$10:$AC$21,26,FALSE)/24))*'DB additional information '!$S$7/100*(1-VLOOKUP(D21,'DB technologies'!$N$11:$Y$25,9,FALSE)/100))</f>
        <v/>
      </c>
      <c r="K21" s="434" t="str">
        <f>IF(D21="","",((VLOOKUP(D21,'DB technologies'!$N$11:$Y$25,4,FALSE)*E21*'DB additional information '!$S$8/100*(1-VLOOKUP(D21,'DB technologies'!$N$11:$Y$25,9,FALSE)/100))/365*(VLOOKUP($C$20,'DB animal categories'!$C$10:$AC$21,27,FALSE)-VLOOKUP($C$20,'DB animal categories'!$C$10:$AC$21,25,FALSE)*VLOOKUP($C$20,'DB animal categories'!$C$10:$AC$21,26,FALSE)/24)))</f>
        <v/>
      </c>
      <c r="L21" s="423" t="str">
        <f>IF('Calc (ex-animal)'!$F$8=1,"",IF(D21="","",(((VLOOKUP($C$20,'Calc (ex-animal)'!$D$8:$Y$12,6,FALSE)-VLOOKUP($C$20,'Calc (ex-animal)'!$D$8:$Y$12,17,FALSE))*F21/100))*(1-VLOOKUP($C$20,'Calc (ex-animal)'!$D$8:$Y$12,7,FALSE)/100)*(1-VLOOKUP(D21,'DB technologies'!$N$11:$V$25,8,FALSE)/100)))</f>
        <v/>
      </c>
      <c r="M21" s="434" t="str">
        <f>IF(D21="","",((VLOOKUP(D21,'DB technologies'!$N$11:$Y$25,2,FALSE)*VLOOKUP($C$20,'DB animal categories'!$C$10:$AC$21,27,FALSE)*E21/1000)/365*(VLOOKUP($C$20,'DB animal categories'!$C$10:$AC$21,27,FALSE)-VLOOKUP($C$20,'DB animal categories'!$C$10:$AC$21,25,FALSE)*VLOOKUP($C$20,'DB animal categories'!$C$10:$AC$21,26,FALSE)/24))*(1-'DB additional information '!$S$6/100)*(1-VLOOKUP(D21,'DB technologies'!$N$11:$Y$25,9,FALSE)/100))</f>
        <v/>
      </c>
      <c r="N21" s="434" t="str">
        <f>IF(D21="","",((VLOOKUP(D21,'DB technologies'!$N$11:$Y$25,3,FALSE)*VLOOKUP($C$20,'DB animal categories'!$C$10:$AC$21,27,FALSE)*E21/1000)/365*(VLOOKUP($C$20,'DB animal categories'!$C$10:$AC$21,27,FALSE)-VLOOKUP($C$20,'DB animal categories'!$C$10:$AC$21,25,FALSE)*VLOOKUP($C$20,'DB animal categories'!$C$10:$AC$21,26,FALSE)/24))*(1-'DB additional information '!$S$7/100)*(1-VLOOKUP(D21,'DB technologies'!$N$11:$Y$25,9,FALSE)/100))</f>
        <v/>
      </c>
      <c r="O21" s="423" t="str">
        <f>IF(D21="","",((VLOOKUP(D21,'DB technologies'!$N$11:$Y$25,4,FALSE)*E21*(1-'DB additional information '!$S$8/100)*(1-VLOOKUP(D21,'DB technologies'!$N$11:$Y$25,8,FALSE)/100))/365*(VLOOKUP($C$20,'DB animal categories'!$C$10:$AC$21,27,FALSE)-VLOOKUP($C$20,'DB animal categories'!$C$10:$AC$21,25,FALSE)*VLOOKUP($C$20,'DB animal categories'!$C$10:$AC$21,26,FALSE)/24)))</f>
        <v/>
      </c>
      <c r="P21" s="631" t="str">
        <f>IF(G21=0,0,IF(E21="","",IF(F21="","",IF($C$20=0,"",IF(D21="","",SUM(H21:K21)/G21*100)))))</f>
        <v/>
      </c>
      <c r="Q21" s="416" t="str">
        <f>IF(D21="","",(VLOOKUP(D21,'DB technologies'!$N$11:$Y$25,2,FALSE)*'DB additional information '!$S$6/100*'DB additional information '!$T$6*VLOOKUP($C$20,'DB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R21" s="416" t="str">
        <f>IF(D21="","",(VLOOKUP(D21,'DB technologies'!$N$11:$Y$25,3,FALSE)*'DB additional information '!$S$7/100*'DB additional information '!$T$7*VLOOKUP($C$20,'DB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S21" s="491" t="str">
        <f>IF(D21="","",(VLOOKUP(D21,'DB technologies'!$N$11:$Y$25,4,FALSE)*('DB additional information '!$S$8/100*'DB additional information '!$T$8*E21/1000/1000)))</f>
        <v/>
      </c>
      <c r="T21" s="261" t="str">
        <f>IF($C$20=0,"",IF('Calc (ex-animal)'!$F$9=1,"",IF(D21="","",((VLOOKUP($C$20,'Calc (ex-animal)'!$D$8:$Y$12,10,FALSE)-VLOOKUP($C$20,'Calc (ex-animal)'!$D$8:$Y$12,18,FALSE))*F21/100+Q21+R21+S21)-AC21-AD21-AE21)))</f>
        <v/>
      </c>
      <c r="U21" s="422" t="str">
        <f>IF(D21="","",(VLOOKUP(D21,'DB technologies'!$N$11:$Y$25,2,FALSE)*'DB additional information '!$S$6/100*'DB additional information '!$U$6*VLOOKUP($C$20,'DB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V21" s="418" t="str">
        <f>IF(D21="","",(VLOOKUP(D21,'DB technologies'!$N$11:$Y$25,3,FALSE)*'DB additional information '!$S$7/100*'DB additional information '!$U$7*VLOOKUP($C$20,'DB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W21" s="417" t="str">
        <f>IF(D21="","",(VLOOKUP(D21,'DB technologies'!$N$11:$Y$25,4,FALSE)*('DB additional information '!$S$8/100*'DB additional information '!$U$8*E21/1000/1000)))</f>
        <v/>
      </c>
      <c r="X21" s="261" t="str">
        <f>IF($C$20=0,"",IF('Calc (ex-animal)'!$F$9=1,"",IF(D21="","",((VLOOKUP($C$20,'Calc (ex-animal)'!$D$8:$Y$12,13,FALSE)-VLOOKUP($C$20,'Calc (ex-animal)'!$D$8:$Y$12,19,FALSE))*F21/100+U21+V21+W21))))</f>
        <v/>
      </c>
      <c r="Y21" s="418" t="str">
        <f>IF(D21="","",(VLOOKUP(D21,'DB technologies'!$N$11:$Y$25,2,FALSE)*'DB additional information '!$S$6/100*'DB additional information '!$V$6*VLOOKUP($C$20,'DB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Z21" s="418" t="str">
        <f>IF(D21="","",(VLOOKUP(D21,'DB technologies'!$N$11:$Y$25,3,FALSE)*'DB additional information '!$S$7/100*'DB additional information '!$V$7*VLOOKUP($C$20,'DB animal categories'!$C$10:$AC$21,27,FALSE)*E21/1000/1000)/365*(VLOOKUP($C$20,'DB animal categories'!$C$10:$AC$21,27,FALSE)-VLOOKUP($C$20,'DB animal categories'!$C$10:$AC$21,25,FALSE)*VLOOKUP($C$20,'DB animal categories'!$C$10:$AC$21,26,FALSE)/24))</f>
        <v/>
      </c>
      <c r="AA21" s="418" t="str">
        <f>IF(D21="","",(VLOOKUP(D21,'DB technologies'!$N$11:$Y$25,4,FALSE)*('DB additional information '!$S$8/100*'DB additional information '!$V$8*E21/1000/1000)))</f>
        <v/>
      </c>
      <c r="AB21" s="261" t="str">
        <f>IF($C$20=0,"",IF('Calc (ex-animal)'!$F$8=1,"",IF(D21="","",((VLOOKUP($C$20,'Calc (ex-animal)'!$D$8:$Y$12,16,FALSE)-VLOOKUP($C$20,'Calc (ex-animal)'!$D$8:$Y$12,20,FALSE))*F21/100+Y21+Z21+AA21))))</f>
        <v/>
      </c>
      <c r="AC21" s="261" t="str">
        <f>IF($C$20=0,"",IF('Calc (ex-animal)'!$F$8=1,"",IF(D21="","",VLOOKUP($C$20,'Calc (ex-animal)'!$D$8:$Y$12,9,FALSE)/365*(VLOOKUP($C$20,'DB animal categories'!$C$10:$AC$21,27,FALSE)-VLOOKUP($C$20,'DB animal categories'!$C$10:$AC$21,25,FALSE)*VLOOKUP($C$20,'DB animal categories'!$C$10:$AC$21,26,FALSE)/24)*F21/100*VLOOKUP(D21,'DB technologies'!$N$11:$R$25,5,FALSE)/100)))</f>
        <v/>
      </c>
      <c r="AD21" s="261" t="str">
        <f>IF($C$20=0,"",IF('Calc (ex-animal)'!$F$8=1,"",IF(D21="","",VLOOKUP($C$20,'Calc (ex-animal)'!$D$8:$Y$12,10,FALSE)/365*(VLOOKUP($C$20,'DB animal categories'!$C$10:$AC$21,27,FALSE)-VLOOKUP($C$20,'DB animal categories'!$C$10:$AC$21,25,FALSE)*VLOOKUP($C$20,'DB animal categories'!$C$10:$AC$21,26,FALSE)/24)*F21/100*VLOOKUP(D21,'DB technologies'!$N$11:$Y$25,6,FALSE)/100)))</f>
        <v/>
      </c>
      <c r="AE21" s="262" t="str">
        <f>IF($C$20=0,"",IF('Calc (ex-animal)'!$F$8=1,"",IF(D21="","",VLOOKUP($C$20,'Calc (ex-animal)'!$D$8:$Y$12,10,FALSE)/365*(VLOOKUP($C$20,'DB animal categories'!$C$10:$AC$21,27,FALSE)-VLOOKUP($C$20,'DB animal categories'!$C$10:$AC$21,25,FALSE)*VLOOKUP($C$20,'DB animal categories'!$C$10:$AC$21,26,FALSE)/24)*F21/100*VLOOKUP(D21,'DB technologies'!$N$11:$Y$25,7,FALSE)/100)))</f>
        <v/>
      </c>
      <c r="AG21" s="695"/>
      <c r="AH21" s="695"/>
      <c r="AI21" s="186" t="str">
        <f>IF(D21="","",VLOOKUP(D21,'DB technologies'!$N$11:$Y$25,10,FALSE))</f>
        <v/>
      </c>
      <c r="AJ21" s="449" t="e">
        <f>VLOOKUP($C$20,'DB animal categories'!$C$10:$AN$21,27,FALSE)-VLOOKUP($C$20,'DB animal categories'!$C$10:$AN$21,26,FALSE)*VLOOKUP($C$20,'DB animal categories'!$C$10:$AN$21,25,FALSE)/24</f>
        <v>#N/A</v>
      </c>
      <c r="AK21" s="442" t="str">
        <f>IF(AI21="","",AL21+AM21)</f>
        <v/>
      </c>
      <c r="AL21" s="442" t="str">
        <f>IF(D21="","",IF(AI21=2,(('Calc (ex-animal)'!$G$10*'DB additional information '!$K$4/100*(1-VLOOKUP(D21,'DB technologies'!$N$11:$Y$25,9,FALSE)/100)*'Calc (ex-housing, ex-storage)'!F21/100+'Calc (ex-animal)'!$H$10*'DB additional information '!$L$4/100*(1-VLOOKUP(D21,'DB technologies'!$N$11:$Y$25,9,FALSE)/100)*'Calc (ex-housing, ex-storage)'!F21/100))/365*AJ21+I21+J21+K21,IF(AI21=1,('Calc (ex-animal)'!$H$10*'DB additional information '!$L$4/100*(1-VLOOKUP(D21,'DB technologies'!$N$11:$Y$25,9,FALSE)/100)*'Calc (ex-housing, ex-storage)'!F21/100)/365*AJ21,IF(AI21=4,('Calc (ex-animal)'!$G$10*'DB additional information '!$K$4/100+'Calc (ex-animal)'!$H$10*'DB additional information '!$L$4/100)*(1-VLOOKUP(D21,'DB technologies'!$N$11:$Y$25,9,FALSE)/100)*'Calc (ex-housing, ex-storage)'!F21/100*VLOOKUP(D21,'DB technologies'!$N$11:$Y$25,11,FALSE)/100/365*AJ21,0))))</f>
        <v/>
      </c>
      <c r="AM21" s="442" t="str">
        <f>IF(D21="","",IF(AI21=2,(('Calc (ex-animal)'!$G$10*(1-'DB additional information '!$K$4/100)*(1-VLOOKUP(D21,'DB technologies'!$N$11:$Y$25,8,FALSE)/100)*'Calc (ex-housing, ex-storage)'!F21/100+'Calc (ex-animal)'!$H$10*(1-'DB additional information '!$L$4/100)*(1-VLOOKUP(D21,'DB technologies'!$N$11:$Y$25,8,FALSE)/100)*'Calc (ex-housing, ex-storage)'!F21/100))/365*AJ21+M21+N21+O21,IF(AI21=1,('Calc (ex-animal)'!$H$10*(1-'DB additional information '!$L$4/100)*(1-VLOOKUP(D21,'DB technologies'!$N$11:$Y$25,8,FALSE)/100)*'Calc (ex-housing, ex-storage)'!F21/100)/365*AJ21,IF(AI21=4,('Calc (ex-animal)'!$G$10*(1-'DB additional information '!$K$4/100)+'Calc (ex-animal)'!$H$10*(1-'DB additional information '!$L$4/100))*(1-VLOOKUP(D21,'DB technologies'!$N$11:$Y$25,8,FALSE)/100)*'Calc (ex-housing, ex-storage)'!F21/100*VLOOKUP(D21,'DB technologies'!$N$11:$Y$25,11,FALSE)/100/365*AJ21,0))))</f>
        <v/>
      </c>
      <c r="AN21" s="442" t="str">
        <f>IF(AI21="","",IF(AL21=0,0,AL21/AK21*100))</f>
        <v/>
      </c>
      <c r="AO21" s="182" t="str">
        <f>IF(D21="","",IF(AI21=2,(('Calc (ex-animal)'!$L$10*'Calc (ex-housing, ex-storage)'!F21/100+'Calc (ex-animal)'!$K$10*'Calc (ex-housing, ex-storage)'!F21/100))/365*AJ21+Q21+R21+S21-AC21,IF(AI21=1,('Calc (ex-animal)'!$L$10*'Calc (ex-housing, ex-storage)'!F21/100)/365*AJ21-'Calc (ex-housing, ex-storage)'!AC21,IF(AI21=4,('Calc (ex-animal)'!$L$10+'Calc (ex-animal)'!$K$10)*'Calc (ex-housing, ex-storage)'!F21/100*VLOOKUP(D21,'DB technologies'!$N$11:$Y$25,11,FALSE)/100/365*AJ21-AC21*VLOOKUP(D21,'DB technologies'!$N$11:$Y$25,11,FALSE)/100,0))))</f>
        <v/>
      </c>
      <c r="AP21" s="182" t="str">
        <f>IF(D21="","",IF(AO21&lt;-0.01,0,IF(AI21=2,(('Calc (ex-animal)'!$L$10*'Calc (ex-housing, ex-storage)'!F21/100+'Calc (ex-animal)'!$K$10*'Calc (ex-housing, ex-storage)'!F21/100))/365*AJ21+Q21+R21+S21-AC21,IF(AI21=1,('Calc (ex-animal)'!$L$10*'Calc (ex-housing, ex-storage)'!F21/100)/365*AJ21-'Calc (ex-housing, ex-storage)'!AC21,IF(AI21=4,('Calc (ex-animal)'!$L$10+'Calc (ex-animal)'!$K$10)*'Calc (ex-housing, ex-storage)'!F21/100*VLOOKUP(D21,'DB technologies'!$N$11:$Y$25,11,FALSE)/100/365*AJ21-AC21*VLOOKUP(D21,'DB technologies'!$N$11:$Y$25,11,FALSE)/100,0)))))</f>
        <v/>
      </c>
      <c r="AQ21" s="182" t="str">
        <f>IF(D21="","",IF(AI21=2,('Calc (ex-animal)'!$O$10*'Calc (ex-housing, ex-storage)'!F21/100+'Calc (ex-animal)'!$N$10*'Calc (ex-housing, ex-storage)'!F21/100)/365*AJ21+U21+V21+W21,IF(AI21=1,'Calc (ex-animal)'!$O$10*'Calc (ex-housing, ex-storage)'!F21/100/365*AJ21,IF(AI21=4,('Calc (ex-animal)'!$O$10+'Calc (ex-animal)'!$N$10)*'Calc (ex-housing, ex-storage)'!F21/100*VLOOKUP(D21,'DB technologies'!$N$11:$Y$25,11,FALSE)/100/365*AJ21,0))))</f>
        <v/>
      </c>
      <c r="AR21" s="182" t="str">
        <f>IF(D21="","",IF(AI21=2,('Calc (ex-animal)'!$R$10*'Calc (ex-housing, ex-storage)'!F21/100+'Calc (ex-animal)'!$Q$10*'Calc (ex-housing, ex-storage)'!F21/100)/365*AJ21+Y21+Z21+AA21,IF(AI21=1,'Calc (ex-animal)'!$R$10*'Calc (ex-housing, ex-storage)'!F21/100/365*AJ21,IF(AI21=4,('Calc (ex-animal)'!$R$10+'Calc (ex-animal)'!$Q$10)*'Calc (ex-housing, ex-storage)'!F21/100*VLOOKUP(D21,'DB technologies'!$N$11:$Y$25,11,FALSE)/100/365*AJ21,0))))</f>
        <v/>
      </c>
      <c r="AS21" s="181" t="str">
        <f>IF(D21="","",VLOOKUP(D21,'DB technologies'!$N$11:$Y$25,10,FALSE))</f>
        <v/>
      </c>
      <c r="AT21" s="442" t="str">
        <f t="shared" si="1"/>
        <v/>
      </c>
      <c r="AU21" s="442" t="str">
        <f>IF(D21="","",IF(AS21=2,0,IF(AS21=1,'Calc (ex-animal)'!$G$10*'DB additional information '!$K$4/100*(1-VLOOKUP(D21,'DB technologies'!$N$11:$Y$25,8,FALSE)/100)*'Calc (ex-housing, ex-storage)'!F21/100/365*AJ21+I21+J21+K21,IF(AS21=5,(('Calc (ex-animal)'!$G$10*'DB additional information '!$K$4/100+'Calc (ex-animal)'!$H$10*'DB additional information '!$L$4/100))*(1-VLOOKUP(D21,'DB technologies'!$N$11:$Y$25,9,FALSE)/100)*'Calc (ex-housing, ex-storage)'!F21/100/365*AJ21+I21+J21+K21,IF(AS21=3,('Calc (ex-animal)'!$G$10*'DB additional information '!$K$4/100+'Calc (ex-animal)'!$H$10*'DB additional information '!$L$4/100)*(1-VLOOKUP(D21,'DB technologies'!$N$11:$Y$25,9,FALSE)/100)*'Calc (ex-housing, ex-storage)'!F21/100/365*AJ21+I21+J21+K21,IF(AS21=4,('Calc (ex-animal)'!$G$10*'DB additional information '!$K$4/100+'Calc (ex-animal)'!$H$10*'DB additional information '!$L$4/100)*(1-VLOOKUP(D21,'DB technologies'!$N$11:$Y$25,9,FALSE)/100)*'Calc (ex-housing, ex-storage)'!F21/100*VLOOKUP(D21,'DB technologies'!$N$11:$Y$25,12,FALSE)/100/365*AJ21+I21+J21+K21,0))))))</f>
        <v/>
      </c>
      <c r="AV21" s="442" t="str">
        <f>IF(D21="","",IF(AS21=2,0,IF(AS21=1,'Calc (ex-animal)'!$G$10*(1-'DB additional information '!$K$4/100)*(1-VLOOKUP(D21,'DB technologies'!$N$11:$Y$25,8,FALSE)/100)*'Calc (ex-housing, ex-storage)'!F21/100/365*AJ21+M21+N21+O21,IF(AS21=5,('Calc (ex-animal)'!$G$10*(1-'DB additional information '!$K$4/100)+'Calc (ex-animal)'!$H$10*(1-'DB additional information '!$L$4/100))*(1-VLOOKUP(D21,'DB technologies'!$N$11:$Y$25,8,FALSE)/100)*'Calc (ex-housing, ex-storage)'!F21/100/365*AJ21+M21+N21+O21,IF(AS21=3,('Calc (ex-animal)'!$G$10*(1-'DB additional information '!$K$4/100)+'Calc (ex-animal)'!$H$10*(1-'DB additional information '!$L$4/100))*(1-VLOOKUP(D21,'DB technologies'!$N$11:$Y$25,8,FALSE)/100)*'Calc (ex-housing, ex-storage)'!F21/100/365*AJ21+M21+N21+O21,IF(AS21=4,('Calc (ex-animal)'!$G$10*(1-'DB additional information '!$K$4/100)+'Calc (ex-animal)'!$H$10*(1-'DB additional information '!$L$4/100))*(1-VLOOKUP(D21,'DB technologies'!$N$11:$Y$25,8,FALSE)/100)*'Calc (ex-housing, ex-storage)'!F21/100*VLOOKUP(D21,'DB technologies'!$N$11:$Y$25,12,FALSE)/100/365*AJ21+M21+N21+O21,0))))))</f>
        <v/>
      </c>
      <c r="AW21" s="442" t="str">
        <f>IF(AS21="","",IF(AU21=0,0,AU21/AT21*100))</f>
        <v/>
      </c>
      <c r="AX21" s="182" t="str">
        <f>IF(D21="","",IF(AS21=2,0,IF(AS21=1,'Calc (ex-animal)'!$K$10*'Calc (ex-housing, ex-storage)'!F21/100/365*AJ21+Q21+R21+S21,IF(AS21=5,('Calc (ex-animal)'!$K$10+'Calc (ex-animal)'!$L$10)*'Calc (ex-housing, ex-storage)'!F21/100/365*AJ21+Q21+R21+S21-'Calc (ex-housing, ex-storage)'!AC21,IF(AS21=3,('Calc (ex-animal)'!$K$10+'Calc (ex-animal)'!$L$10)*'Calc (ex-housing, ex-storage)'!F21/100/365*AJ21+Q21+R21+S21-'Calc (ex-housing, ex-storage)'!AC21-AD21-AE21,IF(AI21=4,('Calc (ex-animal)'!$K$10+'Calc (ex-animal)'!$L$10)*'Calc (ex-housing, ex-storage)'!F21/100*VLOOKUP(D21,'DB technologies'!$N$11:$Y$25,12,FALSE)/100/365*AJ21+Q21+R21+S21-(VLOOKUP(D21,'DB technologies'!$N$11:$Y$25,12,FALSE)/100*AC21)-AD21-AE21,0))))))</f>
        <v/>
      </c>
      <c r="AY21" s="182" t="str">
        <f>IF(D21="","",IF(AS21=2,0,IF(AS21=1,'Calc (ex-animal)'!$N$10*'Calc (ex-housing, ex-storage)'!F21/100/365*AJ21+U21+V21+W21,IF(AS21=5,('Calc (ex-animal)'!$N$10+'Calc (ex-animal)'!$O$10)*'Calc (ex-housing, ex-storage)'!F21/100/365*AJ21+U21+V21+W21,IF(AS21=3,('Calc (ex-animal)'!$N$10+'Calc (ex-animal)'!$O$10)*'Calc (ex-housing, ex-storage)'!F21/100/365*AJ21+U21+V21+W21,IF(AS21=4,('Calc (ex-animal)'!$N$10+'Calc (ex-animal)'!$O$10)*'Calc (ex-housing, ex-storage)'!F21/100*VLOOKUP(D21,'DB technologies'!$N$11:$Y$25,12,FALSE)/100/365*AJ21+U21+V21+W21,0))))))</f>
        <v/>
      </c>
      <c r="AZ21" s="182" t="str">
        <f>IF(D21="","",IF(AS21=2,0,IF(AS21=1,'Calc (ex-animal)'!$Q$10*'Calc (ex-housing, ex-storage)'!F21/100/365*AJ21+Y21+Z21+AA21,IF(AS21=5,('Calc (ex-animal)'!$Q$10+'Calc (ex-animal)'!$R$10)*'Calc (ex-housing, ex-storage)'!F21/100/365*AJ21+Y21+Z21+AA21,IF(AS21=3,('Calc (ex-animal)'!$Q$10+'Calc (ex-animal)'!$R$10)*'Calc (ex-housing, ex-storage)'!F21/100/365*AJ21+Y21+Z21+AA21,IF(AS21=4,('Calc (ex-animal)'!$Q$10+'Calc (ex-animal)'!$R$10)*'Calc (ex-housing, ex-storage)'!F21/100*VLOOKUP(D21,'DB technologies'!$N$11:$Y$25,12,FALSE)/100/365*AJ21+Y21+Z21+AA21,0))))))</f>
        <v/>
      </c>
      <c r="BA21" s="506"/>
      <c r="BB21" s="506"/>
      <c r="BC21" s="506"/>
      <c r="BD21" s="98"/>
      <c r="BE21" s="42"/>
      <c r="BF21" s="42"/>
      <c r="BG21" s="1357"/>
      <c r="BH21" s="1361"/>
      <c r="BI21" s="598" t="str">
        <f>IF(BG21="","",$BA$20*BH21/100-($BB$20*BH21/100*VLOOKUP(BG21,'DB technologies'!$AC$21:$AT$25,5,FALSE)/100)+(VLOOKUP(BG21,'DB technologies'!$AC$21:$AT$25,12,FALSE)*$BA$20*BH21/100))</f>
        <v/>
      </c>
      <c r="BJ21" s="551">
        <f>IF(BI21="",0,BI21*BK21/100)</f>
        <v>0</v>
      </c>
      <c r="BK21" s="508" t="str">
        <f>IF(BG21="","",IF($BA$20=0,0,($BB$20*BH21/100)/BI21*(1-(VLOOKUP(BG21,'DB technologies'!$AC$21:$AQ$25,5,FALSE))/100)*100))</f>
        <v/>
      </c>
      <c r="BL21" s="261" t="str">
        <f>IF(BG21="","",$BD$20*BH21/100-BO21-BP21-BQ21-BR21)</f>
        <v/>
      </c>
      <c r="BM21" s="261" t="str">
        <f>IF(BG21="","",$BE$20*BH21/100-BS21)</f>
        <v/>
      </c>
      <c r="BN21" s="261" t="str">
        <f>IF(BG21="","",$BF$20*BH21/100-BT21)</f>
        <v/>
      </c>
      <c r="BO21" s="261" t="str">
        <f>IF(BG21="","",$BD$20*BH21/100*VLOOKUP(BG21,'DB technologies'!$AC$16:$AF$20,2,FALSE)/100)</f>
        <v/>
      </c>
      <c r="BP21" s="261" t="str">
        <f>IF(BG21="","",$BD$20*BH21/100*VLOOKUP(BG21,'DB technologies'!$AC$16:$AN$20,3,FALSE)/100)</f>
        <v/>
      </c>
      <c r="BQ21" s="262" t="str">
        <f>IF(BG21="","",$BD$20*BH21/100*VLOOKUP(BG21,'DB technologies'!$AC$16:$AN$20,4,FALSE)/100)</f>
        <v/>
      </c>
      <c r="BR21" s="264" t="str">
        <f>IF(BG21="","",VLOOKUP(BG21,'DB technologies'!$AC$16:$AQ$20,13,FALSE)/100*$BD$20*BH21/100)</f>
        <v/>
      </c>
      <c r="BS21" s="261" t="str">
        <f>IF(BG21="","",VLOOKUP(BG21,'DB technologies'!$AC$16:$AQ$20,14,FALSE)/100*$BE$20*BH21/100)</f>
        <v/>
      </c>
      <c r="BT21" s="262" t="str">
        <f>IF(BG21="","",VLOOKUP(BG21,'DB technologies'!$AC$16:$AQ$20,15,FALSE)/100*$BF$20*BH21/100)</f>
        <v/>
      </c>
    </row>
    <row r="22" spans="1:74" ht="11.25" customHeight="1" x14ac:dyDescent="0.2">
      <c r="A22" s="684"/>
      <c r="B22" s="695"/>
      <c r="C22" s="253"/>
      <c r="D22" s="1357"/>
      <c r="E22" s="1358"/>
      <c r="F22" s="480" t="str">
        <f>IF('Calc (ex-animal)'!$F$9=1,"",IF($C$20=0,"",IF(D22="","",E22/'Calc (ex-animal)'!$E$10*100)))</f>
        <v/>
      </c>
      <c r="G22" s="485" t="str">
        <f>IF($C$20=0,"",IF('Calc (ex-animal)'!$F$8=1,"",IF(D22="","",SUM(H22:O22))))</f>
        <v/>
      </c>
      <c r="H22" s="423" t="str">
        <f>IF('Calc (ex-animal)'!$F$8=1,"",IF(D22="","",(((VLOOKUP($C$20,'Calc (ex-animal)'!$D$8:$Y$12,6,FALSE)-VLOOKUP($C$20,'Calc (ex-animal)'!$D$8:$Y$12,17,FALSE))*F22/100))*VLOOKUP($C$20,'Calc (ex-animal)'!$D$8:$Y$12,7,FALSE)/100*(1-VLOOKUP(D22,'DB technologies'!$N$11:$Y$25,9,FALSE)/100)))</f>
        <v/>
      </c>
      <c r="I22" s="423" t="str">
        <f>IF(D22="","",((VLOOKUP(D22,'DB technologies'!$N$11:$Y$25,2,FALSE)*VLOOKUP($C$20,'DB animal categories'!$C$10:$AC$21,27,FALSE)*E22/1000)/365*(VLOOKUP($C$20,'DB animal categories'!$C$10:$AC$21,27,FALSE)-VLOOKUP($C$20,'DB animal categories'!$C$10:$AC$21,25,FALSE)*VLOOKUP($C$20,'DB animal categories'!$C$10:$AC$21,26,FALSE)/24))*'DB additional information '!$S$6/100*(1-VLOOKUP(D22,'DB technologies'!$N$11:$Y$25,9,FALSE)/100))</f>
        <v/>
      </c>
      <c r="J22" s="434" t="str">
        <f>IF(D22="","",((VLOOKUP(D22,'DB technologies'!$N$11:$Y$25,3,FALSE)*VLOOKUP($C$20,'DB animal categories'!$C$10:$AC$21,27,FALSE)*E22/1000)/365*(VLOOKUP($C$20,'DB animal categories'!$C$10:$AC$21,27,FALSE)-VLOOKUP($C$20,'DB animal categories'!$C$10:$AC$21,25,FALSE)*VLOOKUP($C$20,'DB animal categories'!$C$10:$AC$21,26,FALSE)/24))*'DB additional information '!$S$7/100*(1-VLOOKUP(D22,'DB technologies'!$N$11:$Y$25,9,FALSE)/100))</f>
        <v/>
      </c>
      <c r="K22" s="434" t="str">
        <f>IF(D22="","",((VLOOKUP(D22,'DB technologies'!$N$11:$Y$25,4,FALSE)*E22*'DB additional information '!$S$8/100*(1-VLOOKUP(D22,'DB technologies'!$N$11:$Y$25,9,FALSE)/100))/365*(VLOOKUP($C$20,'DB animal categories'!$C$10:$AC$21,27,FALSE)-VLOOKUP($C$20,'DB animal categories'!$C$10:$AC$21,25,FALSE)*VLOOKUP($C$20,'DB animal categories'!$C$10:$AC$21,26,FALSE)/24)))</f>
        <v/>
      </c>
      <c r="L22" s="423" t="str">
        <f>IF('Calc (ex-animal)'!$F$8=1,"",IF(D22="","",(((VLOOKUP($C$20,'Calc (ex-animal)'!$D$8:$Y$12,6,FALSE)-VLOOKUP($C$20,'Calc (ex-animal)'!$D$8:$Y$12,17,FALSE))*F22/100))*(1-VLOOKUP($C$20,'Calc (ex-animal)'!$D$8:$Y$12,7,FALSE)/100)*(1-VLOOKUP(D22,'DB technologies'!$N$11:$V$25,8,FALSE)/100)))</f>
        <v/>
      </c>
      <c r="M22" s="434" t="str">
        <f>IF(D22="","",((VLOOKUP(D22,'DB technologies'!$N$11:$Y$25,2,FALSE)*VLOOKUP($C$20,'DB animal categories'!$C$10:$AC$21,27,FALSE)*E22/1000)/365*(VLOOKUP($C$20,'DB animal categories'!$C$10:$AC$21,27,FALSE)-VLOOKUP($C$20,'DB animal categories'!$C$10:$AC$21,25,FALSE)*VLOOKUP($C$20,'DB animal categories'!$C$10:$AC$21,26,FALSE)/24))*(1-'DB additional information '!$S$6/100)*(1-VLOOKUP(D22,'DB technologies'!$N$11:$Y$25,9,FALSE)/100))</f>
        <v/>
      </c>
      <c r="N22" s="434" t="str">
        <f>IF(D22="","",((VLOOKUP(D22,'DB technologies'!$N$11:$Y$25,3,FALSE)*VLOOKUP($C$20,'DB animal categories'!$C$10:$AC$21,27,FALSE)*E22/1000)/365*(VLOOKUP($C$20,'DB animal categories'!$C$10:$AC$21,27,FALSE)-VLOOKUP($C$20,'DB animal categories'!$C$10:$AC$21,25,FALSE)*VLOOKUP($C$20,'DB animal categories'!$C$10:$AC$21,26,FALSE)/24))*(1-'DB additional information '!$S$7/100)*(1-VLOOKUP(D22,'DB technologies'!$N$11:$Y$25,9,FALSE)/100))</f>
        <v/>
      </c>
      <c r="O22" s="423" t="str">
        <f>IF(D22="","",((VLOOKUP(D22,'DB technologies'!$N$11:$Y$25,4,FALSE)*E22*(1-'DB additional information '!$S$8/100)*(1-VLOOKUP(D22,'DB technologies'!$N$11:$Y$25,8,FALSE)/100))/365*(VLOOKUP($C$20,'DB animal categories'!$C$10:$AC$21,27,FALSE)-VLOOKUP($C$20,'DB animal categories'!$C$10:$AC$21,25,FALSE)*VLOOKUP($C$20,'DB animal categories'!$C$10:$AC$21,26,FALSE)/24)))</f>
        <v/>
      </c>
      <c r="P22" s="631" t="str">
        <f>IF(G22=0,0,IF(E22="","",IF(F22="","",IF($C$20=0,"",IF(D22="","",SUM(H22:K22)/G22*100)))))</f>
        <v/>
      </c>
      <c r="Q22" s="416" t="str">
        <f>IF(D22="","",(VLOOKUP(D22,'DB technologies'!$N$11:$Y$25,2,FALSE)*'DB additional information '!$S$6/100*'DB additional information '!$T$6*VLOOKUP($C$20,'DB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R22" s="416" t="str">
        <f>IF(D22="","",(VLOOKUP(D22,'DB technologies'!$N$11:$Y$25,3,FALSE)*'DB additional information '!$S$7/100*'DB additional information '!$T$7*VLOOKUP($C$20,'DB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S22" s="491" t="str">
        <f>IF(D22="","",(VLOOKUP(D22,'DB technologies'!$N$11:$Y$25,4,FALSE)*('DB additional information '!$S$8/100*'DB additional information '!$T$8*E22/1000/1000)))</f>
        <v/>
      </c>
      <c r="T22" s="261" t="str">
        <f>IF($C$20=0,"",IF('Calc (ex-animal)'!$F$9=1,"",IF(D22="","",((VLOOKUP($C$20,'Calc (ex-animal)'!$D$8:$Y$12,10,FALSE)-VLOOKUP($C$20,'Calc (ex-animal)'!$D$8:$Y$12,18,FALSE))*F22/100+Q22+R22+S22)-AC22-AD22-AE22)))</f>
        <v/>
      </c>
      <c r="U22" s="422" t="str">
        <f>IF(D22="","",(VLOOKUP(D22,'DB technologies'!$N$11:$Y$25,2,FALSE)*'DB additional information '!$S$6/100*'DB additional information '!$U$6*VLOOKUP($C$20,'DB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V22" s="418" t="str">
        <f>IF(D22="","",(VLOOKUP(D22,'DB technologies'!$N$11:$Y$25,3,FALSE)*'DB additional information '!$S$7/100*'DB additional information '!$U$7*VLOOKUP($C$20,'DB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W22" s="417" t="str">
        <f>IF(D22="","",(VLOOKUP(D22,'DB technologies'!$N$11:$Y$25,4,FALSE)*('DB additional information '!$S$8/100*'DB additional information '!$U$8*E22/1000/1000)))</f>
        <v/>
      </c>
      <c r="X22" s="261" t="str">
        <f>IF($C$20=0,"",IF('Calc (ex-animal)'!$F$9=1,"",IF(D22="","",((VLOOKUP($C$20,'Calc (ex-animal)'!$D$8:$Y$12,13,FALSE)-VLOOKUP($C$20,'Calc (ex-animal)'!$D$8:$Y$12,19,FALSE))*F22/100+U22+V22+W22))))</f>
        <v/>
      </c>
      <c r="Y22" s="418" t="str">
        <f>IF(D22="","",(VLOOKUP(D22,'DB technologies'!$N$11:$Y$25,2,FALSE)*'DB additional information '!$S$6/100*'DB additional information '!$V$6*VLOOKUP($C$20,'DB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Z22" s="418" t="str">
        <f>IF(D22="","",(VLOOKUP(D22,'DB technologies'!$N$11:$Y$25,3,FALSE)*'DB additional information '!$S$7/100*'DB additional information '!$V$7*VLOOKUP($C$20,'DB animal categories'!$C$10:$AC$21,27,FALSE)*E22/1000/1000)/365*(VLOOKUP($C$20,'DB animal categories'!$C$10:$AC$21,27,FALSE)-VLOOKUP($C$20,'DB animal categories'!$C$10:$AC$21,25,FALSE)*VLOOKUP($C$20,'DB animal categories'!$C$10:$AC$21,26,FALSE)/24))</f>
        <v/>
      </c>
      <c r="AA22" s="418" t="str">
        <f>IF(D22="","",(VLOOKUP(D22,'DB technologies'!$N$11:$Y$25,4,FALSE)*('DB additional information '!$S$8/100*'DB additional information '!$V$8*E22/1000/1000)))</f>
        <v/>
      </c>
      <c r="AB22" s="261" t="str">
        <f>IF($C$20=0,"",IF('Calc (ex-animal)'!$F$8=1,"",IF(D22="","",((VLOOKUP($C$20,'Calc (ex-animal)'!$D$8:$Y$12,16,FALSE)-VLOOKUP($C$20,'Calc (ex-animal)'!$D$8:$Y$12,20,FALSE))*F22/100+Y22+Z22+AA22))))</f>
        <v/>
      </c>
      <c r="AC22" s="261" t="str">
        <f>IF($C$20=0,"",IF('Calc (ex-animal)'!$F$8=1,"",IF(D22="","",VLOOKUP($C$20,'Calc (ex-animal)'!$D$8:$Y$12,9,FALSE)/365*(VLOOKUP($C$20,'DB animal categories'!$C$10:$AC$21,27,FALSE)-VLOOKUP($C$20,'DB animal categories'!$C$10:$AC$21,25,FALSE)*VLOOKUP($C$20,'DB animal categories'!$C$10:$AC$21,26,FALSE)/24)*F22/100*VLOOKUP(D22,'DB technologies'!$N$11:$R$25,5,FALSE)/100)))</f>
        <v/>
      </c>
      <c r="AD22" s="261" t="str">
        <f>IF($C$20=0,"",IF('Calc (ex-animal)'!$F$8=1,"",IF(D22="","",VLOOKUP($C$20,'Calc (ex-animal)'!$D$8:$Y$12,10,FALSE)/365*(VLOOKUP($C$20,'DB animal categories'!$C$10:$AC$21,27,FALSE)-VLOOKUP($C$20,'DB animal categories'!$C$10:$AC$21,25,FALSE)*VLOOKUP($C$20,'DB animal categories'!$C$10:$AC$21,26,FALSE)/24)*F22/100*VLOOKUP(D22,'DB technologies'!$N$11:$Y$25,6,FALSE)/100)))</f>
        <v/>
      </c>
      <c r="AE22" s="262" t="str">
        <f>IF($C$20=0,"",IF('Calc (ex-animal)'!$F$8=1,"",IF(D22="","",VLOOKUP($C$20,'Calc (ex-animal)'!$D$8:$Y$12,10,FALSE)/365*(VLOOKUP($C$20,'DB animal categories'!$C$10:$AC$21,27,FALSE)-VLOOKUP($C$20,'DB animal categories'!$C$10:$AC$21,25,FALSE)*VLOOKUP($C$20,'DB animal categories'!$C$10:$AC$21,26,FALSE)/24)*F22/100*VLOOKUP(D22,'DB technologies'!$N$11:$Y$25,7,FALSE)/100)))</f>
        <v/>
      </c>
      <c r="AG22" s="695"/>
      <c r="AH22" s="695"/>
      <c r="AI22" s="186" t="str">
        <f>IF(D22="","",VLOOKUP(D22,'DB technologies'!$N$11:$Y$25,10,FALSE))</f>
        <v/>
      </c>
      <c r="AJ22" s="449" t="e">
        <f>VLOOKUP($C$20,'DB animal categories'!$C$10:$AN$21,27,FALSE)-VLOOKUP($C$20,'DB animal categories'!$C$10:$AN$21,26,FALSE)*VLOOKUP($C$20,'DB animal categories'!$C$10:$AN$21,25,FALSE)/24</f>
        <v>#N/A</v>
      </c>
      <c r="AK22" s="442" t="str">
        <f>IF(AI22="","",AL22+AM22)</f>
        <v/>
      </c>
      <c r="AL22" s="442" t="str">
        <f>IF(D22="","",IF(AI22=2,(('Calc (ex-animal)'!$G$10*'DB additional information '!$K$4/100*(1-VLOOKUP(D22,'DB technologies'!$N$11:$Y$25,9,FALSE)/100)*'Calc (ex-housing, ex-storage)'!F22/100+'Calc (ex-animal)'!$H$10*'DB additional information '!$L$4/100*(1-VLOOKUP(D22,'DB technologies'!$N$11:$Y$25,9,FALSE)/100)*'Calc (ex-housing, ex-storage)'!F22/100))/365*AJ22+I22+J22+K22,IF(AI22=1,('Calc (ex-animal)'!$H$10*'DB additional information '!$L$4/100*(1-VLOOKUP(D22,'DB technologies'!$N$11:$Y$25,9,FALSE)/100)*'Calc (ex-housing, ex-storage)'!F22/100)/365*AJ22,IF(AI22=4,('Calc (ex-animal)'!$G$10*'DB additional information '!$K$4/100+'Calc (ex-animal)'!$H$10*'DB additional information '!$L$4/100)*(1-VLOOKUP(D22,'DB technologies'!$N$11:$Y$25,9,FALSE)/100)*'Calc (ex-housing, ex-storage)'!F22/100*VLOOKUP(D22,'DB technologies'!$N$11:$Y$25,11,FALSE)/100/365*AJ22,0))))</f>
        <v/>
      </c>
      <c r="AM22" s="442" t="str">
        <f>IF(D22="","",IF(AI22=2,(('Calc (ex-animal)'!$G$10*(1-'DB additional information '!$K$4/100)*(1-VLOOKUP(D22,'DB technologies'!$N$11:$Y$25,8,FALSE)/100)*'Calc (ex-housing, ex-storage)'!F22/100+'Calc (ex-animal)'!$H$10*(1-'DB additional information '!$L$4/100)*(1-VLOOKUP(D22,'DB technologies'!$N$11:$Y$25,8,FALSE)/100)*'Calc (ex-housing, ex-storage)'!F22/100))/365*AJ22+M22+N22+O22,IF(AI22=1,('Calc (ex-animal)'!$H$10*(1-'DB additional information '!$L$4/100)*(1-VLOOKUP(D22,'DB technologies'!$N$11:$Y$25,8,FALSE)/100)*'Calc (ex-housing, ex-storage)'!F22/100)/365*AJ22,IF(AI22=4,('Calc (ex-animal)'!$G$10*(1-'DB additional information '!$K$4/100)+'Calc (ex-animal)'!$H$10*(1-'DB additional information '!$L$4/100))*(1-VLOOKUP(D22,'DB technologies'!$N$11:$Y$25,8,FALSE)/100)*'Calc (ex-housing, ex-storage)'!F22/100*VLOOKUP(D22,'DB technologies'!$N$11:$Y$25,11,FALSE)/100/365*AJ22,0))))</f>
        <v/>
      </c>
      <c r="AN22" s="442" t="str">
        <f>IF(AI22="","",IF(AL22=0,0,AL22/AK22*100))</f>
        <v/>
      </c>
      <c r="AO22" s="182" t="str">
        <f>IF(D22="","",IF(AI22=2,(('Calc (ex-animal)'!$L$10*'Calc (ex-housing, ex-storage)'!F22/100+'Calc (ex-animal)'!$K$10*'Calc (ex-housing, ex-storage)'!F22/100))/365*AJ22+Q22+R22+S22-AC22,IF(AI22=1,('Calc (ex-animal)'!$L$10*'Calc (ex-housing, ex-storage)'!F22/100)/365*AJ22-'Calc (ex-housing, ex-storage)'!AC22,IF(AI22=4,('Calc (ex-animal)'!$L$10+'Calc (ex-animal)'!$K$10)*'Calc (ex-housing, ex-storage)'!F22/100*VLOOKUP(D22,'DB technologies'!$N$11:$Y$25,11,FALSE)/100/365*AJ22-AC22*VLOOKUP(D22,'DB technologies'!$N$11:$Y$25,11,FALSE)/100,0))))</f>
        <v/>
      </c>
      <c r="AP22" s="182" t="str">
        <f>IF(D22="","",IF(AO22&lt;-0.01,0,IF(AI22=2,(('Calc (ex-animal)'!$L$10*'Calc (ex-housing, ex-storage)'!F22/100+'Calc (ex-animal)'!$K$10*'Calc (ex-housing, ex-storage)'!F22/100))/365*AJ22+Q22+R22+S22-AC22,IF(AI22=1,('Calc (ex-animal)'!$L$10*'Calc (ex-housing, ex-storage)'!F22/100)/365*AJ22-'Calc (ex-housing, ex-storage)'!AC22,IF(AI22=4,('Calc (ex-animal)'!$L$10+'Calc (ex-animal)'!$K$10)*'Calc (ex-housing, ex-storage)'!F22/100*VLOOKUP(D22,'DB technologies'!$N$11:$Y$25,11,FALSE)/100/365*AJ22-AC22*VLOOKUP(D22,'DB technologies'!$N$11:$Y$25,11,FALSE)/100,0)))))</f>
        <v/>
      </c>
      <c r="AQ22" s="182" t="str">
        <f>IF(D22="","",IF(AI22=2,('Calc (ex-animal)'!$O$10*'Calc (ex-housing, ex-storage)'!F22/100+'Calc (ex-animal)'!$N$10*'Calc (ex-housing, ex-storage)'!F22/100)/365*AJ22+U22+V22+W22,IF(AI22=1,'Calc (ex-animal)'!$O$10*'Calc (ex-housing, ex-storage)'!F22/100/365*AJ22,IF(AI22=4,('Calc (ex-animal)'!$O$10+'Calc (ex-animal)'!$N$10)*'Calc (ex-housing, ex-storage)'!F22/100*VLOOKUP(D22,'DB technologies'!$N$11:$Y$25,11,FALSE)/100/365*AJ22,0))))</f>
        <v/>
      </c>
      <c r="AR22" s="182" t="str">
        <f>IF(D22="","",IF(AI22=2,('Calc (ex-animal)'!$R$10*'Calc (ex-housing, ex-storage)'!F22/100+'Calc (ex-animal)'!$Q$10*'Calc (ex-housing, ex-storage)'!F22/100)/365*AJ22+Y22+Z22+AA22,IF(AI22=1,'Calc (ex-animal)'!$R$10*'Calc (ex-housing, ex-storage)'!F22/100/365*AJ22,IF(AI22=4,('Calc (ex-animal)'!$R$10+'Calc (ex-animal)'!$Q$10)*'Calc (ex-housing, ex-storage)'!F22/100*VLOOKUP(D22,'DB technologies'!$N$11:$Y$25,11,FALSE)/100/365*AJ22,0))))</f>
        <v/>
      </c>
      <c r="AS22" s="181" t="str">
        <f>IF(D22="","",VLOOKUP(D22,'DB technologies'!$N$11:$Y$25,10,FALSE))</f>
        <v/>
      </c>
      <c r="AT22" s="442" t="str">
        <f t="shared" si="1"/>
        <v/>
      </c>
      <c r="AU22" s="442" t="str">
        <f>IF(D22="","",IF(AS22=2,0,IF(AS22=1,'Calc (ex-animal)'!$G$10*'DB additional information '!$K$4/100*(1-VLOOKUP(D22,'DB technologies'!$N$11:$Y$25,8,FALSE)/100)*'Calc (ex-housing, ex-storage)'!F22/100/365*AJ22+I22+J22+K22,IF(AS22=5,(('Calc (ex-animal)'!$G$10*'DB additional information '!$K$4/100+'Calc (ex-animal)'!$H$10*'DB additional information '!$L$4/100))*(1-VLOOKUP(D22,'DB technologies'!$N$11:$Y$25,9,FALSE)/100)*'Calc (ex-housing, ex-storage)'!F22/100/365*AJ22+I22+J22+K22,IF(AS22=3,('Calc (ex-animal)'!$G$10*'DB additional information '!$K$4/100+'Calc (ex-animal)'!$H$10*'DB additional information '!$L$4/100)*(1-VLOOKUP(D22,'DB technologies'!$N$11:$Y$25,9,FALSE)/100)*'Calc (ex-housing, ex-storage)'!F22/100/365*AJ22+I22+J22+K22,IF(AS22=4,('Calc (ex-animal)'!$G$10*'DB additional information '!$K$4/100+'Calc (ex-animal)'!$H$10*'DB additional information '!$L$4/100)*(1-VLOOKUP(D22,'DB technologies'!$N$11:$Y$25,9,FALSE)/100)*'Calc (ex-housing, ex-storage)'!F22/100*VLOOKUP(D22,'DB technologies'!$N$11:$Y$25,12,FALSE)/100/365*AJ22+I22+J22+K22,0))))))</f>
        <v/>
      </c>
      <c r="AV22" s="442" t="str">
        <f>IF(D22="","",IF(AS22=2,0,IF(AS22=1,'Calc (ex-animal)'!$G$10*(1-'DB additional information '!$K$4/100)*(1-VLOOKUP(D22,'DB technologies'!$N$11:$Y$25,8,FALSE)/100)*'Calc (ex-housing, ex-storage)'!F22/100/365*AJ22+M22+N22+O22,IF(AS22=5,('Calc (ex-animal)'!$G$10*(1-'DB additional information '!$K$4/100)+'Calc (ex-animal)'!$H$10*(1-'DB additional information '!$L$4/100))*(1-VLOOKUP(D22,'DB technologies'!$N$11:$Y$25,8,FALSE)/100)*'Calc (ex-housing, ex-storage)'!F22/100/365*AJ22+M22+N22+O22,IF(AS22=3,('Calc (ex-animal)'!$G$10*(1-'DB additional information '!$K$4/100)+'Calc (ex-animal)'!$H$10*(1-'DB additional information '!$L$4/100))*(1-VLOOKUP(D22,'DB technologies'!$N$11:$Y$25,8,FALSE)/100)*'Calc (ex-housing, ex-storage)'!F22/100/365*AJ22+M22+N22+O22,IF(AS22=4,('Calc (ex-animal)'!$G$10*(1-'DB additional information '!$K$4/100)+'Calc (ex-animal)'!$H$10*(1-'DB additional information '!$L$4/100))*(1-VLOOKUP(D22,'DB technologies'!$N$11:$Y$25,8,FALSE)/100)*'Calc (ex-housing, ex-storage)'!F22/100*VLOOKUP(D22,'DB technologies'!$N$11:$Y$25,12,FALSE)/100/365*AJ22+M22+N22+O22,0))))))</f>
        <v/>
      </c>
      <c r="AW22" s="442" t="str">
        <f>IF(AS22="","",IF(AU22=0,0,AU22/AT22*100))</f>
        <v/>
      </c>
      <c r="AX22" s="182" t="str">
        <f>IF(D22="","",IF(AS22=2,0,IF(AS22=1,'Calc (ex-animal)'!$K$10*'Calc (ex-housing, ex-storage)'!F22/100/365*AJ22+Q22+R22+S22,IF(AS22=5,('Calc (ex-animal)'!$K$10+'Calc (ex-animal)'!$L$10)*'Calc (ex-housing, ex-storage)'!F22/100/365*AJ22+Q22+R22+S22-'Calc (ex-housing, ex-storage)'!AC22,IF(AS22=3,('Calc (ex-animal)'!$K$10+'Calc (ex-animal)'!$L$10)*'Calc (ex-housing, ex-storage)'!F22/100/365*AJ22+Q22+R22+S22-'Calc (ex-housing, ex-storage)'!AC22-AD22-AE22,IF(AI22=4,('Calc (ex-animal)'!$K$10+'Calc (ex-animal)'!$L$10)*'Calc (ex-housing, ex-storage)'!F22/100*VLOOKUP(D22,'DB technologies'!$N$11:$Y$25,12,FALSE)/100/365*AJ22+Q22+R22+S22-(VLOOKUP(D22,'DB technologies'!$N$11:$Y$25,12,FALSE)/100*AC22)-AD22-AE22,0))))))</f>
        <v/>
      </c>
      <c r="AY22" s="182" t="str">
        <f>IF(D22="","",IF(AS22=2,0,IF(AS22=1,'Calc (ex-animal)'!$N$10*'Calc (ex-housing, ex-storage)'!F22/100/365*AJ22+U22+V22+W22,IF(AS22=5,('Calc (ex-animal)'!$N$10+'Calc (ex-animal)'!$O$10)*'Calc (ex-housing, ex-storage)'!F22/100/365*AJ22+U22+V22+W22,IF(AS22=3,('Calc (ex-animal)'!$N$10+'Calc (ex-animal)'!$O$10)*'Calc (ex-housing, ex-storage)'!F22/100/365*AJ22+U22+V22+W22,IF(AS22=4,('Calc (ex-animal)'!$N$10+'Calc (ex-animal)'!$O$10)*'Calc (ex-housing, ex-storage)'!F22/100*VLOOKUP(D22,'DB technologies'!$N$11:$Y$25,12,FALSE)/100/365*AJ22+U22+V22+W22,0))))))</f>
        <v/>
      </c>
      <c r="AZ22" s="182" t="str">
        <f>IF(D22="","",IF(AS22=2,0,IF(AS22=1,'Calc (ex-animal)'!$Q$10*'Calc (ex-housing, ex-storage)'!F22/100/365*AJ22+Y22+Z22+AA22,IF(AS22=5,('Calc (ex-animal)'!$Q$10+'Calc (ex-animal)'!$R$10)*'Calc (ex-housing, ex-storage)'!F22/100/365*AJ22+Y22+Z22+AA22,IF(AS22=3,('Calc (ex-animal)'!$Q$10+'Calc (ex-animal)'!$R$10)*'Calc (ex-housing, ex-storage)'!F22/100/365*AJ22+Y22+Z22+AA22,IF(AS22=4,('Calc (ex-animal)'!$Q$10+'Calc (ex-animal)'!$R$10)*'Calc (ex-housing, ex-storage)'!F22/100*VLOOKUP(D22,'DB technologies'!$N$11:$Y$25,12,FALSE)/100/365*AJ22+Y22+Z22+AA22,0))))))</f>
        <v/>
      </c>
      <c r="BA22" s="506"/>
      <c r="BB22" s="506"/>
      <c r="BC22" s="506"/>
      <c r="BD22" s="98"/>
      <c r="BE22" s="42"/>
      <c r="BF22" s="42"/>
      <c r="BG22" s="1357"/>
      <c r="BH22" s="1361"/>
      <c r="BI22" s="598" t="str">
        <f>IF(BG22="","",$BA$20*BH22/100-($BB$20*BH22/100*VLOOKUP(BG22,'DB technologies'!$AC$21:$AT$25,5,FALSE)/100)+(VLOOKUP(BG22,'DB technologies'!$AC$21:$AT$25,12,FALSE)*$BA$20*BH22/100))</f>
        <v/>
      </c>
      <c r="BJ22" s="551">
        <f>IF(BI22="",0,BI22*BK22/100)</f>
        <v>0</v>
      </c>
      <c r="BK22" s="508" t="str">
        <f>IF(BG22="","",IF($BA$20=0,0,($BB$20*BH22/100)/BI22*(1-(VLOOKUP(BG22,'DB technologies'!$AC$21:$AQ$25,5,FALSE))/100)*100))</f>
        <v/>
      </c>
      <c r="BL22" s="261" t="str">
        <f>IF(BG22="","",$BD$20*BH22/100-BO22-BP22-BQ22-BR22)</f>
        <v/>
      </c>
      <c r="BM22" s="261" t="str">
        <f>IF(BG22="","",$BE$20*BH22/100-BS22)</f>
        <v/>
      </c>
      <c r="BN22" s="261" t="str">
        <f>IF(BG22="","",$BF$20*BH22/100-BT22)</f>
        <v/>
      </c>
      <c r="BO22" s="261" t="str">
        <f>IF(BG22="","",$BD$20*BH22/100*VLOOKUP(BG22,'DB technologies'!$AC$16:$AF$20,2,FALSE)/100)</f>
        <v/>
      </c>
      <c r="BP22" s="261" t="str">
        <f>IF(BG22="","",$BD$20*BH22/100*VLOOKUP(BG22,'DB technologies'!$AC$16:$AN$20,3,FALSE)/100)</f>
        <v/>
      </c>
      <c r="BQ22" s="262" t="str">
        <f>IF(BG22="","",$BD$20*BH22/100*VLOOKUP(BG22,'DB technologies'!$AC$16:$AN$20,4,FALSE)/100)</f>
        <v/>
      </c>
      <c r="BR22" s="264" t="str">
        <f>IF(BG22="","",VLOOKUP(BG22,'DB technologies'!$AC$16:$AQ$20,13,FALSE)/100*$BD$20*BH22/100)</f>
        <v/>
      </c>
      <c r="BS22" s="261" t="str">
        <f>IF(BG22="","",VLOOKUP(BG22,'DB technologies'!$AC$16:$AQ$20,14,FALSE)/100*$BE$20*BH22/100)</f>
        <v/>
      </c>
      <c r="BT22" s="262" t="str">
        <f>IF(BG22="","",VLOOKUP(BG22,'DB technologies'!$AC$16:$AQ$20,15,FALSE)/100*$BF$20*BH22/100)</f>
        <v/>
      </c>
    </row>
    <row r="23" spans="1:74" ht="11.25" customHeight="1" x14ac:dyDescent="0.2">
      <c r="A23" s="684"/>
      <c r="B23" s="695"/>
      <c r="C23" s="251"/>
      <c r="D23" s="1357"/>
      <c r="E23" s="1358"/>
      <c r="F23" s="480" t="str">
        <f>IF('Calc (ex-animal)'!$F$9=1,"",IF($C$20=0,"",IF(D23="","",E23/'Calc (ex-animal)'!$E$10*100)))</f>
        <v/>
      </c>
      <c r="G23" s="485" t="str">
        <f>IF($C$20=0,"",IF('Calc (ex-animal)'!$F$8=1,"",IF(D23="","",SUM(H23:O23))))</f>
        <v/>
      </c>
      <c r="H23" s="423" t="str">
        <f>IF('Calc (ex-animal)'!$F$8=1,"",IF(D23="","",(((VLOOKUP($C$20,'Calc (ex-animal)'!$D$8:$Y$12,6,FALSE)-VLOOKUP($C$20,'Calc (ex-animal)'!$D$8:$Y$12,17,FALSE))*F23/100))*VLOOKUP($C$20,'Calc (ex-animal)'!$D$8:$Y$12,7,FALSE)/100*(1-VLOOKUP(D23,'DB technologies'!$N$11:$Y$25,9,FALSE)/100)))</f>
        <v/>
      </c>
      <c r="I23" s="423" t="str">
        <f>IF(D23="","",((VLOOKUP(D23,'DB technologies'!$N$11:$Y$25,2,FALSE)*VLOOKUP($C$20,'DB animal categories'!$C$10:$AC$21,27,FALSE)*E23/1000)/365*(VLOOKUP($C$20,'DB animal categories'!$C$10:$AC$21,27,FALSE)-VLOOKUP($C$20,'DB animal categories'!$C$10:$AC$21,25,FALSE)*VLOOKUP($C$20,'DB animal categories'!$C$10:$AC$21,26,FALSE)/24))*'DB additional information '!$S$6/100*(1-VLOOKUP(D23,'DB technologies'!$N$11:$Y$25,9,FALSE)/100))</f>
        <v/>
      </c>
      <c r="J23" s="434" t="str">
        <f>IF(D23="","",((VLOOKUP(D23,'DB technologies'!$N$11:$Y$25,3,FALSE)*VLOOKUP($C$20,'DB animal categories'!$C$10:$AC$21,27,FALSE)*E23/1000)/365*(VLOOKUP($C$20,'DB animal categories'!$C$10:$AC$21,27,FALSE)-VLOOKUP($C$20,'DB animal categories'!$C$10:$AC$21,25,FALSE)*VLOOKUP($C$20,'DB animal categories'!$C$10:$AC$21,26,FALSE)/24))*'DB additional information '!$S$7/100*(1-VLOOKUP(D23,'DB technologies'!$N$11:$Y$25,9,FALSE)/100))</f>
        <v/>
      </c>
      <c r="K23" s="434" t="str">
        <f>IF(D23="","",((VLOOKUP(D23,'DB technologies'!$N$11:$Y$25,4,FALSE)*E23*'DB additional information '!$S$8/100*(1-VLOOKUP(D23,'DB technologies'!$N$11:$Y$25,9,FALSE)/100))/365*(VLOOKUP($C$20,'DB animal categories'!$C$10:$AC$21,27,FALSE)-VLOOKUP($C$20,'DB animal categories'!$C$10:$AC$21,25,FALSE)*VLOOKUP($C$20,'DB animal categories'!$C$10:$AC$21,26,FALSE)/24)))</f>
        <v/>
      </c>
      <c r="L23" s="423" t="str">
        <f>IF('Calc (ex-animal)'!$F$8=1,"",IF(D23="","",(((VLOOKUP($C$20,'Calc (ex-animal)'!$D$8:$Y$12,6,FALSE)-VLOOKUP($C$20,'Calc (ex-animal)'!$D$8:$Y$12,17,FALSE))*F23/100))*(1-VLOOKUP($C$20,'Calc (ex-animal)'!$D$8:$Y$12,7,FALSE)/100)*(1-VLOOKUP(D23,'DB technologies'!$N$11:$V$25,8,FALSE)/100)))</f>
        <v/>
      </c>
      <c r="M23" s="434" t="str">
        <f>IF(D23="","",((VLOOKUP(D23,'DB technologies'!$N$11:$Y$25,2,FALSE)*VLOOKUP($C$20,'DB animal categories'!$C$10:$AC$21,27,FALSE)*E23/1000)/365*(VLOOKUP($C$20,'DB animal categories'!$C$10:$AC$21,27,FALSE)-VLOOKUP($C$20,'DB animal categories'!$C$10:$AC$21,25,FALSE)*VLOOKUP($C$20,'DB animal categories'!$C$10:$AC$21,26,FALSE)/24))*(1-'DB additional information '!$S$6/100)*(1-VLOOKUP(D23,'DB technologies'!$N$11:$Y$25,9,FALSE)/100))</f>
        <v/>
      </c>
      <c r="N23" s="434" t="str">
        <f>IF(D23="","",((VLOOKUP(D23,'DB technologies'!$N$11:$Y$25,3,FALSE)*VLOOKUP($C$20,'DB animal categories'!$C$10:$AC$21,27,FALSE)*E23/1000)/365*(VLOOKUP($C$20,'DB animal categories'!$C$10:$AC$21,27,FALSE)-VLOOKUP($C$20,'DB animal categories'!$C$10:$AC$21,25,FALSE)*VLOOKUP($C$20,'DB animal categories'!$C$10:$AC$21,26,FALSE)/24))*(1-'DB additional information '!$S$7/100)*(1-VLOOKUP(D23,'DB technologies'!$N$11:$Y$25,9,FALSE)/100))</f>
        <v/>
      </c>
      <c r="O23" s="423" t="str">
        <f>IF(D23="","",((VLOOKUP(D23,'DB technologies'!$N$11:$Y$25,4,FALSE)*E23*(1-'DB additional information '!$S$8/100)*(1-VLOOKUP(D23,'DB technologies'!$N$11:$Y$25,8,FALSE)/100))/365*(VLOOKUP($C$20,'DB animal categories'!$C$10:$AC$21,27,FALSE)-VLOOKUP($C$20,'DB animal categories'!$C$10:$AC$21,25,FALSE)*VLOOKUP($C$20,'DB animal categories'!$C$10:$AC$21,26,FALSE)/24)))</f>
        <v/>
      </c>
      <c r="P23" s="631" t="str">
        <f>IF(G23=0,0,IF(E23="","",IF(F23="","",IF($C$20=0,"",IF(D23="","",SUM(H23:K23)/G23*100)))))</f>
        <v/>
      </c>
      <c r="Q23" s="416" t="str">
        <f>IF(D23="","",(VLOOKUP(D23,'DB technologies'!$N$11:$Y$25,2,FALSE)*'DB additional information '!$S$6/100*'DB additional information '!$T$6*VLOOKUP($C$20,'DB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R23" s="416" t="str">
        <f>IF(D23="","",(VLOOKUP(D23,'DB technologies'!$N$11:$Y$25,3,FALSE)*'DB additional information '!$S$7/100*'DB additional information '!$T$7*VLOOKUP($C$20,'DB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S23" s="491" t="str">
        <f>IF(D23="","",(VLOOKUP(D23,'DB technologies'!$N$11:$Y$25,4,FALSE)*('DB additional information '!$S$8/100*'DB additional information '!$T$8*E23/1000/1000)))</f>
        <v/>
      </c>
      <c r="T23" s="261" t="str">
        <f>IF($C$20=0,"",IF('Calc (ex-animal)'!$F$9=1,"",IF(D23="","",((VLOOKUP($C$20,'Calc (ex-animal)'!$D$8:$Y$12,10,FALSE)-VLOOKUP($C$20,'Calc (ex-animal)'!$D$8:$Y$12,18,FALSE))*F23/100+Q23+R23+S23)-AC23-AD23-AE23)))</f>
        <v/>
      </c>
      <c r="U23" s="422" t="str">
        <f>IF(D23="","",(VLOOKUP(D23,'DB technologies'!$N$11:$Y$25,2,FALSE)*'DB additional information '!$S$6/100*'DB additional information '!$U$6*VLOOKUP($C$20,'DB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V23" s="418" t="str">
        <f>IF(D23="","",(VLOOKUP(D23,'DB technologies'!$N$11:$Y$25,3,FALSE)*'DB additional information '!$S$7/100*'DB additional information '!$U$7*VLOOKUP($C$20,'DB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W23" s="417" t="str">
        <f>IF(D23="","",(VLOOKUP(D23,'DB technologies'!$N$11:$Y$25,4,FALSE)*('DB additional information '!$S$8/100*'DB additional information '!$U$8*E23/1000/1000)))</f>
        <v/>
      </c>
      <c r="X23" s="261" t="str">
        <f>IF($C$20=0,"",IF('Calc (ex-animal)'!$F$9=1,"",IF(D23="","",((VLOOKUP($C$20,'Calc (ex-animal)'!$D$8:$Y$12,13,FALSE)-VLOOKUP($C$20,'Calc (ex-animal)'!$D$8:$Y$12,19,FALSE))*F23/100+U23+V23+W23))))</f>
        <v/>
      </c>
      <c r="Y23" s="418" t="str">
        <f>IF(D23="","",(VLOOKUP(D23,'DB technologies'!$N$11:$Y$25,2,FALSE)*'DB additional information '!$S$6/100*'DB additional information '!$V$6*VLOOKUP($C$20,'DB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Z23" s="418" t="str">
        <f>IF(D23="","",(VLOOKUP(D23,'DB technologies'!$N$11:$Y$25,3,FALSE)*'DB additional information '!$S$7/100*'DB additional information '!$V$7*VLOOKUP($C$20,'DB animal categories'!$C$10:$AC$21,27,FALSE)*E23/1000/1000)/365*(VLOOKUP($C$20,'DB animal categories'!$C$10:$AC$21,27,FALSE)-VLOOKUP($C$20,'DB animal categories'!$C$10:$AC$21,25,FALSE)*VLOOKUP($C$20,'DB animal categories'!$C$10:$AC$21,26,FALSE)/24))</f>
        <v/>
      </c>
      <c r="AA23" s="418" t="str">
        <f>IF(D23="","",(VLOOKUP(D23,'DB technologies'!$N$11:$Y$25,4,FALSE)*('DB additional information '!$S$8/100*'DB additional information '!$V$8*E23/1000/1000)))</f>
        <v/>
      </c>
      <c r="AB23" s="261" t="str">
        <f>IF($C$20=0,"",IF('Calc (ex-animal)'!$F$8=1,"",IF(D23="","",((VLOOKUP($C$20,'Calc (ex-animal)'!$D$8:$Y$12,16,FALSE)-VLOOKUP($C$20,'Calc (ex-animal)'!$D$8:$Y$12,20,FALSE))*F23/100+Y23+Z23+AA23))))</f>
        <v/>
      </c>
      <c r="AC23" s="261" t="str">
        <f>IF($C$20=0,"",IF('Calc (ex-animal)'!$F$8=1,"",IF(D23="","",VLOOKUP($C$20,'Calc (ex-animal)'!$D$8:$Y$12,9,FALSE)/365*(VLOOKUP($C$20,'DB animal categories'!$C$10:$AC$21,27,FALSE)-VLOOKUP($C$20,'DB animal categories'!$C$10:$AC$21,25,FALSE)*VLOOKUP($C$20,'DB animal categories'!$C$10:$AC$21,26,FALSE)/24)*F23/100*VLOOKUP(D23,'DB technologies'!$N$11:$R$25,5,FALSE)/100)))</f>
        <v/>
      </c>
      <c r="AD23" s="261" t="str">
        <f>IF($C$20=0,"",IF('Calc (ex-animal)'!$F$8=1,"",IF(D23="","",VLOOKUP($C$20,'Calc (ex-animal)'!$D$8:$Y$12,10,FALSE)/365*(VLOOKUP($C$20,'DB animal categories'!$C$10:$AC$21,27,FALSE)-VLOOKUP($C$20,'DB animal categories'!$C$10:$AC$21,25,FALSE)*VLOOKUP($C$20,'DB animal categories'!$C$10:$AC$21,26,FALSE)/24)*F23/100*VLOOKUP(D23,'DB technologies'!$N$11:$Y$25,6,FALSE)/100)))</f>
        <v/>
      </c>
      <c r="AE23" s="262" t="str">
        <f>IF($C$20=0,"",IF('Calc (ex-animal)'!$F$8=1,"",IF(D23="","",VLOOKUP($C$20,'Calc (ex-animal)'!$D$8:$Y$12,10,FALSE)/365*(VLOOKUP($C$20,'DB animal categories'!$C$10:$AC$21,27,FALSE)-VLOOKUP($C$20,'DB animal categories'!$C$10:$AC$21,25,FALSE)*VLOOKUP($C$20,'DB animal categories'!$C$10:$AC$21,26,FALSE)/24)*F23/100*VLOOKUP(D23,'DB technologies'!$N$11:$Y$25,7,FALSE)/100)))</f>
        <v/>
      </c>
      <c r="AG23" s="695"/>
      <c r="AH23" s="695"/>
      <c r="AI23" s="186" t="str">
        <f>IF(D23="","",VLOOKUP(D23,'DB technologies'!$N$11:$Y$25,10,FALSE))</f>
        <v/>
      </c>
      <c r="AJ23" s="449" t="e">
        <f>VLOOKUP($C$20,'DB animal categories'!$C$10:$AN$21,27,FALSE)-VLOOKUP($C$20,'DB animal categories'!$C$10:$AN$21,26,FALSE)*VLOOKUP($C$20,'DB animal categories'!$C$10:$AN$21,25,FALSE)/24</f>
        <v>#N/A</v>
      </c>
      <c r="AK23" s="442" t="str">
        <f>IF(AI23="","",AL23+AM23)</f>
        <v/>
      </c>
      <c r="AL23" s="442" t="str">
        <f>IF(D23="","",IF(AI23=2,(('Calc (ex-animal)'!$G$10*'DB additional information '!$K$4/100*(1-VLOOKUP(D23,'DB technologies'!$N$11:$Y$25,9,FALSE)/100)*'Calc (ex-housing, ex-storage)'!F23/100+'Calc (ex-animal)'!$H$10*'DB additional information '!$L$4/100*(1-VLOOKUP(D23,'DB technologies'!$N$11:$Y$25,9,FALSE)/100)*'Calc (ex-housing, ex-storage)'!F23/100))/365*AJ23+I23+J23+K23,IF(AI23=1,('Calc (ex-animal)'!$H$10*'DB additional information '!$L$4/100*(1-VLOOKUP(D23,'DB technologies'!$N$11:$Y$25,9,FALSE)/100)*'Calc (ex-housing, ex-storage)'!F23/100)/365*AJ23,IF(AI23=4,('Calc (ex-animal)'!$G$10*'DB additional information '!$K$4/100+'Calc (ex-animal)'!$H$10*'DB additional information '!$L$4/100)*(1-VLOOKUP(D23,'DB technologies'!$N$11:$Y$25,9,FALSE)/100)*'Calc (ex-housing, ex-storage)'!F23/100*VLOOKUP(D23,'DB technologies'!$N$11:$Y$25,11,FALSE)/100/365*AJ23,0))))</f>
        <v/>
      </c>
      <c r="AM23" s="442" t="str">
        <f>IF(D23="","",IF(AI23=2,(('Calc (ex-animal)'!$G$10*(1-'DB additional information '!$K$4/100)*(1-VLOOKUP(D23,'DB technologies'!$N$11:$Y$25,8,FALSE)/100)*'Calc (ex-housing, ex-storage)'!F23/100+'Calc (ex-animal)'!$H$10*(1-'DB additional information '!$L$4/100)*(1-VLOOKUP(D23,'DB technologies'!$N$11:$Y$25,8,FALSE)/100)*'Calc (ex-housing, ex-storage)'!F23/100))/365*AJ23+M23+N23+O23,IF(AI23=1,('Calc (ex-animal)'!$H$10*(1-'DB additional information '!$L$4/100)*(1-VLOOKUP(D23,'DB technologies'!$N$11:$Y$25,8,FALSE)/100)*'Calc (ex-housing, ex-storage)'!F23/100)/365*AJ23,IF(AI23=4,('Calc (ex-animal)'!$G$10*(1-'DB additional information '!$K$4/100)+'Calc (ex-animal)'!$H$10*(1-'DB additional information '!$L$4/100))*(1-VLOOKUP(D23,'DB technologies'!$N$11:$Y$25,8,FALSE)/100)*'Calc (ex-housing, ex-storage)'!F23/100*VLOOKUP(D23,'DB technologies'!$N$11:$Y$25,11,FALSE)/100/365*AJ23,0))))</f>
        <v/>
      </c>
      <c r="AN23" s="442" t="str">
        <f>IF(AI23="","",IF(AL23=0,0,AL23/AK23*100))</f>
        <v/>
      </c>
      <c r="AO23" s="182" t="str">
        <f>IF(D23="","",IF(AI23=2,(('Calc (ex-animal)'!$L$10*'Calc (ex-housing, ex-storage)'!F23/100+'Calc (ex-animal)'!$K$10*'Calc (ex-housing, ex-storage)'!F23/100))/365*AJ23+Q23+R23+S23-AC23,IF(AI23=1,('Calc (ex-animal)'!$L$10*'Calc (ex-housing, ex-storage)'!F23/100)/365*AJ23-'Calc (ex-housing, ex-storage)'!AC23,IF(AI23=4,('Calc (ex-animal)'!$L$10+'Calc (ex-animal)'!$K$10)*'Calc (ex-housing, ex-storage)'!F23/100*VLOOKUP(D23,'DB technologies'!$N$11:$Y$25,11,FALSE)/100/365*AJ23-AC23*VLOOKUP(D23,'DB technologies'!$N$11:$Y$25,11,FALSE)/100,0))))</f>
        <v/>
      </c>
      <c r="AP23" s="182" t="str">
        <f>IF(D23="","",IF(AO23&lt;-0.01,0,IF(AI23=2,(('Calc (ex-animal)'!$L$10*'Calc (ex-housing, ex-storage)'!F23/100+'Calc (ex-animal)'!$K$10*'Calc (ex-housing, ex-storage)'!F23/100))/365*AJ23+Q23+R23+S23-AC23,IF(AI23=1,('Calc (ex-animal)'!$L$10*'Calc (ex-housing, ex-storage)'!F23/100)/365*AJ23-'Calc (ex-housing, ex-storage)'!AC23,IF(AI23=4,('Calc (ex-animal)'!$L$10+'Calc (ex-animal)'!$K$10)*'Calc (ex-housing, ex-storage)'!F23/100*VLOOKUP(D23,'DB technologies'!$N$11:$Y$25,11,FALSE)/100/365*AJ23-AC23*VLOOKUP(D23,'DB technologies'!$N$11:$Y$25,11,FALSE)/100,0)))))</f>
        <v/>
      </c>
      <c r="AQ23" s="182" t="str">
        <f>IF(D23="","",IF(AI23=2,('Calc (ex-animal)'!$O$10*'Calc (ex-housing, ex-storage)'!F23/100+'Calc (ex-animal)'!$N$10*'Calc (ex-housing, ex-storage)'!F23/100)/365*AJ23+U23+V23+W23,IF(AI23=1,'Calc (ex-animal)'!$O$10*'Calc (ex-housing, ex-storage)'!F23/100/365*AJ23,IF(AI23=4,('Calc (ex-animal)'!$O$10+'Calc (ex-animal)'!$N$10)*'Calc (ex-housing, ex-storage)'!F23/100*VLOOKUP(D23,'DB technologies'!$N$11:$Y$25,11,FALSE)/100/365*AJ23,0))))</f>
        <v/>
      </c>
      <c r="AR23" s="182" t="str">
        <f>IF(D23="","",IF(AI23=2,('Calc (ex-animal)'!$R$10*'Calc (ex-housing, ex-storage)'!F23/100+'Calc (ex-animal)'!$Q$10*'Calc (ex-housing, ex-storage)'!F23/100)/365*AJ23+Y23+Z23+AA23,IF(AI23=1,'Calc (ex-animal)'!$R$10*'Calc (ex-housing, ex-storage)'!F23/100/365*AJ23,IF(AI23=4,('Calc (ex-animal)'!$R$10+'Calc (ex-animal)'!$Q$10)*'Calc (ex-housing, ex-storage)'!F23/100*VLOOKUP(D23,'DB technologies'!$N$11:$Y$25,11,FALSE)/100/365*AJ23,0))))</f>
        <v/>
      </c>
      <c r="AS23" s="181" t="str">
        <f>IF(D23="","",VLOOKUP(D23,'DB technologies'!$N$11:$Y$25,10,FALSE))</f>
        <v/>
      </c>
      <c r="AT23" s="442" t="str">
        <f t="shared" si="1"/>
        <v/>
      </c>
      <c r="AU23" s="442" t="str">
        <f>IF(D23="","",IF(AS23=2,0,IF(AS23=1,'Calc (ex-animal)'!$G$10*'DB additional information '!$K$4/100*(1-VLOOKUP(D23,'DB technologies'!$N$11:$Y$25,8,FALSE)/100)*'Calc (ex-housing, ex-storage)'!F23/100/365*AJ23+I23+J23+K23,IF(AS23=5,(('Calc (ex-animal)'!$G$10*'DB additional information '!$K$4/100+'Calc (ex-animal)'!$H$10*'DB additional information '!$L$4/100))*(1-VLOOKUP(D23,'DB technologies'!$N$11:$Y$25,9,FALSE)/100)*'Calc (ex-housing, ex-storage)'!F23/100/365*AJ23+I23+J23+K23,IF(AS23=3,('Calc (ex-animal)'!$G$10*'DB additional information '!$K$4/100+'Calc (ex-animal)'!$H$10*'DB additional information '!$L$4/100)*(1-VLOOKUP(D23,'DB technologies'!$N$11:$Y$25,9,FALSE)/100)*'Calc (ex-housing, ex-storage)'!F23/100/365*AJ23+I23+J23+K23,IF(AS23=4,('Calc (ex-animal)'!$G$10*'DB additional information '!$K$4/100+'Calc (ex-animal)'!$H$10*'DB additional information '!$L$4/100)*(1-VLOOKUP(D23,'DB technologies'!$N$11:$Y$25,9,FALSE)/100)*'Calc (ex-housing, ex-storage)'!F23/100*VLOOKUP(D23,'DB technologies'!$N$11:$Y$25,12,FALSE)/100/365*AJ23+I23+J23+K23,0))))))</f>
        <v/>
      </c>
      <c r="AV23" s="442" t="str">
        <f>IF(D23="","",IF(AS23=2,0,IF(AS23=1,'Calc (ex-animal)'!$G$10*(1-'DB additional information '!$K$4/100)*(1-VLOOKUP(D23,'DB technologies'!$N$11:$Y$25,8,FALSE)/100)*'Calc (ex-housing, ex-storage)'!F23/100/365*AJ23+M23+N23+O23,IF(AS23=5,('Calc (ex-animal)'!$G$10*(1-'DB additional information '!$K$4/100)+'Calc (ex-animal)'!$H$10*(1-'DB additional information '!$L$4/100))*(1-VLOOKUP(D23,'DB technologies'!$N$11:$Y$25,8,FALSE)/100)*'Calc (ex-housing, ex-storage)'!F23/100/365*AJ23+M23+N23+O23,IF(AS23=3,('Calc (ex-animal)'!$G$10*(1-'DB additional information '!$K$4/100)+'Calc (ex-animal)'!$H$10*(1-'DB additional information '!$L$4/100))*(1-VLOOKUP(D23,'DB technologies'!$N$11:$Y$25,8,FALSE)/100)*'Calc (ex-housing, ex-storage)'!F23/100/365*AJ23+M23+N23+O23,IF(AS23=4,('Calc (ex-animal)'!$G$10*(1-'DB additional information '!$K$4/100)+'Calc (ex-animal)'!$H$10*(1-'DB additional information '!$L$4/100))*(1-VLOOKUP(D23,'DB technologies'!$N$11:$Y$25,8,FALSE)/100)*'Calc (ex-housing, ex-storage)'!F23/100*VLOOKUP(D23,'DB technologies'!$N$11:$Y$25,12,FALSE)/100/365*AJ23+M23+N23+O23,0))))))</f>
        <v/>
      </c>
      <c r="AW23" s="442" t="str">
        <f>IF(AS23="","",IF(AU23=0,0,AU23/AT23*100))</f>
        <v/>
      </c>
      <c r="AX23" s="182" t="str">
        <f>IF(D23="","",IF(AS23=2,0,IF(AS23=1,'Calc (ex-animal)'!$K$10*'Calc (ex-housing, ex-storage)'!F23/100/365*AJ23+Q23+R23+S23,IF(AS23=5,('Calc (ex-animal)'!$K$10+'Calc (ex-animal)'!$L$10)*'Calc (ex-housing, ex-storage)'!F23/100/365*AJ23+Q23+R23+S23-'Calc (ex-housing, ex-storage)'!AC23,IF(AS23=3,('Calc (ex-animal)'!$K$10+'Calc (ex-animal)'!$L$10)*'Calc (ex-housing, ex-storage)'!F23/100/365*AJ23+Q23+R23+S23-'Calc (ex-housing, ex-storage)'!AC23-AD23-AE23,IF(AI23=4,('Calc (ex-animal)'!$K$10+'Calc (ex-animal)'!$L$10)*'Calc (ex-housing, ex-storage)'!F23/100*VLOOKUP(D23,'DB technologies'!$N$11:$Y$25,12,FALSE)/100/365*AJ23+Q23+R23+S23-(VLOOKUP(D23,'DB technologies'!$N$11:$Y$25,12,FALSE)/100*AC23)-AD23-AE23,0))))))</f>
        <v/>
      </c>
      <c r="AY23" s="182" t="str">
        <f>IF(D23="","",IF(AS23=2,0,IF(AS23=1,'Calc (ex-animal)'!$N$10*'Calc (ex-housing, ex-storage)'!F23/100/365*AJ23+U23+V23+W23,IF(AS23=5,('Calc (ex-animal)'!$N$10+'Calc (ex-animal)'!$O$10)*'Calc (ex-housing, ex-storage)'!F23/100/365*AJ23+U23+V23+W23,IF(AS23=3,('Calc (ex-animal)'!$N$10+'Calc (ex-animal)'!$O$10)*'Calc (ex-housing, ex-storage)'!F23/100/365*AJ23+U23+V23+W23,IF(AS23=4,('Calc (ex-animal)'!$N$10+'Calc (ex-animal)'!$O$10)*'Calc (ex-housing, ex-storage)'!F23/100*VLOOKUP(D23,'DB technologies'!$N$11:$Y$25,12,FALSE)/100/365*AJ23+U23+V23+W23,0))))))</f>
        <v/>
      </c>
      <c r="AZ23" s="182" t="str">
        <f>IF(D23="","",IF(AS23=2,0,IF(AS23=1,'Calc (ex-animal)'!$Q$10*'Calc (ex-housing, ex-storage)'!F23/100/365*AJ23+Y23+Z23+AA23,IF(AS23=5,('Calc (ex-animal)'!$Q$10+'Calc (ex-animal)'!$R$10)*'Calc (ex-housing, ex-storage)'!F23/100/365*AJ23+Y23+Z23+AA23,IF(AS23=3,('Calc (ex-animal)'!$Q$10+'Calc (ex-animal)'!$R$10)*'Calc (ex-housing, ex-storage)'!F23/100/365*AJ23+Y23+Z23+AA23,IF(AS23=4,('Calc (ex-animal)'!$Q$10+'Calc (ex-animal)'!$R$10)*'Calc (ex-housing, ex-storage)'!F23/100*VLOOKUP(D23,'DB technologies'!$N$11:$Y$25,12,FALSE)/100/365*AJ23+Y23+Z23+AA23,0))))))</f>
        <v/>
      </c>
      <c r="BA23" s="506"/>
      <c r="BB23" s="506"/>
      <c r="BC23" s="506"/>
      <c r="BD23" s="98"/>
      <c r="BE23" s="42"/>
      <c r="BF23" s="42"/>
      <c r="BG23" s="1357"/>
      <c r="BH23" s="1361"/>
      <c r="BI23" s="598" t="str">
        <f>IF(BG23="","",$BA$20*BH23/100-($BB$20*BH23/100*VLOOKUP(BG23,'DB technologies'!$AC$21:$AT$25,5,FALSE)/100)+(VLOOKUP(BG23,'DB technologies'!$AC$21:$AT$25,12,FALSE)*$BA$20*BH23/100))</f>
        <v/>
      </c>
      <c r="BJ23" s="551">
        <f>IF(BI23="",0,BI23*BK23/100)</f>
        <v>0</v>
      </c>
      <c r="BK23" s="508" t="str">
        <f>IF(BG23="","",IF($BA$20=0,0,($BB$20*BH23/100)/BI23*(1-(VLOOKUP(BG23,'DB technologies'!$AC$21:$AQ$25,5,FALSE))/100)*100))</f>
        <v/>
      </c>
      <c r="BL23" s="261" t="str">
        <f>IF(BG23="","",$BD$20*BH23/100-BO23-BP23-BQ23-BR23)</f>
        <v/>
      </c>
      <c r="BM23" s="261" t="str">
        <f>IF(BG23="","",$BE$20*BH23/100-BS23)</f>
        <v/>
      </c>
      <c r="BN23" s="261" t="str">
        <f>IF(BG23="","",$BF$20*BH23/100-BT23)</f>
        <v/>
      </c>
      <c r="BO23" s="261" t="str">
        <f>IF(BG23="","",$BD$20*BH23/100*VLOOKUP(BG23,'DB technologies'!$AC$16:$AF$20,2,FALSE)/100)</f>
        <v/>
      </c>
      <c r="BP23" s="261" t="str">
        <f>IF(BG23="","",$BD$20*BH23/100*VLOOKUP(BG23,'DB technologies'!$AC$16:$AN$20,3,FALSE)/100)</f>
        <v/>
      </c>
      <c r="BQ23" s="262" t="str">
        <f>IF(BG23="","",$BD$20*BH23/100*VLOOKUP(BG23,'DB technologies'!$AC$16:$AN$20,4,FALSE)/100)</f>
        <v/>
      </c>
      <c r="BR23" s="264" t="str">
        <f>IF(BG23="","",VLOOKUP(BG23,'DB technologies'!$AC$16:$AQ$20,13,FALSE)/100*$BD$20*BH23/100)</f>
        <v/>
      </c>
      <c r="BS23" s="261" t="str">
        <f>IF(BG23="","",VLOOKUP(BG23,'DB technologies'!$AC$16:$AQ$20,14,FALSE)/100*$BE$20*BH23/100)</f>
        <v/>
      </c>
      <c r="BT23" s="262" t="str">
        <f>IF(BG23="","",VLOOKUP(BG23,'DB technologies'!$AC$16:$AQ$20,15,FALSE)/100*$BF$20*BH23/100)</f>
        <v/>
      </c>
    </row>
    <row r="24" spans="1:74" ht="11.25" customHeight="1" thickBot="1" x14ac:dyDescent="0.25">
      <c r="A24" s="684"/>
      <c r="B24" s="695"/>
      <c r="C24" s="251"/>
      <c r="D24" s="1359"/>
      <c r="E24" s="1360"/>
      <c r="F24" s="481" t="str">
        <f>IF('Calc (ex-animal)'!$F$9=1,"",IF($C$20=0,"",IF(D24="","",E24/'Calc (ex-animal)'!$E$10*100)))</f>
        <v/>
      </c>
      <c r="G24" s="483" t="str">
        <f>IF($C$20=0,"",IF('Calc (ex-animal)'!$F$8=1,"",IF(D24="","",SUM(H24:O24))))</f>
        <v/>
      </c>
      <c r="H24" s="445" t="str">
        <f>IF('Calc (ex-animal)'!$F$8=1,"",IF(D24="","",(((VLOOKUP($C$20,'Calc (ex-animal)'!$D$8:$Y$12,6,FALSE)-VLOOKUP($C$20,'Calc (ex-animal)'!$D$8:$Y$12,17,FALSE))*F24/100))*VLOOKUP($C$20,'Calc (ex-animal)'!$D$8:$Y$12,7,FALSE)/100*(1-VLOOKUP(D24,'DB technologies'!$N$11:$Y$25,9,FALSE)/100)))</f>
        <v/>
      </c>
      <c r="I24" s="445" t="str">
        <f>IF(D24="","",((VLOOKUP(D24,'DB technologies'!$N$11:$Y$25,2,FALSE)*VLOOKUP($C$20,'DB animal categories'!$C$10:$AC$21,27,FALSE)*E24/1000)/365*(VLOOKUP($C$20,'DB animal categories'!$C$10:$AC$21,27,FALSE)-VLOOKUP($C$20,'DB animal categories'!$C$10:$AC$21,25,FALSE)*VLOOKUP($C$20,'DB animal categories'!$C$10:$AC$21,26,FALSE)/24))*'DB additional information '!$S$6/100*(1-VLOOKUP(D24,'DB technologies'!$N$11:$Y$25,9,FALSE)/100))</f>
        <v/>
      </c>
      <c r="J24" s="446" t="str">
        <f>IF(D24="","",((VLOOKUP(D24,'DB technologies'!$N$11:$Y$25,3,FALSE)*VLOOKUP($C$20,'DB animal categories'!$C$10:$AC$21,27,FALSE)*E24/1000)/365*(VLOOKUP($C$20,'DB animal categories'!$C$10:$AC$21,27,FALSE)-VLOOKUP($C$20,'DB animal categories'!$C$10:$AC$21,25,FALSE)*VLOOKUP($C$20,'DB animal categories'!$C$10:$AC$21,26,FALSE)/24))*'DB additional information '!$S$7/100*(1-VLOOKUP(D24,'DB technologies'!$N$11:$Y$25,9,FALSE)/100))</f>
        <v/>
      </c>
      <c r="K24" s="446" t="str">
        <f>IF(D24="","",((VLOOKUP(D24,'DB technologies'!$N$11:$Y$25,4,FALSE)*E24*'DB additional information '!$S$8/100*(1-VLOOKUP(D24,'DB technologies'!$N$11:$Y$25,9,FALSE)/100))/365*(VLOOKUP($C$20,'DB animal categories'!$C$10:$AC$21,27,FALSE)-VLOOKUP($C$20,'DB animal categories'!$C$10:$AC$21,25,FALSE)*VLOOKUP($C$20,'DB animal categories'!$C$10:$AC$21,26,FALSE)/24)))</f>
        <v/>
      </c>
      <c r="L24" s="445" t="str">
        <f>IF('Calc (ex-animal)'!$F$8=1,"",IF(D24="","",(((VLOOKUP($C$20,'Calc (ex-animal)'!$D$8:$Y$12,6,FALSE)-VLOOKUP($C$20,'Calc (ex-animal)'!$D$8:$Y$12,17,FALSE))*F24/100))*(1-VLOOKUP($C$20,'Calc (ex-animal)'!$D$8:$Y$12,7,FALSE)/100)*(1-VLOOKUP(D24,'DB technologies'!$N$11:$V$25,8,FALSE)/100)))</f>
        <v/>
      </c>
      <c r="M24" s="446" t="str">
        <f>IF(D24="","",((VLOOKUP(D24,'DB technologies'!$N$11:$Y$25,2,FALSE)*VLOOKUP($C$20,'DB animal categories'!$C$10:$AC$21,27,FALSE)*E24/1000)/365*(VLOOKUP($C$20,'DB animal categories'!$C$10:$AC$21,27,FALSE)-VLOOKUP($C$20,'DB animal categories'!$C$10:$AC$21,25,FALSE)*VLOOKUP($C$20,'DB animal categories'!$C$10:$AC$21,26,FALSE)/24))*(1-'DB additional information '!$S$6/100)*(1-VLOOKUP(D24,'DB technologies'!$N$11:$Y$25,9,FALSE)/100))</f>
        <v/>
      </c>
      <c r="N24" s="446" t="str">
        <f>IF(D24="","",((VLOOKUP(D24,'DB technologies'!$N$11:$Y$25,3,FALSE)*VLOOKUP($C$20,'DB animal categories'!$C$10:$AC$21,27,FALSE)*E24/1000)/365*(VLOOKUP($C$20,'DB animal categories'!$C$10:$AC$21,27,FALSE)-VLOOKUP($C$20,'DB animal categories'!$C$10:$AC$21,25,FALSE)*VLOOKUP($C$20,'DB animal categories'!$C$10:$AC$21,26,FALSE)/24))*(1-'DB additional information '!$S$7/100)*(1-VLOOKUP(D24,'DB technologies'!$N$11:$Y$25,9,FALSE)/100))</f>
        <v/>
      </c>
      <c r="O24" s="445" t="str">
        <f>IF(D24="","",((VLOOKUP(D24,'DB technologies'!$N$11:$Y$25,4,FALSE)*E24*(1-'DB additional information '!$S$8/100)*(1-VLOOKUP(D24,'DB technologies'!$N$11:$Y$25,8,FALSE)/100))/365*(VLOOKUP($C$20,'DB animal categories'!$C$10:$AC$21,27,FALSE)-VLOOKUP($C$20,'DB animal categories'!$C$10:$AC$21,25,FALSE)*VLOOKUP($C$20,'DB animal categories'!$C$10:$AC$21,26,FALSE)/24)))</f>
        <v/>
      </c>
      <c r="P24" s="632" t="str">
        <f>IF(G24=0,0,IF(E24="","",IF(F24="","",IF($C$20=0,"",IF(D24="","",SUM(H24:K24)/G24*100)))))</f>
        <v/>
      </c>
      <c r="Q24" s="476" t="str">
        <f>IF(D24="","",(VLOOKUP(D24,'DB technologies'!$N$11:$Y$25,2,FALSE)*'DB additional information '!$S$6/100*'DB additional information '!$T$6*VLOOKUP($C$20,'DB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R24" s="476" t="str">
        <f>IF(D24="","",(VLOOKUP(D24,'DB technologies'!$N$11:$Y$25,3,FALSE)*'DB additional information '!$S$7/100*'DB additional information '!$T$7*VLOOKUP($C$20,'DB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S24" s="494" t="str">
        <f>IF(D24="","",(VLOOKUP(D24,'DB technologies'!$N$11:$Y$25,4,FALSE)*('DB additional information '!$S$8/100*'DB additional information '!$T$8*E24/1000/1000)))</f>
        <v/>
      </c>
      <c r="T24" s="267" t="str">
        <f>IF($C$20=0,"",IF('Calc (ex-animal)'!$F$9=1,"",IF(D24="","",((VLOOKUP($C$20,'Calc (ex-animal)'!$D$8:$Y$12,10,FALSE)-VLOOKUP($C$20,'Calc (ex-animal)'!$D$8:$Y$12,18,FALSE))*F24/100+Q24+R24+S24)-AC24-AD24-AE24)))</f>
        <v/>
      </c>
      <c r="U24" s="477" t="str">
        <f>IF(D24="","",(VLOOKUP(D24,'DB technologies'!$N$11:$Y$25,2,FALSE)*'DB additional information '!$S$6/100*'DB additional information '!$U$6*VLOOKUP($C$20,'DB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V24" s="433" t="str">
        <f>IF(D24="","",(VLOOKUP(D24,'DB technologies'!$N$11:$Y$25,3,FALSE)*'DB additional information '!$S$7/100*'DB additional information '!$U$7*VLOOKUP($C$20,'DB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W24" s="475" t="str">
        <f>IF(D24="","",(VLOOKUP(D24,'DB technologies'!$N$11:$Y$25,4,FALSE)*('DB additional information '!$S$8/100*'DB additional information '!$U$8*E24/1000/1000)))</f>
        <v/>
      </c>
      <c r="X24" s="267" t="str">
        <f>IF($C$20=0,"",IF('Calc (ex-animal)'!$F$9=1,"",IF(D24="","",((VLOOKUP($C$20,'Calc (ex-animal)'!$D$8:$Y$12,13,FALSE)-VLOOKUP($C$20,'Calc (ex-animal)'!$D$8:$Y$12,19,FALSE))*F24/100+U24+V24+W24))))</f>
        <v/>
      </c>
      <c r="Y24" s="433" t="str">
        <f>IF(D24="","",(VLOOKUP(D24,'DB technologies'!$N$11:$Y$25,2,FALSE)*'DB additional information '!$S$6/100*'DB additional information '!$V$6*VLOOKUP($C$20,'DB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Z24" s="433" t="str">
        <f>IF(D24="","",(VLOOKUP(D24,'DB technologies'!$N$11:$Y$25,3,FALSE)*'DB additional information '!$S$7/100*'DB additional information '!$V$7*VLOOKUP($C$20,'DB animal categories'!$C$10:$AC$21,27,FALSE)*E24/1000/1000)/365*(VLOOKUP($C$20,'DB animal categories'!$C$10:$AC$21,27,FALSE)-VLOOKUP($C$20,'DB animal categories'!$C$10:$AC$21,25,FALSE)*VLOOKUP($C$20,'DB animal categories'!$C$10:$AC$21,26,FALSE)/24))</f>
        <v/>
      </c>
      <c r="AA24" s="433" t="str">
        <f>IF(D24="","",(VLOOKUP(D24,'DB technologies'!$N$11:$Y$25,4,FALSE)*('DB additional information '!$S$8/100*'DB additional information '!$V$8*E24/1000/1000)))</f>
        <v/>
      </c>
      <c r="AB24" s="267" t="str">
        <f>IF($C$20=0,"",IF('Calc (ex-animal)'!$F$8=1,"",IF(D24="","",((VLOOKUP($C$20,'Calc (ex-animal)'!$D$8:$Y$12,16,FALSE)-VLOOKUP($C$20,'Calc (ex-animal)'!$D$8:$Y$12,20,FALSE))*F24/100+Y24+Z24+AA24))))</f>
        <v/>
      </c>
      <c r="AC24" s="267" t="str">
        <f>IF($C$20=0,"",IF('Calc (ex-animal)'!$F$8=1,"",IF(D24="","",VLOOKUP($C$20,'Calc (ex-animal)'!$D$8:$Y$12,9,FALSE)/365*(VLOOKUP($C$20,'DB animal categories'!$C$10:$AC$21,27,FALSE)-VLOOKUP($C$20,'DB animal categories'!$C$10:$AC$21,25,FALSE)*VLOOKUP($C$20,'DB animal categories'!$C$10:$AC$21,26,FALSE)/24)*F24/100*VLOOKUP(D24,'DB technologies'!$N$11:$R$25,5,FALSE)/100)))</f>
        <v/>
      </c>
      <c r="AD24" s="267" t="str">
        <f>IF($C$20=0,"",IF('Calc (ex-animal)'!$F$8=1,"",IF(D24="","",VLOOKUP($C$20,'Calc (ex-animal)'!$D$8:$Y$12,10,FALSE)/365*(VLOOKUP($C$20,'DB animal categories'!$C$10:$AC$21,27,FALSE)-VLOOKUP($C$20,'DB animal categories'!$C$10:$AC$21,25,FALSE)*VLOOKUP($C$20,'DB animal categories'!$C$10:$AC$21,26,FALSE)/24)*F24/100*VLOOKUP(D24,'DB technologies'!$N$11:$Y$25,6,FALSE)/100)))</f>
        <v/>
      </c>
      <c r="AE24" s="268" t="str">
        <f>IF($C$20=0,"",IF('Calc (ex-animal)'!$F$8=1,"",IF(D24="","",VLOOKUP($C$20,'Calc (ex-animal)'!$D$8:$Y$12,10,FALSE)/365*(VLOOKUP($C$20,'DB animal categories'!$C$10:$AC$21,27,FALSE)-VLOOKUP($C$20,'DB animal categories'!$C$10:$AC$21,25,FALSE)*VLOOKUP($C$20,'DB animal categories'!$C$10:$AC$21,26,FALSE)/24)*F24/100*VLOOKUP(D24,'DB technologies'!$N$11:$Y$25,7,FALSE)/100)))</f>
        <v/>
      </c>
      <c r="AG24" s="695"/>
      <c r="AH24" s="695"/>
      <c r="AI24" s="187" t="str">
        <f>IF(D24="","",VLOOKUP(D24,'DB technologies'!$N$11:$Y$25,10,FALSE))</f>
        <v/>
      </c>
      <c r="AJ24" s="451" t="e">
        <f>VLOOKUP($C$20,'DB animal categories'!$C$10:$AN$21,27,FALSE)-VLOOKUP($C$20,'DB animal categories'!$C$10:$AN$21,26,FALSE)*VLOOKUP($C$20,'DB animal categories'!$C$10:$AN$21,25,FALSE)/24</f>
        <v>#N/A</v>
      </c>
      <c r="AK24" s="452" t="str">
        <f>IF(AI24="","",AL24+AM24)</f>
        <v/>
      </c>
      <c r="AL24" s="452" t="str">
        <f>IF(D24="","",IF(AI24=2,(('Calc (ex-animal)'!$G$10*'DB additional information '!$K$4/100*(1-VLOOKUP(D24,'DB technologies'!$N$11:$Y$25,9,FALSE)/100)*'Calc (ex-housing, ex-storage)'!F24/100+'Calc (ex-animal)'!$H$10*'DB additional information '!$L$4/100*(1-VLOOKUP(D24,'DB technologies'!$N$11:$Y$25,9,FALSE)/100)*'Calc (ex-housing, ex-storage)'!F24/100))/365*AJ24+I24+J24+K24,IF(AI24=1,('Calc (ex-animal)'!$H$10*'DB additional information '!$L$4/100*(1-VLOOKUP(D24,'DB technologies'!$N$11:$Y$25,9,FALSE)/100)*'Calc (ex-housing, ex-storage)'!F24/100)/365*AJ24,IF(AI24=4,('Calc (ex-animal)'!$G$10*'DB additional information '!$K$4/100+'Calc (ex-animal)'!$H$10*'DB additional information '!$L$4/100)*(1-VLOOKUP(D24,'DB technologies'!$N$11:$Y$25,9,FALSE)/100)*'Calc (ex-housing, ex-storage)'!F24/100*VLOOKUP(D24,'DB technologies'!$N$11:$Y$25,11,FALSE)/100/365*AJ24,0))))</f>
        <v/>
      </c>
      <c r="AM24" s="452" t="str">
        <f>IF(D24="","",IF(AI24=2,(('Calc (ex-animal)'!$G$10*(1-'DB additional information '!$K$4/100)*(1-VLOOKUP(D24,'DB technologies'!$N$11:$Y$25,8,FALSE)/100)*'Calc (ex-housing, ex-storage)'!F24/100+'Calc (ex-animal)'!$H$10*(1-'DB additional information '!$L$4/100)*(1-VLOOKUP(D24,'DB technologies'!$N$11:$Y$25,8,FALSE)/100)*'Calc (ex-housing, ex-storage)'!F24/100))/365*AJ24+M24+N24+O24,IF(AI24=1,('Calc (ex-animal)'!$H$10*(1-'DB additional information '!$L$4/100)*(1-VLOOKUP(D24,'DB technologies'!$N$11:$Y$25,8,FALSE)/100)*'Calc (ex-housing, ex-storage)'!F24/100)/365*AJ24,IF(AI24=4,('Calc (ex-animal)'!$G$10*(1-'DB additional information '!$K$4/100)+'Calc (ex-animal)'!$H$10*(1-'DB additional information '!$L$4/100))*(1-VLOOKUP(D24,'DB technologies'!$N$11:$Y$25,8,FALSE)/100)*'Calc (ex-housing, ex-storage)'!F24/100*VLOOKUP(D24,'DB technologies'!$N$11:$Y$25,11,FALSE)/100/365*AJ24,0))))</f>
        <v/>
      </c>
      <c r="AN24" s="452" t="str">
        <f>IF(AI24="","",IF(AL24=0,0,AL24/AK24*100))</f>
        <v/>
      </c>
      <c r="AO24" s="184" t="str">
        <f>IF(D24="","",IF(AI24=2,(('Calc (ex-animal)'!$L$10*'Calc (ex-housing, ex-storage)'!F24/100+'Calc (ex-animal)'!$K$10*'Calc (ex-housing, ex-storage)'!F24/100))/365*AJ24+Q24+R24+S24-AC24,IF(AI24=1,('Calc (ex-animal)'!$L$10*'Calc (ex-housing, ex-storage)'!F24/100)/365*AJ24-'Calc (ex-housing, ex-storage)'!AC24,IF(AI24=4,('Calc (ex-animal)'!$L$10+'Calc (ex-animal)'!$K$10)*'Calc (ex-housing, ex-storage)'!F24/100*VLOOKUP(D24,'DB technologies'!$N$11:$Y$25,11,FALSE)/100/365*AJ24-AC24*VLOOKUP(D24,'DB technologies'!$N$11:$Y$25,11,FALSE)/100,0))))</f>
        <v/>
      </c>
      <c r="AP24" s="184" t="str">
        <f>IF(D24="","",IF(AO24&lt;-0.01,0,IF(AI24=2,(('Calc (ex-animal)'!$L$10*'Calc (ex-housing, ex-storage)'!F24/100+'Calc (ex-animal)'!$K$10*'Calc (ex-housing, ex-storage)'!F24/100))/365*AJ24+Q24+R24+S24-AC24,IF(AI24=1,('Calc (ex-animal)'!$L$10*'Calc (ex-housing, ex-storage)'!F24/100)/365*AJ24-'Calc (ex-housing, ex-storage)'!AC24,IF(AI24=4,('Calc (ex-animal)'!$L$10+'Calc (ex-animal)'!$K$10)*'Calc (ex-housing, ex-storage)'!F24/100*VLOOKUP(D24,'DB technologies'!$N$11:$Y$25,11,FALSE)/100/365*AJ24-AC24*VLOOKUP(D24,'DB technologies'!$N$11:$Y$25,11,FALSE)/100,0)))))</f>
        <v/>
      </c>
      <c r="AQ24" s="184" t="str">
        <f>IF(D24="","",IF(AI24=2,('Calc (ex-animal)'!$O$10*'Calc (ex-housing, ex-storage)'!F24/100+'Calc (ex-animal)'!$N$10*'Calc (ex-housing, ex-storage)'!F24/100)/365*AJ24+U24+V24+W24,IF(AI24=1,'Calc (ex-animal)'!$O$10*'Calc (ex-housing, ex-storage)'!F24/100/365*AJ24,IF(AI24=4,('Calc (ex-animal)'!$O$10+'Calc (ex-animal)'!$N$10)*'Calc (ex-housing, ex-storage)'!F24/100*VLOOKUP(D24,'DB technologies'!$N$11:$Y$25,11,FALSE)/100/365*AJ24,0))))</f>
        <v/>
      </c>
      <c r="AR24" s="184" t="str">
        <f>IF(D24="","",IF(AI24=2,('Calc (ex-animal)'!$R$10*'Calc (ex-housing, ex-storage)'!F24/100+'Calc (ex-animal)'!$Q$10*'Calc (ex-housing, ex-storage)'!F24/100)/365*AJ24+Y24+Z24+AA24,IF(AI24=1,'Calc (ex-animal)'!$R$10*'Calc (ex-housing, ex-storage)'!F24/100/365*AJ24,IF(AI24=4,('Calc (ex-animal)'!$R$10+'Calc (ex-animal)'!$Q$10)*'Calc (ex-housing, ex-storage)'!F24/100*VLOOKUP(D24,'DB technologies'!$N$11:$Y$25,11,FALSE)/100/365*AJ24,0))))</f>
        <v/>
      </c>
      <c r="AS24" s="183" t="str">
        <f>IF(D24="","",VLOOKUP(D24,'DB technologies'!$N$11:$Y$25,10,FALSE))</f>
        <v/>
      </c>
      <c r="AT24" s="452" t="str">
        <f t="shared" si="1"/>
        <v/>
      </c>
      <c r="AU24" s="452" t="str">
        <f>IF(D24="","",IF(AS24=2,0,IF(AS24=1,'Calc (ex-animal)'!$G$10*'DB additional information '!$K$4/100*(1-VLOOKUP(D24,'DB technologies'!$N$11:$Y$25,8,FALSE)/100)*'Calc (ex-housing, ex-storage)'!F24/100/365*AJ24+I24+J24+K24,IF(AS24=5,(('Calc (ex-animal)'!$G$10*'DB additional information '!$K$4/100+'Calc (ex-animal)'!$H$10*'DB additional information '!$L$4/100))*(1-VLOOKUP(D24,'DB technologies'!$N$11:$Y$25,9,FALSE)/100)*'Calc (ex-housing, ex-storage)'!F24/100/365*AJ24+I24+J24+K24,IF(AS24=3,('Calc (ex-animal)'!$G$10*'DB additional information '!$K$4/100+'Calc (ex-animal)'!$H$10*'DB additional information '!$L$4/100)*(1-VLOOKUP(D24,'DB technologies'!$N$11:$Y$25,9,FALSE)/100)*'Calc (ex-housing, ex-storage)'!F24/100/365*AJ24+I24+J24+K24,IF(AS24=4,('Calc (ex-animal)'!$G$10*'DB additional information '!$K$4/100+'Calc (ex-animal)'!$H$10*'DB additional information '!$L$4/100)*(1-VLOOKUP(D24,'DB technologies'!$N$11:$Y$25,9,FALSE)/100)*'Calc (ex-housing, ex-storage)'!F24/100*VLOOKUP(D24,'DB technologies'!$N$11:$Y$25,12,FALSE)/100/365*AJ24+I24+J24+K24,0))))))</f>
        <v/>
      </c>
      <c r="AV24" s="452" t="str">
        <f>IF(D24="","",IF(AS24=2,0,IF(AS24=1,'Calc (ex-animal)'!$G$10*(1-'DB additional information '!$K$4/100)*(1-VLOOKUP(D24,'DB technologies'!$N$11:$Y$25,8,FALSE)/100)*'Calc (ex-housing, ex-storage)'!F24/100/365*AJ24+M24+N24+O24,IF(AS24=5,('Calc (ex-animal)'!$G$10*(1-'DB additional information '!$K$4/100)+'Calc (ex-animal)'!$H$10*(1-'DB additional information '!$L$4/100))*(1-VLOOKUP(D24,'DB technologies'!$N$11:$Y$25,8,FALSE)/100)*'Calc (ex-housing, ex-storage)'!F24/100/365*AJ24+M24+N24+O24,IF(AS24=3,('Calc (ex-animal)'!$G$10*(1-'DB additional information '!$K$4/100)+'Calc (ex-animal)'!$H$10*(1-'DB additional information '!$L$4/100))*(1-VLOOKUP(D24,'DB technologies'!$N$11:$Y$25,8,FALSE)/100)*'Calc (ex-housing, ex-storage)'!F24/100/365*AJ24+M24+N24+O24,IF(AS24=4,('Calc (ex-animal)'!$G$10*(1-'DB additional information '!$K$4/100)+'Calc (ex-animal)'!$H$10*(1-'DB additional information '!$L$4/100))*(1-VLOOKUP(D24,'DB technologies'!$N$11:$Y$25,8,FALSE)/100)*'Calc (ex-housing, ex-storage)'!F24/100*VLOOKUP(D24,'DB technologies'!$N$11:$Y$25,12,FALSE)/100/365*AJ24+M24+N24+O24,0))))))</f>
        <v/>
      </c>
      <c r="AW24" s="452" t="str">
        <f>IF(AS24="","",IF(AU24=0,0,AU24/AT24*100))</f>
        <v/>
      </c>
      <c r="AX24" s="184" t="str">
        <f>IF(D24="","",IF(AS24=2,0,IF(AS24=1,'Calc (ex-animal)'!$K$10*'Calc (ex-housing, ex-storage)'!F24/100/365*AJ24+Q24+R24+S24,IF(AS24=5,('Calc (ex-animal)'!$K$10+'Calc (ex-animal)'!$L$10)*'Calc (ex-housing, ex-storage)'!F24/100/365*AJ24+Q24+R24+S24-'Calc (ex-housing, ex-storage)'!AC24,IF(AS24=3,('Calc (ex-animal)'!$K$10+'Calc (ex-animal)'!$L$10)*'Calc (ex-housing, ex-storage)'!F24/100/365*AJ24+Q24+R24+S24-'Calc (ex-housing, ex-storage)'!AC24-AD24-AE24,IF(AI24=4,('Calc (ex-animal)'!$K$10+'Calc (ex-animal)'!$L$10)*'Calc (ex-housing, ex-storage)'!F24/100*VLOOKUP(D24,'DB technologies'!$N$11:$Y$25,12,FALSE)/100/365*AJ24+Q24+R24+S24-(VLOOKUP(D24,'DB technologies'!$N$11:$Y$25,12,FALSE)/100*AC24)-AD24-AE24,0))))))</f>
        <v/>
      </c>
      <c r="AY24" s="184" t="str">
        <f>IF(D24="","",IF(AS24=2,0,IF(AS24=1,'Calc (ex-animal)'!$N$10*'Calc (ex-housing, ex-storage)'!F24/100/365*AJ24+U24+V24+W24,IF(AS24=5,('Calc (ex-animal)'!$N$10+'Calc (ex-animal)'!$O$10)*'Calc (ex-housing, ex-storage)'!F24/100/365*AJ24+U24+V24+W24,IF(AS24=3,('Calc (ex-animal)'!$N$10+'Calc (ex-animal)'!$O$10)*'Calc (ex-housing, ex-storage)'!F24/100/365*AJ24+U24+V24+W24,IF(AS24=4,('Calc (ex-animal)'!$N$10+'Calc (ex-animal)'!$O$10)*'Calc (ex-housing, ex-storage)'!F24/100*VLOOKUP(D24,'DB technologies'!$N$11:$Y$25,12,FALSE)/100/365*AJ24+U24+V24+W24,0))))))</f>
        <v/>
      </c>
      <c r="AZ24" s="184" t="str">
        <f>IF(D24="","",IF(AS24=2,0,IF(AS24=1,'Calc (ex-animal)'!$Q$10*'Calc (ex-housing, ex-storage)'!F24/100/365*AJ24+Y24+Z24+AA24,IF(AS24=5,('Calc (ex-animal)'!$Q$10+'Calc (ex-animal)'!$R$10)*'Calc (ex-housing, ex-storage)'!F24/100/365*AJ24+Y24+Z24+AA24,IF(AS24=3,('Calc (ex-animal)'!$Q$10+'Calc (ex-animal)'!$R$10)*'Calc (ex-housing, ex-storage)'!F24/100/365*AJ24+Y24+Z24+AA24,IF(AS24=4,('Calc (ex-animal)'!$Q$10+'Calc (ex-animal)'!$R$10)*'Calc (ex-housing, ex-storage)'!F24/100*VLOOKUP(D24,'DB technologies'!$N$11:$Y$25,12,FALSE)/100/365*AJ24+Y24+Z24+AA24,0))))))</f>
        <v/>
      </c>
      <c r="BA24" s="506"/>
      <c r="BB24" s="506"/>
      <c r="BC24" s="506"/>
      <c r="BD24" s="98"/>
      <c r="BE24" s="42"/>
      <c r="BF24" s="42"/>
      <c r="BG24" s="1359"/>
      <c r="BH24" s="1362"/>
      <c r="BI24" s="600" t="str">
        <f>IF(BG24="","",$BA$20*BH24/100-($BB$20*BH24/100*VLOOKUP(BG24,'DB technologies'!$AC$21:$AT$25,5,FALSE)/100)+(VLOOKUP(BG24,'DB technologies'!$AC$21:$AT$25,12,FALSE)*$BA$20*BH24/100))</f>
        <v/>
      </c>
      <c r="BJ24" s="551">
        <f>IF(BI24="",0,BI24*BK24/100)</f>
        <v>0</v>
      </c>
      <c r="BK24" s="509" t="str">
        <f>IF(BG24="","",IF($BA$20=0,0,($BB$20*BH24/100)/BI24*(1-(VLOOKUP(BG24,'DB technologies'!$AC$21:$AQ$25,5,FALSE))/100)*100))</f>
        <v/>
      </c>
      <c r="BL24" s="267" t="str">
        <f>IF(BG24="","",$BD$20*BH24/100-BO24-BP24-BQ24-BR24)</f>
        <v/>
      </c>
      <c r="BM24" s="267" t="str">
        <f>IF(BG24="","",$BE$20*BH24/100-BS24)</f>
        <v/>
      </c>
      <c r="BN24" s="267" t="str">
        <f>IF(BG24="","",$BF$20*BH24/100-BT24)</f>
        <v/>
      </c>
      <c r="BO24" s="267" t="str">
        <f>IF(BG24="","",$BD$20*BH24/100*VLOOKUP(BG24,'DB technologies'!$AC$16:$AF$20,2,FALSE)/100)</f>
        <v/>
      </c>
      <c r="BP24" s="267" t="str">
        <f>IF(BG24="","",$BD$20*BH24/100*VLOOKUP(BG24,'DB technologies'!$AC$16:$AN$20,3,FALSE)/100)</f>
        <v/>
      </c>
      <c r="BQ24" s="268" t="str">
        <f>IF(BG24="","",$BD$20*BH24/100*VLOOKUP(BG24,'DB technologies'!$AC$16:$AN$20,4,FALSE)/100)</f>
        <v/>
      </c>
      <c r="BR24" s="266" t="str">
        <f>IF(BG24="","",VLOOKUP(BG24,'DB technologies'!$AC$16:$AQ$20,13,FALSE)/100*$BD$20*BH24/100)</f>
        <v/>
      </c>
      <c r="BS24" s="267" t="str">
        <f>IF(BG24="","",VLOOKUP(BG24,'DB technologies'!$AC$16:$AQ$20,14,FALSE)/100*$BE$20*BH24/100)</f>
        <v/>
      </c>
      <c r="BT24" s="268" t="str">
        <f>IF(BG24="","",VLOOKUP(BG24,'DB technologies'!$AC$16:$AQ$20,15,FALSE)/100*$BF$20*BH24/100)</f>
        <v/>
      </c>
    </row>
    <row r="25" spans="1:74" ht="12" customHeight="1" thickBot="1" x14ac:dyDescent="0.25">
      <c r="A25" s="684"/>
      <c r="B25" s="695"/>
      <c r="C25" s="252"/>
      <c r="D25" s="269" t="s">
        <v>58</v>
      </c>
      <c r="E25" s="270">
        <f>IF('Calc (ex-animal)'!F10=1,'Calc (ex-animal)'!E10,IF(F25&lt;=100,SUM(E20:E24),"ERROR"))</f>
        <v>0</v>
      </c>
      <c r="F25" s="284">
        <f>IF('Calc (ex-animal)'!F10=1,100,IF(SUM(F20:F24) &lt;=100,SUM(F20:F24),"ERROR, SUM&gt;100%"))</f>
        <v>0</v>
      </c>
      <c r="G25" s="492">
        <f>IF('Calc (ex-animal)'!$F$9=1,"",SUM(G20:G24))</f>
        <v>0</v>
      </c>
      <c r="H25" s="433">
        <f>IF('Calc (ex-animal)'!$F$8=1,"",SUM(H20:H24))</f>
        <v>0</v>
      </c>
      <c r="I25" s="433">
        <f>IF('Calc (ex-animal)'!$F$8=1,"",SUM(I20:I24))</f>
        <v>0</v>
      </c>
      <c r="J25" s="433">
        <f>IF('Calc (ex-animal)'!$F$8=1,"",SUM(J20:J24))</f>
        <v>0</v>
      </c>
      <c r="K25" s="433">
        <f>IF('Calc (ex-animal)'!$F$8=1,"",SUM(K20:K24))</f>
        <v>0</v>
      </c>
      <c r="L25" s="470"/>
      <c r="M25" s="470"/>
      <c r="N25" s="470"/>
      <c r="O25" s="470"/>
      <c r="P25" s="633">
        <f>IF(G25=0,0,IF('Calc (ex-animal)'!$F$9=1,"",IF(D25="","",SUM(H25:K25)/G25*100)))</f>
        <v>0</v>
      </c>
      <c r="Q25" s="470"/>
      <c r="R25" s="470"/>
      <c r="S25" s="495"/>
      <c r="T25" s="279">
        <f>IF('Calc (ex-animal)'!F10=1,"",SUM(T20:T24))</f>
        <v>0</v>
      </c>
      <c r="U25" s="433"/>
      <c r="V25" s="433"/>
      <c r="W25" s="433"/>
      <c r="X25" s="279">
        <f>IF('Calc (ex-animal)'!F10=1,"",SUM(X20:X24))</f>
        <v>0</v>
      </c>
      <c r="Y25" s="433"/>
      <c r="Z25" s="433"/>
      <c r="AA25" s="433"/>
      <c r="AB25" s="279">
        <f>IF('Calc (ex-animal)'!F10=1,"",SUM(AB20:AB24))</f>
        <v>0</v>
      </c>
      <c r="AC25" s="279">
        <f>IF('Calc (ex-animal)'!F10=1,"",SUM(AC20:AC24))</f>
        <v>0</v>
      </c>
      <c r="AD25" s="279">
        <f>IF('Calc (ex-animal)'!F10=1,"",SUM(AD20:AD24))</f>
        <v>0</v>
      </c>
      <c r="AE25" s="280">
        <f>IF('Calc (ex-animal)'!F10=1,"",SUM(AE20:AE24))</f>
        <v>0</v>
      </c>
      <c r="AG25" s="696"/>
      <c r="AH25" s="696"/>
      <c r="AI25" s="90"/>
      <c r="AJ25" s="419"/>
      <c r="AK25" s="419"/>
      <c r="AL25" s="419"/>
      <c r="AM25" s="419"/>
      <c r="AN25" s="419"/>
      <c r="AO25" s="97"/>
      <c r="AP25" s="97"/>
      <c r="AQ25" s="97"/>
      <c r="AR25" s="97"/>
      <c r="AS25" s="90"/>
      <c r="AT25" s="419"/>
      <c r="AU25" s="419"/>
      <c r="AV25" s="419"/>
      <c r="AW25" s="419"/>
      <c r="AX25" s="98"/>
      <c r="AY25" s="96"/>
      <c r="AZ25" s="96"/>
      <c r="BA25" s="507"/>
      <c r="BB25" s="507"/>
      <c r="BC25" s="507"/>
      <c r="BD25" s="98"/>
      <c r="BE25" s="96"/>
      <c r="BF25" s="96"/>
      <c r="BG25" s="314" t="s">
        <v>58</v>
      </c>
      <c r="BH25" s="289">
        <f>IF(SUM(BH20:BH24) &gt;100,"ERROR, SUM&gt;100%",SUM(BH20:BH24))</f>
        <v>0</v>
      </c>
      <c r="BI25" s="601">
        <f>SUM(BI20:BI24)</f>
        <v>0</v>
      </c>
      <c r="BJ25" s="593">
        <f>SUM(BJ20:BJ24)</f>
        <v>0</v>
      </c>
      <c r="BK25" s="597">
        <f>IF(BI25=0,0,BJ25/BI25*100)</f>
        <v>0</v>
      </c>
      <c r="BL25" s="307">
        <f>SUM(BL20:BL24)</f>
        <v>0</v>
      </c>
      <c r="BM25" s="307">
        <f t="shared" ref="BM25:BT25" si="3">SUM(BM20:BM24)</f>
        <v>0</v>
      </c>
      <c r="BN25" s="307">
        <f>SUM(BN20:BN24)</f>
        <v>0</v>
      </c>
      <c r="BO25" s="307">
        <f t="shared" si="3"/>
        <v>0</v>
      </c>
      <c r="BP25" s="307">
        <f t="shared" si="3"/>
        <v>0</v>
      </c>
      <c r="BQ25" s="308">
        <f t="shared" si="3"/>
        <v>0</v>
      </c>
      <c r="BR25" s="309">
        <f t="shared" si="3"/>
        <v>0</v>
      </c>
      <c r="BS25" s="307">
        <f t="shared" si="3"/>
        <v>0</v>
      </c>
      <c r="BT25" s="308">
        <f t="shared" si="3"/>
        <v>0</v>
      </c>
      <c r="BV25" s="111"/>
    </row>
    <row r="26" spans="1:74" ht="11.25" customHeight="1" thickBot="1" x14ac:dyDescent="0.25">
      <c r="A26" s="684"/>
      <c r="B26" s="695"/>
      <c r="C26" s="250">
        <f>'Calc (ex-animal)'!D11</f>
        <v>0</v>
      </c>
      <c r="D26" s="1355"/>
      <c r="E26" s="1356"/>
      <c r="F26" s="479" t="str">
        <f>IF('Calc (ex-animal)'!$F$9=1,"",IF($C$26=0,"",IF(D26="","",E26/'Calc (ex-animal)'!$E$11*100)))</f>
        <v/>
      </c>
      <c r="G26" s="484" t="str">
        <f>IF($C$26=0,"",IF('Calc (ex-animal)'!$F$8=1,"",IF(D26="","",SUM(H26:O26))))</f>
        <v/>
      </c>
      <c r="H26" s="471" t="str">
        <f>IF('Calc (ex-animal)'!$F$8=1,"",IF(D26="","",(((VLOOKUP($C$26,'Calc (ex-animal)'!$D$8:$Y$12,6,FALSE)-VLOOKUP($C$26,'Calc (ex-animal)'!$D$8:$Y$12,17,FALSE))*F26/100))*VLOOKUP($C$26,'Calc (ex-animal)'!$D$8:$Y$12,7,FALSE)/100*(1-VLOOKUP(D26,'DB technologies'!$N$11:$Y$25,9,FALSE)/100)))</f>
        <v/>
      </c>
      <c r="I26" s="471" t="str">
        <f>IF(D26="","",((VLOOKUP(D26,'DB technologies'!$N$11:$Y$25,2,FALSE)*VLOOKUP($C$26,'DB animal categories'!$C$10:$AC$21,27,FALSE)*E26/1000)/365*(VLOOKUP($C$26,'DB animal categories'!$C$10:$AC$21,27,FALSE)-VLOOKUP($C$26,'DB animal categories'!$C$10:$AC$21,25,FALSE)*VLOOKUP($C$26,'DB animal categories'!$C$10:$AC$21,26,FALSE)/24))*'DB additional information '!$S$6/100*(1-VLOOKUP(D26,'DB technologies'!$N$11:$Y$25,9,FALSE)/100))</f>
        <v/>
      </c>
      <c r="J26" s="472" t="str">
        <f>IF(D26="","",((VLOOKUP(D26,'DB technologies'!$N$11:$Y$25,3,FALSE)*VLOOKUP($C$26,'DB animal categories'!$C$10:$AC$21,27,FALSE)*E26/1000)/365*(VLOOKUP($C$26,'DB animal categories'!$C$10:$AC$21,27,FALSE)-VLOOKUP($C$26,'DB animal categories'!$C$10:$AC$21,25,FALSE)*VLOOKUP($C$26,'DB animal categories'!$C$10:$AC$21,26,FALSE)/24))*'DB additional information '!$S$7/100*(1-VLOOKUP(D26,'DB technologies'!$N$11:$Y$25,9,FALSE)/100))</f>
        <v/>
      </c>
      <c r="K26" s="472" t="str">
        <f>IF(D26="","",((VLOOKUP(D26,'DB technologies'!$N$11:$Y$25,4,FALSE)*E26*'DB additional information '!$S$8/100*(1-VLOOKUP(D26,'DB technologies'!$N$11:$Y$25,9,FALSE)/100))/365*(VLOOKUP($C$26,'DB animal categories'!$C$10:$AC$21,27,FALSE)-VLOOKUP($C$26,'DB animal categories'!$C$10:$AC$21,25,FALSE)*VLOOKUP($C$26,'DB animal categories'!$C$10:$AC$21,26,FALSE)/24)))</f>
        <v/>
      </c>
      <c r="L26" s="471" t="str">
        <f>IF('Calc (ex-animal)'!$F$8=1,"",IF(D26="","",(((VLOOKUP($C$26,'Calc (ex-animal)'!$D$8:$Y$12,6,FALSE)-VLOOKUP($C$26,'Calc (ex-animal)'!$D$8:$Y$12,17,FALSE))*F26/100))*(1-VLOOKUP($C$26,'Calc (ex-animal)'!$D$8:$Y$12,7,FALSE)/100)*(1-VLOOKUP(D26,'DB technologies'!$N$11:$V$25,8,FALSE)/100)))</f>
        <v/>
      </c>
      <c r="M26" s="472" t="str">
        <f>IF(D26="","",((VLOOKUP(D26,'DB technologies'!$N$11:$Y$25,2,FALSE)*VLOOKUP($C$26,'DB animal categories'!$C$10:$AC$21,27,FALSE)*E26/1000)/365*(VLOOKUP($C$26,'DB animal categories'!$C$10:$AC$21,27,FALSE)-VLOOKUP($C$26,'DB animal categories'!$C$10:$AC$21,25,FALSE)*VLOOKUP($C$26,'DB animal categories'!$C$10:$AC$21,26,FALSE)/24))*(1-'DB additional information '!$S$6/100)*(1-VLOOKUP(D26,'DB technologies'!$N$11:$Y$25,9,FALSE)/100))</f>
        <v/>
      </c>
      <c r="N26" s="472" t="str">
        <f>IF(D26="","",((VLOOKUP(D26,'DB technologies'!$N$11:$Y$25,3,FALSE)*VLOOKUP($C$26,'DB animal categories'!$C$10:$AC$21,27,FALSE)*E26/1000)/365*(VLOOKUP($C$26,'DB animal categories'!$C$10:$AC$21,27,FALSE)-VLOOKUP($C$26,'DB animal categories'!$C$10:$AC$21,25,FALSE)*VLOOKUP($C$26,'DB animal categories'!$C$10:$AC$21,26,FALSE)/24))*(1-'DB additional information '!$S$7/100)*(1-VLOOKUP(D26,'DB technologies'!$N$11:$Y$25,9,FALSE)/100))</f>
        <v/>
      </c>
      <c r="O26" s="471" t="str">
        <f>IF(D26="","",((VLOOKUP(D26,'DB technologies'!$N$11:$Y$25,4,FALSE)*E26*(1-'DB additional information '!$S$8/100)*(1-VLOOKUP(D26,'DB technologies'!$N$11:$Y$25,8,FALSE)/100))/365*(VLOOKUP($C$26,'DB animal categories'!$C$10:$AC$21,27,FALSE)-VLOOKUP($C$26,'DB animal categories'!$C$10:$AC$21,25,FALSE)*VLOOKUP($C$26,'DB animal categories'!$C$10:$AC$21,26,FALSE)/24)))</f>
        <v/>
      </c>
      <c r="P26" s="631" t="str">
        <f>IF(G26=0,0,IF(E26="","",IF(F26="","",IF($C$26=0,"",IF(D26="","",SUM(H26:K26)/G26*100)))))</f>
        <v/>
      </c>
      <c r="Q26" s="473" t="str">
        <f>IF(D26="","",(VLOOKUP(D26,'DB technologies'!$N$11:$Y$25,2,FALSE)*'DB additional information '!$S$6/100*'DB additional information '!$T$6*VLOOKUP($C$26,'DB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R26" s="473" t="str">
        <f>IF(D26="","",(VLOOKUP(D26,'DB technologies'!$N$11:$Y$25,3,FALSE)*'DB additional information '!$S$7/100*'DB additional information '!$T$7*VLOOKUP($C$26,'DB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S26" s="490" t="str">
        <f>IF(D26="","",(VLOOKUP(D26,'DB technologies'!$N$11:$Y$25,4,FALSE)*('DB additional information '!$S$8/100*'DB additional information '!$T$8*E26/1000/1000)))</f>
        <v/>
      </c>
      <c r="T26" s="259" t="str">
        <f>IF($C$26=0,"",IF('Calc (ex-animal)'!$F$9=1,"",IF(D26="","",((VLOOKUP($C$26,'Calc (ex-animal)'!$D$8:$Y$12,10,FALSE)-VLOOKUP($C$26,'Calc (ex-animal)'!$D$8:$Y$12,18,FALSE))*F26/100+Q26+R26+S26)-AC26-AD26-AE26)))</f>
        <v/>
      </c>
      <c r="U26" s="474" t="str">
        <f>IF(D26="","",(VLOOKUP(D26,'DB technologies'!$N$11:$Y$25,2,FALSE)*'DB additional information '!$S$6/100*'DB additional information '!$U$6*VLOOKUP($C$26,'DB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V26" s="420" t="str">
        <f>IF(D26="","",(VLOOKUP(D26,'DB technologies'!$N$11:$Y$25,3,FALSE)*'DB additional information '!$S$7/100*'DB additional information '!$U$7*VLOOKUP($C$26,'DB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W26" s="415" t="str">
        <f>IF(D26="","",(VLOOKUP(D26,'DB technologies'!$N$11:$Y$25,4,FALSE)*('DB additional information '!$S$8/100*'DB additional information '!$U$8*E26/1000/1000)))</f>
        <v/>
      </c>
      <c r="X26" s="259" t="str">
        <f>IF($C$26=0,"",IF('Calc (ex-animal)'!$F$9=1,"",IF(D26="","",((VLOOKUP($C$26,'Calc (ex-animal)'!$D$8:$Y$12,13,FALSE)-VLOOKUP($C$26,'Calc (ex-animal)'!$D$8:$Y$12,19,FALSE))*F26/100+U26+V26+W26))))</f>
        <v/>
      </c>
      <c r="Y26" s="420" t="str">
        <f>IF(D26="","",(VLOOKUP(D26,'DB technologies'!$N$11:$Y$25,2,FALSE)*'DB additional information '!$S$6/100*'DB additional information '!$V$6*VLOOKUP($C$26,'DB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Z26" s="420" t="str">
        <f>IF(D26="","",(VLOOKUP(D26,'DB technologies'!$N$11:$Y$25,3,FALSE)*'DB additional information '!$S$7/100*'DB additional information '!$V$7*VLOOKUP($C$26,'DB animal categories'!$C$10:$AC$21,27,FALSE)*E26/1000/1000)/365*(VLOOKUP($C$26,'DB animal categories'!$C$10:$AC$21,27,FALSE)-VLOOKUP($C$26,'DB animal categories'!$C$10:$AC$21,25,FALSE)*VLOOKUP($C$26,'DB animal categories'!$C$10:$AC$21,26,FALSE)/24))</f>
        <v/>
      </c>
      <c r="AA26" s="420" t="str">
        <f>IF(D26="","",(VLOOKUP(D26,'DB technologies'!$N$11:$Y$25,4,FALSE)*('DB additional information '!$S$8/100*'DB additional information '!$V$8*E26/1000/1000)))</f>
        <v/>
      </c>
      <c r="AB26" s="259" t="str">
        <f>IF($C$26=0,"",IF('Calc (ex-animal)'!$F$8=1,"",IF(D26="","",((VLOOKUP($C$26,'Calc (ex-animal)'!$D$8:$Y$12,16,FALSE)-VLOOKUP($C$26,'Calc (ex-animal)'!$D$8:$Y$12,20,FALSE))*F26/100+Y26+Z26+AA26))))</f>
        <v/>
      </c>
      <c r="AC26" s="259" t="str">
        <f>IF($C$26=0,"",IF('Calc (ex-animal)'!$F$8=1,"",IF(D26="","",VLOOKUP($C$26,'Calc (ex-animal)'!$D$8:$Y$12,9,FALSE)/365*(VLOOKUP($C$26,'DB animal categories'!$C$10:$AC$21,27,FALSE)-VLOOKUP($C$26,'DB animal categories'!$C$10:$AC$21,25,FALSE)*VLOOKUP($C$26,'DB animal categories'!$C$10:$AC$21,26,FALSE)/24)*F26/100*VLOOKUP(D26,'DB technologies'!$N$11:$R$25,5,FALSE)/100)))</f>
        <v/>
      </c>
      <c r="AD26" s="259" t="str">
        <f>IF($C$26=0,"",IF('Calc (ex-animal)'!$F$8=1,"",IF(D26="","",VLOOKUP($C$26,'Calc (ex-animal)'!$D$8:$Y$12,10,FALSE)/365*(VLOOKUP($C$26,'DB animal categories'!$C$10:$AC$21,27,FALSE)-VLOOKUP($C$26,'DB animal categories'!$C$10:$AC$21,25,FALSE)*VLOOKUP($C$26,'DB animal categories'!$C$10:$AC$21,26,FALSE)/24)*F26/100*VLOOKUP(D26,'DB technologies'!$N$11:$Y$25,6,FALSE)/100)))</f>
        <v/>
      </c>
      <c r="AE26" s="260" t="str">
        <f>IF($C$26=0,"",IF('Calc (ex-animal)'!$F$8=1,"",IF(D26="","",VLOOKUP($C$26,'Calc (ex-animal)'!$D$8:$Y$12,10,FALSE)/365*(VLOOKUP($C$26,'DB animal categories'!$C$10:$AC$21,27,FALSE)-VLOOKUP($C$26,'DB animal categories'!$C$10:$AC$21,25,FALSE)*VLOOKUP($C$26,'DB animal categories'!$C$10:$AC$21,26,FALSE)/24)*F26/100*VLOOKUP(D26,'DB technologies'!$N$11:$Y$25,7,FALSE)/100)))</f>
        <v/>
      </c>
      <c r="AG26" s="312"/>
      <c r="AH26" s="313"/>
      <c r="AI26" s="179" t="str">
        <f>IF(D26="","",VLOOKUP(D26,'DB technologies'!$N$11:$Y$25,10,FALSE))</f>
        <v/>
      </c>
      <c r="AJ26" s="482" t="e">
        <f>VLOOKUP($C$26,'DB animal categories'!$C$10:$AN$21,27,FALSE)-VLOOKUP($C$26,'DB animal categories'!$C$10:$AN$21,26,FALSE)*VLOOKUP($C$26,'DB animal categories'!$C$10:$AN$21,25,FALSE)/24</f>
        <v>#N/A</v>
      </c>
      <c r="AK26" s="453" t="str">
        <f>IF(AI26="","",AL26+AM26)</f>
        <v/>
      </c>
      <c r="AL26" s="453" t="str">
        <f>IF(D26="","",IF(AI26=2,(('Calc (ex-animal)'!$G$11*'DB additional information '!$K$4/100*(1-VLOOKUP(D26,'DB technologies'!$N$11:$Y$25,9,FALSE)/100)*'Calc (ex-housing, ex-storage)'!F26/100+'Calc (ex-animal)'!$H$11*'DB additional information '!$L$4/100*(1-VLOOKUP(D26,'DB technologies'!$N$11:$Y$25,9,FALSE)/100)*'Calc (ex-housing, ex-storage)'!F26/100))/365*AJ26+I26+J26+K26,IF(AI26=1,('Calc (ex-animal)'!$H$11*'DB additional information '!$L$4/100*(1-VLOOKUP(D26,'DB technologies'!$N$11:$Y$25,9,FALSE)/100)*'Calc (ex-housing, ex-storage)'!F26/100)/365*AJ26,IF(AI26=4,('Calc (ex-animal)'!$G$11*'DB additional information '!$K$4/100+'Calc (ex-animal)'!$H$11*'DB additional information '!$L$4/100)*(1-VLOOKUP(D26,'DB technologies'!$N$11:$Y$25,9,FALSE)/100)*'Calc (ex-housing, ex-storage)'!F26/100*VLOOKUP(D26,'DB technologies'!$N$11:$Y$25,11,FALSE)/100/365*AJ26,0))))</f>
        <v/>
      </c>
      <c r="AM26" s="453" t="str">
        <f>IF(D26="","",IF(AI26=2,(('Calc (ex-animal)'!$G$11*(1-'DB additional information '!$K$4/100)*(1-VLOOKUP(D26,'DB technologies'!$N$11:$Y$25,8,FALSE)/100)*'Calc (ex-housing, ex-storage)'!F26/100+'Calc (ex-animal)'!$H$11*(1-'DB additional information '!$L$4/100)*(1-VLOOKUP(D26,'DB technologies'!$N$11:$Y$25,8,FALSE)/100)*'Calc (ex-housing, ex-storage)'!F26/100))/365*AJ26+M26+N26+O26,IF(AI26=1,('Calc (ex-animal)'!$H$11*(1-'DB additional information '!$L$4/100)*(1-VLOOKUP(D26,'DB technologies'!$N$11:$Y$25,8,FALSE)/100)*'Calc (ex-housing, ex-storage)'!F26/100)/365*AJ26,IF(AI26=4,('Calc (ex-animal)'!$G$11*(1-'DB additional information '!$K$4/100)+'Calc (ex-animal)'!$H$11*(1-'DB additional information '!$L$4/100))*(1-VLOOKUP(D26,'DB technologies'!$N$11:$Y$25,8,FALSE)/100)*'Calc (ex-housing, ex-storage)'!F26/100*VLOOKUP(D26,'DB technologies'!$N$11:$Y$25,11,FALSE)/100/365*AJ26,0))))</f>
        <v/>
      </c>
      <c r="AN26" s="453" t="str">
        <f>IF(AI26="","",IF(AL26=0,0,AL26/AK26*100))</f>
        <v/>
      </c>
      <c r="AO26" s="180" t="str">
        <f>IF(D26="","",IF(AI26=2,(('Calc (ex-animal)'!$L$11*'Calc (ex-housing, ex-storage)'!F26/100+'Calc (ex-animal)'!$K$11*'Calc (ex-housing, ex-storage)'!F26/100))/365*AJ26+Q26+R26+S26-AC26,IF(AI26=1,('Calc (ex-animal)'!$L$11*'Calc (ex-housing, ex-storage)'!F26/100)/365*AJ26-'Calc (ex-housing, ex-storage)'!AC26,IF(AI26=4,('Calc (ex-animal)'!$L$11+'Calc (ex-animal)'!$K$11)*'Calc (ex-housing, ex-storage)'!F26/100*VLOOKUP(D26,'DB technologies'!$N$11:$Y$25,11,FALSE)/100/365*AJ26-AC26*VLOOKUP(D26,'DB technologies'!$N$11:$Y$25,11,FALSE)/100,0))))</f>
        <v/>
      </c>
      <c r="AP26" s="180" t="str">
        <f>IF(D26="","",IF(AO26&lt;-0.01,0,IF(AI26=2,(('Calc (ex-animal)'!$L$11*'Calc (ex-housing, ex-storage)'!F26/100+'Calc (ex-animal)'!$K$11*'Calc (ex-housing, ex-storage)'!F26/100))/365*AJ26+Q26+R26+S26-AC26,IF(AI26=1,('Calc (ex-animal)'!$L$11*'Calc (ex-housing, ex-storage)'!F26/100)/365*AJ26-'Calc (ex-housing, ex-storage)'!AC26,IF(AI26=4,('Calc (ex-animal)'!$L$11+'Calc (ex-animal)'!$K$11)*'Calc (ex-housing, ex-storage)'!F26/100*VLOOKUP(D26,'DB technologies'!$N$11:$Y$25,11,FALSE)/100/365*AJ26-AC26*VLOOKUP(D26,'DB technologies'!$N$11:$Y$25,11,FALSE)/100,0)))))</f>
        <v/>
      </c>
      <c r="AQ26" s="180" t="str">
        <f>IF(D26="","",IF(AI26=2,('Calc (ex-animal)'!$O$11*'Calc (ex-housing, ex-storage)'!F26/100+'Calc (ex-animal)'!$N$11*'Calc (ex-housing, ex-storage)'!F26/100)/365*AJ26+U26+V26+W26,IF(AI26=1,'Calc (ex-animal)'!$O$11*'Calc (ex-housing, ex-storage)'!F26/100/365*AJ26,IF(AI26=4,('Calc (ex-animal)'!$O$11+'Calc (ex-animal)'!$N$11)*'Calc (ex-housing, ex-storage)'!F26/100*VLOOKUP(D26,'DB technologies'!$N$11:$Y$25,11,FALSE)/100/365*AJ26,0))))</f>
        <v/>
      </c>
      <c r="AR26" s="180" t="str">
        <f>IF(D26="","",IF(AI26=2,('Calc (ex-animal)'!$R$11*'Calc (ex-housing, ex-storage)'!F26/100+'Calc (ex-animal)'!$Q$11*'Calc (ex-housing, ex-storage)'!F26/100)/365*AJ26+Y26+Z26+AA26,IF(AI26=1,'Calc (ex-animal)'!$R$11*'Calc (ex-housing, ex-storage)'!F26/100/365*AJ26,IF(AI26=4,('Calc (ex-animal)'!$R$11+'Calc (ex-animal)'!$Q$11)*'Calc (ex-housing, ex-storage)'!F26/100*VLOOKUP(D26,'DB technologies'!$N$11:$Y$25,11,FALSE)/100/365*AJ26,0))))</f>
        <v/>
      </c>
      <c r="AS26" s="179" t="str">
        <f>IF(D26="","",VLOOKUP(D26,'DB technologies'!$N$11:$Y$25,10,FALSE))</f>
        <v/>
      </c>
      <c r="AT26" s="453" t="str">
        <f t="shared" si="1"/>
        <v/>
      </c>
      <c r="AU26" s="453" t="str">
        <f>IF(D26="","",IF(AS26=2,0,IF(AS26=1,'Calc (ex-animal)'!$G$11*'DB additional information '!$K$4/100*(1-VLOOKUP(D26,'DB technologies'!$N$11:$Y$25,8,FALSE)/100)*'Calc (ex-housing, ex-storage)'!F26/100/365*AJ26+I26+J26+K26,IF(AS26=5,(('Calc (ex-animal)'!$G$11*'DB additional information '!$K$4/100+'Calc (ex-animal)'!$H$11*'DB additional information '!$L$4/100))*(1-VLOOKUP(D26,'DB technologies'!$N$11:$Y$25,9,FALSE)/100)*'Calc (ex-housing, ex-storage)'!F26/100/365*AJ26+I26+J26+K26,IF(AS26=3,('Calc (ex-animal)'!$G$11*'DB additional information '!$K$4/100+'Calc (ex-animal)'!$H$11*'DB additional information '!$L$4/100)*(1-VLOOKUP(D26,'DB technologies'!$N$11:$Y$25,9,FALSE)/100)*'Calc (ex-housing, ex-storage)'!F26/100/365*AJ26+I26+J26+K26,IF(AS26=4,('Calc (ex-animal)'!$G$11*'DB additional information '!$K$4/100+'Calc (ex-animal)'!$H$11*'DB additional information '!$L$4/100)*(1-VLOOKUP(D26,'DB technologies'!$N$11:$Y$25,9,FALSE)/100)*'Calc (ex-housing, ex-storage)'!F26/100*VLOOKUP(D26,'DB technologies'!$N$11:$Y$25,12,FALSE)/100/365*AJ26+I26+J26+K26,0))))))</f>
        <v/>
      </c>
      <c r="AV26" s="453" t="str">
        <f>IF(D26="","",IF(AS26=2,0,IF(AS26=1,'Calc (ex-animal)'!$G$11*(1-'DB additional information '!$K$4/100)*(1-VLOOKUP(D26,'DB technologies'!$N$11:$Y$25,8,FALSE)/100)*'Calc (ex-housing, ex-storage)'!F26/100/365*AJ26+M26+N26+O26,IF(AS26=5,('Calc (ex-animal)'!$G$11*(1-'DB additional information '!$K$4/100)+'Calc (ex-animal)'!$H$11*(1-'DB additional information '!$L$4/100))*(1-VLOOKUP(D26,'DB technologies'!$N$11:$Y$25,8,FALSE)/100)*'Calc (ex-housing, ex-storage)'!F26/100/365*AJ26+M26+N26+O26,IF(AS26=3,('Calc (ex-animal)'!$G$11*(1-'DB additional information '!$K$4/100)+'Calc (ex-animal)'!$H$11*(1-'DB additional information '!$L$4/100))*(1-VLOOKUP(D26,'DB technologies'!$N$11:$Y$25,8,FALSE)/100)*'Calc (ex-housing, ex-storage)'!F26/100/365*AJ26+M26+N26+O26,IF(AS26=4,('Calc (ex-animal)'!$G$11*(1-'DB additional information '!$K$4/100)+'Calc (ex-animal)'!$H$11*(1-'DB additional information '!$L$4/100))*(1-VLOOKUP(D26,'DB technologies'!$N$11:$Y$25,8,FALSE)/100)*'Calc (ex-housing, ex-storage)'!F26/100*VLOOKUP(D26,'DB technologies'!$N$11:$Y$25,12,FALSE)/100/365*AJ26+M26+N26+O26,0))))))</f>
        <v/>
      </c>
      <c r="AW26" s="453" t="str">
        <f>IF(AS26="","",IF(AU26=0,0,AU26/AT26*100))</f>
        <v/>
      </c>
      <c r="AX26" s="180" t="str">
        <f>IF(D26="","",IF(AS26=2,0,IF(AS26=1,'Calc (ex-animal)'!$K$11*'Calc (ex-housing, ex-storage)'!F26/100/365*AJ26+Q26+R26+S26,IF(AS26=5,('Calc (ex-animal)'!$K$11+'Calc (ex-animal)'!$L$11)*'Calc (ex-housing, ex-storage)'!F26/100/365*AJ26+Q26+R26+S26-'Calc (ex-housing, ex-storage)'!AC26,IF(AS26=3,('Calc (ex-animal)'!$K$11+'Calc (ex-animal)'!$L$11)*'Calc (ex-housing, ex-storage)'!F26/100/365*AJ26+Q26+R26+S26-'Calc (ex-housing, ex-storage)'!AC26-AD26-AE26,IF(AI26=4,('Calc (ex-animal)'!$K$11+'Calc (ex-animal)'!$L$11)*'Calc (ex-housing, ex-storage)'!F26/100*VLOOKUP(D26,'DB technologies'!$N$11:$Y$25,12,FALSE)/100/365*AJ26+Q26+R26+S26-(VLOOKUP(D26,'DB technologies'!$N$11:$Y$25,12,FALSE)/100*AC26)-AD26-AE26,0))))))</f>
        <v/>
      </c>
      <c r="AY26" s="180" t="str">
        <f>IF(D26="","",IF(AS26=2,0,IF(AS26=1,'Calc (ex-animal)'!$N$11*'Calc (ex-housing, ex-storage)'!F26/100/365*AJ26+U26+V26+W26,IF(AS26=5,('Calc (ex-animal)'!$N$11+'Calc (ex-animal)'!$O$11)*'Calc (ex-housing, ex-storage)'!F26/100/365*AJ26+U26+V26+W26,IF(AS26=3,('Calc (ex-animal)'!$N$11+'Calc (ex-animal)'!$O$11)*'Calc (ex-housing, ex-storage)'!F26/100/365*AJ26+U26+V26+W26,IF(AS26=4,('Calc (ex-animal)'!$N$11+'Calc (ex-animal)'!$O$11)*'Calc (ex-housing, ex-storage)'!F26/100*VLOOKUP(D26,'DB technologies'!$N$11:$Y$25,12,FALSE)/100/365*AJ26+U26+V26+W26,0))))))</f>
        <v/>
      </c>
      <c r="AZ26" s="180" t="str">
        <f>IF(D26="","",IF(AS26=2,0,IF(AS26=1,'Calc (ex-animal)'!$Q$11*'Calc (ex-housing, ex-storage)'!F26/100/365*AJ26+Y26+Z26+AA26,IF(AS26=5,('Calc (ex-animal)'!$Q$11+'Calc (ex-animal)'!$R$11)*'Calc (ex-housing, ex-storage)'!F26/100/365*AJ26+Y26+Z26+AA26,IF(AS26=3,('Calc (ex-animal)'!$Q$11+'Calc (ex-animal)'!$R$11)*'Calc (ex-housing, ex-storage)'!F26/100/365*AJ26+Y26+Z26+AA26,IF(AS26=4,('Calc (ex-animal)'!$Q$11+'Calc (ex-animal)'!$R$11)*'Calc (ex-housing, ex-storage)'!F26/100*VLOOKUP(D26,'DB technologies'!$N$11:$Y$25,12,FALSE)/100/365*AJ26+Y26+Z26+AA26,0))))))</f>
        <v/>
      </c>
      <c r="BA26" s="506"/>
      <c r="BB26" s="506"/>
      <c r="BC26" s="506"/>
      <c r="BD26" s="98"/>
      <c r="BE26" s="96"/>
      <c r="BF26" s="96"/>
      <c r="BG26" s="313"/>
      <c r="BH26" s="313"/>
      <c r="BI26" s="313"/>
      <c r="BJ26" s="595"/>
      <c r="BK26" s="313"/>
      <c r="BL26" s="596"/>
      <c r="BM26" s="313"/>
      <c r="BN26" s="313"/>
      <c r="BO26" s="313"/>
      <c r="BP26" s="313"/>
      <c r="BQ26" s="313"/>
      <c r="BR26" s="313"/>
      <c r="BS26" s="313"/>
      <c r="BT26" s="313"/>
      <c r="BV26" s="111"/>
    </row>
    <row r="27" spans="1:74" ht="11.25" customHeight="1" x14ac:dyDescent="0.2">
      <c r="A27" s="684"/>
      <c r="B27" s="695"/>
      <c r="C27" s="251"/>
      <c r="D27" s="1357"/>
      <c r="E27" s="1358"/>
      <c r="F27" s="480" t="str">
        <f>IF('Calc (ex-animal)'!$F$9=1,"",IF($C$26=0,"",IF(D27="","",E27/'Calc (ex-animal)'!$E$11*100)))</f>
        <v/>
      </c>
      <c r="G27" s="485" t="str">
        <f>IF($C$26=0,"",IF('Calc (ex-animal)'!$F$8=1,"",IF(D27="","",SUM(H27:O27))))</f>
        <v/>
      </c>
      <c r="H27" s="423" t="str">
        <f>IF('Calc (ex-animal)'!$F$8=1,"",IF(D27="","",(((VLOOKUP($C$26,'Calc (ex-animal)'!$D$8:$Y$12,6,FALSE)-VLOOKUP($C$26,'Calc (ex-animal)'!$D$8:$Y$12,17,FALSE))*F27/100))*VLOOKUP($C$26,'Calc (ex-animal)'!$D$8:$Y$12,7,FALSE)/100*(1-VLOOKUP(D27,'DB technologies'!$N$11:$Y$25,9,FALSE)/100)))</f>
        <v/>
      </c>
      <c r="I27" s="423" t="str">
        <f>IF(D27="","",((VLOOKUP(D27,'DB technologies'!$N$11:$Y$25,2,FALSE)*VLOOKUP($C$26,'DB animal categories'!$C$10:$AC$21,27,FALSE)*E27/1000)/365*(VLOOKUP($C$26,'DB animal categories'!$C$10:$AC$21,27,FALSE)-VLOOKUP($C$26,'DB animal categories'!$C$10:$AC$21,25,FALSE)*VLOOKUP($C$26,'DB animal categories'!$C$10:$AC$21,26,FALSE)/24))*'DB additional information '!$S$6/100*(1-VLOOKUP(D27,'DB technologies'!$N$11:$Y$25,9,FALSE)/100))</f>
        <v/>
      </c>
      <c r="J27" s="434" t="str">
        <f>IF(D27="","",((VLOOKUP(D27,'DB technologies'!$N$11:$Y$25,3,FALSE)*VLOOKUP($C$26,'DB animal categories'!$C$10:$AC$21,27,FALSE)*E27/1000)/365*(VLOOKUP($C$26,'DB animal categories'!$C$10:$AC$21,27,FALSE)-VLOOKUP($C$26,'DB animal categories'!$C$10:$AC$21,25,FALSE)*VLOOKUP($C$26,'DB animal categories'!$C$10:$AC$21,26,FALSE)/24))*'DB additional information '!$S$7/100*(1-VLOOKUP(D27,'DB technologies'!$N$11:$Y$25,9,FALSE)/100))</f>
        <v/>
      </c>
      <c r="K27" s="434" t="str">
        <f>IF(D27="","",((VLOOKUP(D27,'DB technologies'!$N$11:$Y$25,4,FALSE)*E27*'DB additional information '!$S$8/100*(1-VLOOKUP(D27,'DB technologies'!$N$11:$Y$25,9,FALSE)/100))/365*(VLOOKUP($C$26,'DB animal categories'!$C$10:$AC$21,27,FALSE)-VLOOKUP($C$26,'DB animal categories'!$C$10:$AC$21,25,FALSE)*VLOOKUP($C$26,'DB animal categories'!$C$10:$AC$21,26,FALSE)/24)))</f>
        <v/>
      </c>
      <c r="L27" s="423" t="str">
        <f>IF('Calc (ex-animal)'!$F$8=1,"",IF(D27="","",(((VLOOKUP($C$26,'Calc (ex-animal)'!$D$8:$Y$12,6,FALSE)-VLOOKUP($C$26,'Calc (ex-animal)'!$D$8:$Y$12,17,FALSE))*F27/100))*(1-VLOOKUP($C$26,'Calc (ex-animal)'!$D$8:$Y$12,7,FALSE)/100)*(1-VLOOKUP(D27,'DB technologies'!$N$11:$V$25,8,FALSE)/100)))</f>
        <v/>
      </c>
      <c r="M27" s="434" t="str">
        <f>IF(D27="","",((VLOOKUP(D27,'DB technologies'!$N$11:$Y$25,2,FALSE)*VLOOKUP($C$26,'DB animal categories'!$C$10:$AC$21,27,FALSE)*E27/1000)/365*(VLOOKUP($C$26,'DB animal categories'!$C$10:$AC$21,27,FALSE)-VLOOKUP($C$26,'DB animal categories'!$C$10:$AC$21,25,FALSE)*VLOOKUP($C$26,'DB animal categories'!$C$10:$AC$21,26,FALSE)/24))*(1-'DB additional information '!$S$6/100)*(1-VLOOKUP(D27,'DB technologies'!$N$11:$Y$25,9,FALSE)/100))</f>
        <v/>
      </c>
      <c r="N27" s="434" t="str">
        <f>IF(D27="","",((VLOOKUP(D27,'DB technologies'!$N$11:$Y$25,3,FALSE)*VLOOKUP($C$26,'DB animal categories'!$C$10:$AC$21,27,FALSE)*E27/1000)/365*(VLOOKUP($C$26,'DB animal categories'!$C$10:$AC$21,27,FALSE)-VLOOKUP($C$26,'DB animal categories'!$C$10:$AC$21,25,FALSE)*VLOOKUP($C$26,'DB animal categories'!$C$10:$AC$21,26,FALSE)/24))*(1-'DB additional information '!$S$7/100)*(1-VLOOKUP(D27,'DB technologies'!$N$11:$Y$25,9,FALSE)/100))</f>
        <v/>
      </c>
      <c r="O27" s="423" t="str">
        <f>IF(D27="","",((VLOOKUP(D27,'DB technologies'!$N$11:$Y$25,4,FALSE)*E27*(1-'DB additional information '!$S$8/100)*(1-VLOOKUP(D27,'DB technologies'!$N$11:$Y$25,8,FALSE)/100))/365*(VLOOKUP($C$26,'DB animal categories'!$C$10:$AC$21,27,FALSE)-VLOOKUP($C$26,'DB animal categories'!$C$10:$AC$21,25,FALSE)*VLOOKUP($C$26,'DB animal categories'!$C$10:$AC$21,26,FALSE)/24)))</f>
        <v/>
      </c>
      <c r="P27" s="631" t="str">
        <f>IF(G27=0,0,IF(E27="","",IF(F27="","",IF($C$26=0,"",IF(D27="","",SUM(H27:K27)/G27*100)))))</f>
        <v/>
      </c>
      <c r="Q27" s="416" t="str">
        <f>IF(D27="","",(VLOOKUP(D27,'DB technologies'!$N$11:$Y$25,2,FALSE)*'DB additional information '!$S$6/100*'DB additional information '!$T$6*VLOOKUP($C$26,'DB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R27" s="416" t="str">
        <f>IF(D27="","",(VLOOKUP(D27,'DB technologies'!$N$11:$Y$25,3,FALSE)*'DB additional information '!$S$7/100*'DB additional information '!$T$7*VLOOKUP($C$26,'DB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S27" s="491" t="str">
        <f>IF(D27="","",(VLOOKUP(D27,'DB technologies'!$N$11:$Y$25,4,FALSE)*('DB additional information '!$S$8/100*'DB additional information '!$T$8*E27/1000/1000)))</f>
        <v/>
      </c>
      <c r="T27" s="261" t="str">
        <f>IF($C$26=0,"",IF('Calc (ex-animal)'!$F$9=1,"",IF(D27="","",((VLOOKUP($C$26,'Calc (ex-animal)'!$D$8:$Y$12,10,FALSE)-VLOOKUP($C$26,'Calc (ex-animal)'!$D$8:$Y$12,18,FALSE))*F27/100+Q27+R27+S27)-AC27-AD27-AE27)))</f>
        <v/>
      </c>
      <c r="U27" s="422" t="str">
        <f>IF(D27="","",(VLOOKUP(D27,'DB technologies'!$N$11:$Y$25,2,FALSE)*'DB additional information '!$S$6/100*'DB additional information '!$U$6*VLOOKUP($C$26,'DB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V27" s="418" t="str">
        <f>IF(D27="","",(VLOOKUP(D27,'DB technologies'!$N$11:$Y$25,3,FALSE)*'DB additional information '!$S$7/100*'DB additional information '!$U$7*VLOOKUP($C$26,'DB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W27" s="417" t="str">
        <f>IF(D27="","",(VLOOKUP(D27,'DB technologies'!$N$11:$Y$25,4,FALSE)*('DB additional information '!$S$8/100*'DB additional information '!$U$8*E27/1000/1000)))</f>
        <v/>
      </c>
      <c r="X27" s="261" t="str">
        <f>IF($C$26=0,"",IF('Calc (ex-animal)'!$F$9=1,"",IF(D27="","",((VLOOKUP($C$26,'Calc (ex-animal)'!$D$8:$Y$12,13,FALSE)-VLOOKUP($C$26,'Calc (ex-animal)'!$D$8:$Y$12,19,FALSE))*F27/100+U27+V27+W27))))</f>
        <v/>
      </c>
      <c r="Y27" s="418" t="str">
        <f>IF(D27="","",(VLOOKUP(D27,'DB technologies'!$N$11:$Y$25,2,FALSE)*'DB additional information '!$S$6/100*'DB additional information '!$V$6*VLOOKUP($C$26,'DB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Z27" s="418" t="str">
        <f>IF(D27="","",(VLOOKUP(D27,'DB technologies'!$N$11:$Y$25,3,FALSE)*'DB additional information '!$S$7/100*'DB additional information '!$V$7*VLOOKUP($C$26,'DB animal categories'!$C$10:$AC$21,27,FALSE)*E27/1000/1000)/365*(VLOOKUP($C$26,'DB animal categories'!$C$10:$AC$21,27,FALSE)-VLOOKUP($C$26,'DB animal categories'!$C$10:$AC$21,25,FALSE)*VLOOKUP($C$26,'DB animal categories'!$C$10:$AC$21,26,FALSE)/24))</f>
        <v/>
      </c>
      <c r="AA27" s="418" t="str">
        <f>IF(D27="","",(VLOOKUP(D27,'DB technologies'!$N$11:$Y$25,4,FALSE)*('DB additional information '!$S$8/100*'DB additional information '!$V$8*E27/1000/1000)))</f>
        <v/>
      </c>
      <c r="AB27" s="261" t="str">
        <f>IF($C$26=0,"",IF('Calc (ex-animal)'!$F$8=1,"",IF(D27="","",((VLOOKUP($C$26,'Calc (ex-animal)'!$D$8:$Y$12,16,FALSE)-VLOOKUP($C$26,'Calc (ex-animal)'!$D$8:$Y$12,20,FALSE))*F27/100+Y27+Z27+AA27))))</f>
        <v/>
      </c>
      <c r="AC27" s="261" t="str">
        <f>IF($C$26=0,"",IF('Calc (ex-animal)'!$F$8=1,"",IF(D27="","",VLOOKUP($C$26,'Calc (ex-animal)'!$D$8:$Y$12,9,FALSE)/365*(VLOOKUP($C$26,'DB animal categories'!$C$10:$AC$21,27,FALSE)-VLOOKUP($C$26,'DB animal categories'!$C$10:$AC$21,25,FALSE)*VLOOKUP($C$26,'DB animal categories'!$C$10:$AC$21,26,FALSE)/24)*F27/100*VLOOKUP(D27,'DB technologies'!$N$11:$R$25,5,FALSE)/100)))</f>
        <v/>
      </c>
      <c r="AD27" s="261" t="str">
        <f>IF($C$26=0,"",IF('Calc (ex-animal)'!$F$8=1,"",IF(D27="","",VLOOKUP($C$26,'Calc (ex-animal)'!$D$8:$Y$12,10,FALSE)/365*(VLOOKUP($C$26,'DB animal categories'!$C$10:$AC$21,27,FALSE)-VLOOKUP($C$26,'DB animal categories'!$C$10:$AC$21,25,FALSE)*VLOOKUP($C$26,'DB animal categories'!$C$10:$AC$21,26,FALSE)/24)*F27/100*VLOOKUP(D27,'DB technologies'!$N$11:$Y$25,6,FALSE)/100)))</f>
        <v/>
      </c>
      <c r="AE27" s="262" t="str">
        <f>IF($C$26=0,"",IF('Calc (ex-animal)'!$F$8=1,"",IF(D27="","",VLOOKUP($C$26,'Calc (ex-animal)'!$D$8:$Y$12,10,FALSE)/365*(VLOOKUP($C$26,'DB animal categories'!$C$10:$AC$21,27,FALSE)-VLOOKUP($C$26,'DB animal categories'!$C$10:$AC$21,25,FALSE)*VLOOKUP($C$26,'DB animal categories'!$C$10:$AC$21,26,FALSE)/24)*F27/100*VLOOKUP(D27,'DB technologies'!$N$11:$Y$25,7,FALSE)/100)))</f>
        <v/>
      </c>
      <c r="AG27" s="694" t="s">
        <v>76</v>
      </c>
      <c r="AH27" s="694" t="s">
        <v>129</v>
      </c>
      <c r="AI27" s="181" t="str">
        <f>IF(D27="","",VLOOKUP(D27,'DB technologies'!$N$11:$Y$25,10,FALSE))</f>
        <v/>
      </c>
      <c r="AJ27" s="449" t="e">
        <f>VLOOKUP($C$26,'DB animal categories'!$C$10:$AN$21,27,FALSE)-VLOOKUP($C$26,'DB animal categories'!$C$10:$AN$21,26,FALSE)*VLOOKUP($C$26,'DB animal categories'!$C$10:$AN$21,25,FALSE)/24</f>
        <v>#N/A</v>
      </c>
      <c r="AK27" s="442" t="str">
        <f>IF(AI27="","",AL27+AM27)</f>
        <v/>
      </c>
      <c r="AL27" s="442" t="str">
        <f>IF(D27="","",IF(AI27=2,(('Calc (ex-animal)'!$G$11*'DB additional information '!$K$4/100*(1-VLOOKUP(D27,'DB technologies'!$N$11:$Y$25,9,FALSE)/100)*'Calc (ex-housing, ex-storage)'!F27/100+'Calc (ex-animal)'!$H$11*'DB additional information '!$L$4/100*(1-VLOOKUP(D27,'DB technologies'!$N$11:$Y$25,9,FALSE)/100)*'Calc (ex-housing, ex-storage)'!F27/100))/365*AJ27+I27+J27+K27,IF(AI27=1,('Calc (ex-animal)'!$H$11*'DB additional information '!$L$4/100*(1-VLOOKUP(D27,'DB technologies'!$N$11:$Y$25,9,FALSE)/100)*'Calc (ex-housing, ex-storage)'!F27/100)/365*AJ27,IF(AI27=4,('Calc (ex-animal)'!$G$11*'DB additional information '!$K$4/100+'Calc (ex-animal)'!$H$11*'DB additional information '!$L$4/100)*(1-VLOOKUP(D27,'DB technologies'!$N$11:$Y$25,9,FALSE)/100)*'Calc (ex-housing, ex-storage)'!F27/100*VLOOKUP(D27,'DB technologies'!$N$11:$Y$25,11,FALSE)/100/365*AJ27,0))))</f>
        <v/>
      </c>
      <c r="AM27" s="442" t="str">
        <f>IF(D27="","",IF(AI27=2,(('Calc (ex-animal)'!$G$11*(1-'DB additional information '!$K$4/100)*(1-VLOOKUP(D27,'DB technologies'!$N$11:$Y$25,8,FALSE)/100)*'Calc (ex-housing, ex-storage)'!F27/100+'Calc (ex-animal)'!$H$11*(1-'DB additional information '!$L$4/100)*(1-VLOOKUP(D27,'DB technologies'!$N$11:$Y$25,8,FALSE)/100)*'Calc (ex-housing, ex-storage)'!F27/100))/365*AJ27+M27+N27+O27,IF(AI27=1,('Calc (ex-animal)'!$H$11*(1-'DB additional information '!$L$4/100)*(1-VLOOKUP(D27,'DB technologies'!$N$11:$Y$25,8,FALSE)/100)*'Calc (ex-housing, ex-storage)'!F27/100)/365*AJ27,IF(AI27=4,('Calc (ex-animal)'!$G$11*(1-'DB additional information '!$K$4/100)+'Calc (ex-animal)'!$H$11*(1-'DB additional information '!$L$4/100))*(1-VLOOKUP(D27,'DB technologies'!$N$11:$Y$25,8,FALSE)/100)*'Calc (ex-housing, ex-storage)'!F27/100*VLOOKUP(D27,'DB technologies'!$N$11:$Y$25,11,FALSE)/100/365*AJ27,0))))</f>
        <v/>
      </c>
      <c r="AN27" s="442" t="str">
        <f>IF(AI27="","",IF(AL27=0,0,AL27/AK27*100))</f>
        <v/>
      </c>
      <c r="AO27" s="182" t="str">
        <f>IF(D27="","",IF(AI27=2,(('Calc (ex-animal)'!$L$11*'Calc (ex-housing, ex-storage)'!F27/100+'Calc (ex-animal)'!$K$11*'Calc (ex-housing, ex-storage)'!F27/100))/365*AJ27+Q27+R27+S27-AC27,IF(AI27=1,('Calc (ex-animal)'!$L$11*'Calc (ex-housing, ex-storage)'!F27/100)/365*AJ27-'Calc (ex-housing, ex-storage)'!AC27,IF(AI27=4,('Calc (ex-animal)'!$L$11+'Calc (ex-animal)'!$K$11)*'Calc (ex-housing, ex-storage)'!F27/100*VLOOKUP(D27,'DB technologies'!$N$11:$Y$25,11,FALSE)/100/365*AJ27-AC27*VLOOKUP(D27,'DB technologies'!$N$11:$Y$25,11,FALSE)/100,0))))</f>
        <v/>
      </c>
      <c r="AP27" s="182" t="str">
        <f>IF(D27="","",IF(AO27&lt;-0.01,0,IF(AI27=2,(('Calc (ex-animal)'!$L$11*'Calc (ex-housing, ex-storage)'!F27/100+'Calc (ex-animal)'!$K$11*'Calc (ex-housing, ex-storage)'!F27/100))/365*AJ27+Q27+R27+S27-AC27,IF(AI27=1,('Calc (ex-animal)'!$L$11*'Calc (ex-housing, ex-storage)'!F27/100)/365*AJ27-'Calc (ex-housing, ex-storage)'!AC27,IF(AI27=4,('Calc (ex-animal)'!$L$11+'Calc (ex-animal)'!$K$11)*'Calc (ex-housing, ex-storage)'!F27/100*VLOOKUP(D27,'DB technologies'!$N$11:$Y$25,11,FALSE)/100/365*AJ27-AC27*VLOOKUP(D27,'DB technologies'!$N$11:$Y$25,11,FALSE)/100,0)))))</f>
        <v/>
      </c>
      <c r="AQ27" s="182" t="str">
        <f>IF(D27="","",IF(AI27=2,('Calc (ex-animal)'!$O$11*'Calc (ex-housing, ex-storage)'!F27/100+'Calc (ex-animal)'!$N$11*'Calc (ex-housing, ex-storage)'!F27/100)/365*AJ27+U27+V27+W27,IF(AI27=1,'Calc (ex-animal)'!$O$11*'Calc (ex-housing, ex-storage)'!F27/100/365*AJ27,IF(AI27=4,('Calc (ex-animal)'!$O$11+'Calc (ex-animal)'!$N$11)*'Calc (ex-housing, ex-storage)'!F27/100*VLOOKUP(D27,'DB technologies'!$N$11:$Y$25,11,FALSE)/100/365*AJ27,0))))</f>
        <v/>
      </c>
      <c r="AR27" s="182" t="str">
        <f>IF(D27="","",IF(AI27=2,('Calc (ex-animal)'!$R$11*'Calc (ex-housing, ex-storage)'!F27/100+'Calc (ex-animal)'!$Q$11*'Calc (ex-housing, ex-storage)'!F27/100)/365*AJ27+Y27+Z27+AA27,IF(AI27=1,'Calc (ex-animal)'!$R$11*'Calc (ex-housing, ex-storage)'!F27/100/365*AJ27,IF(AI27=4,('Calc (ex-animal)'!$R$11+'Calc (ex-animal)'!$Q$11)*'Calc (ex-housing, ex-storage)'!F27/100*VLOOKUP(D27,'DB technologies'!$N$11:$Y$25,11,FALSE)/100/365*AJ27,0))))</f>
        <v/>
      </c>
      <c r="AS27" s="181" t="str">
        <f>IF(D27="","",VLOOKUP(D27,'DB technologies'!$N$11:$Y$25,10,FALSE))</f>
        <v/>
      </c>
      <c r="AT27" s="442" t="str">
        <f t="shared" si="1"/>
        <v/>
      </c>
      <c r="AU27" s="442" t="str">
        <f>IF(D27="","",IF(AS27=2,0,IF(AS27=1,'Calc (ex-animal)'!$G$11*'DB additional information '!$K$4/100*(1-VLOOKUP(D27,'DB technologies'!$N$11:$Y$25,8,FALSE)/100)*'Calc (ex-housing, ex-storage)'!F27/100/365*AJ27+I27+J27+K27,IF(AS27=5,(('Calc (ex-animal)'!$G$11*'DB additional information '!$K$4/100+'Calc (ex-animal)'!$H$11*'DB additional information '!$L$4/100))*(1-VLOOKUP(D27,'DB technologies'!$N$11:$Y$25,9,FALSE)/100)*'Calc (ex-housing, ex-storage)'!F27/100/365*AJ27+I27+J27+K27,IF(AS27=3,('Calc (ex-animal)'!$G$11*'DB additional information '!$K$4/100+'Calc (ex-animal)'!$H$11*'DB additional information '!$L$4/100)*(1-VLOOKUP(D27,'DB technologies'!$N$11:$Y$25,9,FALSE)/100)*'Calc (ex-housing, ex-storage)'!F27/100/365*AJ27+I27+J27+K27,IF(AS27=4,('Calc (ex-animal)'!$G$11*'DB additional information '!$K$4/100+'Calc (ex-animal)'!$H$11*'DB additional information '!$L$4/100)*(1-VLOOKUP(D27,'DB technologies'!$N$11:$Y$25,9,FALSE)/100)*'Calc (ex-housing, ex-storage)'!F27/100*VLOOKUP(D27,'DB technologies'!$N$11:$Y$25,12,FALSE)/100/365*AJ27+I27+J27+K27,0))))))</f>
        <v/>
      </c>
      <c r="AV27" s="442" t="str">
        <f>IF(D27="","",IF(AS27=2,0,IF(AS27=1,'Calc (ex-animal)'!$G$11*(1-'DB additional information '!$K$4/100)*(1-VLOOKUP(D27,'DB technologies'!$N$11:$Y$25,8,FALSE)/100)*'Calc (ex-housing, ex-storage)'!F27/100/365*AJ27+M27+N27+O27,IF(AS27=5,('Calc (ex-animal)'!$G$11*(1-'DB additional information '!$K$4/100)+'Calc (ex-animal)'!$H$11*(1-'DB additional information '!$L$4/100))*(1-VLOOKUP(D27,'DB technologies'!$N$11:$Y$25,8,FALSE)/100)*'Calc (ex-housing, ex-storage)'!F27/100/365*AJ27+M27+N27+O27,IF(AS27=3,('Calc (ex-animal)'!$G$11*(1-'DB additional information '!$K$4/100)+'Calc (ex-animal)'!$H$11*(1-'DB additional information '!$L$4/100))*(1-VLOOKUP(D27,'DB technologies'!$N$11:$Y$25,8,FALSE)/100)*'Calc (ex-housing, ex-storage)'!F27/100/365*AJ27+M27+N27+O27,IF(AS27=4,('Calc (ex-animal)'!$G$11*(1-'DB additional information '!$K$4/100)+'Calc (ex-animal)'!$H$11*(1-'DB additional information '!$L$4/100))*(1-VLOOKUP(D27,'DB technologies'!$N$11:$Y$25,8,FALSE)/100)*'Calc (ex-housing, ex-storage)'!F27/100*VLOOKUP(D27,'DB technologies'!$N$11:$Y$25,12,FALSE)/100/365*AJ27+M27+N27+O27,0))))))</f>
        <v/>
      </c>
      <c r="AW27" s="442" t="str">
        <f>IF(AS27="","",IF(AU27=0,0,AU27/AT27*100))</f>
        <v/>
      </c>
      <c r="AX27" s="182" t="str">
        <f>IF(D27="","",IF(AS27=2,0,IF(AS27=1,'Calc (ex-animal)'!$K$11*'Calc (ex-housing, ex-storage)'!F27/100/365*AJ27+Q27+R27+S27,IF(AS27=5,('Calc (ex-animal)'!$K$11+'Calc (ex-animal)'!$L$11)*'Calc (ex-housing, ex-storage)'!F27/100/365*AJ27+Q27+R27+S27-'Calc (ex-housing, ex-storage)'!AC27,IF(AS27=3,('Calc (ex-animal)'!$K$11+'Calc (ex-animal)'!$L$11)*'Calc (ex-housing, ex-storage)'!F27/100/365*AJ27+Q27+R27+S27-'Calc (ex-housing, ex-storage)'!AC27-AD27-AE27,IF(AI27=4,('Calc (ex-animal)'!$K$11+'Calc (ex-animal)'!$L$11)*'Calc (ex-housing, ex-storage)'!F27/100*VLOOKUP(D27,'DB technologies'!$N$11:$Y$25,12,FALSE)/100/365*AJ27+Q27+R27+S27-(VLOOKUP(D27,'DB technologies'!$N$11:$Y$25,12,FALSE)/100*AC27)-AD27-AE27,0))))))</f>
        <v/>
      </c>
      <c r="AY27" s="182" t="str">
        <f>IF(D27="","",IF(AS27=2,0,IF(AS27=1,'Calc (ex-animal)'!$N$11*'Calc (ex-housing, ex-storage)'!F27/100/365*AJ27+U27+V27+W27,IF(AS27=5,('Calc (ex-animal)'!$N$11+'Calc (ex-animal)'!$O$11)*'Calc (ex-housing, ex-storage)'!F27/100/365*AJ27+U27+V27+W27,IF(AS27=3,('Calc (ex-animal)'!$N$11+'Calc (ex-animal)'!$O$11)*'Calc (ex-housing, ex-storage)'!F27/100/365*AJ27+U27+V27+W27,IF(AS27=4,('Calc (ex-animal)'!$N$11+'Calc (ex-animal)'!$O$11)*'Calc (ex-housing, ex-storage)'!F27/100*VLOOKUP(D27,'DB technologies'!$N$11:$Y$25,12,FALSE)/100/365*AJ27+U27+V27+W27,0))))))</f>
        <v/>
      </c>
      <c r="AZ27" s="182" t="str">
        <f>IF(D27="","",IF(AS27=2,0,IF(AS27=1,'Calc (ex-animal)'!$Q$11*'Calc (ex-housing, ex-storage)'!F27/100/365*AJ27+Y27+Z27+AA27,IF(AS27=5,('Calc (ex-animal)'!$Q$11+'Calc (ex-animal)'!$R$11)*'Calc (ex-housing, ex-storage)'!F27/100/365*AJ27+Y27+Z27+AA27,IF(AS27=3,('Calc (ex-animal)'!$Q$11+'Calc (ex-animal)'!$R$11)*'Calc (ex-housing, ex-storage)'!F27/100/365*AJ27+Y27+Z27+AA27,IF(AS27=4,('Calc (ex-animal)'!$Q$11+'Calc (ex-animal)'!$R$11)*'Calc (ex-housing, ex-storage)'!F27/100*VLOOKUP(D27,'DB technologies'!$N$11:$Y$25,12,FALSE)/100/365*AJ27+Y27+Z27+AA27,0))))))</f>
        <v/>
      </c>
      <c r="BA27" s="97">
        <f>SUM(AK160:AK273)</f>
        <v>0</v>
      </c>
      <c r="BB27" s="97">
        <f>SUM(AL160:AL273)</f>
        <v>0</v>
      </c>
      <c r="BC27" s="506" t="e">
        <f>BB27/BA27*100</f>
        <v>#DIV/0!</v>
      </c>
      <c r="BD27" s="97">
        <f>SUM(AP160:AP273)</f>
        <v>0</v>
      </c>
      <c r="BE27" s="97">
        <f>SUM(AQ160:AQ273)</f>
        <v>0</v>
      </c>
      <c r="BF27" s="97">
        <f>SUM(AR160:AR273)</f>
        <v>0</v>
      </c>
      <c r="BG27" s="1355"/>
      <c r="BH27" s="1363"/>
      <c r="BI27" s="599" t="str">
        <f>IF(BG27="","",$BA$27*BH27/100-($BB$27*BH27/100*VLOOKUP(BG27,'DB technologies'!$AC$27:$AM$31,5,FALSE)/100)+(VLOOKUP(BG27,'DB technologies'!$AC$27:$AN$31,12,FALSE)*$BA$27*BH27/100))</f>
        <v/>
      </c>
      <c r="BJ27" s="594">
        <f>IF(BI27="",0,BI27*BK27/100)</f>
        <v>0</v>
      </c>
      <c r="BK27" s="570" t="str">
        <f>IF(BG27="","",($BB$27*BH27/100)/BI27*(1-(VLOOKUP(BG27,'DB technologies'!$AC$27:$AM$31,5,FALSE))/100)*100)</f>
        <v/>
      </c>
      <c r="BL27" s="259" t="str">
        <f>IF(BG27="","",$BD$27*BH27/100-BO27-BP27-BQ27)</f>
        <v/>
      </c>
      <c r="BM27" s="259" t="str">
        <f>IF(BG27="","",$BE$27*BH27/100)</f>
        <v/>
      </c>
      <c r="BN27" s="259" t="str">
        <f>IF(BG27="","",$BF$27*BH27/100)</f>
        <v/>
      </c>
      <c r="BO27" s="259" t="str">
        <f>IF(BG27="","",$BD$27*BH27/100*VLOOKUP(BG27,'DB technologies'!$AC$27:$AF$31,2,FALSE)/100)</f>
        <v/>
      </c>
      <c r="BP27" s="259" t="str">
        <f>IF(BG27="","",$BD$27*BH27/100*VLOOKUP(BG27,'DB technologies'!$AC$27:$AN$31,3,FALSE)/100)</f>
        <v/>
      </c>
      <c r="BQ27" s="260" t="str">
        <f>IF(BG27="","",$BD$27*BH27/100*VLOOKUP(BG27,'DB technologies'!$AC$27:$AN$31,4,FALSE)/100)</f>
        <v/>
      </c>
      <c r="BR27" s="114"/>
      <c r="BS27" s="114"/>
      <c r="BT27" s="115"/>
      <c r="BV27" s="111"/>
    </row>
    <row r="28" spans="1:74" ht="11.25" customHeight="1" x14ac:dyDescent="0.2">
      <c r="A28" s="684"/>
      <c r="B28" s="695"/>
      <c r="C28" s="251"/>
      <c r="D28" s="1357"/>
      <c r="E28" s="1358"/>
      <c r="F28" s="480" t="str">
        <f>IF('Calc (ex-animal)'!$F$9=1,"",IF($C$26=0,"",IF(D28="","",E28/'Calc (ex-animal)'!$E$11*100)))</f>
        <v/>
      </c>
      <c r="G28" s="485" t="str">
        <f>IF($C$26=0,"",IF('Calc (ex-animal)'!$F$8=1,"",IF(D28="","",SUM(H28:O28))))</f>
        <v/>
      </c>
      <c r="H28" s="423" t="str">
        <f>IF('Calc (ex-animal)'!$F$8=1,"",IF(D28="","",(((VLOOKUP($C$26,'Calc (ex-animal)'!$D$8:$Y$12,6,FALSE)-VLOOKUP($C$26,'Calc (ex-animal)'!$D$8:$Y$12,17,FALSE))*F28/100))*VLOOKUP($C$26,'Calc (ex-animal)'!$D$8:$Y$12,7,FALSE)/100*(1-VLOOKUP(D28,'DB technologies'!$N$11:$Y$25,9,FALSE)/100)))</f>
        <v/>
      </c>
      <c r="I28" s="423" t="str">
        <f>IF(D28="","",((VLOOKUP(D28,'DB technologies'!$N$11:$Y$25,2,FALSE)*VLOOKUP($C$26,'DB animal categories'!$C$10:$AC$21,27,FALSE)*E28/1000)/365*(VLOOKUP($C$26,'DB animal categories'!$C$10:$AC$21,27,FALSE)-VLOOKUP($C$26,'DB animal categories'!$C$10:$AC$21,25,FALSE)*VLOOKUP($C$26,'DB animal categories'!$C$10:$AC$21,26,FALSE)/24))*'DB additional information '!$S$6/100*(1-VLOOKUP(D28,'DB technologies'!$N$11:$Y$25,9,FALSE)/100))</f>
        <v/>
      </c>
      <c r="J28" s="434" t="str">
        <f>IF(D28="","",((VLOOKUP(D28,'DB technologies'!$N$11:$Y$25,3,FALSE)*VLOOKUP($C$26,'DB animal categories'!$C$10:$AC$21,27,FALSE)*E28/1000)/365*(VLOOKUP($C$26,'DB animal categories'!$C$10:$AC$21,27,FALSE)-VLOOKUP($C$26,'DB animal categories'!$C$10:$AC$21,25,FALSE)*VLOOKUP($C$26,'DB animal categories'!$C$10:$AC$21,26,FALSE)/24))*'DB additional information '!$S$7/100*(1-VLOOKUP(D28,'DB technologies'!$N$11:$Y$25,9,FALSE)/100))</f>
        <v/>
      </c>
      <c r="K28" s="434" t="str">
        <f>IF(D28="","",((VLOOKUP(D28,'DB technologies'!$N$11:$Y$25,4,FALSE)*E28*'DB additional information '!$S$8/100*(1-VLOOKUP(D28,'DB technologies'!$N$11:$Y$25,9,FALSE)/100))/365*(VLOOKUP($C$26,'DB animal categories'!$C$10:$AC$21,27,FALSE)-VLOOKUP($C$26,'DB animal categories'!$C$10:$AC$21,25,FALSE)*VLOOKUP($C$26,'DB animal categories'!$C$10:$AC$21,26,FALSE)/24)))</f>
        <v/>
      </c>
      <c r="L28" s="423" t="str">
        <f>IF('Calc (ex-animal)'!$F$8=1,"",IF(D28="","",(((VLOOKUP($C$26,'Calc (ex-animal)'!$D$8:$Y$12,6,FALSE)-VLOOKUP($C$26,'Calc (ex-animal)'!$D$8:$Y$12,17,FALSE))*F28/100))*(1-VLOOKUP($C$26,'Calc (ex-animal)'!$D$8:$Y$12,7,FALSE)/100)*(1-VLOOKUP(D28,'DB technologies'!$N$11:$V$25,8,FALSE)/100)))</f>
        <v/>
      </c>
      <c r="M28" s="434" t="str">
        <f>IF(D28="","",((VLOOKUP(D28,'DB technologies'!$N$11:$Y$25,2,FALSE)*VLOOKUP($C$26,'DB animal categories'!$C$10:$AC$21,27,FALSE)*E28/1000)/365*(VLOOKUP($C$26,'DB animal categories'!$C$10:$AC$21,27,FALSE)-VLOOKUP($C$26,'DB animal categories'!$C$10:$AC$21,25,FALSE)*VLOOKUP($C$26,'DB animal categories'!$C$10:$AC$21,26,FALSE)/24))*(1-'DB additional information '!$S$6/100)*(1-VLOOKUP(D28,'DB technologies'!$N$11:$Y$25,9,FALSE)/100))</f>
        <v/>
      </c>
      <c r="N28" s="434" t="str">
        <f>IF(D28="","",((VLOOKUP(D28,'DB technologies'!$N$11:$Y$25,3,FALSE)*VLOOKUP($C$26,'DB animal categories'!$C$10:$AC$21,27,FALSE)*E28/1000)/365*(VLOOKUP($C$26,'DB animal categories'!$C$10:$AC$21,27,FALSE)-VLOOKUP($C$26,'DB animal categories'!$C$10:$AC$21,25,FALSE)*VLOOKUP($C$26,'DB animal categories'!$C$10:$AC$21,26,FALSE)/24))*(1-'DB additional information '!$S$7/100)*(1-VLOOKUP(D28,'DB technologies'!$N$11:$Y$25,9,FALSE)/100))</f>
        <v/>
      </c>
      <c r="O28" s="423" t="str">
        <f>IF(D28="","",((VLOOKUP(D28,'DB technologies'!$N$11:$Y$25,4,FALSE)*E28*(1-'DB additional information '!$S$8/100)*(1-VLOOKUP(D28,'DB technologies'!$N$11:$Y$25,8,FALSE)/100))/365*(VLOOKUP($C$26,'DB animal categories'!$C$10:$AC$21,27,FALSE)-VLOOKUP($C$26,'DB animal categories'!$C$10:$AC$21,25,FALSE)*VLOOKUP($C$26,'DB animal categories'!$C$10:$AC$21,26,FALSE)/24)))</f>
        <v/>
      </c>
      <c r="P28" s="631" t="str">
        <f>IF(G28=0,0,IF(E28="","",IF(F28="","",IF($C$26=0,"",IF(D28="","",SUM(H28:K28)/G28*100)))))</f>
        <v/>
      </c>
      <c r="Q28" s="416" t="str">
        <f>IF(D28="","",(VLOOKUP(D28,'DB technologies'!$N$11:$Y$25,2,FALSE)*'DB additional information '!$S$6/100*'DB additional information '!$T$6*VLOOKUP($C$26,'DB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R28" s="416" t="str">
        <f>IF(D28="","",(VLOOKUP(D28,'DB technologies'!$N$11:$Y$25,3,FALSE)*'DB additional information '!$S$7/100*'DB additional information '!$T$7*VLOOKUP($C$26,'DB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S28" s="491" t="str">
        <f>IF(D28="","",(VLOOKUP(D28,'DB technologies'!$N$11:$Y$25,4,FALSE)*('DB additional information '!$S$8/100*'DB additional information '!$T$8*E28/1000/1000)))</f>
        <v/>
      </c>
      <c r="T28" s="261" t="str">
        <f>IF($C$26=0,"",IF('Calc (ex-animal)'!$F$9=1,"",IF(D28="","",((VLOOKUP($C$26,'Calc (ex-animal)'!$D$8:$Y$12,10,FALSE)-VLOOKUP($C$26,'Calc (ex-animal)'!$D$8:$Y$12,18,FALSE))*F28/100+Q28+R28+S28)-AC28-AD28-AE28)))</f>
        <v/>
      </c>
      <c r="U28" s="422" t="str">
        <f>IF(D28="","",(VLOOKUP(D28,'DB technologies'!$N$11:$Y$25,2,FALSE)*'DB additional information '!$S$6/100*'DB additional information '!$U$6*VLOOKUP($C$26,'DB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V28" s="418" t="str">
        <f>IF(D28="","",(VLOOKUP(D28,'DB technologies'!$N$11:$Y$25,3,FALSE)*'DB additional information '!$S$7/100*'DB additional information '!$U$7*VLOOKUP($C$26,'DB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W28" s="417" t="str">
        <f>IF(D28="","",(VLOOKUP(D28,'DB technologies'!$N$11:$Y$25,4,FALSE)*('DB additional information '!$S$8/100*'DB additional information '!$U$8*E28/1000/1000)))</f>
        <v/>
      </c>
      <c r="X28" s="261" t="str">
        <f>IF($C$26=0,"",IF('Calc (ex-animal)'!$F$9=1,"",IF(D28="","",((VLOOKUP($C$26,'Calc (ex-animal)'!$D$8:$Y$12,13,FALSE)-VLOOKUP($C$26,'Calc (ex-animal)'!$D$8:$Y$12,19,FALSE))*F28/100+U28+V28+W28))))</f>
        <v/>
      </c>
      <c r="Y28" s="418" t="str">
        <f>IF(D28="","",(VLOOKUP(D28,'DB technologies'!$N$11:$Y$25,2,FALSE)*'DB additional information '!$S$6/100*'DB additional information '!$V$6*VLOOKUP($C$26,'DB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Z28" s="418" t="str">
        <f>IF(D28="","",(VLOOKUP(D28,'DB technologies'!$N$11:$Y$25,3,FALSE)*'DB additional information '!$S$7/100*'DB additional information '!$V$7*VLOOKUP($C$26,'DB animal categories'!$C$10:$AC$21,27,FALSE)*E28/1000/1000)/365*(VLOOKUP($C$26,'DB animal categories'!$C$10:$AC$21,27,FALSE)-VLOOKUP($C$26,'DB animal categories'!$C$10:$AC$21,25,FALSE)*VLOOKUP($C$26,'DB animal categories'!$C$10:$AC$21,26,FALSE)/24))</f>
        <v/>
      </c>
      <c r="AA28" s="418" t="str">
        <f>IF(D28="","",(VLOOKUP(D28,'DB technologies'!$N$11:$Y$25,4,FALSE)*('DB additional information '!$S$8/100*'DB additional information '!$V$8*E28/1000/1000)))</f>
        <v/>
      </c>
      <c r="AB28" s="261" t="str">
        <f>IF($C$26=0,"",IF('Calc (ex-animal)'!$F$8=1,"",IF(D28="","",((VLOOKUP($C$26,'Calc (ex-animal)'!$D$8:$Y$12,16,FALSE)-VLOOKUP($C$26,'Calc (ex-animal)'!$D$8:$Y$12,20,FALSE))*F28/100+Y28+Z28+AA28))))</f>
        <v/>
      </c>
      <c r="AC28" s="261" t="str">
        <f>IF($C$26=0,"",IF('Calc (ex-animal)'!$F$8=1,"",IF(D28="","",VLOOKUP($C$26,'Calc (ex-animal)'!$D$8:$Y$12,9,FALSE)/365*(VLOOKUP($C$26,'DB animal categories'!$C$10:$AC$21,27,FALSE)-VLOOKUP($C$26,'DB animal categories'!$C$10:$AC$21,25,FALSE)*VLOOKUP($C$26,'DB animal categories'!$C$10:$AC$21,26,FALSE)/24)*F28/100*VLOOKUP(D28,'DB technologies'!$N$11:$R$25,5,FALSE)/100)))</f>
        <v/>
      </c>
      <c r="AD28" s="261" t="str">
        <f>IF($C$26=0,"",IF('Calc (ex-animal)'!$F$8=1,"",IF(D28="","",VLOOKUP($C$26,'Calc (ex-animal)'!$D$8:$Y$12,10,FALSE)/365*(VLOOKUP($C$26,'DB animal categories'!$C$10:$AC$21,27,FALSE)-VLOOKUP($C$26,'DB animal categories'!$C$10:$AC$21,25,FALSE)*VLOOKUP($C$26,'DB animal categories'!$C$10:$AC$21,26,FALSE)/24)*F28/100*VLOOKUP(D28,'DB technologies'!$N$11:$Y$25,6,FALSE)/100)))</f>
        <v/>
      </c>
      <c r="AE28" s="262" t="str">
        <f>IF($C$26=0,"",IF('Calc (ex-animal)'!$F$8=1,"",IF(D28="","",VLOOKUP($C$26,'Calc (ex-animal)'!$D$8:$Y$12,10,FALSE)/365*(VLOOKUP($C$26,'DB animal categories'!$C$10:$AC$21,27,FALSE)-VLOOKUP($C$26,'DB animal categories'!$C$10:$AC$21,25,FALSE)*VLOOKUP($C$26,'DB animal categories'!$C$10:$AC$21,26,FALSE)/24)*F28/100*VLOOKUP(D28,'DB technologies'!$N$11:$Y$25,7,FALSE)/100)))</f>
        <v/>
      </c>
      <c r="AG28" s="695"/>
      <c r="AH28" s="695"/>
      <c r="AI28" s="181" t="str">
        <f>IF(D28="","",VLOOKUP(D28,'DB technologies'!$N$11:$Y$25,10,FALSE))</f>
        <v/>
      </c>
      <c r="AJ28" s="449" t="e">
        <f>VLOOKUP($C$26,'DB animal categories'!$C$10:$AN$21,27,FALSE)-VLOOKUP($C$26,'DB animal categories'!$C$10:$AN$21,26,FALSE)*VLOOKUP($C$26,'DB animal categories'!$C$10:$AN$21,25,FALSE)/24</f>
        <v>#N/A</v>
      </c>
      <c r="AK28" s="442" t="str">
        <f>IF(AI28="","",AL28+AM28)</f>
        <v/>
      </c>
      <c r="AL28" s="442" t="str">
        <f>IF(D28="","",IF(AI28=2,(('Calc (ex-animal)'!$G$11*'DB additional information '!$K$4/100*(1-VLOOKUP(D28,'DB technologies'!$N$11:$Y$25,9,FALSE)/100)*'Calc (ex-housing, ex-storage)'!F28/100+'Calc (ex-animal)'!$H$11*'DB additional information '!$L$4/100*(1-VLOOKUP(D28,'DB technologies'!$N$11:$Y$25,9,FALSE)/100)*'Calc (ex-housing, ex-storage)'!F28/100))/365*AJ28+I28+J28+K28,IF(AI28=1,('Calc (ex-animal)'!$H$11*'DB additional information '!$L$4/100*(1-VLOOKUP(D28,'DB technologies'!$N$11:$Y$25,9,FALSE)/100)*'Calc (ex-housing, ex-storage)'!F28/100)/365*AJ28,IF(AI28=4,('Calc (ex-animal)'!$G$11*'DB additional information '!$K$4/100+'Calc (ex-animal)'!$H$11*'DB additional information '!$L$4/100)*(1-VLOOKUP(D28,'DB technologies'!$N$11:$Y$25,9,FALSE)/100)*'Calc (ex-housing, ex-storage)'!F28/100*VLOOKUP(D28,'DB technologies'!$N$11:$Y$25,11,FALSE)/100/365*AJ28,0))))</f>
        <v/>
      </c>
      <c r="AM28" s="442" t="str">
        <f>IF(D28="","",IF(AI28=2,(('Calc (ex-animal)'!$G$11*(1-'DB additional information '!$K$4/100)*(1-VLOOKUP(D28,'DB technologies'!$N$11:$Y$25,8,FALSE)/100)*'Calc (ex-housing, ex-storage)'!F28/100+'Calc (ex-animal)'!$H$11*(1-'DB additional information '!$L$4/100)*(1-VLOOKUP(D28,'DB technologies'!$N$11:$Y$25,8,FALSE)/100)*'Calc (ex-housing, ex-storage)'!F28/100))/365*AJ28+M28+N28+O28,IF(AI28=1,('Calc (ex-animal)'!$H$11*(1-'DB additional information '!$L$4/100)*(1-VLOOKUP(D28,'DB technologies'!$N$11:$Y$25,8,FALSE)/100)*'Calc (ex-housing, ex-storage)'!F28/100)/365*AJ28,IF(AI28=4,('Calc (ex-animal)'!$G$11*(1-'DB additional information '!$K$4/100)+'Calc (ex-animal)'!$H$11*(1-'DB additional information '!$L$4/100))*(1-VLOOKUP(D28,'DB technologies'!$N$11:$Y$25,8,FALSE)/100)*'Calc (ex-housing, ex-storage)'!F28/100*VLOOKUP(D28,'DB technologies'!$N$11:$Y$25,11,FALSE)/100/365*AJ28,0))))</f>
        <v/>
      </c>
      <c r="AN28" s="442" t="str">
        <f>IF(AI28="","",IF(AL28=0,0,AL28/AK28*100))</f>
        <v/>
      </c>
      <c r="AO28" s="182" t="str">
        <f>IF(D28="","",IF(AI28=2,(('Calc (ex-animal)'!$L$11*'Calc (ex-housing, ex-storage)'!F28/100+'Calc (ex-animal)'!$K$11*'Calc (ex-housing, ex-storage)'!F28/100))/365*AJ28+Q28+R28+S28-AC28,IF(AI28=1,('Calc (ex-animal)'!$L$11*'Calc (ex-housing, ex-storage)'!F28/100)/365*AJ28-'Calc (ex-housing, ex-storage)'!AC28,IF(AI28=4,('Calc (ex-animal)'!$L$11+'Calc (ex-animal)'!$K$11)*'Calc (ex-housing, ex-storage)'!F28/100*VLOOKUP(D28,'DB technologies'!$N$11:$Y$25,11,FALSE)/100/365*AJ28-AC28*VLOOKUP(D28,'DB technologies'!$N$11:$Y$25,11,FALSE)/100,0))))</f>
        <v/>
      </c>
      <c r="AP28" s="182" t="str">
        <f>IF(D28="","",IF(AO28&lt;-0.01,0,IF(AI28=2,(('Calc (ex-animal)'!$L$11*'Calc (ex-housing, ex-storage)'!F28/100+'Calc (ex-animal)'!$K$11*'Calc (ex-housing, ex-storage)'!F28/100))/365*AJ28+Q28+R28+S28-AC28,IF(AI28=1,('Calc (ex-animal)'!$L$11*'Calc (ex-housing, ex-storage)'!F28/100)/365*AJ28-'Calc (ex-housing, ex-storage)'!AC28,IF(AI28=4,('Calc (ex-animal)'!$L$11+'Calc (ex-animal)'!$K$11)*'Calc (ex-housing, ex-storage)'!F28/100*VLOOKUP(D28,'DB technologies'!$N$11:$Y$25,11,FALSE)/100/365*AJ28-AC28*VLOOKUP(D28,'DB technologies'!$N$11:$Y$25,11,FALSE)/100,0)))))</f>
        <v/>
      </c>
      <c r="AQ28" s="182" t="str">
        <f>IF(D28="","",IF(AI28=2,('Calc (ex-animal)'!$O$11*'Calc (ex-housing, ex-storage)'!F28/100+'Calc (ex-animal)'!$N$11*'Calc (ex-housing, ex-storage)'!F28/100)/365*AJ28+U28+V28+W28,IF(AI28=1,'Calc (ex-animal)'!$O$11*'Calc (ex-housing, ex-storage)'!F28/100/365*AJ28,IF(AI28=4,('Calc (ex-animal)'!$O$11+'Calc (ex-animal)'!$N$11)*'Calc (ex-housing, ex-storage)'!F28/100*VLOOKUP(D28,'DB technologies'!$N$11:$Y$25,11,FALSE)/100/365*AJ28,0))))</f>
        <v/>
      </c>
      <c r="AR28" s="182" t="str">
        <f>IF(D28="","",IF(AI28=2,('Calc (ex-animal)'!$R$11*'Calc (ex-housing, ex-storage)'!F28/100+'Calc (ex-animal)'!$Q$11*'Calc (ex-housing, ex-storage)'!F28/100)/365*AJ28+Y28+Z28+AA28,IF(AI28=1,'Calc (ex-animal)'!$R$11*'Calc (ex-housing, ex-storage)'!F28/100/365*AJ28,IF(AI28=4,('Calc (ex-animal)'!$R$11+'Calc (ex-animal)'!$Q$11)*'Calc (ex-housing, ex-storage)'!F28/100*VLOOKUP(D28,'DB technologies'!$N$11:$Y$25,11,FALSE)/100/365*AJ28,0))))</f>
        <v/>
      </c>
      <c r="AS28" s="181" t="str">
        <f>IF(D28="","",VLOOKUP(D28,'DB technologies'!$N$11:$Y$25,10,FALSE))</f>
        <v/>
      </c>
      <c r="AT28" s="442" t="str">
        <f t="shared" si="1"/>
        <v/>
      </c>
      <c r="AU28" s="442" t="str">
        <f>IF(D28="","",IF(AS28=2,0,IF(AS28=1,'Calc (ex-animal)'!$G$11*'DB additional information '!$K$4/100*(1-VLOOKUP(D28,'DB technologies'!$N$11:$Y$25,8,FALSE)/100)*'Calc (ex-housing, ex-storage)'!F28/100/365*AJ28+I28+J28+K28,IF(AS28=5,(('Calc (ex-animal)'!$G$11*'DB additional information '!$K$4/100+'Calc (ex-animal)'!$H$11*'DB additional information '!$L$4/100))*(1-VLOOKUP(D28,'DB technologies'!$N$11:$Y$25,9,FALSE)/100)*'Calc (ex-housing, ex-storage)'!F28/100/365*AJ28+I28+J28+K28,IF(AS28=3,('Calc (ex-animal)'!$G$11*'DB additional information '!$K$4/100+'Calc (ex-animal)'!$H$11*'DB additional information '!$L$4/100)*(1-VLOOKUP(D28,'DB technologies'!$N$11:$Y$25,9,FALSE)/100)*'Calc (ex-housing, ex-storage)'!F28/100/365*AJ28+I28+J28+K28,IF(AS28=4,('Calc (ex-animal)'!$G$11*'DB additional information '!$K$4/100+'Calc (ex-animal)'!$H$11*'DB additional information '!$L$4/100)*(1-VLOOKUP(D28,'DB technologies'!$N$11:$Y$25,9,FALSE)/100)*'Calc (ex-housing, ex-storage)'!F28/100*VLOOKUP(D28,'DB technologies'!$N$11:$Y$25,12,FALSE)/100/365*AJ28+I28+J28+K28,0))))))</f>
        <v/>
      </c>
      <c r="AV28" s="442" t="str">
        <f>IF(D28="","",IF(AS28=2,0,IF(AS28=1,'Calc (ex-animal)'!$G$11*(1-'DB additional information '!$K$4/100)*(1-VLOOKUP(D28,'DB technologies'!$N$11:$Y$25,8,FALSE)/100)*'Calc (ex-housing, ex-storage)'!F28/100/365*AJ28+M28+N28+O28,IF(AS28=5,('Calc (ex-animal)'!$G$11*(1-'DB additional information '!$K$4/100)+'Calc (ex-animal)'!$H$11*(1-'DB additional information '!$L$4/100))*(1-VLOOKUP(D28,'DB technologies'!$N$11:$Y$25,8,FALSE)/100)*'Calc (ex-housing, ex-storage)'!F28/100/365*AJ28+M28+N28+O28,IF(AS28=3,('Calc (ex-animal)'!$G$11*(1-'DB additional information '!$K$4/100)+'Calc (ex-animal)'!$H$11*(1-'DB additional information '!$L$4/100))*(1-VLOOKUP(D28,'DB technologies'!$N$11:$Y$25,8,FALSE)/100)*'Calc (ex-housing, ex-storage)'!F28/100/365*AJ28+M28+N28+O28,IF(AS28=4,('Calc (ex-animal)'!$G$11*(1-'DB additional information '!$K$4/100)+'Calc (ex-animal)'!$H$11*(1-'DB additional information '!$L$4/100))*(1-VLOOKUP(D28,'DB technologies'!$N$11:$Y$25,8,FALSE)/100)*'Calc (ex-housing, ex-storage)'!F28/100*VLOOKUP(D28,'DB technologies'!$N$11:$Y$25,12,FALSE)/100/365*AJ28+M28+N28+O28,0))))))</f>
        <v/>
      </c>
      <c r="AW28" s="442" t="str">
        <f>IF(AS28="","",IF(AU28=0,0,AU28/AT28*100))</f>
        <v/>
      </c>
      <c r="AX28" s="182" t="str">
        <f>IF(D28="","",IF(AS28=2,0,IF(AS28=1,'Calc (ex-animal)'!$K$11*'Calc (ex-housing, ex-storage)'!F28/100/365*AJ28+Q28+R28+S28,IF(AS28=5,('Calc (ex-animal)'!$K$11+'Calc (ex-animal)'!$L$11)*'Calc (ex-housing, ex-storage)'!F28/100/365*AJ28+Q28+R28+S28-'Calc (ex-housing, ex-storage)'!AC28,IF(AS28=3,('Calc (ex-animal)'!$K$11+'Calc (ex-animal)'!$L$11)*'Calc (ex-housing, ex-storage)'!F28/100/365*AJ28+Q28+R28+S28-'Calc (ex-housing, ex-storage)'!AC28-AD28-AE28,IF(AI28=4,('Calc (ex-animal)'!$K$11+'Calc (ex-animal)'!$L$11)*'Calc (ex-housing, ex-storage)'!F28/100*VLOOKUP(D28,'DB technologies'!$N$11:$Y$25,12,FALSE)/100/365*AJ28+Q28+R28+S28-(VLOOKUP(D28,'DB technologies'!$N$11:$Y$25,12,FALSE)/100*AC28)-AD28-AE28,0))))))</f>
        <v/>
      </c>
      <c r="AY28" s="182" t="str">
        <f>IF(D28="","",IF(AS28=2,0,IF(AS28=1,'Calc (ex-animal)'!$N$11*'Calc (ex-housing, ex-storage)'!F28/100/365*AJ28+U28+V28+W28,IF(AS28=5,('Calc (ex-animal)'!$N$11+'Calc (ex-animal)'!$O$11)*'Calc (ex-housing, ex-storage)'!F28/100/365*AJ28+U28+V28+W28,IF(AS28=3,('Calc (ex-animal)'!$N$11+'Calc (ex-animal)'!$O$11)*'Calc (ex-housing, ex-storage)'!F28/100/365*AJ28+U28+V28+W28,IF(AS28=4,('Calc (ex-animal)'!$N$11+'Calc (ex-animal)'!$O$11)*'Calc (ex-housing, ex-storage)'!F28/100*VLOOKUP(D28,'DB technologies'!$N$11:$Y$25,12,FALSE)/100/365*AJ28+U28+V28+W28,0))))))</f>
        <v/>
      </c>
      <c r="AZ28" s="182" t="str">
        <f>IF(D28="","",IF(AS28=2,0,IF(AS28=1,'Calc (ex-animal)'!$Q$11*'Calc (ex-housing, ex-storage)'!F28/100/365*AJ28+Y28+Z28+AA28,IF(AS28=5,('Calc (ex-animal)'!$Q$11+'Calc (ex-animal)'!$R$11)*'Calc (ex-housing, ex-storage)'!F28/100/365*AJ28+Y28+Z28+AA28,IF(AS28=3,('Calc (ex-animal)'!$Q$11+'Calc (ex-animal)'!$R$11)*'Calc (ex-housing, ex-storage)'!F28/100/365*AJ28+Y28+Z28+AA28,IF(AS28=4,('Calc (ex-animal)'!$Q$11+'Calc (ex-animal)'!$R$11)*'Calc (ex-housing, ex-storage)'!F28/100*VLOOKUP(D28,'DB technologies'!$N$11:$Y$25,12,FALSE)/100/365*AJ28+Y28+Z28+AA28,0))))))</f>
        <v/>
      </c>
      <c r="BA28" s="506"/>
      <c r="BB28" s="506"/>
      <c r="BC28" s="506"/>
      <c r="BG28" s="1357"/>
      <c r="BH28" s="1361"/>
      <c r="BI28" s="598" t="str">
        <f>IF(BG28="","",$BA$27*BH28/100-($BB$27*BH28/100*VLOOKUP(BG28,'DB technologies'!$AC$27:$AM$31,5,FALSE)/100)+(VLOOKUP(BG28,'DB technologies'!$AC$27:$AN$31,12,FALSE)*$BA$27*BH28/100))</f>
        <v/>
      </c>
      <c r="BJ28" s="551">
        <f>IF(BI28="",0,BI28*BK28/100)</f>
        <v>0</v>
      </c>
      <c r="BK28" s="571" t="str">
        <f>IF(BG28="","",($BB$27*BH28/100)/BI28*(1-(VLOOKUP(BG28,'DB technologies'!$AC$27:$AM$31,5,FALSE))/100)*100)</f>
        <v/>
      </c>
      <c r="BL28" s="261" t="str">
        <f>IF(BG28="","",$BD$27*BH28/100-BO28-BP28-BQ28)</f>
        <v/>
      </c>
      <c r="BM28" s="261" t="str">
        <f>IF(BG28="","",$BE$27*BH28/100)</f>
        <v/>
      </c>
      <c r="BN28" s="261" t="str">
        <f>IF(BG28="","",$BF$27*BH28/100)</f>
        <v/>
      </c>
      <c r="BO28" s="261" t="str">
        <f>IF(BG28="","",$BD$27*BH28/100*VLOOKUP(BG28,'DB technologies'!$AC$27:$AF$31,2,FALSE)/100)</f>
        <v/>
      </c>
      <c r="BP28" s="261" t="str">
        <f>IF(BG28="","",$BD$27*BH28/100*VLOOKUP(BG28,'DB technologies'!$AC$27:$AN$31,3,FALSE)/100)</f>
        <v/>
      </c>
      <c r="BQ28" s="262" t="str">
        <f>IF(BG28="","",$BD$27*BH28/100*VLOOKUP(BG28,'DB technologies'!$AC$27:$AN$31,4,FALSE)/100)</f>
        <v/>
      </c>
      <c r="BR28" s="117"/>
      <c r="BS28" s="117"/>
      <c r="BT28" s="118"/>
    </row>
    <row r="29" spans="1:74" ht="11.25" customHeight="1" x14ac:dyDescent="0.2">
      <c r="A29" s="684"/>
      <c r="B29" s="695"/>
      <c r="C29" s="251"/>
      <c r="D29" s="1357"/>
      <c r="E29" s="1358"/>
      <c r="F29" s="480" t="str">
        <f>IF('Calc (ex-animal)'!$F$9=1,"",IF($C$26=0,"",IF(D29="","",E29/'Calc (ex-animal)'!$E$11*100)))</f>
        <v/>
      </c>
      <c r="G29" s="485" t="str">
        <f>IF($C$26=0,"",IF('Calc (ex-animal)'!$F$8=1,"",IF(D29="","",SUM(H29:O29))))</f>
        <v/>
      </c>
      <c r="H29" s="423" t="str">
        <f>IF('Calc (ex-animal)'!$F$8=1,"",IF(D29="","",(((VLOOKUP($C$26,'Calc (ex-animal)'!$D$8:$Y$12,6,FALSE)-VLOOKUP($C$26,'Calc (ex-animal)'!$D$8:$Y$12,17,FALSE))*F29/100))*VLOOKUP($C$26,'Calc (ex-animal)'!$D$8:$Y$12,7,FALSE)/100*(1-VLOOKUP(D29,'DB technologies'!$N$11:$Y$25,9,FALSE)/100)))</f>
        <v/>
      </c>
      <c r="I29" s="423" t="str">
        <f>IF(D29="","",((VLOOKUP(D29,'DB technologies'!$N$11:$Y$25,2,FALSE)*VLOOKUP($C$26,'DB animal categories'!$C$10:$AC$21,27,FALSE)*E29/1000)/365*(VLOOKUP($C$26,'DB animal categories'!$C$10:$AC$21,27,FALSE)-VLOOKUP($C$26,'DB animal categories'!$C$10:$AC$21,25,FALSE)*VLOOKUP($C$26,'DB animal categories'!$C$10:$AC$21,26,FALSE)/24))*'DB additional information '!$S$6/100*(1-VLOOKUP(D29,'DB technologies'!$N$11:$Y$25,9,FALSE)/100))</f>
        <v/>
      </c>
      <c r="J29" s="434" t="str">
        <f>IF(D29="","",((VLOOKUP(D29,'DB technologies'!$N$11:$Y$25,3,FALSE)*VLOOKUP($C$26,'DB animal categories'!$C$10:$AC$21,27,FALSE)*E29/1000)/365*(VLOOKUP($C$26,'DB animal categories'!$C$10:$AC$21,27,FALSE)-VLOOKUP($C$26,'DB animal categories'!$C$10:$AC$21,25,FALSE)*VLOOKUP($C$26,'DB animal categories'!$C$10:$AC$21,26,FALSE)/24))*'DB additional information '!$S$7/100*(1-VLOOKUP(D29,'DB technologies'!$N$11:$Y$25,9,FALSE)/100))</f>
        <v/>
      </c>
      <c r="K29" s="434" t="str">
        <f>IF(D29="","",((VLOOKUP(D29,'DB technologies'!$N$11:$Y$25,4,FALSE)*E29*'DB additional information '!$S$8/100*(1-VLOOKUP(D29,'DB technologies'!$N$11:$Y$25,9,FALSE)/100))/365*(VLOOKUP($C$26,'DB animal categories'!$C$10:$AC$21,27,FALSE)-VLOOKUP($C$26,'DB animal categories'!$C$10:$AC$21,25,FALSE)*VLOOKUP($C$26,'DB animal categories'!$C$10:$AC$21,26,FALSE)/24)))</f>
        <v/>
      </c>
      <c r="L29" s="423" t="str">
        <f>IF('Calc (ex-animal)'!$F$8=1,"",IF(D29="","",(((VLOOKUP($C$26,'Calc (ex-animal)'!$D$8:$Y$12,6,FALSE)-VLOOKUP($C$26,'Calc (ex-animal)'!$D$8:$Y$12,17,FALSE))*F29/100))*(1-VLOOKUP($C$26,'Calc (ex-animal)'!$D$8:$Y$12,7,FALSE)/100)*(1-VLOOKUP(D29,'DB technologies'!$N$11:$V$25,8,FALSE)/100)))</f>
        <v/>
      </c>
      <c r="M29" s="434" t="str">
        <f>IF(D29="","",((VLOOKUP(D29,'DB technologies'!$N$11:$Y$25,2,FALSE)*VLOOKUP($C$26,'DB animal categories'!$C$10:$AC$21,27,FALSE)*E29/1000)/365*(VLOOKUP($C$26,'DB animal categories'!$C$10:$AC$21,27,FALSE)-VLOOKUP($C$26,'DB animal categories'!$C$10:$AC$21,25,FALSE)*VLOOKUP($C$26,'DB animal categories'!$C$10:$AC$21,26,FALSE)/24))*(1-'DB additional information '!$S$6/100)*(1-VLOOKUP(D29,'DB technologies'!$N$11:$Y$25,9,FALSE)/100))</f>
        <v/>
      </c>
      <c r="N29" s="434" t="str">
        <f>IF(D29="","",((VLOOKUP(D29,'DB technologies'!$N$11:$Y$25,3,FALSE)*VLOOKUP($C$26,'DB animal categories'!$C$10:$AC$21,27,FALSE)*E29/1000)/365*(VLOOKUP($C$26,'DB animal categories'!$C$10:$AC$21,27,FALSE)-VLOOKUP($C$26,'DB animal categories'!$C$10:$AC$21,25,FALSE)*VLOOKUP($C$26,'DB animal categories'!$C$10:$AC$21,26,FALSE)/24))*(1-'DB additional information '!$S$7/100)*(1-VLOOKUP(D29,'DB technologies'!$N$11:$Y$25,9,FALSE)/100))</f>
        <v/>
      </c>
      <c r="O29" s="423" t="str">
        <f>IF(D29="","",((VLOOKUP(D29,'DB technologies'!$N$11:$Y$25,4,FALSE)*E29*(1-'DB additional information '!$S$8/100)*(1-VLOOKUP(D29,'DB technologies'!$N$11:$Y$25,8,FALSE)/100))/365*(VLOOKUP($C$26,'DB animal categories'!$C$10:$AC$21,27,FALSE)-VLOOKUP($C$26,'DB animal categories'!$C$10:$AC$21,25,FALSE)*VLOOKUP($C$26,'DB animal categories'!$C$10:$AC$21,26,FALSE)/24)))</f>
        <v/>
      </c>
      <c r="P29" s="631" t="str">
        <f>IF(G29=0,0,IF(E29="","",IF(F29="","",IF($C$26=0,"",IF(D29="","",SUM(H29:K29)/G29*100)))))</f>
        <v/>
      </c>
      <c r="Q29" s="416" t="str">
        <f>IF(D29="","",(VLOOKUP(D29,'DB technologies'!$N$11:$Y$25,2,FALSE)*'DB additional information '!$S$6/100*'DB additional information '!$T$6*VLOOKUP($C$26,'DB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R29" s="416" t="str">
        <f>IF(D29="","",(VLOOKUP(D29,'DB technologies'!$N$11:$Y$25,3,FALSE)*'DB additional information '!$S$7/100*'DB additional information '!$T$7*VLOOKUP($C$26,'DB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S29" s="491" t="str">
        <f>IF(D29="","",(VLOOKUP(D29,'DB technologies'!$N$11:$Y$25,4,FALSE)*('DB additional information '!$S$8/100*'DB additional information '!$T$8*E29/1000/1000)))</f>
        <v/>
      </c>
      <c r="T29" s="261" t="str">
        <f>IF($C$26=0,"",IF('Calc (ex-animal)'!$F$9=1,"",IF(D29="","",((VLOOKUP($C$26,'Calc (ex-animal)'!$D$8:$Y$12,10,FALSE)-VLOOKUP($C$26,'Calc (ex-animal)'!$D$8:$Y$12,18,FALSE))*F29/100+Q29+R29+S29)-AC29-AD29-AE29)))</f>
        <v/>
      </c>
      <c r="U29" s="422" t="str">
        <f>IF(D29="","",(VLOOKUP(D29,'DB technologies'!$N$11:$Y$25,2,FALSE)*'DB additional information '!$S$6/100*'DB additional information '!$U$6*VLOOKUP($C$26,'DB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V29" s="418" t="str">
        <f>IF(D29="","",(VLOOKUP(D29,'DB technologies'!$N$11:$Y$25,3,FALSE)*'DB additional information '!$S$7/100*'DB additional information '!$U$7*VLOOKUP($C$26,'DB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W29" s="417" t="str">
        <f>IF(D29="","",(VLOOKUP(D29,'DB technologies'!$N$11:$Y$25,4,FALSE)*('DB additional information '!$S$8/100*'DB additional information '!$U$8*E29/1000/1000)))</f>
        <v/>
      </c>
      <c r="X29" s="261" t="str">
        <f>IF($C$26=0,"",IF('Calc (ex-animal)'!$F$9=1,"",IF(D29="","",((VLOOKUP($C$26,'Calc (ex-animal)'!$D$8:$Y$12,13,FALSE)-VLOOKUP($C$26,'Calc (ex-animal)'!$D$8:$Y$12,19,FALSE))*F29/100+U29+V29+W29))))</f>
        <v/>
      </c>
      <c r="Y29" s="418" t="str">
        <f>IF(D29="","",(VLOOKUP(D29,'DB technologies'!$N$11:$Y$25,2,FALSE)*'DB additional information '!$S$6/100*'DB additional information '!$V$6*VLOOKUP($C$26,'DB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Z29" s="418" t="str">
        <f>IF(D29="","",(VLOOKUP(D29,'DB technologies'!$N$11:$Y$25,3,FALSE)*'DB additional information '!$S$7/100*'DB additional information '!$V$7*VLOOKUP($C$26,'DB animal categories'!$C$10:$AC$21,27,FALSE)*E29/1000/1000)/365*(VLOOKUP($C$26,'DB animal categories'!$C$10:$AC$21,27,FALSE)-VLOOKUP($C$26,'DB animal categories'!$C$10:$AC$21,25,FALSE)*VLOOKUP($C$26,'DB animal categories'!$C$10:$AC$21,26,FALSE)/24))</f>
        <v/>
      </c>
      <c r="AA29" s="418" t="str">
        <f>IF(D29="","",(VLOOKUP(D29,'DB technologies'!$N$11:$Y$25,4,FALSE)*('DB additional information '!$S$8/100*'DB additional information '!$V$8*E29/1000/1000)))</f>
        <v/>
      </c>
      <c r="AB29" s="261" t="str">
        <f>IF($C$26=0,"",IF('Calc (ex-animal)'!$F$8=1,"",IF(D29="","",((VLOOKUP($C$26,'Calc (ex-animal)'!$D$8:$Y$12,16,FALSE)-VLOOKUP($C$26,'Calc (ex-animal)'!$D$8:$Y$12,20,FALSE))*F29/100+Y29+Z29+AA29))))</f>
        <v/>
      </c>
      <c r="AC29" s="261" t="str">
        <f>IF($C$26=0,"",IF('Calc (ex-animal)'!$F$8=1,"",IF(D29="","",VLOOKUP($C$26,'Calc (ex-animal)'!$D$8:$Y$12,9,FALSE)/365*(VLOOKUP($C$26,'DB animal categories'!$C$10:$AC$21,27,FALSE)-VLOOKUP($C$26,'DB animal categories'!$C$10:$AC$21,25,FALSE)*VLOOKUP($C$26,'DB animal categories'!$C$10:$AC$21,26,FALSE)/24)*F29/100*VLOOKUP(D29,'DB technologies'!$N$11:$R$25,5,FALSE)/100)))</f>
        <v/>
      </c>
      <c r="AD29" s="261" t="str">
        <f>IF($C$26=0,"",IF('Calc (ex-animal)'!$F$8=1,"",IF(D29="","",VLOOKUP($C$26,'Calc (ex-animal)'!$D$8:$Y$12,10,FALSE)/365*(VLOOKUP($C$26,'DB animal categories'!$C$10:$AC$21,27,FALSE)-VLOOKUP($C$26,'DB animal categories'!$C$10:$AC$21,25,FALSE)*VLOOKUP($C$26,'DB animal categories'!$C$10:$AC$21,26,FALSE)/24)*F29/100*VLOOKUP(D29,'DB technologies'!$N$11:$Y$25,6,FALSE)/100)))</f>
        <v/>
      </c>
      <c r="AE29" s="262" t="str">
        <f>IF($C$26=0,"",IF('Calc (ex-animal)'!$F$8=1,"",IF(D29="","",VLOOKUP($C$26,'Calc (ex-animal)'!$D$8:$Y$12,10,FALSE)/365*(VLOOKUP($C$26,'DB animal categories'!$C$10:$AC$21,27,FALSE)-VLOOKUP($C$26,'DB animal categories'!$C$10:$AC$21,25,FALSE)*VLOOKUP($C$26,'DB animal categories'!$C$10:$AC$21,26,FALSE)/24)*F29/100*VLOOKUP(D29,'DB technologies'!$N$11:$Y$25,7,FALSE)/100)))</f>
        <v/>
      </c>
      <c r="AG29" s="695"/>
      <c r="AH29" s="695"/>
      <c r="AI29" s="181" t="str">
        <f>IF(D29="","",VLOOKUP(D29,'DB technologies'!$N$11:$Y$25,10,FALSE))</f>
        <v/>
      </c>
      <c r="AJ29" s="449" t="e">
        <f>VLOOKUP($C$26,'DB animal categories'!$C$10:$AN$21,27,FALSE)-VLOOKUP($C$26,'DB animal categories'!$C$10:$AN$21,26,FALSE)*VLOOKUP($C$26,'DB animal categories'!$C$10:$AN$21,25,FALSE)/24</f>
        <v>#N/A</v>
      </c>
      <c r="AK29" s="442" t="str">
        <f>IF(AI29="","",AL29+AM29)</f>
        <v/>
      </c>
      <c r="AL29" s="442" t="str">
        <f>IF(D29="","",IF(AI29=2,(('Calc (ex-animal)'!$G$11*'DB additional information '!$K$4/100*(1-VLOOKUP(D29,'DB technologies'!$N$11:$Y$25,9,FALSE)/100)*'Calc (ex-housing, ex-storage)'!F29/100+'Calc (ex-animal)'!$H$11*'DB additional information '!$L$4/100*(1-VLOOKUP(D29,'DB technologies'!$N$11:$Y$25,9,FALSE)/100)*'Calc (ex-housing, ex-storage)'!F29/100))/365*AJ29+I29+J29+K29,IF(AI29=1,('Calc (ex-animal)'!$H$11*'DB additional information '!$L$4/100*(1-VLOOKUP(D29,'DB technologies'!$N$11:$Y$25,9,FALSE)/100)*'Calc (ex-housing, ex-storage)'!F29/100)/365*AJ29,IF(AI29=4,('Calc (ex-animal)'!$G$11*'DB additional information '!$K$4/100+'Calc (ex-animal)'!$H$11*'DB additional information '!$L$4/100)*(1-VLOOKUP(D29,'DB technologies'!$N$11:$Y$25,9,FALSE)/100)*'Calc (ex-housing, ex-storage)'!F29/100*VLOOKUP(D29,'DB technologies'!$N$11:$Y$25,11,FALSE)/100/365*AJ29,0))))</f>
        <v/>
      </c>
      <c r="AM29" s="442" t="str">
        <f>IF(D29="","",IF(AI29=2,(('Calc (ex-animal)'!$G$11*(1-'DB additional information '!$K$4/100)*(1-VLOOKUP(D29,'DB technologies'!$N$11:$Y$25,8,FALSE)/100)*'Calc (ex-housing, ex-storage)'!F29/100+'Calc (ex-animal)'!$H$11*(1-'DB additional information '!$L$4/100)*(1-VLOOKUP(D29,'DB technologies'!$N$11:$Y$25,8,FALSE)/100)*'Calc (ex-housing, ex-storage)'!F29/100))/365*AJ29+M29+N29+O29,IF(AI29=1,('Calc (ex-animal)'!$H$11*(1-'DB additional information '!$L$4/100)*(1-VLOOKUP(D29,'DB technologies'!$N$11:$Y$25,8,FALSE)/100)*'Calc (ex-housing, ex-storage)'!F29/100)/365*AJ29,IF(AI29=4,('Calc (ex-animal)'!$G$11*(1-'DB additional information '!$K$4/100)+'Calc (ex-animal)'!$H$11*(1-'DB additional information '!$L$4/100))*(1-VLOOKUP(D29,'DB technologies'!$N$11:$Y$25,8,FALSE)/100)*'Calc (ex-housing, ex-storage)'!F29/100*VLOOKUP(D29,'DB technologies'!$N$11:$Y$25,11,FALSE)/100/365*AJ29,0))))</f>
        <v/>
      </c>
      <c r="AN29" s="442" t="str">
        <f>IF(AI29="","",IF(AL29=0,0,AL29/AK29*100))</f>
        <v/>
      </c>
      <c r="AO29" s="182" t="str">
        <f>IF(D29="","",IF(AI29=2,(('Calc (ex-animal)'!$L$11*'Calc (ex-housing, ex-storage)'!F29/100+'Calc (ex-animal)'!$K$11*'Calc (ex-housing, ex-storage)'!F29/100))/365*AJ29+Q29+R29+S29-AC29,IF(AI29=1,('Calc (ex-animal)'!$L$11*'Calc (ex-housing, ex-storage)'!F29/100)/365*AJ29-'Calc (ex-housing, ex-storage)'!AC29,IF(AI29=4,('Calc (ex-animal)'!$L$11+'Calc (ex-animal)'!$K$11)*'Calc (ex-housing, ex-storage)'!F29/100*VLOOKUP(D29,'DB technologies'!$N$11:$Y$25,11,FALSE)/100/365*AJ29-AC29*VLOOKUP(D29,'DB technologies'!$N$11:$Y$25,11,FALSE)/100,0))))</f>
        <v/>
      </c>
      <c r="AP29" s="182" t="str">
        <f>IF(D29="","",IF(AO29&lt;-0.01,0,IF(AI29=2,(('Calc (ex-animal)'!$L$11*'Calc (ex-housing, ex-storage)'!F29/100+'Calc (ex-animal)'!$K$11*'Calc (ex-housing, ex-storage)'!F29/100))/365*AJ29+Q29+R29+S29-AC29,IF(AI29=1,('Calc (ex-animal)'!$L$11*'Calc (ex-housing, ex-storage)'!F29/100)/365*AJ29-'Calc (ex-housing, ex-storage)'!AC29,IF(AI29=4,('Calc (ex-animal)'!$L$11+'Calc (ex-animal)'!$K$11)*'Calc (ex-housing, ex-storage)'!F29/100*VLOOKUP(D29,'DB technologies'!$N$11:$Y$25,11,FALSE)/100/365*AJ29-AC29*VLOOKUP(D29,'DB technologies'!$N$11:$Y$25,11,FALSE)/100,0)))))</f>
        <v/>
      </c>
      <c r="AQ29" s="182" t="str">
        <f>IF(D29="","",IF(AI29=2,('Calc (ex-animal)'!$O$11*'Calc (ex-housing, ex-storage)'!F29/100+'Calc (ex-animal)'!$N$11*'Calc (ex-housing, ex-storage)'!F29/100)/365*AJ29+U29+V29+W29,IF(AI29=1,'Calc (ex-animal)'!$O$11*'Calc (ex-housing, ex-storage)'!F29/100/365*AJ29,IF(AI29=4,('Calc (ex-animal)'!$O$11+'Calc (ex-animal)'!$N$11)*'Calc (ex-housing, ex-storage)'!F29/100*VLOOKUP(D29,'DB technologies'!$N$11:$Y$25,11,FALSE)/100/365*AJ29,0))))</f>
        <v/>
      </c>
      <c r="AR29" s="182" t="str">
        <f>IF(D29="","",IF(AI29=2,('Calc (ex-animal)'!$R$11*'Calc (ex-housing, ex-storage)'!F29/100+'Calc (ex-animal)'!$Q$11*'Calc (ex-housing, ex-storage)'!F29/100)/365*AJ29+Y29+Z29+AA29,IF(AI29=1,'Calc (ex-animal)'!$R$11*'Calc (ex-housing, ex-storage)'!F29/100/365*AJ29,IF(AI29=4,('Calc (ex-animal)'!$R$11+'Calc (ex-animal)'!$Q$11)*'Calc (ex-housing, ex-storage)'!F29/100*VLOOKUP(D29,'DB technologies'!$N$11:$Y$25,11,FALSE)/100/365*AJ29,0))))</f>
        <v/>
      </c>
      <c r="AS29" s="181" t="str">
        <f>IF(D29="","",VLOOKUP(D29,'DB technologies'!$N$11:$Y$25,10,FALSE))</f>
        <v/>
      </c>
      <c r="AT29" s="442" t="str">
        <f t="shared" si="1"/>
        <v/>
      </c>
      <c r="AU29" s="442" t="str">
        <f>IF(D29="","",IF(AS29=2,0,IF(AS29=1,'Calc (ex-animal)'!$G$11*'DB additional information '!$K$4/100*(1-VLOOKUP(D29,'DB technologies'!$N$11:$Y$25,8,FALSE)/100)*'Calc (ex-housing, ex-storage)'!F29/100/365*AJ29+I29+J29+K29,IF(AS29=5,(('Calc (ex-animal)'!$G$11*'DB additional information '!$K$4/100+'Calc (ex-animal)'!$H$11*'DB additional information '!$L$4/100))*(1-VLOOKUP(D29,'DB technologies'!$N$11:$Y$25,9,FALSE)/100)*'Calc (ex-housing, ex-storage)'!F29/100/365*AJ29+I29+J29+K29,IF(AS29=3,('Calc (ex-animal)'!$G$11*'DB additional information '!$K$4/100+'Calc (ex-animal)'!$H$11*'DB additional information '!$L$4/100)*(1-VLOOKUP(D29,'DB technologies'!$N$11:$Y$25,9,FALSE)/100)*'Calc (ex-housing, ex-storage)'!F29/100/365*AJ29+I29+J29+K29,IF(AS29=4,('Calc (ex-animal)'!$G$11*'DB additional information '!$K$4/100+'Calc (ex-animal)'!$H$11*'DB additional information '!$L$4/100)*(1-VLOOKUP(D29,'DB technologies'!$N$11:$Y$25,9,FALSE)/100)*'Calc (ex-housing, ex-storage)'!F29/100*VLOOKUP(D29,'DB technologies'!$N$11:$Y$25,12,FALSE)/100/365*AJ29+I29+J29+K29,0))))))</f>
        <v/>
      </c>
      <c r="AV29" s="442" t="str">
        <f>IF(D29="","",IF(AS29=2,0,IF(AS29=1,'Calc (ex-animal)'!$G$11*(1-'DB additional information '!$K$4/100)*(1-VLOOKUP(D29,'DB technologies'!$N$11:$Y$25,8,FALSE)/100)*'Calc (ex-housing, ex-storage)'!F29/100/365*AJ29+M29+N29+O29,IF(AS29=5,('Calc (ex-animal)'!$G$11*(1-'DB additional information '!$K$4/100)+'Calc (ex-animal)'!$H$11*(1-'DB additional information '!$L$4/100))*(1-VLOOKUP(D29,'DB technologies'!$N$11:$Y$25,8,FALSE)/100)*'Calc (ex-housing, ex-storage)'!F29/100/365*AJ29+M29+N29+O29,IF(AS29=3,('Calc (ex-animal)'!$G$11*(1-'DB additional information '!$K$4/100)+'Calc (ex-animal)'!$H$11*(1-'DB additional information '!$L$4/100))*(1-VLOOKUP(D29,'DB technologies'!$N$11:$Y$25,8,FALSE)/100)*'Calc (ex-housing, ex-storage)'!F29/100/365*AJ29+M29+N29+O29,IF(AS29=4,('Calc (ex-animal)'!$G$11*(1-'DB additional information '!$K$4/100)+'Calc (ex-animal)'!$H$11*(1-'DB additional information '!$L$4/100))*(1-VLOOKUP(D29,'DB technologies'!$N$11:$Y$25,8,FALSE)/100)*'Calc (ex-housing, ex-storage)'!F29/100*VLOOKUP(D29,'DB technologies'!$N$11:$Y$25,12,FALSE)/100/365*AJ29+M29+N29+O29,0))))))</f>
        <v/>
      </c>
      <c r="AW29" s="442" t="str">
        <f>IF(AS29="","",IF(AU29=0,0,AU29/AT29*100))</f>
        <v/>
      </c>
      <c r="AX29" s="182" t="str">
        <f>IF(D29="","",IF(AS29=2,0,IF(AS29=1,'Calc (ex-animal)'!$K$11*'Calc (ex-housing, ex-storage)'!F29/100/365*AJ29+Q29+R29+S29,IF(AS29=5,('Calc (ex-animal)'!$K$11+'Calc (ex-animal)'!$L$11)*'Calc (ex-housing, ex-storage)'!F29/100/365*AJ29+Q29+R29+S29-'Calc (ex-housing, ex-storage)'!AC29,IF(AS29=3,('Calc (ex-animal)'!$K$11+'Calc (ex-animal)'!$L$11)*'Calc (ex-housing, ex-storage)'!F29/100/365*AJ29+Q29+R29+S29-'Calc (ex-housing, ex-storage)'!AC29-AD29-AE29,IF(AI29=4,('Calc (ex-animal)'!$K$11+'Calc (ex-animal)'!$L$11)*'Calc (ex-housing, ex-storage)'!F29/100*VLOOKUP(D29,'DB technologies'!$N$11:$Y$25,12,FALSE)/100/365*AJ29+Q29+R29+S29-(VLOOKUP(D29,'DB technologies'!$N$11:$Y$25,12,FALSE)/100*AC29)-AD29-AE29,0))))))</f>
        <v/>
      </c>
      <c r="AY29" s="182" t="str">
        <f>IF(D29="","",IF(AS29=2,0,IF(AS29=1,'Calc (ex-animal)'!$N$11*'Calc (ex-housing, ex-storage)'!F29/100/365*AJ29+U29+V29+W29,IF(AS29=5,('Calc (ex-animal)'!$N$11+'Calc (ex-animal)'!$O$11)*'Calc (ex-housing, ex-storage)'!F29/100/365*AJ29+U29+V29+W29,IF(AS29=3,('Calc (ex-animal)'!$N$11+'Calc (ex-animal)'!$O$11)*'Calc (ex-housing, ex-storage)'!F29/100/365*AJ29+U29+V29+W29,IF(AS29=4,('Calc (ex-animal)'!$N$11+'Calc (ex-animal)'!$O$11)*'Calc (ex-housing, ex-storage)'!F29/100*VLOOKUP(D29,'DB technologies'!$N$11:$Y$25,12,FALSE)/100/365*AJ29+U29+V29+W29,0))))))</f>
        <v/>
      </c>
      <c r="AZ29" s="182" t="str">
        <f>IF(D29="","",IF(AS29=2,0,IF(AS29=1,'Calc (ex-animal)'!$Q$11*'Calc (ex-housing, ex-storage)'!F29/100/365*AJ29+Y29+Z29+AA29,IF(AS29=5,('Calc (ex-animal)'!$Q$11+'Calc (ex-animal)'!$R$11)*'Calc (ex-housing, ex-storage)'!F29/100/365*AJ29+Y29+Z29+AA29,IF(AS29=3,('Calc (ex-animal)'!$Q$11+'Calc (ex-animal)'!$R$11)*'Calc (ex-housing, ex-storage)'!F29/100/365*AJ29+Y29+Z29+AA29,IF(AS29=4,('Calc (ex-animal)'!$Q$11+'Calc (ex-animal)'!$R$11)*'Calc (ex-housing, ex-storage)'!F29/100*VLOOKUP(D29,'DB technologies'!$N$11:$Y$25,12,FALSE)/100/365*AJ29+Y29+Z29+AA29,0))))))</f>
        <v/>
      </c>
      <c r="BA29" s="506"/>
      <c r="BB29" s="506"/>
      <c r="BC29" s="506"/>
      <c r="BD29" s="111"/>
      <c r="BE29" s="111"/>
      <c r="BF29" s="111"/>
      <c r="BG29" s="1357"/>
      <c r="BH29" s="1361"/>
      <c r="BI29" s="598" t="str">
        <f>IF(BG29="","",$BA$27*BH29/100-($BB$27*BH29/100*VLOOKUP(BG29,'DB technologies'!$AC$27:$AM$31,5,FALSE)/100)+(VLOOKUP(BG29,'DB technologies'!$AC$27:$AN$31,12,FALSE)*$BA$27*BH29/100))</f>
        <v/>
      </c>
      <c r="BJ29" s="551">
        <f>IF(BI29="",0,BI29*BK29/100)</f>
        <v>0</v>
      </c>
      <c r="BK29" s="571" t="str">
        <f>IF(BG29="","",($BB$27*BH29/100)/BI29*(1-(VLOOKUP(BG29,'DB technologies'!$AC$27:$AM$31,5,FALSE))/100)*100)</f>
        <v/>
      </c>
      <c r="BL29" s="261" t="str">
        <f>IF(BG29="","",$BD$27*BH29/100-BO29-BP29-BQ29)</f>
        <v/>
      </c>
      <c r="BM29" s="261" t="str">
        <f>IF(BG29="","",$BE$27*BH29/100)</f>
        <v/>
      </c>
      <c r="BN29" s="261" t="str">
        <f>IF(BG29="","",$BF$27*BH29/100)</f>
        <v/>
      </c>
      <c r="BO29" s="261" t="str">
        <f>IF(BG29="","",$BD$27*BH29/100*VLOOKUP(BG29,'DB technologies'!$AC$27:$AF$31,2,FALSE)/100)</f>
        <v/>
      </c>
      <c r="BP29" s="261" t="str">
        <f>IF(BG29="","",$BD$27*BH29/100*VLOOKUP(BG29,'DB technologies'!$AC$27:$AN$31,3,FALSE)/100)</f>
        <v/>
      </c>
      <c r="BQ29" s="262" t="str">
        <f>IF(BG29="","",$BD$27*BH29/100*VLOOKUP(BG29,'DB technologies'!$AC$27:$AN$31,4,FALSE)/100)</f>
        <v/>
      </c>
      <c r="BR29" s="117"/>
      <c r="BS29" s="117"/>
      <c r="BT29" s="118"/>
    </row>
    <row r="30" spans="1:74" ht="12" customHeight="1" thickBot="1" x14ac:dyDescent="0.25">
      <c r="A30" s="684"/>
      <c r="B30" s="695"/>
      <c r="C30" s="251"/>
      <c r="D30" s="1359"/>
      <c r="E30" s="1360"/>
      <c r="F30" s="481" t="str">
        <f>IF('Calc (ex-animal)'!$F$9=1,"",IF($C$26=0,"",IF(D30="","",E30/'Calc (ex-animal)'!$E$11*100)))</f>
        <v/>
      </c>
      <c r="G30" s="483" t="str">
        <f>IF($C$26=0,"",IF('Calc (ex-animal)'!$F$8=1,"",IF(D30="","",SUM(H30:O30))))</f>
        <v/>
      </c>
      <c r="H30" s="445" t="str">
        <f>IF('Calc (ex-animal)'!$F$8=1,"",IF(D30="","",(((VLOOKUP($C$26,'Calc (ex-animal)'!$D$8:$Y$12,6,FALSE)-VLOOKUP($C$26,'Calc (ex-animal)'!$D$8:$Y$12,17,FALSE))*F30/100))*VLOOKUP($C$26,'Calc (ex-animal)'!$D$8:$Y$12,7,FALSE)/100*(1-VLOOKUP(D30,'DB technologies'!$N$11:$Y$25,9,FALSE)/100)))</f>
        <v/>
      </c>
      <c r="I30" s="445" t="str">
        <f>IF(D30="","",((VLOOKUP(D30,'DB technologies'!$N$11:$Y$25,2,FALSE)*VLOOKUP($C$26,'DB animal categories'!$C$10:$AC$21,27,FALSE)*E30/1000)/365*(VLOOKUP($C$26,'DB animal categories'!$C$10:$AC$21,27,FALSE)-VLOOKUP($C$26,'DB animal categories'!$C$10:$AC$21,25,FALSE)*VLOOKUP($C$26,'DB animal categories'!$C$10:$AC$21,26,FALSE)/24))*'DB additional information '!$S$6/100*(1-VLOOKUP(D30,'DB technologies'!$N$11:$Y$25,9,FALSE)/100))</f>
        <v/>
      </c>
      <c r="J30" s="446" t="str">
        <f>IF(D30="","",((VLOOKUP(D30,'DB technologies'!$N$11:$Y$25,3,FALSE)*VLOOKUP($C$26,'DB animal categories'!$C$10:$AC$21,27,FALSE)*E30/1000)/365*(VLOOKUP($C$26,'DB animal categories'!$C$10:$AC$21,27,FALSE)-VLOOKUP($C$26,'DB animal categories'!$C$10:$AC$21,25,FALSE)*VLOOKUP($C$26,'DB animal categories'!$C$10:$AC$21,26,FALSE)/24))*'DB additional information '!$S$7/100*(1-VLOOKUP(D30,'DB technologies'!$N$11:$Y$25,9,FALSE)/100))</f>
        <v/>
      </c>
      <c r="K30" s="446" t="str">
        <f>IF(D30="","",((VLOOKUP(D30,'DB technologies'!$N$11:$Y$25,4,FALSE)*E30*'DB additional information '!$S$8/100*(1-VLOOKUP(D30,'DB technologies'!$N$11:$Y$25,9,FALSE)/100))/365*(VLOOKUP($C$26,'DB animal categories'!$C$10:$AC$21,27,FALSE)-VLOOKUP($C$26,'DB animal categories'!$C$10:$AC$21,25,FALSE)*VLOOKUP($C$26,'DB animal categories'!$C$10:$AC$21,26,FALSE)/24)))</f>
        <v/>
      </c>
      <c r="L30" s="445" t="str">
        <f>IF('Calc (ex-animal)'!$F$8=1,"",IF(D30="","",(((VLOOKUP($C$26,'Calc (ex-animal)'!$D$8:$Y$12,6,FALSE)-VLOOKUP($C$26,'Calc (ex-animal)'!$D$8:$Y$12,17,FALSE))*F30/100))*(1-VLOOKUP($C$26,'Calc (ex-animal)'!$D$8:$Y$12,7,FALSE)/100)*(1-VLOOKUP(D30,'DB technologies'!$N$11:$V$25,8,FALSE)/100)))</f>
        <v/>
      </c>
      <c r="M30" s="446" t="str">
        <f>IF(D30="","",((VLOOKUP(D30,'DB technologies'!$N$11:$Y$25,2,FALSE)*VLOOKUP($C$26,'DB animal categories'!$C$10:$AC$21,27,FALSE)*E30/1000)/365*(VLOOKUP($C$26,'DB animal categories'!$C$10:$AC$21,27,FALSE)-VLOOKUP($C$26,'DB animal categories'!$C$10:$AC$21,25,FALSE)*VLOOKUP($C$26,'DB animal categories'!$C$10:$AC$21,26,FALSE)/24))*(1-'DB additional information '!$S$6/100)*(1-VLOOKUP(D30,'DB technologies'!$N$11:$Y$25,9,FALSE)/100))</f>
        <v/>
      </c>
      <c r="N30" s="446" t="str">
        <f>IF(D30="","",((VLOOKUP(D30,'DB technologies'!$N$11:$Y$25,3,FALSE)*VLOOKUP($C$26,'DB animal categories'!$C$10:$AC$21,27,FALSE)*E30/1000)/365*(VLOOKUP($C$26,'DB animal categories'!$C$10:$AC$21,27,FALSE)-VLOOKUP($C$26,'DB animal categories'!$C$10:$AC$21,25,FALSE)*VLOOKUP($C$26,'DB animal categories'!$C$10:$AC$21,26,FALSE)/24))*(1-'DB additional information '!$S$7/100)*(1-VLOOKUP(D30,'DB technologies'!$N$11:$Y$25,9,FALSE)/100))</f>
        <v/>
      </c>
      <c r="O30" s="445" t="str">
        <f>IF(D30="","",((VLOOKUP(D30,'DB technologies'!$N$11:$Y$25,4,FALSE)*E30*(1-'DB additional information '!$S$8/100)*(1-VLOOKUP(D30,'DB technologies'!$N$11:$Y$25,8,FALSE)/100))/365*(VLOOKUP($C$26,'DB animal categories'!$C$10:$AC$21,27,FALSE)-VLOOKUP($C$26,'DB animal categories'!$C$10:$AC$21,25,FALSE)*VLOOKUP($C$26,'DB animal categories'!$C$10:$AC$21,26,FALSE)/24)))</f>
        <v/>
      </c>
      <c r="P30" s="632" t="str">
        <f>IF(G30=0,0,IF(E30="","",IF(F30="","",IF($C$26=0,"",IF(D30="","",SUM(H30:K30)/G30*100)))))</f>
        <v/>
      </c>
      <c r="Q30" s="476" t="str">
        <f>IF(D30="","",(VLOOKUP(D30,'DB technologies'!$N$11:$Y$25,2,FALSE)*'DB additional information '!$S$6/100*'DB additional information '!$T$6*VLOOKUP($C$26,'DB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R30" s="476" t="str">
        <f>IF(D30="","",(VLOOKUP(D30,'DB technologies'!$N$11:$Y$25,3,FALSE)*'DB additional information '!$S$7/100*'DB additional information '!$T$7*VLOOKUP($C$26,'DB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S30" s="494" t="str">
        <f>IF(D30="","",(VLOOKUP(D30,'DB technologies'!$N$11:$Y$25,4,FALSE)*('DB additional information '!$S$8/100*'DB additional information '!$T$8*E30/1000/1000)))</f>
        <v/>
      </c>
      <c r="T30" s="267" t="str">
        <f>IF($C$26=0,"",IF('Calc (ex-animal)'!$F$9=1,"",IF(D30="","",((VLOOKUP($C$26,'Calc (ex-animal)'!$D$8:$Y$12,10,FALSE)-VLOOKUP($C$26,'Calc (ex-animal)'!$D$8:$Y$12,18,FALSE))*F30/100+Q30+R30+S30)-AC30-AD30-AE30)))</f>
        <v/>
      </c>
      <c r="U30" s="477" t="str">
        <f>IF(D30="","",(VLOOKUP(D30,'DB technologies'!$N$11:$Y$25,2,FALSE)*'DB additional information '!$S$6/100*'DB additional information '!$U$6*VLOOKUP($C$26,'DB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V30" s="433" t="str">
        <f>IF(D30="","",(VLOOKUP(D30,'DB technologies'!$N$11:$Y$25,3,FALSE)*'DB additional information '!$S$7/100*'DB additional information '!$U$7*VLOOKUP($C$26,'DB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W30" s="475" t="str">
        <f>IF(D30="","",(VLOOKUP(D30,'DB technologies'!$N$11:$Y$25,4,FALSE)*('DB additional information '!$S$8/100*'DB additional information '!$U$8*E30/1000/1000)))</f>
        <v/>
      </c>
      <c r="X30" s="267" t="str">
        <f>IF($C$26=0,"",IF('Calc (ex-animal)'!$F$9=1,"",IF(D30="","",((VLOOKUP($C$26,'Calc (ex-animal)'!$D$8:$Y$12,13,FALSE)-VLOOKUP($C$26,'Calc (ex-animal)'!$D$8:$Y$12,19,FALSE))*F30/100+U30+V30+W30))))</f>
        <v/>
      </c>
      <c r="Y30" s="433" t="str">
        <f>IF(D30="","",(VLOOKUP(D30,'DB technologies'!$N$11:$Y$25,2,FALSE)*'DB additional information '!$S$6/100*'DB additional information '!$V$6*VLOOKUP($C$26,'DB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Z30" s="433" t="str">
        <f>IF(D30="","",(VLOOKUP(D30,'DB technologies'!$N$11:$Y$25,3,FALSE)*'DB additional information '!$S$7/100*'DB additional information '!$V$7*VLOOKUP($C$26,'DB animal categories'!$C$10:$AC$21,27,FALSE)*E30/1000/1000)/365*(VLOOKUP($C$26,'DB animal categories'!$C$10:$AC$21,27,FALSE)-VLOOKUP($C$26,'DB animal categories'!$C$10:$AC$21,25,FALSE)*VLOOKUP($C$26,'DB animal categories'!$C$10:$AC$21,26,FALSE)/24))</f>
        <v/>
      </c>
      <c r="AA30" s="433" t="str">
        <f>IF(D30="","",(VLOOKUP(D30,'DB technologies'!$N$11:$Y$25,4,FALSE)*('DB additional information '!$S$8/100*'DB additional information '!$V$8*E30/1000/1000)))</f>
        <v/>
      </c>
      <c r="AB30" s="267" t="str">
        <f>IF($C$26=0,"",IF('Calc (ex-animal)'!$F$8=1,"",IF(D30="","",((VLOOKUP($C$26,'Calc (ex-animal)'!$D$8:$Y$12,16,FALSE)-VLOOKUP($C$26,'Calc (ex-animal)'!$D$8:$Y$12,20,FALSE))*F30/100+Y30+Z30+AA30))))</f>
        <v/>
      </c>
      <c r="AC30" s="267" t="str">
        <f>IF($C$26=0,"",IF('Calc (ex-animal)'!$F$8=1,"",IF(D30="","",VLOOKUP($C$26,'Calc (ex-animal)'!$D$8:$Y$12,9,FALSE)/365*(VLOOKUP($C$26,'DB animal categories'!$C$10:$AC$21,27,FALSE)-VLOOKUP($C$26,'DB animal categories'!$C$10:$AC$21,25,FALSE)*VLOOKUP($C$26,'DB animal categories'!$C$10:$AC$21,26,FALSE)/24)*F30/100*VLOOKUP(D30,'DB technologies'!$N$11:$R$25,5,FALSE)/100)))</f>
        <v/>
      </c>
      <c r="AD30" s="267" t="str">
        <f>IF($C$26=0,"",IF('Calc (ex-animal)'!$F$8=1,"",IF(D30="","",VLOOKUP($C$26,'Calc (ex-animal)'!$D$8:$Y$12,10,FALSE)/365*(VLOOKUP($C$26,'DB animal categories'!$C$10:$AC$21,27,FALSE)-VLOOKUP($C$26,'DB animal categories'!$C$10:$AC$21,25,FALSE)*VLOOKUP($C$26,'DB animal categories'!$C$10:$AC$21,26,FALSE)/24)*F30/100*VLOOKUP(D30,'DB technologies'!$N$11:$Y$25,6,FALSE)/100)))</f>
        <v/>
      </c>
      <c r="AE30" s="268" t="str">
        <f>IF($C$26=0,"",IF('Calc (ex-animal)'!$F$8=1,"",IF(D30="","",VLOOKUP($C$26,'Calc (ex-animal)'!$D$8:$Y$12,10,FALSE)/365*(VLOOKUP($C$26,'DB animal categories'!$C$10:$AC$21,27,FALSE)-VLOOKUP($C$26,'DB animal categories'!$C$10:$AC$21,25,FALSE)*VLOOKUP($C$26,'DB animal categories'!$C$10:$AC$21,26,FALSE)/24)*F30/100*VLOOKUP(D30,'DB technologies'!$N$11:$Y$25,7,FALSE)/100)))</f>
        <v/>
      </c>
      <c r="AG30" s="695"/>
      <c r="AH30" s="695"/>
      <c r="AI30" s="183" t="str">
        <f>IF(D30="","",VLOOKUP(D30,'DB technologies'!$N$11:$Y$25,10,FALSE))</f>
        <v/>
      </c>
      <c r="AJ30" s="451" t="e">
        <f>VLOOKUP($C$26,'DB animal categories'!$C$10:$AN$21,27,FALSE)-VLOOKUP($C$26,'DB animal categories'!$C$10:$AN$21,26,FALSE)*VLOOKUP($C$26,'DB animal categories'!$C$10:$AN$21,25,FALSE)/24</f>
        <v>#N/A</v>
      </c>
      <c r="AK30" s="452" t="str">
        <f>IF(AI30="","",AL30+AM30)</f>
        <v/>
      </c>
      <c r="AL30" s="452" t="str">
        <f>IF(D30="","",IF(AI30=2,(('Calc (ex-animal)'!$G$11*'DB additional information '!$K$4/100*(1-VLOOKUP(D30,'DB technologies'!$N$11:$Y$25,9,FALSE)/100)*'Calc (ex-housing, ex-storage)'!F30/100+'Calc (ex-animal)'!$H$11*'DB additional information '!$L$4/100*(1-VLOOKUP(D30,'DB technologies'!$N$11:$Y$25,9,FALSE)/100)*'Calc (ex-housing, ex-storage)'!F30/100))/365*AJ30+I30+J30+K30,IF(AI30=1,('Calc (ex-animal)'!$H$11*'DB additional information '!$L$4/100*(1-VLOOKUP(D30,'DB technologies'!$N$11:$Y$25,9,FALSE)/100)*'Calc (ex-housing, ex-storage)'!F30/100)/365*AJ30,IF(AI30=4,('Calc (ex-animal)'!$G$11*'DB additional information '!$K$4/100+'Calc (ex-animal)'!$H$11*'DB additional information '!$L$4/100)*(1-VLOOKUP(D30,'DB technologies'!$N$11:$Y$25,9,FALSE)/100)*'Calc (ex-housing, ex-storage)'!F30/100*VLOOKUP(D30,'DB technologies'!$N$11:$Y$25,11,FALSE)/100/365*AJ30,0))))</f>
        <v/>
      </c>
      <c r="AM30" s="452" t="str">
        <f>IF(D30="","",IF(AI30=2,(('Calc (ex-animal)'!$G$11*(1-'DB additional information '!$K$4/100)*(1-VLOOKUP(D30,'DB technologies'!$N$11:$Y$25,8,FALSE)/100)*'Calc (ex-housing, ex-storage)'!F30/100+'Calc (ex-animal)'!$H$11*(1-'DB additional information '!$L$4/100)*(1-VLOOKUP(D30,'DB technologies'!$N$11:$Y$25,8,FALSE)/100)*'Calc (ex-housing, ex-storage)'!F30/100))/365*AJ30+M30+N30+O30,IF(AI30=1,('Calc (ex-animal)'!$H$11*(1-'DB additional information '!$L$4/100)*(1-VLOOKUP(D30,'DB technologies'!$N$11:$Y$25,8,FALSE)/100)*'Calc (ex-housing, ex-storage)'!F30/100)/365*AJ30,IF(AI30=4,('Calc (ex-animal)'!$G$11*(1-'DB additional information '!$K$4/100)+'Calc (ex-animal)'!$H$11*(1-'DB additional information '!$L$4/100))*(1-VLOOKUP(D30,'DB technologies'!$N$11:$Y$25,8,FALSE)/100)*'Calc (ex-housing, ex-storage)'!F30/100*VLOOKUP(D30,'DB technologies'!$N$11:$Y$25,11,FALSE)/100/365*AJ30,0))))</f>
        <v/>
      </c>
      <c r="AN30" s="452" t="str">
        <f>IF(AI30="","",IF(AL30=0,0,AL30/AK30*100))</f>
        <v/>
      </c>
      <c r="AO30" s="184" t="str">
        <f>IF(D30="","",IF(AI30=2,(('Calc (ex-animal)'!$L$11*'Calc (ex-housing, ex-storage)'!F30/100+'Calc (ex-animal)'!$K$11*'Calc (ex-housing, ex-storage)'!F30/100))/365*AJ30+Q30+R30+S30-AC30,IF(AI30=1,('Calc (ex-animal)'!$L$11*'Calc (ex-housing, ex-storage)'!F30/100)/365*AJ30-'Calc (ex-housing, ex-storage)'!AC30,IF(AI30=4,('Calc (ex-animal)'!$L$11+'Calc (ex-animal)'!$K$11)*'Calc (ex-housing, ex-storage)'!F30/100*VLOOKUP(D30,'DB technologies'!$N$11:$Y$25,11,FALSE)/100/365*AJ30-AC30*VLOOKUP(D30,'DB technologies'!$N$11:$Y$25,11,FALSE)/100,0))))</f>
        <v/>
      </c>
      <c r="AP30" s="184" t="str">
        <f>IF(D30="","",IF(AO30&lt;-0.01,0,IF(AI30=2,(('Calc (ex-animal)'!$L$11*'Calc (ex-housing, ex-storage)'!F30/100+'Calc (ex-animal)'!$K$11*'Calc (ex-housing, ex-storage)'!F30/100))/365*AJ30+Q30+R30+S30-AC30,IF(AI30=1,('Calc (ex-animal)'!$L$11*'Calc (ex-housing, ex-storage)'!F30/100)/365*AJ30-'Calc (ex-housing, ex-storage)'!AC30,IF(AI30=4,('Calc (ex-animal)'!$L$11+'Calc (ex-animal)'!$K$11)*'Calc (ex-housing, ex-storage)'!F30/100*VLOOKUP(D30,'DB technologies'!$N$11:$Y$25,11,FALSE)/100/365*AJ30-AC30*VLOOKUP(D30,'DB technologies'!$N$11:$Y$25,11,FALSE)/100,0)))))</f>
        <v/>
      </c>
      <c r="AQ30" s="184" t="str">
        <f>IF(D30="","",IF(AI30=2,('Calc (ex-animal)'!$O$11*'Calc (ex-housing, ex-storage)'!F30/100+'Calc (ex-animal)'!$N$11*'Calc (ex-housing, ex-storage)'!F30/100)/365*AJ30+U30+V30+W30,IF(AI30=1,'Calc (ex-animal)'!$O$11*'Calc (ex-housing, ex-storage)'!F30/100/365*AJ30,IF(AI30=4,('Calc (ex-animal)'!$O$11+'Calc (ex-animal)'!$N$11)*'Calc (ex-housing, ex-storage)'!F30/100*VLOOKUP(D30,'DB technologies'!$N$11:$Y$25,11,FALSE)/100/365*AJ30,0))))</f>
        <v/>
      </c>
      <c r="AR30" s="184" t="str">
        <f>IF(D30="","",IF(AI30=2,('Calc (ex-animal)'!$R$11*'Calc (ex-housing, ex-storage)'!F30/100+'Calc (ex-animal)'!$Q$11*'Calc (ex-housing, ex-storage)'!F30/100)/365*AJ30+Y30+Z30+AA30,IF(AI30=1,'Calc (ex-animal)'!$R$11*'Calc (ex-housing, ex-storage)'!F30/100/365*AJ30,IF(AI30=4,('Calc (ex-animal)'!$R$11+'Calc (ex-animal)'!$Q$11)*'Calc (ex-housing, ex-storage)'!F30/100*VLOOKUP(D30,'DB technologies'!$N$11:$Y$25,11,FALSE)/100/365*AJ30,0))))</f>
        <v/>
      </c>
      <c r="AS30" s="183" t="str">
        <f>IF(D30="","",VLOOKUP(D30,'DB technologies'!$N$11:$Y$25,10,FALSE))</f>
        <v/>
      </c>
      <c r="AT30" s="452" t="str">
        <f t="shared" si="1"/>
        <v/>
      </c>
      <c r="AU30" s="452" t="str">
        <f>IF(D30="","",IF(AS30=2,0,IF(AS30=1,'Calc (ex-animal)'!$G$11*'DB additional information '!$K$4/100*(1-VLOOKUP(D30,'DB technologies'!$N$11:$Y$25,8,FALSE)/100)*'Calc (ex-housing, ex-storage)'!F30/100/365*AJ30+I30+J30+K30,IF(AS30=5,(('Calc (ex-animal)'!$G$11*'DB additional information '!$K$4/100+'Calc (ex-animal)'!$H$11*'DB additional information '!$L$4/100))*(1-VLOOKUP(D30,'DB technologies'!$N$11:$Y$25,9,FALSE)/100)*'Calc (ex-housing, ex-storage)'!F30/100/365*AJ30+I30+J30+K30,IF(AS30=3,('Calc (ex-animal)'!$G$11*'DB additional information '!$K$4/100+'Calc (ex-animal)'!$H$11*'DB additional information '!$L$4/100)*(1-VLOOKUP(D30,'DB technologies'!$N$11:$Y$25,9,FALSE)/100)*'Calc (ex-housing, ex-storage)'!F30/100/365*AJ30+I30+J30+K30,IF(AS30=4,('Calc (ex-animal)'!$G$11*'DB additional information '!$K$4/100+'Calc (ex-animal)'!$H$11*'DB additional information '!$L$4/100)*(1-VLOOKUP(D30,'DB technologies'!$N$11:$Y$25,9,FALSE)/100)*'Calc (ex-housing, ex-storage)'!F30/100*VLOOKUP(D30,'DB technologies'!$N$11:$Y$25,12,FALSE)/100/365*AJ30+I30+J30+K30,0))))))</f>
        <v/>
      </c>
      <c r="AV30" s="452" t="str">
        <f>IF(D30="","",IF(AS30=2,0,IF(AS30=1,'Calc (ex-animal)'!$G$11*(1-'DB additional information '!$K$4/100)*(1-VLOOKUP(D30,'DB technologies'!$N$11:$Y$25,8,FALSE)/100)*'Calc (ex-housing, ex-storage)'!F30/100/365*AJ30+M30+N30+O30,IF(AS30=5,('Calc (ex-animal)'!$G$11*(1-'DB additional information '!$K$4/100)+'Calc (ex-animal)'!$H$11*(1-'DB additional information '!$L$4/100))*(1-VLOOKUP(D30,'DB technologies'!$N$11:$Y$25,8,FALSE)/100)*'Calc (ex-housing, ex-storage)'!F30/100/365*AJ30+M30+N30+O30,IF(AS30=3,('Calc (ex-animal)'!$G$11*(1-'DB additional information '!$K$4/100)+'Calc (ex-animal)'!$H$11*(1-'DB additional information '!$L$4/100))*(1-VLOOKUP(D30,'DB technologies'!$N$11:$Y$25,8,FALSE)/100)*'Calc (ex-housing, ex-storage)'!F30/100/365*AJ30+M30+N30+O30,IF(AS30=4,('Calc (ex-animal)'!$G$11*(1-'DB additional information '!$K$4/100)+'Calc (ex-animal)'!$H$11*(1-'DB additional information '!$L$4/100))*(1-VLOOKUP(D30,'DB technologies'!$N$11:$Y$25,8,FALSE)/100)*'Calc (ex-housing, ex-storage)'!F30/100*VLOOKUP(D30,'DB technologies'!$N$11:$Y$25,12,FALSE)/100/365*AJ30+M30+N30+O30,0))))))</f>
        <v/>
      </c>
      <c r="AW30" s="452" t="str">
        <f>IF(AS30="","",IF(AU30=0,0,AU30/AT30*100))</f>
        <v/>
      </c>
      <c r="AX30" s="184" t="str">
        <f>IF(D30="","",IF(AS30=2,0,IF(AS30=1,'Calc (ex-animal)'!$K$11*'Calc (ex-housing, ex-storage)'!F30/100/365*AJ30+Q30+R30+S30,IF(AS30=5,('Calc (ex-animal)'!$K$11+'Calc (ex-animal)'!$L$11)*'Calc (ex-housing, ex-storage)'!F30/100/365*AJ30+Q30+R30+S30-'Calc (ex-housing, ex-storage)'!AC30,IF(AS30=3,('Calc (ex-animal)'!$K$11+'Calc (ex-animal)'!$L$11)*'Calc (ex-housing, ex-storage)'!F30/100/365*AJ30+Q30+R30+S30-'Calc (ex-housing, ex-storage)'!AC30-AD30-AE30,IF(AI30=4,('Calc (ex-animal)'!$K$11+'Calc (ex-animal)'!$L$11)*'Calc (ex-housing, ex-storage)'!F30/100*VLOOKUP(D30,'DB technologies'!$N$11:$Y$25,12,FALSE)/100/365*AJ30+Q30+R30+S30-(VLOOKUP(D30,'DB technologies'!$N$11:$Y$25,12,FALSE)/100*AC30)-AD30-AE30,0))))))</f>
        <v/>
      </c>
      <c r="AY30" s="184" t="str">
        <f>IF(D30="","",IF(AS30=2,0,IF(AS30=1,'Calc (ex-animal)'!$N$11*'Calc (ex-housing, ex-storage)'!F30/100/365*AJ30+U30+V30+W30,IF(AS30=5,('Calc (ex-animal)'!$N$11+'Calc (ex-animal)'!$O$11)*'Calc (ex-housing, ex-storage)'!F30/100/365*AJ30+U30+V30+W30,IF(AS30=3,('Calc (ex-animal)'!$N$11+'Calc (ex-animal)'!$O$11)*'Calc (ex-housing, ex-storage)'!F30/100/365*AJ30+U30+V30+W30,IF(AS30=4,('Calc (ex-animal)'!$N$11+'Calc (ex-animal)'!$O$11)*'Calc (ex-housing, ex-storage)'!F30/100*VLOOKUP(D30,'DB technologies'!$N$11:$Y$25,12,FALSE)/100/365*AJ30+U30+V30+W30,0))))))</f>
        <v/>
      </c>
      <c r="AZ30" s="184" t="str">
        <f>IF(D30="","",IF(AS30=2,0,IF(AS30=1,'Calc (ex-animal)'!$Q$11*'Calc (ex-housing, ex-storage)'!F30/100/365*AJ30+Y30+Z30+AA30,IF(AS30=5,('Calc (ex-animal)'!$Q$11+'Calc (ex-animal)'!$R$11)*'Calc (ex-housing, ex-storage)'!F30/100/365*AJ30+Y30+Z30+AA30,IF(AS30=3,('Calc (ex-animal)'!$Q$11+'Calc (ex-animal)'!$R$11)*'Calc (ex-housing, ex-storage)'!F30/100/365*AJ30+Y30+Z30+AA30,IF(AS30=4,('Calc (ex-animal)'!$Q$11+'Calc (ex-animal)'!$R$11)*'Calc (ex-housing, ex-storage)'!F30/100*VLOOKUP(D30,'DB technologies'!$N$11:$Y$25,12,FALSE)/100/365*AJ30+Y30+Z30+AA30,0))))))</f>
        <v/>
      </c>
      <c r="BA30" s="506"/>
      <c r="BB30" s="506"/>
      <c r="BC30" s="506"/>
      <c r="BD30" s="111"/>
      <c r="BE30" s="111"/>
      <c r="BF30" s="111"/>
      <c r="BG30" s="1357"/>
      <c r="BH30" s="1361"/>
      <c r="BI30" s="598" t="str">
        <f>IF(BG30="","",$BA$27*BH30/100-($BB$27*BH30/100*VLOOKUP(BG30,'DB technologies'!$AC$27:$AM$31,5,FALSE)/100)+(VLOOKUP(BG30,'DB technologies'!$AC$27:$AN$31,12,FALSE)*$BA$27*BH30/100))</f>
        <v/>
      </c>
      <c r="BJ30" s="551">
        <f>IF(BI30="",0,BI30*BK30/100)</f>
        <v>0</v>
      </c>
      <c r="BK30" s="571" t="str">
        <f>IF(BG30="","",($BB$27*BH30/100)/BI30*(1-(VLOOKUP(BG30,'DB technologies'!$AC$27:$AM$31,5,FALSE))/100)*100)</f>
        <v/>
      </c>
      <c r="BL30" s="261" t="str">
        <f>IF(BG30="","",$BD$27*BH30/100-BO30-BP30-BQ30)</f>
        <v/>
      </c>
      <c r="BM30" s="261" t="str">
        <f>IF(BG30="","",$BE$27*BH30/100)</f>
        <v/>
      </c>
      <c r="BN30" s="261" t="str">
        <f>IF(BG30="","",$BF$27*BH30/100)</f>
        <v/>
      </c>
      <c r="BO30" s="261" t="str">
        <f>IF(BG30="","",$BD$27*BH30/100*VLOOKUP(BG30,'DB technologies'!$AC$27:$AF$31,2,FALSE)/100)</f>
        <v/>
      </c>
      <c r="BP30" s="261" t="str">
        <f>IF(BG30="","",$BD$27*BH30/100*VLOOKUP(BG30,'DB technologies'!$AC$27:$AN$31,3,FALSE)/100)</f>
        <v/>
      </c>
      <c r="BQ30" s="262" t="str">
        <f>IF(BG30="","",$BD$27*BH30/100*VLOOKUP(BG30,'DB technologies'!$AC$27:$AN$31,4,FALSE)/100)</f>
        <v/>
      </c>
      <c r="BR30" s="117"/>
      <c r="BS30" s="117"/>
      <c r="BT30" s="118"/>
    </row>
    <row r="31" spans="1:74" ht="12" customHeight="1" thickBot="1" x14ac:dyDescent="0.25">
      <c r="A31" s="684"/>
      <c r="B31" s="695"/>
      <c r="C31" s="252"/>
      <c r="D31" s="269" t="s">
        <v>58</v>
      </c>
      <c r="E31" s="270">
        <f>IF(F31&lt;=100,SUM(E26:E30),"ERROR")</f>
        <v>0</v>
      </c>
      <c r="F31" s="284">
        <f>IF(SUM(F26:F30) &lt;=100,SUM(F26:F30),"ERROR, SUM&gt;100%")</f>
        <v>0</v>
      </c>
      <c r="G31" s="492">
        <f>IF('Calc (ex-animal)'!$F$9=1,"",SUM(G26:G30))</f>
        <v>0</v>
      </c>
      <c r="H31" s="433">
        <f>IF('Calc (ex-animal)'!$F$8=1,"",SUM(H26:H30))</f>
        <v>0</v>
      </c>
      <c r="I31" s="433">
        <f>IF('Calc (ex-animal)'!$F$8=1,"",SUM(I26:I30))</f>
        <v>0</v>
      </c>
      <c r="J31" s="433">
        <f>IF('Calc (ex-animal)'!$F$8=1,"",SUM(J26:J30))</f>
        <v>0</v>
      </c>
      <c r="K31" s="433">
        <f>IF('Calc (ex-animal)'!$F$8=1,"",SUM(K26:K30))</f>
        <v>0</v>
      </c>
      <c r="L31" s="470"/>
      <c r="M31" s="470"/>
      <c r="N31" s="470"/>
      <c r="O31" s="470"/>
      <c r="P31" s="633">
        <f>IF(G31=0,0,IF('Calc (ex-animal)'!$F$9=1,"",IF(D31="","",SUM(H31:K31)/G31*100)))</f>
        <v>0</v>
      </c>
      <c r="Q31" s="470"/>
      <c r="R31" s="470"/>
      <c r="S31" s="495"/>
      <c r="T31" s="279">
        <f>IF('Calc (ex-animal)'!F11=1,"",SUM(T26:T30))</f>
        <v>0</v>
      </c>
      <c r="U31" s="433"/>
      <c r="V31" s="433"/>
      <c r="W31" s="433"/>
      <c r="X31" s="279">
        <f>IF('Calc (ex-animal)'!F11=1,"",SUM(X26:X30))</f>
        <v>0</v>
      </c>
      <c r="Y31" s="433"/>
      <c r="Z31" s="433"/>
      <c r="AA31" s="433"/>
      <c r="AB31" s="279">
        <f>IF('Calc (ex-animal)'!F11=1,"",SUM(AB26:AB30))</f>
        <v>0</v>
      </c>
      <c r="AC31" s="279">
        <f>IF('Calc (ex-animal)'!F11=1,"",SUM(AC26:AC30))</f>
        <v>0</v>
      </c>
      <c r="AD31" s="279">
        <f>IF('Calc (ex-animal)'!F11=1,"",SUM(AD26:AD30))</f>
        <v>0</v>
      </c>
      <c r="AE31" s="280">
        <f>IF('Calc (ex-animal)'!F11=1,"",SUM(AE26:AE30))</f>
        <v>0</v>
      </c>
      <c r="AG31" s="695"/>
      <c r="AH31" s="695"/>
      <c r="AJ31" s="450"/>
      <c r="AK31" s="450"/>
      <c r="AL31" s="450"/>
      <c r="AM31" s="450"/>
      <c r="AN31" s="450"/>
      <c r="AT31" s="450"/>
      <c r="AU31" s="450"/>
      <c r="AV31" s="450"/>
      <c r="AW31" s="450"/>
      <c r="BA31" s="506"/>
      <c r="BB31" s="506"/>
      <c r="BC31" s="506"/>
      <c r="BD31" s="111"/>
      <c r="BG31" s="1359"/>
      <c r="BH31" s="1362"/>
      <c r="BI31" s="600" t="str">
        <f>IF(BG31="","",$BA$27*BH31/100-($BB$27*BH31/100*VLOOKUP(BG31,'DB technologies'!$AC$27:$AM$31,5,FALSE)/100)+(VLOOKUP(BG31,'DB technologies'!$AC$27:$AN$31,12,FALSE)*$BA$27*BH31/100))</f>
        <v/>
      </c>
      <c r="BJ31" s="470">
        <f>IF(BI31="",0,BI31*BK31/100)</f>
        <v>0</v>
      </c>
      <c r="BK31" s="509" t="str">
        <f>IF(BG31="","",($BB$27*BH31/100)/BI31*(1-(VLOOKUP(BG31,'DB technologies'!$AC$27:$AM$31,5,FALSE))/100)*100)</f>
        <v/>
      </c>
      <c r="BL31" s="267" t="str">
        <f>IF(BG31="","",$BD$27*BH31/100-BO31-BP31-BQ31)</f>
        <v/>
      </c>
      <c r="BM31" s="267" t="str">
        <f>IF(BG31="","",$BE$27*BH31/100)</f>
        <v/>
      </c>
      <c r="BN31" s="267" t="str">
        <f>IF(BG31="","",$BF$27*BH31/100)</f>
        <v/>
      </c>
      <c r="BO31" s="267" t="str">
        <f>IF(BG31="","",$BD$27*BH31/100*VLOOKUP(BG31,'DB technologies'!$AC$27:$AF$31,2,FALSE)/100)</f>
        <v/>
      </c>
      <c r="BP31" s="267" t="str">
        <f>IF(BG31="","",$BD$27*BH31/100*VLOOKUP(BG31,'DB technologies'!$AC$27:$AN$31,3,FALSE)/100)</f>
        <v/>
      </c>
      <c r="BQ31" s="268" t="str">
        <f>IF(BG31="","",$BD$27*BH31/100*VLOOKUP(BG31,'DB technologies'!$AC$27:$AN$31,4,FALSE)/100)</f>
        <v/>
      </c>
      <c r="BR31" s="117"/>
      <c r="BS31" s="117"/>
      <c r="BT31" s="118"/>
    </row>
    <row r="32" spans="1:74" ht="11.25" customHeight="1" thickBot="1" x14ac:dyDescent="0.25">
      <c r="A32" s="684"/>
      <c r="B32" s="695"/>
      <c r="C32" s="250">
        <f>'Calc (ex-animal)'!D12</f>
        <v>0</v>
      </c>
      <c r="D32" s="1355"/>
      <c r="E32" s="1356"/>
      <c r="F32" s="479" t="str">
        <f>IF('Calc (ex-animal)'!$F$9=1,"",IF($C$32=0,"",IF(D32="","",E32/'Calc (ex-animal)'!$E$12*100)))</f>
        <v/>
      </c>
      <c r="G32" s="484" t="str">
        <f>IF($C$32=0,"",IF('Calc (ex-animal)'!$F$8=1,"",IF(D32="","",SUM(H32:O32))))</f>
        <v/>
      </c>
      <c r="H32" s="471" t="str">
        <f>IF('Calc (ex-animal)'!$F$8=1,"",IF(D32="","",(((VLOOKUP($C$32,'Calc (ex-animal)'!$D$8:$Y$12,6,FALSE)-VLOOKUP($C$32,'Calc (ex-animal)'!$D$8:$Y$12,17,FALSE))*F32/100))*VLOOKUP($C$32,'Calc (ex-animal)'!$D$8:$Y$12,7,FALSE)/100*(1-VLOOKUP(D32,'DB technologies'!$N$11:$Y$25,9,FALSE)/100)))</f>
        <v/>
      </c>
      <c r="I32" s="471" t="str">
        <f>IF(D32="","",((VLOOKUP(D32,'DB technologies'!$N$11:$Y$25,2,FALSE)*VLOOKUP($C$32,'DB animal categories'!$C$10:$AC$21,27,FALSE)*E32/1000)/365*(VLOOKUP($C$32,'DB animal categories'!$C$10:$AC$21,27,FALSE)-VLOOKUP($C$32,'DB animal categories'!$C$10:$AC$21,25,FALSE)*VLOOKUP($C$32,'DB animal categories'!$C$10:$AC$21,26,FALSE)/24))*'DB additional information '!$S$6/100*(1-VLOOKUP(D32,'DB technologies'!$N$11:$Y$25,9,FALSE)/100))</f>
        <v/>
      </c>
      <c r="J32" s="472" t="str">
        <f>IF(D32="","",((VLOOKUP(D32,'DB technologies'!$N$11:$Y$25,3,FALSE)*VLOOKUP($C$32,'DB animal categories'!$C$10:$AC$21,27,FALSE)*E32/1000)/365*(VLOOKUP($C$32,'DB animal categories'!$C$10:$AC$21,27,FALSE)-VLOOKUP($C$32,'DB animal categories'!$C$10:$AC$21,25,FALSE)*VLOOKUP($C$32,'DB animal categories'!$C$10:$AC$21,26,FALSE)/24))*'DB additional information '!$S$7/100*(1-VLOOKUP(D32,'DB technologies'!$N$11:$Y$25,9,FALSE)/100))</f>
        <v/>
      </c>
      <c r="K32" s="472" t="str">
        <f>IF(D32="","",((VLOOKUP(D32,'DB technologies'!$N$11:$Y$25,4,FALSE)*E32*'DB additional information '!$S$8/100*(1-VLOOKUP(D32,'DB technologies'!$N$11:$Y$25,9,FALSE)/100))/365*(VLOOKUP($C$32,'DB animal categories'!$C$10:$AC$21,27,FALSE)-VLOOKUP($C$32,'DB animal categories'!$C$10:$AC$21,25,FALSE)*VLOOKUP($C$32,'DB animal categories'!$C$10:$AC$21,26,FALSE)/24)))</f>
        <v/>
      </c>
      <c r="L32" s="471" t="str">
        <f>IF('Calc (ex-animal)'!$F$8=1,"",IF(D32="","",(((VLOOKUP($C$32,'Calc (ex-animal)'!$D$8:$Y$12,6,FALSE)-VLOOKUP($C$32,'Calc (ex-animal)'!$D$8:$Y$12,17,FALSE))*F32/100))*(1-VLOOKUP($C$32,'Calc (ex-animal)'!$D$8:$Y$12,7,FALSE)/100)*(1-VLOOKUP(D32,'DB technologies'!$N$11:$V$25,8,FALSE)/100)))</f>
        <v/>
      </c>
      <c r="M32" s="472" t="str">
        <f>IF(D32="","",((VLOOKUP(D32,'DB technologies'!$N$11:$Y$25,2,FALSE)*VLOOKUP($C$32,'DB animal categories'!$C$10:$AC$21,27,FALSE)*E32/1000)/365*(VLOOKUP($C$32,'DB animal categories'!$C$10:$AC$21,27,FALSE)-VLOOKUP($C$32,'DB animal categories'!$C$10:$AC$21,25,FALSE)*VLOOKUP($C$32,'DB animal categories'!$C$10:$AC$21,26,FALSE)/24))*(1-'DB additional information '!$S$6/100)*(1-VLOOKUP(D32,'DB technologies'!$N$11:$Y$25,9,FALSE)/100))</f>
        <v/>
      </c>
      <c r="N32" s="472" t="str">
        <f>IF(D32="","",((VLOOKUP(D32,'DB technologies'!$N$11:$Y$25,3,FALSE)*VLOOKUP($C$32,'DB animal categories'!$C$10:$AC$21,27,FALSE)*E32/1000)/365*(VLOOKUP($C$32,'DB animal categories'!$C$10:$AC$21,27,FALSE)-VLOOKUP($C$32,'DB animal categories'!$C$10:$AC$21,25,FALSE)*VLOOKUP($C$32,'DB animal categories'!$C$10:$AC$21,26,FALSE)/24))*(1-'DB additional information '!$S$7/100)*(1-VLOOKUP(D32,'DB technologies'!$N$11:$Y$25,9,FALSE)/100))</f>
        <v/>
      </c>
      <c r="O32" s="471" t="str">
        <f>IF(D32="","",((VLOOKUP(D32,'DB technologies'!$N$11:$Y$25,4,FALSE)*E32*(1-'DB additional information '!$S$8/100)*(1-VLOOKUP(D32,'DB technologies'!$N$11:$Y$25,8,FALSE)/100))/365*(VLOOKUP($C$32,'DB animal categories'!$C$10:$AC$21,27,FALSE)-VLOOKUP($C$32,'DB animal categories'!$C$10:$AC$21,25,FALSE)*VLOOKUP($C$32,'DB animal categories'!$C$10:$AC$21,26,FALSE)/24)))</f>
        <v/>
      </c>
      <c r="P32" s="631" t="str">
        <f>IF(G32=0,0,IF(E32="","",IF(F32="","",IF($C$32=0,"",IF(D32="","",SUM(H32:K32)/G32*100)))))</f>
        <v/>
      </c>
      <c r="Q32" s="473" t="str">
        <f>IF(D32="","",(VLOOKUP(D32,'DB technologies'!$N$11:$Y$25,2,FALSE)*'DB additional information '!$S$6/100*'DB additional information '!$T$6*VLOOKUP($C$32,'DB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R32" s="473" t="str">
        <f>IF(D32="","",(VLOOKUP(D32,'DB technologies'!$N$11:$Y$25,3,FALSE)*'DB additional information '!$S$7/100*'DB additional information '!$T$7*VLOOKUP($C$32,'DB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S32" s="490" t="str">
        <f>IF(D32="","",(VLOOKUP(D32,'DB technologies'!$N$11:$Y$25,4,FALSE)*('DB additional information '!$S$8/100*'DB additional information '!$T$8*E32/1000/1000)))</f>
        <v/>
      </c>
      <c r="T32" s="259" t="str">
        <f>IF($C$32=0,"",IF('Calc (ex-animal)'!$F$9=1,"",IF(D32="","",((VLOOKUP($C$32,'Calc (ex-animal)'!$D$8:$Y$12,10,FALSE)-VLOOKUP($C$32,'Calc (ex-animal)'!$D$8:$Y$12,18,FALSE))*F32/100+Q32+R32+S32)-AC32-AD32-AE32)))</f>
        <v/>
      </c>
      <c r="U32" s="474" t="str">
        <f>IF(D32="","",(VLOOKUP(D32,'DB technologies'!$N$11:$Y$25,2,FALSE)*'DB additional information '!$S$6/100*'DB additional information '!$U$6*VLOOKUP($C$32,'DB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V32" s="420" t="str">
        <f>IF(D32="","",(VLOOKUP(D32,'DB technologies'!$N$11:$Y$25,3,FALSE)*'DB additional information '!$S$7/100*'DB additional information '!$U$7*VLOOKUP($C$32,'DB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W32" s="415" t="str">
        <f>IF(D32="","",(VLOOKUP(D32,'DB technologies'!$N$11:$Y$25,4,FALSE)*('DB additional information '!$S$8/100*'DB additional information '!$U$8*E32/1000/1000)))</f>
        <v/>
      </c>
      <c r="X32" s="259" t="str">
        <f>IF($C$32=0,"",IF('Calc (ex-animal)'!$F$9=1,"",IF(D32="","",((VLOOKUP($C$32,'Calc (ex-animal)'!$D$8:$Y$12,13,FALSE)-VLOOKUP($C$32,'Calc (ex-animal)'!$D$8:$Y$12,19,FALSE))*F32/100+U32+V32+W32))))</f>
        <v/>
      </c>
      <c r="Y32" s="420" t="str">
        <f>IF(D32="","",(VLOOKUP(D32,'DB technologies'!$N$11:$Y$25,2,FALSE)*'DB additional information '!$S$6/100*'DB additional information '!$V$6*VLOOKUP($C$32,'DB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Z32" s="420" t="str">
        <f>IF(D32="","",(VLOOKUP(D32,'DB technologies'!$N$11:$Y$25,3,FALSE)*'DB additional information '!$S$7/100*'DB additional information '!$V$7*VLOOKUP($C$32,'DB animal categories'!$C$10:$AC$21,27,FALSE)*E32/1000/1000)/365*(VLOOKUP($C$32,'DB animal categories'!$C$10:$AC$21,27,FALSE)-VLOOKUP($C$32,'DB animal categories'!$C$10:$AC$21,25,FALSE)*VLOOKUP($C$32,'DB animal categories'!$C$10:$AC$21,26,FALSE)/24))</f>
        <v/>
      </c>
      <c r="AA32" s="420" t="str">
        <f>IF(D32="","",(VLOOKUP(D32,'DB technologies'!$N$11:$Y$25,4,FALSE)*('DB additional information '!$S$8/100*'DB additional information '!$V$8*E32/1000/1000)))</f>
        <v/>
      </c>
      <c r="AB32" s="259" t="str">
        <f>IF($C$32=0,"",IF('Calc (ex-animal)'!$F$8=1,"",IF(D32="","",((VLOOKUP($C$32,'Calc (ex-animal)'!$D$8:$Y$12,16,FALSE)-VLOOKUP($C$32,'Calc (ex-animal)'!$D$8:$Y$12,20,FALSE))*F32/100+Y32+Z32+AA32))))</f>
        <v/>
      </c>
      <c r="AC32" s="259" t="str">
        <f>IF($C$32=0,"",IF('Calc (ex-animal)'!$F$8=1,"",IF(D32="","",VLOOKUP($C$32,'Calc (ex-animal)'!$D$8:$Y$12,9,FALSE)/365*(VLOOKUP($C$32,'DB animal categories'!$C$10:$AC$21,27,FALSE)-VLOOKUP($C$32,'DB animal categories'!$C$10:$AC$21,25,FALSE)*VLOOKUP($C$32,'DB animal categories'!$C$10:$AC$21,26,FALSE)/24)*F32/100*VLOOKUP(D32,'DB technologies'!$N$11:$R$25,5,FALSE)/100)))</f>
        <v/>
      </c>
      <c r="AD32" s="259" t="str">
        <f>IF($C$32=0,"",IF('Calc (ex-animal)'!$F$8=1,"",IF(D32="","",VLOOKUP($C$32,'Calc (ex-animal)'!$D$8:$Y$12,10,FALSE)/365*(VLOOKUP($C$32,'DB animal categories'!$C$10:$AC$21,27,FALSE)-VLOOKUP($C$32,'DB animal categories'!$C$10:$AC$21,25,FALSE)*VLOOKUP($C$32,'DB animal categories'!$C$10:$AC$21,26,FALSE)/24)*F32/100*VLOOKUP(D32,'DB technologies'!$N$11:$Y$25,6,FALSE)/100)))</f>
        <v/>
      </c>
      <c r="AE32" s="260" t="str">
        <f>IF($C$32=0,"",IF('Calc (ex-animal)'!$F$8=1,"",IF(D32="","",VLOOKUP($C$32,'Calc (ex-animal)'!$D$8:$Y$12,10,FALSE)/365*(VLOOKUP($C$32,'DB animal categories'!$C$10:$AC$21,27,FALSE)-VLOOKUP($C$32,'DB animal categories'!$C$10:$AC$21,25,FALSE)*VLOOKUP($C$32,'DB animal categories'!$C$10:$AC$21,26,FALSE)/24)*F32/100*VLOOKUP(D32,'DB technologies'!$N$11:$Y$25,7,FALSE)/100)))</f>
        <v/>
      </c>
      <c r="AG32" s="695"/>
      <c r="AH32" s="696"/>
      <c r="AI32" s="185" t="str">
        <f>IF(D32="","",VLOOKUP(D32,'DB technologies'!$N$11:$Y$25,10,FALSE))</f>
        <v/>
      </c>
      <c r="AJ32" s="482" t="e">
        <f>VLOOKUP($C$32,'DB animal categories'!$C$10:$AN$21,27,FALSE)-VLOOKUP($C$32,'DB animal categories'!$C$10:$AN$21,26,FALSE)*VLOOKUP($C$32,'DB animal categories'!$C$10:$AN$21,25,FALSE)/24</f>
        <v>#N/A</v>
      </c>
      <c r="AK32" s="453" t="str">
        <f>IF(AI32="","",AL32+AM32)</f>
        <v/>
      </c>
      <c r="AL32" s="453" t="str">
        <f>IF(D32="","",IF(AI32=2,(('Calc (ex-animal)'!$G$12*'DB additional information '!$K$4/100*(1-VLOOKUP(D32,'DB technologies'!$N$11:$Y$25,9,FALSE)/100)*'Calc (ex-housing, ex-storage)'!F32/100+'Calc (ex-animal)'!$H$12*'DB additional information '!$L$4/100*(1-VLOOKUP(D32,'DB technologies'!$N$11:$Y$25,9,FALSE)/100)*'Calc (ex-housing, ex-storage)'!F32/100))/365*AJ32+I32+J32+K32,IF(AI32=1,('Calc (ex-animal)'!$H$12*'DB additional information '!$L$4/100*(1-VLOOKUP(D32,'DB technologies'!$N$11:$Y$25,9,FALSE)/100)*'Calc (ex-housing, ex-storage)'!F32/100)/365*AJ32,IF(AI32=4,('Calc (ex-animal)'!$G$12*'DB additional information '!$K$4/100+'Calc (ex-animal)'!$H$12*'DB additional information '!$L$4/100)*(1-VLOOKUP(D32,'DB technologies'!$N$11:$Y$25,9,FALSE)/100)*'Calc (ex-housing, ex-storage)'!F32/100*VLOOKUP(D32,'DB technologies'!$N$11:$Y$25,11,FALSE)/100/365*AJ32,0))))</f>
        <v/>
      </c>
      <c r="AM32" s="453" t="str">
        <f>IF(D32="","",IF(AI32=2,(('Calc (ex-animal)'!$G$12*(1-'DB additional information '!$K$4/100)*(1-VLOOKUP(D32,'DB technologies'!$N$11:$Y$25,8,FALSE)/100)*'Calc (ex-housing, ex-storage)'!F32/100+'Calc (ex-animal)'!$H$12*(1-'DB additional information '!$L$4/100)*(1-VLOOKUP(D32,'DB technologies'!$N$11:$Y$25,8,FALSE)/100)*'Calc (ex-housing, ex-storage)'!F32/100))/365*AJ32+M32+N32+O32,IF(AI32=1,('Calc (ex-animal)'!$H$12*(1-'DB additional information '!$L$4/100)*(1-VLOOKUP(D32,'DB technologies'!$N$11:$Y$25,8,FALSE)/100)*'Calc (ex-housing, ex-storage)'!F32/100)/365*AJ32,IF(AI32=4,('Calc (ex-animal)'!$G$12*(1-'DB additional information '!$K$4/100)+'Calc (ex-animal)'!$H$12*(1-'DB additional information '!$L$4/100))*(1-VLOOKUP(D32,'DB technologies'!$N$11:$Y$25,8,FALSE)/100)*'Calc (ex-housing, ex-storage)'!F32/100*VLOOKUP(D32,'DB technologies'!$N$11:$Y$25,11,FALSE)/100/365*AJ32,0))))</f>
        <v/>
      </c>
      <c r="AN32" s="453" t="str">
        <f>IF(AI32="","",IF(AL32=0,0,AL32/AK32*100))</f>
        <v/>
      </c>
      <c r="AO32" s="180" t="str">
        <f>IF(D32="","",IF(AI32=2,(('Calc (ex-animal)'!$L$12*'Calc (ex-housing, ex-storage)'!F32/100+'Calc (ex-animal)'!$K$12*'Calc (ex-housing, ex-storage)'!F32/100))/365*AJ32+Q32+R32+S32-AC32,IF(AI32=1,('Calc (ex-animal)'!$L$12*'Calc (ex-housing, ex-storage)'!F32/100)/365*AJ32-'Calc (ex-housing, ex-storage)'!AC32,IF(AI32=4,('Calc (ex-animal)'!$L$12+'Calc (ex-animal)'!$K$12)*'Calc (ex-housing, ex-storage)'!F32/100*VLOOKUP(D32,'DB technologies'!$N$11:$Y$25,11,FALSE)/100/365*AJ32-AC32*VLOOKUP(D32,'DB technologies'!$N$11:$Y$25,11,FALSE)/100,0))))</f>
        <v/>
      </c>
      <c r="AP32" s="180" t="str">
        <f>IF(D32="","",IF(AO32&lt;-0.01,0,IF(AI32=2,(('Calc (ex-animal)'!$L$12*'Calc (ex-housing, ex-storage)'!F32/100+'Calc (ex-animal)'!$K$12*'Calc (ex-housing, ex-storage)'!F32/100))/365*AJ32+Q32+R32+S32-AC32,IF(AI32=1,('Calc (ex-animal)'!$L$12*'Calc (ex-housing, ex-storage)'!F32/100)/365*AJ32-'Calc (ex-housing, ex-storage)'!AC32,IF(AI32=4,('Calc (ex-animal)'!$L$12+'Calc (ex-animal)'!$K$12)*'Calc (ex-housing, ex-storage)'!F32/100*VLOOKUP(D32,'DB technologies'!$N$11:$Y$25,11,FALSE)/100/365*AJ32-AC32*VLOOKUP(D32,'DB technologies'!$N$11:$Y$25,11,FALSE)/100,0)))))</f>
        <v/>
      </c>
      <c r="AQ32" s="180" t="str">
        <f>IF(D32="","",IF(AI32=2,('Calc (ex-animal)'!$O$12*'Calc (ex-housing, ex-storage)'!F32/100+'Calc (ex-animal)'!$N$12*'Calc (ex-housing, ex-storage)'!F32/100)/365*AJ32+U32+V32+W32,IF(AI32=1,'Calc (ex-animal)'!$O$12*'Calc (ex-housing, ex-storage)'!F32/100/365*AJ32,IF(AI32=4,('Calc (ex-animal)'!$O$12+'Calc (ex-animal)'!$N$12)*'Calc (ex-housing, ex-storage)'!F32/100*VLOOKUP(D32,'DB technologies'!$N$11:$Y$25,11,FALSE)/100/365*AJ32,0))))</f>
        <v/>
      </c>
      <c r="AR32" s="180" t="str">
        <f>IF(D32="","",IF(AI32=2,('Calc (ex-animal)'!$R$12*'Calc (ex-housing, ex-storage)'!F32/100+'Calc (ex-animal)'!$Q$12*'Calc (ex-housing, ex-storage)'!F32/100)/365*AJ32+Y32+Z32+AA32,IF(AI32=1,'Calc (ex-animal)'!$R$12*'Calc (ex-housing, ex-storage)'!F32/100/365*AJ32,IF(AI32=4,('Calc (ex-animal)'!$R$12+'Calc (ex-animal)'!$Q$12)*'Calc (ex-housing, ex-storage)'!F32/100*VLOOKUP(D32,'DB technologies'!$N$11:$Y$25,11,FALSE)/100/365*AJ32,0))))</f>
        <v/>
      </c>
      <c r="AS32" s="179" t="str">
        <f>IF(D32="","",VLOOKUP(D32,'DB technologies'!$N$11:$Y$25,10,FALSE))</f>
        <v/>
      </c>
      <c r="AT32" s="453" t="str">
        <f t="shared" si="1"/>
        <v/>
      </c>
      <c r="AU32" s="453" t="str">
        <f>IF(D32="","",IF(AS32=2,0,IF(AS32=1,'Calc (ex-animal)'!$G$12*'DB additional information '!$K$4/100*(1-VLOOKUP(D32,'DB technologies'!$N$11:$Y$25,8,FALSE)/100)*'Calc (ex-housing, ex-storage)'!F32/100/365*AJ32+I32+J32+K32,IF(AS32=5,(('Calc (ex-animal)'!$G$12*'DB additional information '!$K$4/100+'Calc (ex-animal)'!$H$12*'DB additional information '!$L$4/100))*(1-VLOOKUP(D32,'DB technologies'!$N$11:$Y$25,9,FALSE)/100)*'Calc (ex-housing, ex-storage)'!F32/100/365*AJ32+I32+J32+K32,IF(AS32=3,('Calc (ex-animal)'!$G$12*'DB additional information '!$K$4/100+'Calc (ex-animal)'!$H$12*'DB additional information '!$L$4/100)*(1-VLOOKUP(D32,'DB technologies'!$N$11:$Y$25,9,FALSE)/100)*'Calc (ex-housing, ex-storage)'!F32/100/365*AJ32+I32+J32+K32,IF(AS32=4,('Calc (ex-animal)'!$G$12*'DB additional information '!$K$4/100+'Calc (ex-animal)'!$H$12*'DB additional information '!$L$4/100)*(1-VLOOKUP(D32,'DB technologies'!$N$11:$Y$25,9,FALSE)/100)*'Calc (ex-housing, ex-storage)'!F32/100*VLOOKUP(D32,'DB technologies'!$N$11:$Y$25,12,FALSE)/100/365*AJ32+I32+J32+K32,0))))))</f>
        <v/>
      </c>
      <c r="AV32" s="453" t="str">
        <f>IF(D32="","",IF(AS32=2,0,IF(AS32=1,'Calc (ex-animal)'!$G$12*(1-'DB additional information '!$K$4/100)*(1-VLOOKUP(D32,'DB technologies'!$N$11:$Y$25,8,FALSE)/100)*'Calc (ex-housing, ex-storage)'!F32/100/365*AJ32+M32+N32+O32,IF(AS32=5,('Calc (ex-animal)'!$G$12*(1-'DB additional information '!$K$4/100)+'Calc (ex-animal)'!$H$12*(1-'DB additional information '!$L$4/100))*(1-VLOOKUP(D32,'DB technologies'!$N$11:$Y$25,8,FALSE)/100)*'Calc (ex-housing, ex-storage)'!F32/100/365*AJ32+M32+N32+O32,IF(AS32=3,('Calc (ex-animal)'!$G$12*(1-'DB additional information '!$K$4/100)+'Calc (ex-animal)'!$H$12*(1-'DB additional information '!$L$4/100))*(1-VLOOKUP(D32,'DB technologies'!$N$11:$Y$25,8,FALSE)/100)*'Calc (ex-housing, ex-storage)'!F32/100/365*AJ32+M32+N32+O32,IF(AS32=4,('Calc (ex-animal)'!$G$12*(1-'DB additional information '!$K$4/100)+'Calc (ex-animal)'!$H$12*(1-'DB additional information '!$L$4/100))*(1-VLOOKUP(D32,'DB technologies'!$N$11:$Y$25,8,FALSE)/100)*'Calc (ex-housing, ex-storage)'!F32/100*VLOOKUP(D32,'DB technologies'!$N$11:$Y$25,12,FALSE)/100/365*AJ32+M32+N32+O32,0))))))</f>
        <v/>
      </c>
      <c r="AW32" s="453" t="str">
        <f>IF(AS32="","",IF(AU32=0,0,AU32/AT32*100))</f>
        <v/>
      </c>
      <c r="AX32" s="180" t="str">
        <f>IF(D32="","",IF(AS32=2,0,IF(AS32=1,'Calc (ex-animal)'!$K$12*'Calc (ex-housing, ex-storage)'!F32/100/365*AJ32+Q32+R32+S32,IF(AS32=5,('Calc (ex-animal)'!$K$12+'Calc (ex-animal)'!$L$12)*'Calc (ex-housing, ex-storage)'!F32/100/365*AJ32+Q32+R32+S32-'Calc (ex-housing, ex-storage)'!AC32,IF(AS32=3,('Calc (ex-animal)'!$K$12+'Calc (ex-animal)'!$L$12)*'Calc (ex-housing, ex-storage)'!F32/100/365*AJ32+Q32+R32+S32-'Calc (ex-housing, ex-storage)'!AC32-AD32-AE32,IF(AI32=4,('Calc (ex-animal)'!$K$12+'Calc (ex-animal)'!$L$12)*'Calc (ex-housing, ex-storage)'!F32/100*VLOOKUP(D32,'DB technologies'!$N$11:$Y$25,12,FALSE)/100/365*AJ32+Q32+R32+S32-(VLOOKUP(D32,'DB technologies'!$N$11:$Y$25,12,FALSE)/100*AC32)-AD32-AE32,0))))))</f>
        <v/>
      </c>
      <c r="AY32" s="180" t="str">
        <f>IF(D32="","",IF(AS32=2,0,IF(AS32=1,'Calc (ex-animal)'!$N$12*'Calc (ex-housing, ex-storage)'!F32/100/365*AJ32+U32+V32+W32,IF(AS32=5,('Calc (ex-animal)'!$N$12+'Calc (ex-animal)'!$O$12)*'Calc (ex-housing, ex-storage)'!F32/100/365*AJ32+U32+V32+W32,IF(AS32=3,('Calc (ex-animal)'!$N$12+'Calc (ex-animal)'!$O$12)*'Calc (ex-housing, ex-storage)'!F32/100/365*AJ32+U32+V32+W32,IF(AS32=4,('Calc (ex-animal)'!$N$12+'Calc (ex-animal)'!$O$12)*'Calc (ex-housing, ex-storage)'!F32/100*VLOOKUP(D32,'DB technologies'!$N$11:$Y$25,12,FALSE)/100/365*AJ32+U32+V32+W32,0))))))</f>
        <v/>
      </c>
      <c r="AZ32" s="180" t="str">
        <f>IF(D32="","",IF(AS32=2,0,IF(AS32=1,'Calc (ex-animal)'!$Q$12*'Calc (ex-housing, ex-storage)'!F32/100/365*AJ32+Y32+Z32+AA32,IF(AS32=5,('Calc (ex-animal)'!$Q$12+'Calc (ex-animal)'!$R$12)*'Calc (ex-housing, ex-storage)'!F32/100/365*AJ32+Y32+Z32+AA32,IF(AS32=3,('Calc (ex-animal)'!$Q$12+'Calc (ex-animal)'!$R$12)*'Calc (ex-housing, ex-storage)'!F32/100/365*AJ32+Y32+Z32+AA32,IF(AS32=4,('Calc (ex-animal)'!$Q$12+'Calc (ex-animal)'!$R$12)*'Calc (ex-housing, ex-storage)'!F32/100*VLOOKUP(D32,'DB technologies'!$N$11:$Y$25,12,FALSE)/100/365*AJ32+Y32+Z32+AA32,0))))))</f>
        <v/>
      </c>
      <c r="BA32" s="507"/>
      <c r="BB32" s="507"/>
      <c r="BC32" s="507"/>
      <c r="BG32" s="314" t="s">
        <v>58</v>
      </c>
      <c r="BH32" s="289">
        <f>IF(SUM(BH27:BH31) &gt;100,"ERROR, SUM&gt;100%",SUM(BH27:BH31))</f>
        <v>0</v>
      </c>
      <c r="BI32" s="602">
        <f>SUM(BI27:BI31)</f>
        <v>0</v>
      </c>
      <c r="BJ32" s="593">
        <f>SUM(BJ27:BJ31)</f>
        <v>0</v>
      </c>
      <c r="BK32" s="597">
        <f>IF(BI32=0,0,BJ32/BI32*100)</f>
        <v>0</v>
      </c>
      <c r="BL32" s="290">
        <f t="shared" ref="BL32:BQ32" si="4">SUM(BL27:BL31)</f>
        <v>0</v>
      </c>
      <c r="BM32" s="290">
        <f t="shared" si="4"/>
        <v>0</v>
      </c>
      <c r="BN32" s="290">
        <f t="shared" si="4"/>
        <v>0</v>
      </c>
      <c r="BO32" s="290">
        <f t="shared" si="4"/>
        <v>0</v>
      </c>
      <c r="BP32" s="290">
        <f t="shared" si="4"/>
        <v>0</v>
      </c>
      <c r="BQ32" s="291">
        <f t="shared" si="4"/>
        <v>0</v>
      </c>
      <c r="BR32" s="119"/>
      <c r="BS32" s="120"/>
      <c r="BT32" s="121"/>
    </row>
    <row r="33" spans="1:72" ht="11.25" customHeight="1" x14ac:dyDescent="0.2">
      <c r="A33" s="684"/>
      <c r="B33" s="695"/>
      <c r="C33" s="251"/>
      <c r="D33" s="1357"/>
      <c r="E33" s="1358"/>
      <c r="F33" s="480" t="str">
        <f>IF('Calc (ex-animal)'!$F$9=1,"",IF($C$32=0,"",IF(D33="","",E33/'Calc (ex-animal)'!$E$12*100)))</f>
        <v/>
      </c>
      <c r="G33" s="485" t="str">
        <f>IF($C$32=0,"",IF('Calc (ex-animal)'!$F$8=1,"",IF(D33="","",SUM(H33:O33))))</f>
        <v/>
      </c>
      <c r="H33" s="423" t="str">
        <f>IF('Calc (ex-animal)'!$F$8=1,"",IF(D33="","",(((VLOOKUP($C$32,'Calc (ex-animal)'!$D$8:$Y$12,6,FALSE)-VLOOKUP($C$32,'Calc (ex-animal)'!$D$8:$Y$12,17,FALSE))*F33/100))*VLOOKUP($C$32,'Calc (ex-animal)'!$D$8:$Y$12,7,FALSE)/100*(1-VLOOKUP(D33,'DB technologies'!$N$11:$Y$25,9,FALSE)/100)))</f>
        <v/>
      </c>
      <c r="I33" s="423" t="str">
        <f>IF(D33="","",((VLOOKUP(D33,'DB technologies'!$N$11:$Y$25,2,FALSE)*VLOOKUP($C$32,'DB animal categories'!$C$10:$AC$21,27,FALSE)*E33/1000)/365*(VLOOKUP($C$32,'DB animal categories'!$C$10:$AC$21,27,FALSE)-VLOOKUP($C$32,'DB animal categories'!$C$10:$AC$21,25,FALSE)*VLOOKUP($C$32,'DB animal categories'!$C$10:$AC$21,26,FALSE)/24))*'DB additional information '!$S$6/100*(1-VLOOKUP(D33,'DB technologies'!$N$11:$Y$25,9,FALSE)/100))</f>
        <v/>
      </c>
      <c r="J33" s="434" t="str">
        <f>IF(D33="","",((VLOOKUP(D33,'DB technologies'!$N$11:$Y$25,3,FALSE)*VLOOKUP($C$32,'DB animal categories'!$C$10:$AC$21,27,FALSE)*E33/1000)/365*(VLOOKUP($C$32,'DB animal categories'!$C$10:$AC$21,27,FALSE)-VLOOKUP($C$32,'DB animal categories'!$C$10:$AC$21,25,FALSE)*VLOOKUP($C$32,'DB animal categories'!$C$10:$AC$21,26,FALSE)/24))*'DB additional information '!$S$7/100*(1-VLOOKUP(D33,'DB technologies'!$N$11:$Y$25,9,FALSE)/100))</f>
        <v/>
      </c>
      <c r="K33" s="434" t="str">
        <f>IF(D33="","",((VLOOKUP(D33,'DB technologies'!$N$11:$Y$25,4,FALSE)*E33*'DB additional information '!$S$8/100*(1-VLOOKUP(D33,'DB technologies'!$N$11:$Y$25,9,FALSE)/100))/365*(VLOOKUP($C$32,'DB animal categories'!$C$10:$AC$21,27,FALSE)-VLOOKUP($C$32,'DB animal categories'!$C$10:$AC$21,25,FALSE)*VLOOKUP($C$32,'DB animal categories'!$C$10:$AC$21,26,FALSE)/24)))</f>
        <v/>
      </c>
      <c r="L33" s="423" t="str">
        <f>IF('Calc (ex-animal)'!$F$8=1,"",IF(D33="","",(((VLOOKUP($C$32,'Calc (ex-animal)'!$D$8:$Y$12,6,FALSE)-VLOOKUP($C$32,'Calc (ex-animal)'!$D$8:$Y$12,17,FALSE))*F33/100))*(1-VLOOKUP($C$32,'Calc (ex-animal)'!$D$8:$Y$12,7,FALSE)/100)*(1-VLOOKUP(D33,'DB technologies'!$N$11:$V$25,8,FALSE)/100)))</f>
        <v/>
      </c>
      <c r="M33" s="434" t="str">
        <f>IF(D33="","",((VLOOKUP(D33,'DB technologies'!$N$11:$Y$25,2,FALSE)*VLOOKUP($C$32,'DB animal categories'!$C$10:$AC$21,27,FALSE)*E33/1000)/365*(VLOOKUP($C$32,'DB animal categories'!$C$10:$AC$21,27,FALSE)-VLOOKUP($C$32,'DB animal categories'!$C$10:$AC$21,25,FALSE)*VLOOKUP($C$32,'DB animal categories'!$C$10:$AC$21,26,FALSE)/24))*(1-'DB additional information '!$S$6/100)*(1-VLOOKUP(D33,'DB technologies'!$N$11:$Y$25,9,FALSE)/100))</f>
        <v/>
      </c>
      <c r="N33" s="434" t="str">
        <f>IF(D33="","",((VLOOKUP(D33,'DB technologies'!$N$11:$Y$25,3,FALSE)*VLOOKUP($C$32,'DB animal categories'!$C$10:$AC$21,27,FALSE)*E33/1000)/365*(VLOOKUP($C$32,'DB animal categories'!$C$10:$AC$21,27,FALSE)-VLOOKUP($C$32,'DB animal categories'!$C$10:$AC$21,25,FALSE)*VLOOKUP($C$32,'DB animal categories'!$C$10:$AC$21,26,FALSE)/24))*(1-'DB additional information '!$S$7/100)*(1-VLOOKUP(D33,'DB technologies'!$N$11:$Y$25,9,FALSE)/100))</f>
        <v/>
      </c>
      <c r="O33" s="423" t="str">
        <f>IF(D33="","",((VLOOKUP(D33,'DB technologies'!$N$11:$Y$25,4,FALSE)*E33*(1-'DB additional information '!$S$8/100)*(1-VLOOKUP(D33,'DB technologies'!$N$11:$Y$25,8,FALSE)/100))/365*(VLOOKUP($C$32,'DB animal categories'!$C$10:$AC$21,27,FALSE)-VLOOKUP($C$32,'DB animal categories'!$C$10:$AC$21,25,FALSE)*VLOOKUP($C$32,'DB animal categories'!$C$10:$AC$21,26,FALSE)/24)))</f>
        <v/>
      </c>
      <c r="P33" s="631" t="str">
        <f>IF(G33=0,0,IF(E33="","",IF(F33="","",IF($C$32=0,"",IF(D33="","",SUM(H33:K33)/G33*100)))))</f>
        <v/>
      </c>
      <c r="Q33" s="416" t="str">
        <f>IF(D33="","",(VLOOKUP(D33,'DB technologies'!$N$11:$Y$25,2,FALSE)*'DB additional information '!$S$6/100*'DB additional information '!$T$6*VLOOKUP($C$32,'DB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R33" s="416" t="str">
        <f>IF(D33="","",(VLOOKUP(D33,'DB technologies'!$N$11:$Y$25,3,FALSE)*'DB additional information '!$S$7/100*'DB additional information '!$T$7*VLOOKUP($C$32,'DB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S33" s="491" t="str">
        <f>IF(D33="","",(VLOOKUP(D33,'DB technologies'!$N$11:$Y$25,4,FALSE)*('DB additional information '!$S$8/100*'DB additional information '!$T$8*E33/1000/1000)))</f>
        <v/>
      </c>
      <c r="T33" s="261" t="str">
        <f>IF($C$32=0,"",IF('Calc (ex-animal)'!$F$9=1,"",IF(D33="","",((VLOOKUP($C$32,'Calc (ex-animal)'!$D$8:$Y$12,10,FALSE)-VLOOKUP($C$32,'Calc (ex-animal)'!$D$8:$Y$12,18,FALSE))*F33/100+Q33+R33+S33)-AC33-AD33-AE33)))</f>
        <v/>
      </c>
      <c r="U33" s="422" t="str">
        <f>IF(D33="","",(VLOOKUP(D33,'DB technologies'!$N$11:$Y$25,2,FALSE)*'DB additional information '!$S$6/100*'DB additional information '!$U$6*VLOOKUP($C$32,'DB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V33" s="418" t="str">
        <f>IF(D33="","",(VLOOKUP(D33,'DB technologies'!$N$11:$Y$25,3,FALSE)*'DB additional information '!$S$7/100*'DB additional information '!$U$7*VLOOKUP($C$32,'DB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W33" s="417" t="str">
        <f>IF(D33="","",(VLOOKUP(D33,'DB technologies'!$N$11:$Y$25,4,FALSE)*('DB additional information '!$S$8/100*'DB additional information '!$U$8*E33/1000/1000)))</f>
        <v/>
      </c>
      <c r="X33" s="261" t="str">
        <f>IF($C$32=0,"",IF('Calc (ex-animal)'!$F$9=1,"",IF(D33="","",((VLOOKUP($C$32,'Calc (ex-animal)'!$D$8:$Y$12,13,FALSE)-VLOOKUP($C$32,'Calc (ex-animal)'!$D$8:$Y$12,19,FALSE))*F33/100+U33+V33+W33))))</f>
        <v/>
      </c>
      <c r="Y33" s="418" t="str">
        <f>IF(D33="","",(VLOOKUP(D33,'DB technologies'!$N$11:$Y$25,2,FALSE)*'DB additional information '!$S$6/100*'DB additional information '!$V$6*VLOOKUP($C$32,'DB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Z33" s="418" t="str">
        <f>IF(D33="","",(VLOOKUP(D33,'DB technologies'!$N$11:$Y$25,3,FALSE)*'DB additional information '!$S$7/100*'DB additional information '!$V$7*VLOOKUP($C$32,'DB animal categories'!$C$10:$AC$21,27,FALSE)*E33/1000/1000)/365*(VLOOKUP($C$32,'DB animal categories'!$C$10:$AC$21,27,FALSE)-VLOOKUP($C$32,'DB animal categories'!$C$10:$AC$21,25,FALSE)*VLOOKUP($C$32,'DB animal categories'!$C$10:$AC$21,26,FALSE)/24))</f>
        <v/>
      </c>
      <c r="AA33" s="418" t="str">
        <f>IF(D33="","",(VLOOKUP(D33,'DB technologies'!$N$11:$Y$25,4,FALSE)*('DB additional information '!$S$8/100*'DB additional information '!$V$8*E33/1000/1000)))</f>
        <v/>
      </c>
      <c r="AB33" s="261" t="str">
        <f>IF($C$32=0,"",IF('Calc (ex-animal)'!$F$8=1,"",IF(D33="","",((VLOOKUP($C$32,'Calc (ex-animal)'!$D$8:$Y$12,16,FALSE)-VLOOKUP($C$32,'Calc (ex-animal)'!$D$8:$Y$12,20,FALSE))*F33/100+Y33+Z33+AA33))))</f>
        <v/>
      </c>
      <c r="AC33" s="261" t="str">
        <f>IF($C$32=0,"",IF('Calc (ex-animal)'!$F$8=1,"",IF(D33="","",VLOOKUP($C$32,'Calc (ex-animal)'!$D$8:$Y$12,9,FALSE)/365*(VLOOKUP($C$32,'DB animal categories'!$C$10:$AC$21,27,FALSE)-VLOOKUP($C$32,'DB animal categories'!$C$10:$AC$21,25,FALSE)*VLOOKUP($C$32,'DB animal categories'!$C$10:$AC$21,26,FALSE)/24)*F33/100*VLOOKUP(D33,'DB technologies'!$N$11:$R$25,5,FALSE)/100)))</f>
        <v/>
      </c>
      <c r="AD33" s="261" t="str">
        <f>IF($C$32=0,"",IF('Calc (ex-animal)'!$F$8=1,"",IF(D33="","",VLOOKUP($C$32,'Calc (ex-animal)'!$D$8:$Y$12,10,FALSE)/365*(VLOOKUP($C$32,'DB animal categories'!$C$10:$AC$21,27,FALSE)-VLOOKUP($C$32,'DB animal categories'!$C$10:$AC$21,25,FALSE)*VLOOKUP($C$32,'DB animal categories'!$C$10:$AC$21,26,FALSE)/24)*F33/100*VLOOKUP(D33,'DB technologies'!$N$11:$Y$25,6,FALSE)/100)))</f>
        <v/>
      </c>
      <c r="AE33" s="262" t="str">
        <f>IF($C$32=0,"",IF('Calc (ex-animal)'!$F$8=1,"",IF(D33="","",VLOOKUP($C$32,'Calc (ex-animal)'!$D$8:$Y$12,10,FALSE)/365*(VLOOKUP($C$32,'DB animal categories'!$C$10:$AC$21,27,FALSE)-VLOOKUP($C$32,'DB animal categories'!$C$10:$AC$21,25,FALSE)*VLOOKUP($C$32,'DB animal categories'!$C$10:$AC$21,26,FALSE)/24)*F33/100*VLOOKUP(D33,'DB technologies'!$N$11:$Y$25,7,FALSE)/100)))</f>
        <v/>
      </c>
      <c r="AG33" s="695"/>
      <c r="AH33" s="694" t="s">
        <v>133</v>
      </c>
      <c r="AI33" s="186" t="str">
        <f>IF(D33="","",VLOOKUP(D33,'DB technologies'!$N$11:$Y$25,10,FALSE))</f>
        <v/>
      </c>
      <c r="AJ33" s="449" t="e">
        <f>VLOOKUP($C$32,'DB animal categories'!$C$10:$AN$21,27,FALSE)-VLOOKUP($C$32,'DB animal categories'!$C$10:$AN$21,26,FALSE)*VLOOKUP($C$32,'DB animal categories'!$C$10:$AN$21,25,FALSE)/24</f>
        <v>#N/A</v>
      </c>
      <c r="AK33" s="442" t="str">
        <f>IF(AI33="","",AL33+AM33)</f>
        <v/>
      </c>
      <c r="AL33" s="442" t="str">
        <f>IF(D33="","",IF(AI33=2,(('Calc (ex-animal)'!$G$12*'DB additional information '!$K$4/100*(1-VLOOKUP(D33,'DB technologies'!$N$11:$Y$25,9,FALSE)/100)*'Calc (ex-housing, ex-storage)'!F33/100+'Calc (ex-animal)'!$H$12*'DB additional information '!$L$4/100*(1-VLOOKUP(D33,'DB technologies'!$N$11:$Y$25,9,FALSE)/100)*'Calc (ex-housing, ex-storage)'!F33/100))/365*AJ33+I33+J33+K33,IF(AI33=1,('Calc (ex-animal)'!$H$12*'DB additional information '!$L$4/100*(1-VLOOKUP(D33,'DB technologies'!$N$11:$Y$25,9,FALSE)/100)*'Calc (ex-housing, ex-storage)'!F33/100)/365*AJ33,IF(AI33=4,('Calc (ex-animal)'!$G$12*'DB additional information '!$K$4/100+'Calc (ex-animal)'!$H$12*'DB additional information '!$L$4/100)*(1-VLOOKUP(D33,'DB technologies'!$N$11:$Y$25,9,FALSE)/100)*'Calc (ex-housing, ex-storage)'!F33/100*VLOOKUP(D33,'DB technologies'!$N$11:$Y$25,11,FALSE)/100/365*AJ33,0))))</f>
        <v/>
      </c>
      <c r="AM33" s="442" t="str">
        <f>IF(D33="","",IF(AI33=2,(('Calc (ex-animal)'!$G$12*(1-'DB additional information '!$K$4/100)*(1-VLOOKUP(D33,'DB technologies'!$N$11:$Y$25,8,FALSE)/100)*'Calc (ex-housing, ex-storage)'!F33/100+'Calc (ex-animal)'!$H$12*(1-'DB additional information '!$L$4/100)*(1-VLOOKUP(D33,'DB technologies'!$N$11:$Y$25,8,FALSE)/100)*'Calc (ex-housing, ex-storage)'!F33/100))/365*AJ33+M33+N33+O33,IF(AI33=1,('Calc (ex-animal)'!$H$12*(1-'DB additional information '!$L$4/100)*(1-VLOOKUP(D33,'DB technologies'!$N$11:$Y$25,8,FALSE)/100)*'Calc (ex-housing, ex-storage)'!F33/100)/365*AJ33,IF(AI33=4,('Calc (ex-animal)'!$G$12*(1-'DB additional information '!$K$4/100)+'Calc (ex-animal)'!$H$12*(1-'DB additional information '!$L$4/100))*(1-VLOOKUP(D33,'DB technologies'!$N$11:$Y$25,8,FALSE)/100)*'Calc (ex-housing, ex-storage)'!F33/100*VLOOKUP(D33,'DB technologies'!$N$11:$Y$25,11,FALSE)/100/365*AJ33,0))))</f>
        <v/>
      </c>
      <c r="AN33" s="442" t="str">
        <f>IF(AI33="","",IF(AL33=0,0,AL33/AK33*100))</f>
        <v/>
      </c>
      <c r="AO33" s="182" t="str">
        <f>IF(D33="","",IF(AI33=2,(('Calc (ex-animal)'!$L$12*'Calc (ex-housing, ex-storage)'!F33/100+'Calc (ex-animal)'!$K$12*'Calc (ex-housing, ex-storage)'!F33/100))/365*AJ33+Q33+R33+S33-AC33,IF(AI33=1,('Calc (ex-animal)'!$L$12*'Calc (ex-housing, ex-storage)'!F33/100)/365*AJ33-'Calc (ex-housing, ex-storage)'!AC33,IF(AI33=4,('Calc (ex-animal)'!$L$12+'Calc (ex-animal)'!$K$12)*'Calc (ex-housing, ex-storage)'!F33/100*VLOOKUP(D33,'DB technologies'!$N$11:$Y$25,11,FALSE)/100/365*AJ33-AC33*VLOOKUP(D33,'DB technologies'!$N$11:$Y$25,11,FALSE)/100,0))))</f>
        <v/>
      </c>
      <c r="AP33" s="182" t="str">
        <f>IF(D33="","",IF(AO33&lt;-0.01,0,IF(AI33=2,(('Calc (ex-animal)'!$L$12*'Calc (ex-housing, ex-storage)'!F33/100+'Calc (ex-animal)'!$K$12*'Calc (ex-housing, ex-storage)'!F33/100))/365*AJ33+Q33+R33+S33-AC33,IF(AI33=1,('Calc (ex-animal)'!$L$12*'Calc (ex-housing, ex-storage)'!F33/100)/365*AJ33-'Calc (ex-housing, ex-storage)'!AC33,IF(AI33=4,('Calc (ex-animal)'!$L$12+'Calc (ex-animal)'!$K$12)*'Calc (ex-housing, ex-storage)'!F33/100*VLOOKUP(D33,'DB technologies'!$N$11:$Y$25,11,FALSE)/100/365*AJ33-AC33*VLOOKUP(D33,'DB technologies'!$N$11:$Y$25,11,FALSE)/100,0)))))</f>
        <v/>
      </c>
      <c r="AQ33" s="182" t="str">
        <f>IF(D33="","",IF(AI33=2,('Calc (ex-animal)'!$O$12*'Calc (ex-housing, ex-storage)'!F33/100+'Calc (ex-animal)'!$N$12*'Calc (ex-housing, ex-storage)'!F33/100)/365*AJ33+U33+V33+W33,IF(AI33=1,'Calc (ex-animal)'!$O$12*'Calc (ex-housing, ex-storage)'!F33/100/365*AJ33,IF(AI33=4,('Calc (ex-animal)'!$O$12+'Calc (ex-animal)'!$N$12)*'Calc (ex-housing, ex-storage)'!F33/100*VLOOKUP(D33,'DB technologies'!$N$11:$Y$25,11,FALSE)/100/365*AJ33,0))))</f>
        <v/>
      </c>
      <c r="AR33" s="182" t="str">
        <f>IF(D33="","",IF(AI33=2,('Calc (ex-animal)'!$R$12*'Calc (ex-housing, ex-storage)'!F33/100+'Calc (ex-animal)'!$Q$12*'Calc (ex-housing, ex-storage)'!F33/100)/365*AJ33+Y33+Z33+AA33,IF(AI33=1,'Calc (ex-animal)'!$R$12*'Calc (ex-housing, ex-storage)'!F33/100/365*AJ33,IF(AI33=4,('Calc (ex-animal)'!$R$12+'Calc (ex-animal)'!$Q$12)*'Calc (ex-housing, ex-storage)'!F33/100*VLOOKUP(D33,'DB technologies'!$N$11:$Y$25,11,FALSE)/100/365*AJ33,0))))</f>
        <v/>
      </c>
      <c r="AS33" s="181" t="str">
        <f>IF(D33="","",VLOOKUP(D33,'DB technologies'!$N$11:$Y$25,10,FALSE))</f>
        <v/>
      </c>
      <c r="AT33" s="442" t="str">
        <f t="shared" si="1"/>
        <v/>
      </c>
      <c r="AU33" s="442" t="str">
        <f>IF(D33="","",IF(AS33=2,0,IF(AS33=1,'Calc (ex-animal)'!$G$12*'DB additional information '!$K$4/100*(1-VLOOKUP(D33,'DB technologies'!$N$11:$Y$25,8,FALSE)/100)*'Calc (ex-housing, ex-storage)'!F33/100/365*AJ33+I33+J33+K33,IF(AS33=5,(('Calc (ex-animal)'!$G$12*'DB additional information '!$K$4/100+'Calc (ex-animal)'!$H$12*'DB additional information '!$L$4/100))*(1-VLOOKUP(D33,'DB technologies'!$N$11:$Y$25,9,FALSE)/100)*'Calc (ex-housing, ex-storage)'!F33/100/365*AJ33+I33+J33+K33,IF(AS33=3,('Calc (ex-animal)'!$G$12*'DB additional information '!$K$4/100+'Calc (ex-animal)'!$H$12*'DB additional information '!$L$4/100)*(1-VLOOKUP(D33,'DB technologies'!$N$11:$Y$25,9,FALSE)/100)*'Calc (ex-housing, ex-storage)'!F33/100/365*AJ33+I33+J33+K33,IF(AS33=4,('Calc (ex-animal)'!$G$12*'DB additional information '!$K$4/100+'Calc (ex-animal)'!$H$12*'DB additional information '!$L$4/100)*(1-VLOOKUP(D33,'DB technologies'!$N$11:$Y$25,9,FALSE)/100)*'Calc (ex-housing, ex-storage)'!F33/100*VLOOKUP(D33,'DB technologies'!$N$11:$Y$25,12,FALSE)/100/365*AJ33+I33+J33+K33,0))))))</f>
        <v/>
      </c>
      <c r="AV33" s="442" t="str">
        <f>IF(D33="","",IF(AS33=2,0,IF(AS33=1,'Calc (ex-animal)'!$G$12*(1-'DB additional information '!$K$4/100)*(1-VLOOKUP(D33,'DB technologies'!$N$11:$Y$25,8,FALSE)/100)*'Calc (ex-housing, ex-storage)'!F33/100/365*AJ33+M33+N33+O33,IF(AS33=5,('Calc (ex-animal)'!$G$12*(1-'DB additional information '!$K$4/100)+'Calc (ex-animal)'!$H$12*(1-'DB additional information '!$L$4/100))*(1-VLOOKUP(D33,'DB technologies'!$N$11:$Y$25,8,FALSE)/100)*'Calc (ex-housing, ex-storage)'!F33/100/365*AJ33+M33+N33+O33,IF(AS33=3,('Calc (ex-animal)'!$G$12*(1-'DB additional information '!$K$4/100)+'Calc (ex-animal)'!$H$12*(1-'DB additional information '!$L$4/100))*(1-VLOOKUP(D33,'DB technologies'!$N$11:$Y$25,8,FALSE)/100)*'Calc (ex-housing, ex-storage)'!F33/100/365*AJ33+M33+N33+O33,IF(AS33=4,('Calc (ex-animal)'!$G$12*(1-'DB additional information '!$K$4/100)+'Calc (ex-animal)'!$H$12*(1-'DB additional information '!$L$4/100))*(1-VLOOKUP(D33,'DB technologies'!$N$11:$Y$25,8,FALSE)/100)*'Calc (ex-housing, ex-storage)'!F33/100*VLOOKUP(D33,'DB technologies'!$N$11:$Y$25,12,FALSE)/100/365*AJ33+M33+N33+O33,0))))))</f>
        <v/>
      </c>
      <c r="AW33" s="442" t="str">
        <f>IF(AS33="","",IF(AU33=0,0,AU33/AT33*100))</f>
        <v/>
      </c>
      <c r="AX33" s="182" t="str">
        <f>IF(D33="","",IF(AS33=2,0,IF(AS33=1,'Calc (ex-animal)'!$K$12*'Calc (ex-housing, ex-storage)'!F33/100/365*AJ33+Q33+R33+S33,IF(AS33=5,('Calc (ex-animal)'!$K$12+'Calc (ex-animal)'!$L$12)*'Calc (ex-housing, ex-storage)'!F33/100/365*AJ33+Q33+R33+S33-'Calc (ex-housing, ex-storage)'!AC33,IF(AS33=3,('Calc (ex-animal)'!$K$12+'Calc (ex-animal)'!$L$12)*'Calc (ex-housing, ex-storage)'!F33/100/365*AJ33+Q33+R33+S33-'Calc (ex-housing, ex-storage)'!AC33-AD33-AE33,IF(AI33=4,('Calc (ex-animal)'!$K$12+'Calc (ex-animal)'!$L$12)*'Calc (ex-housing, ex-storage)'!F33/100*VLOOKUP(D33,'DB technologies'!$N$11:$Y$25,12,FALSE)/100/365*AJ33+Q33+R33+S33-(VLOOKUP(D33,'DB technologies'!$N$11:$Y$25,12,FALSE)/100*AC33)-AD33-AE33,0))))))</f>
        <v/>
      </c>
      <c r="AY33" s="182" t="str">
        <f>IF(D33="","",IF(AS33=2,0,IF(AS33=1,'Calc (ex-animal)'!$N$12*'Calc (ex-housing, ex-storage)'!F33/100/365*AJ33+U33+V33+W33,IF(AS33=5,('Calc (ex-animal)'!$N$12+'Calc (ex-animal)'!$O$12)*'Calc (ex-housing, ex-storage)'!F33/100/365*AJ33+U33+V33+W33,IF(AS33=3,('Calc (ex-animal)'!$N$12+'Calc (ex-animal)'!$O$12)*'Calc (ex-housing, ex-storage)'!F33/100/365*AJ33+U33+V33+W33,IF(AS33=4,('Calc (ex-animal)'!$N$12+'Calc (ex-animal)'!$O$12)*'Calc (ex-housing, ex-storage)'!F33/100*VLOOKUP(D33,'DB technologies'!$N$11:$Y$25,12,FALSE)/100/365*AJ33+U33+V33+W33,0))))))</f>
        <v/>
      </c>
      <c r="AZ33" s="182" t="str">
        <f>IF(D33="","",IF(AS33=2,0,IF(AS33=1,'Calc (ex-animal)'!$Q$12*'Calc (ex-housing, ex-storage)'!F33/100/365*AJ33+Y33+Z33+AA33,IF(AS33=5,('Calc (ex-animal)'!$Q$12+'Calc (ex-animal)'!$R$12)*'Calc (ex-housing, ex-storage)'!F33/100/365*AJ33+Y33+Z33+AA33,IF(AS33=3,('Calc (ex-animal)'!$Q$12+'Calc (ex-animal)'!$R$12)*'Calc (ex-housing, ex-storage)'!F33/100/365*AJ33+Y33+Z33+AA33,IF(AS33=4,('Calc (ex-animal)'!$Q$12+'Calc (ex-animal)'!$R$12)*'Calc (ex-housing, ex-storage)'!F33/100*VLOOKUP(D33,'DB technologies'!$N$11:$Y$25,12,FALSE)/100/365*AJ33+Y33+Z33+AA33,0))))))</f>
        <v/>
      </c>
      <c r="BA33" s="98">
        <f>SUMIF(AS160:AS273,1,AT160:AT273)+SUMIF(AS160:AS273,5,AT160:AT273)</f>
        <v>0</v>
      </c>
      <c r="BB33" s="98">
        <f>SUMIF(AS160:AS273,1,AU160:AU273)+SUMIF(AS160:AS273,5,AU160:AU273)</f>
        <v>0</v>
      </c>
      <c r="BC33" s="506" t="e">
        <f>BB33/BA33*100</f>
        <v>#DIV/0!</v>
      </c>
      <c r="BD33" s="98">
        <f>SUMIF(AS160:AS273,1,AX160:AX273)+SUMIF(AS160:AS273,5,AX160:AX273)</f>
        <v>0</v>
      </c>
      <c r="BE33" s="98">
        <f>SUMIF(AS160:AS273,1,AY160:AY273)+SUMIF(AS160:AS273,5,AY160:AY273)</f>
        <v>0</v>
      </c>
      <c r="BF33" s="98">
        <f>SUMIF(AS160:AS273,1,AZ160:AZ273)+SUMIF(AS160:AS273,5,AZ160:AZ273)</f>
        <v>0</v>
      </c>
      <c r="BG33" s="1355"/>
      <c r="BH33" s="1363"/>
      <c r="BI33" s="599" t="str">
        <f>IF(BG33="","",$BA$33*BH33/100-($BB$33*BH33/100*VLOOKUP(BG33,'DB technologies'!$AC$32:$AQ$36,5,FALSE)/100)+(VLOOKUP(BG33,'DB technologies'!$AC$32:$AQ$36,12,FALSE)*$BA$33*BH33/100))</f>
        <v/>
      </c>
      <c r="BJ33" s="551">
        <f>IF(BI33="",0,BI33*BK33/100)</f>
        <v>0</v>
      </c>
      <c r="BK33" s="548" t="str">
        <f>IF(BG33="","",($BB$33*BH33/100)/BI33*(1-(VLOOKUP(BG33,'DB technologies'!$AC$32:$AQ$36,5,FALSE))/100)*100)</f>
        <v/>
      </c>
      <c r="BL33" s="261" t="str">
        <f>IF(BG33="","",$BD$33*BH33/100-BO33-BP33-BQ33-BR33)</f>
        <v/>
      </c>
      <c r="BM33" s="259" t="str">
        <f>IF(BG33="","",$BE$33*BH33/100-BS33)</f>
        <v/>
      </c>
      <c r="BN33" s="259" t="str">
        <f>IF(BG33="","",$BF$33*BH33/100-BT33)</f>
        <v/>
      </c>
      <c r="BO33" s="259" t="str">
        <f>IF(BG33="","",$BD$33*BH33/100*VLOOKUP(BG33,'DB technologies'!$AC$32:$AF$36,2,FALSE)/100)</f>
        <v/>
      </c>
      <c r="BP33" s="259" t="str">
        <f>IF(BG33="","",$BD$33*BH33/100*VLOOKUP(BG33,'DB technologies'!$AC$32:$AN$36,3,FALSE)/100)</f>
        <v/>
      </c>
      <c r="BQ33" s="260" t="str">
        <f>IF(BG33="","",$BD$33*BH33/100*VLOOKUP(BG33,'DB technologies'!$AC$32:$AN$36,4,FALSE)/100)</f>
        <v/>
      </c>
      <c r="BR33" s="263" t="str">
        <f>IF(BG33="","",VLOOKUP(BG33,'DB technologies'!$AC$32:$AQ$36,13,FALSE)/100*$BD$33*BH33/100)</f>
        <v/>
      </c>
      <c r="BS33" s="259" t="str">
        <f>IF(BG33="","",VLOOKUP(BG33,'DB technologies'!$AC$32:$AQ$36,14,FALSE)/100*$BE$33*BL33/100)</f>
        <v/>
      </c>
      <c r="BT33" s="260" t="str">
        <f>IF(BG33="","",VLOOKUP(BG33,'DB technologies'!$AC$32:$AQ$36,15,FALSE)/100*$BF$33*BH33/100)</f>
        <v/>
      </c>
    </row>
    <row r="34" spans="1:72" ht="11.25" customHeight="1" x14ac:dyDescent="0.2">
      <c r="A34" s="684"/>
      <c r="B34" s="695"/>
      <c r="C34" s="251"/>
      <c r="D34" s="1357"/>
      <c r="E34" s="1358"/>
      <c r="F34" s="480" t="str">
        <f>IF('Calc (ex-animal)'!$F$9=1,"",IF($C$32=0,"",IF(D34="","",E34/'Calc (ex-animal)'!$E$12*100)))</f>
        <v/>
      </c>
      <c r="G34" s="485" t="str">
        <f>IF($C$32=0,"",IF('Calc (ex-animal)'!$F$8=1,"",IF(D34="","",SUM(H34:O34))))</f>
        <v/>
      </c>
      <c r="H34" s="423" t="str">
        <f>IF('Calc (ex-animal)'!$F$8=1,"",IF(D34="","",(((VLOOKUP($C$32,'Calc (ex-animal)'!$D$8:$Y$12,6,FALSE)-VLOOKUP($C$32,'Calc (ex-animal)'!$D$8:$Y$12,17,FALSE))*F34/100))*VLOOKUP($C$32,'Calc (ex-animal)'!$D$8:$Y$12,7,FALSE)/100*(1-VLOOKUP(D34,'DB technologies'!$N$11:$Y$25,9,FALSE)/100)))</f>
        <v/>
      </c>
      <c r="I34" s="423" t="str">
        <f>IF(D34="","",((VLOOKUP(D34,'DB technologies'!$N$11:$Y$25,2,FALSE)*VLOOKUP($C$32,'DB animal categories'!$C$10:$AC$21,27,FALSE)*E34/1000)/365*(VLOOKUP($C$32,'DB animal categories'!$C$10:$AC$21,27,FALSE)-VLOOKUP($C$32,'DB animal categories'!$C$10:$AC$21,25,FALSE)*VLOOKUP($C$32,'DB animal categories'!$C$10:$AC$21,26,FALSE)/24))*'DB additional information '!$S$6/100*(1-VLOOKUP(D34,'DB technologies'!$N$11:$Y$25,9,FALSE)/100))</f>
        <v/>
      </c>
      <c r="J34" s="434" t="str">
        <f>IF(D34="","",((VLOOKUP(D34,'DB technologies'!$N$11:$Y$25,3,FALSE)*VLOOKUP($C$32,'DB animal categories'!$C$10:$AC$21,27,FALSE)*E34/1000)/365*(VLOOKUP($C$32,'DB animal categories'!$C$10:$AC$21,27,FALSE)-VLOOKUP($C$32,'DB animal categories'!$C$10:$AC$21,25,FALSE)*VLOOKUP($C$32,'DB animal categories'!$C$10:$AC$21,26,FALSE)/24))*'DB additional information '!$S$7/100*(1-VLOOKUP(D34,'DB technologies'!$N$11:$Y$25,9,FALSE)/100))</f>
        <v/>
      </c>
      <c r="K34" s="434" t="str">
        <f>IF(D34="","",((VLOOKUP(D34,'DB technologies'!$N$11:$Y$25,4,FALSE)*E34*'DB additional information '!$S$8/100*(1-VLOOKUP(D34,'DB technologies'!$N$11:$Y$25,9,FALSE)/100))/365*(VLOOKUP($C$32,'DB animal categories'!$C$10:$AC$21,27,FALSE)-VLOOKUP($C$32,'DB animal categories'!$C$10:$AC$21,25,FALSE)*VLOOKUP($C$32,'DB animal categories'!$C$10:$AC$21,26,FALSE)/24)))</f>
        <v/>
      </c>
      <c r="L34" s="423" t="str">
        <f>IF('Calc (ex-animal)'!$F$8=1,"",IF(D34="","",(((VLOOKUP($C$32,'Calc (ex-animal)'!$D$8:$Y$12,6,FALSE)-VLOOKUP($C$32,'Calc (ex-animal)'!$D$8:$Y$12,17,FALSE))*F34/100))*(1-VLOOKUP($C$32,'Calc (ex-animal)'!$D$8:$Y$12,7,FALSE)/100)*(1-VLOOKUP(D34,'DB technologies'!$N$11:$V$25,8,FALSE)/100)))</f>
        <v/>
      </c>
      <c r="M34" s="434" t="str">
        <f>IF(D34="","",((VLOOKUP(D34,'DB technologies'!$N$11:$Y$25,2,FALSE)*VLOOKUP($C$32,'DB animal categories'!$C$10:$AC$21,27,FALSE)*E34/1000)/365*(VLOOKUP($C$32,'DB animal categories'!$C$10:$AC$21,27,FALSE)-VLOOKUP($C$32,'DB animal categories'!$C$10:$AC$21,25,FALSE)*VLOOKUP($C$32,'DB animal categories'!$C$10:$AC$21,26,FALSE)/24))*(1-'DB additional information '!$S$6/100)*(1-VLOOKUP(D34,'DB technologies'!$N$11:$Y$25,9,FALSE)/100))</f>
        <v/>
      </c>
      <c r="N34" s="434" t="str">
        <f>IF(D34="","",((VLOOKUP(D34,'DB technologies'!$N$11:$Y$25,3,FALSE)*VLOOKUP($C$32,'DB animal categories'!$C$10:$AC$21,27,FALSE)*E34/1000)/365*(VLOOKUP($C$32,'DB animal categories'!$C$10:$AC$21,27,FALSE)-VLOOKUP($C$32,'DB animal categories'!$C$10:$AC$21,25,FALSE)*VLOOKUP($C$32,'DB animal categories'!$C$10:$AC$21,26,FALSE)/24))*(1-'DB additional information '!$S$7/100)*(1-VLOOKUP(D34,'DB technologies'!$N$11:$Y$25,9,FALSE)/100))</f>
        <v/>
      </c>
      <c r="O34" s="423" t="str">
        <f>IF(D34="","",((VLOOKUP(D34,'DB technologies'!$N$11:$Y$25,4,FALSE)*E34*(1-'DB additional information '!$S$8/100)*(1-VLOOKUP(D34,'DB technologies'!$N$11:$Y$25,8,FALSE)/100))/365*(VLOOKUP($C$32,'DB animal categories'!$C$10:$AC$21,27,FALSE)-VLOOKUP($C$32,'DB animal categories'!$C$10:$AC$21,25,FALSE)*VLOOKUP($C$32,'DB animal categories'!$C$10:$AC$21,26,FALSE)/24)))</f>
        <v/>
      </c>
      <c r="P34" s="631" t="str">
        <f>IF(G34=0,0,IF(E34="","",IF(F34="","",IF($C$32=0,"",IF(D34="","",SUM(H34:K34)/G34*100)))))</f>
        <v/>
      </c>
      <c r="Q34" s="416" t="str">
        <f>IF(D34="","",(VLOOKUP(D34,'DB technologies'!$N$11:$Y$25,2,FALSE)*'DB additional information '!$S$6/100*'DB additional information '!$T$6*VLOOKUP($C$32,'DB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R34" s="416" t="str">
        <f>IF(D34="","",(VLOOKUP(D34,'DB technologies'!$N$11:$Y$25,3,FALSE)*'DB additional information '!$S$7/100*'DB additional information '!$T$7*VLOOKUP($C$32,'DB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S34" s="491" t="str">
        <f>IF(D34="","",(VLOOKUP(D34,'DB technologies'!$N$11:$Y$25,4,FALSE)*('DB additional information '!$S$8/100*'DB additional information '!$T$8*E34/1000/1000)))</f>
        <v/>
      </c>
      <c r="T34" s="261" t="str">
        <f>IF($C$32=0,"",IF('Calc (ex-animal)'!$F$9=1,"",IF(D34="","",((VLOOKUP($C$32,'Calc (ex-animal)'!$D$8:$Y$12,10,FALSE)-VLOOKUP($C$32,'Calc (ex-animal)'!$D$8:$Y$12,18,FALSE))*F34/100+Q34+R34+S34)-AC34-AD34-AE34)))</f>
        <v/>
      </c>
      <c r="U34" s="422" t="str">
        <f>IF(D34="","",(VLOOKUP(D34,'DB technologies'!$N$11:$Y$25,2,FALSE)*'DB additional information '!$S$6/100*'DB additional information '!$U$6*VLOOKUP($C$32,'DB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V34" s="418" t="str">
        <f>IF(D34="","",(VLOOKUP(D34,'DB technologies'!$N$11:$Y$25,3,FALSE)*'DB additional information '!$S$7/100*'DB additional information '!$U$7*VLOOKUP($C$32,'DB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W34" s="417" t="str">
        <f>IF(D34="","",(VLOOKUP(D34,'DB technologies'!$N$11:$Y$25,4,FALSE)*('DB additional information '!$S$8/100*'DB additional information '!$U$8*E34/1000/1000)))</f>
        <v/>
      </c>
      <c r="X34" s="261" t="str">
        <f>IF($C$32=0,"",IF('Calc (ex-animal)'!$F$9=1,"",IF(D34="","",((VLOOKUP($C$32,'Calc (ex-animal)'!$D$8:$Y$12,13,FALSE)-VLOOKUP($C$32,'Calc (ex-animal)'!$D$8:$Y$12,19,FALSE))*F34/100+U34+V34+W34))))</f>
        <v/>
      </c>
      <c r="Y34" s="418" t="str">
        <f>IF(D34="","",(VLOOKUP(D34,'DB technologies'!$N$11:$Y$25,2,FALSE)*'DB additional information '!$S$6/100*'DB additional information '!$V$6*VLOOKUP($C$32,'DB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Z34" s="418" t="str">
        <f>IF(D34="","",(VLOOKUP(D34,'DB technologies'!$N$11:$Y$25,3,FALSE)*'DB additional information '!$S$7/100*'DB additional information '!$V$7*VLOOKUP($C$32,'DB animal categories'!$C$10:$AC$21,27,FALSE)*E34/1000/1000)/365*(VLOOKUP($C$32,'DB animal categories'!$C$10:$AC$21,27,FALSE)-VLOOKUP($C$32,'DB animal categories'!$C$10:$AC$21,25,FALSE)*VLOOKUP($C$32,'DB animal categories'!$C$10:$AC$21,26,FALSE)/24))</f>
        <v/>
      </c>
      <c r="AA34" s="418" t="str">
        <f>IF(D34="","",(VLOOKUP(D34,'DB technologies'!$N$11:$Y$25,4,FALSE)*('DB additional information '!$S$8/100*'DB additional information '!$V$8*E34/1000/1000)))</f>
        <v/>
      </c>
      <c r="AB34" s="261" t="str">
        <f>IF($C$32=0,"",IF('Calc (ex-animal)'!$F$8=1,"",IF(D34="","",((VLOOKUP($C$32,'Calc (ex-animal)'!$D$8:$Y$12,16,FALSE)-VLOOKUP($C$32,'Calc (ex-animal)'!$D$8:$Y$12,20,FALSE))*F34/100+Y34+Z34+AA34))))</f>
        <v/>
      </c>
      <c r="AC34" s="261" t="str">
        <f>IF($C$32=0,"",IF('Calc (ex-animal)'!$F$8=1,"",IF(D34="","",VLOOKUP($C$32,'Calc (ex-animal)'!$D$8:$Y$12,9,FALSE)/365*(VLOOKUP($C$32,'DB animal categories'!$C$10:$AC$21,27,FALSE)-VLOOKUP($C$32,'DB animal categories'!$C$10:$AC$21,25,FALSE)*VLOOKUP($C$32,'DB animal categories'!$C$10:$AC$21,26,FALSE)/24)*F34/100*VLOOKUP(D34,'DB technologies'!$N$11:$R$25,5,FALSE)/100)))</f>
        <v/>
      </c>
      <c r="AD34" s="261" t="str">
        <f>IF($C$32=0,"",IF('Calc (ex-animal)'!$F$8=1,"",IF(D34="","",VLOOKUP($C$32,'Calc (ex-animal)'!$D$8:$Y$12,10,FALSE)/365*(VLOOKUP($C$32,'DB animal categories'!$C$10:$AC$21,27,FALSE)-VLOOKUP($C$32,'DB animal categories'!$C$10:$AC$21,25,FALSE)*VLOOKUP($C$32,'DB animal categories'!$C$10:$AC$21,26,FALSE)/24)*F34/100*VLOOKUP(D34,'DB technologies'!$N$11:$Y$25,6,FALSE)/100)))</f>
        <v/>
      </c>
      <c r="AE34" s="262" t="str">
        <f>IF($C$32=0,"",IF('Calc (ex-animal)'!$F$8=1,"",IF(D34="","",VLOOKUP($C$32,'Calc (ex-animal)'!$D$8:$Y$12,10,FALSE)/365*(VLOOKUP($C$32,'DB animal categories'!$C$10:$AC$21,27,FALSE)-VLOOKUP($C$32,'DB animal categories'!$C$10:$AC$21,25,FALSE)*VLOOKUP($C$32,'DB animal categories'!$C$10:$AC$21,26,FALSE)/24)*F34/100*VLOOKUP(D34,'DB technologies'!$N$11:$Y$25,7,FALSE)/100)))</f>
        <v/>
      </c>
      <c r="AG34" s="695"/>
      <c r="AH34" s="695"/>
      <c r="AI34" s="186" t="str">
        <f>IF(D34="","",VLOOKUP(D34,'DB technologies'!$N$11:$Y$25,10,FALSE))</f>
        <v/>
      </c>
      <c r="AJ34" s="449" t="e">
        <f>VLOOKUP($C$32,'DB animal categories'!$C$10:$AN$21,27,FALSE)-VLOOKUP($C$32,'DB animal categories'!$C$10:$AN$21,26,FALSE)*VLOOKUP($C$32,'DB animal categories'!$C$10:$AN$21,25,FALSE)/24</f>
        <v>#N/A</v>
      </c>
      <c r="AK34" s="442" t="str">
        <f>IF(AI34="","",AL34+AM34)</f>
        <v/>
      </c>
      <c r="AL34" s="442" t="str">
        <f>IF(D34="","",IF(AI34=2,(('Calc (ex-animal)'!$G$12*'DB additional information '!$K$4/100*(1-VLOOKUP(D34,'DB technologies'!$N$11:$Y$25,9,FALSE)/100)*'Calc (ex-housing, ex-storage)'!F34/100+'Calc (ex-animal)'!$H$12*'DB additional information '!$L$4/100*(1-VLOOKUP(D34,'DB technologies'!$N$11:$Y$25,9,FALSE)/100)*'Calc (ex-housing, ex-storage)'!F34/100))/365*AJ34+I34+J34+K34,IF(AI34=1,('Calc (ex-animal)'!$H$12*'DB additional information '!$L$4/100*(1-VLOOKUP(D34,'DB technologies'!$N$11:$Y$25,9,FALSE)/100)*'Calc (ex-housing, ex-storage)'!F34/100)/365*AJ34,IF(AI34=4,('Calc (ex-animal)'!$G$12*'DB additional information '!$K$4/100+'Calc (ex-animal)'!$H$12*'DB additional information '!$L$4/100)*(1-VLOOKUP(D34,'DB technologies'!$N$11:$Y$25,9,FALSE)/100)*'Calc (ex-housing, ex-storage)'!F34/100*VLOOKUP(D34,'DB technologies'!$N$11:$Y$25,11,FALSE)/100/365*AJ34,0))))</f>
        <v/>
      </c>
      <c r="AM34" s="442" t="str">
        <f>IF(D34="","",IF(AI34=2,(('Calc (ex-animal)'!$G$12*(1-'DB additional information '!$K$4/100)*(1-VLOOKUP(D34,'DB technologies'!$N$11:$Y$25,8,FALSE)/100)*'Calc (ex-housing, ex-storage)'!F34/100+'Calc (ex-animal)'!$H$12*(1-'DB additional information '!$L$4/100)*(1-VLOOKUP(D34,'DB technologies'!$N$11:$Y$25,8,FALSE)/100)*'Calc (ex-housing, ex-storage)'!F34/100))/365*AJ34+M34+N34+O34,IF(AI34=1,('Calc (ex-animal)'!$H$12*(1-'DB additional information '!$L$4/100)*(1-VLOOKUP(D34,'DB technologies'!$N$11:$Y$25,8,FALSE)/100)*'Calc (ex-housing, ex-storage)'!F34/100)/365*AJ34,IF(AI34=4,('Calc (ex-animal)'!$G$12*(1-'DB additional information '!$K$4/100)+'Calc (ex-animal)'!$H$12*(1-'DB additional information '!$L$4/100))*(1-VLOOKUP(D34,'DB technologies'!$N$11:$Y$25,8,FALSE)/100)*'Calc (ex-housing, ex-storage)'!F34/100*VLOOKUP(D34,'DB technologies'!$N$11:$Y$25,11,FALSE)/100/365*AJ34,0))))</f>
        <v/>
      </c>
      <c r="AN34" s="442" t="str">
        <f>IF(AI34="","",IF(AL34=0,0,AL34/AK34*100))</f>
        <v/>
      </c>
      <c r="AO34" s="182" t="str">
        <f>IF(D34="","",IF(AI34=2,(('Calc (ex-animal)'!$L$12*'Calc (ex-housing, ex-storage)'!F34/100+'Calc (ex-animal)'!$K$12*'Calc (ex-housing, ex-storage)'!F34/100))/365*AJ34+Q34+R34+S34-AC34,IF(AI34=1,('Calc (ex-animal)'!$L$12*'Calc (ex-housing, ex-storage)'!F34/100)/365*AJ34-'Calc (ex-housing, ex-storage)'!AC34,IF(AI34=4,('Calc (ex-animal)'!$L$12+'Calc (ex-animal)'!$K$12)*'Calc (ex-housing, ex-storage)'!F34/100*VLOOKUP(D34,'DB technologies'!$N$11:$Y$25,11,FALSE)/100/365*AJ34-AC34*VLOOKUP(D34,'DB technologies'!$N$11:$Y$25,11,FALSE)/100,0))))</f>
        <v/>
      </c>
      <c r="AP34" s="182" t="str">
        <f>IF(D34="","",IF(AO34&lt;-0.01,0,IF(AI34=2,(('Calc (ex-animal)'!$L$12*'Calc (ex-housing, ex-storage)'!F34/100+'Calc (ex-animal)'!$K$12*'Calc (ex-housing, ex-storage)'!F34/100))/365*AJ34+Q34+R34+S34-AC34,IF(AI34=1,('Calc (ex-animal)'!$L$12*'Calc (ex-housing, ex-storage)'!F34/100)/365*AJ34-'Calc (ex-housing, ex-storage)'!AC34,IF(AI34=4,('Calc (ex-animal)'!$L$12+'Calc (ex-animal)'!$K$12)*'Calc (ex-housing, ex-storage)'!F34/100*VLOOKUP(D34,'DB technologies'!$N$11:$Y$25,11,FALSE)/100/365*AJ34-AC34*VLOOKUP(D34,'DB technologies'!$N$11:$Y$25,11,FALSE)/100,0)))))</f>
        <v/>
      </c>
      <c r="AQ34" s="182" t="str">
        <f>IF(D34="","",IF(AI34=2,('Calc (ex-animal)'!$O$12*'Calc (ex-housing, ex-storage)'!F34/100+'Calc (ex-animal)'!$N$12*'Calc (ex-housing, ex-storage)'!F34/100)/365*AJ34+U34+V34+W34,IF(AI34=1,'Calc (ex-animal)'!$O$12*'Calc (ex-housing, ex-storage)'!F34/100/365*AJ34,IF(AI34=4,('Calc (ex-animal)'!$O$12+'Calc (ex-animal)'!$N$12)*'Calc (ex-housing, ex-storage)'!F34/100*VLOOKUP(D34,'DB technologies'!$N$11:$Y$25,11,FALSE)/100/365*AJ34,0))))</f>
        <v/>
      </c>
      <c r="AR34" s="182" t="str">
        <f>IF(D34="","",IF(AI34=2,('Calc (ex-animal)'!$R$12*'Calc (ex-housing, ex-storage)'!F34/100+'Calc (ex-animal)'!$Q$12*'Calc (ex-housing, ex-storage)'!F34/100)/365*AJ34+Y34+Z34+AA34,IF(AI34=1,'Calc (ex-animal)'!$R$12*'Calc (ex-housing, ex-storage)'!F34/100/365*AJ34,IF(AI34=4,('Calc (ex-animal)'!$R$12+'Calc (ex-animal)'!$Q$12)*'Calc (ex-housing, ex-storage)'!F34/100*VLOOKUP(D34,'DB technologies'!$N$11:$Y$25,11,FALSE)/100/365*AJ34,0))))</f>
        <v/>
      </c>
      <c r="AS34" s="181" t="str">
        <f>IF(D34="","",VLOOKUP(D34,'DB technologies'!$N$11:$Y$25,10,FALSE))</f>
        <v/>
      </c>
      <c r="AT34" s="442" t="str">
        <f t="shared" si="1"/>
        <v/>
      </c>
      <c r="AU34" s="442" t="str">
        <f>IF(D34="","",IF(AS34=2,0,IF(AS34=1,'Calc (ex-animal)'!$G$12*'DB additional information '!$K$4/100*(1-VLOOKUP(D34,'DB technologies'!$N$11:$Y$25,8,FALSE)/100)*'Calc (ex-housing, ex-storage)'!F34/100/365*AJ34+I34+J34+K34,IF(AS34=5,(('Calc (ex-animal)'!$G$12*'DB additional information '!$K$4/100+'Calc (ex-animal)'!$H$12*'DB additional information '!$L$4/100))*(1-VLOOKUP(D34,'DB technologies'!$N$11:$Y$25,9,FALSE)/100)*'Calc (ex-housing, ex-storage)'!F34/100/365*AJ34+I34+J34+K34,IF(AS34=3,('Calc (ex-animal)'!$G$12*'DB additional information '!$K$4/100+'Calc (ex-animal)'!$H$12*'DB additional information '!$L$4/100)*(1-VLOOKUP(D34,'DB technologies'!$N$11:$Y$25,9,FALSE)/100)*'Calc (ex-housing, ex-storage)'!F34/100/365*AJ34+I34+J34+K34,IF(AS34=4,('Calc (ex-animal)'!$G$12*'DB additional information '!$K$4/100+'Calc (ex-animal)'!$H$12*'DB additional information '!$L$4/100)*(1-VLOOKUP(D34,'DB technologies'!$N$11:$Y$25,9,FALSE)/100)*'Calc (ex-housing, ex-storage)'!F34/100*VLOOKUP(D34,'DB technologies'!$N$11:$Y$25,12,FALSE)/100/365*AJ34+I34+J34+K34,0))))))</f>
        <v/>
      </c>
      <c r="AV34" s="442" t="str">
        <f>IF(D34="","",IF(AS34=2,0,IF(AS34=1,'Calc (ex-animal)'!$G$12*(1-'DB additional information '!$K$4/100)*(1-VLOOKUP(D34,'DB technologies'!$N$11:$Y$25,8,FALSE)/100)*'Calc (ex-housing, ex-storage)'!F34/100/365*AJ34+M34+N34+O34,IF(AS34=5,('Calc (ex-animal)'!$G$12*(1-'DB additional information '!$K$4/100)+'Calc (ex-animal)'!$H$12*(1-'DB additional information '!$L$4/100))*(1-VLOOKUP(D34,'DB technologies'!$N$11:$Y$25,8,FALSE)/100)*'Calc (ex-housing, ex-storage)'!F34/100/365*AJ34+M34+N34+O34,IF(AS34=3,('Calc (ex-animal)'!$G$12*(1-'DB additional information '!$K$4/100)+'Calc (ex-animal)'!$H$12*(1-'DB additional information '!$L$4/100))*(1-VLOOKUP(D34,'DB technologies'!$N$11:$Y$25,8,FALSE)/100)*'Calc (ex-housing, ex-storage)'!F34/100/365*AJ34+M34+N34+O34,IF(AS34=4,('Calc (ex-animal)'!$G$12*(1-'DB additional information '!$K$4/100)+'Calc (ex-animal)'!$H$12*(1-'DB additional information '!$L$4/100))*(1-VLOOKUP(D34,'DB technologies'!$N$11:$Y$25,8,FALSE)/100)*'Calc (ex-housing, ex-storage)'!F34/100*VLOOKUP(D34,'DB technologies'!$N$11:$Y$25,12,FALSE)/100/365*AJ34+M34+N34+O34,0))))))</f>
        <v/>
      </c>
      <c r="AW34" s="442" t="str">
        <f>IF(AS34="","",IF(AU34=0,0,AU34/AT34*100))</f>
        <v/>
      </c>
      <c r="AX34" s="182" t="str">
        <f>IF(D34="","",IF(AS34=2,0,IF(AS34=1,'Calc (ex-animal)'!$K$12*'Calc (ex-housing, ex-storage)'!F34/100/365*AJ34+Q34+R34+S34,IF(AS34=5,('Calc (ex-animal)'!$K$12+'Calc (ex-animal)'!$L$12)*'Calc (ex-housing, ex-storage)'!F34/100/365*AJ34+Q34+R34+S34-'Calc (ex-housing, ex-storage)'!AC34,IF(AS34=3,('Calc (ex-animal)'!$K$12+'Calc (ex-animal)'!$L$12)*'Calc (ex-housing, ex-storage)'!F34/100/365*AJ34+Q34+R34+S34-'Calc (ex-housing, ex-storage)'!AC34-AD34-AE34,IF(AI34=4,('Calc (ex-animal)'!$K$12+'Calc (ex-animal)'!$L$12)*'Calc (ex-housing, ex-storage)'!F34/100*VLOOKUP(D34,'DB technologies'!$N$11:$Y$25,12,FALSE)/100/365*AJ34+Q34+R34+S34-(VLOOKUP(D34,'DB technologies'!$N$11:$Y$25,12,FALSE)/100*AC34)-AD34-AE34,0))))))</f>
        <v/>
      </c>
      <c r="AY34" s="182" t="str">
        <f>IF(D34="","",IF(AS34=2,0,IF(AS34=1,'Calc (ex-animal)'!$N$12*'Calc (ex-housing, ex-storage)'!F34/100/365*AJ34+U34+V34+W34,IF(AS34=5,('Calc (ex-animal)'!$N$12+'Calc (ex-animal)'!$O$12)*'Calc (ex-housing, ex-storage)'!F34/100/365*AJ34+U34+V34+W34,IF(AS34=3,('Calc (ex-animal)'!$N$12+'Calc (ex-animal)'!$O$12)*'Calc (ex-housing, ex-storage)'!F34/100/365*AJ34+U34+V34+W34,IF(AS34=4,('Calc (ex-animal)'!$N$12+'Calc (ex-animal)'!$O$12)*'Calc (ex-housing, ex-storage)'!F34/100*VLOOKUP(D34,'DB technologies'!$N$11:$Y$25,12,FALSE)/100/365*AJ34+U34+V34+W34,0))))))</f>
        <v/>
      </c>
      <c r="AZ34" s="182" t="str">
        <f>IF(D34="","",IF(AS34=2,0,IF(AS34=1,'Calc (ex-animal)'!$Q$12*'Calc (ex-housing, ex-storage)'!F34/100/365*AJ34+Y34+Z34+AA34,IF(AS34=5,('Calc (ex-animal)'!$Q$12+'Calc (ex-animal)'!$R$12)*'Calc (ex-housing, ex-storage)'!F34/100/365*AJ34+Y34+Z34+AA34,IF(AS34=3,('Calc (ex-animal)'!$Q$12+'Calc (ex-animal)'!$R$12)*'Calc (ex-housing, ex-storage)'!F34/100/365*AJ34+Y34+Z34+AA34,IF(AS34=4,('Calc (ex-animal)'!$Q$12+'Calc (ex-animal)'!$R$12)*'Calc (ex-housing, ex-storage)'!F34/100*VLOOKUP(D34,'DB technologies'!$N$11:$Y$25,12,FALSE)/100/365*AJ34+Y34+Z34+AA34,0))))))</f>
        <v/>
      </c>
      <c r="BA34" s="506"/>
      <c r="BB34" s="506"/>
      <c r="BC34" s="506"/>
      <c r="BG34" s="1357"/>
      <c r="BH34" s="1361"/>
      <c r="BI34" s="598" t="str">
        <f>IF(BG34="","",$BA$33*BH34/100-($BB$33*BH34/100*VLOOKUP(BG34,'DB technologies'!$AC$32:$AQ$36,5,FALSE)/100)+(VLOOKUP(BG34,'DB technologies'!$AC$32:$AQ$36,12,FALSE)*$BA$33*BH34/100))</f>
        <v/>
      </c>
      <c r="BJ34" s="551">
        <f>IF(BI34="",0,BI34*BK34/100)</f>
        <v>0</v>
      </c>
      <c r="BK34" s="549" t="str">
        <f>IF(BG34="","",($BB$33*BH34/100)/BI34*(1-(VLOOKUP(BG34,'DB technologies'!$AC$32:$AQ$36,5,FALSE))/100)*100)</f>
        <v/>
      </c>
      <c r="BL34" s="261" t="str">
        <f>IF(BG34="","",$BD$33*BH34/100-BO34-BP34-BQ34-BR34)</f>
        <v/>
      </c>
      <c r="BM34" s="261" t="str">
        <f>IF(BG34="","",$BE$33*BH34/100-BS34)</f>
        <v/>
      </c>
      <c r="BN34" s="261" t="str">
        <f>IF(BG34="","",$BF$33*BH34/100-BT34)</f>
        <v/>
      </c>
      <c r="BO34" s="261" t="str">
        <f>IF(BG34="","",$BD$33*BH34/100*VLOOKUP(BG34,'DB technologies'!$AC$32:$AF$36,2,FALSE)/100)</f>
        <v/>
      </c>
      <c r="BP34" s="261" t="str">
        <f>IF(BG34="","",$BD$33*BH34/100*VLOOKUP(BG34,'DB technologies'!$AC$32:$AN$36,3,FALSE)/100)</f>
        <v/>
      </c>
      <c r="BQ34" s="262" t="str">
        <f>IF(BG34="","",$BD$33*BH34/100*VLOOKUP(BG34,'DB technologies'!$AC$32:$AN$36,4,FALSE)/100)</f>
        <v/>
      </c>
      <c r="BR34" s="264" t="str">
        <f>IF(BG34="","",VLOOKUP(BG34,'DB technologies'!$AC$32:$AQ$36,13,FALSE)/100*$BD$33*BH34/100)</f>
        <v/>
      </c>
      <c r="BS34" s="261" t="str">
        <f>IF(BG34="","",VLOOKUP(BG34,'DB technologies'!$AC$32:$AQ$36,14,FALSE)/100*$BE$33*BL34/100)</f>
        <v/>
      </c>
      <c r="BT34" s="262" t="str">
        <f>IF(BG34="","",VLOOKUP(BG34,'DB technologies'!$AC$32:$AQ$36,15,FALSE)/100*$BF$33*BH34/100)</f>
        <v/>
      </c>
    </row>
    <row r="35" spans="1:72" ht="11.25" customHeight="1" x14ac:dyDescent="0.2">
      <c r="A35" s="684"/>
      <c r="B35" s="695"/>
      <c r="C35" s="251"/>
      <c r="D35" s="1357"/>
      <c r="E35" s="1358"/>
      <c r="F35" s="480" t="str">
        <f>IF('Calc (ex-animal)'!$F$9=1,"",IF($C$32=0,"",IF(D35="","",E35/'Calc (ex-animal)'!$E$12*100)))</f>
        <v/>
      </c>
      <c r="G35" s="485" t="str">
        <f>IF($C$32=0,"",IF('Calc (ex-animal)'!$F$8=1,"",IF(D35="","",SUM(H35:O35))))</f>
        <v/>
      </c>
      <c r="H35" s="423" t="str">
        <f>IF('Calc (ex-animal)'!$F$8=1,"",IF(D35="","",(((VLOOKUP($C$32,'Calc (ex-animal)'!$D$8:$Y$12,6,FALSE)-VLOOKUP($C$32,'Calc (ex-animal)'!$D$8:$Y$12,17,FALSE))*F35/100))*VLOOKUP($C$32,'Calc (ex-animal)'!$D$8:$Y$12,7,FALSE)/100*(1-VLOOKUP(D35,'DB technologies'!$N$11:$Y$25,9,FALSE)/100)))</f>
        <v/>
      </c>
      <c r="I35" s="423" t="str">
        <f>IF(D35="","",((VLOOKUP(D35,'DB technologies'!$N$11:$Y$25,2,FALSE)*VLOOKUP($C$32,'DB animal categories'!$C$10:$AC$21,27,FALSE)*E35/1000)/365*(VLOOKUP($C$32,'DB animal categories'!$C$10:$AC$21,27,FALSE)-VLOOKUP($C$32,'DB animal categories'!$C$10:$AC$21,25,FALSE)*VLOOKUP($C$32,'DB animal categories'!$C$10:$AC$21,26,FALSE)/24))*'DB additional information '!$S$6/100*(1-VLOOKUP(D35,'DB technologies'!$N$11:$Y$25,9,FALSE)/100))</f>
        <v/>
      </c>
      <c r="J35" s="434" t="str">
        <f>IF(D35="","",((VLOOKUP(D35,'DB technologies'!$N$11:$Y$25,3,FALSE)*VLOOKUP($C$32,'DB animal categories'!$C$10:$AC$21,27,FALSE)*E35/1000)/365*(VLOOKUP($C$32,'DB animal categories'!$C$10:$AC$21,27,FALSE)-VLOOKUP($C$32,'DB animal categories'!$C$10:$AC$21,25,FALSE)*VLOOKUP($C$32,'DB animal categories'!$C$10:$AC$21,26,FALSE)/24))*'DB additional information '!$S$7/100*(1-VLOOKUP(D35,'DB technologies'!$N$11:$Y$25,9,FALSE)/100))</f>
        <v/>
      </c>
      <c r="K35" s="434" t="str">
        <f>IF(D35="","",((VLOOKUP(D35,'DB technologies'!$N$11:$Y$25,4,FALSE)*E35*'DB additional information '!$S$8/100*(1-VLOOKUP(D35,'DB technologies'!$N$11:$Y$25,9,FALSE)/100))/365*(VLOOKUP($C$32,'DB animal categories'!$C$10:$AC$21,27,FALSE)-VLOOKUP($C$32,'DB animal categories'!$C$10:$AC$21,25,FALSE)*VLOOKUP($C$32,'DB animal categories'!$C$10:$AC$21,26,FALSE)/24)))</f>
        <v/>
      </c>
      <c r="L35" s="423" t="str">
        <f>IF('Calc (ex-animal)'!$F$8=1,"",IF(D35="","",(((VLOOKUP($C$32,'Calc (ex-animal)'!$D$8:$Y$12,6,FALSE)-VLOOKUP($C$32,'Calc (ex-animal)'!$D$8:$Y$12,17,FALSE))*F35/100))*(1-VLOOKUP($C$32,'Calc (ex-animal)'!$D$8:$Y$12,7,FALSE)/100)*(1-VLOOKUP(D35,'DB technologies'!$N$11:$V$25,8,FALSE)/100)))</f>
        <v/>
      </c>
      <c r="M35" s="434" t="str">
        <f>IF(D35="","",((VLOOKUP(D35,'DB technologies'!$N$11:$Y$25,2,FALSE)*VLOOKUP($C$32,'DB animal categories'!$C$10:$AC$21,27,FALSE)*E35/1000)/365*(VLOOKUP($C$32,'DB animal categories'!$C$10:$AC$21,27,FALSE)-VLOOKUP($C$32,'DB animal categories'!$C$10:$AC$21,25,FALSE)*VLOOKUP($C$32,'DB animal categories'!$C$10:$AC$21,26,FALSE)/24))*(1-'DB additional information '!$S$6/100)*(1-VLOOKUP(D35,'DB technologies'!$N$11:$Y$25,9,FALSE)/100))</f>
        <v/>
      </c>
      <c r="N35" s="434" t="str">
        <f>IF(D35="","",((VLOOKUP(D35,'DB technologies'!$N$11:$Y$25,3,FALSE)*VLOOKUP($C$32,'DB animal categories'!$C$10:$AC$21,27,FALSE)*E35/1000)/365*(VLOOKUP($C$32,'DB animal categories'!$C$10:$AC$21,27,FALSE)-VLOOKUP($C$32,'DB animal categories'!$C$10:$AC$21,25,FALSE)*VLOOKUP($C$32,'DB animal categories'!$C$10:$AC$21,26,FALSE)/24))*(1-'DB additional information '!$S$7/100)*(1-VLOOKUP(D35,'DB technologies'!$N$11:$Y$25,9,FALSE)/100))</f>
        <v/>
      </c>
      <c r="O35" s="423" t="str">
        <f>IF(D35="","",((VLOOKUP(D35,'DB technologies'!$N$11:$Y$25,4,FALSE)*E35*(1-'DB additional information '!$S$8/100)*(1-VLOOKUP(D35,'DB technologies'!$N$11:$Y$25,8,FALSE)/100))/365*(VLOOKUP($C$32,'DB animal categories'!$C$10:$AC$21,27,FALSE)-VLOOKUP($C$32,'DB animal categories'!$C$10:$AC$21,25,FALSE)*VLOOKUP($C$32,'DB animal categories'!$C$10:$AC$21,26,FALSE)/24)))</f>
        <v/>
      </c>
      <c r="P35" s="631" t="str">
        <f>IF(G35=0,0,IF(E35="","",IF(F35="","",IF($C$32=0,"",IF(D35="","",SUM(H35:K35)/G35*100)))))</f>
        <v/>
      </c>
      <c r="Q35" s="416" t="str">
        <f>IF(D35="","",(VLOOKUP(D35,'DB technologies'!$N$11:$Y$25,2,FALSE)*'DB additional information '!$S$6/100*'DB additional information '!$T$6*VLOOKUP($C$32,'DB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R35" s="416" t="str">
        <f>IF(D35="","",(VLOOKUP(D35,'DB technologies'!$N$11:$Y$25,3,FALSE)*'DB additional information '!$S$7/100*'DB additional information '!$T$7*VLOOKUP($C$32,'DB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S35" s="491" t="str">
        <f>IF(D35="","",(VLOOKUP(D35,'DB technologies'!$N$11:$Y$25,4,FALSE)*('DB additional information '!$S$8/100*'DB additional information '!$T$8*E35/1000/1000)))</f>
        <v/>
      </c>
      <c r="T35" s="261" t="str">
        <f>IF($C$32=0,"",IF('Calc (ex-animal)'!$F$9=1,"",IF(D35="","",((VLOOKUP($C$32,'Calc (ex-animal)'!$D$8:$Y$12,10,FALSE)-VLOOKUP($C$32,'Calc (ex-animal)'!$D$8:$Y$12,18,FALSE))*F35/100+Q35+R35+S35)-AC35-AD35-AE35)))</f>
        <v/>
      </c>
      <c r="U35" s="422" t="str">
        <f>IF(D35="","",(VLOOKUP(D35,'DB technologies'!$N$11:$Y$25,2,FALSE)*'DB additional information '!$S$6/100*'DB additional information '!$U$6*VLOOKUP($C$32,'DB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V35" s="418" t="str">
        <f>IF(D35="","",(VLOOKUP(D35,'DB technologies'!$N$11:$Y$25,3,FALSE)*'DB additional information '!$S$7/100*'DB additional information '!$U$7*VLOOKUP($C$32,'DB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W35" s="417" t="str">
        <f>IF(D35="","",(VLOOKUP(D35,'DB technologies'!$N$11:$Y$25,4,FALSE)*('DB additional information '!$S$8/100*'DB additional information '!$U$8*E35/1000/1000)))</f>
        <v/>
      </c>
      <c r="X35" s="261" t="str">
        <f>IF($C$32=0,"",IF('Calc (ex-animal)'!$F$9=1,"",IF(D35="","",((VLOOKUP($C$32,'Calc (ex-animal)'!$D$8:$Y$12,13,FALSE)-VLOOKUP($C$32,'Calc (ex-animal)'!$D$8:$Y$12,19,FALSE))*F35/100+U35+V35+W35))))</f>
        <v/>
      </c>
      <c r="Y35" s="418" t="str">
        <f>IF(D35="","",(VLOOKUP(D35,'DB technologies'!$N$11:$Y$25,2,FALSE)*'DB additional information '!$S$6/100*'DB additional information '!$V$6*VLOOKUP($C$32,'DB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Z35" s="418" t="str">
        <f>IF(D35="","",(VLOOKUP(D35,'DB technologies'!$N$11:$Y$25,3,FALSE)*'DB additional information '!$S$7/100*'DB additional information '!$V$7*VLOOKUP($C$32,'DB animal categories'!$C$10:$AC$21,27,FALSE)*E35/1000/1000)/365*(VLOOKUP($C$32,'DB animal categories'!$C$10:$AC$21,27,FALSE)-VLOOKUP($C$32,'DB animal categories'!$C$10:$AC$21,25,FALSE)*VLOOKUP($C$32,'DB animal categories'!$C$10:$AC$21,26,FALSE)/24))</f>
        <v/>
      </c>
      <c r="AA35" s="418" t="str">
        <f>IF(D35="","",(VLOOKUP(D35,'DB technologies'!$N$11:$Y$25,4,FALSE)*('DB additional information '!$S$8/100*'DB additional information '!$V$8*E35/1000/1000)))</f>
        <v/>
      </c>
      <c r="AB35" s="261" t="str">
        <f>IF($C$32=0,"",IF('Calc (ex-animal)'!$F$8=1,"",IF(D35="","",((VLOOKUP($C$32,'Calc (ex-animal)'!$D$8:$Y$12,16,FALSE)-VLOOKUP($C$32,'Calc (ex-animal)'!$D$8:$Y$12,20,FALSE))*F35/100+Y35+Z35+AA35))))</f>
        <v/>
      </c>
      <c r="AC35" s="261" t="str">
        <f>IF($C$32=0,"",IF('Calc (ex-animal)'!$F$8=1,"",IF(D35="","",VLOOKUP($C$32,'Calc (ex-animal)'!$D$8:$Y$12,9,FALSE)/365*(VLOOKUP($C$32,'DB animal categories'!$C$10:$AC$21,27,FALSE)-VLOOKUP($C$32,'DB animal categories'!$C$10:$AC$21,25,FALSE)*VLOOKUP($C$32,'DB animal categories'!$C$10:$AC$21,26,FALSE)/24)*F35/100*VLOOKUP(D35,'DB technologies'!$N$11:$R$25,5,FALSE)/100)))</f>
        <v/>
      </c>
      <c r="AD35" s="261" t="str">
        <f>IF($C$32=0,"",IF('Calc (ex-animal)'!$F$8=1,"",IF(D35="","",VLOOKUP($C$32,'Calc (ex-animal)'!$D$8:$Y$12,10,FALSE)/365*(VLOOKUP($C$32,'DB animal categories'!$C$10:$AC$21,27,FALSE)-VLOOKUP($C$32,'DB animal categories'!$C$10:$AC$21,25,FALSE)*VLOOKUP($C$32,'DB animal categories'!$C$10:$AC$21,26,FALSE)/24)*F35/100*VLOOKUP(D35,'DB technologies'!$N$11:$Y$25,6,FALSE)/100)))</f>
        <v/>
      </c>
      <c r="AE35" s="262" t="str">
        <f>IF($C$32=0,"",IF('Calc (ex-animal)'!$F$8=1,"",IF(D35="","",VLOOKUP($C$32,'Calc (ex-animal)'!$D$8:$Y$12,10,FALSE)/365*(VLOOKUP($C$32,'DB animal categories'!$C$10:$AC$21,27,FALSE)-VLOOKUP($C$32,'DB animal categories'!$C$10:$AC$21,25,FALSE)*VLOOKUP($C$32,'DB animal categories'!$C$10:$AC$21,26,FALSE)/24)*F35/100*VLOOKUP(D35,'DB technologies'!$N$11:$Y$25,7,FALSE)/100)))</f>
        <v/>
      </c>
      <c r="AG35" s="695"/>
      <c r="AH35" s="695"/>
      <c r="AI35" s="186" t="str">
        <f>IF(D35="","",VLOOKUP(D35,'DB technologies'!$N$11:$Y$25,10,FALSE))</f>
        <v/>
      </c>
      <c r="AJ35" s="449" t="e">
        <f>VLOOKUP($C$32,'DB animal categories'!$C$10:$AN$21,27,FALSE)-VLOOKUP($C$32,'DB animal categories'!$C$10:$AN$21,26,FALSE)*VLOOKUP($C$32,'DB animal categories'!$C$10:$AN$21,25,FALSE)/24</f>
        <v>#N/A</v>
      </c>
      <c r="AK35" s="442" t="str">
        <f>IF(AI35="","",AL35+AM35)</f>
        <v/>
      </c>
      <c r="AL35" s="442" t="str">
        <f>IF(D35="","",IF(AI35=2,(('Calc (ex-animal)'!$G$12*'DB additional information '!$K$4/100*(1-VLOOKUP(D35,'DB technologies'!$N$11:$Y$25,9,FALSE)/100)*'Calc (ex-housing, ex-storage)'!F35/100+'Calc (ex-animal)'!$H$12*'DB additional information '!$L$4/100*(1-VLOOKUP(D35,'DB technologies'!$N$11:$Y$25,9,FALSE)/100)*'Calc (ex-housing, ex-storage)'!F35/100))/365*AJ35+I35+J35+K35,IF(AI35=1,('Calc (ex-animal)'!$H$12*'DB additional information '!$L$4/100*(1-VLOOKUP(D35,'DB technologies'!$N$11:$Y$25,9,FALSE)/100)*'Calc (ex-housing, ex-storage)'!F35/100)/365*AJ35,IF(AI35=4,('Calc (ex-animal)'!$G$12*'DB additional information '!$K$4/100+'Calc (ex-animal)'!$H$12*'DB additional information '!$L$4/100)*(1-VLOOKUP(D35,'DB technologies'!$N$11:$Y$25,9,FALSE)/100)*'Calc (ex-housing, ex-storage)'!F35/100*VLOOKUP(D35,'DB technologies'!$N$11:$Y$25,11,FALSE)/100/365*AJ35,0))))</f>
        <v/>
      </c>
      <c r="AM35" s="442" t="str">
        <f>IF(D35="","",IF(AI35=2,(('Calc (ex-animal)'!$G$12*(1-'DB additional information '!$K$4/100)*(1-VLOOKUP(D35,'DB technologies'!$N$11:$Y$25,8,FALSE)/100)*'Calc (ex-housing, ex-storage)'!F35/100+'Calc (ex-animal)'!$H$12*(1-'DB additional information '!$L$4/100)*(1-VLOOKUP(D35,'DB technologies'!$N$11:$Y$25,8,FALSE)/100)*'Calc (ex-housing, ex-storage)'!F35/100))/365*AJ35+M35+N35+O35,IF(AI35=1,('Calc (ex-animal)'!$H$12*(1-'DB additional information '!$L$4/100)*(1-VLOOKUP(D35,'DB technologies'!$N$11:$Y$25,8,FALSE)/100)*'Calc (ex-housing, ex-storage)'!F35/100)/365*AJ35,IF(AI35=4,('Calc (ex-animal)'!$G$12*(1-'DB additional information '!$K$4/100)+'Calc (ex-animal)'!$H$12*(1-'DB additional information '!$L$4/100))*(1-VLOOKUP(D35,'DB technologies'!$N$11:$Y$25,8,FALSE)/100)*'Calc (ex-housing, ex-storage)'!F35/100*VLOOKUP(D35,'DB technologies'!$N$11:$Y$25,11,FALSE)/100/365*AJ35,0))))</f>
        <v/>
      </c>
      <c r="AN35" s="442" t="str">
        <f>IF(AI35="","",IF(AL35=0,0,AL35/AK35*100))</f>
        <v/>
      </c>
      <c r="AO35" s="182" t="str">
        <f>IF(D35="","",IF(AI35=2,(('Calc (ex-animal)'!$L$12*'Calc (ex-housing, ex-storage)'!F35/100+'Calc (ex-animal)'!$K$12*'Calc (ex-housing, ex-storage)'!F35/100))/365*AJ35+Q35+R35+S35-AC35,IF(AI35=1,('Calc (ex-animal)'!$L$12*'Calc (ex-housing, ex-storage)'!F35/100)/365*AJ35-'Calc (ex-housing, ex-storage)'!AC35,IF(AI35=4,('Calc (ex-animal)'!$L$12+'Calc (ex-animal)'!$K$12)*'Calc (ex-housing, ex-storage)'!F35/100*VLOOKUP(D35,'DB technologies'!$N$11:$Y$25,11,FALSE)/100/365*AJ35-AC35*VLOOKUP(D35,'DB technologies'!$N$11:$Y$25,11,FALSE)/100,0))))</f>
        <v/>
      </c>
      <c r="AP35" s="182" t="str">
        <f>IF(D35="","",IF(AO35&lt;-0.01,0,IF(AI35=2,(('Calc (ex-animal)'!$L$12*'Calc (ex-housing, ex-storage)'!F35/100+'Calc (ex-animal)'!$K$12*'Calc (ex-housing, ex-storage)'!F35/100))/365*AJ35+Q35+R35+S35-AC35,IF(AI35=1,('Calc (ex-animal)'!$L$12*'Calc (ex-housing, ex-storage)'!F35/100)/365*AJ35-'Calc (ex-housing, ex-storage)'!AC35,IF(AI35=4,('Calc (ex-animal)'!$L$12+'Calc (ex-animal)'!$K$12)*'Calc (ex-housing, ex-storage)'!F35/100*VLOOKUP(D35,'DB technologies'!$N$11:$Y$25,11,FALSE)/100/365*AJ35-AC35*VLOOKUP(D35,'DB technologies'!$N$11:$Y$25,11,FALSE)/100,0)))))</f>
        <v/>
      </c>
      <c r="AQ35" s="182" t="str">
        <f>IF(D35="","",IF(AI35=2,('Calc (ex-animal)'!$O$12*'Calc (ex-housing, ex-storage)'!F35/100+'Calc (ex-animal)'!$N$12*'Calc (ex-housing, ex-storage)'!F35/100)/365*AJ35+U35+V35+W35,IF(AI35=1,'Calc (ex-animal)'!$O$12*'Calc (ex-housing, ex-storage)'!F35/100/365*AJ35,IF(AI35=4,('Calc (ex-animal)'!$O$12+'Calc (ex-animal)'!$N$12)*'Calc (ex-housing, ex-storage)'!F35/100*VLOOKUP(D35,'DB technologies'!$N$11:$Y$25,11,FALSE)/100/365*AJ35,0))))</f>
        <v/>
      </c>
      <c r="AR35" s="182" t="str">
        <f>IF(D35="","",IF(AI35=2,('Calc (ex-animal)'!$R$12*'Calc (ex-housing, ex-storage)'!F35/100+'Calc (ex-animal)'!$Q$12*'Calc (ex-housing, ex-storage)'!F35/100)/365*AJ35+Y35+Z35+AA35,IF(AI35=1,'Calc (ex-animal)'!$R$12*'Calc (ex-housing, ex-storage)'!F35/100/365*AJ35,IF(AI35=4,('Calc (ex-animal)'!$R$12+'Calc (ex-animal)'!$Q$12)*'Calc (ex-housing, ex-storage)'!F35/100*VLOOKUP(D35,'DB technologies'!$N$11:$Y$25,11,FALSE)/100/365*AJ35,0))))</f>
        <v/>
      </c>
      <c r="AS35" s="181" t="str">
        <f>IF(D35="","",VLOOKUP(D35,'DB technologies'!$N$11:$Y$25,10,FALSE))</f>
        <v/>
      </c>
      <c r="AT35" s="442" t="str">
        <f t="shared" si="1"/>
        <v/>
      </c>
      <c r="AU35" s="442" t="str">
        <f>IF(D35="","",IF(AS35=2,0,IF(AS35=1,'Calc (ex-animal)'!$G$12*'DB additional information '!$K$4/100*(1-VLOOKUP(D35,'DB technologies'!$N$11:$Y$25,8,FALSE)/100)*'Calc (ex-housing, ex-storage)'!F35/100/365*AJ35+I35+J35+K35,IF(AS35=5,(('Calc (ex-animal)'!$G$12*'DB additional information '!$K$4/100+'Calc (ex-animal)'!$H$12*'DB additional information '!$L$4/100))*(1-VLOOKUP(D35,'DB technologies'!$N$11:$Y$25,9,FALSE)/100)*'Calc (ex-housing, ex-storage)'!F35/100/365*AJ35+I35+J35+K35,IF(AS35=3,('Calc (ex-animal)'!$G$12*'DB additional information '!$K$4/100+'Calc (ex-animal)'!$H$12*'DB additional information '!$L$4/100)*(1-VLOOKUP(D35,'DB technologies'!$N$11:$Y$25,9,FALSE)/100)*'Calc (ex-housing, ex-storage)'!F35/100/365*AJ35+I35+J35+K35,IF(AS35=4,('Calc (ex-animal)'!$G$12*'DB additional information '!$K$4/100+'Calc (ex-animal)'!$H$12*'DB additional information '!$L$4/100)*(1-VLOOKUP(D35,'DB technologies'!$N$11:$Y$25,9,FALSE)/100)*'Calc (ex-housing, ex-storage)'!F35/100*VLOOKUP(D35,'DB technologies'!$N$11:$Y$25,12,FALSE)/100/365*AJ35+I35+J35+K35,0))))))</f>
        <v/>
      </c>
      <c r="AV35" s="442" t="str">
        <f>IF(D35="","",IF(AS35=2,0,IF(AS35=1,'Calc (ex-animal)'!$G$12*(1-'DB additional information '!$K$4/100)*(1-VLOOKUP(D35,'DB technologies'!$N$11:$Y$25,8,FALSE)/100)*'Calc (ex-housing, ex-storage)'!F35/100/365*AJ35+M35+N35+O35,IF(AS35=5,('Calc (ex-animal)'!$G$12*(1-'DB additional information '!$K$4/100)+'Calc (ex-animal)'!$H$12*(1-'DB additional information '!$L$4/100))*(1-VLOOKUP(D35,'DB technologies'!$N$11:$Y$25,8,FALSE)/100)*'Calc (ex-housing, ex-storage)'!F35/100/365*AJ35+M35+N35+O35,IF(AS35=3,('Calc (ex-animal)'!$G$12*(1-'DB additional information '!$K$4/100)+'Calc (ex-animal)'!$H$12*(1-'DB additional information '!$L$4/100))*(1-VLOOKUP(D35,'DB technologies'!$N$11:$Y$25,8,FALSE)/100)*'Calc (ex-housing, ex-storage)'!F35/100/365*AJ35+M35+N35+O35,IF(AS35=4,('Calc (ex-animal)'!$G$12*(1-'DB additional information '!$K$4/100)+'Calc (ex-animal)'!$H$12*(1-'DB additional information '!$L$4/100))*(1-VLOOKUP(D35,'DB technologies'!$N$11:$Y$25,8,FALSE)/100)*'Calc (ex-housing, ex-storage)'!F35/100*VLOOKUP(D35,'DB technologies'!$N$11:$Y$25,12,FALSE)/100/365*AJ35+M35+N35+O35,0))))))</f>
        <v/>
      </c>
      <c r="AW35" s="442" t="str">
        <f>IF(AS35="","",IF(AU35=0,0,AU35/AT35*100))</f>
        <v/>
      </c>
      <c r="AX35" s="182" t="str">
        <f>IF(D35="","",IF(AS35=2,0,IF(AS35=1,'Calc (ex-animal)'!$K$12*'Calc (ex-housing, ex-storage)'!F35/100/365*AJ35+Q35+R35+S35,IF(AS35=5,('Calc (ex-animal)'!$K$12+'Calc (ex-animal)'!$L$12)*'Calc (ex-housing, ex-storage)'!F35/100/365*AJ35+Q35+R35+S35-'Calc (ex-housing, ex-storage)'!AC35,IF(AS35=3,('Calc (ex-animal)'!$K$12+'Calc (ex-animal)'!$L$12)*'Calc (ex-housing, ex-storage)'!F35/100/365*AJ35+Q35+R35+S35-'Calc (ex-housing, ex-storage)'!AC35-AD35-AE35,IF(AI35=4,('Calc (ex-animal)'!$K$12+'Calc (ex-animal)'!$L$12)*'Calc (ex-housing, ex-storage)'!F35/100*VLOOKUP(D35,'DB technologies'!$N$11:$Y$25,12,FALSE)/100/365*AJ35+Q35+R35+S35-(VLOOKUP(D35,'DB technologies'!$N$11:$Y$25,12,FALSE)/100*AC35)-AD35-AE35,0))))))</f>
        <v/>
      </c>
      <c r="AY35" s="182" t="str">
        <f>IF(D35="","",IF(AS35=2,0,IF(AS35=1,'Calc (ex-animal)'!$N$12*'Calc (ex-housing, ex-storage)'!F35/100/365*AJ35+U35+V35+W35,IF(AS35=5,('Calc (ex-animal)'!$N$12+'Calc (ex-animal)'!$O$12)*'Calc (ex-housing, ex-storage)'!F35/100/365*AJ35+U35+V35+W35,IF(AS35=3,('Calc (ex-animal)'!$N$12+'Calc (ex-animal)'!$O$12)*'Calc (ex-housing, ex-storage)'!F35/100/365*AJ35+U35+V35+W35,IF(AS35=4,('Calc (ex-animal)'!$N$12+'Calc (ex-animal)'!$O$12)*'Calc (ex-housing, ex-storage)'!F35/100*VLOOKUP(D35,'DB technologies'!$N$11:$Y$25,12,FALSE)/100/365*AJ35+U35+V35+W35,0))))))</f>
        <v/>
      </c>
      <c r="AZ35" s="182" t="str">
        <f>IF(D35="","",IF(AS35=2,0,IF(AS35=1,'Calc (ex-animal)'!$Q$12*'Calc (ex-housing, ex-storage)'!F35/100/365*AJ35+Y35+Z35+AA35,IF(AS35=5,('Calc (ex-animal)'!$Q$12+'Calc (ex-animal)'!$R$12)*'Calc (ex-housing, ex-storage)'!F35/100/365*AJ35+Y35+Z35+AA35,IF(AS35=3,('Calc (ex-animal)'!$Q$12+'Calc (ex-animal)'!$R$12)*'Calc (ex-housing, ex-storage)'!F35/100/365*AJ35+Y35+Z35+AA35,IF(AS35=4,('Calc (ex-animal)'!$Q$12+'Calc (ex-animal)'!$R$12)*'Calc (ex-housing, ex-storage)'!F35/100*VLOOKUP(D35,'DB technologies'!$N$11:$Y$25,12,FALSE)/100/365*AJ35+Y35+Z35+AA35,0))))))</f>
        <v/>
      </c>
      <c r="BA35" s="506"/>
      <c r="BB35" s="506"/>
      <c r="BC35" s="506"/>
      <c r="BG35" s="1357"/>
      <c r="BH35" s="1361"/>
      <c r="BI35" s="598" t="str">
        <f>IF(BG35="","",$BA$33*BH35/100-($BB$33*BH35/100*VLOOKUP(BG35,'DB technologies'!$AC$32:$AQ$36,5,FALSE)/100)+(VLOOKUP(BG35,'DB technologies'!$AC$32:$AQ$36,12,FALSE)*$BA$33*BH35/100))</f>
        <v/>
      </c>
      <c r="BJ35" s="551">
        <f>IF(BI35="",0,BI35*BK35/100)</f>
        <v>0</v>
      </c>
      <c r="BK35" s="549" t="str">
        <f>IF(BG35="","",($BB$33*BH35/100)/BI35*(1-(VLOOKUP(BG35,'DB technologies'!$AC$32:$AQ$36,5,FALSE))/100)*100)</f>
        <v/>
      </c>
      <c r="BL35" s="261" t="str">
        <f>IF(BG35="","",$BD$33*BH35/100-BO35-BP35-BQ35-BR35)</f>
        <v/>
      </c>
      <c r="BM35" s="261" t="str">
        <f>IF(BG35="","",$BE$33*BH35/100-BS35)</f>
        <v/>
      </c>
      <c r="BN35" s="261" t="str">
        <f>IF(BG35="","",$BF$33*BH35/100-BT35)</f>
        <v/>
      </c>
      <c r="BO35" s="261" t="str">
        <f>IF(BG35="","",$BD$33*BH35/100*VLOOKUP(BG35,'DB technologies'!$AC$32:$AF$36,2,FALSE)/100)</f>
        <v/>
      </c>
      <c r="BP35" s="261" t="str">
        <f>IF(BG35="","",$BD$33*BH35/100*VLOOKUP(BG35,'DB technologies'!$AC$32:$AN$36,3,FALSE)/100)</f>
        <v/>
      </c>
      <c r="BQ35" s="262" t="str">
        <f>IF(BG35="","",$BD$33*BH35/100*VLOOKUP(BG35,'DB technologies'!$AC$32:$AN$36,4,FALSE)/100)</f>
        <v/>
      </c>
      <c r="BR35" s="264" t="str">
        <f>IF(BG35="","",VLOOKUP(BG35,'DB technologies'!$AC$32:$AQ$36,13,FALSE)/100*$BD$33*BH35/100)</f>
        <v/>
      </c>
      <c r="BS35" s="261" t="str">
        <f>IF(BG35="","",VLOOKUP(BG35,'DB technologies'!$AC$32:$AQ$36,14,FALSE)/100*$BE$33*BL35/100)</f>
        <v/>
      </c>
      <c r="BT35" s="262" t="str">
        <f>IF(BG35="","",VLOOKUP(BG35,'DB technologies'!$AC$32:$AQ$36,15,FALSE)/100*$BF$33*BH35/100)</f>
        <v/>
      </c>
    </row>
    <row r="36" spans="1:72" ht="12" customHeight="1" thickBot="1" x14ac:dyDescent="0.25">
      <c r="A36" s="684"/>
      <c r="B36" s="695"/>
      <c r="C36" s="251"/>
      <c r="D36" s="1359"/>
      <c r="E36" s="1360"/>
      <c r="F36" s="481" t="str">
        <f>IF('Calc (ex-animal)'!$F$9=1,"",IF($C$32=0,"",IF(D36="","",E36/'Calc (ex-animal)'!$E$12*100)))</f>
        <v/>
      </c>
      <c r="G36" s="483" t="str">
        <f>IF($C$32=0,"",IF('Calc (ex-animal)'!$F$8=1,"",IF(D36="","",SUM(H36:O36))))</f>
        <v/>
      </c>
      <c r="H36" s="445" t="str">
        <f>IF('Calc (ex-animal)'!$F$8=1,"",IF(D36="","",(((VLOOKUP($C$32,'Calc (ex-animal)'!$D$8:$Y$12,6,FALSE)-VLOOKUP($C$32,'Calc (ex-animal)'!$D$8:$Y$12,17,FALSE))*F36/100))*VLOOKUP($C$32,'Calc (ex-animal)'!$D$8:$Y$12,7,FALSE)/100*(1-VLOOKUP(D36,'DB technologies'!$N$11:$Y$25,9,FALSE)/100)))</f>
        <v/>
      </c>
      <c r="I36" s="445" t="str">
        <f>IF(D36="","",((VLOOKUP(D36,'DB technologies'!$N$11:$Y$25,2,FALSE)*VLOOKUP($C$32,'DB animal categories'!$C$10:$AC$21,27,FALSE)*E36/1000)/365*(VLOOKUP($C$32,'DB animal categories'!$C$10:$AC$21,27,FALSE)-VLOOKUP($C$32,'DB animal categories'!$C$10:$AC$21,25,FALSE)*VLOOKUP($C$32,'DB animal categories'!$C$10:$AC$21,26,FALSE)/24))*'DB additional information '!$S$6/100*(1-VLOOKUP(D36,'DB technologies'!$N$11:$Y$25,9,FALSE)/100))</f>
        <v/>
      </c>
      <c r="J36" s="446" t="str">
        <f>IF(D36="","",((VLOOKUP(D36,'DB technologies'!$N$11:$Y$25,3,FALSE)*VLOOKUP($C$32,'DB animal categories'!$C$10:$AC$21,27,FALSE)*E36/1000)/365*(VLOOKUP($C$32,'DB animal categories'!$C$10:$AC$21,27,FALSE)-VLOOKUP($C$32,'DB animal categories'!$C$10:$AC$21,25,FALSE)*VLOOKUP($C$32,'DB animal categories'!$C$10:$AC$21,26,FALSE)/24))*'DB additional information '!$S$7/100*(1-VLOOKUP(D36,'DB technologies'!$N$11:$Y$25,9,FALSE)/100))</f>
        <v/>
      </c>
      <c r="K36" s="446" t="str">
        <f>IF(D36="","",((VLOOKUP(D36,'DB technologies'!$N$11:$Y$25,4,FALSE)*E36*'DB additional information '!$S$8/100*(1-VLOOKUP(D36,'DB technologies'!$N$11:$Y$25,9,FALSE)/100))/365*(VLOOKUP($C$32,'DB animal categories'!$C$10:$AC$21,27,FALSE)-VLOOKUP($C$32,'DB animal categories'!$C$10:$AC$21,25,FALSE)*VLOOKUP($C$32,'DB animal categories'!$C$10:$AC$21,26,FALSE)/24)))</f>
        <v/>
      </c>
      <c r="L36" s="445" t="str">
        <f>IF('Calc (ex-animal)'!$F$8=1,"",IF(D36="","",(((VLOOKUP($C$32,'Calc (ex-animal)'!$D$8:$Y$12,6,FALSE)-VLOOKUP($C$32,'Calc (ex-animal)'!$D$8:$Y$12,17,FALSE))*F36/100))*(1-VLOOKUP($C$32,'Calc (ex-animal)'!$D$8:$Y$12,7,FALSE)/100)*(1-VLOOKUP(D36,'DB technologies'!$N$11:$V$25,8,FALSE)/100)))</f>
        <v/>
      </c>
      <c r="M36" s="446" t="str">
        <f>IF(D36="","",((VLOOKUP(D36,'DB technologies'!$N$11:$Y$25,2,FALSE)*VLOOKUP($C$32,'DB animal categories'!$C$10:$AC$21,27,FALSE)*E36/1000)/365*(VLOOKUP($C$32,'DB animal categories'!$C$10:$AC$21,27,FALSE)-VLOOKUP($C$32,'DB animal categories'!$C$10:$AC$21,25,FALSE)*VLOOKUP($C$32,'DB animal categories'!$C$10:$AC$21,26,FALSE)/24))*(1-'DB additional information '!$S$6/100)*(1-VLOOKUP(D36,'DB technologies'!$N$11:$Y$25,9,FALSE)/100))</f>
        <v/>
      </c>
      <c r="N36" s="446" t="str">
        <f>IF(D36="","",((VLOOKUP(D36,'DB technologies'!$N$11:$Y$25,3,FALSE)*VLOOKUP($C$32,'DB animal categories'!$C$10:$AC$21,27,FALSE)*E36/1000)/365*(VLOOKUP($C$32,'DB animal categories'!$C$10:$AC$21,27,FALSE)-VLOOKUP($C$32,'DB animal categories'!$C$10:$AC$21,25,FALSE)*VLOOKUP($C$32,'DB animal categories'!$C$10:$AC$21,26,FALSE)/24))*(1-'DB additional information '!$S$7/100)*(1-VLOOKUP(D36,'DB technologies'!$N$11:$Y$25,9,FALSE)/100))</f>
        <v/>
      </c>
      <c r="O36" s="445" t="str">
        <f>IF(D36="","",((VLOOKUP(D36,'DB technologies'!$N$11:$Y$25,4,FALSE)*E36*(1-'DB additional information '!$S$8/100)*(1-VLOOKUP(D36,'DB technologies'!$N$11:$Y$25,8,FALSE)/100))/365*(VLOOKUP($C$32,'DB animal categories'!$C$10:$AC$21,27,FALSE)-VLOOKUP($C$32,'DB animal categories'!$C$10:$AC$21,25,FALSE)*VLOOKUP($C$32,'DB animal categories'!$C$10:$AC$21,26,FALSE)/24)))</f>
        <v/>
      </c>
      <c r="P36" s="632" t="str">
        <f>IF(G36=0,0,IF(E36="","",IF(F36="","",IF($C$32=0,"",IF(D36="","",SUM(H36:K36)/G36*100)))))</f>
        <v/>
      </c>
      <c r="Q36" s="476" t="str">
        <f>IF(D36="","",(VLOOKUP(D36,'DB technologies'!$N$11:$Y$25,2,FALSE)*'DB additional information '!$S$6/100*'DB additional information '!$T$6*VLOOKUP($C$32,'DB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R36" s="476" t="str">
        <f>IF(D36="","",(VLOOKUP(D36,'DB technologies'!$N$11:$Y$25,3,FALSE)*'DB additional information '!$S$7/100*'DB additional information '!$T$7*VLOOKUP($C$32,'DB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S36" s="494" t="str">
        <f>IF(D36="","",(VLOOKUP(D36,'DB technologies'!$N$11:$Y$25,4,FALSE)*('DB additional information '!$S$8/100*'DB additional information '!$T$8*E36/1000/1000)))</f>
        <v/>
      </c>
      <c r="T36" s="267" t="str">
        <f>IF($C$32=0,"",IF('Calc (ex-animal)'!$F$9=1,"",IF(D36="","",((VLOOKUP($C$32,'Calc (ex-animal)'!$D$8:$Y$12,10,FALSE)-VLOOKUP($C$32,'Calc (ex-animal)'!$D$8:$Y$12,18,FALSE))*F36/100+Q36+R36+S36)-AC36-AD36-AE36)))</f>
        <v/>
      </c>
      <c r="U36" s="477" t="str">
        <f>IF(D36="","",(VLOOKUP(D36,'DB technologies'!$N$11:$Y$25,2,FALSE)*'DB additional information '!$S$6/100*'DB additional information '!$U$6*VLOOKUP($C$32,'DB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V36" s="433" t="str">
        <f>IF(D36="","",(VLOOKUP(D36,'DB technologies'!$N$11:$Y$25,3,FALSE)*'DB additional information '!$S$7/100*'DB additional information '!$U$7*VLOOKUP($C$32,'DB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W36" s="475" t="str">
        <f>IF(D36="","",(VLOOKUP(D36,'DB technologies'!$N$11:$Y$25,4,FALSE)*('DB additional information '!$S$8/100*'DB additional information '!$U$8*E36/1000/1000)))</f>
        <v/>
      </c>
      <c r="X36" s="267" t="str">
        <f>IF($C$32=0,"",IF('Calc (ex-animal)'!$F$9=1,"",IF(D36="","",((VLOOKUP($C$32,'Calc (ex-animal)'!$D$8:$Y$12,13,FALSE)-VLOOKUP($C$32,'Calc (ex-animal)'!$D$8:$Y$12,19,FALSE))*F36/100+U36+V36+W36))))</f>
        <v/>
      </c>
      <c r="Y36" s="433" t="str">
        <f>IF(D36="","",(VLOOKUP(D36,'DB technologies'!$N$11:$Y$25,2,FALSE)*'DB additional information '!$S$6/100*'DB additional information '!$V$6*VLOOKUP($C$32,'DB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Z36" s="433" t="str">
        <f>IF(D36="","",(VLOOKUP(D36,'DB technologies'!$N$11:$Y$25,3,FALSE)*'DB additional information '!$S$7/100*'DB additional information '!$V$7*VLOOKUP($C$32,'DB animal categories'!$C$10:$AC$21,27,FALSE)*E36/1000/1000)/365*(VLOOKUP($C$32,'DB animal categories'!$C$10:$AC$21,27,FALSE)-VLOOKUP($C$32,'DB animal categories'!$C$10:$AC$21,25,FALSE)*VLOOKUP($C$32,'DB animal categories'!$C$10:$AC$21,26,FALSE)/24))</f>
        <v/>
      </c>
      <c r="AA36" s="433" t="str">
        <f>IF(D36="","",(VLOOKUP(D36,'DB technologies'!$N$11:$Y$25,4,FALSE)*('DB additional information '!$S$8/100*'DB additional information '!$V$8*E36/1000/1000)))</f>
        <v/>
      </c>
      <c r="AB36" s="267" t="str">
        <f>IF($C$32=0,"",IF('Calc (ex-animal)'!$F$8=1,"",IF(D36="","",((VLOOKUP($C$32,'Calc (ex-animal)'!$D$8:$Y$12,16,FALSE)-VLOOKUP($C$32,'Calc (ex-animal)'!$D$8:$Y$12,20,FALSE))*F36/100+Y36+Z36+AA36))))</f>
        <v/>
      </c>
      <c r="AC36" s="267" t="str">
        <f>IF($C$32=0,"",IF('Calc (ex-animal)'!$F$8=1,"",IF(D36="","",VLOOKUP($C$32,'Calc (ex-animal)'!$D$8:$Y$12,9,FALSE)/365*(VLOOKUP($C$32,'DB animal categories'!$C$10:$AC$21,27,FALSE)-VLOOKUP($C$32,'DB animal categories'!$C$10:$AC$21,25,FALSE)*VLOOKUP($C$32,'DB animal categories'!$C$10:$AC$21,26,FALSE)/24)*F36/100*VLOOKUP(D36,'DB technologies'!$N$11:$R$25,5,FALSE)/100)))</f>
        <v/>
      </c>
      <c r="AD36" s="267" t="str">
        <f>IF($C$32=0,"",IF('Calc (ex-animal)'!$F$8=1,"",IF(D36="","",VLOOKUP($C$32,'Calc (ex-animal)'!$D$8:$Y$12,10,FALSE)/365*(VLOOKUP($C$32,'DB animal categories'!$C$10:$AC$21,27,FALSE)-VLOOKUP($C$32,'DB animal categories'!$C$10:$AC$21,25,FALSE)*VLOOKUP($C$32,'DB animal categories'!$C$10:$AC$21,26,FALSE)/24)*F36/100*VLOOKUP(D36,'DB technologies'!$N$11:$Y$25,6,FALSE)/100)))</f>
        <v/>
      </c>
      <c r="AE36" s="268" t="str">
        <f>IF($C$32=0,"",IF('Calc (ex-animal)'!$F$8=1,"",IF(D36="","",VLOOKUP($C$32,'Calc (ex-animal)'!$D$8:$Y$12,10,FALSE)/365*(VLOOKUP($C$32,'DB animal categories'!$C$10:$AC$21,27,FALSE)-VLOOKUP($C$32,'DB animal categories'!$C$10:$AC$21,25,FALSE)*VLOOKUP($C$32,'DB animal categories'!$C$10:$AC$21,26,FALSE)/24)*F36/100*VLOOKUP(D36,'DB technologies'!$N$11:$Y$25,7,FALSE)/100)))</f>
        <v/>
      </c>
      <c r="AG36" s="695"/>
      <c r="AH36" s="695"/>
      <c r="AI36" s="187" t="str">
        <f>IF(D36="","",VLOOKUP(D36,'DB technologies'!$N$11:$Y$25,10,FALSE))</f>
        <v/>
      </c>
      <c r="AJ36" s="451" t="e">
        <f>VLOOKUP($C$32,'DB animal categories'!$C$10:$AN$21,27,FALSE)-VLOOKUP($C$32,'DB animal categories'!$C$10:$AN$21,26,FALSE)*VLOOKUP($C$32,'DB animal categories'!$C$10:$AN$21,25,FALSE)/24</f>
        <v>#N/A</v>
      </c>
      <c r="AK36" s="452" t="str">
        <f>IF(AI36="","",AL36+AM36)</f>
        <v/>
      </c>
      <c r="AL36" s="452" t="str">
        <f>IF(D36="","",IF(AI36=2,(('Calc (ex-animal)'!$G$12*'DB additional information '!$K$4/100*(1-VLOOKUP(D36,'DB technologies'!$N$11:$Y$25,9,FALSE)/100)*'Calc (ex-housing, ex-storage)'!F36/100+'Calc (ex-animal)'!$H$12*'DB additional information '!$L$4/100*(1-VLOOKUP(D36,'DB technologies'!$N$11:$Y$25,9,FALSE)/100)*'Calc (ex-housing, ex-storage)'!F36/100))/365*AJ36+I36+J36+K36,IF(AI36=1,('Calc (ex-animal)'!$H$12*'DB additional information '!$L$4/100*(1-VLOOKUP(D36,'DB technologies'!$N$11:$Y$25,9,FALSE)/100)*'Calc (ex-housing, ex-storage)'!F36/100)/365*AJ36,IF(AI36=4,('Calc (ex-animal)'!$G$12*'DB additional information '!$K$4/100+'Calc (ex-animal)'!$H$12*'DB additional information '!$L$4/100)*(1-VLOOKUP(D36,'DB technologies'!$N$11:$Y$25,9,FALSE)/100)*'Calc (ex-housing, ex-storage)'!F36/100*VLOOKUP(D36,'DB technologies'!$N$11:$Y$25,11,FALSE)/100/365*AJ36,0))))</f>
        <v/>
      </c>
      <c r="AM36" s="452" t="str">
        <f>IF(D36="","",IF(AI36=2,(('Calc (ex-animal)'!$G$12*(1-'DB additional information '!$K$4/100)*(1-VLOOKUP(D36,'DB technologies'!$N$11:$Y$25,8,FALSE)/100)*'Calc (ex-housing, ex-storage)'!F36/100+'Calc (ex-animal)'!$H$12*(1-'DB additional information '!$L$4/100)*(1-VLOOKUP(D36,'DB technologies'!$N$11:$Y$25,8,FALSE)/100)*'Calc (ex-housing, ex-storage)'!F36/100))/365*AJ36+M36+N36+O36,IF(AI36=1,('Calc (ex-animal)'!$H$12*(1-'DB additional information '!$L$4/100)*(1-VLOOKUP(D36,'DB technologies'!$N$11:$Y$25,8,FALSE)/100)*'Calc (ex-housing, ex-storage)'!F36/100)/365*AJ36,IF(AI36=4,('Calc (ex-animal)'!$G$12*(1-'DB additional information '!$K$4/100)+'Calc (ex-animal)'!$H$12*(1-'DB additional information '!$L$4/100))*(1-VLOOKUP(D36,'DB technologies'!$N$11:$Y$25,8,FALSE)/100)*'Calc (ex-housing, ex-storage)'!F36/100*VLOOKUP(D36,'DB technologies'!$N$11:$Y$25,11,FALSE)/100/365*AJ36,0))))</f>
        <v/>
      </c>
      <c r="AN36" s="452" t="str">
        <f>IF(AI36="","",IF(AL36=0,0,AL36/AK36*100))</f>
        <v/>
      </c>
      <c r="AO36" s="184" t="str">
        <f>IF(D36="","",IF(AI36=2,(('Calc (ex-animal)'!$L$12*'Calc (ex-housing, ex-storage)'!F36/100+'Calc (ex-animal)'!$K$12*'Calc (ex-housing, ex-storage)'!F36/100))/365*AJ36+Q36+R36+S36-AC36,IF(AI36=1,('Calc (ex-animal)'!$L$12*'Calc (ex-housing, ex-storage)'!F36/100)/365*AJ36-'Calc (ex-housing, ex-storage)'!AC36,IF(AI36=4,('Calc (ex-animal)'!$L$12+'Calc (ex-animal)'!$K$12)*'Calc (ex-housing, ex-storage)'!F36/100*VLOOKUP(D36,'DB technologies'!$N$11:$Y$25,11,FALSE)/100/365*AJ36-AC36*VLOOKUP(D36,'DB technologies'!$N$11:$Y$25,11,FALSE)/100,0))))</f>
        <v/>
      </c>
      <c r="AP36" s="184" t="str">
        <f>IF(D36="","",IF(AO36&lt;-0.01,0,IF(AI36=2,(('Calc (ex-animal)'!$L$12*'Calc (ex-housing, ex-storage)'!F36/100+'Calc (ex-animal)'!$K$12*'Calc (ex-housing, ex-storage)'!F36/100))/365*AJ36+Q36+R36+S36-AC36,IF(AI36=1,('Calc (ex-animal)'!$L$12*'Calc (ex-housing, ex-storage)'!F36/100)/365*AJ36-'Calc (ex-housing, ex-storage)'!AC36,IF(AI36=4,('Calc (ex-animal)'!$L$12+'Calc (ex-animal)'!$K$12)*'Calc (ex-housing, ex-storage)'!F36/100*VLOOKUP(D36,'DB technologies'!$N$11:$Y$25,11,FALSE)/100/365*AJ36-AC36*VLOOKUP(D36,'DB technologies'!$N$11:$Y$25,11,FALSE)/100,0)))))</f>
        <v/>
      </c>
      <c r="AQ36" s="184" t="str">
        <f>IF(D36="","",IF(AI36=2,('Calc (ex-animal)'!$O$12*'Calc (ex-housing, ex-storage)'!F36/100+'Calc (ex-animal)'!$N$12*'Calc (ex-housing, ex-storage)'!F36/100)/365*AJ36+U36+V36+W36,IF(AI36=1,'Calc (ex-animal)'!$O$12*'Calc (ex-housing, ex-storage)'!F36/100/365*AJ36,IF(AI36=4,('Calc (ex-animal)'!$O$12+'Calc (ex-animal)'!$N$12)*'Calc (ex-housing, ex-storage)'!F36/100*VLOOKUP(D36,'DB technologies'!$N$11:$Y$25,11,FALSE)/100/365*AJ36,0))))</f>
        <v/>
      </c>
      <c r="AR36" s="184" t="str">
        <f>IF(D36="","",IF(AI36=2,('Calc (ex-animal)'!$R$12*'Calc (ex-housing, ex-storage)'!F36/100+'Calc (ex-animal)'!$Q$12*'Calc (ex-housing, ex-storage)'!F36/100)/365*AJ36+Y36+Z36+AA36,IF(AI36=1,'Calc (ex-animal)'!$R$12*'Calc (ex-housing, ex-storage)'!F36/100/365*AJ36,IF(AI36=4,('Calc (ex-animal)'!$R$12+'Calc (ex-animal)'!$Q$12)*'Calc (ex-housing, ex-storage)'!F36/100*VLOOKUP(D36,'DB technologies'!$N$11:$Y$25,11,FALSE)/100/365*AJ36,0))))</f>
        <v/>
      </c>
      <c r="AS36" s="183" t="str">
        <f>IF(D36="","",VLOOKUP(D36,'DB technologies'!$N$11:$Y$25,10,FALSE))</f>
        <v/>
      </c>
      <c r="AT36" s="452" t="str">
        <f>IF(AS36="","",AU36+AV36)</f>
        <v/>
      </c>
      <c r="AU36" s="452" t="str">
        <f>IF(D36="","",IF(AS36=2,0,IF(AS36=1,'Calc (ex-animal)'!$G$12*'DB additional information '!$K$4/100*(1-VLOOKUP(D36,'DB technologies'!$N$11:$Y$25,8,FALSE)/100)*'Calc (ex-housing, ex-storage)'!F36/100/365*AJ36+I36+J36+K36,IF(AS36=5,(('Calc (ex-animal)'!$G$12*'DB additional information '!$K$4/100+'Calc (ex-animal)'!$H$12*'DB additional information '!$L$4/100))*(1-VLOOKUP(D36,'DB technologies'!$N$11:$Y$25,9,FALSE)/100)*'Calc (ex-housing, ex-storage)'!F36/100/365*AJ36+I36+J36+K36,IF(AS36=3,('Calc (ex-animal)'!$G$12*'DB additional information '!$K$4/100+'Calc (ex-animal)'!$H$12*'DB additional information '!$L$4/100)*(1-VLOOKUP(D36,'DB technologies'!$N$11:$Y$25,9,FALSE)/100)*'Calc (ex-housing, ex-storage)'!F36/100/365*AJ36+I36+J36+K36,IF(AS36=4,('Calc (ex-animal)'!$G$12*'DB additional information '!$K$4/100+'Calc (ex-animal)'!$H$12*'DB additional information '!$L$4/100)*(1-VLOOKUP(D36,'DB technologies'!$N$11:$Y$25,9,FALSE)/100)*'Calc (ex-housing, ex-storage)'!F36/100*VLOOKUP(D36,'DB technologies'!$N$11:$Y$25,12,FALSE)/100/365*AJ36+I36+J36+K36,0))))))</f>
        <v/>
      </c>
      <c r="AV36" s="452" t="str">
        <f>IF(D36="","",IF(AS36=2,0,IF(AS36=1,'Calc (ex-animal)'!$G$12*(1-'DB additional information '!$K$4/100)*(1-VLOOKUP(D36,'DB technologies'!$N$11:$Y$25,8,FALSE)/100)*'Calc (ex-housing, ex-storage)'!F36/100/365*AJ36+M36+N36+O36,IF(AS36=5,('Calc (ex-animal)'!$G$12*(1-'DB additional information '!$K$4/100)+'Calc (ex-animal)'!$H$12*(1-'DB additional information '!$L$4/100))*(1-VLOOKUP(D36,'DB technologies'!$N$11:$Y$25,8,FALSE)/100)*'Calc (ex-housing, ex-storage)'!F36/100/365*AJ36+M36+N36+O36,IF(AS36=3,('Calc (ex-animal)'!$G$12*(1-'DB additional information '!$K$4/100)+'Calc (ex-animal)'!$H$12*(1-'DB additional information '!$L$4/100))*(1-VLOOKUP(D36,'DB technologies'!$N$11:$Y$25,8,FALSE)/100)*'Calc (ex-housing, ex-storage)'!F36/100/365*AJ36+M36+N36+O36,IF(AS36=4,('Calc (ex-animal)'!$G$12*(1-'DB additional information '!$K$4/100)+'Calc (ex-animal)'!$H$12*(1-'DB additional information '!$L$4/100))*(1-VLOOKUP(D36,'DB technologies'!$N$11:$Y$25,8,FALSE)/100)*'Calc (ex-housing, ex-storage)'!F36/100*VLOOKUP(D36,'DB technologies'!$N$11:$Y$25,12,FALSE)/100/365*AJ36+M36+N36+O36,0))))))</f>
        <v/>
      </c>
      <c r="AW36" s="452" t="str">
        <f>IF(AS36="","",IF(AU36=0,0,AU36/AT36*100))</f>
        <v/>
      </c>
      <c r="AX36" s="184" t="str">
        <f>IF(D36="","",IF(AS36=2,0,IF(AS36=1,'Calc (ex-animal)'!$K$12*'Calc (ex-housing, ex-storage)'!F36/100/365*AJ36+Q36+R36+S36,IF(AS36=5,('Calc (ex-animal)'!$K$12+'Calc (ex-animal)'!$L$12)*'Calc (ex-housing, ex-storage)'!F36/100/365*AJ36+Q36+R36+S36-'Calc (ex-housing, ex-storage)'!AC36,IF(AS36=3,('Calc (ex-animal)'!$K$12+'Calc (ex-animal)'!$L$12)*'Calc (ex-housing, ex-storage)'!F36/100/365*AJ36+Q36+R36+S36-'Calc (ex-housing, ex-storage)'!AC36-AD36-AE36,IF(AI36=4,('Calc (ex-animal)'!$K$12+'Calc (ex-animal)'!$L$12)*'Calc (ex-housing, ex-storage)'!F36/100*VLOOKUP(D36,'DB technologies'!$N$11:$Y$25,12,FALSE)/100/365*AJ36+Q36+R36+S36-(VLOOKUP(D36,'DB technologies'!$N$11:$Y$25,12,FALSE)/100*AC36)-AD36-AE36,0))))))</f>
        <v/>
      </c>
      <c r="AY36" s="184" t="str">
        <f>IF(D36="","",IF(AS36=2,0,IF(AS36=1,'Calc (ex-animal)'!$N$12*'Calc (ex-housing, ex-storage)'!F36/100/365*AJ36+U36+V36+W36,IF(AS36=5,('Calc (ex-animal)'!$N$12+'Calc (ex-animal)'!$O$12)*'Calc (ex-housing, ex-storage)'!F36/100/365*AJ36+U36+V36+W36,IF(AS36=3,('Calc (ex-animal)'!$N$12+'Calc (ex-animal)'!$O$12)*'Calc (ex-housing, ex-storage)'!F36/100/365*AJ36+U36+V36+W36,IF(AS36=4,('Calc (ex-animal)'!$N$12+'Calc (ex-animal)'!$O$12)*'Calc (ex-housing, ex-storage)'!F36/100*VLOOKUP(D36,'DB technologies'!$N$11:$Y$25,12,FALSE)/100/365*AJ36+U36+V36+W36,0))))))</f>
        <v/>
      </c>
      <c r="AZ36" s="184" t="str">
        <f>IF(D36="","",IF(AS36=2,0,IF(AS36=1,'Calc (ex-animal)'!$Q$12*'Calc (ex-housing, ex-storage)'!F36/100/365*AJ36+Y36+Z36+AA36,IF(AS36=5,('Calc (ex-animal)'!$Q$12+'Calc (ex-animal)'!$R$12)*'Calc (ex-housing, ex-storage)'!F36/100/365*AJ36+Y36+Z36+AA36,IF(AS36=3,('Calc (ex-animal)'!$Q$12+'Calc (ex-animal)'!$R$12)*'Calc (ex-housing, ex-storage)'!F36/100/365*AJ36+Y36+Z36+AA36,IF(AS36=4,('Calc (ex-animal)'!$Q$12+'Calc (ex-animal)'!$R$12)*'Calc (ex-housing, ex-storage)'!F36/100*VLOOKUP(D36,'DB technologies'!$N$11:$Y$25,12,FALSE)/100/365*AJ36+Y36+Z36+AA36,0))))))</f>
        <v/>
      </c>
      <c r="BA36" s="506"/>
      <c r="BB36" s="506"/>
      <c r="BC36" s="506"/>
      <c r="BG36" s="1357"/>
      <c r="BH36" s="1361"/>
      <c r="BI36" s="598" t="str">
        <f>IF(BG36="","",$BA$33*BH36/100-($BB$33*BH36/100*VLOOKUP(BG36,'DB technologies'!$AC$32:$AQ$36,5,FALSE)/100)+(VLOOKUP(BG36,'DB technologies'!$AC$32:$AQ$36,12,FALSE)*$BA$33*BH36/100))</f>
        <v/>
      </c>
      <c r="BJ36" s="551">
        <f>IF(BI36="",0,BI36*BK36/100)</f>
        <v>0</v>
      </c>
      <c r="BK36" s="549" t="str">
        <f>IF(BG36="","",($BB$33*BH36/100)/BI36*(1-(VLOOKUP(BG36,'DB technologies'!$AC$32:$AQ$36,5,FALSE))/100)*100)</f>
        <v/>
      </c>
      <c r="BL36" s="261" t="str">
        <f>IF(BG36="","",$BD$33*BH36/100-BO36-BP36-BQ36-BR36)</f>
        <v/>
      </c>
      <c r="BM36" s="261" t="str">
        <f>IF(BG36="","",$BE$33*BH36/100-BS36)</f>
        <v/>
      </c>
      <c r="BN36" s="261" t="str">
        <f>IF(BG36="","",$BF$33*BH36/100-BT36)</f>
        <v/>
      </c>
      <c r="BO36" s="261" t="str">
        <f>IF(BG36="","",$BD$33*BH36/100*VLOOKUP(BG36,'DB technologies'!$AC$32:$AF$36,2,FALSE)/100)</f>
        <v/>
      </c>
      <c r="BP36" s="261" t="str">
        <f>IF(BG36="","",$BD$33*BH36/100*VLOOKUP(BG36,'DB technologies'!$AC$32:$AN$36,3,FALSE)/100)</f>
        <v/>
      </c>
      <c r="BQ36" s="262" t="str">
        <f>IF(BG36="","",$BD$33*BH36/100*VLOOKUP(BG36,'DB technologies'!$AC$32:$AN$36,4,FALSE)/100)</f>
        <v/>
      </c>
      <c r="BR36" s="264" t="str">
        <f>IF(BG36="","",VLOOKUP(BG36,'DB technologies'!$AC$32:$AQ$36,13,FALSE)/100*$BD$33*BH36/100)</f>
        <v/>
      </c>
      <c r="BS36" s="261" t="str">
        <f>IF(BG36="","",VLOOKUP(BG36,'DB technologies'!$AC$32:$AQ$36,14,FALSE)/100*$BE$33*BL36/100)</f>
        <v/>
      </c>
      <c r="BT36" s="262" t="str">
        <f>IF(BG36="","",VLOOKUP(BG36,'DB technologies'!$AC$32:$AQ$36,15,FALSE)/100*$BF$33*BH36/100)</f>
        <v/>
      </c>
    </row>
    <row r="37" spans="1:72" ht="12" customHeight="1" thickBot="1" x14ac:dyDescent="0.25">
      <c r="A37" s="684"/>
      <c r="B37" s="696"/>
      <c r="C37" s="252"/>
      <c r="D37" s="269" t="s">
        <v>58</v>
      </c>
      <c r="E37" s="270">
        <f>IF(F37&lt;=100,SUM(E32:E36),"ERROR")</f>
        <v>0</v>
      </c>
      <c r="F37" s="284">
        <f>IF(SUM(F32:F36) &lt;=100,SUM(F32:F36),"ERROR, SUM&gt;100%")</f>
        <v>0</v>
      </c>
      <c r="G37" s="492">
        <f>IF('Calc (ex-animal)'!$F$9=1,"",SUM(G32:G36))</f>
        <v>0</v>
      </c>
      <c r="H37" s="433">
        <f>IF('Calc (ex-animal)'!$F$8=1,"",SUM(H32:H36))</f>
        <v>0</v>
      </c>
      <c r="I37" s="433">
        <f>IF('Calc (ex-animal)'!$F$8=1,"",SUM(I32:I36))</f>
        <v>0</v>
      </c>
      <c r="J37" s="433">
        <f>IF('Calc (ex-animal)'!$F$8=1,"",SUM(J32:J36))</f>
        <v>0</v>
      </c>
      <c r="K37" s="433">
        <f>IF('Calc (ex-animal)'!$F$8=1,"",SUM(K32:K36))</f>
        <v>0</v>
      </c>
      <c r="L37" s="470"/>
      <c r="M37" s="470"/>
      <c r="N37" s="470"/>
      <c r="O37" s="470"/>
      <c r="P37" s="633">
        <f>IF(G37=0,0,IF('Calc (ex-animal)'!$F$9=1,"",IF(D37="","",SUM(H37:K37)/G37*100)))</f>
        <v>0</v>
      </c>
      <c r="Q37" s="470"/>
      <c r="R37" s="470"/>
      <c r="S37" s="495"/>
      <c r="T37" s="279">
        <f>IF('Calc (ex-animal)'!F12=1,"",SUM(T32:T36))</f>
        <v>0</v>
      </c>
      <c r="U37" s="433"/>
      <c r="V37" s="433"/>
      <c r="W37" s="433"/>
      <c r="X37" s="279">
        <f>IF('Calc (ex-animal)'!F12=1,"",SUM(X32:X36))</f>
        <v>0</v>
      </c>
      <c r="Y37" s="433"/>
      <c r="Z37" s="433"/>
      <c r="AA37" s="433"/>
      <c r="AB37" s="279">
        <f>IF('Calc (ex-animal)'!F12=1,"",SUM(AB32:AB36))</f>
        <v>0</v>
      </c>
      <c r="AC37" s="279">
        <f>IF('Calc (ex-animal)'!F12=1,"",SUM(AC32:AC36))</f>
        <v>0</v>
      </c>
      <c r="AD37" s="279">
        <f>IF('Calc (ex-animal)'!F12=1,"",SUM(AD32:AD36))</f>
        <v>0</v>
      </c>
      <c r="AE37" s="280">
        <f>IF('Calc (ex-animal)'!F12=1,"",SUM(AE32:AE36))</f>
        <v>0</v>
      </c>
      <c r="AG37" s="695"/>
      <c r="AH37" s="695"/>
      <c r="AJ37" s="450"/>
      <c r="AK37" s="450"/>
      <c r="AL37" s="450"/>
      <c r="AM37" s="450"/>
      <c r="AN37" s="450"/>
      <c r="AT37" s="450"/>
      <c r="AU37" s="450"/>
      <c r="AV37" s="450"/>
      <c r="AW37" s="450"/>
      <c r="BA37" s="506"/>
      <c r="BB37" s="506"/>
      <c r="BC37" s="506"/>
      <c r="BG37" s="1359"/>
      <c r="BH37" s="1362"/>
      <c r="BI37" s="600" t="str">
        <f>IF(BG37="","",$BA$33*BH37/100-($BB$33*BH37/100*VLOOKUP(BG37,'DB technologies'!$AC$32:$AQ$36,5,FALSE)/100)+(VLOOKUP(BG37,'DB technologies'!$AC$32:$AQ$36,12,FALSE)*$BA$33*BH37/100))</f>
        <v/>
      </c>
      <c r="BJ37" s="551">
        <f>IF(BI37="",0,BI37*BK37/100)</f>
        <v>0</v>
      </c>
      <c r="BK37" s="509" t="str">
        <f>IF(BG37="","",($BB$33*BH37/100)/BI37*(1-(VLOOKUP(BG37,'DB technologies'!$AC$32:$AQ$36,5,FALSE))/100)*100)</f>
        <v/>
      </c>
      <c r="BL37" s="267" t="str">
        <f>IF(BG37="","",$BD$33*BH37/100-BO37-BP37-BQ37-BR37)</f>
        <v/>
      </c>
      <c r="BM37" s="267" t="str">
        <f>IF(BG37="","",$BE$33*BH37/100-BS37)</f>
        <v/>
      </c>
      <c r="BN37" s="267" t="str">
        <f>IF(BG37="","",$BF$33*BH37/100-BT37)</f>
        <v/>
      </c>
      <c r="BO37" s="267" t="str">
        <f>IF(BG37="","",$BD$33*BH37/100*VLOOKUP(BG37,'DB technologies'!$AC$32:$AF$36,2,FALSE)/100)</f>
        <v/>
      </c>
      <c r="BP37" s="267" t="str">
        <f>IF(BG37="","",$BD$33*BH37/100*VLOOKUP(BG37,'DB technologies'!$AC$32:$AN$36,3,FALSE)/100)</f>
        <v/>
      </c>
      <c r="BQ37" s="268" t="str">
        <f>IF(BG37="","",$BD$33*BH37/100*VLOOKUP(BG37,'DB technologies'!$AC$32:$AN$36,4,FALSE)/100)</f>
        <v/>
      </c>
      <c r="BR37" s="266" t="str">
        <f>IF(BG37="","",VLOOKUP(BG37,'DB technologies'!$AC$32:$AQ$36,13,FALSE)/100*$BD$33*BH37/100)</f>
        <v/>
      </c>
      <c r="BS37" s="267" t="str">
        <f>IF(BG37="","",VLOOKUP(BG37,'DB technologies'!$AC$32:$AQ$36,14,FALSE)/100*$BE$33*BL37/100)</f>
        <v/>
      </c>
      <c r="BT37" s="268" t="str">
        <f>IF(BG37="","",VLOOKUP(BG37,'DB technologies'!$AC$32:$AQ$36,15,FALSE)/100*$BF$33*BH37/100)</f>
        <v/>
      </c>
    </row>
    <row r="38" spans="1:72" ht="11.25" customHeight="1" thickBot="1" x14ac:dyDescent="0.25">
      <c r="A38" s="684"/>
      <c r="B38" s="694" t="s">
        <v>60</v>
      </c>
      <c r="C38" s="254">
        <f>'Calc (ex-animal)'!D13</f>
        <v>0</v>
      </c>
      <c r="D38" s="1355"/>
      <c r="E38" s="1356"/>
      <c r="F38" s="479" t="str">
        <f>IF('Calc (ex-animal)'!$F$9=1,"",IF($C$38=0,"",IF(D38="","",E38/'Calc (ex-animal)'!$E$13*100)))</f>
        <v/>
      </c>
      <c r="G38" s="484" t="str">
        <f>IF($C$38=0,"",IF('Calc (ex-animal)'!$F$8=1,"",IF(D38="","",SUM(H38:O38))))</f>
        <v/>
      </c>
      <c r="H38" s="471" t="str">
        <f>IF('Calc (ex-animal)'!$F$8=1,"",IF(D38="","",(((VLOOKUP($C$38,'Calc (ex-animal)'!$D$13:$Y$17,6,FALSE)-VLOOKUP($C$38,'Calc (ex-animal)'!$D$13:$Y$17,17,FALSE))*F38/100))*VLOOKUP($C$38,'Calc (ex-animal)'!$D$13:$Y$17,7,FALSE)/100*(1-VLOOKUP(D38,'DB technologies'!$N$27:$Y$38,9,FALSE)/100)))</f>
        <v/>
      </c>
      <c r="I38" s="471" t="str">
        <f>IF(D38="","",((VLOOKUP(D38,'DB technologies'!$N$27:$Y$38,2,FALSE)*VLOOKUP($C$38,'DB animal categories'!$C$22:$AC$31,27,FALSE)*E38/1000)/VLOOKUP($C$38,'DB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'!$S$6/100*(1-VLOOKUP(D38,'DB technologies'!$N$27:$Y$38,9,FALSE)/100)))</f>
        <v/>
      </c>
      <c r="J38" s="472" t="str">
        <f>IF(D38="","",((VLOOKUP(D38,'DB technologies'!$N$27:$Y$38,3,FALSE)*VLOOKUP($C$38,'DB animal categories'!$C$22:$AC$31,27,FALSE)*E38/1000)/VLOOKUP($C$38,'DB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'!$S$7/100*(1-VLOOKUP(D38,'DB technologies'!$N$27:$Y$38,9,FALSE)/100)))</f>
        <v/>
      </c>
      <c r="K38" s="472" t="str">
        <f>IF(D38="","",((VLOOKUP(D38,'DB technologies'!$N$27:$Y$38,4,FALSE)*E38*'DB additional information '!$S$8/100*(1-VLOOKUP(D38,'DB technologies'!$N$27:$Y$38,9,FALSE)/100))/VLOOKUP($C$38,'DB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L38" s="471" t="str">
        <f>IF('Calc (ex-animal)'!$F$8=1,"",IF(D38="","",(((VLOOKUP($C$38,'Calc (ex-animal)'!$D$13:$Y$17,6,FALSE)-VLOOKUP($C$38,'Calc (ex-animal)'!$D$13:$Y$17,17,FALSE))*F38/100))*(1-VLOOKUP($C$38,'Calc (ex-animal)'!$D$13:$Y$17,7,FALSE)/100)*(1-VLOOKUP(D38,'DB technologies'!$N$27:$V$38,8,FALSE)/100)))</f>
        <v/>
      </c>
      <c r="M38" s="472" t="str">
        <f>IF(D38="","",((VLOOKUP(D38,'DB technologies'!$N$27:$Y$38,2,FALSE)*VLOOKUP($C$38,'DB animal categories'!$C$22:$AC$31,27,FALSE)*E38/1000)/VLOOKUP($C$38,'DB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'!$S$6/100)*(1-VLOOKUP(D38,'DB technologies'!$N$27:$Y$38,9,FALSE)/100))</f>
        <v/>
      </c>
      <c r="N38" s="472" t="str">
        <f>IF(D38="","",((VLOOKUP(D38,'DB technologies'!$N$27:$Y$38,3,FALSE)*VLOOKUP($C$38,'DB animal categories'!$C$22:$AC$31,27,FALSE)*E38/1000)/VLOOKUP($C$38,'DB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'!$S$7/100)*(1-VLOOKUP(D38,'DB technologies'!$N$27:$Y$38,9,FALSE)/100))</f>
        <v/>
      </c>
      <c r="O38" s="471" t="str">
        <f>IF(D38="","",((VLOOKUP(D38,'DB technologies'!$N$27:$Y$38,4,FALSE)*E38*(1-'DB additional information '!$S$8/100)*(1-VLOOKUP(D38,'DB technologies'!$N$27:$Y$38,8,FALSE)/100))/VLOOKUP($C$38,'DB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P38" s="630" t="str">
        <f>IF(G38=0,0,IF(E38="","",IF(F38="","",IF($C$38=0,"",IF(D38="","",SUM(H38:K38)/G38*100)))))</f>
        <v/>
      </c>
      <c r="Q38" s="473" t="str">
        <f>IF(D38="","",(VLOOKUP(D38,'DB technologies'!$N$27:$Y$38,2,FALSE)*'DB additional information '!$S$6/100*'DB additional information '!$T$6*VLOOKUP($C$38,'DB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R38" s="473" t="str">
        <f>IF(D38="","",(VLOOKUP(D38,'DB technologies'!$N$27:$Y$38,3,FALSE)*'DB additional information '!$S$7/100*'DB additional information '!$T$7*VLOOKUP($C$38,'DB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S38" s="490" t="str">
        <f>IF(D38="","",(VLOOKUP(D38,'DB technologies'!$N$27:$Y$38,4,FALSE)*('DB additional information '!$S$8/100*'DB additional information '!$T$8*E38/1000/1000)))</f>
        <v/>
      </c>
      <c r="T38" s="259" t="str">
        <f>IF($C$38=0,"",IF('Calc (ex-animal)'!$F$9=1,"",IF(D38="","",((VLOOKUP($C$38,'Calc (ex-animal)'!$D$13:$Y$17,10,FALSE)-VLOOKUP($C$38,'Calc (ex-animal)'!$D$13:$Y$17,18,FALSE))*F38/100+Q38+R38+S38)-AC38-AD38-AE38)))</f>
        <v/>
      </c>
      <c r="U38" s="474" t="str">
        <f>IF(D38="","",(VLOOKUP(D38,'DB technologies'!$N$27:$Y$38,2,FALSE)*'DB additional information '!$S$6/100*'DB additional information '!$U$6*VLOOKUP($C$38,'DB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V38" s="420" t="str">
        <f>IF(D38="","",(VLOOKUP(D38,'DB technologies'!$N$27:$Y$38,3,FALSE)*'DB additional information '!$S$7/100*'DB additional information '!$U$7*VLOOKUP($C$38,'DB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W38" s="415" t="str">
        <f>IF(D38="","",(VLOOKUP(D38,'DB technologies'!$N$27:$Y$38,4,FALSE)*('DB additional information '!$S$8/100*'DB additional information '!$U$8*E38/1000/1000)))</f>
        <v/>
      </c>
      <c r="X38" s="259" t="str">
        <f>IF($C$38=0,"",IF('Calc (ex-animal)'!$F$9=1,"",IF(D38="","",((VLOOKUP($C$38,'Calc (ex-animal)'!$D$13:$Y$17,13,FALSE)-VLOOKUP($C$38,'Calc (ex-animal)'!$D$13:$Y$17,19,FALSE))*F38/100+U38+V38+W38))))</f>
        <v/>
      </c>
      <c r="Y38" s="420" t="str">
        <f>IF(D38="","",(VLOOKUP(D38,'DB technologies'!$N$27:$Y$38,2,FALSE)*'DB additional information '!$S$6/100*'DB additional information '!$V$6*VLOOKUP($C$38,'DB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Z38" s="420" t="str">
        <f>IF(D38="","",(VLOOKUP(D38,'DB technologies'!$N$27:$Y$38,3,FALSE)*'DB additional information '!$S$7/100*'DB additional information '!$V$7*VLOOKUP($C$38,'DB animal categories'!$C$22:$AC$31,27,FALSE)*E38/1000/1000)/VLOOKUP($C$38,'DB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AA38" s="420" t="str">
        <f>IF(D38="","",(VLOOKUP(D38,'DB technologies'!$N$27:$Y$38,4,FALSE)*('DB additional information '!$S$8/100*'DB additional information '!$V$8*E38/1000/1000)))</f>
        <v/>
      </c>
      <c r="AB38" s="259" t="str">
        <f>IF($C$38=0,"",IF('Calc (ex-animal)'!$F$8=1,"",IF(D38="","",((VLOOKUP($C$38,'Calc (ex-animal)'!$D$13:$Y$17,16,FALSE)-VLOOKUP($C$38,'Calc (ex-animal)'!$D$13:$Y$17,20,FALSE))*F38/100+Y38+Z38+AA38))))</f>
        <v/>
      </c>
      <c r="AC38" s="259" t="str">
        <f>IF($C$38=0,"",IF('Calc (ex-animal)'!$F$8=1,"",IF(D38="","",VLOOKUP($C$38,'Calc (ex-animal)'!$D$13:$Y$17,9,FALSE)/VLOOKUP($C$38,'DB animal categories'!$C$22:$AC$31,27,FALSE)*(VLOOKUP($C$38,'DB animal categories'!$C$22:$AC$31,27,FALSE)-VLOOKUP($C$38,'DB animal categories'!$C$22:$AC$31,25,FALSE)*VLOOKUP($C$38,'DB animal categories'!$C$22:$AC$31,26,FALSE)/24)*F38/100*VLOOKUP(D38,'DB technologies'!$N$27:$R$38,5,FALSE)/100)))</f>
        <v/>
      </c>
      <c r="AD38" s="259" t="str">
        <f>IF($C$38=0,"",IF('Calc (ex-animal)'!$F$8=1,"",IF(D38="","",VLOOKUP($C$38,'Calc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categories'!$C$22:$AC$31,26,FALSE)/24)*F38/100*VLOOKUP(D38,'DB technologies'!$N$27:$Y$38,6,FALSE)/100)))</f>
        <v/>
      </c>
      <c r="AE38" s="260" t="str">
        <f>IF($C$38=0,"",IF('Calc (ex-animal)'!$F$8=1,"",IF(D38="","",VLOOKUP($C$38,'Calc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categories'!$C$22:$AC$31,26,FALSE)/24)*F38/100*VLOOKUP(D38,'DB technologies'!$N$27:$Y$38,7,FALSE)/100)))</f>
        <v/>
      </c>
      <c r="AG38" s="695"/>
      <c r="AH38" s="696"/>
      <c r="AI38" s="185" t="str">
        <f>IF(D38="","",VLOOKUP(D38,'DB technologies'!$N$27:$Y$38,10,FALSE))</f>
        <v/>
      </c>
      <c r="AJ38" s="482" t="e">
        <f>VLOOKUP($C$38,'DB animal categories'!$C$22:$AN$31,27,FALSE)-VLOOKUP($C$38,'DB animal categories'!$C$22:$AN$31,26,FALSE)*VLOOKUP($C$38,'DB animal categories'!$C$22:$AN$31,25,FALSE)/24</f>
        <v>#N/A</v>
      </c>
      <c r="AK38" s="453" t="str">
        <f>IF(AI38="","",AL38+AM38)</f>
        <v/>
      </c>
      <c r="AL38" s="453" t="str">
        <f>IF(D38="","",IF(AI38=2,(('Calc (ex-animal)'!$G$13*'DB additional information '!$K$5/100*(1-VLOOKUP(D38,'DB technologies'!$N$27:$Y$38,9,FALSE)/100)*'Calc (ex-housing, ex-storage)'!F38/100+'Calc (ex-animal)'!$H$13*'DB additional information '!$L$5/100*(1-VLOOKUP(D38,'DB technologies'!$N$27:$Y$38,9,FALSE)/100)*'Calc (ex-housing, ex-storage)'!F38/100))/VLOOKUP($C$38,'DB animal categories'!$C$22:$AC$31,27,FALSE)*AJ38+I38+J38+K38,IF(AI38=1,('Calc (ex-animal)'!$H$13*'DB additional information '!$L$5/100*(1-VLOOKUP(D38,'DB technologies'!$N$27:$Y$38,9,FALSE)/100)*'Calc (ex-housing, ex-storage)'!F38/100)/VLOOKUP($C$38,'DB animal categories'!$C$22:$AC$31,27,FALSE)*AJ38,IF(AI38=4,('Calc (ex-animal)'!$G$13*'DB additional information '!$K$5/100+'Calc (ex-animal)'!$H$13*'DB additional information '!$L$5/100)*(1-VLOOKUP(D38,'DB technologies'!$N$27:$Y$38,9,FALSE)/100)*'Calc (ex-housing, ex-storage)'!F38/100*VLOOKUP(D38,'DB technologies'!$N$27:$Y$38,11,FALSE)/100/VLOOKUP($C$38,'DB animal categories'!$C$22:$AC$31,27,FALSE)*AJ38,0))))</f>
        <v/>
      </c>
      <c r="AM38" s="453" t="str">
        <f>IF(D38="","",IF(AI38=2,(('Calc (ex-animal)'!$G$13*(1-'DB additional information '!$K$5/100)*(1-VLOOKUP(D38,'DB technologies'!$N$27:$Y$38,8,FALSE)/100)*'Calc (ex-housing, ex-storage)'!F38/100+'Calc (ex-animal)'!$H$13*(1-'DB additional information '!$L$5/100)*(1-VLOOKUP(D38,'DB technologies'!$N$27:$Y$38,8,FALSE)/100)*'Calc (ex-housing, ex-storage)'!F38/100))/VLOOKUP($C$38,'DB animal categories'!$C$22:$AC$31,27,FALSE)*AJ38+M38+N38+O38,IF(AI38=1,('Calc (ex-animal)'!$H$13*(1-'DB additional information '!$L$5/100)*(1-VLOOKUP(D38,'DB technologies'!$N$27:$Y$38,8,FALSE)/100)*'Calc (ex-housing, ex-storage)'!F38/100)/VLOOKUP($C$38,'DB animal categories'!$C$22:$AC$31,27,FALSE)*AJ38,IF(AI38=4,('Calc (ex-animal)'!$G$13*(1-'DB additional information '!$K$5/100)+'Calc (ex-animal)'!$H$13*(1-'DB additional information '!$L$5/100))*(1-VLOOKUP(D38,'DB technologies'!$N$27:$Y$38,8,FALSE)/100)*'Calc (ex-housing, ex-storage)'!F38/100*VLOOKUP(D38,'DB technologies'!$N$27:$Y$38,11,FALSE)/100/VLOOKUP($C$38,'DB animal categories'!$C$22:$AC$31,27,FALSE)*AJ38,0))))</f>
        <v/>
      </c>
      <c r="AN38" s="453" t="str">
        <f>IF(AI38="","",IF(AL38=0,0,AL38/AK38*100))</f>
        <v/>
      </c>
      <c r="AO38" s="180" t="str">
        <f>IF(D38="","",IF(AI38=2,(('Calc (ex-animal)'!$L$13*'Calc (ex-housing, ex-storage)'!F38/100+'Calc (ex-animal)'!$K$13*'Calc (ex-housing, ex-storage)'!F38/100))/VLOOKUP($C$38,'DB animal categories'!$C$22:$AC$31,27,FALSE)*AJ38+Q38+R38+S38-AC38,IF(AI38=1,('Calc (ex-animal)'!$L$13*'Calc (ex-housing, ex-storage)'!F38/100)/VLOOKUP($C$38,'DB animal categories'!$C$22:$AC$31,27,FALSE)*AJ38-'Calc (ex-housing, ex-storage)'!AC38,IF(AI38=4,('Calc (ex-animal)'!$L$13+'Calc (ex-animal)'!$K$13)*'Calc (ex-housing, ex-storage)'!F38/100*VLOOKUP(D38,'DB technologies'!$N$27:$Y$38,11,FALSE)/100/VLOOKUP($C$38,'DB animal categories'!$C$22:$AC$31,27,FALSE)*AJ38-AC38*VLOOKUP(D38,'DB technologies'!$N$27:$Y$38,11,FALSE)/100,0))))</f>
        <v/>
      </c>
      <c r="AP38" s="180" t="str">
        <f>IF(D38="","",IF(AO38&lt;-0.01,0,IF(AI38=2,(('Calc (ex-animal)'!$L$13*'Calc (ex-housing, ex-storage)'!F38/100+'Calc (ex-animal)'!$K$13*'Calc (ex-housing, ex-storage)'!F38/100))/VLOOKUP($C$38,'DB animal categories'!$C$22:$AC$31,27,FALSE)*AJ38+Q38+R38+S38-AC38,IF(AI38=1,('Calc (ex-animal)'!$L$13*'Calc (ex-housing, ex-storage)'!F38/100)/VLOOKUP($C$38,'DB animal categories'!$C$22:$AC$31,27,FALSE)*AJ38-'Calc (ex-housing, ex-storage)'!AC38,IF(AI38=4,('Calc (ex-animal)'!$L$13+'Calc (ex-animal)'!$K$13)*'Calc (ex-housing, ex-storage)'!F38/100*VLOOKUP(D38,'DB technologies'!$N$27:$Y$38,11,FALSE)/100/VLOOKUP($C$38,'DB animal categories'!$C$22:$AC$31,27,FALSE)*AJ38-AC38*VLOOKUP(D38,'DB technologies'!$N$27:$Y$38,11,FALSE)/100,0)))))</f>
        <v/>
      </c>
      <c r="AQ38" s="180" t="str">
        <f>IF(D38="","",IF(AI38=2,('Calc (ex-animal)'!$O$13*'Calc (ex-housing, ex-storage)'!F38/100+'Calc (ex-animal)'!$N$13*'Calc (ex-housing, ex-storage)'!F38/100)/VLOOKUP($C$38,'DB animal categories'!$C$22:$AC$31,27,FALSE)*AJ38+U38+V38+W38,IF(AI38=1,'Calc (ex-animal)'!$O$13*'Calc (ex-housing, ex-storage)'!F38/100/VLOOKUP($C$38,'DB animal categories'!$C$22:$AC$31,27,FALSE)*AJ38,IF(AI38=4,('Calc (ex-animal)'!$O$13+'Calc (ex-animal)'!$N$13)*'Calc (ex-housing, ex-storage)'!F38/100*VLOOKUP(D38,'DB technologies'!$N$27:$Y$38,11,FALSE)/100/VLOOKUP($C$38,'DB animal categories'!$C$22:$AC$31,27,FALSE)*AJ38,0))))</f>
        <v/>
      </c>
      <c r="AR38" s="180" t="str">
        <f>IF(D38="","",IF(AI38=2,('Calc (ex-animal)'!$R$13*'Calc (ex-housing, ex-storage)'!F38/100+'Calc (ex-animal)'!$Q$13*'Calc (ex-housing, ex-storage)'!F38/100)/VLOOKUP($C$38,'DB animal categories'!$C$22:$AC$31,27,FALSE)*AJ38+Y38+Z38+AA38,IF(AI38=1,'Calc (ex-animal)'!$R$13*'Calc (ex-housing, ex-storage)'!F38/100/VLOOKUP($C$38,'DB animal categories'!$C$22:$AC$31,27,FALSE)*AJ38,IF(AI38=4,('Calc (ex-animal)'!$R$13+'Calc (ex-animal)'!$Q$13)*'Calc (ex-housing, ex-storage)'!F38/100*VLOOKUP(D38,'DB technologies'!$N$27:$Y$38,11,FALSE)/100/VLOOKUP($C$38,'DB animal categories'!$C$22:$AC$31,27,FALSE)*AJ38,0))))</f>
        <v/>
      </c>
      <c r="AS38" s="179" t="str">
        <f>IF(D38="","",VLOOKUP(D38,'DB technologies'!$N$27:$Y$38,10,FALSE))</f>
        <v/>
      </c>
      <c r="AT38" s="453" t="str">
        <f>IF(AS38="","",AU38+AV38)</f>
        <v/>
      </c>
      <c r="AU38" s="453" t="str">
        <f>IF(D38="","",IF(AS38=2,0,IF(AS38=1,'Calc (ex-animal)'!$G$13*'DB additional information '!$K$5/100*(1-VLOOKUP(D38,'DB technologies'!$N$27:$Y$38,8,FALSE)/100)*'Calc (ex-housing, ex-storage)'!F38/100/VLOOKUP($C$38,'DB animal categories'!$C$22:$AC$31,27,FALSE)*AJ38+I38+J38+K38,IF(AS38=5,(('Calc (ex-animal)'!$G$13*'DB additional information '!$K$5/100+'Calc (ex-animal)'!$H$13*'DB additional information '!$L$5/100))*(1-VLOOKUP(D38,'DB technologies'!$N$27:$Y$38,9,FALSE)/100)*'Calc (ex-housing, ex-storage)'!F38/100/VLOOKUP($C$38,'DB animal categories'!$C$22:$AC$31,27,FALSE)*AJ38+I38+J38+K38,IF(AS38=3,('Calc (ex-animal)'!$G$13*'DB additional information '!$K$5/100+'Calc (ex-animal)'!$H$13*'DB additional information '!$L$5/100)*(1-VLOOKUP(D38,'DB technologies'!$N$27:$Y$38,9,FALSE)/100)*'Calc (ex-housing, ex-storage)'!F38/100/VLOOKUP($C$38,'DB animal categories'!$C$22:$AC$31,27,FALSE)*AJ38+I38+J38+K38,IF(AS38=4,('Calc (ex-animal)'!$G$13*'DB additional information '!$K$5/100+'Calc (ex-animal)'!$H$13*'DB additional information '!$L$5/100)*(1-VLOOKUP(D38,'DB technologies'!$N$27:$Y$38,9,FALSE)/100)*'Calc (ex-housing, ex-storage)'!F38/100*VLOOKUP(D38,'DB technologies'!$N$27:$Y$38,12,FALSE)/100/VLOOKUP($C$38,'DB animal categories'!$C$22:$AC$31,27,FALSE)*AJ38+I38+J38+K38,0))))))</f>
        <v/>
      </c>
      <c r="AV38" s="453" t="str">
        <f>IF(D38="","",IF(AS38=2,0,IF(AS38=1,'Calc (ex-animal)'!$G$13*(1-'DB additional information '!$K$5/100)*(1-VLOOKUP(D38,'DB technologies'!$N$27:$Y$38,8,FALSE)/100)*'Calc (ex-housing, ex-storage)'!F38/100/VLOOKUP($C$38,'DB animal categories'!$C$22:$AC$31,27,FALSE)*AJ38+M38+N38+O38,IF(AS38=5,('Calc (ex-animal)'!$G$13*(1-'DB additional information '!$K$5/100)+'Calc (ex-animal)'!$H$13*(1-'DB additional information '!$L$5/100))*(1-VLOOKUP(D38,'DB technologies'!$N$27:$Y$38,8,FALSE)/100)*'Calc (ex-housing, ex-storage)'!F38/100/VLOOKUP($C$38,'DB animal categories'!$C$22:$AC$31,27,FALSE)*AJ38+M38+N38+O38,IF(AS38=3,('Calc (ex-animal)'!$G$13*(1-'DB additional information '!$K$5/100)+'Calc (ex-animal)'!$H$13*(1-'DB additional information '!$L$5/100))*(1-VLOOKUP(D38,'DB technologies'!$N$27:$Y$38,8,FALSE)/100)*'Calc (ex-housing, ex-storage)'!F38/100/VLOOKUP($C$38,'DB animal categories'!$C$22:$AC$31,27,FALSE)*AJ38+M38+N38+O38,IF(AS38=4,('Calc (ex-animal)'!$G$13*(1-'DB additional information '!$K$5/100)+'Calc (ex-animal)'!$H$13*(1-'DB additional information '!$L$5/100))*(1-VLOOKUP(D38,'DB technologies'!$N$27:$Y$38,8,FALSE)/100)*'Calc (ex-housing, ex-storage)'!F38/100*VLOOKUP(D38,'DB technologies'!$N$27:$Y$38,12,FALSE)/100/VLOOKUP($C$38,'DB animal categories'!$C$22:$AC$31,27,FALSE)*AJ38+M38+N38+O38,0))))))</f>
        <v/>
      </c>
      <c r="AW38" s="453" t="str">
        <f>IF(AS38="","",IF(AU38=0,0,AU38/AT38*100))</f>
        <v/>
      </c>
      <c r="AX38" s="180" t="str">
        <f>IF(D38="","",IF(AS38=2,0,IF(AS38=1,'Calc (ex-animal)'!$K$13*'Calc (ex-housing, ex-storage)'!F38/100/VLOOKUP($C$38,'DB animal categories'!$C$22:$AC$31,27,FALSE)*AJ38+Q38+R38+S38,IF(AS38=5,('Calc (ex-animal)'!$K$13+'Calc (ex-animal)'!$L$13)*'Calc (ex-housing, ex-storage)'!F38/100/VLOOKUP($C$38,'DB animal categories'!$C$22:$AC$31,27,FALSE)*AJ38+Q38+R38+S38-'Calc (ex-housing, ex-storage)'!AC38,IF(AS38=3,('Calc (ex-animal)'!$K$13+'Calc (ex-animal)'!$L$13)*'Calc (ex-housing, ex-storage)'!F38/100/VLOOKUP($C$38,'DB animal categories'!$C$22:$AC$31,27,FALSE)*AJ38+Q38+R38+S38-'Calc (ex-housing, ex-storage)'!AC38-AD38-AE38,IF(AI38=4,('Calc (ex-animal)'!$K$13+'Calc (ex-animal)'!$L$13)*'Calc (ex-housing, ex-storage)'!F38/100*VLOOKUP(D38,'DB technologies'!$N$27:$Y$38,12,FALSE)/100/VLOOKUP($C$38,'DB animal categories'!$C$22:$AC$31,27,FALSE)*AJ38+Q38+R38+S38-(VLOOKUP(D38,'DB technologies'!$N$27:$Y$38,12,FALSE)/100*AC38)-AD38-AE38,0))))))</f>
        <v/>
      </c>
      <c r="AY38" s="180" t="str">
        <f>IF(D38="","",IF(AS38=2,0,IF(AS38=1,'Calc (ex-animal)'!$N$13*'Calc (ex-housing, ex-storage)'!F38/100/VLOOKUP($C$38,'DB animal categories'!$C$22:$AC$31,27,FALSE)*AJ38+U38+V38+W38,IF(AS38=5,('Calc (ex-animal)'!$N$13+'Calc (ex-animal)'!$O$13)*'Calc (ex-housing, ex-storage)'!F38/100/VLOOKUP($C$38,'DB animal categories'!$C$22:$AC$31,27,FALSE)*AJ38+U38+V38+W38,IF(AS38=3,('Calc (ex-animal)'!$N$13+'Calc (ex-animal)'!$O$13)*'Calc (ex-housing, ex-storage)'!F38/100/VLOOKUP($C$38,'DB animal categories'!$C$22:$AC$31,27,FALSE)*AJ38+U38+V38+W38,IF(AS38=4,('Calc (ex-animal)'!$N$13+'Calc (ex-animal)'!$O$13)*'Calc (ex-housing, ex-storage)'!F38/100*VLOOKUP(D38,'DB technologies'!$N$27:$Y$38,12,FALSE)/100/VLOOKUP($C$38,'DB animal categories'!$C$22:$AC$31,27,FALSE)*AJ38+U38+V38+W38,0))))))</f>
        <v/>
      </c>
      <c r="AZ38" s="180" t="str">
        <f>IF(D38="","",IF(AS38=2,0,IF(AS38=1,'Calc (ex-animal)'!$Q$13*'Calc (ex-housing, ex-storage)'!F38/100/VLOOKUP($C$38,'DB animal categories'!$C$22:$AC$31,27,FALSE)*AJ38+Y38+Z38+AA38,IF(AS38=5,('Calc (ex-animal)'!$Q$13+'Calc (ex-animal)'!$R$13)*'Calc (ex-housing, ex-storage)'!F38/100/VLOOKUP($C$38,'DB animal categories'!$C$22:$AC$31,27,FALSE)*AJ38+Y38+Z38+AA38,IF(AS38=3,('Calc (ex-animal)'!$Q$13+'Calc (ex-animal)'!$R$13)*'Calc (ex-housing, ex-storage)'!F38/100/VLOOKUP($C$38,'DB animal categories'!$C$22:$AC$31,27,FALSE)*AJ38+Y38+Z38+AA38,IF(AS38=4,('Calc (ex-animal)'!$Q$13+'Calc (ex-animal)'!$R$13)*'Calc (ex-housing, ex-storage)'!F38/100*VLOOKUP(D38,'DB technologies'!$N$27:$Y$38,12,FALSE)/100/VLOOKUP($C$38,'DB animal categories'!$C$22:$AC$31,27,FALSE)*AJ38+Y38+Z38+AA38,0))))))</f>
        <v/>
      </c>
      <c r="BA38" s="507"/>
      <c r="BB38" s="507"/>
      <c r="BC38" s="507"/>
      <c r="BG38" s="556" t="s">
        <v>58</v>
      </c>
      <c r="BH38" s="315">
        <f>IF(SUM(BH33:BH37) &gt;100,"ERROR, SUM&gt;100%",SUM(BH33:BH37))</f>
        <v>0</v>
      </c>
      <c r="BI38" s="602">
        <f>SUM(BI33:BI37)</f>
        <v>0</v>
      </c>
      <c r="BJ38" s="593">
        <f>SUM(BJ33:BJ37)</f>
        <v>0</v>
      </c>
      <c r="BK38" s="597">
        <f>IF(BI38=0,0,BJ38/BI38*100)</f>
        <v>0</v>
      </c>
      <c r="BL38" s="290">
        <f t="shared" ref="BL38:BT38" si="5">SUM(BL33:BL37)</f>
        <v>0</v>
      </c>
      <c r="BM38" s="307">
        <f t="shared" si="5"/>
        <v>0</v>
      </c>
      <c r="BN38" s="307">
        <f t="shared" si="5"/>
        <v>0</v>
      </c>
      <c r="BO38" s="307">
        <f t="shared" si="5"/>
        <v>0</v>
      </c>
      <c r="BP38" s="307">
        <f t="shared" si="5"/>
        <v>0</v>
      </c>
      <c r="BQ38" s="308">
        <f t="shared" si="5"/>
        <v>0</v>
      </c>
      <c r="BR38" s="309">
        <f>SUM(BR33:BR37)</f>
        <v>0</v>
      </c>
      <c r="BS38" s="307">
        <f t="shared" si="5"/>
        <v>0</v>
      </c>
      <c r="BT38" s="308">
        <f t="shared" si="5"/>
        <v>0</v>
      </c>
    </row>
    <row r="39" spans="1:72" ht="11.25" customHeight="1" x14ac:dyDescent="0.2">
      <c r="A39" s="684"/>
      <c r="B39" s="695"/>
      <c r="C39" s="255"/>
      <c r="D39" s="1357"/>
      <c r="E39" s="1358"/>
      <c r="F39" s="480" t="str">
        <f>IF('Calc (ex-animal)'!$F$9=1,"",IF($C$38=0,"",IF(D39="","",E39/'Calc (ex-animal)'!$E$13*100)))</f>
        <v/>
      </c>
      <c r="G39" s="485" t="str">
        <f>IF($C$38=0,"",IF('Calc (ex-animal)'!$F$8=1,"",IF(D39="","",SUM(H39:O39))))</f>
        <v/>
      </c>
      <c r="H39" s="423" t="str">
        <f>IF('Calc (ex-animal)'!$F$8=1,"",IF(D39="","",(((VLOOKUP($C$38,'Calc (ex-animal)'!$D$13:$Y$17,6,FALSE)-VLOOKUP($C$38,'Calc (ex-animal)'!$D$13:$Y$17,17,FALSE))*F39/100))*VLOOKUP($C$38,'Calc (ex-animal)'!$D$13:$Y$17,7,FALSE)/100*(1-VLOOKUP(D39,'DB technologies'!$N$27:$Y$38,9,FALSE)/100)))</f>
        <v/>
      </c>
      <c r="I39" s="423" t="str">
        <f>IF(D39="","",((VLOOKUP(D39,'DB technologies'!$N$27:$Y$38,2,FALSE)*VLOOKUP($C$38,'DB animal categories'!$C$22:$AC$31,27,FALSE)*E39/1000)/VLOOKUP($C$38,'DB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'!$S$6/100*(1-VLOOKUP(D39,'DB technologies'!$N$27:$Y$38,9,FALSE)/100)))</f>
        <v/>
      </c>
      <c r="J39" s="434" t="str">
        <f>IF(D39="","",((VLOOKUP(D39,'DB technologies'!$N$27:$Y$38,3,FALSE)*VLOOKUP($C$38,'DB animal categories'!$C$22:$AC$31,27,FALSE)*E39/1000)/VLOOKUP($C$38,'DB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'!$S$7/100*(1-VLOOKUP(D39,'DB technologies'!$N$27:$Y$38,9,FALSE)/100)))</f>
        <v/>
      </c>
      <c r="K39" s="434" t="str">
        <f>IF(D39="","",((VLOOKUP(D39,'DB technologies'!$N$27:$Y$38,4,FALSE)*E39*'DB additional information '!$S$8/100*(1-VLOOKUP(D39,'DB technologies'!$N$27:$Y$38,9,FALSE)/100))/VLOOKUP($C$38,'DB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L39" s="423" t="str">
        <f>IF('Calc (ex-animal)'!$F$8=1,"",IF(D39="","",(((VLOOKUP($C$38,'Calc (ex-animal)'!$D$13:$Y$17,6,FALSE)-VLOOKUP($C$38,'Calc (ex-animal)'!$D$13:$Y$17,17,FALSE))*F39/100))*(1-VLOOKUP($C$38,'Calc (ex-animal)'!$D$13:$Y$17,7,FALSE)/100)*(1-VLOOKUP(D39,'DB technologies'!$N$27:$V$38,8,FALSE)/100)))</f>
        <v/>
      </c>
      <c r="M39" s="434" t="str">
        <f>IF(D39="","",((VLOOKUP(D39,'DB technologies'!$N$27:$Y$38,2,FALSE)*VLOOKUP($C$38,'DB animal categories'!$C$22:$AC$31,27,FALSE)*E39/1000)/VLOOKUP($C$38,'DB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'!$S$6/100)*(1-VLOOKUP(D39,'DB technologies'!$N$27:$Y$38,9,FALSE)/100))</f>
        <v/>
      </c>
      <c r="N39" s="434" t="str">
        <f>IF(D39="","",((VLOOKUP(D39,'DB technologies'!$N$27:$Y$38,3,FALSE)*VLOOKUP($C$38,'DB animal categories'!$C$22:$AC$31,27,FALSE)*E39/1000)/VLOOKUP($C$38,'DB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'!$S$7/100)*(1-VLOOKUP(D39,'DB technologies'!$N$27:$Y$38,9,FALSE)/100))</f>
        <v/>
      </c>
      <c r="O39" s="423" t="str">
        <f>IF(D39="","",((VLOOKUP(D39,'DB technologies'!$N$27:$Y$38,4,FALSE)*E39*(1-'DB additional information '!$S$8/100)*(1-VLOOKUP(D39,'DB technologies'!$N$27:$Y$38,8,FALSE)/100))/VLOOKUP($C$38,'DB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P39" s="631" t="str">
        <f>IF(G39=0,0,IF(E39="","",IF(F39="","",IF($C$38=0,"",IF(D39="","",SUM(H39:K39)/G39*100)))))</f>
        <v/>
      </c>
      <c r="Q39" s="416" t="str">
        <f>IF(D39="","",(VLOOKUP(D39,'DB technologies'!$N$27:$Y$38,2,FALSE)*'DB additional information '!$S$6/100*'DB additional information '!$T$6*VLOOKUP($C$38,'DB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R39" s="416" t="str">
        <f>IF(D39="","",(VLOOKUP(D39,'DB technologies'!$N$27:$Y$38,3,FALSE)*'DB additional information '!$S$7/100*'DB additional information '!$T$7*VLOOKUP($C$38,'DB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S39" s="491" t="str">
        <f>IF(D39="","",(VLOOKUP(D39,'DB technologies'!$N$27:$Y$38,4,FALSE)*('DB additional information '!$S$8/100*'DB additional information '!$T$8*E39/1000/1000)))</f>
        <v/>
      </c>
      <c r="T39" s="261" t="str">
        <f>IF($C$38=0,"",IF('Calc (ex-animal)'!$F$9=1,"",IF(D39="","",((VLOOKUP($C$38,'Calc (ex-animal)'!$D$13:$Y$17,10,FALSE)-VLOOKUP($C$38,'Calc (ex-animal)'!$D$13:$Y$17,18,FALSE))*F39/100+Q39+R39+S39)-AC39-AD39-AE39)))</f>
        <v/>
      </c>
      <c r="U39" s="422" t="str">
        <f>IF(D39="","",(VLOOKUP(D39,'DB technologies'!$N$27:$Y$38,2,FALSE)*'DB additional information '!$S$6/100*'DB additional information '!$U$6*VLOOKUP($C$38,'DB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V39" s="418" t="str">
        <f>IF(D39="","",(VLOOKUP(D39,'DB technologies'!$N$27:$Y$38,3,FALSE)*'DB additional information '!$S$7/100*'DB additional information '!$U$7*VLOOKUP($C$38,'DB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W39" s="417" t="str">
        <f>IF(D39="","",(VLOOKUP(D39,'DB technologies'!$N$27:$Y$38,4,FALSE)*('DB additional information '!$S$8/100*'DB additional information '!$U$8*E39/1000/1000)))</f>
        <v/>
      </c>
      <c r="X39" s="261" t="str">
        <f>IF($C$38=0,"",IF('Calc (ex-animal)'!$F$9=1,"",IF(D39="","",((VLOOKUP($C$38,'Calc (ex-animal)'!$D$13:$Y$17,13,FALSE)-VLOOKUP($C$38,'Calc (ex-animal)'!$D$13:$Y$17,19,FALSE))*F39/100+U39+V39+W39))))</f>
        <v/>
      </c>
      <c r="Y39" s="418" t="str">
        <f>IF(D39="","",(VLOOKUP(D39,'DB technologies'!$N$27:$Y$38,2,FALSE)*'DB additional information '!$S$6/100*'DB additional information '!$V$6*VLOOKUP($C$38,'DB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Z39" s="418" t="str">
        <f>IF(D39="","",(VLOOKUP(D39,'DB technologies'!$N$27:$Y$38,3,FALSE)*'DB additional information '!$S$7/100*'DB additional information '!$V$7*VLOOKUP($C$38,'DB animal categories'!$C$22:$AC$31,27,FALSE)*E39/1000/1000)/VLOOKUP($C$38,'DB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AA39" s="418" t="str">
        <f>IF(D39="","",(VLOOKUP(D39,'DB technologies'!$N$27:$Y$38,4,FALSE)*('DB additional information '!$S$8/100*'DB additional information '!$V$8*E39/1000/1000)))</f>
        <v/>
      </c>
      <c r="AB39" s="261" t="str">
        <f>IF($C$38=0,"",IF('Calc (ex-animal)'!$F$8=1,"",IF(D39="","",((VLOOKUP($C$38,'Calc (ex-animal)'!$D$13:$Y$17,16,FALSE)-VLOOKUP($C$38,'Calc (ex-animal)'!$D$13:$Y$17,20,FALSE))*F39/100+Y39+Z39+AA39))))</f>
        <v/>
      </c>
      <c r="AC39" s="261" t="str">
        <f>IF($C$38=0,"",IF('Calc (ex-animal)'!$F$8=1,"",IF(D39="","",VLOOKUP($C$38,'Calc (ex-animal)'!$D$13:$Y$17,9,FALSE)/VLOOKUP($C$38,'DB animal categories'!$C$22:$AC$31,27,FALSE)*(VLOOKUP($C$38,'DB animal categories'!$C$22:$AC$31,27,FALSE)-VLOOKUP($C$38,'DB animal categories'!$C$22:$AC$31,25,FALSE)*VLOOKUP($C$38,'DB animal categories'!$C$22:$AC$31,26,FALSE)/24)*F39/100*VLOOKUP(D39,'DB technologies'!$N$27:$R$38,5,FALSE)/100)))</f>
        <v/>
      </c>
      <c r="AD39" s="261" t="str">
        <f>IF($C$38=0,"",IF('Calc (ex-animal)'!$F$8=1,"",IF(D39="","",VLOOKUP($C$38,'Calc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categories'!$C$22:$AC$31,26,FALSE)/24)*F39/100*VLOOKUP(D39,'DB technologies'!$N$27:$Y$38,6,FALSE)/100)))</f>
        <v/>
      </c>
      <c r="AE39" s="262" t="str">
        <f>IF($C$38=0,"",IF('Calc (ex-animal)'!$F$8=1,"",IF(D39="","",VLOOKUP($C$38,'Calc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categories'!$C$22:$AC$31,26,FALSE)/24)*F39/100*VLOOKUP(D39,'DB technologies'!$N$27:$Y$38,7,FALSE)/100)))</f>
        <v/>
      </c>
      <c r="AG39" s="695"/>
      <c r="AH39" s="694" t="s">
        <v>130</v>
      </c>
      <c r="AI39" s="181" t="str">
        <f>IF(D39="","",VLOOKUP(D39,'DB technologies'!$N$27:$Y$38,10,FALSE))</f>
        <v/>
      </c>
      <c r="AJ39" s="449" t="e">
        <f>VLOOKUP($C$38,'DB animal categories'!$C$22:$AN$31,27,FALSE)-VLOOKUP($C$38,'DB animal categories'!$C$22:$AN$31,26,FALSE)*VLOOKUP($C$38,'DB animal categories'!$C$22:$AN$31,25,FALSE)/24</f>
        <v>#N/A</v>
      </c>
      <c r="AK39" s="442" t="str">
        <f>IF(AI39="","",AL39+AM39)</f>
        <v/>
      </c>
      <c r="AL39" s="442" t="str">
        <f>IF(D39="","",IF(AI39=2,(('Calc (ex-animal)'!$G$13*'DB additional information '!$K$5/100*(1-VLOOKUP(D39,'DB technologies'!$N$27:$Y$38,9,FALSE)/100)*'Calc (ex-housing, ex-storage)'!F39/100+'Calc (ex-animal)'!$H$13*'DB additional information '!$L$5/100*(1-VLOOKUP(D39,'DB technologies'!$N$27:$Y$38,9,FALSE)/100)*'Calc (ex-housing, ex-storage)'!F39/100))/VLOOKUP($C$38,'DB animal categories'!$C$22:$AC$31,27,FALSE)*AJ39+I39+J39+K39,IF(AI39=1,('Calc (ex-animal)'!$H$13*'DB additional information '!$L$5/100*(1-VLOOKUP(D39,'DB technologies'!$N$27:$Y$38,9,FALSE)/100)*'Calc (ex-housing, ex-storage)'!F39/100)/VLOOKUP($C$38,'DB animal categories'!$C$22:$AC$31,27,FALSE)*AJ39,IF(AI39=4,('Calc (ex-animal)'!$G$13*'DB additional information '!$K$5/100+'Calc (ex-animal)'!$H$13*'DB additional information '!$L$5/100)*(1-VLOOKUP(D39,'DB technologies'!$N$27:$Y$38,9,FALSE)/100)*'Calc (ex-housing, ex-storage)'!F39/100*VLOOKUP(D39,'DB technologies'!$N$27:$Y$38,11,FALSE)/100/VLOOKUP($C$38,'DB animal categories'!$C$22:$AC$31,27,FALSE)*AJ39,0))))</f>
        <v/>
      </c>
      <c r="AM39" s="442" t="str">
        <f>IF(D39="","",IF(AI39=2,(('Calc (ex-animal)'!$G$13*(1-'DB additional information '!$K$5/100)*(1-VLOOKUP(D39,'DB technologies'!$N$27:$Y$38,8,FALSE)/100)*'Calc (ex-housing, ex-storage)'!F39/100+'Calc (ex-animal)'!$H$13*(1-'DB additional information '!$L$5/100)*(1-VLOOKUP(D39,'DB technologies'!$N$27:$Y$38,8,FALSE)/100)*'Calc (ex-housing, ex-storage)'!F39/100))/VLOOKUP($C$38,'DB animal categories'!$C$22:$AC$31,27,FALSE)*AJ39+M39+N39+O39,IF(AI39=1,('Calc (ex-animal)'!$H$13*(1-'DB additional information '!$L$5/100)*(1-VLOOKUP(D39,'DB technologies'!$N$27:$Y$38,8,FALSE)/100)*'Calc (ex-housing, ex-storage)'!F39/100)/VLOOKUP($C$38,'DB animal categories'!$C$22:$AC$31,27,FALSE)*AJ39,IF(AI39=4,('Calc (ex-animal)'!$G$13*(1-'DB additional information '!$K$5/100)+'Calc (ex-animal)'!$H$13*(1-'DB additional information '!$L$5/100))*(1-VLOOKUP(D39,'DB technologies'!$N$27:$Y$38,8,FALSE)/100)*'Calc (ex-housing, ex-storage)'!F39/100*VLOOKUP(D39,'DB technologies'!$N$27:$Y$38,11,FALSE)/100/VLOOKUP($C$38,'DB animal categories'!$C$22:$AC$31,27,FALSE)*AJ39,0))))</f>
        <v/>
      </c>
      <c r="AN39" s="442" t="str">
        <f>IF(AI39="","",IF(AL39=0,0,AL39/AK39*100))</f>
        <v/>
      </c>
      <c r="AO39" s="182" t="str">
        <f>IF(D39="","",IF(AI39=2,(('Calc (ex-animal)'!$L$13*'Calc (ex-housing, ex-storage)'!F39/100+'Calc (ex-animal)'!$K$13*'Calc (ex-housing, ex-storage)'!F39/100))/VLOOKUP($C$38,'DB animal categories'!$C$22:$AC$31,27,FALSE)*AJ39+Q39+R39+S39-AC39,IF(AI39=1,('Calc (ex-animal)'!$L$13*'Calc (ex-housing, ex-storage)'!F39/100)/VLOOKUP($C$38,'DB animal categories'!$C$22:$AC$31,27,FALSE)*AJ39-'Calc (ex-housing, ex-storage)'!AC39,IF(AI39=4,('Calc (ex-animal)'!$L$13+'Calc (ex-animal)'!$K$13)*'Calc (ex-housing, ex-storage)'!F39/100*VLOOKUP(D39,'DB technologies'!$N$27:$Y$38,11,FALSE)/100/VLOOKUP($C$38,'DB animal categories'!$C$22:$AC$31,27,FALSE)*AJ39-AC39*VLOOKUP(D39,'DB technologies'!$N$27:$Y$38,11,FALSE)/100,0))))</f>
        <v/>
      </c>
      <c r="AP39" s="182" t="str">
        <f>IF(D39="","",IF(AO39&lt;-0.01,0,IF(AI39=2,(('Calc (ex-animal)'!$L$13*'Calc (ex-housing, ex-storage)'!F39/100+'Calc (ex-animal)'!$K$13*'Calc (ex-housing, ex-storage)'!F39/100))/VLOOKUP($C$38,'DB animal categories'!$C$22:$AC$31,27,FALSE)*AJ39+Q39+R39+S39-AC39,IF(AI39=1,('Calc (ex-animal)'!$L$13*'Calc (ex-housing, ex-storage)'!F39/100)/VLOOKUP($C$38,'DB animal categories'!$C$22:$AC$31,27,FALSE)*AJ39-'Calc (ex-housing, ex-storage)'!AC39,IF(AI39=4,('Calc (ex-animal)'!$L$13+'Calc (ex-animal)'!$K$13)*'Calc (ex-housing, ex-storage)'!F39/100*VLOOKUP(D39,'DB technologies'!$N$27:$Y$38,11,FALSE)/100/VLOOKUP($C$38,'DB animal categories'!$C$22:$AC$31,27,FALSE)*AJ39-AC39*VLOOKUP(D39,'DB technologies'!$N$27:$Y$38,11,FALSE)/100,0)))))</f>
        <v/>
      </c>
      <c r="AQ39" s="182" t="str">
        <f>IF(D39="","",IF(AI39=2,('Calc (ex-animal)'!$O$13*'Calc (ex-housing, ex-storage)'!F39/100+'Calc (ex-animal)'!$N$13*'Calc (ex-housing, ex-storage)'!F39/100)/VLOOKUP($C$38,'DB animal categories'!$C$22:$AC$31,27,FALSE)*AJ39+U39+V39+W39,IF(AI39=1,'Calc (ex-animal)'!$O$13*'Calc (ex-housing, ex-storage)'!F39/100/VLOOKUP($C$38,'DB animal categories'!$C$22:$AC$31,27,FALSE)*AJ39,IF(AI39=4,('Calc (ex-animal)'!$O$13+'Calc (ex-animal)'!$N$13)*'Calc (ex-housing, ex-storage)'!F39/100*VLOOKUP(D39,'DB technologies'!$N$27:$Y$38,11,FALSE)/100/VLOOKUP($C$38,'DB animal categories'!$C$22:$AC$31,27,FALSE)*AJ39,0))))</f>
        <v/>
      </c>
      <c r="AR39" s="182" t="str">
        <f>IF(D39="","",IF(AI39=2,('Calc (ex-animal)'!$R$13*'Calc (ex-housing, ex-storage)'!F39/100+'Calc (ex-animal)'!$Q$13*'Calc (ex-housing, ex-storage)'!F39/100)/VLOOKUP($C$38,'DB animal categories'!$C$22:$AC$31,27,FALSE)*AJ39+Y39+Z39+AA39,IF(AI39=1,'Calc (ex-animal)'!$R$13*'Calc (ex-housing, ex-storage)'!F39/100/VLOOKUP($C$38,'DB animal categories'!$C$22:$AC$31,27,FALSE)*AJ39,IF(AI39=4,('Calc (ex-animal)'!$R$13+'Calc (ex-animal)'!$Q$13)*'Calc (ex-housing, ex-storage)'!F39/100*VLOOKUP(D39,'DB technologies'!$N$27:$Y$38,11,FALSE)/100/VLOOKUP($C$38,'DB animal categories'!$C$22:$AC$31,27,FALSE)*AJ39,0))))</f>
        <v/>
      </c>
      <c r="AS39" s="181" t="str">
        <f>IF(D39="","",VLOOKUP(D39,'DB technologies'!$N$27:$Y$38,10,FALSE))</f>
        <v/>
      </c>
      <c r="AT39" s="442" t="str">
        <f>IF(AS39="","",AU39+AV39)</f>
        <v/>
      </c>
      <c r="AU39" s="442" t="str">
        <f>IF(D39="","",IF(AS39=2,0,IF(AS39=1,'Calc (ex-animal)'!$G$13*'DB additional information '!$K$5/100*(1-VLOOKUP(D39,'DB technologies'!$N$27:$Y$38,8,FALSE)/100)*'Calc (ex-housing, ex-storage)'!F39/100/VLOOKUP($C$38,'DB animal categories'!$C$22:$AC$31,27,FALSE)*AJ39+I39+J39+K39,IF(AS39=5,(('Calc (ex-animal)'!$G$13*'DB additional information '!$K$5/100+'Calc (ex-animal)'!$H$13*'DB additional information '!$L$5/100))*(1-VLOOKUP(D39,'DB technologies'!$N$27:$Y$38,9,FALSE)/100)*'Calc (ex-housing, ex-storage)'!F39/100/VLOOKUP($C$38,'DB animal categories'!$C$22:$AC$31,27,FALSE)*AJ39+I39+J39+K39,IF(AS39=3,('Calc (ex-animal)'!$G$13*'DB additional information '!$K$5/100+'Calc (ex-animal)'!$H$13*'DB additional information '!$L$5/100)*(1-VLOOKUP(D39,'DB technologies'!$N$27:$Y$38,9,FALSE)/100)*'Calc (ex-housing, ex-storage)'!F39/100/VLOOKUP($C$38,'DB animal categories'!$C$22:$AC$31,27,FALSE)*AJ39+I39+J39+K39,IF(AS39=4,('Calc (ex-animal)'!$G$13*'DB additional information '!$K$5/100+'Calc (ex-animal)'!$H$13*'DB additional information '!$L$5/100)*(1-VLOOKUP(D39,'DB technologies'!$N$27:$Y$38,9,FALSE)/100)*'Calc (ex-housing, ex-storage)'!F39/100*VLOOKUP(D39,'DB technologies'!$N$27:$Y$38,12,FALSE)/100/VLOOKUP($C$38,'DB animal categories'!$C$22:$AC$31,27,FALSE)*AJ39+I39+J39+K39,0))))))</f>
        <v/>
      </c>
      <c r="AV39" s="442" t="str">
        <f>IF(D39="","",IF(AS39=2,0,IF(AS39=1,'Calc (ex-animal)'!$G$13*(1-'DB additional information '!$K$5/100)*(1-VLOOKUP(D39,'DB technologies'!$N$27:$Y$38,8,FALSE)/100)*'Calc (ex-housing, ex-storage)'!F39/100/VLOOKUP($C$38,'DB animal categories'!$C$22:$AC$31,27,FALSE)*AJ39+M39+N39+O39,IF(AS39=5,('Calc (ex-animal)'!$G$13*(1-'DB additional information '!$K$5/100)+'Calc (ex-animal)'!$H$13*(1-'DB additional information '!$L$5/100))*(1-VLOOKUP(D39,'DB technologies'!$N$27:$Y$38,8,FALSE)/100)*'Calc (ex-housing, ex-storage)'!F39/100/VLOOKUP($C$38,'DB animal categories'!$C$22:$AC$31,27,FALSE)*AJ39+M39+N39+O39,IF(AS39=3,('Calc (ex-animal)'!$G$13*(1-'DB additional information '!$K$5/100)+'Calc (ex-animal)'!$H$13*(1-'DB additional information '!$L$5/100))*(1-VLOOKUP(D39,'DB technologies'!$N$27:$Y$38,8,FALSE)/100)*'Calc (ex-housing, ex-storage)'!F39/100/VLOOKUP($C$38,'DB animal categories'!$C$22:$AC$31,27,FALSE)*AJ39+M39+N39+O39,IF(AS39=4,('Calc (ex-animal)'!$G$13*(1-'DB additional information '!$K$5/100)+'Calc (ex-animal)'!$H$13*(1-'DB additional information '!$L$5/100))*(1-VLOOKUP(D39,'DB technologies'!$N$27:$Y$38,8,FALSE)/100)*'Calc (ex-housing, ex-storage)'!F39/100*VLOOKUP(D39,'DB technologies'!$N$27:$Y$38,12,FALSE)/100/VLOOKUP($C$38,'DB animal categories'!$C$22:$AC$31,27,FALSE)*AJ39+M39+N39+O39,0))))))</f>
        <v/>
      </c>
      <c r="AW39" s="442" t="str">
        <f>IF(AS39="","",IF(AU39=0,0,AU39/AT39*100))</f>
        <v/>
      </c>
      <c r="AX39" s="182" t="str">
        <f>IF(D39="","",IF(AS39=2,0,IF(AS39=1,'Calc (ex-animal)'!$K$13*'Calc (ex-housing, ex-storage)'!F39/100/VLOOKUP($C$38,'DB animal categories'!$C$22:$AC$31,27,FALSE)*AJ39+Q39+R39+S39,IF(AS39=5,('Calc (ex-animal)'!$K$13+'Calc (ex-animal)'!$L$13)*'Calc (ex-housing, ex-storage)'!F39/100/VLOOKUP($C$38,'DB animal categories'!$C$22:$AC$31,27,FALSE)*AJ39+Q39+R39+S39-'Calc (ex-housing, ex-storage)'!AC39,IF(AS39=3,('Calc (ex-animal)'!$K$13+'Calc (ex-animal)'!$L$13)*'Calc (ex-housing, ex-storage)'!F39/100/VLOOKUP($C$38,'DB animal categories'!$C$22:$AC$31,27,FALSE)*AJ39+Q39+R39+S39-'Calc (ex-housing, ex-storage)'!AC39-AD39-AE39,IF(AI39=4,('Calc (ex-animal)'!$K$13+'Calc (ex-animal)'!$L$13)*'Calc (ex-housing, ex-storage)'!F39/100*VLOOKUP(D39,'DB technologies'!$N$27:$Y$38,12,FALSE)/100/VLOOKUP($C$38,'DB animal categories'!$C$22:$AC$31,27,FALSE)*AJ39+Q39+R39+S39-(VLOOKUP(D39,'DB technologies'!$N$27:$Y$38,12,FALSE)/100*AC39)-AD39-AE39,0))))))</f>
        <v/>
      </c>
      <c r="AY39" s="182" t="str">
        <f>IF(D39="","",IF(AS39=2,0,IF(AS39=1,'Calc (ex-animal)'!$N$13*'Calc (ex-housing, ex-storage)'!F39/100/VLOOKUP($C$38,'DB animal categories'!$C$22:$AC$31,27,FALSE)*AJ39+U39+V39+W39,IF(AS39=5,('Calc (ex-animal)'!$N$13+'Calc (ex-animal)'!$O$13)*'Calc (ex-housing, ex-storage)'!F39/100/VLOOKUP($C$38,'DB animal categories'!$C$22:$AC$31,27,FALSE)*AJ39+U39+V39+W39,IF(AS39=3,('Calc (ex-animal)'!$N$13+'Calc (ex-animal)'!$O$13)*'Calc (ex-housing, ex-storage)'!F39/100/VLOOKUP($C$38,'DB animal categories'!$C$22:$AC$31,27,FALSE)*AJ39+U39+V39+W39,IF(AS39=4,('Calc (ex-animal)'!$N$13+'Calc (ex-animal)'!$O$13)*'Calc (ex-housing, ex-storage)'!F39/100*VLOOKUP(D39,'DB technologies'!$N$27:$Y$38,12,FALSE)/100/VLOOKUP($C$38,'DB animal categories'!$C$22:$AC$31,27,FALSE)*AJ39+U39+V39+W39,0))))))</f>
        <v/>
      </c>
      <c r="AZ39" s="182" t="str">
        <f>IF(D39="","",IF(AS39=2,0,IF(AS39=1,'Calc (ex-animal)'!$Q$13*'Calc (ex-housing, ex-storage)'!F39/100/VLOOKUP($C$38,'DB animal categories'!$C$22:$AC$31,27,FALSE)*AJ39+Y39+Z39+AA39,IF(AS39=5,('Calc (ex-animal)'!$Q$13+'Calc (ex-animal)'!$R$13)*'Calc (ex-housing, ex-storage)'!F39/100/VLOOKUP($C$38,'DB animal categories'!$C$22:$AC$31,27,FALSE)*AJ39+Y39+Z39+AA39,IF(AS39=3,('Calc (ex-animal)'!$Q$13+'Calc (ex-animal)'!$R$13)*'Calc (ex-housing, ex-storage)'!F39/100/VLOOKUP($C$38,'DB animal categories'!$C$22:$AC$31,27,FALSE)*AJ39+Y39+Z39+AA39,IF(AS39=4,('Calc (ex-animal)'!$Q$13+'Calc (ex-animal)'!$R$13)*'Calc (ex-housing, ex-storage)'!F39/100*VLOOKUP(D39,'DB technologies'!$N$27:$Y$38,12,FALSE)/100/VLOOKUP($C$38,'DB animal categories'!$C$22:$AC$31,27,FALSE)*AJ39+Y39+Z39+AA39,0))))))</f>
        <v/>
      </c>
      <c r="BA39" s="98">
        <f>(SUMIF(AS160:AS273,3,AT160:AT273)+SUMIF(AS160:AS273,4,AT160:AT273))*(1-('DB technologies'!AR37/100))</f>
        <v>0</v>
      </c>
      <c r="BB39" s="98">
        <f>(SUMIF(AS160:AS273,3,AU160:AU273)+SUMIF(AS160:AS273,4,AU160:AU273))*(1-('DB technologies'!AR37/100))</f>
        <v>0</v>
      </c>
      <c r="BC39" s="506" t="e">
        <f>BB39/BA39*100</f>
        <v>#DIV/0!</v>
      </c>
      <c r="BD39" s="98">
        <f>(SUMIF(AS160:AS273,3,AX160:AX273)+SUMIF(AS160:AS273,4,AX160:AX273))*(1-('DB technologies'!AR37/100))</f>
        <v>0</v>
      </c>
      <c r="BE39" s="98">
        <f>(SUMIF(AS160:AS273,3,AY160:AY273)+SUMIF(AS160:AS273,4,AY160:AY273))*(1-('DB technologies'!AR37/100))</f>
        <v>0</v>
      </c>
      <c r="BF39" s="98">
        <f>(SUMIF(AS160:AS273,3,AZ160:AZ273)+SUMIF(AS160:AS273,4,AZ160:AZ273))*(1-('DB technologies'!AR37/100))</f>
        <v>0</v>
      </c>
      <c r="BG39" s="1355"/>
      <c r="BH39" s="1363"/>
      <c r="BI39" s="599" t="str">
        <f>IF(BG39="","",$BA$39*BH39/100-($BB$39*BH39/100*VLOOKUP(BG39,'DB technologies'!$AC$37:$AT$41,5,FALSE)/100)+(VLOOKUP(BG39,'DB technologies'!$AC$37:$AT$41,12,FALSE)*$BA$39*BH39/100))</f>
        <v/>
      </c>
      <c r="BJ39" s="551">
        <f>IF(BI39="",0,BI39*BK39/100)</f>
        <v>0</v>
      </c>
      <c r="BK39" s="548" t="str">
        <f>IF(BG39="","",IF($BA$39=0,0,($BB$39*BH39/100)/BI39*(1-(VLOOKUP(BG39,'DB technologies'!$AC$37:$AQ$41,5,FALSE))/100)*100))</f>
        <v/>
      </c>
      <c r="BL39" s="261" t="str">
        <f>IF(BG39="","",$BD$39*(1-VLOOKUP(BG39,'DB technologies'!$AC$37:$AS$41,12,FALSE)/100)*BH39/100-BO39-BP39-BQ39-BR39)</f>
        <v/>
      </c>
      <c r="BM39" s="259" t="str">
        <f>IF(BG39="","",$BE$39*(1-VLOOKUP(BG39,'DB technologies'!$AC$37:$AS$41,12,FALSE)/100)*BH39/100+VLOOKUP(BG39,'DB technologies'!$AC$37:$AN$41,6,FALSE)/1000-BS39)</f>
        <v/>
      </c>
      <c r="BN39" s="259" t="str">
        <f>IF(BG39="","",$BF$39*(1-VLOOKUP(BG39,'DB technologies'!$AC$37:$AS$41,12,FALSE)/100)*BH39/100-BT39)</f>
        <v/>
      </c>
      <c r="BO39" s="259" t="str">
        <f>IF(BG39="","",$BD$39*BH39/100*VLOOKUP(BG39,'DB technologies'!$AC$37:$AF$41,2,FALSE)/100)</f>
        <v/>
      </c>
      <c r="BP39" s="259" t="str">
        <f>IF(BG39="","",$BD$39*BH39/100*VLOOKUP(BG39,'DB technologies'!$AC$37:$AN$41,3,FALSE)/100)</f>
        <v/>
      </c>
      <c r="BQ39" s="260" t="str">
        <f>IF(BG39="","",$BD$39*BH39/100*VLOOKUP(BG39,'DB technologies'!$AC$37:$AN$41,4,FALSE)/100)</f>
        <v/>
      </c>
      <c r="BR39" s="263" t="str">
        <f>IF(BG39="","",VLOOKUP(BG39,'DB technologies'!$AC$37:$AQ$41,13,FALSE)/100*$BD$39*BH39/100)</f>
        <v/>
      </c>
      <c r="BS39" s="259" t="str">
        <f>IF(BG39="","",VLOOKUP(BG39,'DB technologies'!$AC$37:$AQ$41,14,FALSE)/100*$BE$39*BH39/100)</f>
        <v/>
      </c>
      <c r="BT39" s="260" t="str">
        <f>IF(BG39="","",VLOOKUP(BG39,'DB technologies'!$AC$37:$AQ$41,15,FALSE)/100*$BF$39*BH39/100)</f>
        <v/>
      </c>
    </row>
    <row r="40" spans="1:72" ht="11.25" customHeight="1" x14ac:dyDescent="0.2">
      <c r="A40" s="684"/>
      <c r="B40" s="695"/>
      <c r="C40" s="255"/>
      <c r="D40" s="1357"/>
      <c r="E40" s="1358"/>
      <c r="F40" s="480" t="str">
        <f>IF('Calc (ex-animal)'!$F$9=1,"",IF($C$38=0,"",IF(D40="","",E40/'Calc (ex-animal)'!$E$13*100)))</f>
        <v/>
      </c>
      <c r="G40" s="485" t="str">
        <f>IF($C$38=0,"",IF('Calc (ex-animal)'!$F$8=1,"",IF(D40="","",SUM(H40:O40))))</f>
        <v/>
      </c>
      <c r="H40" s="423" t="str">
        <f>IF('Calc (ex-animal)'!$F$8=1,"",IF(D40="","",(((VLOOKUP($C$38,'Calc (ex-animal)'!$D$13:$Y$17,6,FALSE)-VLOOKUP($C$38,'Calc (ex-animal)'!$D$13:$Y$17,17,FALSE))*F40/100))*VLOOKUP($C$38,'Calc (ex-animal)'!$D$13:$Y$17,7,FALSE)/100*(1-VLOOKUP(D40,'DB technologies'!$N$27:$Y$38,9,FALSE)/100)))</f>
        <v/>
      </c>
      <c r="I40" s="423" t="str">
        <f>IF(D40="","",((VLOOKUP(D40,'DB technologies'!$N$27:$Y$38,2,FALSE)*VLOOKUP($C$38,'DB animal categories'!$C$22:$AC$31,27,FALSE)*E40/1000)/VLOOKUP($C$38,'DB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'!$S$6/100*(1-VLOOKUP(D40,'DB technologies'!$N$27:$Y$38,9,FALSE)/100)))</f>
        <v/>
      </c>
      <c r="J40" s="434" t="str">
        <f>IF(D40="","",((VLOOKUP(D40,'DB technologies'!$N$27:$Y$38,3,FALSE)*VLOOKUP($C$38,'DB animal categories'!$C$22:$AC$31,27,FALSE)*E40/1000)/VLOOKUP($C$38,'DB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'!$S$7/100*(1-VLOOKUP(D40,'DB technologies'!$N$27:$Y$38,9,FALSE)/100)))</f>
        <v/>
      </c>
      <c r="K40" s="434" t="str">
        <f>IF(D40="","",((VLOOKUP(D40,'DB technologies'!$N$27:$Y$38,4,FALSE)*E40*'DB additional information '!$S$8/100*(1-VLOOKUP(D40,'DB technologies'!$N$27:$Y$38,9,FALSE)/100))/VLOOKUP($C$38,'DB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L40" s="423" t="str">
        <f>IF('Calc (ex-animal)'!$F$8=1,"",IF(D40="","",(((VLOOKUP($C$38,'Calc (ex-animal)'!$D$13:$Y$17,6,FALSE)-VLOOKUP($C$38,'Calc (ex-animal)'!$D$13:$Y$17,17,FALSE))*F40/100))*(1-VLOOKUP($C$38,'Calc (ex-animal)'!$D$13:$Y$17,7,FALSE)/100)*(1-VLOOKUP(D40,'DB technologies'!$N$27:$V$38,8,FALSE)/100)))</f>
        <v/>
      </c>
      <c r="M40" s="434" t="str">
        <f>IF(D40="","",((VLOOKUP(D40,'DB technologies'!$N$27:$Y$38,2,FALSE)*VLOOKUP($C$38,'DB animal categories'!$C$22:$AC$31,27,FALSE)*E40/1000)/VLOOKUP($C$38,'DB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'!$S$6/100)*(1-VLOOKUP(D40,'DB technologies'!$N$27:$Y$38,9,FALSE)/100))</f>
        <v/>
      </c>
      <c r="N40" s="434" t="str">
        <f>IF(D40="","",((VLOOKUP(D40,'DB technologies'!$N$27:$Y$38,3,FALSE)*VLOOKUP($C$38,'DB animal categories'!$C$22:$AC$31,27,FALSE)*E40/1000)/VLOOKUP($C$38,'DB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'!$S$7/100)*(1-VLOOKUP(D40,'DB technologies'!$N$27:$Y$38,9,FALSE)/100))</f>
        <v/>
      </c>
      <c r="O40" s="423" t="str">
        <f>IF(D40="","",((VLOOKUP(D40,'DB technologies'!$N$27:$Y$38,4,FALSE)*E40*(1-'DB additional information '!$S$8/100)*(1-VLOOKUP(D40,'DB technologies'!$N$27:$Y$38,8,FALSE)/100))/VLOOKUP($C$38,'DB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P40" s="631" t="str">
        <f>IF(G40=0,0,IF(E40="","",IF(F40="","",IF($C$38=0,"",IF(D40="","",SUM(H40:K40)/G40*100)))))</f>
        <v/>
      </c>
      <c r="Q40" s="416" t="str">
        <f>IF(D40="","",(VLOOKUP(D40,'DB technologies'!$N$27:$Y$38,2,FALSE)*'DB additional information '!$S$6/100*'DB additional information '!$T$6*VLOOKUP($C$38,'DB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R40" s="416" t="str">
        <f>IF(D40="","",(VLOOKUP(D40,'DB technologies'!$N$27:$Y$38,3,FALSE)*'DB additional information '!$S$7/100*'DB additional information '!$T$7*VLOOKUP($C$38,'DB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S40" s="491" t="str">
        <f>IF(D40="","",(VLOOKUP(D40,'DB technologies'!$N$27:$Y$38,4,FALSE)*('DB additional information '!$S$8/100*'DB additional information '!$T$8*E40/1000/1000)))</f>
        <v/>
      </c>
      <c r="T40" s="261" t="str">
        <f>IF($C$38=0,"",IF('Calc (ex-animal)'!$F$9=1,"",IF(D40="","",((VLOOKUP($C$38,'Calc (ex-animal)'!$D$13:$Y$17,10,FALSE)-VLOOKUP($C$38,'Calc (ex-animal)'!$D$13:$Y$17,18,FALSE))*F40/100+Q40+R40+S40)-AC40-AD40-AE40)))</f>
        <v/>
      </c>
      <c r="U40" s="422" t="str">
        <f>IF(D40="","",(VLOOKUP(D40,'DB technologies'!$N$27:$Y$38,2,FALSE)*'DB additional information '!$S$6/100*'DB additional information '!$U$6*VLOOKUP($C$38,'DB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V40" s="418" t="str">
        <f>IF(D40="","",(VLOOKUP(D40,'DB technologies'!$N$27:$Y$38,3,FALSE)*'DB additional information '!$S$7/100*'DB additional information '!$U$7*VLOOKUP($C$38,'DB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W40" s="417" t="str">
        <f>IF(D40="","",(VLOOKUP(D40,'DB technologies'!$N$27:$Y$38,4,FALSE)*('DB additional information '!$S$8/100*'DB additional information '!$U$8*E40/1000/1000)))</f>
        <v/>
      </c>
      <c r="X40" s="261" t="str">
        <f>IF($C$38=0,"",IF('Calc (ex-animal)'!$F$9=1,"",IF(D40="","",((VLOOKUP($C$38,'Calc (ex-animal)'!$D$13:$Y$17,13,FALSE)-VLOOKUP($C$38,'Calc (ex-animal)'!$D$13:$Y$17,19,FALSE))*F40/100+U40+V40+W40))))</f>
        <v/>
      </c>
      <c r="Y40" s="418" t="str">
        <f>IF(D40="","",(VLOOKUP(D40,'DB technologies'!$N$27:$Y$38,2,FALSE)*'DB additional information '!$S$6/100*'DB additional information '!$V$6*VLOOKUP($C$38,'DB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Z40" s="418" t="str">
        <f>IF(D40="","",(VLOOKUP(D40,'DB technologies'!$N$27:$Y$38,3,FALSE)*'DB additional information '!$S$7/100*'DB additional information '!$V$7*VLOOKUP($C$38,'DB animal categories'!$C$22:$AC$31,27,FALSE)*E40/1000/1000)/VLOOKUP($C$38,'DB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AA40" s="418" t="str">
        <f>IF(D40="","",(VLOOKUP(D40,'DB technologies'!$N$27:$Y$38,4,FALSE)*('DB additional information '!$S$8/100*'DB additional information '!$V$8*E40/1000/1000)))</f>
        <v/>
      </c>
      <c r="AB40" s="261" t="str">
        <f>IF($C$38=0,"",IF('Calc (ex-animal)'!$F$8=1,"",IF(D40="","",((VLOOKUP($C$38,'Calc (ex-animal)'!$D$13:$Y$17,16,FALSE)-VLOOKUP($C$38,'Calc (ex-animal)'!$D$13:$Y$17,20,FALSE))*F40/100+Y40+Z40+AA40))))</f>
        <v/>
      </c>
      <c r="AC40" s="261" t="str">
        <f>IF($C$38=0,"",IF('Calc (ex-animal)'!$F$8=1,"",IF(D40="","",VLOOKUP($C$38,'Calc (ex-animal)'!$D$13:$Y$17,9,FALSE)/VLOOKUP($C$38,'DB animal categories'!$C$22:$AC$31,27,FALSE)*(VLOOKUP($C$38,'DB animal categories'!$C$22:$AC$31,27,FALSE)-VLOOKUP($C$38,'DB animal categories'!$C$22:$AC$31,25,FALSE)*VLOOKUP($C$38,'DB animal categories'!$C$22:$AC$31,26,FALSE)/24)*F40/100*VLOOKUP(D40,'DB technologies'!$N$27:$R$38,5,FALSE)/100)))</f>
        <v/>
      </c>
      <c r="AD40" s="261" t="str">
        <f>IF($C$38=0,"",IF('Calc (ex-animal)'!$F$8=1,"",IF(D40="","",VLOOKUP($C$38,'Calc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categories'!$C$22:$AC$31,26,FALSE)/24)*F40/100*VLOOKUP(D40,'DB technologies'!$N$27:$Y$38,6,FALSE)/100)))</f>
        <v/>
      </c>
      <c r="AE40" s="262" t="str">
        <f>IF($C$38=0,"",IF('Calc (ex-animal)'!$F$8=1,"",IF(D40="","",VLOOKUP($C$38,'Calc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categories'!$C$22:$AC$31,26,FALSE)/24)*F40/100*VLOOKUP(D40,'DB technologies'!$N$27:$Y$38,7,FALSE)/100)))</f>
        <v/>
      </c>
      <c r="AG40" s="695"/>
      <c r="AH40" s="695"/>
      <c r="AI40" s="181" t="str">
        <f>IF(D40="","",VLOOKUP(D40,'DB technologies'!$N$27:$Y$38,10,FALSE))</f>
        <v/>
      </c>
      <c r="AJ40" s="449" t="e">
        <f>VLOOKUP($C$38,'DB animal categories'!$C$22:$AN$31,27,FALSE)-VLOOKUP($C$38,'DB animal categories'!$C$22:$AN$31,26,FALSE)*VLOOKUP($C$38,'DB animal categories'!$C$22:$AN$31,25,FALSE)/24</f>
        <v>#N/A</v>
      </c>
      <c r="AK40" s="442" t="str">
        <f>IF(AI40="","",AL40+AM40)</f>
        <v/>
      </c>
      <c r="AL40" s="442" t="str">
        <f>IF(D40="","",IF(AI40=2,(('Calc (ex-animal)'!$G$13*'DB additional information '!$K$5/100*(1-VLOOKUP(D40,'DB technologies'!$N$27:$Y$38,9,FALSE)/100)*'Calc (ex-housing, ex-storage)'!F40/100+'Calc (ex-animal)'!$H$13*'DB additional information '!$L$5/100*(1-VLOOKUP(D40,'DB technologies'!$N$27:$Y$38,9,FALSE)/100)*'Calc (ex-housing, ex-storage)'!F40/100))/VLOOKUP($C$38,'DB animal categories'!$C$22:$AC$31,27,FALSE)*AJ40+I40+J40+K40,IF(AI40=1,('Calc (ex-animal)'!$H$13*'DB additional information '!$L$5/100*(1-VLOOKUP(D40,'DB technologies'!$N$27:$Y$38,9,FALSE)/100)*'Calc (ex-housing, ex-storage)'!F40/100)/VLOOKUP($C$38,'DB animal categories'!$C$22:$AC$31,27,FALSE)*AJ40,IF(AI40=4,('Calc (ex-animal)'!$G$13*'DB additional information '!$K$5/100+'Calc (ex-animal)'!$H$13*'DB additional information '!$L$5/100)*(1-VLOOKUP(D40,'DB technologies'!$N$27:$Y$38,9,FALSE)/100)*'Calc (ex-housing, ex-storage)'!F40/100*VLOOKUP(D40,'DB technologies'!$N$27:$Y$38,11,FALSE)/100/VLOOKUP($C$38,'DB animal categories'!$C$22:$AC$31,27,FALSE)*AJ40,0))))</f>
        <v/>
      </c>
      <c r="AM40" s="442" t="str">
        <f>IF(D40="","",IF(AI40=2,(('Calc (ex-animal)'!$G$13*(1-'DB additional information '!$K$5/100)*(1-VLOOKUP(D40,'DB technologies'!$N$27:$Y$38,8,FALSE)/100)*'Calc (ex-housing, ex-storage)'!F40/100+'Calc (ex-animal)'!$H$13*(1-'DB additional information '!$L$5/100)*(1-VLOOKUP(D40,'DB technologies'!$N$27:$Y$38,8,FALSE)/100)*'Calc (ex-housing, ex-storage)'!F40/100))/VLOOKUP($C$38,'DB animal categories'!$C$22:$AC$31,27,FALSE)*AJ40+M40+N40+O40,IF(AI40=1,('Calc (ex-animal)'!$H$13*(1-'DB additional information '!$L$5/100)*(1-VLOOKUP(D40,'DB technologies'!$N$27:$Y$38,8,FALSE)/100)*'Calc (ex-housing, ex-storage)'!F40/100)/VLOOKUP($C$38,'DB animal categories'!$C$22:$AC$31,27,FALSE)*AJ40,IF(AI40=4,('Calc (ex-animal)'!$G$13*(1-'DB additional information '!$K$5/100)+'Calc (ex-animal)'!$H$13*(1-'DB additional information '!$L$5/100))*(1-VLOOKUP(D40,'DB technologies'!$N$27:$Y$38,8,FALSE)/100)*'Calc (ex-housing, ex-storage)'!F40/100*VLOOKUP(D40,'DB technologies'!$N$27:$Y$38,11,FALSE)/100/VLOOKUP($C$38,'DB animal categories'!$C$22:$AC$31,27,FALSE)*AJ40,0))))</f>
        <v/>
      </c>
      <c r="AN40" s="442" t="str">
        <f>IF(AI40="","",IF(AL40=0,0,AL40/AK40*100))</f>
        <v/>
      </c>
      <c r="AO40" s="182" t="str">
        <f>IF(D40="","",IF(AI40=2,(('Calc (ex-animal)'!$L$13*'Calc (ex-housing, ex-storage)'!F40/100+'Calc (ex-animal)'!$K$13*'Calc (ex-housing, ex-storage)'!F40/100))/VLOOKUP($C$38,'DB animal categories'!$C$22:$AC$31,27,FALSE)*AJ40+Q40+R40+S40-AC40,IF(AI40=1,('Calc (ex-animal)'!$L$13*'Calc (ex-housing, ex-storage)'!F40/100)/VLOOKUP($C$38,'DB animal categories'!$C$22:$AC$31,27,FALSE)*AJ40-'Calc (ex-housing, ex-storage)'!AC40,IF(AI40=4,('Calc (ex-animal)'!$L$13+'Calc (ex-animal)'!$K$13)*'Calc (ex-housing, ex-storage)'!F40/100*VLOOKUP(D40,'DB technologies'!$N$27:$Y$38,11,FALSE)/100/VLOOKUP($C$38,'DB animal categories'!$C$22:$AC$31,27,FALSE)*AJ40-AC40*VLOOKUP(D40,'DB technologies'!$N$27:$Y$38,11,FALSE)/100,0))))</f>
        <v/>
      </c>
      <c r="AP40" s="182" t="str">
        <f>IF(D40="","",IF(AO40&lt;-0.01,0,IF(AI40=2,(('Calc (ex-animal)'!$L$13*'Calc (ex-housing, ex-storage)'!F40/100+'Calc (ex-animal)'!$K$13*'Calc (ex-housing, ex-storage)'!F40/100))/VLOOKUP($C$38,'DB animal categories'!$C$22:$AC$31,27,FALSE)*AJ40+Q40+R40+S40-AC40,IF(AI40=1,('Calc (ex-animal)'!$L$13*'Calc (ex-housing, ex-storage)'!F40/100)/VLOOKUP($C$38,'DB animal categories'!$C$22:$AC$31,27,FALSE)*AJ40-'Calc (ex-housing, ex-storage)'!AC40,IF(AI40=4,('Calc (ex-animal)'!$L$13+'Calc (ex-animal)'!$K$13)*'Calc (ex-housing, ex-storage)'!F40/100*VLOOKUP(D40,'DB technologies'!$N$27:$Y$38,11,FALSE)/100/VLOOKUP($C$38,'DB animal categories'!$C$22:$AC$31,27,FALSE)*AJ40-AC40*VLOOKUP(D40,'DB technologies'!$N$27:$Y$38,11,FALSE)/100,0)))))</f>
        <v/>
      </c>
      <c r="AQ40" s="182" t="str">
        <f>IF(D40="","",IF(AI40=2,('Calc (ex-animal)'!$O$13*'Calc (ex-housing, ex-storage)'!F40/100+'Calc (ex-animal)'!$N$13*'Calc (ex-housing, ex-storage)'!F40/100)/VLOOKUP($C$38,'DB animal categories'!$C$22:$AC$31,27,FALSE)*AJ40+U40+V40+W40,IF(AI40=1,'Calc (ex-animal)'!$O$13*'Calc (ex-housing, ex-storage)'!F40/100/VLOOKUP($C$38,'DB animal categories'!$C$22:$AC$31,27,FALSE)*AJ40,IF(AI40=4,('Calc (ex-animal)'!$O$13+'Calc (ex-animal)'!$N$13)*'Calc (ex-housing, ex-storage)'!F40/100*VLOOKUP(D40,'DB technologies'!$N$27:$Y$38,11,FALSE)/100/VLOOKUP($C$38,'DB animal categories'!$C$22:$AC$31,27,FALSE)*AJ40,0))))</f>
        <v/>
      </c>
      <c r="AR40" s="182" t="str">
        <f>IF(D40="","",IF(AI40=2,('Calc (ex-animal)'!$R$13*'Calc (ex-housing, ex-storage)'!F40/100+'Calc (ex-animal)'!$Q$13*'Calc (ex-housing, ex-storage)'!F40/100)/VLOOKUP($C$38,'DB animal categories'!$C$22:$AC$31,27,FALSE)*AJ40+Y40+Z40+AA40,IF(AI40=1,'Calc (ex-animal)'!$R$13*'Calc (ex-housing, ex-storage)'!F40/100/VLOOKUP($C$38,'DB animal categories'!$C$22:$AC$31,27,FALSE)*AJ40,IF(AI40=4,('Calc (ex-animal)'!$R$13+'Calc (ex-animal)'!$Q$13)*'Calc (ex-housing, ex-storage)'!F40/100*VLOOKUP(D40,'DB technologies'!$N$27:$Y$38,11,FALSE)/100/VLOOKUP($C$38,'DB animal categories'!$C$22:$AC$31,27,FALSE)*AJ40,0))))</f>
        <v/>
      </c>
      <c r="AS40" s="181" t="str">
        <f>IF(D40="","",VLOOKUP(D40,'DB technologies'!$N$27:$Y$38,10,FALSE))</f>
        <v/>
      </c>
      <c r="AT40" s="442" t="str">
        <f>IF(AS40="","",AU40+AV40)</f>
        <v/>
      </c>
      <c r="AU40" s="442" t="str">
        <f>IF(D40="","",IF(AS40=2,0,IF(AS40=1,'Calc (ex-animal)'!$G$13*'DB additional information '!$K$5/100*(1-VLOOKUP(D40,'DB technologies'!$N$27:$Y$38,8,FALSE)/100)*'Calc (ex-housing, ex-storage)'!F40/100/VLOOKUP($C$38,'DB animal categories'!$C$22:$AC$31,27,FALSE)*AJ40+I40+J40+K40,IF(AS40=5,(('Calc (ex-animal)'!$G$13*'DB additional information '!$K$5/100+'Calc (ex-animal)'!$H$13*'DB additional information '!$L$5/100))*(1-VLOOKUP(D40,'DB technologies'!$N$27:$Y$38,9,FALSE)/100)*'Calc (ex-housing, ex-storage)'!F40/100/VLOOKUP($C$38,'DB animal categories'!$C$22:$AC$31,27,FALSE)*AJ40+I40+J40+K40,IF(AS40=3,('Calc (ex-animal)'!$G$13*'DB additional information '!$K$5/100+'Calc (ex-animal)'!$H$13*'DB additional information '!$L$5/100)*(1-VLOOKUP(D40,'DB technologies'!$N$27:$Y$38,9,FALSE)/100)*'Calc (ex-housing, ex-storage)'!F40/100/VLOOKUP($C$38,'DB animal categories'!$C$22:$AC$31,27,FALSE)*AJ40+I40+J40+K40,IF(AS40=4,('Calc (ex-animal)'!$G$13*'DB additional information '!$K$5/100+'Calc (ex-animal)'!$H$13*'DB additional information '!$L$5/100)*(1-VLOOKUP(D40,'DB technologies'!$N$27:$Y$38,9,FALSE)/100)*'Calc (ex-housing, ex-storage)'!F40/100*VLOOKUP(D40,'DB technologies'!$N$27:$Y$38,12,FALSE)/100/VLOOKUP($C$38,'DB animal categories'!$C$22:$AC$31,27,FALSE)*AJ40+I40+J40+K40,0))))))</f>
        <v/>
      </c>
      <c r="AV40" s="442" t="str">
        <f>IF(D40="","",IF(AS40=2,0,IF(AS40=1,'Calc (ex-animal)'!$G$13*(1-'DB additional information '!$K$5/100)*(1-VLOOKUP(D40,'DB technologies'!$N$27:$Y$38,8,FALSE)/100)*'Calc (ex-housing, ex-storage)'!F40/100/VLOOKUP($C$38,'DB animal categories'!$C$22:$AC$31,27,FALSE)*AJ40+M40+N40+O40,IF(AS40=5,('Calc (ex-animal)'!$G$13*(1-'DB additional information '!$K$5/100)+'Calc (ex-animal)'!$H$13*(1-'DB additional information '!$L$5/100))*(1-VLOOKUP(D40,'DB technologies'!$N$27:$Y$38,8,FALSE)/100)*'Calc (ex-housing, ex-storage)'!F40/100/VLOOKUP($C$38,'DB animal categories'!$C$22:$AC$31,27,FALSE)*AJ40+M40+N40+O40,IF(AS40=3,('Calc (ex-animal)'!$G$13*(1-'DB additional information '!$K$5/100)+'Calc (ex-animal)'!$H$13*(1-'DB additional information '!$L$5/100))*(1-VLOOKUP(D40,'DB technologies'!$N$27:$Y$38,8,FALSE)/100)*'Calc (ex-housing, ex-storage)'!F40/100/VLOOKUP($C$38,'DB animal categories'!$C$22:$AC$31,27,FALSE)*AJ40+M40+N40+O40,IF(AS40=4,('Calc (ex-animal)'!$G$13*(1-'DB additional information '!$K$5/100)+'Calc (ex-animal)'!$H$13*(1-'DB additional information '!$L$5/100))*(1-VLOOKUP(D40,'DB technologies'!$N$27:$Y$38,8,FALSE)/100)*'Calc (ex-housing, ex-storage)'!F40/100*VLOOKUP(D40,'DB technologies'!$N$27:$Y$38,12,FALSE)/100/VLOOKUP($C$38,'DB animal categories'!$C$22:$AC$31,27,FALSE)*AJ40+M40+N40+O40,0))))))</f>
        <v/>
      </c>
      <c r="AW40" s="442" t="str">
        <f>IF(AS40="","",IF(AU40=0,0,AU40/AT40*100))</f>
        <v/>
      </c>
      <c r="AX40" s="182" t="str">
        <f>IF(D40="","",IF(AS40=2,0,IF(AS40=1,'Calc (ex-animal)'!$K$13*'Calc (ex-housing, ex-storage)'!F40/100/VLOOKUP($C$38,'DB animal categories'!$C$22:$AC$31,27,FALSE)*AJ40+Q40+R40+S40,IF(AS40=5,('Calc (ex-animal)'!$K$13+'Calc (ex-animal)'!$L$13)*'Calc (ex-housing, ex-storage)'!F40/100/VLOOKUP($C$38,'DB animal categories'!$C$22:$AC$31,27,FALSE)*AJ40+Q40+R40+S40-'Calc (ex-housing, ex-storage)'!AC40,IF(AS40=3,('Calc (ex-animal)'!$K$13+'Calc (ex-animal)'!$L$13)*'Calc (ex-housing, ex-storage)'!F40/100/VLOOKUP($C$38,'DB animal categories'!$C$22:$AC$31,27,FALSE)*AJ40+Q40+R40+S40-'Calc (ex-housing, ex-storage)'!AC40-AD40-AE40,IF(AI40=4,('Calc (ex-animal)'!$K$13+'Calc (ex-animal)'!$L$13)*'Calc (ex-housing, ex-storage)'!F40/100*VLOOKUP(D40,'DB technologies'!$N$27:$Y$38,12,FALSE)/100/VLOOKUP($C$38,'DB animal categories'!$C$22:$AC$31,27,FALSE)*AJ40+Q40+R40+S40-(VLOOKUP(D40,'DB technologies'!$N$27:$Y$38,12,FALSE)/100*AC40)-AD40-AE40,0))))))</f>
        <v/>
      </c>
      <c r="AY40" s="182" t="str">
        <f>IF(D40="","",IF(AS40=2,0,IF(AS40=1,'Calc (ex-animal)'!$N$13*'Calc (ex-housing, ex-storage)'!F40/100/VLOOKUP($C$38,'DB animal categories'!$C$22:$AC$31,27,FALSE)*AJ40+U40+V40+W40,IF(AS40=5,('Calc (ex-animal)'!$N$13+'Calc (ex-animal)'!$O$13)*'Calc (ex-housing, ex-storage)'!F40/100/VLOOKUP($C$38,'DB animal categories'!$C$22:$AC$31,27,FALSE)*AJ40+U40+V40+W40,IF(AS40=3,('Calc (ex-animal)'!$N$13+'Calc (ex-animal)'!$O$13)*'Calc (ex-housing, ex-storage)'!F40/100/VLOOKUP($C$38,'DB animal categories'!$C$22:$AC$31,27,FALSE)*AJ40+U40+V40+W40,IF(AS40=4,('Calc (ex-animal)'!$N$13+'Calc (ex-animal)'!$O$13)*'Calc (ex-housing, ex-storage)'!F40/100*VLOOKUP(D40,'DB technologies'!$N$27:$Y$38,12,FALSE)/100/VLOOKUP($C$38,'DB animal categories'!$C$22:$AC$31,27,FALSE)*AJ40+U40+V40+W40,0))))))</f>
        <v/>
      </c>
      <c r="AZ40" s="182" t="str">
        <f>IF(D40="","",IF(AS40=2,0,IF(AS40=1,'Calc (ex-animal)'!$Q$13*'Calc (ex-housing, ex-storage)'!F40/100/VLOOKUP($C$38,'DB animal categories'!$C$22:$AC$31,27,FALSE)*AJ40+Y40+Z40+AA40,IF(AS40=5,('Calc (ex-animal)'!$Q$13+'Calc (ex-animal)'!$R$13)*'Calc (ex-housing, ex-storage)'!F40/100/VLOOKUP($C$38,'DB animal categories'!$C$22:$AC$31,27,FALSE)*AJ40+Y40+Z40+AA40,IF(AS40=3,('Calc (ex-animal)'!$Q$13+'Calc (ex-animal)'!$R$13)*'Calc (ex-housing, ex-storage)'!F40/100/VLOOKUP($C$38,'DB animal categories'!$C$22:$AC$31,27,FALSE)*AJ40+Y40+Z40+AA40,IF(AS40=4,('Calc (ex-animal)'!$Q$13+'Calc (ex-animal)'!$R$13)*'Calc (ex-housing, ex-storage)'!F40/100*VLOOKUP(D40,'DB technologies'!$N$27:$Y$38,12,FALSE)/100/VLOOKUP($C$38,'DB animal categories'!$C$22:$AC$31,27,FALSE)*AJ40+Y40+Z40+AA40,0))))))</f>
        <v/>
      </c>
      <c r="BA40" s="506"/>
      <c r="BB40" s="506"/>
      <c r="BC40" s="506"/>
      <c r="BG40" s="1357"/>
      <c r="BH40" s="1361"/>
      <c r="BI40" s="598" t="str">
        <f>IF(BG40="","",$BA$39*BH40/100-($BB$39*BH40/100*VLOOKUP(BG40,'DB technologies'!$AC$37:$AT$41,5,FALSE)/100)+(VLOOKUP(BG40,'DB technologies'!$AC$37:$AT$41,12,FALSE)*$BA$39*BH40/100))</f>
        <v/>
      </c>
      <c r="BJ40" s="551">
        <f>IF(BI40="",0,BI40*BK40/100)</f>
        <v>0</v>
      </c>
      <c r="BK40" s="549" t="str">
        <f>IF(BG40="","",IF($BA$39=0,0,($BB$39*BH40/100)/BI40*(1-(VLOOKUP(BG40,'DB technologies'!$AC$37:$AQ$41,5,FALSE))/100)*100))</f>
        <v/>
      </c>
      <c r="BL40" s="261" t="str">
        <f>IF(BG40="","",$BD$39*(1-VLOOKUP(BG40,'DB technologies'!$AC$37:$AS$41,12,FALSE)/100)*BH40/100-BO40-BP40-BQ40-BR40)</f>
        <v/>
      </c>
      <c r="BM40" s="261" t="str">
        <f>IF(BG40="","",$BE$39*(1-VLOOKUP(BG40,'DB technologies'!$AC$37:$AS$41,12,FALSE)/100)*BH40/100-BS40)</f>
        <v/>
      </c>
      <c r="BN40" s="261" t="str">
        <f>IF(BG40="","",$BF$39*(1-VLOOKUP(BG40,'DB technologies'!$AC$37:$AS$41,12,FALSE)/100)*BH40/100-BT40)</f>
        <v/>
      </c>
      <c r="BO40" s="261" t="str">
        <f>IF(BG40="","",$BD$39*BH40/100*VLOOKUP(BG40,'DB technologies'!$AC$37:$AF$41,2,FALSE)/100)</f>
        <v/>
      </c>
      <c r="BP40" s="261" t="str">
        <f>IF(BG40="","",$BD$39*BH40/100*VLOOKUP(BG40,'DB technologies'!$AC$37:$AN$41,3,FALSE)/100)</f>
        <v/>
      </c>
      <c r="BQ40" s="262" t="str">
        <f>IF(BG40="","",$BD$39*BH40/100*VLOOKUP(BG40,'DB technologies'!$AC$37:$AN$41,4,FALSE)/100)</f>
        <v/>
      </c>
      <c r="BR40" s="264" t="str">
        <f>IF(BG40="","",VLOOKUP(BG40,'DB technologies'!$AC$37:$AQ$41,13,FALSE)/100*$BD$39*BH40/100)</f>
        <v/>
      </c>
      <c r="BS40" s="261" t="str">
        <f>IF(BG40="","",VLOOKUP(BG40,'DB technologies'!$AC$37:$AQ$41,14,FALSE)/100*$BE$39*BH40/100)</f>
        <v/>
      </c>
      <c r="BT40" s="262" t="str">
        <f>IF(BG40="","",VLOOKUP(BG40,'DB technologies'!$AC$37:$AQ$41,15,FALSE)/100*$BF$39*BH40/100)</f>
        <v/>
      </c>
    </row>
    <row r="41" spans="1:72" ht="11.25" customHeight="1" x14ac:dyDescent="0.2">
      <c r="A41" s="684"/>
      <c r="B41" s="695"/>
      <c r="C41" s="255"/>
      <c r="D41" s="1357"/>
      <c r="E41" s="1358"/>
      <c r="F41" s="480" t="str">
        <f>IF('Calc (ex-animal)'!$F$9=1,"",IF($C$38=0,"",IF(D41="","",E41/'Calc (ex-animal)'!$E$13*100)))</f>
        <v/>
      </c>
      <c r="G41" s="485" t="str">
        <f>IF($C$38=0,"",IF('Calc (ex-animal)'!$F$8=1,"",IF(D41="","",SUM(H41:O41))))</f>
        <v/>
      </c>
      <c r="H41" s="423" t="str">
        <f>IF('Calc (ex-animal)'!$F$8=1,"",IF(D41="","",(((VLOOKUP($C$38,'Calc (ex-animal)'!$D$13:$Y$17,6,FALSE)-VLOOKUP($C$38,'Calc (ex-animal)'!$D$13:$Y$17,17,FALSE))*F41/100))*VLOOKUP($C$38,'Calc (ex-animal)'!$D$13:$Y$17,7,FALSE)/100*(1-VLOOKUP(D41,'DB technologies'!$N$27:$Y$38,9,FALSE)/100)))</f>
        <v/>
      </c>
      <c r="I41" s="423" t="str">
        <f>IF(D41="","",((VLOOKUP(D41,'DB technologies'!$N$27:$Y$38,2,FALSE)*VLOOKUP($C$38,'DB animal categories'!$C$22:$AC$31,27,FALSE)*E41/1000)/VLOOKUP($C$38,'DB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'!$S$6/100*(1-VLOOKUP(D41,'DB technologies'!$N$27:$Y$38,9,FALSE)/100)))</f>
        <v/>
      </c>
      <c r="J41" s="434" t="str">
        <f>IF(D41="","",((VLOOKUP(D41,'DB technologies'!$N$27:$Y$38,3,FALSE)*VLOOKUP($C$38,'DB animal categories'!$C$22:$AC$31,27,FALSE)*E41/1000)/VLOOKUP($C$38,'DB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'!$S$7/100*(1-VLOOKUP(D41,'DB technologies'!$N$27:$Y$38,9,FALSE)/100)))</f>
        <v/>
      </c>
      <c r="K41" s="434" t="str">
        <f>IF(D41="","",((VLOOKUP(D41,'DB technologies'!$N$27:$Y$38,4,FALSE)*E41*'DB additional information '!$S$8/100*(1-VLOOKUP(D41,'DB technologies'!$N$27:$Y$38,9,FALSE)/100))/VLOOKUP($C$38,'DB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L41" s="423" t="str">
        <f>IF('Calc (ex-animal)'!$F$8=1,"",IF(D41="","",(((VLOOKUP($C$38,'Calc (ex-animal)'!$D$13:$Y$17,6,FALSE)-VLOOKUP($C$38,'Calc (ex-animal)'!$D$13:$Y$17,17,FALSE))*F41/100))*(1-VLOOKUP($C$38,'Calc (ex-animal)'!$D$13:$Y$17,7,FALSE)/100)*(1-VLOOKUP(D41,'DB technologies'!$N$27:$V$38,8,FALSE)/100)))</f>
        <v/>
      </c>
      <c r="M41" s="434" t="str">
        <f>IF(D41="","",((VLOOKUP(D41,'DB technologies'!$N$27:$Y$38,2,FALSE)*VLOOKUP($C$38,'DB animal categories'!$C$22:$AC$31,27,FALSE)*E41/1000)/VLOOKUP($C$38,'DB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'!$S$6/100)*(1-VLOOKUP(D41,'DB technologies'!$N$27:$Y$38,9,FALSE)/100))</f>
        <v/>
      </c>
      <c r="N41" s="434" t="str">
        <f>IF(D41="","",((VLOOKUP(D41,'DB technologies'!$N$27:$Y$38,3,FALSE)*VLOOKUP($C$38,'DB animal categories'!$C$22:$AC$31,27,FALSE)*E41/1000)/VLOOKUP($C$38,'DB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'!$S$7/100)*(1-VLOOKUP(D41,'DB technologies'!$N$27:$Y$38,9,FALSE)/100))</f>
        <v/>
      </c>
      <c r="O41" s="423" t="str">
        <f>IF(D41="","",((VLOOKUP(D41,'DB technologies'!$N$27:$Y$38,4,FALSE)*E41*(1-'DB additional information '!$S$8/100)*(1-VLOOKUP(D41,'DB technologies'!$N$27:$Y$38,8,FALSE)/100))/VLOOKUP($C$38,'DB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P41" s="631" t="str">
        <f>IF(G41=0,0,IF(E41="","",IF(F41="","",IF($C$38=0,"",IF(D41="","",SUM(H41:K41)/G41*100)))))</f>
        <v/>
      </c>
      <c r="Q41" s="416" t="str">
        <f>IF(D41="","",(VLOOKUP(D41,'DB technologies'!$N$27:$Y$38,2,FALSE)*'DB additional information '!$S$6/100*'DB additional information '!$T$6*VLOOKUP($C$38,'DB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R41" s="416" t="str">
        <f>IF(D41="","",(VLOOKUP(D41,'DB technologies'!$N$27:$Y$38,3,FALSE)*'DB additional information '!$S$7/100*'DB additional information '!$T$7*VLOOKUP($C$38,'DB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S41" s="491" t="str">
        <f>IF(D41="","",(VLOOKUP(D41,'DB technologies'!$N$27:$Y$38,4,FALSE)*('DB additional information '!$S$8/100*'DB additional information '!$T$8*E41/1000/1000)))</f>
        <v/>
      </c>
      <c r="T41" s="261" t="str">
        <f>IF($C$38=0,"",IF('Calc (ex-animal)'!$F$9=1,"",IF(D41="","",((VLOOKUP($C$38,'Calc (ex-animal)'!$D$13:$Y$17,10,FALSE)-VLOOKUP($C$38,'Calc (ex-animal)'!$D$13:$Y$17,18,FALSE))*F41/100+Q41+R41+S41)-AC41-AD41-AE41)))</f>
        <v/>
      </c>
      <c r="U41" s="422" t="str">
        <f>IF(D41="","",(VLOOKUP(D41,'DB technologies'!$N$27:$Y$38,2,FALSE)*'DB additional information '!$S$6/100*'DB additional information '!$U$6*VLOOKUP($C$38,'DB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V41" s="418" t="str">
        <f>IF(D41="","",(VLOOKUP(D41,'DB technologies'!$N$27:$Y$38,3,FALSE)*'DB additional information '!$S$7/100*'DB additional information '!$U$7*VLOOKUP($C$38,'DB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W41" s="417" t="str">
        <f>IF(D41="","",(VLOOKUP(D41,'DB technologies'!$N$27:$Y$38,4,FALSE)*('DB additional information '!$S$8/100*'DB additional information '!$U$8*E41/1000/1000)))</f>
        <v/>
      </c>
      <c r="X41" s="261" t="str">
        <f>IF($C$38=0,"",IF('Calc (ex-animal)'!$F$9=1,"",IF(D41="","",((VLOOKUP($C$38,'Calc (ex-animal)'!$D$13:$Y$17,13,FALSE)-VLOOKUP($C$38,'Calc (ex-animal)'!$D$13:$Y$17,19,FALSE))*F41/100+U41+V41+W41))))</f>
        <v/>
      </c>
      <c r="Y41" s="418" t="str">
        <f>IF(D41="","",(VLOOKUP(D41,'DB technologies'!$N$27:$Y$38,2,FALSE)*'DB additional information '!$S$6/100*'DB additional information '!$V$6*VLOOKUP($C$38,'DB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Z41" s="418" t="str">
        <f>IF(D41="","",(VLOOKUP(D41,'DB technologies'!$N$27:$Y$38,3,FALSE)*'DB additional information '!$S$7/100*'DB additional information '!$V$7*VLOOKUP($C$38,'DB animal categories'!$C$22:$AC$31,27,FALSE)*E41/1000/1000)/VLOOKUP($C$38,'DB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AA41" s="418" t="str">
        <f>IF(D41="","",(VLOOKUP(D41,'DB technologies'!$N$27:$Y$38,4,FALSE)*('DB additional information '!$S$8/100*'DB additional information '!$V$8*E41/1000/1000)))</f>
        <v/>
      </c>
      <c r="AB41" s="261" t="str">
        <f>IF($C$38=0,"",IF('Calc (ex-animal)'!$F$8=1,"",IF(D41="","",((VLOOKUP($C$38,'Calc (ex-animal)'!$D$13:$Y$17,16,FALSE)-VLOOKUP($C$38,'Calc (ex-animal)'!$D$13:$Y$17,20,FALSE))*F41/100+Y41+Z41+AA41))))</f>
        <v/>
      </c>
      <c r="AC41" s="261" t="str">
        <f>IF($C$38=0,"",IF('Calc (ex-animal)'!$F$8=1,"",IF(D41="","",VLOOKUP($C$38,'Calc (ex-animal)'!$D$13:$Y$17,9,FALSE)/VLOOKUP($C$38,'DB animal categories'!$C$22:$AC$31,27,FALSE)*(VLOOKUP($C$38,'DB animal categories'!$C$22:$AC$31,27,FALSE)-VLOOKUP($C$38,'DB animal categories'!$C$22:$AC$31,25,FALSE)*VLOOKUP($C$38,'DB animal categories'!$C$22:$AC$31,26,FALSE)/24)*F41/100*VLOOKUP(D41,'DB technologies'!$N$27:$R$38,5,FALSE)/100)))</f>
        <v/>
      </c>
      <c r="AD41" s="261" t="str">
        <f>IF($C$38=0,"",IF('Calc (ex-animal)'!$F$8=1,"",IF(D41="","",VLOOKUP($C$38,'Calc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categories'!$C$22:$AC$31,26,FALSE)/24)*F41/100*VLOOKUP(D41,'DB technologies'!$N$27:$Y$38,6,FALSE)/100)))</f>
        <v/>
      </c>
      <c r="AE41" s="262" t="str">
        <f>IF($C$38=0,"",IF('Calc (ex-animal)'!$F$8=1,"",IF(D41="","",VLOOKUP($C$38,'Calc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categories'!$C$22:$AC$31,26,FALSE)/24)*F41/100*VLOOKUP(D41,'DB technologies'!$N$27:$Y$38,7,FALSE)/100)))</f>
        <v/>
      </c>
      <c r="AG41" s="695"/>
      <c r="AH41" s="695"/>
      <c r="AI41" s="181" t="str">
        <f>IF(D41="","",VLOOKUP(D41,'DB technologies'!$N$27:$Y$38,10,FALSE))</f>
        <v/>
      </c>
      <c r="AJ41" s="449" t="e">
        <f>VLOOKUP($C$38,'DB animal categories'!$C$22:$AN$31,27,FALSE)-VLOOKUP($C$38,'DB animal categories'!$C$22:$AN$31,26,FALSE)*VLOOKUP($C$38,'DB animal categories'!$C$22:$AN$31,25,FALSE)/24</f>
        <v>#N/A</v>
      </c>
      <c r="AK41" s="442" t="str">
        <f>IF(AI41="","",AL41+AM41)</f>
        <v/>
      </c>
      <c r="AL41" s="442" t="str">
        <f>IF(D41="","",IF(AI41=2,(('Calc (ex-animal)'!$G$13*'DB additional information '!$K$5/100*(1-VLOOKUP(D41,'DB technologies'!$N$27:$Y$38,9,FALSE)/100)*'Calc (ex-housing, ex-storage)'!F41/100+'Calc (ex-animal)'!$H$13*'DB additional information '!$L$5/100*(1-VLOOKUP(D41,'DB technologies'!$N$27:$Y$38,9,FALSE)/100)*'Calc (ex-housing, ex-storage)'!F41/100))/VLOOKUP($C$38,'DB animal categories'!$C$22:$AC$31,27,FALSE)*AJ41+I41+J41+K41,IF(AI41=1,('Calc (ex-animal)'!$H$13*'DB additional information '!$L$5/100*(1-VLOOKUP(D41,'DB technologies'!$N$27:$Y$38,9,FALSE)/100)*'Calc (ex-housing, ex-storage)'!F41/100)/VLOOKUP($C$38,'DB animal categories'!$C$22:$AC$31,27,FALSE)*AJ41,IF(AI41=4,('Calc (ex-animal)'!$G$13*'DB additional information '!$K$5/100+'Calc (ex-animal)'!$H$13*'DB additional information '!$L$5/100)*(1-VLOOKUP(D41,'DB technologies'!$N$27:$Y$38,9,FALSE)/100)*'Calc (ex-housing, ex-storage)'!F41/100*VLOOKUP(D41,'DB technologies'!$N$27:$Y$38,11,FALSE)/100/VLOOKUP($C$38,'DB animal categories'!$C$22:$AC$31,27,FALSE)*AJ41,0))))</f>
        <v/>
      </c>
      <c r="AM41" s="442" t="str">
        <f>IF(D41="","",IF(AI41=2,(('Calc (ex-animal)'!$G$13*(1-'DB additional information '!$K$5/100)*(1-VLOOKUP(D41,'DB technologies'!$N$27:$Y$38,8,FALSE)/100)*'Calc (ex-housing, ex-storage)'!F41/100+'Calc (ex-animal)'!$H$13*(1-'DB additional information '!$L$5/100)*(1-VLOOKUP(D41,'DB technologies'!$N$27:$Y$38,8,FALSE)/100)*'Calc (ex-housing, ex-storage)'!F41/100))/VLOOKUP($C$38,'DB animal categories'!$C$22:$AC$31,27,FALSE)*AJ41+M41+N41+O41,IF(AI41=1,('Calc (ex-animal)'!$H$13*(1-'DB additional information '!$L$5/100)*(1-VLOOKUP(D41,'DB technologies'!$N$27:$Y$38,8,FALSE)/100)*'Calc (ex-housing, ex-storage)'!F41/100)/VLOOKUP($C$38,'DB animal categories'!$C$22:$AC$31,27,FALSE)*AJ41,IF(AI41=4,('Calc (ex-animal)'!$G$13*(1-'DB additional information '!$K$5/100)+'Calc (ex-animal)'!$H$13*(1-'DB additional information '!$L$5/100))*(1-VLOOKUP(D41,'DB technologies'!$N$27:$Y$38,8,FALSE)/100)*'Calc (ex-housing, ex-storage)'!F41/100*VLOOKUP(D41,'DB technologies'!$N$27:$Y$38,11,FALSE)/100/VLOOKUP($C$38,'DB animal categories'!$C$22:$AC$31,27,FALSE)*AJ41,0))))</f>
        <v/>
      </c>
      <c r="AN41" s="442" t="str">
        <f>IF(AI41="","",IF(AL41=0,0,AL41/AK41*100))</f>
        <v/>
      </c>
      <c r="AO41" s="182" t="str">
        <f>IF(D41="","",IF(AI41=2,(('Calc (ex-animal)'!$L$13*'Calc (ex-housing, ex-storage)'!F41/100+'Calc (ex-animal)'!$K$13*'Calc (ex-housing, ex-storage)'!F41/100))/VLOOKUP($C$38,'DB animal categories'!$C$22:$AC$31,27,FALSE)*AJ41+Q41+R41+S41-AC41,IF(AI41=1,('Calc (ex-animal)'!$L$13*'Calc (ex-housing, ex-storage)'!F41/100)/VLOOKUP($C$38,'DB animal categories'!$C$22:$AC$31,27,FALSE)*AJ41-'Calc (ex-housing, ex-storage)'!AC41,IF(AI41=4,('Calc (ex-animal)'!$L$13+'Calc (ex-animal)'!$K$13)*'Calc (ex-housing, ex-storage)'!F41/100*VLOOKUP(D41,'DB technologies'!$N$27:$Y$38,11,FALSE)/100/VLOOKUP($C$38,'DB animal categories'!$C$22:$AC$31,27,FALSE)*AJ41-AC41*VLOOKUP(D41,'DB technologies'!$N$27:$Y$38,11,FALSE)/100,0))))</f>
        <v/>
      </c>
      <c r="AP41" s="182" t="str">
        <f>IF(D41="","",IF(AO41&lt;-0.01,0,IF(AI41=2,(('Calc (ex-animal)'!$L$13*'Calc (ex-housing, ex-storage)'!F41/100+'Calc (ex-animal)'!$K$13*'Calc (ex-housing, ex-storage)'!F41/100))/VLOOKUP($C$38,'DB animal categories'!$C$22:$AC$31,27,FALSE)*AJ41+Q41+R41+S41-AC41,IF(AI41=1,('Calc (ex-animal)'!$L$13*'Calc (ex-housing, ex-storage)'!F41/100)/VLOOKUP($C$38,'DB animal categories'!$C$22:$AC$31,27,FALSE)*AJ41-'Calc (ex-housing, ex-storage)'!AC41,IF(AI41=4,('Calc (ex-animal)'!$L$13+'Calc (ex-animal)'!$K$13)*'Calc (ex-housing, ex-storage)'!F41/100*VLOOKUP(D41,'DB technologies'!$N$27:$Y$38,11,FALSE)/100/VLOOKUP($C$38,'DB animal categories'!$C$22:$AC$31,27,FALSE)*AJ41-AC41*VLOOKUP(D41,'DB technologies'!$N$27:$Y$38,11,FALSE)/100,0)))))</f>
        <v/>
      </c>
      <c r="AQ41" s="182" t="str">
        <f>IF(D41="","",IF(AI41=2,('Calc (ex-animal)'!$O$13*'Calc (ex-housing, ex-storage)'!F41/100+'Calc (ex-animal)'!$N$13*'Calc (ex-housing, ex-storage)'!F41/100)/VLOOKUP($C$38,'DB animal categories'!$C$22:$AC$31,27,FALSE)*AJ41+U41+V41+W41,IF(AI41=1,'Calc (ex-animal)'!$O$13*'Calc (ex-housing, ex-storage)'!F41/100/VLOOKUP($C$38,'DB animal categories'!$C$22:$AC$31,27,FALSE)*AJ41,IF(AI41=4,('Calc (ex-animal)'!$O$13+'Calc (ex-animal)'!$N$13)*'Calc (ex-housing, ex-storage)'!F41/100*VLOOKUP(D41,'DB technologies'!$N$27:$Y$38,11,FALSE)/100/VLOOKUP($C$38,'DB animal categories'!$C$22:$AC$31,27,FALSE)*AJ41,0))))</f>
        <v/>
      </c>
      <c r="AR41" s="182" t="str">
        <f>IF(D41="","",IF(AI41=2,('Calc (ex-animal)'!$R$13*'Calc (ex-housing, ex-storage)'!F41/100+'Calc (ex-animal)'!$Q$13*'Calc (ex-housing, ex-storage)'!F41/100)/VLOOKUP($C$38,'DB animal categories'!$C$22:$AC$31,27,FALSE)*AJ41+Y41+Z41+AA41,IF(AI41=1,'Calc (ex-animal)'!$R$13*'Calc (ex-housing, ex-storage)'!F41/100/VLOOKUP($C$38,'DB animal categories'!$C$22:$AC$31,27,FALSE)*AJ41,IF(AI41=4,('Calc (ex-animal)'!$R$13+'Calc (ex-animal)'!$Q$13)*'Calc (ex-housing, ex-storage)'!F41/100*VLOOKUP(D41,'DB technologies'!$N$27:$Y$38,11,FALSE)/100/VLOOKUP($C$38,'DB animal categories'!$C$22:$AC$31,27,FALSE)*AJ41,0))))</f>
        <v/>
      </c>
      <c r="AS41" s="181" t="str">
        <f>IF(D41="","",VLOOKUP(D41,'DB technologies'!$N$27:$Y$38,10,FALSE))</f>
        <v/>
      </c>
      <c r="AT41" s="442" t="str">
        <f>IF(AS41="","",AU41+AV41)</f>
        <v/>
      </c>
      <c r="AU41" s="442" t="str">
        <f>IF(D41="","",IF(AS41=2,0,IF(AS41=1,'Calc (ex-animal)'!$G$13*'DB additional information '!$K$5/100*(1-VLOOKUP(D41,'DB technologies'!$N$27:$Y$38,8,FALSE)/100)*'Calc (ex-housing, ex-storage)'!F41/100/VLOOKUP($C$38,'DB animal categories'!$C$22:$AC$31,27,FALSE)*AJ41+I41+J41+K41,IF(AS41=5,(('Calc (ex-animal)'!$G$13*'DB additional information '!$K$5/100+'Calc (ex-animal)'!$H$13*'DB additional information '!$L$5/100))*(1-VLOOKUP(D41,'DB technologies'!$N$27:$Y$38,9,FALSE)/100)*'Calc (ex-housing, ex-storage)'!F41/100/VLOOKUP($C$38,'DB animal categories'!$C$22:$AC$31,27,FALSE)*AJ41+I41+J41+K41,IF(AS41=3,('Calc (ex-animal)'!$G$13*'DB additional information '!$K$5/100+'Calc (ex-animal)'!$H$13*'DB additional information '!$L$5/100)*(1-VLOOKUP(D41,'DB technologies'!$N$27:$Y$38,9,FALSE)/100)*'Calc (ex-housing, ex-storage)'!F41/100/VLOOKUP($C$38,'DB animal categories'!$C$22:$AC$31,27,FALSE)*AJ41+I41+J41+K41,IF(AS41=4,('Calc (ex-animal)'!$G$13*'DB additional information '!$K$5/100+'Calc (ex-animal)'!$H$13*'DB additional information '!$L$5/100)*(1-VLOOKUP(D41,'DB technologies'!$N$27:$Y$38,9,FALSE)/100)*'Calc (ex-housing, ex-storage)'!F41/100*VLOOKUP(D41,'DB technologies'!$N$27:$Y$38,12,FALSE)/100/VLOOKUP($C$38,'DB animal categories'!$C$22:$AC$31,27,FALSE)*AJ41+I41+J41+K41,0))))))</f>
        <v/>
      </c>
      <c r="AV41" s="442" t="str">
        <f>IF(D41="","",IF(AS41=2,0,IF(AS41=1,'Calc (ex-animal)'!$G$13*(1-'DB additional information '!$K$5/100)*(1-VLOOKUP(D41,'DB technologies'!$N$27:$Y$38,8,FALSE)/100)*'Calc (ex-housing, ex-storage)'!F41/100/VLOOKUP($C$38,'DB animal categories'!$C$22:$AC$31,27,FALSE)*AJ41+M41+N41+O41,IF(AS41=5,('Calc (ex-animal)'!$G$13*(1-'DB additional information '!$K$5/100)+'Calc (ex-animal)'!$H$13*(1-'DB additional information '!$L$5/100))*(1-VLOOKUP(D41,'DB technologies'!$N$27:$Y$38,8,FALSE)/100)*'Calc (ex-housing, ex-storage)'!F41/100/VLOOKUP($C$38,'DB animal categories'!$C$22:$AC$31,27,FALSE)*AJ41+M41+N41+O41,IF(AS41=3,('Calc (ex-animal)'!$G$13*(1-'DB additional information '!$K$5/100)+'Calc (ex-animal)'!$H$13*(1-'DB additional information '!$L$5/100))*(1-VLOOKUP(D41,'DB technologies'!$N$27:$Y$38,8,FALSE)/100)*'Calc (ex-housing, ex-storage)'!F41/100/VLOOKUP($C$38,'DB animal categories'!$C$22:$AC$31,27,FALSE)*AJ41+M41+N41+O41,IF(AS41=4,('Calc (ex-animal)'!$G$13*(1-'DB additional information '!$K$5/100)+'Calc (ex-animal)'!$H$13*(1-'DB additional information '!$L$5/100))*(1-VLOOKUP(D41,'DB technologies'!$N$27:$Y$38,8,FALSE)/100)*'Calc (ex-housing, ex-storage)'!F41/100*VLOOKUP(D41,'DB technologies'!$N$27:$Y$38,12,FALSE)/100/VLOOKUP($C$38,'DB animal categories'!$C$22:$AC$31,27,FALSE)*AJ41+M41+N41+O41,0))))))</f>
        <v/>
      </c>
      <c r="AW41" s="442" t="str">
        <f>IF(AS41="","",IF(AU41=0,0,AU41/AT41*100))</f>
        <v/>
      </c>
      <c r="AX41" s="182" t="str">
        <f>IF(D41="","",IF(AS41=2,0,IF(AS41=1,'Calc (ex-animal)'!$K$13*'Calc (ex-housing, ex-storage)'!F41/100/VLOOKUP($C$38,'DB animal categories'!$C$22:$AC$31,27,FALSE)*AJ41+Q41+R41+S41,IF(AS41=5,('Calc (ex-animal)'!$K$13+'Calc (ex-animal)'!$L$13)*'Calc (ex-housing, ex-storage)'!F41/100/VLOOKUP($C$38,'DB animal categories'!$C$22:$AC$31,27,FALSE)*AJ41+Q41+R41+S41-'Calc (ex-housing, ex-storage)'!AC41,IF(AS41=3,('Calc (ex-animal)'!$K$13+'Calc (ex-animal)'!$L$13)*'Calc (ex-housing, ex-storage)'!F41/100/VLOOKUP($C$38,'DB animal categories'!$C$22:$AC$31,27,FALSE)*AJ41+Q41+R41+S41-'Calc (ex-housing, ex-storage)'!AC41-AD41-AE41,IF(AI41=4,('Calc (ex-animal)'!$K$13+'Calc (ex-animal)'!$L$13)*'Calc (ex-housing, ex-storage)'!F41/100*VLOOKUP(D41,'DB technologies'!$N$27:$Y$38,12,FALSE)/100/VLOOKUP($C$38,'DB animal categories'!$C$22:$AC$31,27,FALSE)*AJ41+Q41+R41+S41-(VLOOKUP(D41,'DB technologies'!$N$27:$Y$38,12,FALSE)/100*AC41)-AD41-AE41,0))))))</f>
        <v/>
      </c>
      <c r="AY41" s="182" t="str">
        <f>IF(D41="","",IF(AS41=2,0,IF(AS41=1,'Calc (ex-animal)'!$N$13*'Calc (ex-housing, ex-storage)'!F41/100/VLOOKUP($C$38,'DB animal categories'!$C$22:$AC$31,27,FALSE)*AJ41+U41+V41+W41,IF(AS41=5,('Calc (ex-animal)'!$N$13+'Calc (ex-animal)'!$O$13)*'Calc (ex-housing, ex-storage)'!F41/100/VLOOKUP($C$38,'DB animal categories'!$C$22:$AC$31,27,FALSE)*AJ41+U41+V41+W41,IF(AS41=3,('Calc (ex-animal)'!$N$13+'Calc (ex-animal)'!$O$13)*'Calc (ex-housing, ex-storage)'!F41/100/VLOOKUP($C$38,'DB animal categories'!$C$22:$AC$31,27,FALSE)*AJ41+U41+V41+W41,IF(AS41=4,('Calc (ex-animal)'!$N$13+'Calc (ex-animal)'!$O$13)*'Calc (ex-housing, ex-storage)'!F41/100*VLOOKUP(D41,'DB technologies'!$N$27:$Y$38,12,FALSE)/100/VLOOKUP($C$38,'DB animal categories'!$C$22:$AC$31,27,FALSE)*AJ41+U41+V41+W41,0))))))</f>
        <v/>
      </c>
      <c r="AZ41" s="182" t="str">
        <f>IF(D41="","",IF(AS41=2,0,IF(AS41=1,'Calc (ex-animal)'!$Q$13*'Calc (ex-housing, ex-storage)'!F41/100/VLOOKUP($C$38,'DB animal categories'!$C$22:$AC$31,27,FALSE)*AJ41+Y41+Z41+AA41,IF(AS41=5,('Calc (ex-animal)'!$Q$13+'Calc (ex-animal)'!$R$13)*'Calc (ex-housing, ex-storage)'!F41/100/VLOOKUP($C$38,'DB animal categories'!$C$22:$AC$31,27,FALSE)*AJ41+Y41+Z41+AA41,IF(AS41=3,('Calc (ex-animal)'!$Q$13+'Calc (ex-animal)'!$R$13)*'Calc (ex-housing, ex-storage)'!F41/100/VLOOKUP($C$38,'DB animal categories'!$C$22:$AC$31,27,FALSE)*AJ41+Y41+Z41+AA41,IF(AS41=4,('Calc (ex-animal)'!$Q$13+'Calc (ex-animal)'!$R$13)*'Calc (ex-housing, ex-storage)'!F41/100*VLOOKUP(D41,'DB technologies'!$N$27:$Y$38,12,FALSE)/100/VLOOKUP($C$38,'DB animal categories'!$C$22:$AC$31,27,FALSE)*AJ41+Y41+Z41+AA41,0))))))</f>
        <v/>
      </c>
      <c r="BA41" s="506"/>
      <c r="BB41" s="506"/>
      <c r="BC41" s="506"/>
      <c r="BG41" s="1357"/>
      <c r="BH41" s="1361"/>
      <c r="BI41" s="598" t="str">
        <f>IF(BG41="","",$BA$39*BH41/100-($BB$39*BH41/100*VLOOKUP(BG41,'DB technologies'!$AC$37:$AT$41,5,FALSE)/100)+(VLOOKUP(BG41,'DB technologies'!$AC$37:$AT$41,12,FALSE)*$BA$39*BH41/100))</f>
        <v/>
      </c>
      <c r="BJ41" s="551">
        <f>IF(BI41="",0,BI41*BK41/100)</f>
        <v>0</v>
      </c>
      <c r="BK41" s="549" t="str">
        <f>IF(BG41="","",IF($BA$39=0,0,($BB$39*BH41/100)/BI41*(1-(VLOOKUP(BG41,'DB technologies'!$AC$37:$AQ$41,5,FALSE))/100)*100))</f>
        <v/>
      </c>
      <c r="BL41" s="261" t="str">
        <f>IF(BG41="","",$BD$39*(1-VLOOKUP(BG41,'DB technologies'!$AC$37:$AS$41,12,FALSE)/100)*BH41/100-BO41-BP41-BQ41-BR41)</f>
        <v/>
      </c>
      <c r="BM41" s="261" t="str">
        <f>IF(BG41="","",$BE$39*(1-VLOOKUP(BG41,'DB technologies'!$AC$37:$AS$41,12,FALSE)/100)*BH41/100+-BS41)</f>
        <v/>
      </c>
      <c r="BN41" s="261" t="str">
        <f>IF(BG41="","",$BF$39*(1-VLOOKUP(BG41,'DB technologies'!$AC$37:$AS$41,12,FALSE)/100)*BH41/100-BT41)</f>
        <v/>
      </c>
      <c r="BO41" s="261" t="str">
        <f>IF(BG41="","",$BD$39*BH41/100*VLOOKUP(BG41,'DB technologies'!$AC$37:$AF$41,2,FALSE)/100)</f>
        <v/>
      </c>
      <c r="BP41" s="261" t="str">
        <f>IF(BG41="","",$BD$39*BH41/100*VLOOKUP(BG41,'DB technologies'!$AC$37:$AN$41,3,FALSE)/100)</f>
        <v/>
      </c>
      <c r="BQ41" s="262" t="str">
        <f>IF(BG41="","",$BD$39*BH41/100*VLOOKUP(BG41,'DB technologies'!$AC$37:$AN$41,4,FALSE)/100)</f>
        <v/>
      </c>
      <c r="BR41" s="264" t="str">
        <f>IF(BG41="","",VLOOKUP(BG41,'DB technologies'!$AC$37:$AQ$41,13,FALSE)/100*$BD$39*BH41/100)</f>
        <v/>
      </c>
      <c r="BS41" s="261" t="str">
        <f>IF(BG41="","",VLOOKUP(BG41,'DB technologies'!$AC$37:$AQ$41,14,FALSE)/100*$BE$39*BH41/100)</f>
        <v/>
      </c>
      <c r="BT41" s="262" t="str">
        <f>IF(BG41="","",VLOOKUP(BG41,'DB technologies'!$AC$37:$AQ$41,15,FALSE)/100*$BF$39*BH41/100)</f>
        <v/>
      </c>
    </row>
    <row r="42" spans="1:72" ht="12" customHeight="1" thickBot="1" x14ac:dyDescent="0.25">
      <c r="A42" s="684"/>
      <c r="B42" s="695"/>
      <c r="C42" s="255"/>
      <c r="D42" s="1359"/>
      <c r="E42" s="1360"/>
      <c r="F42" s="481" t="str">
        <f>IF('Calc (ex-animal)'!$F$9=1,"",IF($C$38=0,"",IF(D42="","",E42/'Calc (ex-animal)'!$E$13*100)))</f>
        <v/>
      </c>
      <c r="G42" s="483" t="str">
        <f>IF($C$38=0,"",IF('Calc (ex-animal)'!$F$8=1,"",IF(D42="","",SUM(H42:O42))))</f>
        <v/>
      </c>
      <c r="H42" s="445" t="str">
        <f>IF('Calc (ex-animal)'!$F$8=1,"",IF(D42="","",(((VLOOKUP($C$38,'Calc (ex-animal)'!$D$13:$Y$17,6,FALSE)-VLOOKUP($C$38,'Calc (ex-animal)'!$D$13:$Y$17,17,FALSE))*F42/100))*VLOOKUP($C$38,'Calc (ex-animal)'!$D$13:$Y$17,7,FALSE)/100*(1-VLOOKUP(D42,'DB technologies'!$N$27:$Y$38,9,FALSE)/100)))</f>
        <v/>
      </c>
      <c r="I42" s="445" t="str">
        <f>IF(D42="","",((VLOOKUP(D42,'DB technologies'!$N$27:$Y$38,2,FALSE)*VLOOKUP($C$38,'DB animal categories'!$C$22:$AC$31,27,FALSE)*E42/1000)/VLOOKUP($C$38,'DB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'!$S$6/100*(1-VLOOKUP(D42,'DB technologies'!$N$27:$Y$38,9,FALSE)/100)))</f>
        <v/>
      </c>
      <c r="J42" s="446" t="str">
        <f>IF(D42="","",((VLOOKUP(D42,'DB technologies'!$N$27:$Y$38,3,FALSE)*VLOOKUP($C$38,'DB animal categories'!$C$22:$AC$31,27,FALSE)*E42/1000)/VLOOKUP($C$38,'DB animal categories'!$C$22:$AC$31,27,FALSE)*(VLOOKUP($C$38,'DB animal categories'!$C$22:$AC$31,27,FALSE)-(VLOOKUP($C$38,'DB animal categories'!$C$22:$AC$31,25,FALSE)*VLOOKUP($C$38,'DB animal categories'!$C$22:$AC$31,26,FALSE)/24))*'DB additional information '!$S$7/100*(1-VLOOKUP(D42,'DB technologies'!$N$27:$Y$38,9,FALSE)/100)))</f>
        <v/>
      </c>
      <c r="K42" s="446" t="str">
        <f>IF(D42="","",((VLOOKUP(D42,'DB technologies'!$N$27:$Y$38,4,FALSE)*E42*'DB additional information '!$S$8/100*(1-VLOOKUP(D42,'DB technologies'!$N$27:$Y$38,9,FALSE)/100))/VLOOKUP($C$38,'DB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L42" s="445" t="str">
        <f>IF('Calc (ex-animal)'!$F$8=1,"",IF(D42="","",(((VLOOKUP($C$38,'Calc (ex-animal)'!$D$13:$Y$17,6,FALSE)-VLOOKUP($C$38,'Calc (ex-animal)'!$D$13:$Y$17,17,FALSE))*F42/100))*(1-VLOOKUP($C$38,'Calc (ex-animal)'!$D$13:$Y$17,7,FALSE)/100)*(1-VLOOKUP(D42,'DB technologies'!$N$27:$V$38,8,FALSE)/100)))</f>
        <v/>
      </c>
      <c r="M42" s="446" t="str">
        <f>IF(D42="","",((VLOOKUP(D42,'DB technologies'!$N$27:$Y$38,2,FALSE)*VLOOKUP($C$38,'DB animal categories'!$C$22:$AC$31,27,FALSE)*E42/1000)/VLOOKUP($C$38,'DB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'!$S$6/100)*(1-VLOOKUP(D42,'DB technologies'!$N$27:$Y$38,9,FALSE)/100))</f>
        <v/>
      </c>
      <c r="N42" s="446" t="str">
        <f>IF(D42="","",((VLOOKUP(D42,'DB technologies'!$N$27:$Y$38,3,FALSE)*VLOOKUP($C$38,'DB animal categories'!$C$22:$AC$31,27,FALSE)*E42/1000)/VLOOKUP($C$38,'DB animal categories'!$C$22:$AC$31,27,FALSE)*(VLOOKUP($C$38,'DB animal categories'!$C$22:$AC$31,27,FALSE)-VLOOKUP($C$38,'DB animal categories'!$C$22:$AC$31,25,FALSE)*VLOOKUP($C$38,'DB animal categories'!$C$22:$AC$31,26,FALSE)/24))*(1-'DB additional information '!$S$7/100)*(1-VLOOKUP(D42,'DB technologies'!$N$27:$Y$38,9,FALSE)/100))</f>
        <v/>
      </c>
      <c r="O42" s="445" t="str">
        <f>IF(D42="","",((VLOOKUP(D42,'DB technologies'!$N$27:$Y$38,4,FALSE)*E42*(1-'DB additional information '!$S$8/100)*(1-VLOOKUP(D42,'DB technologies'!$N$27:$Y$38,8,FALSE)/100))/VLOOKUP($C$38,'DB animal categories'!$C$22:$AC$31,27,FALSE)*(VLOOKUP($C$38,'DB animal categories'!$C$22:$AC$31,27,FALSE)-VLOOKUP($C$38,'DB animal categories'!$C$22:$AC$31,25,FALSE)*VLOOKUP($C$38,'DB animal categories'!$C$22:$AC$31,26,FALSE)/24)))</f>
        <v/>
      </c>
      <c r="P42" s="632" t="str">
        <f>IF(G42=0,0,IF(E42="","",IF(F42="","",IF($C$38=0,"",IF(D42="","",SUM(H42:K42)/G42*100)))))</f>
        <v/>
      </c>
      <c r="Q42" s="476" t="str">
        <f>IF(D42="","",(VLOOKUP(D42,'DB technologies'!$N$27:$Y$38,2,FALSE)*'DB additional information '!$S$6/100*'DB additional information '!$T$6*VLOOKUP($C$38,'DB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R42" s="476" t="str">
        <f>IF(D42="","",(VLOOKUP(D42,'DB technologies'!$N$27:$Y$38,3,FALSE)*'DB additional information '!$S$7/100*'DB additional information '!$T$7*VLOOKUP($C$38,'DB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S42" s="494" t="str">
        <f>IF(D42="","",(VLOOKUP(D42,'DB technologies'!$N$27:$Y$38,4,FALSE)*('DB additional information '!$S$8/100*'DB additional information '!$T$8*E42/1000/1000)))</f>
        <v/>
      </c>
      <c r="T42" s="267" t="str">
        <f>IF($C$38=0,"",IF('Calc (ex-animal)'!$F$9=1,"",IF(D42="","",((VLOOKUP($C$38,'Calc (ex-animal)'!$D$13:$Y$17,10,FALSE)-VLOOKUP($C$38,'Calc (ex-animal)'!$D$13:$Y$17,18,FALSE))*F42/100+Q42+R42+S42)-AC42-AD42-AE42)))</f>
        <v/>
      </c>
      <c r="U42" s="477" t="str">
        <f>IF(D42="","",(VLOOKUP(D42,'DB technologies'!$N$27:$Y$38,2,FALSE)*'DB additional information '!$S$6/100*'DB additional information '!$U$6*VLOOKUP($C$38,'DB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V42" s="433" t="str">
        <f>IF(D42="","",(VLOOKUP(D42,'DB technologies'!$N$27:$Y$38,3,FALSE)*'DB additional information '!$S$7/100*'DB additional information '!$U$7*VLOOKUP($C$38,'DB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W42" s="475" t="str">
        <f>IF(D42="","",(VLOOKUP(D42,'DB technologies'!$N$27:$Y$38,4,FALSE)*('DB additional information '!$S$8/100*'DB additional information '!$U$8*E42/1000/1000)))</f>
        <v/>
      </c>
      <c r="X42" s="267" t="str">
        <f>IF($C$38=0,"",IF('Calc (ex-animal)'!$F$9=1,"",IF(D42="","",((VLOOKUP($C$38,'Calc (ex-animal)'!$D$13:$Y$17,13,FALSE)-VLOOKUP($C$38,'Calc (ex-animal)'!$D$13:$Y$17,19,FALSE))*F42/100+U42+V42+W42))))</f>
        <v/>
      </c>
      <c r="Y42" s="433" t="str">
        <f>IF(D42="","",(VLOOKUP(D42,'DB technologies'!$N$27:$Y$38,2,FALSE)*'DB additional information '!$S$6/100*'DB additional information '!$V$6*VLOOKUP($C$38,'DB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Z42" s="433" t="str">
        <f>IF(D42="","",(VLOOKUP(D42,'DB technologies'!$N$27:$Y$38,3,FALSE)*'DB additional information '!$S$7/100*'DB additional information '!$V$7*VLOOKUP($C$38,'DB animal categories'!$C$22:$AC$31,27,FALSE)*E42/1000/1000)/VLOOKUP($C$38,'DB animal categories'!$C$22:$AC$31,27,FALSE)*(VLOOKUP($C$38,'DB animal categories'!$C$22:$AC$31,27,FALSE)-VLOOKUP($C$38,'DB animal categories'!$C$22:$AC$31,25,FALSE)*VLOOKUP($C$38,'DB animal categories'!$C$22:$AC$31,26,FALSE)/24))</f>
        <v/>
      </c>
      <c r="AA42" s="433" t="str">
        <f>IF(D42="","",(VLOOKUP(D42,'DB technologies'!$N$27:$Y$38,4,FALSE)*('DB additional information '!$S$8/100*'DB additional information '!$V$8*E42/1000/1000)))</f>
        <v/>
      </c>
      <c r="AB42" s="267" t="str">
        <f>IF($C$38=0,"",IF('Calc (ex-animal)'!$F$8=1,"",IF(D42="","",((VLOOKUP($C$38,'Calc (ex-animal)'!$D$13:$Y$17,16,FALSE)-VLOOKUP($C$38,'Calc (ex-animal)'!$D$13:$Y$17,20,FALSE))*F42/100+Y42+Z42+AA42))))</f>
        <v/>
      </c>
      <c r="AC42" s="267" t="str">
        <f>IF($C$38=0,"",IF('Calc (ex-animal)'!$F$8=1,"",IF(D42="","",VLOOKUP($C$38,'Calc (ex-animal)'!$D$13:$Y$17,9,FALSE)/VLOOKUP($C$38,'DB animal categories'!$C$22:$AC$31,27,FALSE)*(VLOOKUP($C$38,'DB animal categories'!$C$22:$AC$31,27,FALSE)-VLOOKUP($C$38,'DB animal categories'!$C$22:$AC$31,25,FALSE)*VLOOKUP($C$38,'DB animal categories'!$C$22:$AC$31,26,FALSE)/24)*F42/100*VLOOKUP(D42,'DB technologies'!$N$27:$R$38,5,FALSE)/100)))</f>
        <v/>
      </c>
      <c r="AD42" s="267" t="str">
        <f>IF($C$38=0,"",IF('Calc (ex-animal)'!$F$8=1,"",IF(D42="","",VLOOKUP($C$38,'Calc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categories'!$C$22:$AC$31,26,FALSE)/24)*F42/100*VLOOKUP(D42,'DB technologies'!$N$27:$Y$38,6,FALSE)/100)))</f>
        <v/>
      </c>
      <c r="AE42" s="268" t="str">
        <f>IF($C$38=0,"",IF('Calc (ex-animal)'!$F$8=1,"",IF(D42="","",VLOOKUP($C$38,'Calc (ex-animal)'!$D$13:$Y$17,10,FALSE)/VLOOKUP($C$38,'DB animal categories'!$C$22:$AC$31,27,FALSE)*(VLOOKUP($C$38,'DB animal categories'!$C$22:$AC$31,27,FALSE)-VLOOKUP($C$38,'DB animal categories'!$C$22:$AC$31,25,FALSE)*VLOOKUP($C$38,'DB animal categories'!$C$22:$AC$31,26,FALSE)/24)*F42/100*VLOOKUP(D42,'DB technologies'!$N$27:$Y$38,7,FALSE)/100)))</f>
        <v/>
      </c>
      <c r="AG42" s="695"/>
      <c r="AH42" s="695"/>
      <c r="AI42" s="183" t="str">
        <f>IF(D42="","",VLOOKUP(D42,'DB technologies'!$N$27:$Y$38,10,FALSE))</f>
        <v/>
      </c>
      <c r="AJ42" s="451" t="e">
        <f>VLOOKUP($C$38,'DB animal categories'!$C$22:$AN$31,27,FALSE)-VLOOKUP($C$38,'DB animal categories'!$C$22:$AN$31,26,FALSE)*VLOOKUP($C$38,'DB animal categories'!$C$22:$AN$31,25,FALSE)/24</f>
        <v>#N/A</v>
      </c>
      <c r="AK42" s="452" t="str">
        <f>IF(AI42="","",AL42+AM42)</f>
        <v/>
      </c>
      <c r="AL42" s="452" t="str">
        <f>IF(D42="","",IF(AI42=2,(('Calc (ex-animal)'!$G$13*'DB additional information '!$K$5/100*(1-VLOOKUP(D42,'DB technologies'!$N$27:$Y$38,9,FALSE)/100)*'Calc (ex-housing, ex-storage)'!F42/100+'Calc (ex-animal)'!$H$13*'DB additional information '!$L$5/100*(1-VLOOKUP(D42,'DB technologies'!$N$27:$Y$38,9,FALSE)/100)*'Calc (ex-housing, ex-storage)'!F42/100))/VLOOKUP($C$38,'DB animal categories'!$C$22:$AC$31,27,FALSE)*AJ42+I42+J42+K42,IF(AI42=1,('Calc (ex-animal)'!$H$13*'DB additional information '!$L$5/100*(1-VLOOKUP(D42,'DB technologies'!$N$27:$Y$38,9,FALSE)/100)*'Calc (ex-housing, ex-storage)'!F42/100)/VLOOKUP($C$38,'DB animal categories'!$C$22:$AC$31,27,FALSE)*AJ42,IF(AI42=4,('Calc (ex-animal)'!$G$13*'DB additional information '!$K$5/100+'Calc (ex-animal)'!$H$13*'DB additional information '!$L$5/100)*(1-VLOOKUP(D42,'DB technologies'!$N$27:$Y$38,9,FALSE)/100)*'Calc (ex-housing, ex-storage)'!F42/100*VLOOKUP(D42,'DB technologies'!$N$27:$Y$38,11,FALSE)/100/VLOOKUP($C$38,'DB animal categories'!$C$22:$AC$31,27,FALSE)*AJ42,0))))</f>
        <v/>
      </c>
      <c r="AM42" s="452" t="str">
        <f>IF(D42="","",IF(AI42=2,(('Calc (ex-animal)'!$G$13*(1-'DB additional information '!$K$5/100)*(1-VLOOKUP(D42,'DB technologies'!$N$27:$Y$38,8,FALSE)/100)*'Calc (ex-housing, ex-storage)'!F42/100+'Calc (ex-animal)'!$H$13*(1-'DB additional information '!$L$5/100)*(1-VLOOKUP(D42,'DB technologies'!$N$27:$Y$38,8,FALSE)/100)*'Calc (ex-housing, ex-storage)'!F42/100))/VLOOKUP($C$38,'DB animal categories'!$C$22:$AC$31,27,FALSE)*AJ42+M42+N42+O42,IF(AI42=1,('Calc (ex-animal)'!$H$13*(1-'DB additional information '!$L$5/100)*(1-VLOOKUP(D42,'DB technologies'!$N$27:$Y$38,8,FALSE)/100)*'Calc (ex-housing, ex-storage)'!F42/100)/VLOOKUP($C$38,'DB animal categories'!$C$22:$AC$31,27,FALSE)*AJ42,IF(AI42=4,('Calc (ex-animal)'!$G$13*(1-'DB additional information '!$K$5/100)+'Calc (ex-animal)'!$H$13*(1-'DB additional information '!$L$5/100))*(1-VLOOKUP(D42,'DB technologies'!$N$27:$Y$38,8,FALSE)/100)*'Calc (ex-housing, ex-storage)'!F42/100*VLOOKUP(D42,'DB technologies'!$N$27:$Y$38,11,FALSE)/100/VLOOKUP($C$38,'DB animal categories'!$C$22:$AC$31,27,FALSE)*AJ42,0))))</f>
        <v/>
      </c>
      <c r="AN42" s="452" t="str">
        <f>IF(AI42="","",IF(AL42=0,0,AL42/AK42*100))</f>
        <v/>
      </c>
      <c r="AO42" s="184" t="str">
        <f>IF(D42="","",IF(AI42=2,(('Calc (ex-animal)'!$L$13*'Calc (ex-housing, ex-storage)'!F42/100+'Calc (ex-animal)'!$K$13*'Calc (ex-housing, ex-storage)'!F42/100))/VLOOKUP($C$38,'DB animal categories'!$C$22:$AC$31,27,FALSE)*AJ42+Q42+R42+S42-AC42,IF(AI42=1,('Calc (ex-animal)'!$L$13*'Calc (ex-housing, ex-storage)'!F42/100)/VLOOKUP($C$38,'DB animal categories'!$C$22:$AC$31,27,FALSE)*AJ42-'Calc (ex-housing, ex-storage)'!AC42,IF(AI42=4,('Calc (ex-animal)'!$L$13+'Calc (ex-animal)'!$K$13)*'Calc (ex-housing, ex-storage)'!F42/100*VLOOKUP(D42,'DB technologies'!$N$27:$Y$38,11,FALSE)/100/VLOOKUP($C$38,'DB animal categories'!$C$22:$AC$31,27,FALSE)*AJ42-AC42*VLOOKUP(D42,'DB technologies'!$N$27:$Y$38,11,FALSE)/100,0))))</f>
        <v/>
      </c>
      <c r="AP42" s="184" t="str">
        <f>IF(D42="","",IF(AO42&lt;-0.01,0,IF(AI42=2,(('Calc (ex-animal)'!$L$13*'Calc (ex-housing, ex-storage)'!F42/100+'Calc (ex-animal)'!$K$13*'Calc (ex-housing, ex-storage)'!F42/100))/VLOOKUP($C$38,'DB animal categories'!$C$22:$AC$31,27,FALSE)*AJ42+Q42+R42+S42-AC42,IF(AI42=1,('Calc (ex-animal)'!$L$13*'Calc (ex-housing, ex-storage)'!F42/100)/VLOOKUP($C$38,'DB animal categories'!$C$22:$AC$31,27,FALSE)*AJ42-'Calc (ex-housing, ex-storage)'!AC42,IF(AI42=4,('Calc (ex-animal)'!$L$13+'Calc (ex-animal)'!$K$13)*'Calc (ex-housing, ex-storage)'!F42/100*VLOOKUP(D42,'DB technologies'!$N$27:$Y$38,11,FALSE)/100/VLOOKUP($C$38,'DB animal categories'!$C$22:$AC$31,27,FALSE)*AJ42-AC42*VLOOKUP(D42,'DB technologies'!$N$27:$Y$38,11,FALSE)/100,0)))))</f>
        <v/>
      </c>
      <c r="AQ42" s="184" t="str">
        <f>IF(D42="","",IF(AI42=2,('Calc (ex-animal)'!$O$13*'Calc (ex-housing, ex-storage)'!F42/100+'Calc (ex-animal)'!$N$13*'Calc (ex-housing, ex-storage)'!F42/100)/VLOOKUP($C$38,'DB animal categories'!$C$22:$AC$31,27,FALSE)*AJ42+U42+V42+W42,IF(AI42=1,'Calc (ex-animal)'!$O$13*'Calc (ex-housing, ex-storage)'!F42/100/VLOOKUP($C$38,'DB animal categories'!$C$22:$AC$31,27,FALSE)*AJ42,IF(AI42=4,('Calc (ex-animal)'!$O$13+'Calc (ex-animal)'!$N$13)*'Calc (ex-housing, ex-storage)'!F42/100*VLOOKUP(D42,'DB technologies'!$N$27:$Y$38,11,FALSE)/100/VLOOKUP($C$38,'DB animal categories'!$C$22:$AC$31,27,FALSE)*AJ42,0))))</f>
        <v/>
      </c>
      <c r="AR42" s="184" t="str">
        <f>IF(D42="","",IF(AI42=2,('Calc (ex-animal)'!$R$13*'Calc (ex-housing, ex-storage)'!F42/100+'Calc (ex-animal)'!$Q$13*'Calc (ex-housing, ex-storage)'!F42/100)/VLOOKUP($C$38,'DB animal categories'!$C$22:$AC$31,27,FALSE)*AJ42+Y42+Z42+AA42,IF(AI42=1,'Calc (ex-animal)'!$R$13*'Calc (ex-housing, ex-storage)'!F42/100/VLOOKUP($C$38,'DB animal categories'!$C$22:$AC$31,27,FALSE)*AJ42,IF(AI42=4,('Calc (ex-animal)'!$R$13+'Calc (ex-animal)'!$Q$13)*'Calc (ex-housing, ex-storage)'!F42/100*VLOOKUP(D42,'DB technologies'!$N$27:$Y$38,11,FALSE)/100/VLOOKUP($C$38,'DB animal categories'!$C$22:$AC$31,27,FALSE)*AJ42,0))))</f>
        <v/>
      </c>
      <c r="AS42" s="183" t="str">
        <f>IF(D42="","",VLOOKUP(D42,'DB technologies'!$N$27:$Y$38,10,FALSE))</f>
        <v/>
      </c>
      <c r="AT42" s="452" t="str">
        <f>IF(AS42="","",AU42+AV42)</f>
        <v/>
      </c>
      <c r="AU42" s="452" t="str">
        <f>IF(D42="","",IF(AS42=2,0,IF(AS42=1,'Calc (ex-animal)'!$G$13*'DB additional information '!$K$5/100*(1-VLOOKUP(D42,'DB technologies'!$N$27:$Y$38,8,FALSE)/100)*'Calc (ex-housing, ex-storage)'!F42/100/VLOOKUP($C$38,'DB animal categories'!$C$22:$AC$31,27,FALSE)*AJ42+I42+J42+K42,IF(AS42=5,(('Calc (ex-animal)'!$G$13*'DB additional information '!$K$5/100+'Calc (ex-animal)'!$H$13*'DB additional information '!$L$5/100))*(1-VLOOKUP(D42,'DB technologies'!$N$27:$Y$38,9,FALSE)/100)*'Calc (ex-housing, ex-storage)'!F42/100/VLOOKUP($C$38,'DB animal categories'!$C$22:$AC$31,27,FALSE)*AJ42+I42+J42+K42,IF(AS42=3,('Calc (ex-animal)'!$G$13*'DB additional information '!$K$5/100+'Calc (ex-animal)'!$H$13*'DB additional information '!$L$5/100)*(1-VLOOKUP(D42,'DB technologies'!$N$27:$Y$38,9,FALSE)/100)*'Calc (ex-housing, ex-storage)'!F42/100/VLOOKUP($C$38,'DB animal categories'!$C$22:$AC$31,27,FALSE)*AJ42+I42+J42+K42,IF(AS42=4,('Calc (ex-animal)'!$G$13*'DB additional information '!$K$5/100+'Calc (ex-animal)'!$H$13*'DB additional information '!$L$5/100)*(1-VLOOKUP(D42,'DB technologies'!$N$27:$Y$38,9,FALSE)/100)*'Calc (ex-housing, ex-storage)'!F42/100*VLOOKUP(D42,'DB technologies'!$N$27:$Y$38,12,FALSE)/100/VLOOKUP($C$38,'DB animal categories'!$C$22:$AC$31,27,FALSE)*AJ42+I42+J42+K42,0))))))</f>
        <v/>
      </c>
      <c r="AV42" s="452" t="str">
        <f>IF(D42="","",IF(AS42=2,0,IF(AS42=1,'Calc (ex-animal)'!$G$13*(1-'DB additional information '!$K$5/100)*(1-VLOOKUP(D42,'DB technologies'!$N$27:$Y$38,8,FALSE)/100)*'Calc (ex-housing, ex-storage)'!F42/100/VLOOKUP($C$38,'DB animal categories'!$C$22:$AC$31,27,FALSE)*AJ42+M42+N42+O42,IF(AS42=5,('Calc (ex-animal)'!$G$13*(1-'DB additional information '!$K$5/100)+'Calc (ex-animal)'!$H$13*(1-'DB additional information '!$L$5/100))*(1-VLOOKUP(D42,'DB technologies'!$N$27:$Y$38,8,FALSE)/100)*'Calc (ex-housing, ex-storage)'!F42/100/VLOOKUP($C$38,'DB animal categories'!$C$22:$AC$31,27,FALSE)*AJ42+M42+N42+O42,IF(AS42=3,('Calc (ex-animal)'!$G$13*(1-'DB additional information '!$K$5/100)+'Calc (ex-animal)'!$H$13*(1-'DB additional information '!$L$5/100))*(1-VLOOKUP(D42,'DB technologies'!$N$27:$Y$38,8,FALSE)/100)*'Calc (ex-housing, ex-storage)'!F42/100/VLOOKUP($C$38,'DB animal categories'!$C$22:$AC$31,27,FALSE)*AJ42+M42+N42+O42,IF(AS42=4,('Calc (ex-animal)'!$G$13*(1-'DB additional information '!$K$5/100)+'Calc (ex-animal)'!$H$13*(1-'DB additional information '!$L$5/100))*(1-VLOOKUP(D42,'DB technologies'!$N$27:$Y$38,8,FALSE)/100)*'Calc (ex-housing, ex-storage)'!F42/100*VLOOKUP(D42,'DB technologies'!$N$27:$Y$38,12,FALSE)/100/VLOOKUP($C$38,'DB animal categories'!$C$22:$AC$31,27,FALSE)*AJ42+M42+N42+O42,0))))))</f>
        <v/>
      </c>
      <c r="AW42" s="452" t="str">
        <f>IF(AS42="","",IF(AU42=0,0,AU42/AT42*100))</f>
        <v/>
      </c>
      <c r="AX42" s="184" t="str">
        <f>IF(D42="","",IF(AS42=2,0,IF(AS42=1,'Calc (ex-animal)'!$K$13*'Calc (ex-housing, ex-storage)'!F42/100/VLOOKUP($C$38,'DB animal categories'!$C$22:$AC$31,27,FALSE)*AJ42+Q42+R42+S42,IF(AS42=5,('Calc (ex-animal)'!$K$13+'Calc (ex-animal)'!$L$13)*'Calc (ex-housing, ex-storage)'!F42/100/VLOOKUP($C$38,'DB animal categories'!$C$22:$AC$31,27,FALSE)*AJ42+Q42+R42+S42-'Calc (ex-housing, ex-storage)'!AC42,IF(AS42=3,('Calc (ex-animal)'!$K$13+'Calc (ex-animal)'!$L$13)*'Calc (ex-housing, ex-storage)'!F42/100/VLOOKUP($C$38,'DB animal categories'!$C$22:$AC$31,27,FALSE)*AJ42+Q42+R42+S42-'Calc (ex-housing, ex-storage)'!AC42-AD42-AE42,IF(AI42=4,('Calc (ex-animal)'!$K$13+'Calc (ex-animal)'!$L$13)*'Calc (ex-housing, ex-storage)'!F42/100*VLOOKUP(D42,'DB technologies'!$N$27:$Y$38,12,FALSE)/100/VLOOKUP($C$38,'DB animal categories'!$C$22:$AC$31,27,FALSE)*AJ42+Q42+R42+S42-(VLOOKUP(D42,'DB technologies'!$N$27:$Y$38,12,FALSE)/100*AC42)-AD42-AE42,0))))))</f>
        <v/>
      </c>
      <c r="AY42" s="184" t="str">
        <f>IF(D42="","",IF(AS42=2,0,IF(AS42=1,'Calc (ex-animal)'!$N$13*'Calc (ex-housing, ex-storage)'!F42/100/VLOOKUP($C$38,'DB animal categories'!$C$22:$AC$31,27,FALSE)*AJ42+U42+V42+W42,IF(AS42=5,('Calc (ex-animal)'!$N$13+'Calc (ex-animal)'!$O$13)*'Calc (ex-housing, ex-storage)'!F42/100/VLOOKUP($C$38,'DB animal categories'!$C$22:$AC$31,27,FALSE)*AJ42+U42+V42+W42,IF(AS42=3,('Calc (ex-animal)'!$N$13+'Calc (ex-animal)'!$O$13)*'Calc (ex-housing, ex-storage)'!F42/100/VLOOKUP($C$38,'DB animal categories'!$C$22:$AC$31,27,FALSE)*AJ42+U42+V42+W42,IF(AS42=4,('Calc (ex-animal)'!$N$13+'Calc (ex-animal)'!$O$13)*'Calc (ex-housing, ex-storage)'!F42/100*VLOOKUP(D42,'DB technologies'!$N$27:$Y$38,12,FALSE)/100/VLOOKUP($C$38,'DB animal categories'!$C$22:$AC$31,27,FALSE)*AJ42+U42+V42+W42,0))))))</f>
        <v/>
      </c>
      <c r="AZ42" s="184" t="str">
        <f>IF(D42="","",IF(AS42=2,0,IF(AS42=1,'Calc (ex-animal)'!$Q$13*'Calc (ex-housing, ex-storage)'!F42/100/VLOOKUP($C$38,'DB animal categories'!$C$22:$AC$31,27,FALSE)*AJ42+Y42+Z42+AA42,IF(AS42=5,('Calc (ex-animal)'!$Q$13+'Calc (ex-animal)'!$R$13)*'Calc (ex-housing, ex-storage)'!F42/100/VLOOKUP($C$38,'DB animal categories'!$C$22:$AC$31,27,FALSE)*AJ42+Y42+Z42+AA42,IF(AS42=3,('Calc (ex-animal)'!$Q$13+'Calc (ex-animal)'!$R$13)*'Calc (ex-housing, ex-storage)'!F42/100/VLOOKUP($C$38,'DB animal categories'!$C$22:$AC$31,27,FALSE)*AJ42+Y42+Z42+AA42,IF(AS42=4,('Calc (ex-animal)'!$Q$13+'Calc (ex-animal)'!$R$13)*'Calc (ex-housing, ex-storage)'!F42/100*VLOOKUP(D42,'DB technologies'!$N$27:$Y$38,12,FALSE)/100/VLOOKUP($C$38,'DB animal categories'!$C$22:$AC$31,27,FALSE)*AJ42+Y42+Z42+AA42,0))))))</f>
        <v/>
      </c>
      <c r="BA42" s="506"/>
      <c r="BB42" s="506"/>
      <c r="BC42" s="506"/>
      <c r="BG42" s="1357"/>
      <c r="BH42" s="1361"/>
      <c r="BI42" s="598" t="str">
        <f>IF(BG42="","",$BA$39*BH42/100-($BB$39*BH42/100*VLOOKUP(BG42,'DB technologies'!$AC$37:$AT$41,5,FALSE)/100)+(VLOOKUP(BG42,'DB technologies'!$AC$37:$AT$41,12,FALSE)*$BA$39*BH42/100))</f>
        <v/>
      </c>
      <c r="BJ42" s="551">
        <f>IF(BI42="",0,BI42*BK42/100)</f>
        <v>0</v>
      </c>
      <c r="BK42" s="549" t="str">
        <f>IF(BG42="","",IF($BA$39=0,0,($BB$39*BH42/100)/BI42*(1-(VLOOKUP(BG42,'DB technologies'!$AC$37:$AQ$41,5,FALSE))/100)*100))</f>
        <v/>
      </c>
      <c r="BL42" s="261" t="str">
        <f>IF(BG42="","",$BD$39*(1-VLOOKUP(BG42,'DB technologies'!$AC$37:$AS$41,12,FALSE)/100)*BH42/100-BO42-BP42-BQ42-BR42)</f>
        <v/>
      </c>
      <c r="BM42" s="261" t="str">
        <f>IF(BG42="","",$BE$39*(1-VLOOKUP(BG42,'DB technologies'!$AC$37:$AS$41,12,FALSE)/100)*BH42/100-BS42)</f>
        <v/>
      </c>
      <c r="BN42" s="261" t="str">
        <f>IF(BG42="","",$BF$39*(1-VLOOKUP(BG42,'DB technologies'!$AC$37:$AS$41,12,FALSE)/100)*BH42/100-BT42)</f>
        <v/>
      </c>
      <c r="BO42" s="261" t="str">
        <f>IF(BG42="","",$BD$39*(1-VLOOKUP(BG42,'DB technologies'!$AC$37:$AS$41,12,FALSE)/100)*BH42/100*VLOOKUP(BG42,'DB technologies'!$AC$37:$AF$41,2,FALSE)/100)</f>
        <v/>
      </c>
      <c r="BP42" s="261" t="str">
        <f>IF(BG42="","",$BD$39*BH42/100*VLOOKUP(BG42,'DB technologies'!$AC$37:$AN$41,3,FALSE)/100)</f>
        <v/>
      </c>
      <c r="BQ42" s="262" t="str">
        <f>IF(BG42="","",$BD$39*BH42/100*VLOOKUP(BG42,'DB technologies'!$AC$37:$AN$41,4,FALSE)/100)</f>
        <v/>
      </c>
      <c r="BR42" s="264" t="str">
        <f>IF(BG42="","",VLOOKUP(BG42,'DB technologies'!$AC$37:$AQ$41,13,FALSE)/100*$BD$39*BH42/100)</f>
        <v/>
      </c>
      <c r="BS42" s="261" t="str">
        <f>IF(BG42="","",VLOOKUP(BG42,'DB technologies'!$AC$37:$AQ$41,14,FALSE)/100*$BE$39*BH42/100)</f>
        <v/>
      </c>
      <c r="BT42" s="262" t="str">
        <f>IF(BG42="","",VLOOKUP(BG42,'DB technologies'!$AC$37:$AQ$41,15,FALSE)/100*$BF$39*BH42/100)</f>
        <v/>
      </c>
    </row>
    <row r="43" spans="1:72" ht="12" customHeight="1" thickBot="1" x14ac:dyDescent="0.25">
      <c r="A43" s="684"/>
      <c r="B43" s="695"/>
      <c r="C43" s="252"/>
      <c r="D43" s="281" t="s">
        <v>58</v>
      </c>
      <c r="E43" s="282">
        <f>IF(F43&lt;=100,SUM(E38:E42),"ERROR")</f>
        <v>0</v>
      </c>
      <c r="F43" s="283">
        <f>IF(SUM(F38:F42) &lt;=100,SUM(F38:F42),"ERROR, SUM&gt;100%")</f>
        <v>0</v>
      </c>
      <c r="G43" s="492">
        <f>IF('Calc (ex-animal)'!$F$9=1,"",SUM(G38:G42))</f>
        <v>0</v>
      </c>
      <c r="H43" s="433">
        <f>IF('Calc (ex-animal)'!$F$8=1,"",SUM(H38:H42))</f>
        <v>0</v>
      </c>
      <c r="I43" s="433">
        <f>IF('Calc (ex-animal)'!$F$8=1,"",SUM(I38:I42))</f>
        <v>0</v>
      </c>
      <c r="J43" s="433">
        <f>IF('Calc (ex-animal)'!$F$8=1,"",SUM(J38:J42))</f>
        <v>0</v>
      </c>
      <c r="K43" s="433">
        <f>IF('Calc (ex-animal)'!$F$8=1,"",SUM(K38:K42))</f>
        <v>0</v>
      </c>
      <c r="L43" s="470"/>
      <c r="M43" s="470"/>
      <c r="N43" s="470"/>
      <c r="O43" s="470"/>
      <c r="P43" s="478">
        <f>IF(G43=0,0,IF('Calc (ex-animal)'!$F$9=1,"",IF(D43="","",SUM(H43:K43)/G43*100)))</f>
        <v>0</v>
      </c>
      <c r="Q43" s="486"/>
      <c r="R43" s="486"/>
      <c r="S43" s="486"/>
      <c r="T43" s="285">
        <f>IF('Calc (ex-animal)'!$F$13=1,"",SUM(T38:T42))</f>
        <v>0</v>
      </c>
      <c r="U43" s="488"/>
      <c r="V43" s="488"/>
      <c r="W43" s="488"/>
      <c r="X43" s="286">
        <f>IF('Calc (ex-animal)'!$F$13=1,"",SUM(X38:X42))</f>
        <v>0</v>
      </c>
      <c r="Y43" s="488"/>
      <c r="Z43" s="488"/>
      <c r="AA43" s="488"/>
      <c r="AB43" s="286">
        <f>IF('Calc (ex-animal)'!$F$13=1,"",SUM(AB38:AB42))</f>
        <v>0</v>
      </c>
      <c r="AC43" s="286">
        <f>IF('Calc (ex-animal)'!$F$13=1,"",SUM(AC38:AC42))</f>
        <v>0</v>
      </c>
      <c r="AD43" s="286">
        <f>IF('Calc (ex-animal)'!$F$13=1,"",SUM(AD38:AD42))</f>
        <v>0</v>
      </c>
      <c r="AE43" s="287">
        <f>IF('Calc (ex-animal)'!$F$13=1,"",SUM(AE38:AE42))</f>
        <v>0</v>
      </c>
      <c r="AG43" s="695"/>
      <c r="AH43" s="695"/>
      <c r="BG43" s="1359"/>
      <c r="BH43" s="1362"/>
      <c r="BI43" s="600" t="str">
        <f>IF(BG43="","",$BA$39*BH43/100-($BB$39*BH43/100*VLOOKUP(BG43,'DB technologies'!$AC$37:$AT$41,5,FALSE)/100)+(VLOOKUP(BG43,'DB technologies'!$AC$37:$AT$41,12,FALSE)*$BA$39*BH43/100))</f>
        <v/>
      </c>
      <c r="BJ43" s="551">
        <f>IF(BI43="",0,BI43*BK43/100)</f>
        <v>0</v>
      </c>
      <c r="BK43" s="509" t="str">
        <f>IF(BG43="","",IF($BA$39=0,0,($BB$39*BH43/100)/BI43*(1-(VLOOKUP(BG43,'DB technologies'!$AC$37:$AQ$41,5,FALSE))/100)*100))</f>
        <v/>
      </c>
      <c r="BL43" s="267" t="str">
        <f>IF(BG43="","",$BD$39*(1-VLOOKUP(BG43,'DB technologies'!$AC$37:$AS$41,12,FALSE)/100)*BH43/100-BO43-BP43-BQ43-BR43)</f>
        <v/>
      </c>
      <c r="BM43" s="267" t="str">
        <f>IF(BG43="","",$BE$39*(1-VLOOKUP(BG43,'DB technologies'!$AC$37:$AS$41,12,FALSE)/100)*BH43/100-BS43)</f>
        <v/>
      </c>
      <c r="BN43" s="267" t="str">
        <f>IF(BG43="","",$BF$39*(1-VLOOKUP(BG43,'DB technologies'!$AC$37:$AS$41,12,FALSE)/100)*BH43/100-BT43)</f>
        <v/>
      </c>
      <c r="BO43" s="267" t="str">
        <f>IF(BG43="","",$BD$39*BH43/100*VLOOKUP(BG43,'DB technologies'!$AC$37:$AF$41,2,FALSE)/100)</f>
        <v/>
      </c>
      <c r="BP43" s="267" t="str">
        <f>IF(BG43="","",$BD$39*BH43/100*VLOOKUP(BG43,'DB technologies'!$AC$37:$AN$41,3,FALSE)/100)</f>
        <v/>
      </c>
      <c r="BQ43" s="268" t="str">
        <f>IF(BG43="","",$BD$39*BH43/100*VLOOKUP(BG43,'DB technologies'!$AC$37:$AN$41,4,FALSE)/100)</f>
        <v/>
      </c>
      <c r="BR43" s="266" t="str">
        <f>IF(BG43="","",VLOOKUP(BG43,'DB technologies'!$AC$37:$AQ$41,13,FALSE)/100*$BD$39*BH43/100)</f>
        <v/>
      </c>
      <c r="BS43" s="267" t="str">
        <f>IF(BG43="","",VLOOKUP(BG43,'DB technologies'!$AC$37:$AQ$41,14,FALSE)/100*$BE$39*BH43/100)</f>
        <v/>
      </c>
      <c r="BT43" s="268" t="str">
        <f>IF(BG43="","",VLOOKUP(BG43,'DB technologies'!$AC$37:$AQ$41,15,FALSE)/100*$BF$39*BH43/100)</f>
        <v/>
      </c>
    </row>
    <row r="44" spans="1:72" ht="11.25" customHeight="1" thickBot="1" x14ac:dyDescent="0.25">
      <c r="A44" s="684"/>
      <c r="B44" s="695"/>
      <c r="C44" s="250">
        <f>'Calc (ex-animal)'!D14</f>
        <v>0</v>
      </c>
      <c r="D44" s="1355"/>
      <c r="E44" s="1356"/>
      <c r="F44" s="479" t="str">
        <f>IF('Calc (ex-animal)'!$F$9=1,"",IF($C$44=0,"",IF(D44="","",E44/'Calc (ex-animal)'!$E$14*100)))</f>
        <v/>
      </c>
      <c r="G44" s="484" t="str">
        <f>IF($C$44=0,"",IF('Calc (ex-animal)'!$F$8=1,"",IF(D44="","",SUM(H44:O44))))</f>
        <v/>
      </c>
      <c r="H44" s="471" t="str">
        <f>IF('Calc (ex-animal)'!$F$8=1,"",IF(D44="","",(((VLOOKUP($C$44,'Calc (ex-animal)'!$D$13:$Y$17,6,FALSE)-VLOOKUP($C$44,'Calc (ex-animal)'!$D$13:$Y$17,17,FALSE))*F44/100))*VLOOKUP($C$44,'Calc (ex-animal)'!$D$13:$Y$17,7,FALSE)/100*(1-VLOOKUP(D44,'DB technologies'!$N$27:$Y$38,9,FALSE)/100)))</f>
        <v/>
      </c>
      <c r="I44" s="471" t="str">
        <f>IF(D44="","",((VLOOKUP(D44,'DB technologies'!$N$27:$Y$38,2,FALSE)*VLOOKUP($C$44,'DB animal categories'!$C$22:$AC$31,27,FALSE)*E44/1000)/VLOOKUP($C$44,'DB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'!$S$6/100*(1-VLOOKUP(D44,'DB technologies'!$N$27:$Y$38,9,FALSE)/100)))</f>
        <v/>
      </c>
      <c r="J44" s="472" t="str">
        <f>IF(D44="","",((VLOOKUP(D44,'DB technologies'!$N$27:$Y$38,3,FALSE)*VLOOKUP($C$44,'DB animal categories'!$C$22:$AC$31,27,FALSE)*E44/1000)/VLOOKUP($C$44,'DB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'!$S$7/100*(1-VLOOKUP(D44,'DB technologies'!$N$27:$Y$38,9,FALSE)/100)))</f>
        <v/>
      </c>
      <c r="K44" s="472" t="str">
        <f>IF(D44="","",((VLOOKUP(D44,'DB technologies'!$N$27:$Y$38,4,FALSE)*E44*'DB additional information '!$S$8/100*(1-VLOOKUP(D44,'DB technologies'!$N$27:$Y$38,9,FALSE)/100))/VLOOKUP($C$44,'DB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L44" s="471" t="str">
        <f>IF('Calc (ex-animal)'!$F$8=1,"",IF(D44="","",(((VLOOKUP($C$44,'Calc (ex-animal)'!$D$13:$Y$17,6,FALSE)-VLOOKUP($C$44,'Calc (ex-animal)'!$D$13:$Y$17,17,FALSE))*F44/100))*(1-VLOOKUP($C$44,'Calc (ex-animal)'!$D$13:$Y$17,7,FALSE)/100)*(1-VLOOKUP(D44,'DB technologies'!$N$27:$V$38,8,FALSE)/100)))</f>
        <v/>
      </c>
      <c r="M44" s="472" t="str">
        <f>IF(D44="","",((VLOOKUP(D44,'DB technologies'!$N$27:$Y$38,2,FALSE)*VLOOKUP($C$44,'DB animal categories'!$C$22:$AC$31,27,FALSE)*E44/1000)/VLOOKUP($C$44,'DB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'!$S$6/100)*(1-VLOOKUP(D44,'DB technologies'!$N$27:$Y$38,9,FALSE)/100))</f>
        <v/>
      </c>
      <c r="N44" s="472" t="str">
        <f>IF(D44="","",((VLOOKUP(D44,'DB technologies'!$N$27:$Y$38,3,FALSE)*VLOOKUP($C$44,'DB animal categories'!$C$22:$AC$31,27,FALSE)*E44/1000)/VLOOKUP($C$44,'DB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'!$S$7/100)*(1-VLOOKUP(D44,'DB technologies'!$N$27:$Y$38,9,FALSE)/100))</f>
        <v/>
      </c>
      <c r="O44" s="471" t="str">
        <f>IF(D44="","",((VLOOKUP(D44,'DB technologies'!$N$27:$Y$38,4,FALSE)*E44*(1-'DB additional information '!$S$8/100)*(1-VLOOKUP(D44,'DB technologies'!$N$27:$Y$38,8,FALSE)/100))/VLOOKUP($C$44,'DB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P44" s="443" t="str">
        <f>IF(G44=0,0,IF(E44="","",IF(F44="","",IF($C$44=0,"",IF(D44="","",SUM(H44:K44)/G44*100)))))</f>
        <v/>
      </c>
      <c r="Q44" s="473" t="str">
        <f>IF(D44="","",(VLOOKUP(D44,'DB technologies'!$N$27:$Y$38,2,FALSE)*'DB additional information '!$S$6/100*'DB additional information '!$T$6*VLOOKUP($C$44,'DB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R44" s="473" t="str">
        <f>IF(D44="","",(VLOOKUP(D44,'DB technologies'!$N$27:$Y$38,3,FALSE)*'DB additional information '!$S$7/100*'DB additional information '!$T$7*VLOOKUP($C$44,'DB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S44" s="490" t="str">
        <f>IF(D44="","",(VLOOKUP(D44,'DB technologies'!$N$27:$Y$38,4,FALSE)*('DB additional information '!$S$8/100*'DB additional information '!$T$8*E44/1000/1000)))</f>
        <v/>
      </c>
      <c r="T44" s="263" t="str">
        <f>IF($C$44=0,"",IF('Calc (ex-animal)'!$F$9=1,"",IF(D44="","",((VLOOKUP($C$44,'Calc (ex-animal)'!$D$13:$Y$17,10,FALSE)-VLOOKUP($C$44,'Calc (ex-animal)'!$D$13:$Y$17,18,FALSE))*F44/100+Q44+R44+S44)-AC44-AD44-AE44)))</f>
        <v/>
      </c>
      <c r="U44" s="474" t="str">
        <f>IF(D44="","",(VLOOKUP(D44,'DB technologies'!$N$27:$Y$38,2,FALSE)*'DB additional information '!$S$6/100*'DB additional information '!$U$6*VLOOKUP($C$44,'DB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V44" s="420" t="str">
        <f>IF(D44="","",(VLOOKUP(D44,'DB technologies'!$N$27:$Y$38,3,FALSE)*'DB additional information '!$S$7/100*'DB additional information '!$U$7*VLOOKUP($C$44,'DB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W44" s="415" t="str">
        <f>IF(D44="","",(VLOOKUP(D44,'DB technologies'!$N$27:$Y$38,4,FALSE)*('DB additional information '!$S$8/100*'DB additional information '!$U$8*E44/1000/1000)))</f>
        <v/>
      </c>
      <c r="X44" s="259" t="str">
        <f>IF($C$44=0,"",IF('Calc (ex-animal)'!$F$9=1,"",IF(D44="","",((VLOOKUP($C$44,'Calc (ex-animal)'!$D$13:$Y$17,13,FALSE)-VLOOKUP($C$44,'Calc (ex-animal)'!$D$13:$Y$17,19,FALSE))*F44/100+U44+V44+W44))))</f>
        <v/>
      </c>
      <c r="Y44" s="420" t="str">
        <f>IF(D44="","",(VLOOKUP(D44,'DB technologies'!$N$27:$Y$38,2,FALSE)*'DB additional information '!$S$6/100*'DB additional information '!$V$6*VLOOKUP($C$44,'DB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Z44" s="420" t="str">
        <f>IF(D44="","",(VLOOKUP(D44,'DB technologies'!$N$27:$Y$38,3,FALSE)*'DB additional information '!$S$7/100*'DB additional information '!$V$7*VLOOKUP($C$44,'DB animal categories'!$C$22:$AC$31,27,FALSE)*E44/1000/1000)/VLOOKUP($C$44,'DB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AA44" s="420" t="str">
        <f>IF(D44="","",(VLOOKUP(D44,'DB technologies'!$N$27:$Y$38,4,FALSE)*('DB additional information '!$S$8/100*'DB additional information '!$V$8*E44/1000/1000)))</f>
        <v/>
      </c>
      <c r="AB44" s="259" t="str">
        <f>IF($C$44=0,"",IF('Calc (ex-animal)'!$F$8=1,"",IF(D44="","",((VLOOKUP($C$44,'Calc (ex-animal)'!$D$13:$Y$17,16,FALSE)-VLOOKUP($C$44,'Calc (ex-animal)'!$D$13:$Y$17,20,FALSE))*F44/100+Y44+Z44+AA44))))</f>
        <v/>
      </c>
      <c r="AC44" s="259" t="str">
        <f>IF($C$44=0,"",IF('Calc (ex-animal)'!$F$8=1,"",IF(D44="","",VLOOKUP($C$44,'Calc (ex-animal)'!$D$13:$Y$17,9,FALSE)/VLOOKUP($C$44,'DB animal categories'!$C$22:$AC$31,27,FALSE)*(VLOOKUP($C$44,'DB animal categories'!$C$22:$AC$31,27,FALSE)-VLOOKUP($C$44,'DB animal categories'!$C$22:$AC$31,25,FALSE)*VLOOKUP($C$44,'DB animal categories'!$C$22:$AC$31,26,FALSE)/24)*F44/100*VLOOKUP(D44,'DB technologies'!$N$27:$R$38,5,FALSE)/100)))</f>
        <v/>
      </c>
      <c r="AD44" s="259" t="str">
        <f>IF($C$44=0,"",IF('Calc (ex-animal)'!$F$8=1,"",IF(D44="","",VLOOKUP($C$44,'Calc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categories'!$C$22:$AC$31,26,FALSE)/24)*F44/100*VLOOKUP(D44,'DB technologies'!$N$27:$Y$38,6,FALSE)/100)))</f>
        <v/>
      </c>
      <c r="AE44" s="260" t="str">
        <f>IF($C$44=0,"",IF('Calc (ex-animal)'!$F$8=1,"",IF(D44="","",VLOOKUP($C$44,'Calc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categories'!$C$22:$AC$31,26,FALSE)/24)*F44/100*VLOOKUP(D44,'DB technologies'!$N$27:$Y$38,7,FALSE)/100)))</f>
        <v/>
      </c>
      <c r="AG44" s="696"/>
      <c r="AH44" s="696"/>
      <c r="AI44" s="185" t="str">
        <f>IF(D44="","",VLOOKUP(D44,'DB technologies'!$N$27:$Y$38,10,FALSE))</f>
        <v/>
      </c>
      <c r="AJ44" s="482" t="e">
        <f>VLOOKUP($C$44,'DB animal categories'!$C$22:$AN$31,27,FALSE)-VLOOKUP($C$44,'DB animal categories'!$C$22:$AN$31,26,FALSE)*VLOOKUP($C$44,'DB animal categories'!$C$22:$AN$31,25,FALSE)/24</f>
        <v>#N/A</v>
      </c>
      <c r="AK44" s="453" t="str">
        <f>IF(AI44="","",AL44+AM44)</f>
        <v/>
      </c>
      <c r="AL44" s="453" t="str">
        <f>IF(D44="","",IF(AI44=2,(('Calc (ex-animal)'!$G$14*'DB additional information '!$K$5/100*(1-VLOOKUP(D44,'DB technologies'!$N$27:$Y$38,9,FALSE)/100)*'Calc (ex-housing, ex-storage)'!F44/100+'Calc (ex-animal)'!$H$14*'DB additional information '!$L$5/100*(1-VLOOKUP(D44,'DB technologies'!$N$27:$Y$38,9,FALSE)/100)*'Calc (ex-housing, ex-storage)'!F44/100))/VLOOKUP($C$44,'DB animal categories'!$C$22:$AC$31,27,FALSE)*AJ44+I44+J44+K44,IF(AI44=1,('Calc (ex-animal)'!$H$14*'DB additional information '!$L$5/100*(1-VLOOKUP(D44,'DB technologies'!$N$27:$Y$38,9,FALSE)/100)*'Calc (ex-housing, ex-storage)'!F44/100)/VLOOKUP($C$44,'DB animal categories'!$C$22:$AC$31,27,FALSE)*AJ44,IF(AI44=4,('Calc (ex-animal)'!$G$14*'DB additional information '!$K$5/100+'Calc (ex-animal)'!$H$14*'DB additional information '!$L$5/100)*(1-VLOOKUP(D44,'DB technologies'!$N$27:$Y$38,9,FALSE)/100)*'Calc (ex-housing, ex-storage)'!F44/100*VLOOKUP(D44,'DB technologies'!$N$27:$Y$38,11,FALSE)/100/VLOOKUP($C$44,'DB animal categories'!$C$22:$AC$31,27,FALSE)*AJ44,0))))</f>
        <v/>
      </c>
      <c r="AM44" s="453" t="str">
        <f>IF(D44="","",IF(AI44=2,(('Calc (ex-animal)'!$G$14*(1-'DB additional information '!$K$5/100)*(1-VLOOKUP(D44,'DB technologies'!$N$27:$Y$38,8,FALSE)/100)*'Calc (ex-housing, ex-storage)'!F44/100+'Calc (ex-animal)'!$H$14*(1-'DB additional information '!$L$5/100)*(1-VLOOKUP(D44,'DB technologies'!$N$27:$Y$38,8,FALSE)/100)*'Calc (ex-housing, ex-storage)'!F44/100))/VLOOKUP($C$44,'DB animal categories'!$C$22:$AC$31,27,FALSE)*AJ44+M44+N44+O44,IF(AI44=1,('Calc (ex-animal)'!$H$14*(1-'DB additional information '!$L$5/100)*(1-VLOOKUP(D44,'DB technologies'!$N$27:$Y$38,8,FALSE)/100)*'Calc (ex-housing, ex-storage)'!F44/100)/VLOOKUP($C$44,'DB animal categories'!$C$22:$AC$31,27,FALSE)*AJ44,IF(AI44=4,('Calc (ex-animal)'!$G$14*(1-'DB additional information '!$K$5/100)+'Calc (ex-animal)'!$H$14*(1-'DB additional information '!$L$5/100))*(1-VLOOKUP(D44,'DB technologies'!$N$27:$Y$38,8,FALSE)/100)*'Calc (ex-housing, ex-storage)'!F44/100*VLOOKUP(D44,'DB technologies'!$N$27:$Y$38,11,FALSE)/100/VLOOKUP($C$44,'DB animal categories'!$C$22:$AC$31,27,FALSE)*AJ44,0))))</f>
        <v/>
      </c>
      <c r="AN44" s="453" t="str">
        <f>IF(AI44="","",IF(AL44=0,0,AL44/AK44*100))</f>
        <v/>
      </c>
      <c r="AO44" s="180" t="str">
        <f>IF(D44="","",IF(AI44=2,(('Calc (ex-animal)'!$L$14*'Calc (ex-housing, ex-storage)'!F44/100+'Calc (ex-animal)'!$K$14*'Calc (ex-housing, ex-storage)'!F44/100))/VLOOKUP($C$44,'DB animal categories'!$C$22:$AC$31,27,FALSE)*AJ44+Q44+R44+S44-AC44,IF(AI44=1,('Calc (ex-animal)'!$L$14*'Calc (ex-housing, ex-storage)'!F44/100)/VLOOKUP($C$44,'DB animal categories'!$C$22:$AC$31,27,FALSE)*AJ44-'Calc (ex-housing, ex-storage)'!AC44,IF(AI44=4,('Calc (ex-animal)'!$L$14+'Calc (ex-animal)'!$K$14)*'Calc (ex-housing, ex-storage)'!F44/100*VLOOKUP(D44,'DB technologies'!$N$27:$Y$38,11,FALSE)/100/VLOOKUP($C$44,'DB animal categories'!$C$22:$AC$31,27,FALSE)*AJ44-AC44*VLOOKUP(D44,'DB technologies'!$N$27:$Y$38,11,FALSE)/100,0))))</f>
        <v/>
      </c>
      <c r="AP44" s="180" t="str">
        <f>IF(D44="","",IF(AO44&lt;-0.01,0,IF(AI44=2,(('Calc (ex-animal)'!$L$14*'Calc (ex-housing, ex-storage)'!F44/100+'Calc (ex-animal)'!$K$14*'Calc (ex-housing, ex-storage)'!F44/100))/VLOOKUP($C$44,'DB animal categories'!$C$22:$AC$31,27,FALSE)*AJ44+Q44+R44+S44-AC44,IF(AI44=1,('Calc (ex-animal)'!$L$14*'Calc (ex-housing, ex-storage)'!F44/100)/VLOOKUP($C$44,'DB animal categories'!$C$22:$AC$31,27,FALSE)*AJ44-'Calc (ex-housing, ex-storage)'!AC44,IF(AI44=4,('Calc (ex-animal)'!$L$14+'Calc (ex-animal)'!$K$14)*'Calc (ex-housing, ex-storage)'!F44/100*VLOOKUP(D44,'DB technologies'!$N$27:$Y$38,11,FALSE)/100/VLOOKUP($C$44,'DB animal categories'!$C$22:$AC$31,27,FALSE)*AJ44-AC44*VLOOKUP(D44,'DB technologies'!$N$27:$Y$38,11,FALSE)/100,0)))))</f>
        <v/>
      </c>
      <c r="AQ44" s="180" t="str">
        <f>IF(D44="","",IF(AI44=2,('Calc (ex-animal)'!$O$14*'Calc (ex-housing, ex-storage)'!F44/100+'Calc (ex-animal)'!$N$14*'Calc (ex-housing, ex-storage)'!F44/100)/VLOOKUP($C$44,'DB animal categories'!$C$22:$AC$31,27,FALSE)*AJ44+U44+V44+W44,IF(AI44=1,'Calc (ex-animal)'!$O$14*'Calc (ex-housing, ex-storage)'!F44/100/VLOOKUP($C$44,'DB animal categories'!$C$22:$AC$31,27,FALSE)*AJ44,IF(AI44=4,('Calc (ex-animal)'!$O$14+'Calc (ex-animal)'!$N$14)*'Calc (ex-housing, ex-storage)'!F44/100*VLOOKUP(D44,'DB technologies'!$N$27:$Y$38,11,FALSE)/100/VLOOKUP($C$44,'DB animal categories'!$C$22:$AC$31,27,FALSE)*AJ44,0))))</f>
        <v/>
      </c>
      <c r="AR44" s="180" t="str">
        <f>IF(D44="","",IF(AI44=2,('Calc (ex-animal)'!$R$14*'Calc (ex-housing, ex-storage)'!F44/100+'Calc (ex-animal)'!$Q$14*'Calc (ex-housing, ex-storage)'!F44/100)/VLOOKUP($C$44,'DB animal categories'!$C$22:$AC$31,27,FALSE)*AJ44+Y44+Z44+AA44,IF(AI44=1,'Calc (ex-animal)'!$R$14*'Calc (ex-housing, ex-storage)'!F44/100/VLOOKUP($C$44,'DB animal categories'!$C$22:$AC$31,27,FALSE)*AJ44,IF(AI44=4,('Calc (ex-animal)'!$R$14+'Calc (ex-animal)'!$Q$14)*'Calc (ex-housing, ex-storage)'!F44/100*VLOOKUP(D44,'DB technologies'!$N$27:$Y$38,11,FALSE)/100/VLOOKUP($C$44,'DB animal categories'!$C$22:$AC$31,27,FALSE)*AJ44,0))))</f>
        <v/>
      </c>
      <c r="AS44" s="179" t="str">
        <f>IF(D44="","",VLOOKUP(D44,'DB technologies'!$N$27:$Y$38,10,FALSE))</f>
        <v/>
      </c>
      <c r="AT44" s="453" t="str">
        <f>IF(AS44="","",AU44+AV44)</f>
        <v/>
      </c>
      <c r="AU44" s="453" t="str">
        <f>IF(D44="","",IF(AS44=2,0,IF(AS44=1,'Calc (ex-animal)'!$G$14*'DB additional information '!$K$5/100*(1-VLOOKUP(D44,'DB technologies'!$N$27:$Y$38,8,FALSE)/100)*'Calc (ex-housing, ex-storage)'!F44/100/VLOOKUP($C$44,'DB animal categories'!$C$22:$AC$31,27,FALSE)*AJ44+I44+J44+K44,IF(AS44=5,(('Calc (ex-animal)'!$G$14*'DB additional information '!$K$5/100+'Calc (ex-animal)'!$H$14*'DB additional information '!$L$5/100))*(1-VLOOKUP(D44,'DB technologies'!$N$27:$Y$38,9,FALSE)/100)*'Calc (ex-housing, ex-storage)'!F44/100/VLOOKUP($C$44,'DB animal categories'!$C$22:$AC$31,27,FALSE)*AJ44+I44+J44+K44,IF(AS44=3,('Calc (ex-animal)'!$G$14*'DB additional information '!$K$5/100+'Calc (ex-animal)'!$H$14*'DB additional information '!$L$5/100)*(1-VLOOKUP(D44,'DB technologies'!$N$27:$Y$38,9,FALSE)/100)*'Calc (ex-housing, ex-storage)'!F44/100/VLOOKUP($C$44,'DB animal categories'!$C$22:$AC$31,27,FALSE)*AJ44+I44+J44+K44,IF(AS44=4,('Calc (ex-animal)'!$G$14*'DB additional information '!$K$5/100+'Calc (ex-animal)'!$H$14*'DB additional information '!$L$5/100)*(1-VLOOKUP(D44,'DB technologies'!$N$27:$Y$38,9,FALSE)/100)*'Calc (ex-housing, ex-storage)'!F44/100*VLOOKUP(D44,'DB technologies'!$N$27:$Y$38,12,FALSE)/100/VLOOKUP($C$44,'DB animal categories'!$C$22:$AC$31,27,FALSE)*AJ44+I44+J44+K44,0))))))</f>
        <v/>
      </c>
      <c r="AV44" s="453" t="str">
        <f>IF(D44="","",IF(AS44=2,0,IF(AS44=1,'Calc (ex-animal)'!$G$14*(1-'DB additional information '!$K$5/100)*(1-VLOOKUP(D44,'DB technologies'!$N$27:$Y$38,8,FALSE)/100)*'Calc (ex-housing, ex-storage)'!F44/100/VLOOKUP($C$44,'DB animal categories'!$C$22:$AC$31,27,FALSE)*AJ44+M44+N44+O44,IF(AS44=5,('Calc (ex-animal)'!$G$14*(1-'DB additional information '!$K$5/100)+'Calc (ex-animal)'!$H$14*(1-'DB additional information '!$L$5/100))*(1-VLOOKUP(D44,'DB technologies'!$N$27:$Y$38,8,FALSE)/100)*'Calc (ex-housing, ex-storage)'!F44/100/VLOOKUP($C$44,'DB animal categories'!$C$22:$AC$31,27,FALSE)*AJ44+M44+N44+O44,IF(AS44=3,('Calc (ex-animal)'!$G$14*(1-'DB additional information '!$K$5/100)+'Calc (ex-animal)'!$H$14*(1-'DB additional information '!$L$5/100))*(1-VLOOKUP(D44,'DB technologies'!$N$27:$Y$38,8,FALSE)/100)*'Calc (ex-housing, ex-storage)'!F44/100/VLOOKUP($C$44,'DB animal categories'!$C$22:$AC$31,27,FALSE)*AJ44+M44+N44+O44,IF(AS44=4,('Calc (ex-animal)'!$G$14*(1-'DB additional information '!$K$5/100)+'Calc (ex-animal)'!$H$14*(1-'DB additional information '!$L$5/100))*(1-VLOOKUP(D44,'DB technologies'!$N$27:$Y$38,8,FALSE)/100)*'Calc (ex-housing, ex-storage)'!F44/100*VLOOKUP(D44,'DB technologies'!$N$27:$Y$38,12,FALSE)/100/VLOOKUP($C$44,'DB animal categories'!$C$22:$AC$31,27,FALSE)*AJ44+M44+N44+O44,0))))))</f>
        <v/>
      </c>
      <c r="AW44" s="453" t="str">
        <f>IF(AS44="","",IF(AU44=0,0,AU44/AT44*100))</f>
        <v/>
      </c>
      <c r="AX44" s="180" t="str">
        <f>IF(D44="","",IF(AS44=2,0,IF(AS44=1,'Calc (ex-animal)'!$K$14*'Calc (ex-housing, ex-storage)'!F44/100/VLOOKUP($C$44,'DB animal categories'!$C$22:$AC$31,27,FALSE)*AJ44+Q44+R44+S44,IF(AS44=5,('Calc (ex-animal)'!$K$14+'Calc (ex-animal)'!$L$14)*'Calc (ex-housing, ex-storage)'!F44/100/VLOOKUP($C$44,'DB animal categories'!$C$22:$AC$31,27,FALSE)*AJ44+Q44+R44+S44-'Calc (ex-housing, ex-storage)'!AC44,IF(AS44=3,('Calc (ex-animal)'!$K$14+'Calc (ex-animal)'!$L$14)*'Calc (ex-housing, ex-storage)'!F44/100/VLOOKUP($C$44,'DB animal categories'!$C$22:$AC$31,27,FALSE)*AJ44+Q44+R44+S44-'Calc (ex-housing, ex-storage)'!AC44-AD44-AE44,IF(AI44=4,('Calc (ex-animal)'!$K$14+'Calc (ex-animal)'!$L$14)*'Calc (ex-housing, ex-storage)'!F44/100*VLOOKUP(D44,'DB technologies'!$N$27:$Y$38,12,FALSE)/100/VLOOKUP($C$44,'DB animal categories'!$C$22:$AC$31,27,FALSE)*AJ44+Q44+R44+S44-(VLOOKUP(D44,'DB technologies'!$N$27:$Y$38,12,FALSE)/100*AC44)-AD44-AE44,0))))))</f>
        <v/>
      </c>
      <c r="AY44" s="180" t="str">
        <f>IF(D44="","",IF(AS44=2,0,IF(AS44=1,'Calc (ex-animal)'!$N$14*'Calc (ex-housing, ex-storage)'!F44/100/VLOOKUP($C$44,'DB animal categories'!$C$22:$AC$31,27,FALSE)*AJ44+U44+V44+W44,IF(AS44=5,('Calc (ex-animal)'!$N$14+'Calc (ex-animal)'!$O$14)*'Calc (ex-housing, ex-storage)'!F44/100/VLOOKUP($C$44,'DB animal categories'!$C$22:$AC$31,27,FALSE)*AJ44+U44+V44+W44,IF(AS44=3,('Calc (ex-animal)'!$N$14+'Calc (ex-animal)'!$O$14)*'Calc (ex-housing, ex-storage)'!F44/100/VLOOKUP($C$44,'DB animal categories'!$C$22:$AC$31,27,FALSE)*AJ44+U44+V44+W44,IF(AS44=4,('Calc (ex-animal)'!$N$14+'Calc (ex-animal)'!$O$14)*'Calc (ex-housing, ex-storage)'!F44/100*VLOOKUP(D44,'DB technologies'!$N$27:$Y$38,12,FALSE)/100/VLOOKUP($C$44,'DB animal categories'!$C$22:$AC$31,27,FALSE)*AJ44+U44+V44+W44,0))))))</f>
        <v/>
      </c>
      <c r="AZ44" s="180" t="str">
        <f>IF(D44="","",IF(AS44=2,0,IF(AS44=1,'Calc (ex-animal)'!$Q$14*'Calc (ex-housing, ex-storage)'!F44/100/VLOOKUP($C$44,'DB animal categories'!$C$22:$AC$31,27,FALSE)*AJ44+Y44+Z44+AA44,IF(AS44=5,('Calc (ex-animal)'!$Q$14+'Calc (ex-animal)'!$R$14)*'Calc (ex-housing, ex-storage)'!F44/100/VLOOKUP($C$44,'DB animal categories'!$C$22:$AC$31,27,FALSE)*AJ44+Y44+Z44+AA44,IF(AS44=3,('Calc (ex-animal)'!$Q$14+'Calc (ex-animal)'!$R$14)*'Calc (ex-housing, ex-storage)'!F44/100/VLOOKUP($C$44,'DB animal categories'!$C$22:$AC$31,27,FALSE)*AJ44+Y44+Z44+AA44,IF(AS44=4,('Calc (ex-animal)'!$Q$14+'Calc (ex-animal)'!$R$14)*'Calc (ex-housing, ex-storage)'!F44/100*VLOOKUP(D44,'DB technologies'!$N$27:$Y$38,12,FALSE)/100/VLOOKUP($C$44,'DB animal categories'!$C$22:$AC$31,27,FALSE)*AJ44+Y44+Z44+AA44,0))))))</f>
        <v/>
      </c>
      <c r="BA44" s="506"/>
      <c r="BB44" s="506"/>
      <c r="BC44" s="506"/>
      <c r="BG44" s="556" t="s">
        <v>58</v>
      </c>
      <c r="BH44" s="315">
        <f>IF(SUM(BH39:BH43) &gt;100,"ERROR, SUM&gt;100%",SUM(BH39:BH43))</f>
        <v>0</v>
      </c>
      <c r="BI44" s="601">
        <f>SUM(BI39:BI43)</f>
        <v>0</v>
      </c>
      <c r="BJ44" s="593">
        <f>SUM(BJ39:BJ43)</f>
        <v>0</v>
      </c>
      <c r="BK44" s="597">
        <f>IF(BI44=0,0,BJ44/BI44*100)</f>
        <v>0</v>
      </c>
      <c r="BL44" s="307">
        <f t="shared" ref="BL44:BT44" si="6">SUM(BL39:BL43)</f>
        <v>0</v>
      </c>
      <c r="BM44" s="307">
        <f>SUM(BM39:BM43)</f>
        <v>0</v>
      </c>
      <c r="BN44" s="307">
        <f t="shared" si="6"/>
        <v>0</v>
      </c>
      <c r="BO44" s="307">
        <f t="shared" si="6"/>
        <v>0</v>
      </c>
      <c r="BP44" s="307">
        <f t="shared" si="6"/>
        <v>0</v>
      </c>
      <c r="BQ44" s="308">
        <f t="shared" si="6"/>
        <v>0</v>
      </c>
      <c r="BR44" s="309">
        <f t="shared" si="6"/>
        <v>0</v>
      </c>
      <c r="BS44" s="307">
        <f t="shared" si="6"/>
        <v>0</v>
      </c>
      <c r="BT44" s="308">
        <f t="shared" si="6"/>
        <v>0</v>
      </c>
    </row>
    <row r="45" spans="1:72" ht="11.25" customHeight="1" thickBot="1" x14ac:dyDescent="0.25">
      <c r="A45" s="684"/>
      <c r="B45" s="695"/>
      <c r="C45" s="251"/>
      <c r="D45" s="1357"/>
      <c r="E45" s="1358"/>
      <c r="F45" s="480" t="str">
        <f>IF('Calc (ex-animal)'!$F$9=1,"",IF($C$44=0,"",IF(D45="","",E45/'Calc (ex-animal)'!$E$14*100)))</f>
        <v/>
      </c>
      <c r="G45" s="485" t="str">
        <f>IF($C$44=0,"",IF('Calc (ex-animal)'!$F$8=1,"",IF(D45="","",SUM(H45:O45))))</f>
        <v/>
      </c>
      <c r="H45" s="423" t="str">
        <f>IF('Calc (ex-animal)'!$F$8=1,"",IF(D45="","",(((VLOOKUP($C$44,'Calc (ex-animal)'!$D$13:$Y$17,6,FALSE)-VLOOKUP($C$44,'Calc (ex-animal)'!$D$13:$Y$17,17,FALSE))*F45/100))*VLOOKUP($C$44,'Calc (ex-animal)'!$D$13:$Y$17,7,FALSE)/100*(1-VLOOKUP(D45,'DB technologies'!$N$27:$Y$38,9,FALSE)/100)))</f>
        <v/>
      </c>
      <c r="I45" s="423" t="str">
        <f>IF(D45="","",((VLOOKUP(D45,'DB technologies'!$N$27:$Y$38,2,FALSE)*VLOOKUP($C$44,'DB animal categories'!$C$22:$AC$31,27,FALSE)*E45/1000)/VLOOKUP($C$44,'DB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'!$S$6/100*(1-VLOOKUP(D45,'DB technologies'!$N$27:$Y$38,9,FALSE)/100)))</f>
        <v/>
      </c>
      <c r="J45" s="434" t="str">
        <f>IF(D45="","",((VLOOKUP(D45,'DB technologies'!$N$27:$Y$38,3,FALSE)*VLOOKUP($C$44,'DB animal categories'!$C$22:$AC$31,27,FALSE)*E45/1000)/VLOOKUP($C$44,'DB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'!$S$7/100*(1-VLOOKUP(D45,'DB technologies'!$N$27:$Y$38,9,FALSE)/100)))</f>
        <v/>
      </c>
      <c r="K45" s="434" t="str">
        <f>IF(D45="","",((VLOOKUP(D45,'DB technologies'!$N$27:$Y$38,4,FALSE)*E45*'DB additional information '!$S$8/100*(1-VLOOKUP(D45,'DB technologies'!$N$27:$Y$38,9,FALSE)/100))/VLOOKUP($C$44,'DB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L45" s="423" t="str">
        <f>IF('Calc (ex-animal)'!$F$8=1,"",IF(D45="","",(((VLOOKUP($C$44,'Calc (ex-animal)'!$D$13:$Y$17,6,FALSE)-VLOOKUP($C$44,'Calc (ex-animal)'!$D$13:$Y$17,17,FALSE))*F45/100))*(1-VLOOKUP($C$44,'Calc (ex-animal)'!$D$13:$Y$17,7,FALSE)/100)*(1-VLOOKUP(D45,'DB technologies'!$N$27:$V$38,8,FALSE)/100)))</f>
        <v/>
      </c>
      <c r="M45" s="434" t="str">
        <f>IF(D45="","",((VLOOKUP(D45,'DB technologies'!$N$27:$Y$38,2,FALSE)*VLOOKUP($C$44,'DB animal categories'!$C$22:$AC$31,27,FALSE)*E45/1000)/VLOOKUP($C$44,'DB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'!$S$6/100)*(1-VLOOKUP(D45,'DB technologies'!$N$27:$Y$38,9,FALSE)/100))</f>
        <v/>
      </c>
      <c r="N45" s="434" t="str">
        <f>IF(D45="","",((VLOOKUP(D45,'DB technologies'!$N$27:$Y$38,3,FALSE)*VLOOKUP($C$44,'DB animal categories'!$C$22:$AC$31,27,FALSE)*E45/1000)/VLOOKUP($C$44,'DB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'!$S$7/100)*(1-VLOOKUP(D45,'DB technologies'!$N$27:$Y$38,9,FALSE)/100))</f>
        <v/>
      </c>
      <c r="O45" s="423" t="str">
        <f>IF(D45="","",((VLOOKUP(D45,'DB technologies'!$N$27:$Y$38,4,FALSE)*E45*(1-'DB additional information '!$S$8/100)*(1-VLOOKUP(D45,'DB technologies'!$N$27:$Y$38,8,FALSE)/100))/VLOOKUP($C$44,'DB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P45" s="438" t="str">
        <f>IF(G45=0,0,IF(E45="","",IF(F45="","",IF($C$44=0,"",IF(D45="","",SUM(H45:K45)/G45*100)))))</f>
        <v/>
      </c>
      <c r="Q45" s="416" t="str">
        <f>IF(D45="","",(VLOOKUP(D45,'DB technologies'!$N$27:$Y$38,2,FALSE)*'DB additional information '!$S$6/100*'DB additional information '!$T$6*VLOOKUP($C$44,'DB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R45" s="416" t="str">
        <f>IF(D45="","",(VLOOKUP(D45,'DB technologies'!$N$27:$Y$38,3,FALSE)*'DB additional information '!$S$7/100*'DB additional information '!$T$7*VLOOKUP($C$44,'DB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S45" s="491" t="str">
        <f>IF(D45="","",(VLOOKUP(D45,'DB technologies'!$N$27:$Y$38,4,FALSE)*('DB additional information '!$S$8/100*'DB additional information '!$T$8*E45/1000/1000)))</f>
        <v/>
      </c>
      <c r="T45" s="264" t="str">
        <f>IF($C$44=0,"",IF('Calc (ex-animal)'!$F$9=1,"",IF(D45="","",((VLOOKUP($C$44,'Calc (ex-animal)'!$D$13:$Y$17,10,FALSE)-VLOOKUP($C$44,'Calc (ex-animal)'!$D$13:$Y$17,18,FALSE))*F45/100+Q45+R45+S45)-AC45-AD45-AE45)))</f>
        <v/>
      </c>
      <c r="U45" s="422" t="str">
        <f>IF(D45="","",(VLOOKUP(D45,'DB technologies'!$N$27:$Y$38,2,FALSE)*'DB additional information '!$S$6/100*'DB additional information '!$U$6*VLOOKUP($C$44,'DB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V45" s="418" t="str">
        <f>IF(D45="","",(VLOOKUP(D45,'DB technologies'!$N$27:$Y$38,3,FALSE)*'DB additional information '!$S$7/100*'DB additional information '!$U$7*VLOOKUP($C$44,'DB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W45" s="417" t="str">
        <f>IF(D45="","",(VLOOKUP(D45,'DB technologies'!$N$27:$Y$38,4,FALSE)*('DB additional information '!$S$8/100*'DB additional information '!$U$8*E45/1000/1000)))</f>
        <v/>
      </c>
      <c r="X45" s="261" t="str">
        <f>IF($C$44=0,"",IF('Calc (ex-animal)'!$F$9=1,"",IF(D45="","",((VLOOKUP($C$44,'Calc (ex-animal)'!$D$13:$Y$17,13,FALSE)-VLOOKUP($C$44,'Calc (ex-animal)'!$D$13:$Y$17,19,FALSE))*F45/100+U45+V45+W45))))</f>
        <v/>
      </c>
      <c r="Y45" s="418" t="str">
        <f>IF(D45="","",(VLOOKUP(D45,'DB technologies'!$N$27:$Y$38,2,FALSE)*'DB additional information '!$S$6/100*'DB additional information '!$V$6*VLOOKUP($C$44,'DB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Z45" s="418" t="str">
        <f>IF(D45="","",(VLOOKUP(D45,'DB technologies'!$N$27:$Y$38,3,FALSE)*'DB additional information '!$S$7/100*'DB additional information '!$V$7*VLOOKUP($C$44,'DB animal categories'!$C$22:$AC$31,27,FALSE)*E45/1000/1000)/VLOOKUP($C$44,'DB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AA45" s="418" t="str">
        <f>IF(D45="","",(VLOOKUP(D45,'DB technologies'!$N$27:$Y$38,4,FALSE)*('DB additional information '!$S$8/100*'DB additional information '!$V$8*E45/1000/1000)))</f>
        <v/>
      </c>
      <c r="AB45" s="261" t="str">
        <f>IF($C$44=0,"",IF('Calc (ex-animal)'!$F$8=1,"",IF(D45="","",((VLOOKUP($C$44,'Calc (ex-animal)'!$D$13:$Y$17,16,FALSE)-VLOOKUP($C$44,'Calc (ex-animal)'!$D$13:$Y$17,20,FALSE))*F45/100+Y45+Z45+AA45))))</f>
        <v/>
      </c>
      <c r="AC45" s="261" t="str">
        <f>IF($C$44=0,"",IF('Calc (ex-animal)'!$F$8=1,"",IF(D45="","",VLOOKUP($C$44,'Calc (ex-animal)'!$D$13:$Y$17,9,FALSE)/VLOOKUP($C$44,'DB animal categories'!$C$22:$AC$31,27,FALSE)*(VLOOKUP($C$44,'DB animal categories'!$C$22:$AC$31,27,FALSE)-VLOOKUP($C$44,'DB animal categories'!$C$22:$AC$31,25,FALSE)*VLOOKUP($C$44,'DB animal categories'!$C$22:$AC$31,26,FALSE)/24)*F45/100*VLOOKUP(D45,'DB technologies'!$N$27:$R$38,5,FALSE)/100)))</f>
        <v/>
      </c>
      <c r="AD45" s="261" t="str">
        <f>IF($C$44=0,"",IF('Calc (ex-animal)'!$F$8=1,"",IF(D45="","",VLOOKUP($C$44,'Calc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categories'!$C$22:$AC$31,26,FALSE)/24)*F45/100*VLOOKUP(D45,'DB technologies'!$N$27:$Y$38,6,FALSE)/100)))</f>
        <v/>
      </c>
      <c r="AE45" s="262" t="str">
        <f>IF($C$44=0,"",IF('Calc (ex-animal)'!$F$8=1,"",IF(D45="","",VLOOKUP($C$44,'Calc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categories'!$C$22:$AC$31,26,FALSE)/24)*F45/100*VLOOKUP(D45,'DB technologies'!$N$27:$Y$38,7,FALSE)/100)))</f>
        <v/>
      </c>
      <c r="AG45" s="73"/>
      <c r="AH45" s="73"/>
      <c r="AI45" s="181" t="str">
        <f>IF(D45="","",VLOOKUP(D45,'DB technologies'!$N$27:$Y$38,10,FALSE))</f>
        <v/>
      </c>
      <c r="AJ45" s="449" t="e">
        <f>VLOOKUP($C$44,'DB animal categories'!$C$22:$AN$31,27,FALSE)-VLOOKUP($C$44,'DB animal categories'!$C$22:$AN$31,26,FALSE)*VLOOKUP($C$44,'DB animal categories'!$C$22:$AN$31,25,FALSE)/24</f>
        <v>#N/A</v>
      </c>
      <c r="AK45" s="442" t="str">
        <f>IF(AI45="","",AL45+AM45)</f>
        <v/>
      </c>
      <c r="AL45" s="442" t="str">
        <f>IF(D45="","",IF(AI45=2,(('Calc (ex-animal)'!$G$14*'DB additional information '!$K$5/100*(1-VLOOKUP(D45,'DB technologies'!$N$27:$Y$38,9,FALSE)/100)*'Calc (ex-housing, ex-storage)'!F45/100+'Calc (ex-animal)'!$H$14*'DB additional information '!$L$5/100*(1-VLOOKUP(D45,'DB technologies'!$N$27:$Y$38,9,FALSE)/100)*'Calc (ex-housing, ex-storage)'!F45/100))/VLOOKUP($C$44,'DB animal categories'!$C$22:$AC$31,27,FALSE)*AJ45+I45+J45+K45,IF(AI45=1,('Calc (ex-animal)'!$H$14*'DB additional information '!$L$5/100*(1-VLOOKUP(D45,'DB technologies'!$N$27:$Y$38,9,FALSE)/100)*'Calc (ex-housing, ex-storage)'!F45/100)/VLOOKUP($C$44,'DB animal categories'!$C$22:$AC$31,27,FALSE)*AJ45,IF(AI45=4,('Calc (ex-animal)'!$G$14*'DB additional information '!$K$5/100+'Calc (ex-animal)'!$H$14*'DB additional information '!$L$5/100)*(1-VLOOKUP(D45,'DB technologies'!$N$27:$Y$38,9,FALSE)/100)*'Calc (ex-housing, ex-storage)'!F45/100*VLOOKUP(D45,'DB technologies'!$N$27:$Y$38,11,FALSE)/100/VLOOKUP($C$44,'DB animal categories'!$C$22:$AC$31,27,FALSE)*AJ45,0))))</f>
        <v/>
      </c>
      <c r="AM45" s="442" t="str">
        <f>IF(D45="","",IF(AI45=2,(('Calc (ex-animal)'!$G$14*(1-'DB additional information '!$K$5/100)*(1-VLOOKUP(D45,'DB technologies'!$N$27:$Y$38,8,FALSE)/100)*'Calc (ex-housing, ex-storage)'!F45/100+'Calc (ex-animal)'!$H$14*(1-'DB additional information '!$L$5/100)*(1-VLOOKUP(D45,'DB technologies'!$N$27:$Y$38,8,FALSE)/100)*'Calc (ex-housing, ex-storage)'!F45/100))/VLOOKUP($C$44,'DB animal categories'!$C$22:$AC$31,27,FALSE)*AJ45+M45+N45+O45,IF(AI45=1,('Calc (ex-animal)'!$H$14*(1-'DB additional information '!$L$5/100)*(1-VLOOKUP(D45,'DB technologies'!$N$27:$Y$38,8,FALSE)/100)*'Calc (ex-housing, ex-storage)'!F45/100)/VLOOKUP($C$44,'DB animal categories'!$C$22:$AC$31,27,FALSE)*AJ45,IF(AI45=4,('Calc (ex-animal)'!$G$14*(1-'DB additional information '!$K$5/100)+'Calc (ex-animal)'!$H$14*(1-'DB additional information '!$L$5/100))*(1-VLOOKUP(D45,'DB technologies'!$N$27:$Y$38,8,FALSE)/100)*'Calc (ex-housing, ex-storage)'!F45/100*VLOOKUP(D45,'DB technologies'!$N$27:$Y$38,11,FALSE)/100/VLOOKUP($C$44,'DB animal categories'!$C$22:$AC$31,27,FALSE)*AJ45,0))))</f>
        <v/>
      </c>
      <c r="AN45" s="442" t="str">
        <f>IF(AI45="","",IF(AL45=0,0,AL45/AK45*100))</f>
        <v/>
      </c>
      <c r="AO45" s="182" t="str">
        <f>IF(D45="","",IF(AI45=2,(('Calc (ex-animal)'!$L$14*'Calc (ex-housing, ex-storage)'!F45/100+'Calc (ex-animal)'!$K$14*'Calc (ex-housing, ex-storage)'!F45/100))/VLOOKUP($C$44,'DB animal categories'!$C$22:$AC$31,27,FALSE)*AJ45+Q45+R45+S45-AC45,IF(AI45=1,('Calc (ex-animal)'!$L$14*'Calc (ex-housing, ex-storage)'!F45/100)/VLOOKUP($C$44,'DB animal categories'!$C$22:$AC$31,27,FALSE)*AJ45-'Calc (ex-housing, ex-storage)'!AC45,IF(AI45=4,('Calc (ex-animal)'!$L$14+'Calc (ex-animal)'!$K$14)*'Calc (ex-housing, ex-storage)'!F45/100*VLOOKUP(D45,'DB technologies'!$N$27:$Y$38,11,FALSE)/100/VLOOKUP($C$44,'DB animal categories'!$C$22:$AC$31,27,FALSE)*AJ45-AC45*VLOOKUP(D45,'DB technologies'!$N$27:$Y$38,11,FALSE)/100,0))))</f>
        <v/>
      </c>
      <c r="AP45" s="182" t="str">
        <f>IF(D45="","",IF(AO45&lt;-0.01,0,IF(AI45=2,(('Calc (ex-animal)'!$L$14*'Calc (ex-housing, ex-storage)'!F45/100+'Calc (ex-animal)'!$K$14*'Calc (ex-housing, ex-storage)'!F45/100))/VLOOKUP($C$44,'DB animal categories'!$C$22:$AC$31,27,FALSE)*AJ45+Q45+R45+S45-AC45,IF(AI45=1,('Calc (ex-animal)'!$L$14*'Calc (ex-housing, ex-storage)'!F45/100)/VLOOKUP($C$44,'DB animal categories'!$C$22:$AC$31,27,FALSE)*AJ45-'Calc (ex-housing, ex-storage)'!AC45,IF(AI45=4,('Calc (ex-animal)'!$L$14+'Calc (ex-animal)'!$K$14)*'Calc (ex-housing, ex-storage)'!F45/100*VLOOKUP(D45,'DB technologies'!$N$27:$Y$38,11,FALSE)/100/VLOOKUP($C$44,'DB animal categories'!$C$22:$AC$31,27,FALSE)*AJ45-AC45*VLOOKUP(D45,'DB technologies'!$N$27:$Y$38,11,FALSE)/100,0)))))</f>
        <v/>
      </c>
      <c r="AQ45" s="182" t="str">
        <f>IF(D45="","",IF(AI45=2,('Calc (ex-animal)'!$O$14*'Calc (ex-housing, ex-storage)'!F45/100+'Calc (ex-animal)'!$N$14*'Calc (ex-housing, ex-storage)'!F45/100)/VLOOKUP($C$44,'DB animal categories'!$C$22:$AC$31,27,FALSE)*AJ45+U45+V45+W45,IF(AI45=1,'Calc (ex-animal)'!$O$14*'Calc (ex-housing, ex-storage)'!F45/100/VLOOKUP($C$44,'DB animal categories'!$C$22:$AC$31,27,FALSE)*AJ45,IF(AI45=4,('Calc (ex-animal)'!$O$14+'Calc (ex-animal)'!$N$14)*'Calc (ex-housing, ex-storage)'!F45/100*VLOOKUP(D45,'DB technologies'!$N$27:$Y$38,11,FALSE)/100/VLOOKUP($C$44,'DB animal categories'!$C$22:$AC$31,27,FALSE)*AJ45,0))))</f>
        <v/>
      </c>
      <c r="AR45" s="182" t="str">
        <f>IF(D45="","",IF(AI45=2,('Calc (ex-animal)'!$R$14*'Calc (ex-housing, ex-storage)'!F45/100+'Calc (ex-animal)'!$Q$14*'Calc (ex-housing, ex-storage)'!F45/100)/VLOOKUP($C$44,'DB animal categories'!$C$22:$AC$31,27,FALSE)*AJ45+Y45+Z45+AA45,IF(AI45=1,'Calc (ex-animal)'!$R$14*'Calc (ex-housing, ex-storage)'!F45/100/VLOOKUP($C$44,'DB animal categories'!$C$22:$AC$31,27,FALSE)*AJ45,IF(AI45=4,('Calc (ex-animal)'!$R$14+'Calc (ex-animal)'!$Q$14)*'Calc (ex-housing, ex-storage)'!F45/100*VLOOKUP(D45,'DB technologies'!$N$27:$Y$38,11,FALSE)/100/VLOOKUP($C$44,'DB animal categories'!$C$22:$AC$31,27,FALSE)*AJ45,0))))</f>
        <v/>
      </c>
      <c r="AS45" s="181" t="str">
        <f>IF(D45="","",VLOOKUP(D45,'DB technologies'!$N$27:$Y$38,10,FALSE))</f>
        <v/>
      </c>
      <c r="AT45" s="442" t="str">
        <f>IF(AS45="","",AU45+AV45)</f>
        <v/>
      </c>
      <c r="AU45" s="442" t="str">
        <f>IF(D45="","",IF(AS45=2,0,IF(AS45=1,'Calc (ex-animal)'!$G$14*'DB additional information '!$K$5/100*(1-VLOOKUP(D45,'DB technologies'!$N$27:$Y$38,8,FALSE)/100)*'Calc (ex-housing, ex-storage)'!F45/100/VLOOKUP($C$44,'DB animal categories'!$C$22:$AC$31,27,FALSE)*AJ45+I45+J45+K45,IF(AS45=5,(('Calc (ex-animal)'!$G$14*'DB additional information '!$K$5/100+'Calc (ex-animal)'!$H$14*'DB additional information '!$L$5/100))*(1-VLOOKUP(D45,'DB technologies'!$N$27:$Y$38,9,FALSE)/100)*'Calc (ex-housing, ex-storage)'!F45/100/VLOOKUP($C$44,'DB animal categories'!$C$22:$AC$31,27,FALSE)*AJ45+I45+J45+K45,IF(AS45=3,('Calc (ex-animal)'!$G$14*'DB additional information '!$K$5/100+'Calc (ex-animal)'!$H$14*'DB additional information '!$L$5/100)*(1-VLOOKUP(D45,'DB technologies'!$N$27:$Y$38,9,FALSE)/100)*'Calc (ex-housing, ex-storage)'!F45/100/VLOOKUP($C$44,'DB animal categories'!$C$22:$AC$31,27,FALSE)*AJ45+I45+J45+K45,IF(AS45=4,('Calc (ex-animal)'!$G$14*'DB additional information '!$K$5/100+'Calc (ex-animal)'!$H$14*'DB additional information '!$L$5/100)*(1-VLOOKUP(D45,'DB technologies'!$N$27:$Y$38,9,FALSE)/100)*'Calc (ex-housing, ex-storage)'!F45/100*VLOOKUP(D45,'DB technologies'!$N$27:$Y$38,12,FALSE)/100/VLOOKUP($C$44,'DB animal categories'!$C$22:$AC$31,27,FALSE)*AJ45+I45+J45+K45,0))))))</f>
        <v/>
      </c>
      <c r="AV45" s="442" t="str">
        <f>IF(D45="","",IF(AS45=2,0,IF(AS45=1,'Calc (ex-animal)'!$G$14*(1-'DB additional information '!$K$5/100)*(1-VLOOKUP(D45,'DB technologies'!$N$27:$Y$38,8,FALSE)/100)*'Calc (ex-housing, ex-storage)'!F45/100/VLOOKUP($C$44,'DB animal categories'!$C$22:$AC$31,27,FALSE)*AJ45+M45+N45+O45,IF(AS45=5,('Calc (ex-animal)'!$G$14*(1-'DB additional information '!$K$5/100)+'Calc (ex-animal)'!$H$14*(1-'DB additional information '!$L$5/100))*(1-VLOOKUP(D45,'DB technologies'!$N$27:$Y$38,8,FALSE)/100)*'Calc (ex-housing, ex-storage)'!F45/100/VLOOKUP($C$44,'DB animal categories'!$C$22:$AC$31,27,FALSE)*AJ45+M45+N45+O45,IF(AS45=3,('Calc (ex-animal)'!$G$14*(1-'DB additional information '!$K$5/100)+'Calc (ex-animal)'!$H$14*(1-'DB additional information '!$L$5/100))*(1-VLOOKUP(D45,'DB technologies'!$N$27:$Y$38,8,FALSE)/100)*'Calc (ex-housing, ex-storage)'!F45/100/VLOOKUP($C$44,'DB animal categories'!$C$22:$AC$31,27,FALSE)*AJ45+M45+N45+O45,IF(AS45=4,('Calc (ex-animal)'!$G$14*(1-'DB additional information '!$K$5/100)+'Calc (ex-animal)'!$H$14*(1-'DB additional information '!$L$5/100))*(1-VLOOKUP(D45,'DB technologies'!$N$27:$Y$38,8,FALSE)/100)*'Calc (ex-housing, ex-storage)'!F45/100*VLOOKUP(D45,'DB technologies'!$N$27:$Y$38,12,FALSE)/100/VLOOKUP($C$44,'DB animal categories'!$C$22:$AC$31,27,FALSE)*AJ45+M45+N45+O45,0))))))</f>
        <v/>
      </c>
      <c r="AW45" s="442" t="str">
        <f>IF(AS45="","",IF(AU45=0,0,AU45/AT45*100))</f>
        <v/>
      </c>
      <c r="AX45" s="182" t="str">
        <f>IF(D45="","",IF(AS45=2,0,IF(AS45=1,'Calc (ex-animal)'!$K$14*'Calc (ex-housing, ex-storage)'!F45/100/VLOOKUP($C$44,'DB animal categories'!$C$22:$AC$31,27,FALSE)*AJ45+Q45+R45+S45,IF(AS45=5,('Calc (ex-animal)'!$K$14+'Calc (ex-animal)'!$L$14)*'Calc (ex-housing, ex-storage)'!F45/100/VLOOKUP($C$44,'DB animal categories'!$C$22:$AC$31,27,FALSE)*AJ45+Q45+R45+S45-'Calc (ex-housing, ex-storage)'!AC45,IF(AS45=3,('Calc (ex-animal)'!$K$14+'Calc (ex-animal)'!$L$14)*'Calc (ex-housing, ex-storage)'!F45/100/VLOOKUP($C$44,'DB animal categories'!$C$22:$AC$31,27,FALSE)*AJ45+Q45+R45+S45-'Calc (ex-housing, ex-storage)'!AC45-AD45-AE45,IF(AI45=4,('Calc (ex-animal)'!$K$14+'Calc (ex-animal)'!$L$14)*'Calc (ex-housing, ex-storage)'!F45/100*VLOOKUP(D45,'DB technologies'!$N$27:$Y$38,12,FALSE)/100/VLOOKUP($C$44,'DB animal categories'!$C$22:$AC$31,27,FALSE)*AJ45+Q45+R45+S45-(VLOOKUP(D45,'DB technologies'!$N$27:$Y$38,12,FALSE)/100*AC45)-AD45-AE45,0))))))</f>
        <v/>
      </c>
      <c r="AY45" s="182" t="str">
        <f>IF(D45="","",IF(AS45=2,0,IF(AS45=1,'Calc (ex-animal)'!$N$14*'Calc (ex-housing, ex-storage)'!F45/100/VLOOKUP($C$44,'DB animal categories'!$C$22:$AC$31,27,FALSE)*AJ45+U45+V45+W45,IF(AS45=5,('Calc (ex-animal)'!$N$14+'Calc (ex-animal)'!$O$14)*'Calc (ex-housing, ex-storage)'!F45/100/VLOOKUP($C$44,'DB animal categories'!$C$22:$AC$31,27,FALSE)*AJ45+U45+V45+W45,IF(AS45=3,('Calc (ex-animal)'!$N$14+'Calc (ex-animal)'!$O$14)*'Calc (ex-housing, ex-storage)'!F45/100/VLOOKUP($C$44,'DB animal categories'!$C$22:$AC$31,27,FALSE)*AJ45+U45+V45+W45,IF(AS45=4,('Calc (ex-animal)'!$N$14+'Calc (ex-animal)'!$O$14)*'Calc (ex-housing, ex-storage)'!F45/100*VLOOKUP(D45,'DB technologies'!$N$27:$Y$38,12,FALSE)/100/VLOOKUP($C$44,'DB animal categories'!$C$22:$AC$31,27,FALSE)*AJ45+U45+V45+W45,0))))))</f>
        <v/>
      </c>
      <c r="AZ45" s="182" t="str">
        <f>IF(D45="","",IF(AS45=2,0,IF(AS45=1,'Calc (ex-animal)'!$Q$14*'Calc (ex-housing, ex-storage)'!F45/100/VLOOKUP($C$44,'DB animal categories'!$C$22:$AC$31,27,FALSE)*AJ45+Y45+Z45+AA45,IF(AS45=5,('Calc (ex-animal)'!$Q$14+'Calc (ex-animal)'!$R$14)*'Calc (ex-housing, ex-storage)'!F45/100/VLOOKUP($C$44,'DB animal categories'!$C$22:$AC$31,27,FALSE)*AJ45+Y45+Z45+AA45,IF(AS45=3,('Calc (ex-animal)'!$Q$14+'Calc (ex-animal)'!$R$14)*'Calc (ex-housing, ex-storage)'!F45/100/VLOOKUP($C$44,'DB animal categories'!$C$22:$AC$31,27,FALSE)*AJ45+Y45+Z45+AA45,IF(AS45=4,('Calc (ex-animal)'!$Q$14+'Calc (ex-animal)'!$R$14)*'Calc (ex-housing, ex-storage)'!F45/100*VLOOKUP(D45,'DB technologies'!$N$27:$Y$38,12,FALSE)/100/VLOOKUP($C$44,'DB animal categories'!$C$22:$AC$31,27,FALSE)*AJ45+Y45+Z45+AA45,0))))))</f>
        <v/>
      </c>
      <c r="BA45" s="506"/>
      <c r="BB45" s="506"/>
      <c r="BC45" s="506"/>
      <c r="BD45" s="73"/>
      <c r="BE45" s="73"/>
      <c r="BF45" s="73"/>
      <c r="BG45" s="73"/>
      <c r="BH45" s="73"/>
      <c r="BI45" s="73"/>
      <c r="BJ45" s="450"/>
      <c r="BK45" s="73"/>
      <c r="BL45" s="603"/>
      <c r="BM45" s="73"/>
      <c r="BN45" s="73"/>
      <c r="BO45" s="73"/>
      <c r="BP45" s="73"/>
      <c r="BQ45" s="73"/>
      <c r="BR45" s="73"/>
      <c r="BS45" s="73"/>
      <c r="BT45" s="73"/>
    </row>
    <row r="46" spans="1:72" ht="11.25" customHeight="1" x14ac:dyDescent="0.2">
      <c r="A46" s="684"/>
      <c r="B46" s="695"/>
      <c r="C46" s="251"/>
      <c r="D46" s="1357"/>
      <c r="E46" s="1358"/>
      <c r="F46" s="480" t="str">
        <f>IF('Calc (ex-animal)'!$F$9=1,"",IF($C$44=0,"",IF(D46="","",E46/'Calc (ex-animal)'!$E$14*100)))</f>
        <v/>
      </c>
      <c r="G46" s="485" t="str">
        <f>IF($C$44=0,"",IF('Calc (ex-animal)'!$F$8=1,"",IF(D46="","",SUM(H46:O46))))</f>
        <v/>
      </c>
      <c r="H46" s="423" t="str">
        <f>IF('Calc (ex-animal)'!$F$8=1,"",IF(D46="","",(((VLOOKUP($C$44,'Calc (ex-animal)'!$D$13:$Y$17,6,FALSE)-VLOOKUP($C$44,'Calc (ex-animal)'!$D$13:$Y$17,17,FALSE))*F46/100))*VLOOKUP($C$44,'Calc (ex-animal)'!$D$13:$Y$17,7,FALSE)/100*(1-VLOOKUP(D46,'DB technologies'!$N$27:$Y$38,9,FALSE)/100)))</f>
        <v/>
      </c>
      <c r="I46" s="423" t="str">
        <f>IF(D46="","",((VLOOKUP(D46,'DB technologies'!$N$27:$Y$38,2,FALSE)*VLOOKUP($C$44,'DB animal categories'!$C$22:$AC$31,27,FALSE)*E46/1000)/VLOOKUP($C$44,'DB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'!$S$6/100*(1-VLOOKUP(D46,'DB technologies'!$N$27:$Y$38,9,FALSE)/100)))</f>
        <v/>
      </c>
      <c r="J46" s="434" t="str">
        <f>IF(D46="","",((VLOOKUP(D46,'DB technologies'!$N$27:$Y$38,3,FALSE)*VLOOKUP($C$44,'DB animal categories'!$C$22:$AC$31,27,FALSE)*E46/1000)/VLOOKUP($C$44,'DB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'!$S$7/100*(1-VLOOKUP(D46,'DB technologies'!$N$27:$Y$38,9,FALSE)/100)))</f>
        <v/>
      </c>
      <c r="K46" s="434" t="str">
        <f>IF(D46="","",((VLOOKUP(D46,'DB technologies'!$N$27:$Y$38,4,FALSE)*E46*'DB additional information '!$S$8/100*(1-VLOOKUP(D46,'DB technologies'!$N$27:$Y$38,9,FALSE)/100))/VLOOKUP($C$44,'DB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L46" s="423" t="str">
        <f>IF('Calc (ex-animal)'!$F$8=1,"",IF(D46="","",(((VLOOKUP($C$44,'Calc (ex-animal)'!$D$13:$Y$17,6,FALSE)-VLOOKUP($C$44,'Calc (ex-animal)'!$D$13:$Y$17,17,FALSE))*F46/100))*(1-VLOOKUP($C$44,'Calc (ex-animal)'!$D$13:$Y$17,7,FALSE)/100)*(1-VLOOKUP(D46,'DB technologies'!$N$27:$V$38,8,FALSE)/100)))</f>
        <v/>
      </c>
      <c r="M46" s="434" t="str">
        <f>IF(D46="","",((VLOOKUP(D46,'DB technologies'!$N$27:$Y$38,2,FALSE)*VLOOKUP($C$44,'DB animal categories'!$C$22:$AC$31,27,FALSE)*E46/1000)/VLOOKUP($C$44,'DB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'!$S$6/100)*(1-VLOOKUP(D46,'DB technologies'!$N$27:$Y$38,9,FALSE)/100))</f>
        <v/>
      </c>
      <c r="N46" s="434" t="str">
        <f>IF(D46="","",((VLOOKUP(D46,'DB technologies'!$N$27:$Y$38,3,FALSE)*VLOOKUP($C$44,'DB animal categories'!$C$22:$AC$31,27,FALSE)*E46/1000)/VLOOKUP($C$44,'DB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'!$S$7/100)*(1-VLOOKUP(D46,'DB technologies'!$N$27:$Y$38,9,FALSE)/100))</f>
        <v/>
      </c>
      <c r="O46" s="423" t="str">
        <f>IF(D46="","",((VLOOKUP(D46,'DB technologies'!$N$27:$Y$38,4,FALSE)*E46*(1-'DB additional information '!$S$8/100)*(1-VLOOKUP(D46,'DB technologies'!$N$27:$Y$38,8,FALSE)/100))/VLOOKUP($C$44,'DB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P46" s="438" t="str">
        <f>IF(G46=0,0,IF(E46="","",IF(F46="","",IF($C$44=0,"",IF(D46="","",SUM(H46:K46)/G46*100)))))</f>
        <v/>
      </c>
      <c r="Q46" s="416" t="str">
        <f>IF(D46="","",(VLOOKUP(D46,'DB technologies'!$N$27:$Y$38,2,FALSE)*'DB additional information '!$S$6/100*'DB additional information '!$T$6*VLOOKUP($C$44,'DB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R46" s="416" t="str">
        <f>IF(D46="","",(VLOOKUP(D46,'DB technologies'!$N$27:$Y$38,3,FALSE)*'DB additional information '!$S$7/100*'DB additional information '!$T$7*VLOOKUP($C$44,'DB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S46" s="491" t="str">
        <f>IF(D46="","",(VLOOKUP(D46,'DB technologies'!$N$27:$Y$38,4,FALSE)*('DB additional information '!$S$8/100*'DB additional information '!$T$8*E46/1000/1000)))</f>
        <v/>
      </c>
      <c r="T46" s="264" t="str">
        <f>IF($C$44=0,"",IF('Calc (ex-animal)'!$F$9=1,"",IF(D46="","",((VLOOKUP($C$44,'Calc (ex-animal)'!$D$13:$Y$17,10,FALSE)-VLOOKUP($C$44,'Calc (ex-animal)'!$D$13:$Y$17,18,FALSE))*F46/100+Q46+R46+S46)-AC46-AD46-AE46)))</f>
        <v/>
      </c>
      <c r="U46" s="422" t="str">
        <f>IF(D46="","",(VLOOKUP(D46,'DB technologies'!$N$27:$Y$38,2,FALSE)*'DB additional information '!$S$6/100*'DB additional information '!$U$6*VLOOKUP($C$44,'DB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V46" s="418" t="str">
        <f>IF(D46="","",(VLOOKUP(D46,'DB technologies'!$N$27:$Y$38,3,FALSE)*'DB additional information '!$S$7/100*'DB additional information '!$U$7*VLOOKUP($C$44,'DB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W46" s="417" t="str">
        <f>IF(D46="","",(VLOOKUP(D46,'DB technologies'!$N$27:$Y$38,4,FALSE)*('DB additional information '!$S$8/100*'DB additional information '!$U$8*E46/1000/1000)))</f>
        <v/>
      </c>
      <c r="X46" s="261" t="str">
        <f>IF($C$44=0,"",IF('Calc (ex-animal)'!$F$9=1,"",IF(D46="","",((VLOOKUP($C$44,'Calc (ex-animal)'!$D$13:$Y$17,13,FALSE)-VLOOKUP($C$44,'Calc (ex-animal)'!$D$13:$Y$17,19,FALSE))*F46/100+U46+V46+W46))))</f>
        <v/>
      </c>
      <c r="Y46" s="418" t="str">
        <f>IF(D46="","",(VLOOKUP(D46,'DB technologies'!$N$27:$Y$38,2,FALSE)*'DB additional information '!$S$6/100*'DB additional information '!$V$6*VLOOKUP($C$44,'DB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Z46" s="418" t="str">
        <f>IF(D46="","",(VLOOKUP(D46,'DB technologies'!$N$27:$Y$38,3,FALSE)*'DB additional information '!$S$7/100*'DB additional information '!$V$7*VLOOKUP($C$44,'DB animal categories'!$C$22:$AC$31,27,FALSE)*E46/1000/1000)/VLOOKUP($C$44,'DB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AA46" s="418" t="str">
        <f>IF(D46="","",(VLOOKUP(D46,'DB technologies'!$N$27:$Y$38,4,FALSE)*('DB additional information '!$S$8/100*'DB additional information '!$V$8*E46/1000/1000)))</f>
        <v/>
      </c>
      <c r="AB46" s="261" t="str">
        <f>IF($C$44=0,"",IF('Calc (ex-animal)'!$F$8=1,"",IF(D46="","",((VLOOKUP($C$44,'Calc (ex-animal)'!$D$13:$Y$17,16,FALSE)-VLOOKUP($C$44,'Calc (ex-animal)'!$D$13:$Y$17,20,FALSE))*F46/100+Y46+Z46+AA46))))</f>
        <v/>
      </c>
      <c r="AC46" s="261" t="str">
        <f>IF($C$44=0,"",IF('Calc (ex-animal)'!$F$8=1,"",IF(D46="","",VLOOKUP($C$44,'Calc (ex-animal)'!$D$13:$Y$17,9,FALSE)/VLOOKUP($C$44,'DB animal categories'!$C$22:$AC$31,27,FALSE)*(VLOOKUP($C$44,'DB animal categories'!$C$22:$AC$31,27,FALSE)-VLOOKUP($C$44,'DB animal categories'!$C$22:$AC$31,25,FALSE)*VLOOKUP($C$44,'DB animal categories'!$C$22:$AC$31,26,FALSE)/24)*F46/100*VLOOKUP(D46,'DB technologies'!$N$27:$R$38,5,FALSE)/100)))</f>
        <v/>
      </c>
      <c r="AD46" s="261" t="str">
        <f>IF($C$44=0,"",IF('Calc (ex-animal)'!$F$8=1,"",IF(D46="","",VLOOKUP($C$44,'Calc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categories'!$C$22:$AC$31,26,FALSE)/24)*F46/100*VLOOKUP(D46,'DB technologies'!$N$27:$Y$38,6,FALSE)/100)))</f>
        <v/>
      </c>
      <c r="AE46" s="262" t="str">
        <f>IF($C$44=0,"",IF('Calc (ex-animal)'!$F$8=1,"",IF(D46="","",VLOOKUP($C$44,'Calc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categories'!$C$22:$AC$31,26,FALSE)/24)*F46/100*VLOOKUP(D46,'DB technologies'!$N$27:$Y$38,7,FALSE)/100)))</f>
        <v/>
      </c>
      <c r="AG46" s="694" t="s">
        <v>79</v>
      </c>
      <c r="AH46" s="694" t="s">
        <v>129</v>
      </c>
      <c r="AI46" s="181" t="str">
        <f>IF(D46="","",VLOOKUP(D46,'DB technologies'!$N$27:$Y$38,10,FALSE))</f>
        <v/>
      </c>
      <c r="AJ46" s="449" t="e">
        <f>VLOOKUP($C$44,'DB animal categories'!$C$22:$AN$31,27,FALSE)-VLOOKUP($C$44,'DB animal categories'!$C$22:$AN$31,26,FALSE)*VLOOKUP($C$44,'DB animal categories'!$C$22:$AN$31,25,FALSE)/24</f>
        <v>#N/A</v>
      </c>
      <c r="AK46" s="442" t="str">
        <f>IF(AI46="","",AL46+AM46)</f>
        <v/>
      </c>
      <c r="AL46" s="442" t="str">
        <f>IF(D46="","",IF(AI46=2,(('Calc (ex-animal)'!$G$14*'DB additional information '!$K$5/100*(1-VLOOKUP(D46,'DB technologies'!$N$27:$Y$38,9,FALSE)/100)*'Calc (ex-housing, ex-storage)'!F46/100+'Calc (ex-animal)'!$H$14*'DB additional information '!$L$5/100*(1-VLOOKUP(D46,'DB technologies'!$N$27:$Y$38,9,FALSE)/100)*'Calc (ex-housing, ex-storage)'!F46/100))/VLOOKUP($C$44,'DB animal categories'!$C$22:$AC$31,27,FALSE)*AJ46+I46+J46+K46,IF(AI46=1,('Calc (ex-animal)'!$H$14*'DB additional information '!$L$5/100*(1-VLOOKUP(D46,'DB technologies'!$N$27:$Y$38,9,FALSE)/100)*'Calc (ex-housing, ex-storage)'!F46/100)/VLOOKUP($C$44,'DB animal categories'!$C$22:$AC$31,27,FALSE)*AJ46,IF(AI46=4,('Calc (ex-animal)'!$G$14*'DB additional information '!$K$5/100+'Calc (ex-animal)'!$H$14*'DB additional information '!$L$5/100)*(1-VLOOKUP(D46,'DB technologies'!$N$27:$Y$38,9,FALSE)/100)*'Calc (ex-housing, ex-storage)'!F46/100*VLOOKUP(D46,'DB technologies'!$N$27:$Y$38,11,FALSE)/100/VLOOKUP($C$44,'DB animal categories'!$C$22:$AC$31,27,FALSE)*AJ46,0))))</f>
        <v/>
      </c>
      <c r="AM46" s="442" t="str">
        <f>IF(D46="","",IF(AI46=2,(('Calc (ex-animal)'!$G$14*(1-'DB additional information '!$K$5/100)*(1-VLOOKUP(D46,'DB technologies'!$N$27:$Y$38,8,FALSE)/100)*'Calc (ex-housing, ex-storage)'!F46/100+'Calc (ex-animal)'!$H$14*(1-'DB additional information '!$L$5/100)*(1-VLOOKUP(D46,'DB technologies'!$N$27:$Y$38,8,FALSE)/100)*'Calc (ex-housing, ex-storage)'!F46/100))/VLOOKUP($C$44,'DB animal categories'!$C$22:$AC$31,27,FALSE)*AJ46+M46+N46+O46,IF(AI46=1,('Calc (ex-animal)'!$H$14*(1-'DB additional information '!$L$5/100)*(1-VLOOKUP(D46,'DB technologies'!$N$27:$Y$38,8,FALSE)/100)*'Calc (ex-housing, ex-storage)'!F46/100)/VLOOKUP($C$44,'DB animal categories'!$C$22:$AC$31,27,FALSE)*AJ46,IF(AI46=4,('Calc (ex-animal)'!$G$14*(1-'DB additional information '!$K$5/100)+'Calc (ex-animal)'!$H$14*(1-'DB additional information '!$L$5/100))*(1-VLOOKUP(D46,'DB technologies'!$N$27:$Y$38,8,FALSE)/100)*'Calc (ex-housing, ex-storage)'!F46/100*VLOOKUP(D46,'DB technologies'!$N$27:$Y$38,11,FALSE)/100/VLOOKUP($C$44,'DB animal categories'!$C$22:$AC$31,27,FALSE)*AJ46,0))))</f>
        <v/>
      </c>
      <c r="AN46" s="442" t="str">
        <f>IF(AI46="","",IF(AL46=0,0,AL46/AK46*100))</f>
        <v/>
      </c>
      <c r="AO46" s="182" t="str">
        <f>IF(D46="","",IF(AI46=2,(('Calc (ex-animal)'!$L$14*'Calc (ex-housing, ex-storage)'!F46/100+'Calc (ex-animal)'!$K$14*'Calc (ex-housing, ex-storage)'!F46/100))/VLOOKUP($C$44,'DB animal categories'!$C$22:$AC$31,27,FALSE)*AJ46+Q46+R46+S46-AC46,IF(AI46=1,('Calc (ex-animal)'!$L$14*'Calc (ex-housing, ex-storage)'!F46/100)/VLOOKUP($C$44,'DB animal categories'!$C$22:$AC$31,27,FALSE)*AJ46-'Calc (ex-housing, ex-storage)'!AC46,IF(AI46=4,('Calc (ex-animal)'!$L$14+'Calc (ex-animal)'!$K$14)*'Calc (ex-housing, ex-storage)'!F46/100*VLOOKUP(D46,'DB technologies'!$N$27:$Y$38,11,FALSE)/100/VLOOKUP($C$44,'DB animal categories'!$C$22:$AC$31,27,FALSE)*AJ46-AC46*VLOOKUP(D46,'DB technologies'!$N$27:$Y$38,11,FALSE)/100,0))))</f>
        <v/>
      </c>
      <c r="AP46" s="182" t="str">
        <f>IF(D46="","",IF(AO46&lt;-0.01,0,IF(AI46=2,(('Calc (ex-animal)'!$L$14*'Calc (ex-housing, ex-storage)'!F46/100+'Calc (ex-animal)'!$K$14*'Calc (ex-housing, ex-storage)'!F46/100))/VLOOKUP($C$44,'DB animal categories'!$C$22:$AC$31,27,FALSE)*AJ46+Q46+R46+S46-AC46,IF(AI46=1,('Calc (ex-animal)'!$L$14*'Calc (ex-housing, ex-storage)'!F46/100)/VLOOKUP($C$44,'DB animal categories'!$C$22:$AC$31,27,FALSE)*AJ46-'Calc (ex-housing, ex-storage)'!AC46,IF(AI46=4,('Calc (ex-animal)'!$L$14+'Calc (ex-animal)'!$K$14)*'Calc (ex-housing, ex-storage)'!F46/100*VLOOKUP(D46,'DB technologies'!$N$27:$Y$38,11,FALSE)/100/VLOOKUP($C$44,'DB animal categories'!$C$22:$AC$31,27,FALSE)*AJ46-AC46*VLOOKUP(D46,'DB technologies'!$N$27:$Y$38,11,FALSE)/100,0)))))</f>
        <v/>
      </c>
      <c r="AQ46" s="182" t="str">
        <f>IF(D46="","",IF(AI46=2,('Calc (ex-animal)'!$O$14*'Calc (ex-housing, ex-storage)'!F46/100+'Calc (ex-animal)'!$N$14*'Calc (ex-housing, ex-storage)'!F46/100)/VLOOKUP($C$44,'DB animal categories'!$C$22:$AC$31,27,FALSE)*AJ46+U46+V46+W46,IF(AI46=1,'Calc (ex-animal)'!$O$14*'Calc (ex-housing, ex-storage)'!F46/100/VLOOKUP($C$44,'DB animal categories'!$C$22:$AC$31,27,FALSE)*AJ46,IF(AI46=4,('Calc (ex-animal)'!$O$14+'Calc (ex-animal)'!$N$14)*'Calc (ex-housing, ex-storage)'!F46/100*VLOOKUP(D46,'DB technologies'!$N$27:$Y$38,11,FALSE)/100/VLOOKUP($C$44,'DB animal categories'!$C$22:$AC$31,27,FALSE)*AJ46,0))))</f>
        <v/>
      </c>
      <c r="AR46" s="182" t="str">
        <f>IF(D46="","",IF(AI46=2,('Calc (ex-animal)'!$R$14*'Calc (ex-housing, ex-storage)'!F46/100+'Calc (ex-animal)'!$Q$14*'Calc (ex-housing, ex-storage)'!F46/100)/VLOOKUP($C$44,'DB animal categories'!$C$22:$AC$31,27,FALSE)*AJ46+Y46+Z46+AA46,IF(AI46=1,'Calc (ex-animal)'!$R$14*'Calc (ex-housing, ex-storage)'!F46/100/VLOOKUP($C$44,'DB animal categories'!$C$22:$AC$31,27,FALSE)*AJ46,IF(AI46=4,('Calc (ex-animal)'!$R$14+'Calc (ex-animal)'!$Q$14)*'Calc (ex-housing, ex-storage)'!F46/100*VLOOKUP(D46,'DB technologies'!$N$27:$Y$38,11,FALSE)/100/VLOOKUP($C$44,'DB animal categories'!$C$22:$AC$31,27,FALSE)*AJ46,0))))</f>
        <v/>
      </c>
      <c r="AS46" s="181" t="str">
        <f>IF(D46="","",VLOOKUP(D46,'DB technologies'!$N$27:$Y$38,10,FALSE))</f>
        <v/>
      </c>
      <c r="AT46" s="442" t="str">
        <f>IF(AS46="","",AU46+AV46)</f>
        <v/>
      </c>
      <c r="AU46" s="442" t="str">
        <f>IF(D46="","",IF(AS46=2,0,IF(AS46=1,'Calc (ex-animal)'!$G$14*'DB additional information '!$K$5/100*(1-VLOOKUP(D46,'DB technologies'!$N$27:$Y$38,8,FALSE)/100)*'Calc (ex-housing, ex-storage)'!F46/100/VLOOKUP($C$44,'DB animal categories'!$C$22:$AC$31,27,FALSE)*AJ46+I46+J46+K46,IF(AS46=5,(('Calc (ex-animal)'!$G$14*'DB additional information '!$K$5/100+'Calc (ex-animal)'!$H$14*'DB additional information '!$L$5/100))*(1-VLOOKUP(D46,'DB technologies'!$N$27:$Y$38,9,FALSE)/100)*'Calc (ex-housing, ex-storage)'!F46/100/VLOOKUP($C$44,'DB animal categories'!$C$22:$AC$31,27,FALSE)*AJ46+I46+J46+K46,IF(AS46=3,('Calc (ex-animal)'!$G$14*'DB additional information '!$K$5/100+'Calc (ex-animal)'!$H$14*'DB additional information '!$L$5/100)*(1-VLOOKUP(D46,'DB technologies'!$N$27:$Y$38,9,FALSE)/100)*'Calc (ex-housing, ex-storage)'!F46/100/VLOOKUP($C$44,'DB animal categories'!$C$22:$AC$31,27,FALSE)*AJ46+I46+J46+K46,IF(AS46=4,('Calc (ex-animal)'!$G$14*'DB additional information '!$K$5/100+'Calc (ex-animal)'!$H$14*'DB additional information '!$L$5/100)*(1-VLOOKUP(D46,'DB technologies'!$N$27:$Y$38,9,FALSE)/100)*'Calc (ex-housing, ex-storage)'!F46/100*VLOOKUP(D46,'DB technologies'!$N$27:$Y$38,12,FALSE)/100/VLOOKUP($C$44,'DB animal categories'!$C$22:$AC$31,27,FALSE)*AJ46+I46+J46+K46,0))))))</f>
        <v/>
      </c>
      <c r="AV46" s="442" t="str">
        <f>IF(D46="","",IF(AS46=2,0,IF(AS46=1,'Calc (ex-animal)'!$G$14*(1-'DB additional information '!$K$5/100)*(1-VLOOKUP(D46,'DB technologies'!$N$27:$Y$38,8,FALSE)/100)*'Calc (ex-housing, ex-storage)'!F46/100/VLOOKUP($C$44,'DB animal categories'!$C$22:$AC$31,27,FALSE)*AJ46+M46+N46+O46,IF(AS46=5,('Calc (ex-animal)'!$G$14*(1-'DB additional information '!$K$5/100)+'Calc (ex-animal)'!$H$14*(1-'DB additional information '!$L$5/100))*(1-VLOOKUP(D46,'DB technologies'!$N$27:$Y$38,8,FALSE)/100)*'Calc (ex-housing, ex-storage)'!F46/100/VLOOKUP($C$44,'DB animal categories'!$C$22:$AC$31,27,FALSE)*AJ46+M46+N46+O46,IF(AS46=3,('Calc (ex-animal)'!$G$14*(1-'DB additional information '!$K$5/100)+'Calc (ex-animal)'!$H$14*(1-'DB additional information '!$L$5/100))*(1-VLOOKUP(D46,'DB technologies'!$N$27:$Y$38,8,FALSE)/100)*'Calc (ex-housing, ex-storage)'!F46/100/VLOOKUP($C$44,'DB animal categories'!$C$22:$AC$31,27,FALSE)*AJ46+M46+N46+O46,IF(AS46=4,('Calc (ex-animal)'!$G$14*(1-'DB additional information '!$K$5/100)+'Calc (ex-animal)'!$H$14*(1-'DB additional information '!$L$5/100))*(1-VLOOKUP(D46,'DB technologies'!$N$27:$Y$38,8,FALSE)/100)*'Calc (ex-housing, ex-storage)'!F46/100*VLOOKUP(D46,'DB technologies'!$N$27:$Y$38,12,FALSE)/100/VLOOKUP($C$44,'DB animal categories'!$C$22:$AC$31,27,FALSE)*AJ46+M46+N46+O46,0))))))</f>
        <v/>
      </c>
      <c r="AW46" s="442" t="str">
        <f>IF(AS46="","",IF(AU46=0,0,AU46/AT46*100))</f>
        <v/>
      </c>
      <c r="AX46" s="182" t="str">
        <f>IF(D46="","",IF(AS46=2,0,IF(AS46=1,'Calc (ex-animal)'!$K$14*'Calc (ex-housing, ex-storage)'!F46/100/VLOOKUP($C$44,'DB animal categories'!$C$22:$AC$31,27,FALSE)*AJ46+Q46+R46+S46,IF(AS46=5,('Calc (ex-animal)'!$K$14+'Calc (ex-animal)'!$L$14)*'Calc (ex-housing, ex-storage)'!F46/100/VLOOKUP($C$44,'DB animal categories'!$C$22:$AC$31,27,FALSE)*AJ46+Q46+R46+S46-'Calc (ex-housing, ex-storage)'!AC46,IF(AS46=3,('Calc (ex-animal)'!$K$14+'Calc (ex-animal)'!$L$14)*'Calc (ex-housing, ex-storage)'!F46/100/VLOOKUP($C$44,'DB animal categories'!$C$22:$AC$31,27,FALSE)*AJ46+Q46+R46+S46-'Calc (ex-housing, ex-storage)'!AC46-AD46-AE46,IF(AI46=4,('Calc (ex-animal)'!$K$14+'Calc (ex-animal)'!$L$14)*'Calc (ex-housing, ex-storage)'!F46/100*VLOOKUP(D46,'DB technologies'!$N$27:$Y$38,12,FALSE)/100/VLOOKUP($C$44,'DB animal categories'!$C$22:$AC$31,27,FALSE)*AJ46+Q46+R46+S46-(VLOOKUP(D46,'DB technologies'!$N$27:$Y$38,12,FALSE)/100*AC46)-AD46-AE46,0))))))</f>
        <v/>
      </c>
      <c r="AY46" s="182" t="str">
        <f>IF(D46="","",IF(AS46=2,0,IF(AS46=1,'Calc (ex-animal)'!$N$14*'Calc (ex-housing, ex-storage)'!F46/100/VLOOKUP($C$44,'DB animal categories'!$C$22:$AC$31,27,FALSE)*AJ46+U46+V46+W46,IF(AS46=5,('Calc (ex-animal)'!$N$14+'Calc (ex-animal)'!$O$14)*'Calc (ex-housing, ex-storage)'!F46/100/VLOOKUP($C$44,'DB animal categories'!$C$22:$AC$31,27,FALSE)*AJ46+U46+V46+W46,IF(AS46=3,('Calc (ex-animal)'!$N$14+'Calc (ex-animal)'!$O$14)*'Calc (ex-housing, ex-storage)'!F46/100/VLOOKUP($C$44,'DB animal categories'!$C$22:$AC$31,27,FALSE)*AJ46+U46+V46+W46,IF(AS46=4,('Calc (ex-animal)'!$N$14+'Calc (ex-animal)'!$O$14)*'Calc (ex-housing, ex-storage)'!F46/100*VLOOKUP(D46,'DB technologies'!$N$27:$Y$38,12,FALSE)/100/VLOOKUP($C$44,'DB animal categories'!$C$22:$AC$31,27,FALSE)*AJ46+U46+V46+W46,0))))))</f>
        <v/>
      </c>
      <c r="AZ46" s="182" t="str">
        <f>IF(D46="","",IF(AS46=2,0,IF(AS46=1,'Calc (ex-animal)'!$Q$14*'Calc (ex-housing, ex-storage)'!F46/100/VLOOKUP($C$44,'DB animal categories'!$C$22:$AC$31,27,FALSE)*AJ46+Y46+Z46+AA46,IF(AS46=5,('Calc (ex-animal)'!$Q$14+'Calc (ex-animal)'!$R$14)*'Calc (ex-housing, ex-storage)'!F46/100/VLOOKUP($C$44,'DB animal categories'!$C$22:$AC$31,27,FALSE)*AJ46+Y46+Z46+AA46,IF(AS46=3,('Calc (ex-animal)'!$Q$14+'Calc (ex-animal)'!$R$14)*'Calc (ex-housing, ex-storage)'!F46/100/VLOOKUP($C$44,'DB animal categories'!$C$22:$AC$31,27,FALSE)*AJ46+Y46+Z46+AA46,IF(AS46=4,('Calc (ex-animal)'!$Q$14+'Calc (ex-animal)'!$R$14)*'Calc (ex-housing, ex-storage)'!F46/100*VLOOKUP(D46,'DB technologies'!$N$27:$Y$38,12,FALSE)/100/VLOOKUP($C$44,'DB animal categories'!$C$22:$AC$31,27,FALSE)*AJ46+Y46+Z46+AA46,0))))))</f>
        <v/>
      </c>
      <c r="BA46" s="97">
        <f>SUM(AK277:AK485)</f>
        <v>0</v>
      </c>
      <c r="BB46" s="97">
        <f>SUM(AL277:AL485)</f>
        <v>0</v>
      </c>
      <c r="BC46" s="506" t="e">
        <f>BB46/BA46*100</f>
        <v>#DIV/0!</v>
      </c>
      <c r="BD46" s="97">
        <f>SUM(AP277:AP485)</f>
        <v>0</v>
      </c>
      <c r="BE46" s="97">
        <f>SUM(AQ277:AQ485)</f>
        <v>0</v>
      </c>
      <c r="BF46" s="97">
        <f>SUM(AR277:AR485)</f>
        <v>0</v>
      </c>
      <c r="BG46" s="1355"/>
      <c r="BH46" s="1363"/>
      <c r="BI46" s="599" t="str">
        <f>IF(BG46="","",$BA$46*BH46/100-($BB$46*BH46/100*VLOOKUP(BG46,'DB technologies'!$AC$43:$AT$47,5,FALSE)/100)+(VLOOKUP(BG46,'DB technologies'!$AC$43:$AT$47,12,FALSE)*$BA$46*BH46/100))</f>
        <v/>
      </c>
      <c r="BJ46" s="594">
        <f>IF(BI46="",0,BI46*BK46/100)</f>
        <v>0</v>
      </c>
      <c r="BK46" s="570" t="str">
        <f>IF(BG46="","",IF($BA$46=0,0,($BB$46*BH46/100)/BI46*(1-(VLOOKUP(BG46,'DB technologies'!$AC$43:$AQ$47,5,FALSE))/100)*100))</f>
        <v/>
      </c>
      <c r="BL46" s="259" t="str">
        <f>IF(BG46="","",$BD$46*BH46/100-BO46-BP46-BQ46)</f>
        <v/>
      </c>
      <c r="BM46" s="259" t="str">
        <f>IF(BG46="","",$BE$46*BH46/100)</f>
        <v/>
      </c>
      <c r="BN46" s="259" t="str">
        <f>IF(BG46="","",$BF$46*BH46/100)</f>
        <v/>
      </c>
      <c r="BO46" s="259" t="str">
        <f>IF(BG46="","",$BD$46*BH46/100*VLOOKUP(BG46,'DB technologies'!$AC$43:$AF$47,2,FALSE)/100)</f>
        <v/>
      </c>
      <c r="BP46" s="259" t="str">
        <f>IF(BG46="","",$BD$46*BH46/100*VLOOKUP(BG46,'DB technologies'!$AC$43:$AN$47,3,FALSE)/100)</f>
        <v/>
      </c>
      <c r="BQ46" s="260" t="str">
        <f>IF(BG46="","",$BD$46*BH46/100*VLOOKUP(BG46,'DB technologies'!$AC$43:$AN$47,4,FALSE)/100)</f>
        <v/>
      </c>
      <c r="BR46" s="114"/>
      <c r="BS46" s="114"/>
      <c r="BT46" s="115"/>
    </row>
    <row r="47" spans="1:72" ht="11.25" customHeight="1" x14ac:dyDescent="0.2">
      <c r="A47" s="684"/>
      <c r="B47" s="695"/>
      <c r="C47" s="251"/>
      <c r="D47" s="1357"/>
      <c r="E47" s="1358"/>
      <c r="F47" s="480" t="str">
        <f>IF('Calc (ex-animal)'!$F$9=1,"",IF($C$44=0,"",IF(D47="","",E47/'Calc (ex-animal)'!$E$14*100)))</f>
        <v/>
      </c>
      <c r="G47" s="485" t="str">
        <f>IF($C$44=0,"",IF('Calc (ex-animal)'!$F$8=1,"",IF(D47="","",SUM(H47:O47))))</f>
        <v/>
      </c>
      <c r="H47" s="423" t="str">
        <f>IF('Calc (ex-animal)'!$F$8=1,"",IF(D47="","",(((VLOOKUP($C$44,'Calc (ex-animal)'!$D$13:$Y$17,6,FALSE)-VLOOKUP($C$44,'Calc (ex-animal)'!$D$13:$Y$17,17,FALSE))*F47/100))*VLOOKUP($C$44,'Calc (ex-animal)'!$D$13:$Y$17,7,FALSE)/100*(1-VLOOKUP(D47,'DB technologies'!$N$27:$Y$38,9,FALSE)/100)))</f>
        <v/>
      </c>
      <c r="I47" s="423" t="str">
        <f>IF(D47="","",((VLOOKUP(D47,'DB technologies'!$N$27:$Y$38,2,FALSE)*VLOOKUP($C$44,'DB animal categories'!$C$22:$AC$31,27,FALSE)*E47/1000)/VLOOKUP($C$44,'DB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'!$S$6/100*(1-VLOOKUP(D47,'DB technologies'!$N$27:$Y$38,9,FALSE)/100)))</f>
        <v/>
      </c>
      <c r="J47" s="434" t="str">
        <f>IF(D47="","",((VLOOKUP(D47,'DB technologies'!$N$27:$Y$38,3,FALSE)*VLOOKUP($C$44,'DB animal categories'!$C$22:$AC$31,27,FALSE)*E47/1000)/VLOOKUP($C$44,'DB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'!$S$7/100*(1-VLOOKUP(D47,'DB technologies'!$N$27:$Y$38,9,FALSE)/100)))</f>
        <v/>
      </c>
      <c r="K47" s="434" t="str">
        <f>IF(D47="","",((VLOOKUP(D47,'DB technologies'!$N$27:$Y$38,4,FALSE)*E47*'DB additional information '!$S$8/100*(1-VLOOKUP(D47,'DB technologies'!$N$27:$Y$38,9,FALSE)/100))/VLOOKUP($C$44,'DB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L47" s="423" t="str">
        <f>IF('Calc (ex-animal)'!$F$8=1,"",IF(D47="","",(((VLOOKUP($C$44,'Calc (ex-animal)'!$D$13:$Y$17,6,FALSE)-VLOOKUP($C$44,'Calc (ex-animal)'!$D$13:$Y$17,17,FALSE))*F47/100))*(1-VLOOKUP($C$44,'Calc (ex-animal)'!$D$13:$Y$17,7,FALSE)/100)*(1-VLOOKUP(D47,'DB technologies'!$N$27:$V$38,8,FALSE)/100)))</f>
        <v/>
      </c>
      <c r="M47" s="434" t="str">
        <f>IF(D47="","",((VLOOKUP(D47,'DB technologies'!$N$27:$Y$38,2,FALSE)*VLOOKUP($C$44,'DB animal categories'!$C$22:$AC$31,27,FALSE)*E47/1000)/VLOOKUP($C$44,'DB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'!$S$6/100)*(1-VLOOKUP(D47,'DB technologies'!$N$27:$Y$38,9,FALSE)/100))</f>
        <v/>
      </c>
      <c r="N47" s="434" t="str">
        <f>IF(D47="","",((VLOOKUP(D47,'DB technologies'!$N$27:$Y$38,3,FALSE)*VLOOKUP($C$44,'DB animal categories'!$C$22:$AC$31,27,FALSE)*E47/1000)/VLOOKUP($C$44,'DB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'!$S$7/100)*(1-VLOOKUP(D47,'DB technologies'!$N$27:$Y$38,9,FALSE)/100))</f>
        <v/>
      </c>
      <c r="O47" s="423" t="str">
        <f>IF(D47="","",((VLOOKUP(D47,'DB technologies'!$N$27:$Y$38,4,FALSE)*E47*(1-'DB additional information '!$S$8/100)*(1-VLOOKUP(D47,'DB technologies'!$N$27:$Y$38,8,FALSE)/100))/VLOOKUP($C$44,'DB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P47" s="438" t="str">
        <f>IF(G47=0,0,IF(E47="","",IF(F47="","",IF($C$44=0,"",IF(D47="","",SUM(H47:K47)/G47*100)))))</f>
        <v/>
      </c>
      <c r="Q47" s="416" t="str">
        <f>IF(D47="","",(VLOOKUP(D47,'DB technologies'!$N$27:$Y$38,2,FALSE)*'DB additional information '!$S$6/100*'DB additional information '!$T$6*VLOOKUP($C$44,'DB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R47" s="416" t="str">
        <f>IF(D47="","",(VLOOKUP(D47,'DB technologies'!$N$27:$Y$38,3,FALSE)*'DB additional information '!$S$7/100*'DB additional information '!$T$7*VLOOKUP($C$44,'DB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S47" s="491" t="str">
        <f>IF(D47="","",(VLOOKUP(D47,'DB technologies'!$N$27:$Y$38,4,FALSE)*('DB additional information '!$S$8/100*'DB additional information '!$T$8*E47/1000/1000)))</f>
        <v/>
      </c>
      <c r="T47" s="264" t="str">
        <f>IF($C$44=0,"",IF('Calc (ex-animal)'!$F$9=1,"",IF(D47="","",((VLOOKUP($C$44,'Calc (ex-animal)'!$D$13:$Y$17,10,FALSE)-VLOOKUP($C$44,'Calc (ex-animal)'!$D$13:$Y$17,18,FALSE))*F47/100+Q47+R47+S47)-AC47-AD47-AE47)))</f>
        <v/>
      </c>
      <c r="U47" s="422" t="str">
        <f>IF(D47="","",(VLOOKUP(D47,'DB technologies'!$N$27:$Y$38,2,FALSE)*'DB additional information '!$S$6/100*'DB additional information '!$U$6*VLOOKUP($C$44,'DB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V47" s="418" t="str">
        <f>IF(D47="","",(VLOOKUP(D47,'DB technologies'!$N$27:$Y$38,3,FALSE)*'DB additional information '!$S$7/100*'DB additional information '!$U$7*VLOOKUP($C$44,'DB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W47" s="417" t="str">
        <f>IF(D47="","",(VLOOKUP(D47,'DB technologies'!$N$27:$Y$38,4,FALSE)*('DB additional information '!$S$8/100*'DB additional information '!$U$8*E47/1000/1000)))</f>
        <v/>
      </c>
      <c r="X47" s="261" t="str">
        <f>IF($C$44=0,"",IF('Calc (ex-animal)'!$F$9=1,"",IF(D47="","",((VLOOKUP($C$44,'Calc (ex-animal)'!$D$13:$Y$17,13,FALSE)-VLOOKUP($C$44,'Calc (ex-animal)'!$D$13:$Y$17,19,FALSE))*F47/100+U47+V47+W47))))</f>
        <v/>
      </c>
      <c r="Y47" s="418" t="str">
        <f>IF(D47="","",(VLOOKUP(D47,'DB technologies'!$N$27:$Y$38,2,FALSE)*'DB additional information '!$S$6/100*'DB additional information '!$V$6*VLOOKUP($C$44,'DB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Z47" s="418" t="str">
        <f>IF(D47="","",(VLOOKUP(D47,'DB technologies'!$N$27:$Y$38,3,FALSE)*'DB additional information '!$S$7/100*'DB additional information '!$V$7*VLOOKUP($C$44,'DB animal categories'!$C$22:$AC$31,27,FALSE)*E47/1000/1000)/VLOOKUP($C$44,'DB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AA47" s="418" t="str">
        <f>IF(D47="","",(VLOOKUP(D47,'DB technologies'!$N$27:$Y$38,4,FALSE)*('DB additional information '!$S$8/100*'DB additional information '!$V$8*E47/1000/1000)))</f>
        <v/>
      </c>
      <c r="AB47" s="261" t="str">
        <f>IF($C$44=0,"",IF('Calc (ex-animal)'!$F$8=1,"",IF(D47="","",((VLOOKUP($C$44,'Calc (ex-animal)'!$D$13:$Y$17,16,FALSE)-VLOOKUP($C$44,'Calc (ex-animal)'!$D$13:$Y$17,20,FALSE))*F47/100+Y47+Z47+AA47))))</f>
        <v/>
      </c>
      <c r="AC47" s="261" t="str">
        <f>IF($C$44=0,"",IF('Calc (ex-animal)'!$F$8=1,"",IF(D47="","",VLOOKUP($C$44,'Calc (ex-animal)'!$D$13:$Y$17,9,FALSE)/VLOOKUP($C$44,'DB animal categories'!$C$22:$AC$31,27,FALSE)*(VLOOKUP($C$44,'DB animal categories'!$C$22:$AC$31,27,FALSE)-VLOOKUP($C$44,'DB animal categories'!$C$22:$AC$31,25,FALSE)*VLOOKUP($C$44,'DB animal categories'!$C$22:$AC$31,26,FALSE)/24)*F47/100*VLOOKUP(D47,'DB technologies'!$N$27:$R$38,5,FALSE)/100)))</f>
        <v/>
      </c>
      <c r="AD47" s="261" t="str">
        <f>IF($C$44=0,"",IF('Calc (ex-animal)'!$F$8=1,"",IF(D47="","",VLOOKUP($C$44,'Calc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categories'!$C$22:$AC$31,26,FALSE)/24)*F47/100*VLOOKUP(D47,'DB technologies'!$N$27:$Y$38,6,FALSE)/100)))</f>
        <v/>
      </c>
      <c r="AE47" s="262" t="str">
        <f>IF($C$44=0,"",IF('Calc (ex-animal)'!$F$8=1,"",IF(D47="","",VLOOKUP($C$44,'Calc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categories'!$C$22:$AC$31,26,FALSE)/24)*F47/100*VLOOKUP(D47,'DB technologies'!$N$27:$Y$38,7,FALSE)/100)))</f>
        <v/>
      </c>
      <c r="AG47" s="695"/>
      <c r="AH47" s="695"/>
      <c r="AI47" s="181" t="str">
        <f>IF(D47="","",VLOOKUP(D47,'DB technologies'!$N$27:$Y$38,10,FALSE))</f>
        <v/>
      </c>
      <c r="AJ47" s="449" t="e">
        <f>VLOOKUP($C$44,'DB animal categories'!$C$22:$AN$31,27,FALSE)-VLOOKUP($C$44,'DB animal categories'!$C$22:$AN$31,26,FALSE)*VLOOKUP($C$44,'DB animal categories'!$C$22:$AN$31,25,FALSE)/24</f>
        <v>#N/A</v>
      </c>
      <c r="AK47" s="442" t="str">
        <f>IF(AI47="","",AL47+AM47)</f>
        <v/>
      </c>
      <c r="AL47" s="442" t="str">
        <f>IF(D47="","",IF(AI47=2,(('Calc (ex-animal)'!$G$14*'DB additional information '!$K$5/100*(1-VLOOKUP(D47,'DB technologies'!$N$27:$Y$38,9,FALSE)/100)*'Calc (ex-housing, ex-storage)'!F47/100+'Calc (ex-animal)'!$H$14*'DB additional information '!$L$5/100*(1-VLOOKUP(D47,'DB technologies'!$N$27:$Y$38,9,FALSE)/100)*'Calc (ex-housing, ex-storage)'!F47/100))/VLOOKUP($C$44,'DB animal categories'!$C$22:$AC$31,27,FALSE)*AJ47+I47+J47+K47,IF(AI47=1,('Calc (ex-animal)'!$H$14*'DB additional information '!$L$5/100*(1-VLOOKUP(D47,'DB technologies'!$N$27:$Y$38,9,FALSE)/100)*'Calc (ex-housing, ex-storage)'!F47/100)/VLOOKUP($C$44,'DB animal categories'!$C$22:$AC$31,27,FALSE)*AJ47,IF(AI47=4,('Calc (ex-animal)'!$G$14*'DB additional information '!$K$5/100+'Calc (ex-animal)'!$H$14*'DB additional information '!$L$5/100)*(1-VLOOKUP(D47,'DB technologies'!$N$27:$Y$38,9,FALSE)/100)*'Calc (ex-housing, ex-storage)'!F47/100*VLOOKUP(D47,'DB technologies'!$N$27:$Y$38,11,FALSE)/100/VLOOKUP($C$44,'DB animal categories'!$C$22:$AC$31,27,FALSE)*AJ47,0))))</f>
        <v/>
      </c>
      <c r="AM47" s="442" t="str">
        <f>IF(D47="","",IF(AI47=2,(('Calc (ex-animal)'!$G$14*(1-'DB additional information '!$K$5/100)*(1-VLOOKUP(D47,'DB technologies'!$N$27:$Y$38,8,FALSE)/100)*'Calc (ex-housing, ex-storage)'!F47/100+'Calc (ex-animal)'!$H$14*(1-'DB additional information '!$L$5/100)*(1-VLOOKUP(D47,'DB technologies'!$N$27:$Y$38,8,FALSE)/100)*'Calc (ex-housing, ex-storage)'!F47/100))/VLOOKUP($C$44,'DB animal categories'!$C$22:$AC$31,27,FALSE)*AJ47+M47+N47+O47,IF(AI47=1,('Calc (ex-animal)'!$H$14*(1-'DB additional information '!$L$5/100)*(1-VLOOKUP(D47,'DB technologies'!$N$27:$Y$38,8,FALSE)/100)*'Calc (ex-housing, ex-storage)'!F47/100)/VLOOKUP($C$44,'DB animal categories'!$C$22:$AC$31,27,FALSE)*AJ47,IF(AI47=4,('Calc (ex-animal)'!$G$14*(1-'DB additional information '!$K$5/100)+'Calc (ex-animal)'!$H$14*(1-'DB additional information '!$L$5/100))*(1-VLOOKUP(D47,'DB technologies'!$N$27:$Y$38,8,FALSE)/100)*'Calc (ex-housing, ex-storage)'!F47/100*VLOOKUP(D47,'DB technologies'!$N$27:$Y$38,11,FALSE)/100/VLOOKUP($C$44,'DB animal categories'!$C$22:$AC$31,27,FALSE)*AJ47,0))))</f>
        <v/>
      </c>
      <c r="AN47" s="442" t="str">
        <f>IF(AI47="","",IF(AL47=0,0,AL47/AK47*100))</f>
        <v/>
      </c>
      <c r="AO47" s="182" t="str">
        <f>IF(D47="","",IF(AI47=2,(('Calc (ex-animal)'!$L$14*'Calc (ex-housing, ex-storage)'!F47/100+'Calc (ex-animal)'!$K$14*'Calc (ex-housing, ex-storage)'!F47/100))/VLOOKUP($C$44,'DB animal categories'!$C$22:$AC$31,27,FALSE)*AJ47+Q47+R47+S47-AC47,IF(AI47=1,('Calc (ex-animal)'!$L$14*'Calc (ex-housing, ex-storage)'!F47/100)/VLOOKUP($C$44,'DB animal categories'!$C$22:$AC$31,27,FALSE)*AJ47-'Calc (ex-housing, ex-storage)'!AC47,IF(AI47=4,('Calc (ex-animal)'!$L$14+'Calc (ex-animal)'!$K$14)*'Calc (ex-housing, ex-storage)'!F47/100*VLOOKUP(D47,'DB technologies'!$N$27:$Y$38,11,FALSE)/100/VLOOKUP($C$44,'DB animal categories'!$C$22:$AC$31,27,FALSE)*AJ47-AC47*VLOOKUP(D47,'DB technologies'!$N$27:$Y$38,11,FALSE)/100,0))))</f>
        <v/>
      </c>
      <c r="AP47" s="182" t="str">
        <f>IF(D47="","",IF(AO47&lt;-0.01,0,IF(AI47=2,(('Calc (ex-animal)'!$L$14*'Calc (ex-housing, ex-storage)'!F47/100+'Calc (ex-animal)'!$K$14*'Calc (ex-housing, ex-storage)'!F47/100))/VLOOKUP($C$44,'DB animal categories'!$C$22:$AC$31,27,FALSE)*AJ47+Q47+R47+S47-AC47,IF(AI47=1,('Calc (ex-animal)'!$L$14*'Calc (ex-housing, ex-storage)'!F47/100)/VLOOKUP($C$44,'DB animal categories'!$C$22:$AC$31,27,FALSE)*AJ47-'Calc (ex-housing, ex-storage)'!AC47,IF(AI47=4,('Calc (ex-animal)'!$L$14+'Calc (ex-animal)'!$K$14)*'Calc (ex-housing, ex-storage)'!F47/100*VLOOKUP(D47,'DB technologies'!$N$27:$Y$38,11,FALSE)/100/VLOOKUP($C$44,'DB animal categories'!$C$22:$AC$31,27,FALSE)*AJ47-AC47*VLOOKUP(D47,'DB technologies'!$N$27:$Y$38,11,FALSE)/100,0)))))</f>
        <v/>
      </c>
      <c r="AQ47" s="182" t="str">
        <f>IF(D47="","",IF(AI47=2,('Calc (ex-animal)'!$O$14*'Calc (ex-housing, ex-storage)'!F47/100+'Calc (ex-animal)'!$N$14*'Calc (ex-housing, ex-storage)'!F47/100)/VLOOKUP($C$44,'DB animal categories'!$C$22:$AC$31,27,FALSE)*AJ47+U47+V47+W47,IF(AI47=1,'Calc (ex-animal)'!$O$14*'Calc (ex-housing, ex-storage)'!F47/100/VLOOKUP($C$44,'DB animal categories'!$C$22:$AC$31,27,FALSE)*AJ47,IF(AI47=4,('Calc (ex-animal)'!$O$14+'Calc (ex-animal)'!$N$14)*'Calc (ex-housing, ex-storage)'!F47/100*VLOOKUP(D47,'DB technologies'!$N$27:$Y$38,11,FALSE)/100/VLOOKUP($C$44,'DB animal categories'!$C$22:$AC$31,27,FALSE)*AJ47,0))))</f>
        <v/>
      </c>
      <c r="AR47" s="182" t="str">
        <f>IF(D47="","",IF(AI47=2,('Calc (ex-animal)'!$R$14*'Calc (ex-housing, ex-storage)'!F47/100+'Calc (ex-animal)'!$Q$14*'Calc (ex-housing, ex-storage)'!F47/100)/VLOOKUP($C$44,'DB animal categories'!$C$22:$AC$31,27,FALSE)*AJ47+Y47+Z47+AA47,IF(AI47=1,'Calc (ex-animal)'!$R$14*'Calc (ex-housing, ex-storage)'!F47/100/VLOOKUP($C$44,'DB animal categories'!$C$22:$AC$31,27,FALSE)*AJ47,IF(AI47=4,('Calc (ex-animal)'!$R$14+'Calc (ex-animal)'!$Q$14)*'Calc (ex-housing, ex-storage)'!F47/100*VLOOKUP(D47,'DB technologies'!$N$27:$Y$38,11,FALSE)/100/VLOOKUP($C$44,'DB animal categories'!$C$22:$AC$31,27,FALSE)*AJ47,0))))</f>
        <v/>
      </c>
      <c r="AS47" s="181" t="str">
        <f>IF(D47="","",VLOOKUP(D47,'DB technologies'!$N$27:$Y$38,10,FALSE))</f>
        <v/>
      </c>
      <c r="AT47" s="442" t="str">
        <f>IF(AS47="","",AU47+AV47)</f>
        <v/>
      </c>
      <c r="AU47" s="442" t="str">
        <f>IF(D47="","",IF(AS47=2,0,IF(AS47=1,'Calc (ex-animal)'!$G$14*'DB additional information '!$K$5/100*(1-VLOOKUP(D47,'DB technologies'!$N$27:$Y$38,8,FALSE)/100)*'Calc (ex-housing, ex-storage)'!F47/100/VLOOKUP($C$44,'DB animal categories'!$C$22:$AC$31,27,FALSE)*AJ47+I47+J47+K47,IF(AS47=5,(('Calc (ex-animal)'!$G$14*'DB additional information '!$K$5/100+'Calc (ex-animal)'!$H$14*'DB additional information '!$L$5/100))*(1-VLOOKUP(D47,'DB technologies'!$N$27:$Y$38,9,FALSE)/100)*'Calc (ex-housing, ex-storage)'!F47/100/VLOOKUP($C$44,'DB animal categories'!$C$22:$AC$31,27,FALSE)*AJ47+I47+J47+K47,IF(AS47=3,('Calc (ex-animal)'!$G$14*'DB additional information '!$K$5/100+'Calc (ex-animal)'!$H$14*'DB additional information '!$L$5/100)*(1-VLOOKUP(D47,'DB technologies'!$N$27:$Y$38,9,FALSE)/100)*'Calc (ex-housing, ex-storage)'!F47/100/VLOOKUP($C$44,'DB animal categories'!$C$22:$AC$31,27,FALSE)*AJ47+I47+J47+K47,IF(AS47=4,('Calc (ex-animal)'!$G$14*'DB additional information '!$K$5/100+'Calc (ex-animal)'!$H$14*'DB additional information '!$L$5/100)*(1-VLOOKUP(D47,'DB technologies'!$N$27:$Y$38,9,FALSE)/100)*'Calc (ex-housing, ex-storage)'!F47/100*VLOOKUP(D47,'DB technologies'!$N$27:$Y$38,12,FALSE)/100/VLOOKUP($C$44,'DB animal categories'!$C$22:$AC$31,27,FALSE)*AJ47+I47+J47+K47,0))))))</f>
        <v/>
      </c>
      <c r="AV47" s="442" t="str">
        <f>IF(D47="","",IF(AS47=2,0,IF(AS47=1,'Calc (ex-animal)'!$G$14*(1-'DB additional information '!$K$5/100)*(1-VLOOKUP(D47,'DB technologies'!$N$27:$Y$38,8,FALSE)/100)*'Calc (ex-housing, ex-storage)'!F47/100/VLOOKUP($C$44,'DB animal categories'!$C$22:$AC$31,27,FALSE)*AJ47+M47+N47+O47,IF(AS47=5,('Calc (ex-animal)'!$G$14*(1-'DB additional information '!$K$5/100)+'Calc (ex-animal)'!$H$14*(1-'DB additional information '!$L$5/100))*(1-VLOOKUP(D47,'DB technologies'!$N$27:$Y$38,8,FALSE)/100)*'Calc (ex-housing, ex-storage)'!F47/100/VLOOKUP($C$44,'DB animal categories'!$C$22:$AC$31,27,FALSE)*AJ47+M47+N47+O47,IF(AS47=3,('Calc (ex-animal)'!$G$14*(1-'DB additional information '!$K$5/100)+'Calc (ex-animal)'!$H$14*(1-'DB additional information '!$L$5/100))*(1-VLOOKUP(D47,'DB technologies'!$N$27:$Y$38,8,FALSE)/100)*'Calc (ex-housing, ex-storage)'!F47/100/VLOOKUP($C$44,'DB animal categories'!$C$22:$AC$31,27,FALSE)*AJ47+M47+N47+O47,IF(AS47=4,('Calc (ex-animal)'!$G$14*(1-'DB additional information '!$K$5/100)+'Calc (ex-animal)'!$H$14*(1-'DB additional information '!$L$5/100))*(1-VLOOKUP(D47,'DB technologies'!$N$27:$Y$38,8,FALSE)/100)*'Calc (ex-housing, ex-storage)'!F47/100*VLOOKUP(D47,'DB technologies'!$N$27:$Y$38,12,FALSE)/100/VLOOKUP($C$44,'DB animal categories'!$C$22:$AC$31,27,FALSE)*AJ47+M47+N47+O47,0))))))</f>
        <v/>
      </c>
      <c r="AW47" s="442" t="str">
        <f>IF(AS47="","",IF(AU47=0,0,AU47/AT47*100))</f>
        <v/>
      </c>
      <c r="AX47" s="182" t="str">
        <f>IF(D47="","",IF(AS47=2,0,IF(AS47=1,'Calc (ex-animal)'!$K$14*'Calc (ex-housing, ex-storage)'!F47/100/VLOOKUP($C$44,'DB animal categories'!$C$22:$AC$31,27,FALSE)*AJ47+Q47+R47+S47,IF(AS47=5,('Calc (ex-animal)'!$K$14+'Calc (ex-animal)'!$L$14)*'Calc (ex-housing, ex-storage)'!F47/100/VLOOKUP($C$44,'DB animal categories'!$C$22:$AC$31,27,FALSE)*AJ47+Q47+R47+S47-'Calc (ex-housing, ex-storage)'!AC47,IF(AS47=3,('Calc (ex-animal)'!$K$14+'Calc (ex-animal)'!$L$14)*'Calc (ex-housing, ex-storage)'!F47/100/VLOOKUP($C$44,'DB animal categories'!$C$22:$AC$31,27,FALSE)*AJ47+Q47+R47+S47-'Calc (ex-housing, ex-storage)'!AC47-AD47-AE47,IF(AI47=4,('Calc (ex-animal)'!$K$14+'Calc (ex-animal)'!$L$14)*'Calc (ex-housing, ex-storage)'!F47/100*VLOOKUP(D47,'DB technologies'!$N$27:$Y$38,12,FALSE)/100/VLOOKUP($C$44,'DB animal categories'!$C$22:$AC$31,27,FALSE)*AJ47+Q47+R47+S47-(VLOOKUP(D47,'DB technologies'!$N$27:$Y$38,12,FALSE)/100*AC47)-AD47-AE47,0))))))</f>
        <v/>
      </c>
      <c r="AY47" s="182" t="str">
        <f>IF(D47="","",IF(AS47=2,0,IF(AS47=1,'Calc (ex-animal)'!$N$14*'Calc (ex-housing, ex-storage)'!F47/100/VLOOKUP($C$44,'DB animal categories'!$C$22:$AC$31,27,FALSE)*AJ47+U47+V47+W47,IF(AS47=5,('Calc (ex-animal)'!$N$14+'Calc (ex-animal)'!$O$14)*'Calc (ex-housing, ex-storage)'!F47/100/VLOOKUP($C$44,'DB animal categories'!$C$22:$AC$31,27,FALSE)*AJ47+U47+V47+W47,IF(AS47=3,('Calc (ex-animal)'!$N$14+'Calc (ex-animal)'!$O$14)*'Calc (ex-housing, ex-storage)'!F47/100/VLOOKUP($C$44,'DB animal categories'!$C$22:$AC$31,27,FALSE)*AJ47+U47+V47+W47,IF(AS47=4,('Calc (ex-animal)'!$N$14+'Calc (ex-animal)'!$O$14)*'Calc (ex-housing, ex-storage)'!F47/100*VLOOKUP(D47,'DB technologies'!$N$27:$Y$38,12,FALSE)/100/VLOOKUP($C$44,'DB animal categories'!$C$22:$AC$31,27,FALSE)*AJ47+U47+V47+W47,0))))))</f>
        <v/>
      </c>
      <c r="AZ47" s="182" t="str">
        <f>IF(D47="","",IF(AS47=2,0,IF(AS47=1,'Calc (ex-animal)'!$Q$14*'Calc (ex-housing, ex-storage)'!F47/100/VLOOKUP($C$44,'DB animal categories'!$C$22:$AC$31,27,FALSE)*AJ47+Y47+Z47+AA47,IF(AS47=5,('Calc (ex-animal)'!$Q$14+'Calc (ex-animal)'!$R$14)*'Calc (ex-housing, ex-storage)'!F47/100/VLOOKUP($C$44,'DB animal categories'!$C$22:$AC$31,27,FALSE)*AJ47+Y47+Z47+AA47,IF(AS47=3,('Calc (ex-animal)'!$Q$14+'Calc (ex-animal)'!$R$14)*'Calc (ex-housing, ex-storage)'!F47/100/VLOOKUP($C$44,'DB animal categories'!$C$22:$AC$31,27,FALSE)*AJ47+Y47+Z47+AA47,IF(AS47=4,('Calc (ex-animal)'!$Q$14+'Calc (ex-animal)'!$R$14)*'Calc (ex-housing, ex-storage)'!F47/100*VLOOKUP(D47,'DB technologies'!$N$27:$Y$38,12,FALSE)/100/VLOOKUP($C$44,'DB animal categories'!$C$22:$AC$31,27,FALSE)*AJ47+Y47+Z47+AA47,0))))))</f>
        <v/>
      </c>
      <c r="BA47" s="506"/>
      <c r="BB47" s="506"/>
      <c r="BC47" s="506"/>
      <c r="BG47" s="1357"/>
      <c r="BH47" s="1361"/>
      <c r="BI47" s="598" t="str">
        <f>IF(BG47="","",$BA$46*BH47/100-($BB$46*BH47/100*VLOOKUP(BG47,'DB technologies'!$AC$43:$AT$47,5,FALSE)/100)+(VLOOKUP(BG47,'DB technologies'!$AC$43:$AT$47,12,FALSE)*$BA$46*BH47/100))</f>
        <v/>
      </c>
      <c r="BJ47" s="551">
        <f>IF(BI47="",0,BI47*BK47/100)</f>
        <v>0</v>
      </c>
      <c r="BK47" s="571" t="str">
        <f>IF(BG47="","",IF($BA$46=0,0,($BB$46*BH47/100)/BI47*(1-(VLOOKUP(BG47,'DB technologies'!$AC$43:$AQ$47,5,FALSE))/100)*100))</f>
        <v/>
      </c>
      <c r="BL47" s="261" t="str">
        <f>IF(BG47="","",$BD$46*BH47/100-BO47-BP47-BQ47)</f>
        <v/>
      </c>
      <c r="BM47" s="261" t="str">
        <f>IF(BG47="","",$BE$46*BH47/100)</f>
        <v/>
      </c>
      <c r="BN47" s="261" t="str">
        <f>IF(BG47="","",$BF$46*BH47/100)</f>
        <v/>
      </c>
      <c r="BO47" s="261" t="str">
        <f>IF(BG47="","",$BD$46*BH47/100*VLOOKUP(BG47,'DB technologies'!$AC$43:$AF$47,2,FALSE)/100)</f>
        <v/>
      </c>
      <c r="BP47" s="261" t="str">
        <f>IF(BG47="","",$BD$46*BH47/100*VLOOKUP(BG47,'DB technologies'!$AC$43:$AN$47,3,FALSE)/100)</f>
        <v/>
      </c>
      <c r="BQ47" s="262" t="str">
        <f>IF(BG47="","",$BD$46*BH47/100*VLOOKUP(BG47,'DB technologies'!$AC$43:$AN$47,4,FALSE)/100)</f>
        <v/>
      </c>
      <c r="BR47" s="117"/>
      <c r="BS47" s="117"/>
      <c r="BT47" s="118"/>
    </row>
    <row r="48" spans="1:72" ht="12" customHeight="1" thickBot="1" x14ac:dyDescent="0.25">
      <c r="A48" s="684"/>
      <c r="B48" s="695"/>
      <c r="C48" s="251"/>
      <c r="D48" s="1359"/>
      <c r="E48" s="1360"/>
      <c r="F48" s="481" t="str">
        <f>IF('Calc (ex-animal)'!$F$9=1,"",IF($C$44=0,"",IF(D48="","",E48/'Calc (ex-animal)'!$E$14*100)))</f>
        <v/>
      </c>
      <c r="G48" s="483" t="str">
        <f>IF($C$44=0,"",IF('Calc (ex-animal)'!$F$8=1,"",IF(D48="","",SUM(H48:O48))))</f>
        <v/>
      </c>
      <c r="H48" s="445" t="str">
        <f>IF('Calc (ex-animal)'!$F$8=1,"",IF(D48="","",(((VLOOKUP($C$44,'Calc (ex-animal)'!$D$13:$Y$17,6,FALSE)-VLOOKUP($C$44,'Calc (ex-animal)'!$D$13:$Y$17,17,FALSE))*F48/100))*VLOOKUP($C$44,'Calc (ex-animal)'!$D$13:$Y$17,7,FALSE)/100*(1-VLOOKUP(D48,'DB technologies'!$N$27:$Y$38,9,FALSE)/100)))</f>
        <v/>
      </c>
      <c r="I48" s="445" t="str">
        <f>IF(D48="","",((VLOOKUP(D48,'DB technologies'!$N$27:$Y$38,2,FALSE)*VLOOKUP($C$44,'DB animal categories'!$C$22:$AC$31,27,FALSE)*E48/1000)/VLOOKUP($C$44,'DB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'!$S$6/100*(1-VLOOKUP(D48,'DB technologies'!$N$27:$Y$38,9,FALSE)/100)))</f>
        <v/>
      </c>
      <c r="J48" s="446" t="str">
        <f>IF(D48="","",((VLOOKUP(D48,'DB technologies'!$N$27:$Y$38,3,FALSE)*VLOOKUP($C$44,'DB animal categories'!$C$22:$AC$31,27,FALSE)*E48/1000)/VLOOKUP($C$44,'DB animal categories'!$C$22:$AC$31,27,FALSE)*(VLOOKUP($C$44,'DB animal categories'!$C$22:$AC$31,27,FALSE)-(VLOOKUP($C$44,'DB animal categories'!$C$22:$AC$31,25,FALSE)*VLOOKUP($C$44,'DB animal categories'!$C$22:$AC$31,26,FALSE)/24))*'DB additional information '!$S$7/100*(1-VLOOKUP(D48,'DB technologies'!$N$27:$Y$38,9,FALSE)/100)))</f>
        <v/>
      </c>
      <c r="K48" s="446" t="str">
        <f>IF(D48="","",((VLOOKUP(D48,'DB technologies'!$N$27:$Y$38,4,FALSE)*E48*'DB additional information '!$S$8/100*(1-VLOOKUP(D48,'DB technologies'!$N$27:$Y$38,9,FALSE)/100))/VLOOKUP($C$44,'DB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L48" s="445" t="str">
        <f>IF('Calc (ex-animal)'!$F$8=1,"",IF(D48="","",(((VLOOKUP($C$44,'Calc (ex-animal)'!$D$13:$Y$17,6,FALSE)-VLOOKUP($C$44,'Calc (ex-animal)'!$D$13:$Y$17,17,FALSE))*F48/100))*(1-VLOOKUP($C$44,'Calc (ex-animal)'!$D$13:$Y$17,7,FALSE)/100)*(1-VLOOKUP(D48,'DB technologies'!$N$27:$V$38,8,FALSE)/100)))</f>
        <v/>
      </c>
      <c r="M48" s="446" t="str">
        <f>IF(D48="","",((VLOOKUP(D48,'DB technologies'!$N$27:$Y$38,2,FALSE)*VLOOKUP($C$44,'DB animal categories'!$C$22:$AC$31,27,FALSE)*E48/1000)/VLOOKUP($C$44,'DB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'!$S$6/100)*(1-VLOOKUP(D48,'DB technologies'!$N$27:$Y$38,9,FALSE)/100))</f>
        <v/>
      </c>
      <c r="N48" s="446" t="str">
        <f>IF(D48="","",((VLOOKUP(D48,'DB technologies'!$N$27:$Y$38,3,FALSE)*VLOOKUP($C$44,'DB animal categories'!$C$22:$AC$31,27,FALSE)*E48/1000)/VLOOKUP($C$44,'DB animal categories'!$C$22:$AC$31,27,FALSE)*(VLOOKUP($C$44,'DB animal categories'!$C$22:$AC$31,27,FALSE)-VLOOKUP($C$44,'DB animal categories'!$C$22:$AC$31,25,FALSE)*VLOOKUP($C$44,'DB animal categories'!$C$22:$AC$31,26,FALSE)/24))*(1-'DB additional information '!$S$7/100)*(1-VLOOKUP(D48,'DB technologies'!$N$27:$Y$38,9,FALSE)/100))</f>
        <v/>
      </c>
      <c r="O48" s="445" t="str">
        <f>IF(D48="","",((VLOOKUP(D48,'DB technologies'!$N$27:$Y$38,4,FALSE)*E48*(1-'DB additional information '!$S$8/100)*(1-VLOOKUP(D48,'DB technologies'!$N$27:$Y$38,8,FALSE)/100))/VLOOKUP($C$44,'DB animal categories'!$C$22:$AC$31,27,FALSE)*(VLOOKUP($C$44,'DB animal categories'!$C$22:$AC$31,27,FALSE)-VLOOKUP($C$44,'DB animal categories'!$C$22:$AC$31,25,FALSE)*VLOOKUP($C$44,'DB animal categories'!$C$22:$AC$31,26,FALSE)/24)))</f>
        <v/>
      </c>
      <c r="P48" s="444" t="str">
        <f>IF(G48=0,0,IF(E48="","",IF(F48="","",IF($C$44=0,"",IF(D48="","",SUM(H48:K48)/G48*100)))))</f>
        <v/>
      </c>
      <c r="Q48" s="476" t="str">
        <f>IF(D48="","",(VLOOKUP(D48,'DB technologies'!$N$27:$Y$38,2,FALSE)*'DB additional information '!$S$6/100*'DB additional information '!$T$6*VLOOKUP($C$44,'DB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R48" s="476" t="str">
        <f>IF(D48="","",(VLOOKUP(D48,'DB technologies'!$N$27:$Y$38,3,FALSE)*'DB additional information '!$S$7/100*'DB additional information '!$T$7*VLOOKUP($C$44,'DB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S48" s="494" t="str">
        <f>IF(D48="","",(VLOOKUP(D48,'DB technologies'!$N$27:$Y$38,4,FALSE)*('DB additional information '!$S$8/100*'DB additional information '!$T$8*E48/1000/1000)))</f>
        <v/>
      </c>
      <c r="T48" s="266" t="str">
        <f>IF($C$44=0,"",IF('Calc (ex-animal)'!$F$9=1,"",IF(D48="","",((VLOOKUP($C$44,'Calc (ex-animal)'!$D$13:$Y$17,10,FALSE)-VLOOKUP($C$44,'Calc (ex-animal)'!$D$13:$Y$17,18,FALSE))*F48/100+Q48+R48+S48)-AC48-AD48-AE48)))</f>
        <v/>
      </c>
      <c r="U48" s="477" t="str">
        <f>IF(D48="","",(VLOOKUP(D48,'DB technologies'!$N$27:$Y$38,2,FALSE)*'DB additional information '!$S$6/100*'DB additional information '!$U$6*VLOOKUP($C$44,'DB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V48" s="433" t="str">
        <f>IF(D48="","",(VLOOKUP(D48,'DB technologies'!$N$27:$Y$38,3,FALSE)*'DB additional information '!$S$7/100*'DB additional information '!$U$7*VLOOKUP($C$44,'DB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W48" s="475" t="str">
        <f>IF(D48="","",(VLOOKUP(D48,'DB technologies'!$N$27:$Y$38,4,FALSE)*('DB additional information '!$S$8/100*'DB additional information '!$U$8*E48/1000/1000)))</f>
        <v/>
      </c>
      <c r="X48" s="267" t="str">
        <f>IF($C$44=0,"",IF('Calc (ex-animal)'!$F$9=1,"",IF(D48="","",((VLOOKUP($C$44,'Calc (ex-animal)'!$D$13:$Y$17,13,FALSE)-VLOOKUP($C$44,'Calc (ex-animal)'!$D$13:$Y$17,19,FALSE))*F48/100+U48+V48+W48))))</f>
        <v/>
      </c>
      <c r="Y48" s="433" t="str">
        <f>IF(D48="","",(VLOOKUP(D48,'DB technologies'!$N$27:$Y$38,2,FALSE)*'DB additional information '!$S$6/100*'DB additional information '!$V$6*VLOOKUP($C$44,'DB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Z48" s="433" t="str">
        <f>IF(D48="","",(VLOOKUP(D48,'DB technologies'!$N$27:$Y$38,3,FALSE)*'DB additional information '!$S$7/100*'DB additional information '!$V$7*VLOOKUP($C$44,'DB animal categories'!$C$22:$AC$31,27,FALSE)*E48/1000/1000)/VLOOKUP($C$44,'DB animal categories'!$C$22:$AC$31,27,FALSE)*(VLOOKUP($C$44,'DB animal categories'!$C$22:$AC$31,27,FALSE)-VLOOKUP($C$44,'DB animal categories'!$C$22:$AC$31,25,FALSE)*VLOOKUP($C$44,'DB animal categories'!$C$22:$AC$31,26,FALSE)/24))</f>
        <v/>
      </c>
      <c r="AA48" s="433" t="str">
        <f>IF(D48="","",(VLOOKUP(D48,'DB technologies'!$N$27:$Y$38,4,FALSE)*('DB additional information '!$S$8/100*'DB additional information '!$V$8*E48/1000/1000)))</f>
        <v/>
      </c>
      <c r="AB48" s="267" t="str">
        <f>IF($C$44=0,"",IF('Calc (ex-animal)'!$F$8=1,"",IF(D48="","",((VLOOKUP($C$44,'Calc (ex-animal)'!$D$13:$Y$17,16,FALSE)-VLOOKUP($C$44,'Calc (ex-animal)'!$D$13:$Y$17,20,FALSE))*F48/100+Y48+Z48+AA48))))</f>
        <v/>
      </c>
      <c r="AC48" s="267" t="str">
        <f>IF($C$44=0,"",IF('Calc (ex-animal)'!$F$8=1,"",IF(D48="","",VLOOKUP($C$44,'Calc (ex-animal)'!$D$13:$Y$17,9,FALSE)/VLOOKUP($C$44,'DB animal categories'!$C$22:$AC$31,27,FALSE)*(VLOOKUP($C$44,'DB animal categories'!$C$22:$AC$31,27,FALSE)-VLOOKUP($C$44,'DB animal categories'!$C$22:$AC$31,25,FALSE)*VLOOKUP($C$44,'DB animal categories'!$C$22:$AC$31,26,FALSE)/24)*F48/100*VLOOKUP(D48,'DB technologies'!$N$27:$R$38,5,FALSE)/100)))</f>
        <v/>
      </c>
      <c r="AD48" s="267" t="str">
        <f>IF($C$44=0,"",IF('Calc (ex-animal)'!$F$8=1,"",IF(D48="","",VLOOKUP($C$44,'Calc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categories'!$C$22:$AC$31,26,FALSE)/24)*F48/100*VLOOKUP(D48,'DB technologies'!$N$27:$Y$38,6,FALSE)/100)))</f>
        <v/>
      </c>
      <c r="AE48" s="268" t="str">
        <f>IF($C$44=0,"",IF('Calc (ex-animal)'!$F$8=1,"",IF(D48="","",VLOOKUP($C$44,'Calc (ex-animal)'!$D$13:$Y$17,10,FALSE)/VLOOKUP($C$44,'DB animal categories'!$C$22:$AC$31,27,FALSE)*(VLOOKUP($C$44,'DB animal categories'!$C$22:$AC$31,27,FALSE)-VLOOKUP($C$44,'DB animal categories'!$C$22:$AC$31,25,FALSE)*VLOOKUP($C$44,'DB animal categories'!$C$22:$AC$31,26,FALSE)/24)*F48/100*VLOOKUP(D48,'DB technologies'!$N$27:$Y$38,7,FALSE)/100)))</f>
        <v/>
      </c>
      <c r="AG48" s="695"/>
      <c r="AH48" s="695"/>
      <c r="AI48" s="183" t="str">
        <f>IF(D48="","",VLOOKUP(D48,'DB technologies'!$N$27:$Y$38,10,FALSE))</f>
        <v/>
      </c>
      <c r="AJ48" s="451" t="e">
        <f>VLOOKUP($C$44,'DB animal categories'!$C$22:$AN$31,27,FALSE)-VLOOKUP($C$44,'DB animal categories'!$C$22:$AN$31,26,FALSE)*VLOOKUP($C$44,'DB animal categories'!$C$22:$AN$31,25,FALSE)/24</f>
        <v>#N/A</v>
      </c>
      <c r="AK48" s="452" t="str">
        <f>IF(AI48="","",AL48+AM48)</f>
        <v/>
      </c>
      <c r="AL48" s="452" t="str">
        <f>IF(D48="","",IF(AI48=2,(('Calc (ex-animal)'!$G$14*'DB additional information '!$K$5/100*(1-VLOOKUP(D48,'DB technologies'!$N$27:$Y$38,9,FALSE)/100)*'Calc (ex-housing, ex-storage)'!F48/100+'Calc (ex-animal)'!$H$14*'DB additional information '!$L$5/100*(1-VLOOKUP(D48,'DB technologies'!$N$27:$Y$38,9,FALSE)/100)*'Calc (ex-housing, ex-storage)'!F48/100))/VLOOKUP($C$44,'DB animal categories'!$C$22:$AC$31,27,FALSE)*AJ48+I48+J48+K48,IF(AI48=1,('Calc (ex-animal)'!$H$14*'DB additional information '!$L$5/100*(1-VLOOKUP(D48,'DB technologies'!$N$27:$Y$38,9,FALSE)/100)*'Calc (ex-housing, ex-storage)'!F48/100)/VLOOKUP($C$44,'DB animal categories'!$C$22:$AC$31,27,FALSE)*AJ48,IF(AI48=4,('Calc (ex-animal)'!$G$14*'DB additional information '!$K$5/100+'Calc (ex-animal)'!$H$14*'DB additional information '!$L$5/100)*(1-VLOOKUP(D48,'DB technologies'!$N$27:$Y$38,9,FALSE)/100)*'Calc (ex-housing, ex-storage)'!F48/100*VLOOKUP(D48,'DB technologies'!$N$27:$Y$38,11,FALSE)/100/VLOOKUP($C$44,'DB animal categories'!$C$22:$AC$31,27,FALSE)*AJ48,0))))</f>
        <v/>
      </c>
      <c r="AM48" s="452" t="str">
        <f>IF(D48="","",IF(AI48=2,(('Calc (ex-animal)'!$G$14*(1-'DB additional information '!$K$5/100)*(1-VLOOKUP(D48,'DB technologies'!$N$27:$Y$38,8,FALSE)/100)*'Calc (ex-housing, ex-storage)'!F48/100+'Calc (ex-animal)'!$H$14*(1-'DB additional information '!$L$5/100)*(1-VLOOKUP(D48,'DB technologies'!$N$27:$Y$38,8,FALSE)/100)*'Calc (ex-housing, ex-storage)'!F48/100))/VLOOKUP($C$44,'DB animal categories'!$C$22:$AC$31,27,FALSE)*AJ48+M48+N48+O48,IF(AI48=1,('Calc (ex-animal)'!$H$14*(1-'DB additional information '!$L$5/100)*(1-VLOOKUP(D48,'DB technologies'!$N$27:$Y$38,8,FALSE)/100)*'Calc (ex-housing, ex-storage)'!F48/100)/VLOOKUP($C$44,'DB animal categories'!$C$22:$AC$31,27,FALSE)*AJ48,IF(AI48=4,('Calc (ex-animal)'!$G$14*(1-'DB additional information '!$K$5/100)+'Calc (ex-animal)'!$H$14*(1-'DB additional information '!$L$5/100))*(1-VLOOKUP(D48,'DB technologies'!$N$27:$Y$38,8,FALSE)/100)*'Calc (ex-housing, ex-storage)'!F48/100*VLOOKUP(D48,'DB technologies'!$N$27:$Y$38,11,FALSE)/100/VLOOKUP($C$44,'DB animal categories'!$C$22:$AC$31,27,FALSE)*AJ48,0))))</f>
        <v/>
      </c>
      <c r="AN48" s="452" t="str">
        <f>IF(AI48="","",IF(AL48=0,0,AL48/AK48*100))</f>
        <v/>
      </c>
      <c r="AO48" s="184" t="str">
        <f>IF(D48="","",IF(AI48=2,(('Calc (ex-animal)'!$L$14*'Calc (ex-housing, ex-storage)'!F48/100+'Calc (ex-animal)'!$K$14*'Calc (ex-housing, ex-storage)'!F48/100))/VLOOKUP($C$44,'DB animal categories'!$C$22:$AC$31,27,FALSE)*AJ48+Q48+R48+S48-AC48,IF(AI48=1,('Calc (ex-animal)'!$L$14*'Calc (ex-housing, ex-storage)'!F48/100)/VLOOKUP($C$44,'DB animal categories'!$C$22:$AC$31,27,FALSE)*AJ48-'Calc (ex-housing, ex-storage)'!AC48,IF(AI48=4,('Calc (ex-animal)'!$L$14+'Calc (ex-animal)'!$K$14)*'Calc (ex-housing, ex-storage)'!F48/100*VLOOKUP(D48,'DB technologies'!$N$27:$Y$38,11,FALSE)/100/VLOOKUP($C$44,'DB animal categories'!$C$22:$AC$31,27,FALSE)*AJ48-AC48*VLOOKUP(D48,'DB technologies'!$N$27:$Y$38,11,FALSE)/100,0))))</f>
        <v/>
      </c>
      <c r="AP48" s="184" t="str">
        <f>IF(D48="","",IF(AO48&lt;-0.01,0,IF(AI48=2,(('Calc (ex-animal)'!$L$14*'Calc (ex-housing, ex-storage)'!F48/100+'Calc (ex-animal)'!$K$14*'Calc (ex-housing, ex-storage)'!F48/100))/VLOOKUP($C$44,'DB animal categories'!$C$22:$AC$31,27,FALSE)*AJ48+Q48+R48+S48-AC48,IF(AI48=1,('Calc (ex-animal)'!$L$14*'Calc (ex-housing, ex-storage)'!F48/100)/VLOOKUP($C$44,'DB animal categories'!$C$22:$AC$31,27,FALSE)*AJ48-'Calc (ex-housing, ex-storage)'!AC48,IF(AI48=4,('Calc (ex-animal)'!$L$14+'Calc (ex-animal)'!$K$14)*'Calc (ex-housing, ex-storage)'!F48/100*VLOOKUP(D48,'DB technologies'!$N$27:$Y$38,11,FALSE)/100/VLOOKUP($C$44,'DB animal categories'!$C$22:$AC$31,27,FALSE)*AJ48-AC48*VLOOKUP(D48,'DB technologies'!$N$27:$Y$38,11,FALSE)/100,0)))))</f>
        <v/>
      </c>
      <c r="AQ48" s="184" t="str">
        <f>IF(D48="","",IF(AI48=2,('Calc (ex-animal)'!$O$14*'Calc (ex-housing, ex-storage)'!F48/100+'Calc (ex-animal)'!$N$14*'Calc (ex-housing, ex-storage)'!F48/100)/VLOOKUP($C$44,'DB animal categories'!$C$22:$AC$31,27,FALSE)*AJ48+U48+V48+W48,IF(AI48=1,'Calc (ex-animal)'!$O$14*'Calc (ex-housing, ex-storage)'!F48/100/VLOOKUP($C$44,'DB animal categories'!$C$22:$AC$31,27,FALSE)*AJ48,IF(AI48=4,('Calc (ex-animal)'!$O$14+'Calc (ex-animal)'!$N$14)*'Calc (ex-housing, ex-storage)'!F48/100*VLOOKUP(D48,'DB technologies'!$N$27:$Y$38,11,FALSE)/100/VLOOKUP($C$44,'DB animal categories'!$C$22:$AC$31,27,FALSE)*AJ48,0))))</f>
        <v/>
      </c>
      <c r="AR48" s="184" t="str">
        <f>IF(D48="","",IF(AI48=2,('Calc (ex-animal)'!$R$14*'Calc (ex-housing, ex-storage)'!F48/100+'Calc (ex-animal)'!$Q$14*'Calc (ex-housing, ex-storage)'!F48/100)/VLOOKUP($C$44,'DB animal categories'!$C$22:$AC$31,27,FALSE)*AJ48+Y48+Z48+AA48,IF(AI48=1,'Calc (ex-animal)'!$R$14*'Calc (ex-housing, ex-storage)'!F48/100/VLOOKUP($C$44,'DB animal categories'!$C$22:$AC$31,27,FALSE)*AJ48,IF(AI48=4,('Calc (ex-animal)'!$R$14+'Calc (ex-animal)'!$Q$14)*'Calc (ex-housing, ex-storage)'!F48/100*VLOOKUP(D48,'DB technologies'!$N$27:$Y$38,11,FALSE)/100/VLOOKUP($C$44,'DB animal categories'!$C$22:$AC$31,27,FALSE)*AJ48,0))))</f>
        <v/>
      </c>
      <c r="AS48" s="183" t="str">
        <f>IF(D48="","",VLOOKUP(D48,'DB technologies'!$N$27:$Y$38,10,FALSE))</f>
        <v/>
      </c>
      <c r="AT48" s="452" t="str">
        <f>IF(AS48="","",AU48+AV48)</f>
        <v/>
      </c>
      <c r="AU48" s="452" t="str">
        <f>IF(D48="","",IF(AS48=2,0,IF(AS48=1,'Calc (ex-animal)'!$G$14*'DB additional information '!$K$5/100*(1-VLOOKUP(D48,'DB technologies'!$N$27:$Y$38,8,FALSE)/100)*'Calc (ex-housing, ex-storage)'!F48/100/VLOOKUP($C$44,'DB animal categories'!$C$22:$AC$31,27,FALSE)*AJ48+I48+J48+K48,IF(AS48=5,(('Calc (ex-animal)'!$G$14*'DB additional information '!$K$5/100+'Calc (ex-animal)'!$H$14*'DB additional information '!$L$5/100))*(1-VLOOKUP(D48,'DB technologies'!$N$27:$Y$38,9,FALSE)/100)*'Calc (ex-housing, ex-storage)'!F48/100/VLOOKUP($C$44,'DB animal categories'!$C$22:$AC$31,27,FALSE)*AJ48+I48+J48+K48,IF(AS48=3,('Calc (ex-animal)'!$G$14*'DB additional information '!$K$5/100+'Calc (ex-animal)'!$H$14*'DB additional information '!$L$5/100)*(1-VLOOKUP(D48,'DB technologies'!$N$27:$Y$38,9,FALSE)/100)*'Calc (ex-housing, ex-storage)'!F48/100/VLOOKUP($C$44,'DB animal categories'!$C$22:$AC$31,27,FALSE)*AJ48+I48+J48+K48,IF(AS48=4,('Calc (ex-animal)'!$G$14*'DB additional information '!$K$5/100+'Calc (ex-animal)'!$H$14*'DB additional information '!$L$5/100)*(1-VLOOKUP(D48,'DB technologies'!$N$27:$Y$38,9,FALSE)/100)*'Calc (ex-housing, ex-storage)'!F48/100*VLOOKUP(D48,'DB technologies'!$N$27:$Y$38,12,FALSE)/100/VLOOKUP($C$44,'DB animal categories'!$C$22:$AC$31,27,FALSE)*AJ48+I48+J48+K48,0))))))</f>
        <v/>
      </c>
      <c r="AV48" s="452" t="str">
        <f>IF(D48="","",IF(AS48=2,0,IF(AS48=1,'Calc (ex-animal)'!$G$14*(1-'DB additional information '!$K$5/100)*(1-VLOOKUP(D48,'DB technologies'!$N$27:$Y$38,8,FALSE)/100)*'Calc (ex-housing, ex-storage)'!F48/100/VLOOKUP($C$44,'DB animal categories'!$C$22:$AC$31,27,FALSE)*AJ48+M48+N48+O48,IF(AS48=5,('Calc (ex-animal)'!$G$14*(1-'DB additional information '!$K$5/100)+'Calc (ex-animal)'!$H$14*(1-'DB additional information '!$L$5/100))*(1-VLOOKUP(D48,'DB technologies'!$N$27:$Y$38,8,FALSE)/100)*'Calc (ex-housing, ex-storage)'!F48/100/VLOOKUP($C$44,'DB animal categories'!$C$22:$AC$31,27,FALSE)*AJ48+M48+N48+O48,IF(AS48=3,('Calc (ex-animal)'!$G$14*(1-'DB additional information '!$K$5/100)+'Calc (ex-animal)'!$H$14*(1-'DB additional information '!$L$5/100))*(1-VLOOKUP(D48,'DB technologies'!$N$27:$Y$38,8,FALSE)/100)*'Calc (ex-housing, ex-storage)'!F48/100/VLOOKUP($C$44,'DB animal categories'!$C$22:$AC$31,27,FALSE)*AJ48+M48+N48+O48,IF(AS48=4,('Calc (ex-animal)'!$G$14*(1-'DB additional information '!$K$5/100)+'Calc (ex-animal)'!$H$14*(1-'DB additional information '!$L$5/100))*(1-VLOOKUP(D48,'DB technologies'!$N$27:$Y$38,8,FALSE)/100)*'Calc (ex-housing, ex-storage)'!F48/100*VLOOKUP(D48,'DB technologies'!$N$27:$Y$38,12,FALSE)/100/VLOOKUP($C$44,'DB animal categories'!$C$22:$AC$31,27,FALSE)*AJ48+M48+N48+O48,0))))))</f>
        <v/>
      </c>
      <c r="AW48" s="452" t="str">
        <f>IF(AS48="","",IF(AU48=0,0,AU48/AT48*100))</f>
        <v/>
      </c>
      <c r="AX48" s="184" t="str">
        <f>IF(D48="","",IF(AS48=2,0,IF(AS48=1,'Calc (ex-animal)'!$K$14*'Calc (ex-housing, ex-storage)'!F48/100/VLOOKUP($C$44,'DB animal categories'!$C$22:$AC$31,27,FALSE)*AJ48+Q48+R48+S48,IF(AS48=5,('Calc (ex-animal)'!$K$14+'Calc (ex-animal)'!$L$14)*'Calc (ex-housing, ex-storage)'!F48/100/VLOOKUP($C$44,'DB animal categories'!$C$22:$AC$31,27,FALSE)*AJ48+Q48+R48+S48-'Calc (ex-housing, ex-storage)'!AC48,IF(AS48=3,('Calc (ex-animal)'!$K$14+'Calc (ex-animal)'!$L$14)*'Calc (ex-housing, ex-storage)'!F48/100/VLOOKUP($C$44,'DB animal categories'!$C$22:$AC$31,27,FALSE)*AJ48+Q48+R48+S48-'Calc (ex-housing, ex-storage)'!AC48-AD48-AE48,IF(AI48=4,('Calc (ex-animal)'!$K$14+'Calc (ex-animal)'!$L$14)*'Calc (ex-housing, ex-storage)'!F48/100*VLOOKUP(D48,'DB technologies'!$N$27:$Y$38,12,FALSE)/100/VLOOKUP($C$44,'DB animal categories'!$C$22:$AC$31,27,FALSE)*AJ48+Q48+R48+S48-(VLOOKUP(D48,'DB technologies'!$N$27:$Y$38,12,FALSE)/100*AC48)-AD48-AE48,0))))))</f>
        <v/>
      </c>
      <c r="AY48" s="184" t="str">
        <f>IF(D48="","",IF(AS48=2,0,IF(AS48=1,'Calc (ex-animal)'!$N$14*'Calc (ex-housing, ex-storage)'!F48/100/VLOOKUP($C$44,'DB animal categories'!$C$22:$AC$31,27,FALSE)*AJ48+U48+V48+W48,IF(AS48=5,('Calc (ex-animal)'!$N$14+'Calc (ex-animal)'!$O$14)*'Calc (ex-housing, ex-storage)'!F48/100/VLOOKUP($C$44,'DB animal categories'!$C$22:$AC$31,27,FALSE)*AJ48+U48+V48+W48,IF(AS48=3,('Calc (ex-animal)'!$N$14+'Calc (ex-animal)'!$O$14)*'Calc (ex-housing, ex-storage)'!F48/100/VLOOKUP($C$44,'DB animal categories'!$C$22:$AC$31,27,FALSE)*AJ48+U48+V48+W48,IF(AS48=4,('Calc (ex-animal)'!$N$14+'Calc (ex-animal)'!$O$14)*'Calc (ex-housing, ex-storage)'!F48/100*VLOOKUP(D48,'DB technologies'!$N$27:$Y$38,12,FALSE)/100/VLOOKUP($C$44,'DB animal categories'!$C$22:$AC$31,27,FALSE)*AJ48+U48+V48+W48,0))))))</f>
        <v/>
      </c>
      <c r="AZ48" s="184" t="str">
        <f>IF(D48="","",IF(AS48=2,0,IF(AS48=1,'Calc (ex-animal)'!$Q$14*'Calc (ex-housing, ex-storage)'!F48/100/VLOOKUP($C$44,'DB animal categories'!$C$22:$AC$31,27,FALSE)*AJ48+Y48+Z48+AA48,IF(AS48=5,('Calc (ex-animal)'!$Q$14+'Calc (ex-animal)'!$R$14)*'Calc (ex-housing, ex-storage)'!F48/100/VLOOKUP($C$44,'DB animal categories'!$C$22:$AC$31,27,FALSE)*AJ48+Y48+Z48+AA48,IF(AS48=3,('Calc (ex-animal)'!$Q$14+'Calc (ex-animal)'!$R$14)*'Calc (ex-housing, ex-storage)'!F48/100/VLOOKUP($C$44,'DB animal categories'!$C$22:$AC$31,27,FALSE)*AJ48+Y48+Z48+AA48,IF(AS48=4,('Calc (ex-animal)'!$Q$14+'Calc (ex-animal)'!$R$14)*'Calc (ex-housing, ex-storage)'!F48/100*VLOOKUP(D48,'DB technologies'!$N$27:$Y$38,12,FALSE)/100/VLOOKUP($C$44,'DB animal categories'!$C$22:$AC$31,27,FALSE)*AJ48+Y48+Z48+AA48,0))))))</f>
        <v/>
      </c>
      <c r="BA48" s="506"/>
      <c r="BB48" s="506"/>
      <c r="BC48" s="506"/>
      <c r="BG48" s="1357"/>
      <c r="BH48" s="1361"/>
      <c r="BI48" s="598" t="str">
        <f>IF(BG48="","",$BA$46*BH48/100-($BB$46*BH48/100*VLOOKUP(BG48,'DB technologies'!$AC$43:$AT$47,5,FALSE)/100)+(VLOOKUP(BG48,'DB technologies'!$AC$43:$AT$47,12,FALSE)*$BA$46*BH48/100))</f>
        <v/>
      </c>
      <c r="BJ48" s="551">
        <f>IF(BI48="",0,BI48*BK48/100)</f>
        <v>0</v>
      </c>
      <c r="BK48" s="571" t="str">
        <f>IF(BG48="","",IF($BA$46=0,0,($BB$46*BH48/100)/BI48*(1-(VLOOKUP(BG48,'DB technologies'!$AC$43:$AQ$47,5,FALSE))/100)*100))</f>
        <v/>
      </c>
      <c r="BL48" s="261" t="str">
        <f>IF(BG48="","",$BD$46*BH48/100-BO48-BP48-BQ48)</f>
        <v/>
      </c>
      <c r="BM48" s="261" t="str">
        <f>IF(BG48="","",$BE$46*BH48/100)</f>
        <v/>
      </c>
      <c r="BN48" s="261" t="str">
        <f>IF(BG48="","",$BF$46*BH48/100)</f>
        <v/>
      </c>
      <c r="BO48" s="261" t="str">
        <f>IF(BG48="","",$BD$46*BH48/100*VLOOKUP(BG48,'DB technologies'!$AC$43:$AF$47,2,FALSE)/100)</f>
        <v/>
      </c>
      <c r="BP48" s="261" t="str">
        <f>IF(BG48="","",$BD$46*BH48/100*VLOOKUP(BG48,'DB technologies'!$AC$43:$AN$47,3,FALSE)/100)</f>
        <v/>
      </c>
      <c r="BQ48" s="262" t="str">
        <f>IF(BG48="","",$BD$46*BH48/100*VLOOKUP(BG48,'DB technologies'!$AC$43:$AN$47,4,FALSE)/100)</f>
        <v/>
      </c>
      <c r="BR48" s="117"/>
      <c r="BS48" s="117"/>
      <c r="BT48" s="118"/>
    </row>
    <row r="49" spans="1:72" ht="12" customHeight="1" thickBot="1" x14ac:dyDescent="0.25">
      <c r="A49" s="684"/>
      <c r="B49" s="695"/>
      <c r="C49" s="252"/>
      <c r="D49" s="281" t="s">
        <v>58</v>
      </c>
      <c r="E49" s="282">
        <f>IF(F49&lt;=100,SUM(E44:E48),"ERROR")</f>
        <v>0</v>
      </c>
      <c r="F49" s="283">
        <f>IF(SUM(F44:F48) &lt;=100,SUM(F44:F48),"ERROR, SUM&gt;100%")</f>
        <v>0</v>
      </c>
      <c r="G49" s="492">
        <f>IF('Calc (ex-animal)'!$F$9=1,"",SUM(G44:G48))</f>
        <v>0</v>
      </c>
      <c r="H49" s="433">
        <f>IF('Calc (ex-animal)'!$F$8=1,"",SUM(H44:H48))</f>
        <v>0</v>
      </c>
      <c r="I49" s="433">
        <f>IF('Calc (ex-animal)'!$F$8=1,"",SUM(I44:I48))</f>
        <v>0</v>
      </c>
      <c r="J49" s="433">
        <f>IF('Calc (ex-animal)'!$F$8=1,"",SUM(J44:J48))</f>
        <v>0</v>
      </c>
      <c r="K49" s="433">
        <f>IF('Calc (ex-animal)'!$F$8=1,"",SUM(K44:K48))</f>
        <v>0</v>
      </c>
      <c r="L49" s="470"/>
      <c r="M49" s="470"/>
      <c r="N49" s="470"/>
      <c r="O49" s="470"/>
      <c r="P49" s="478">
        <f>IF(G49=0,0,IF('Calc (ex-animal)'!$F$9=1,"",IF(D49="","",SUM(H49:K49)/G49*100)))</f>
        <v>0</v>
      </c>
      <c r="Q49" s="486"/>
      <c r="R49" s="486"/>
      <c r="S49" s="486"/>
      <c r="T49" s="278">
        <f>IF('Calc (ex-animal)'!$F$14=1,"",SUM(T44:T48))</f>
        <v>0</v>
      </c>
      <c r="U49" s="489"/>
      <c r="V49" s="489"/>
      <c r="W49" s="489"/>
      <c r="X49" s="279">
        <f>IF('Calc (ex-animal)'!$F$14=1,"",SUM(X44:X48))</f>
        <v>0</v>
      </c>
      <c r="Y49" s="489"/>
      <c r="Z49" s="489"/>
      <c r="AA49" s="489"/>
      <c r="AB49" s="279">
        <f>IF('Calc (ex-animal)'!$F$14=1,"",SUM(AB44:AB48))</f>
        <v>0</v>
      </c>
      <c r="AC49" s="279">
        <f>IF('Calc (ex-animal)'!$F$14=1,"",SUM(AC44:AC48))</f>
        <v>0</v>
      </c>
      <c r="AD49" s="279">
        <f>IF('Calc (ex-animal)'!$F$14=1,"",SUM(AD44:AD48))</f>
        <v>0</v>
      </c>
      <c r="AE49" s="280">
        <f>IF('Calc (ex-animal)'!$F$14=1,"",SUM(AE44:AE48))</f>
        <v>0</v>
      </c>
      <c r="AG49" s="695"/>
      <c r="AH49" s="695"/>
      <c r="BG49" s="1357"/>
      <c r="BH49" s="1361"/>
      <c r="BI49" s="598" t="str">
        <f>IF(BG49="","",$BA$46*BH49/100-($BB$46*BH49/100*VLOOKUP(BG49,'DB technologies'!$AC$43:$AT$47,5,FALSE)/100)+(VLOOKUP(BG49,'DB technologies'!$AC$43:$AT$47,12,FALSE)*$BA$46*BH49/100))</f>
        <v/>
      </c>
      <c r="BJ49" s="551">
        <f>IF(BI49="",0,BI49*BK49/100)</f>
        <v>0</v>
      </c>
      <c r="BK49" s="571" t="str">
        <f>IF(BG49="","",IF($BA$46=0,0,($BB$46*BH49/100)/BI49*(1-(VLOOKUP(BG49,'DB technologies'!$AC$43:$AQ$47,5,FALSE))/100)*100))</f>
        <v/>
      </c>
      <c r="BL49" s="261" t="str">
        <f>IF(BG49="","",$BD$46*BH49/100-BO49-BP49-BQ49)</f>
        <v/>
      </c>
      <c r="BM49" s="261" t="str">
        <f>IF(BG49="","",$BE$46*BH49/100)</f>
        <v/>
      </c>
      <c r="BN49" s="261" t="str">
        <f>IF(BG49="","",$BF$46*BH49/100)</f>
        <v/>
      </c>
      <c r="BO49" s="261" t="str">
        <f>IF(BG49="","",$BD$46*BH49/100*VLOOKUP(BG49,'DB technologies'!$AC$43:$AF$47,2,FALSE)/100)</f>
        <v/>
      </c>
      <c r="BP49" s="261" t="str">
        <f>IF(BG49="","",$BD$46*BH49/100*VLOOKUP(BG49,'DB technologies'!$AC$43:$AN$47,3,FALSE)/100)</f>
        <v/>
      </c>
      <c r="BQ49" s="262" t="str">
        <f>IF(BG49="","",$BD$46*BH49/100*VLOOKUP(BG49,'DB technologies'!$AC$43:$AN$47,4,FALSE)/100)</f>
        <v/>
      </c>
      <c r="BR49" s="117"/>
      <c r="BS49" s="117"/>
      <c r="BT49" s="118"/>
    </row>
    <row r="50" spans="1:72" ht="11.25" customHeight="1" thickBot="1" x14ac:dyDescent="0.25">
      <c r="A50" s="684"/>
      <c r="B50" s="695"/>
      <c r="C50" s="250">
        <f>'Calc (ex-animal)'!D15</f>
        <v>0</v>
      </c>
      <c r="D50" s="1355"/>
      <c r="E50" s="1356"/>
      <c r="F50" s="479" t="str">
        <f>IF('Calc (ex-animal)'!$F$9=1,"",IF($C$50=0,"",IF(D50="","",E50/'Calc (ex-animal)'!$E$15*100)))</f>
        <v/>
      </c>
      <c r="G50" s="484" t="str">
        <f>IF($C$50=0,"",IF('Calc (ex-animal)'!$F$8=1,"",IF(D50="","",SUM(H50:O50))))</f>
        <v/>
      </c>
      <c r="H50" s="471" t="str">
        <f>IF('Calc (ex-animal)'!$F$8=1,"",IF(D50="","",(((VLOOKUP($C$50,'Calc (ex-animal)'!$D$13:$Y$17,6,FALSE)-VLOOKUP($C$50,'Calc (ex-animal)'!$D$13:$Y$17,17,FALSE))*F50/100))*VLOOKUP($C$50,'Calc (ex-animal)'!$D$13:$Y$17,7,FALSE)/100*(1-VLOOKUP(D50,'DB technologies'!$N$27:$Y$38,9,FALSE)/100)))</f>
        <v/>
      </c>
      <c r="I50" s="471" t="str">
        <f>IF(D50="","",((VLOOKUP(D50,'DB technologies'!$N$27:$Y$38,2,FALSE)*VLOOKUP($C$50,'DB animal categories'!$C$22:$AC$31,27,FALSE)*E50/1000)/VLOOKUP($C$50,'DB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'!$S$6/100*(1-VLOOKUP(D50,'DB technologies'!$N$27:$Y$38,9,FALSE)/100)))</f>
        <v/>
      </c>
      <c r="J50" s="472" t="str">
        <f>IF(D50="","",((VLOOKUP(D50,'DB technologies'!$N$27:$Y$38,3,FALSE)*VLOOKUP($C$50,'DB animal categories'!$C$22:$AC$31,27,FALSE)*E50/1000)/VLOOKUP($C$50,'DB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'!$S$7/100*(1-VLOOKUP(D50,'DB technologies'!$N$27:$Y$38,9,FALSE)/100)))</f>
        <v/>
      </c>
      <c r="K50" s="472" t="str">
        <f>IF(D50="","",((VLOOKUP(D50,'DB technologies'!$N$27:$Y$38,4,FALSE)*E50*'DB additional information '!$S$8/100*(1-VLOOKUP(D50,'DB technologies'!$N$27:$Y$38,9,FALSE)/100))/VLOOKUP($C$50,'DB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L50" s="471" t="str">
        <f>IF('Calc (ex-animal)'!$F$8=1,"",IF(D50="","",(((VLOOKUP($C$50,'Calc (ex-animal)'!$D$13:$Y$17,6,FALSE)-VLOOKUP($C$50,'Calc (ex-animal)'!$D$13:$Y$17,17,FALSE))*F50/100))*(1-VLOOKUP($C$50,'Calc (ex-animal)'!$D$13:$Y$17,7,FALSE)/100)*(1-VLOOKUP(D50,'DB technologies'!$N$27:$V$38,8,FALSE)/100)))</f>
        <v/>
      </c>
      <c r="M50" s="472" t="str">
        <f>IF(D50="","",((VLOOKUP(D50,'DB technologies'!$N$27:$Y$38,2,FALSE)*VLOOKUP($C$50,'DB animal categories'!$C$22:$AC$31,27,FALSE)*E50/1000)/VLOOKUP($C$50,'DB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'!$S$6/100)*(1-VLOOKUP(D50,'DB technologies'!$N$27:$Y$38,9,FALSE)/100))</f>
        <v/>
      </c>
      <c r="N50" s="472" t="str">
        <f>IF(D50="","",((VLOOKUP(D50,'DB technologies'!$N$27:$Y$38,3,FALSE)*VLOOKUP($C$50,'DB animal categories'!$C$22:$AC$31,27,FALSE)*E50/1000)/VLOOKUP($C$50,'DB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'!$S$7/100)*(1-VLOOKUP(D50,'DB technologies'!$N$27:$Y$38,9,FALSE)/100))</f>
        <v/>
      </c>
      <c r="O50" s="471" t="str">
        <f>IF(D50="","",((VLOOKUP(D50,'DB technologies'!$N$27:$Y$38,4,FALSE)*E50*(1-'DB additional information '!$S$8/100)*(1-VLOOKUP(D50,'DB technologies'!$N$27:$Y$38,8,FALSE)/100))/VLOOKUP($C$50,'DB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P50" s="443" t="str">
        <f>IF(G50=0,0,IF(E50="","",IF(F50="","",IF($C$50=0,"",IF(D50="","",SUM(H50:K50)/G50*100)))))</f>
        <v/>
      </c>
      <c r="Q50" s="473" t="str">
        <f>IF(D50="","",(VLOOKUP(D50,'DB technologies'!$N$27:$Y$38,2,FALSE)*'DB additional information '!$S$6/100*'DB additional information '!$T$6*VLOOKUP($C$50,'DB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R50" s="473" t="str">
        <f>IF(D50="","",(VLOOKUP(D50,'DB technologies'!$N$27:$Y$38,3,FALSE)*'DB additional information '!$S$7/100*'DB additional information '!$T$7*VLOOKUP($C$50,'DB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S50" s="490" t="str">
        <f>IF(D50="","",(VLOOKUP(D50,'DB technologies'!$N$27:$Y$38,4,FALSE)*('DB additional information '!$S$8/100*'DB additional information '!$T$8*E50/1000/1000)))</f>
        <v/>
      </c>
      <c r="T50" s="263" t="str">
        <f>IF($C$50=0,"",IF('Calc (ex-animal)'!$F$9=1,"",IF(D50="","",((VLOOKUP($C$50,'Calc (ex-animal)'!$D$13:$Y$17,10,FALSE)-VLOOKUP($C$50,'Calc (ex-animal)'!$D$13:$Y$17,18,FALSE))*F50/100+Q50+R50+S50)-AC50-AD50-AE50)))</f>
        <v/>
      </c>
      <c r="U50" s="474" t="str">
        <f>IF(D50="","",(VLOOKUP(D50,'DB technologies'!$N$27:$Y$38,2,FALSE)*'DB additional information '!$S$6/100*'DB additional information '!$U$6*VLOOKUP($C$50,'DB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V50" s="420" t="str">
        <f>IF(D50="","",(VLOOKUP(D50,'DB technologies'!$N$27:$Y$38,3,FALSE)*'DB additional information '!$S$7/100*'DB additional information '!$U$7*VLOOKUP($C$50,'DB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W50" s="415" t="str">
        <f>IF(D50="","",(VLOOKUP(D50,'DB technologies'!$N$27:$Y$38,4,FALSE)*('DB additional information '!$S$8/100*'DB additional information '!$U$8*E50/1000/1000)))</f>
        <v/>
      </c>
      <c r="X50" s="259" t="str">
        <f>IF($C$50=0,"",IF('Calc (ex-animal)'!$F$9=1,"",IF(D50="","",((VLOOKUP($C$50,'Calc (ex-animal)'!$D$13:$Y$17,13,FALSE)-VLOOKUP($C$50,'Calc (ex-animal)'!$D$13:$Y$17,19,FALSE))*F50/100+U50+V50+W50))))</f>
        <v/>
      </c>
      <c r="Y50" s="420" t="str">
        <f>IF(D50="","",(VLOOKUP(D50,'DB technologies'!$N$27:$Y$38,2,FALSE)*'DB additional information '!$S$6/100*'DB additional information '!$V$6*VLOOKUP($C$50,'DB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Z50" s="420" t="str">
        <f>IF(D50="","",(VLOOKUP(D50,'DB technologies'!$N$27:$Y$38,3,FALSE)*'DB additional information '!$S$7/100*'DB additional information '!$V$7*VLOOKUP($C$50,'DB animal categories'!$C$22:$AC$31,27,FALSE)*E50/1000/1000)/VLOOKUP($C$50,'DB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AA50" s="420" t="str">
        <f>IF(D50="","",(VLOOKUP(D50,'DB technologies'!$N$27:$Y$38,4,FALSE)*('DB additional information '!$S$8/100*'DB additional information '!$V$8*E50/1000/1000)))</f>
        <v/>
      </c>
      <c r="AB50" s="259" t="str">
        <f>IF($C$50=0,"",IF('Calc (ex-animal)'!$F$8=1,"",IF(D50="","",((VLOOKUP($C$50,'Calc (ex-animal)'!$D$13:$Y$17,16,FALSE)-VLOOKUP($C$50,'Calc (ex-animal)'!$D$13:$Y$17,20,FALSE))*F50/100+Y50+Z50+AA50))))</f>
        <v/>
      </c>
      <c r="AC50" s="259" t="str">
        <f>IF($C$50=0,"",IF('Calc (ex-animal)'!$F$8=1,"",IF(D50="","",VLOOKUP($C$50,'Calc (ex-animal)'!$D$13:$Y$17,9,FALSE)/VLOOKUP($C$50,'DB animal categories'!$C$22:$AC$31,27,FALSE)*(VLOOKUP($C$50,'DB animal categories'!$C$22:$AC$31,27,FALSE)-VLOOKUP($C$50,'DB animal categories'!$C$22:$AC$31,25,FALSE)*VLOOKUP($C$50,'DB animal categories'!$C$22:$AC$31,26,FALSE)/24)*F50/100*VLOOKUP(D50,'DB technologies'!$N$27:$R$38,5,FALSE)/100)))</f>
        <v/>
      </c>
      <c r="AD50" s="259" t="str">
        <f>IF($C$50=0,"",IF('Calc (ex-animal)'!$F$8=1,"",IF(D50="","",VLOOKUP($C$50,'Calc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categories'!$C$22:$AC$31,26,FALSE)/24)*F50/100*VLOOKUP(D50,'DB technologies'!$N$27:$Y$38,6,FALSE)/100)))</f>
        <v/>
      </c>
      <c r="AE50" s="260" t="str">
        <f>IF($C$50=0,"",IF('Calc (ex-animal)'!$F$8=1,"",IF(D50="","",VLOOKUP($C$50,'Calc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categories'!$C$22:$AC$31,26,FALSE)/24)*F50/100*VLOOKUP(D50,'DB technologies'!$N$27:$Y$38,7,FALSE)/100)))</f>
        <v/>
      </c>
      <c r="AG50" s="695"/>
      <c r="AH50" s="695"/>
      <c r="AI50" s="179" t="str">
        <f>IF(D50="","",VLOOKUP(D50,'DB technologies'!$N$27:$Y$38,10,FALSE))</f>
        <v/>
      </c>
      <c r="AJ50" s="482" t="e">
        <f>VLOOKUP($C$50,'DB animal categories'!$C$22:$AN$31,27,FALSE)-VLOOKUP($C$50,'DB animal categories'!$C$22:$AN$31,26,FALSE)*VLOOKUP($C$50,'DB animal categories'!$C$22:$AN$31,25,FALSE)/24</f>
        <v>#N/A</v>
      </c>
      <c r="AK50" s="453" t="str">
        <f>IF(AI50="","",AL50+AM50)</f>
        <v/>
      </c>
      <c r="AL50" s="453" t="str">
        <f>IF(D50="","",IF(AI50=2,(('Calc (ex-animal)'!$G$15*'DB additional information '!$K$5/100*(1-VLOOKUP(D50,'DB technologies'!$N$27:$Y$38,9,FALSE)/100)*'Calc (ex-housing, ex-storage)'!F50/100+'Calc (ex-animal)'!$H$15*'DB additional information '!$L$5/100*(1-VLOOKUP(D50,'DB technologies'!$N$27:$Y$38,9,FALSE)/100)*'Calc (ex-housing, ex-storage)'!F50/100))/VLOOKUP($C$50,'DB animal categories'!$C$22:$AC$31,27,FALSE)*AJ50+I50+J50+K50,IF(AI50=1,('Calc (ex-animal)'!$H$15*'DB additional information '!$L$5/100*(1-VLOOKUP(D50,'DB technologies'!$N$27:$Y$38,9,FALSE)/100)*'Calc (ex-housing, ex-storage)'!F50/100)/VLOOKUP($C$50,'DB animal categories'!$C$22:$AC$31,27,FALSE)*AJ50,IF(AI50=4,('Calc (ex-animal)'!$G$15*'DB additional information '!$K$5/100+'Calc (ex-animal)'!$H$15*'DB additional information '!$L$5/100)*(1-VLOOKUP(D50,'DB technologies'!$N$27:$Y$38,9,FALSE)/100)*'Calc (ex-housing, ex-storage)'!F50/100*VLOOKUP(D50,'DB technologies'!$N$27:$Y$38,11,FALSE)/100/VLOOKUP($C$50,'DB animal categories'!$C$22:$AC$31,27,FALSE)*AJ50,0))))</f>
        <v/>
      </c>
      <c r="AM50" s="453" t="str">
        <f>IF(D50="","",IF(AI50=2,(('Calc (ex-animal)'!$G$15*(1-'DB additional information '!$K$5/100)*(1-VLOOKUP(D50,'DB technologies'!$N$27:$Y$38,8,FALSE)/100)*'Calc (ex-housing, ex-storage)'!F50/100+'Calc (ex-animal)'!$H$15*(1-'DB additional information '!$L$5/100)*(1-VLOOKUP(D50,'DB technologies'!$N$27:$Y$38,8,FALSE)/100)*'Calc (ex-housing, ex-storage)'!F50/100))/VLOOKUP($C$50,'DB animal categories'!$C$22:$AC$31,27,FALSE)*AJ50+M50+N50+O50,IF(AI50=1,('Calc (ex-animal)'!$H$15*(1-'DB additional information '!$L$5/100)*(1-VLOOKUP(D50,'DB technologies'!$N$27:$Y$38,8,FALSE)/100)*'Calc (ex-housing, ex-storage)'!F50/100)/VLOOKUP($C$50,'DB animal categories'!$C$22:$AC$31,27,FALSE)*AJ50,IF(AI50=4,('Calc (ex-animal)'!$G$15*(1-'DB additional information '!$K$5/100)+'Calc (ex-animal)'!$H$15*(1-'DB additional information '!$L$5/100))*(1-VLOOKUP(D50,'DB technologies'!$N$27:$Y$38,8,FALSE)/100)*'Calc (ex-housing, ex-storage)'!F50/100*VLOOKUP(D50,'DB technologies'!$N$27:$Y$38,11,FALSE)/100/VLOOKUP($C$50,'DB animal categories'!$C$22:$AC$31,27,FALSE)*AJ50,0))))</f>
        <v/>
      </c>
      <c r="AN50" s="453" t="str">
        <f>IF(AI50="","",IF(AL50=0,0,AL50/AK50*100))</f>
        <v/>
      </c>
      <c r="AO50" s="180" t="str">
        <f>IF(D50="","",IF(AI50=2,(('Calc (ex-animal)'!$L$15*'Calc (ex-housing, ex-storage)'!F50/100+'Calc (ex-animal)'!$K$15*'Calc (ex-housing, ex-storage)'!F50/100))/VLOOKUP($C$50,'DB animal categories'!$C$22:$AC$31,27,FALSE)*AJ50+Q50+R50+S50-AC50,IF(AI50=1,('Calc (ex-animal)'!$L$15*'Calc (ex-housing, ex-storage)'!F50/100)/VLOOKUP($C$50,'DB animal categories'!$C$22:$AC$31,27,FALSE)*AJ50-'Calc (ex-housing, ex-storage)'!AC50,IF(AI50=4,('Calc (ex-animal)'!$L$15+'Calc (ex-animal)'!$K$15)*'Calc (ex-housing, ex-storage)'!F50/100*VLOOKUP(D50,'DB technologies'!$N$27:$Y$38,11,FALSE)/100/VLOOKUP($C$50,'DB animal categories'!$C$22:$AC$31,27,FALSE)*AJ50-AC50*VLOOKUP(D50,'DB technologies'!$N$27:$Y$38,11,FALSE)/100,0))))</f>
        <v/>
      </c>
      <c r="AP50" s="180" t="str">
        <f>IF(D50="","",IF(AO50&lt;-0.01,0,IF(AI50=2,(('Calc (ex-animal)'!$L$15*'Calc (ex-housing, ex-storage)'!F50/100+'Calc (ex-animal)'!$K$15*'Calc (ex-housing, ex-storage)'!F50/100))/VLOOKUP($C$50,'DB animal categories'!$C$22:$AC$31,27,FALSE)*AJ50+Q50+R50+S50-AC50,IF(AI50=1,('Calc (ex-animal)'!$L$15*'Calc (ex-housing, ex-storage)'!F50/100)/VLOOKUP($C$50,'DB animal categories'!$C$22:$AC$31,27,FALSE)*AJ50-'Calc (ex-housing, ex-storage)'!AC50,IF(AI50=4,('Calc (ex-animal)'!$L$15+'Calc (ex-animal)'!$K$15)*'Calc (ex-housing, ex-storage)'!F50/100*VLOOKUP(D50,'DB technologies'!$N$27:$Y$38,11,FALSE)/100/VLOOKUP($C$50,'DB animal categories'!$C$22:$AC$31,27,FALSE)*AJ50-AC50*VLOOKUP(D50,'DB technologies'!$N$27:$Y$38,11,FALSE)/100,0)))))</f>
        <v/>
      </c>
      <c r="AQ50" s="180" t="str">
        <f>IF(D50="","",IF(AI50=2,('Calc (ex-animal)'!$O$15*'Calc (ex-housing, ex-storage)'!F50/100+'Calc (ex-animal)'!$N$15*'Calc (ex-housing, ex-storage)'!F50/100)/VLOOKUP($C$50,'DB animal categories'!$C$22:$AC$31,27,FALSE)*AJ50+U50+V50+W50,IF(AI50=1,'Calc (ex-animal)'!$O$15*'Calc (ex-housing, ex-storage)'!F50/100/VLOOKUP($C$50,'DB animal categories'!$C$22:$AC$31,27,FALSE)*AJ50,IF(AI50=4,('Calc (ex-animal)'!$O$15+'Calc (ex-animal)'!$N$15)*'Calc (ex-housing, ex-storage)'!F50/100*VLOOKUP(D50,'DB technologies'!$N$27:$Y$38,11,FALSE)/100/VLOOKUP($C$50,'DB animal categories'!$C$22:$AC$31,27,FALSE)*AJ50,0))))</f>
        <v/>
      </c>
      <c r="AR50" s="180" t="str">
        <f>IF(D50="","",IF(AI50=2,('Calc (ex-animal)'!$R$15*'Calc (ex-housing, ex-storage)'!F50/100+'Calc (ex-animal)'!$Q$15*'Calc (ex-housing, ex-storage)'!F50/100)/VLOOKUP($C$50,'DB animal categories'!$C$22:$AC$31,27,FALSE)*AJ50+Y50+Z50+AA50,IF(AI50=1,'Calc (ex-animal)'!$R$15*'Calc (ex-housing, ex-storage)'!F50/100/VLOOKUP($C$50,'DB animal categories'!$C$22:$AC$31,27,FALSE)*AJ50,IF(AI50=4,('Calc (ex-animal)'!$R$15+'Calc (ex-animal)'!$Q$15)*'Calc (ex-housing, ex-storage)'!F50/100*VLOOKUP(D50,'DB technologies'!$N$27:$Y$38,11,FALSE)/100/VLOOKUP($C$50,'DB animal categories'!$C$22:$AC$31,27,FALSE)*AJ50,0))))</f>
        <v/>
      </c>
      <c r="AS50" s="179" t="str">
        <f>IF(D50="","",VLOOKUP(D50,'DB technologies'!$N$27:$Y$38,10,FALSE))</f>
        <v/>
      </c>
      <c r="AT50" s="453" t="str">
        <f>IF(AS50="","",AU50+AV50)</f>
        <v/>
      </c>
      <c r="AU50" s="453" t="str">
        <f>IF(D50="","",IF(AS50=2,0,IF(AS50=1,'Calc (ex-animal)'!$G$15*'DB additional information '!$K$5/100*(1-VLOOKUP(D50,'DB technologies'!$N$27:$Y$38,8,FALSE)/100)*'Calc (ex-housing, ex-storage)'!F50/100/VLOOKUP($C$50,'DB animal categories'!$C$22:$AC$31,27,FALSE)*AJ50+I50+J50+K50,IF(AS50=5,(('Calc (ex-animal)'!$G$15*'DB additional information '!$K$5/100+'Calc (ex-animal)'!$H$15*'DB additional information '!$L$5/100))*(1-VLOOKUP(D50,'DB technologies'!$N$27:$Y$38,9,FALSE)/100)*'Calc (ex-housing, ex-storage)'!F50/100/VLOOKUP($C$50,'DB animal categories'!$C$22:$AC$31,27,FALSE)*AJ50+I50+J50+K50,IF(AS50=3,('Calc (ex-animal)'!$G$15*'DB additional information '!$K$5/100+'Calc (ex-animal)'!$H$15*'DB additional information '!$L$5/100)*(1-VLOOKUP(D50,'DB technologies'!$N$27:$Y$38,9,FALSE)/100)*'Calc (ex-housing, ex-storage)'!F50/100/VLOOKUP($C$50,'DB animal categories'!$C$22:$AC$31,27,FALSE)*AJ50+I50+J50+K50,IF(AS50=4,('Calc (ex-animal)'!$G$15*'DB additional information '!$K$5/100+'Calc (ex-animal)'!$H$15*'DB additional information '!$L$5/100)*(1-VLOOKUP(D50,'DB technologies'!$N$27:$Y$38,9,FALSE)/100)*'Calc (ex-housing, ex-storage)'!F50/100*VLOOKUP(D50,'DB technologies'!$N$27:$Y$38,12,FALSE)/100/VLOOKUP($C$50,'DB animal categories'!$C$22:$AC$31,27,FALSE)*AJ50+I50+J50+K50,0))))))</f>
        <v/>
      </c>
      <c r="AV50" s="453" t="str">
        <f>IF(D50="","",IF(AS50=2,0,IF(AS50=1,'Calc (ex-animal)'!$G$15*(1-'DB additional information '!$K$5/100)*(1-VLOOKUP(D50,'DB technologies'!$N$27:$Y$38,8,FALSE)/100)*'Calc (ex-housing, ex-storage)'!F50/100/VLOOKUP($C$50,'DB animal categories'!$C$22:$AC$31,27,FALSE)*AJ50+M50+N50+O50,IF(AS50=5,('Calc (ex-animal)'!$G$15*(1-'DB additional information '!$K$5/100)+'Calc (ex-animal)'!$H$15*(1-'DB additional information '!$L$5/100))*(1-VLOOKUP(D50,'DB technologies'!$N$27:$Y$38,8,FALSE)/100)*'Calc (ex-housing, ex-storage)'!F50/100/VLOOKUP($C$50,'DB animal categories'!$C$22:$AC$31,27,FALSE)*AJ50+M50+N50+O50,IF(AS50=3,('Calc (ex-animal)'!$G$15*(1-'DB additional information '!$K$5/100)+'Calc (ex-animal)'!$H$15*(1-'DB additional information '!$L$5/100))*(1-VLOOKUP(D50,'DB technologies'!$N$27:$Y$38,8,FALSE)/100)*'Calc (ex-housing, ex-storage)'!F50/100/VLOOKUP($C$50,'DB animal categories'!$C$22:$AC$31,27,FALSE)*AJ50+M50+N50+O50,IF(AS50=4,('Calc (ex-animal)'!$G$15*(1-'DB additional information '!$K$5/100)+'Calc (ex-animal)'!$H$15*(1-'DB additional information '!$L$5/100))*(1-VLOOKUP(D50,'DB technologies'!$N$27:$Y$38,8,FALSE)/100)*'Calc (ex-housing, ex-storage)'!F50/100*VLOOKUP(D50,'DB technologies'!$N$27:$Y$38,12,FALSE)/100/VLOOKUP($C$50,'DB animal categories'!$C$22:$AC$31,27,FALSE)*AJ50+M50+N50+O50,0))))))</f>
        <v/>
      </c>
      <c r="AW50" s="453" t="str">
        <f>IF(AS50="","",IF(AU50=0,0,AU50/AT50*100))</f>
        <v/>
      </c>
      <c r="AX50" s="180" t="str">
        <f>IF(D50="","",IF(AS50=2,0,IF(AS50=1,'Calc (ex-animal)'!$K$15*'Calc (ex-housing, ex-storage)'!F50/100/VLOOKUP($C$50,'DB animal categories'!$C$22:$AC$31,27,FALSE)*AJ50+Q50+R50+S50,IF(AS50=5,('Calc (ex-animal)'!$K$15+'Calc (ex-animal)'!$L$15)*'Calc (ex-housing, ex-storage)'!F50/100/VLOOKUP($C$50,'DB animal categories'!$C$22:$AC$31,27,FALSE)*AJ50+Q50+R50+S50-'Calc (ex-housing, ex-storage)'!AC50,IF(AS50=3,('Calc (ex-animal)'!$K$15+'Calc (ex-animal)'!$L$15)*'Calc (ex-housing, ex-storage)'!F50/100/VLOOKUP($C$50,'DB animal categories'!$C$22:$AC$31,27,FALSE)*AJ50+Q50+R50+S50-'Calc (ex-housing, ex-storage)'!AC50-AD50-AE50,IF(AI50=4,('Calc (ex-animal)'!$K$15+'Calc (ex-animal)'!$L$15)*'Calc (ex-housing, ex-storage)'!F50/100*VLOOKUP(D50,'DB technologies'!$N$27:$Y$38,12,FALSE)/100/VLOOKUP($C$50,'DB animal categories'!$C$22:$AC$31,27,FALSE)*AJ50+Q50+R50+S50-(VLOOKUP(D50,'DB technologies'!$N$27:$Y$38,12,FALSE)/100*AC50)-AD50-AE50,0))))))</f>
        <v/>
      </c>
      <c r="AY50" s="180" t="str">
        <f>IF(D50="","",IF(AS50=2,0,IF(AS50=1,'Calc (ex-animal)'!$N$15*'Calc (ex-housing, ex-storage)'!F50/100/VLOOKUP($C$50,'DB animal categories'!$C$22:$AC$31,27,FALSE)*AJ50+U50+V50+W50,IF(AS50=5,('Calc (ex-animal)'!$N$15+'Calc (ex-animal)'!$O$15)*'Calc (ex-housing, ex-storage)'!F50/100/VLOOKUP($C$50,'DB animal categories'!$C$22:$AC$31,27,FALSE)*AJ50+U50+V50+W50,IF(AS50=3,('Calc (ex-animal)'!$N$15+'Calc (ex-animal)'!$O$15)*'Calc (ex-housing, ex-storage)'!F50/100/VLOOKUP($C$50,'DB animal categories'!$C$22:$AC$31,27,FALSE)*AJ50+U50+V50+W50,IF(AS50=4,('Calc (ex-animal)'!$N$15+'Calc (ex-animal)'!$O$15)*'Calc (ex-housing, ex-storage)'!F50/100*VLOOKUP(D50,'DB technologies'!$N$27:$Y$38,12,FALSE)/100/VLOOKUP($C$50,'DB animal categories'!$C$22:$AC$31,27,FALSE)*AJ50+U50+V50+W50,0))))))</f>
        <v/>
      </c>
      <c r="AZ50" s="180" t="str">
        <f>IF(D50="","",IF(AS50=2,0,IF(AS50=1,'Calc (ex-animal)'!$Q$15*'Calc (ex-housing, ex-storage)'!F50/100/VLOOKUP($C$50,'DB animal categories'!$C$22:$AC$31,27,FALSE)*AJ50+Y50+Z50+AA50,IF(AS50=5,('Calc (ex-animal)'!$Q$15+'Calc (ex-animal)'!$R$15)*'Calc (ex-housing, ex-storage)'!F50/100/VLOOKUP($C$50,'DB animal categories'!$C$22:$AC$31,27,FALSE)*AJ50+Y50+Z50+AA50,IF(AS50=3,('Calc (ex-animal)'!$Q$15+'Calc (ex-animal)'!$R$15)*'Calc (ex-housing, ex-storage)'!F50/100/VLOOKUP($C$50,'DB animal categories'!$C$22:$AC$31,27,FALSE)*AJ50+Y50+Z50+AA50,IF(AS50=4,('Calc (ex-animal)'!$Q$15+'Calc (ex-animal)'!$R$15)*'Calc (ex-housing, ex-storage)'!F50/100*VLOOKUP(D50,'DB technologies'!$N$27:$Y$38,12,FALSE)/100/VLOOKUP($C$50,'DB animal categories'!$C$22:$AC$31,27,FALSE)*AJ50+Y50+Z50+AA50,0))))))</f>
        <v/>
      </c>
      <c r="BA50" s="506"/>
      <c r="BB50" s="506"/>
      <c r="BC50" s="506"/>
      <c r="BG50" s="1359"/>
      <c r="BH50" s="1362"/>
      <c r="BI50" s="600" t="str">
        <f>IF(BG50="","",$BA$46*BH50/100-($BB$46*BH50/100*VLOOKUP(BG50,'DB technologies'!$AC$43:$AT$47,5,FALSE)/100)+(VLOOKUP(BG50,'DB technologies'!$AC$43:$AT$47,12,FALSE)*$BA$46*BH50/100))</f>
        <v/>
      </c>
      <c r="BJ50" s="470">
        <f>IF(BI50="",0,BI50*BK50/100)</f>
        <v>0</v>
      </c>
      <c r="BK50" s="509" t="str">
        <f>IF(BG50="","",IF($BA$46=0,0,($BB$46*BH50/100)/BI50*(1-(VLOOKUP(BG50,'DB technologies'!$AC$43:$AQ$47,5,FALSE))/100)*100))</f>
        <v/>
      </c>
      <c r="BL50" s="267" t="str">
        <f>IF(BG50="","",$BD$46*BH50/100-BO50-BP50-BQ50)</f>
        <v/>
      </c>
      <c r="BM50" s="267" t="str">
        <f>IF(BG50="","",$BE$46*BH50/100)</f>
        <v/>
      </c>
      <c r="BN50" s="267" t="str">
        <f>IF(BG50="","",$BF$46*BH50/100)</f>
        <v/>
      </c>
      <c r="BO50" s="267" t="str">
        <f>IF(BG50="","",$BD$46*BH50/100*VLOOKUP(BG50,'DB technologies'!$AC$43:$AF$47,2,FALSE)/100)</f>
        <v/>
      </c>
      <c r="BP50" s="267" t="str">
        <f>IF(BG50="","",$BD$46*BH50/100*VLOOKUP(BG50,'DB technologies'!$AC$43:$AN$47,3,FALSE)/100)</f>
        <v/>
      </c>
      <c r="BQ50" s="268" t="str">
        <f>IF(BG50="","",$BD$46*BH50/100*VLOOKUP(BG50,'DB technologies'!$AC$43:$AN$47,4,FALSE)/100)</f>
        <v/>
      </c>
      <c r="BR50" s="117"/>
      <c r="BS50" s="117"/>
      <c r="BT50" s="118"/>
    </row>
    <row r="51" spans="1:72" ht="11.25" customHeight="1" thickBot="1" x14ac:dyDescent="0.25">
      <c r="A51" s="684"/>
      <c r="B51" s="695"/>
      <c r="C51" s="251"/>
      <c r="D51" s="1357"/>
      <c r="E51" s="1358"/>
      <c r="F51" s="480" t="str">
        <f>IF('Calc (ex-animal)'!$F$9=1,"",IF($C$50=0,"",IF(D51="","",E51/'Calc (ex-animal)'!$E$15*100)))</f>
        <v/>
      </c>
      <c r="G51" s="485" t="str">
        <f>IF($C$50=0,"",IF('Calc (ex-animal)'!$F$8=1,"",IF(D51="","",SUM(H51:O51))))</f>
        <v/>
      </c>
      <c r="H51" s="423" t="str">
        <f>IF('Calc (ex-animal)'!$F$8=1,"",IF(D51="","",(((VLOOKUP($C$50,'Calc (ex-animal)'!$D$13:$Y$17,6,FALSE)-VLOOKUP($C$50,'Calc (ex-animal)'!$D$13:$Y$17,17,FALSE))*F51/100))*VLOOKUP($C$50,'Calc (ex-animal)'!$D$13:$Y$17,7,FALSE)/100*(1-VLOOKUP(D51,'DB technologies'!$N$27:$Y$38,9,FALSE)/100)))</f>
        <v/>
      </c>
      <c r="I51" s="423" t="str">
        <f>IF(D51="","",((VLOOKUP(D51,'DB technologies'!$N$27:$Y$38,2,FALSE)*VLOOKUP($C$50,'DB animal categories'!$C$22:$AC$31,27,FALSE)*E51/1000)/VLOOKUP($C$50,'DB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'!$S$6/100*(1-VLOOKUP(D51,'DB technologies'!$N$27:$Y$38,9,FALSE)/100)))</f>
        <v/>
      </c>
      <c r="J51" s="434" t="str">
        <f>IF(D51="","",((VLOOKUP(D51,'DB technologies'!$N$27:$Y$38,3,FALSE)*VLOOKUP($C$50,'DB animal categories'!$C$22:$AC$31,27,FALSE)*E51/1000)/VLOOKUP($C$50,'DB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'!$S$7/100*(1-VLOOKUP(D51,'DB technologies'!$N$27:$Y$38,9,FALSE)/100)))</f>
        <v/>
      </c>
      <c r="K51" s="434" t="str">
        <f>IF(D51="","",((VLOOKUP(D51,'DB technologies'!$N$27:$Y$38,4,FALSE)*E51*'DB additional information '!$S$8/100*(1-VLOOKUP(D51,'DB technologies'!$N$27:$Y$38,9,FALSE)/100))/VLOOKUP($C$50,'DB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L51" s="423" t="str">
        <f>IF('Calc (ex-animal)'!$F$8=1,"",IF(D51="","",(((VLOOKUP($C$50,'Calc (ex-animal)'!$D$13:$Y$17,6,FALSE)-VLOOKUP($C$50,'Calc (ex-animal)'!$D$13:$Y$17,17,FALSE))*F51/100))*(1-VLOOKUP($C$50,'Calc (ex-animal)'!$D$13:$Y$17,7,FALSE)/100)*(1-VLOOKUP(D51,'DB technologies'!$N$27:$V$38,8,FALSE)/100)))</f>
        <v/>
      </c>
      <c r="M51" s="434" t="str">
        <f>IF(D51="","",((VLOOKUP(D51,'DB technologies'!$N$27:$Y$38,2,FALSE)*VLOOKUP($C$50,'DB animal categories'!$C$22:$AC$31,27,FALSE)*E51/1000)/VLOOKUP($C$50,'DB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'!$S$6/100)*(1-VLOOKUP(D51,'DB technologies'!$N$27:$Y$38,9,FALSE)/100))</f>
        <v/>
      </c>
      <c r="N51" s="434" t="str">
        <f>IF(D51="","",((VLOOKUP(D51,'DB technologies'!$N$27:$Y$38,3,FALSE)*VLOOKUP($C$50,'DB animal categories'!$C$22:$AC$31,27,FALSE)*E51/1000)/VLOOKUP($C$50,'DB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'!$S$7/100)*(1-VLOOKUP(D51,'DB technologies'!$N$27:$Y$38,9,FALSE)/100))</f>
        <v/>
      </c>
      <c r="O51" s="423" t="str">
        <f>IF(D51="","",((VLOOKUP(D51,'DB technologies'!$N$27:$Y$38,4,FALSE)*E51*(1-'DB additional information '!$S$8/100)*(1-VLOOKUP(D51,'DB technologies'!$N$27:$Y$38,8,FALSE)/100))/VLOOKUP($C$50,'DB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P51" s="438" t="str">
        <f>IF(G51=0,0,IF(E51="","",IF(F51="","",IF($C$50=0,"",IF(D51="","",SUM(H51:K51)/G51*100)))))</f>
        <v/>
      </c>
      <c r="Q51" s="416" t="str">
        <f>IF(D51="","",(VLOOKUP(D51,'DB technologies'!$N$27:$Y$38,2,FALSE)*'DB additional information '!$S$6/100*'DB additional information '!$T$6*VLOOKUP($C$50,'DB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R51" s="416" t="str">
        <f>IF(D51="","",(VLOOKUP(D51,'DB technologies'!$N$27:$Y$38,3,FALSE)*'DB additional information '!$S$7/100*'DB additional information '!$T$7*VLOOKUP($C$50,'DB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S51" s="491" t="str">
        <f>IF(D51="","",(VLOOKUP(D51,'DB technologies'!$N$27:$Y$38,4,FALSE)*('DB additional information '!$S$8/100*'DB additional information '!$T$8*E51/1000/1000)))</f>
        <v/>
      </c>
      <c r="T51" s="264" t="str">
        <f>IF($C$50=0,"",IF('Calc (ex-animal)'!$F$9=1,"",IF(D51="","",((VLOOKUP($C$50,'Calc (ex-animal)'!$D$13:$Y$17,10,FALSE)-VLOOKUP($C$50,'Calc (ex-animal)'!$D$13:$Y$17,18,FALSE))*F51/100+Q51+R51+S51)-AC51-AD51-AE51)))</f>
        <v/>
      </c>
      <c r="U51" s="422" t="str">
        <f>IF(D51="","",(VLOOKUP(D51,'DB technologies'!$N$27:$Y$38,2,FALSE)*'DB additional information '!$S$6/100*'DB additional information '!$U$6*VLOOKUP($C$50,'DB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V51" s="418" t="str">
        <f>IF(D51="","",(VLOOKUP(D51,'DB technologies'!$N$27:$Y$38,3,FALSE)*'DB additional information '!$S$7/100*'DB additional information '!$U$7*VLOOKUP($C$50,'DB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W51" s="417" t="str">
        <f>IF(D51="","",(VLOOKUP(D51,'DB technologies'!$N$27:$Y$38,4,FALSE)*('DB additional information '!$S$8/100*'DB additional information '!$U$8*E51/1000/1000)))</f>
        <v/>
      </c>
      <c r="X51" s="261" t="str">
        <f>IF($C$50=0,"",IF('Calc (ex-animal)'!$F$9=1,"",IF(D51="","",((VLOOKUP($C$50,'Calc (ex-animal)'!$D$13:$Y$17,13,FALSE)-VLOOKUP($C$50,'Calc (ex-animal)'!$D$13:$Y$17,19,FALSE))*F51/100+U51+V51+W51))))</f>
        <v/>
      </c>
      <c r="Y51" s="418" t="str">
        <f>IF(D51="","",(VLOOKUP(D51,'DB technologies'!$N$27:$Y$38,2,FALSE)*'DB additional information '!$S$6/100*'DB additional information '!$V$6*VLOOKUP($C$50,'DB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Z51" s="418" t="str">
        <f>IF(D51="","",(VLOOKUP(D51,'DB technologies'!$N$27:$Y$38,3,FALSE)*'DB additional information '!$S$7/100*'DB additional information '!$V$7*VLOOKUP($C$50,'DB animal categories'!$C$22:$AC$31,27,FALSE)*E51/1000/1000)/VLOOKUP($C$50,'DB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AA51" s="418" t="str">
        <f>IF(D51="","",(VLOOKUP(D51,'DB technologies'!$N$27:$Y$38,4,FALSE)*('DB additional information '!$S$8/100*'DB additional information '!$V$8*E51/1000/1000)))</f>
        <v/>
      </c>
      <c r="AB51" s="261" t="str">
        <f>IF($C$50=0,"",IF('Calc (ex-animal)'!$F$8=1,"",IF(D51="","",((VLOOKUP($C$50,'Calc (ex-animal)'!$D$13:$Y$17,16,FALSE)-VLOOKUP($C$50,'Calc (ex-animal)'!$D$13:$Y$17,20,FALSE))*F51/100+Y51+Z51+AA51))))</f>
        <v/>
      </c>
      <c r="AC51" s="261" t="str">
        <f>IF($C$50=0,"",IF('Calc (ex-animal)'!$F$8=1,"",IF(D51="","",VLOOKUP($C$50,'Calc (ex-animal)'!$D$13:$Y$17,9,FALSE)/VLOOKUP($C$50,'DB animal categories'!$C$22:$AC$31,27,FALSE)*(VLOOKUP($C$50,'DB animal categories'!$C$22:$AC$31,27,FALSE)-VLOOKUP($C$50,'DB animal categories'!$C$22:$AC$31,25,FALSE)*VLOOKUP($C$50,'DB animal categories'!$C$22:$AC$31,26,FALSE)/24)*F51/100*VLOOKUP(D51,'DB technologies'!$N$27:$R$38,5,FALSE)/100)))</f>
        <v/>
      </c>
      <c r="AD51" s="261" t="str">
        <f>IF($C$50=0,"",IF('Calc (ex-animal)'!$F$8=1,"",IF(D51="","",VLOOKUP($C$50,'Calc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categories'!$C$22:$AC$31,26,FALSE)/24)*F51/100*VLOOKUP(D51,'DB technologies'!$N$27:$Y$38,6,FALSE)/100)))</f>
        <v/>
      </c>
      <c r="AE51" s="262" t="str">
        <f>IF($C$50=0,"",IF('Calc (ex-animal)'!$F$8=1,"",IF(D51="","",VLOOKUP($C$50,'Calc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categories'!$C$22:$AC$31,26,FALSE)/24)*F51/100*VLOOKUP(D51,'DB technologies'!$N$27:$Y$38,7,FALSE)/100)))</f>
        <v/>
      </c>
      <c r="AG51" s="695"/>
      <c r="AH51" s="696"/>
      <c r="AI51" s="181" t="str">
        <f>IF(D51="","",VLOOKUP(D51,'DB technologies'!$N$27:$Y$38,10,FALSE))</f>
        <v/>
      </c>
      <c r="AJ51" s="449" t="e">
        <f>VLOOKUP($C$50,'DB animal categories'!$C$22:$AN$31,27,FALSE)-VLOOKUP($C$50,'DB animal categories'!$C$22:$AN$31,26,FALSE)*VLOOKUP($C$50,'DB animal categories'!$C$22:$AN$31,25,FALSE)/24</f>
        <v>#N/A</v>
      </c>
      <c r="AK51" s="442" t="str">
        <f>IF(AI51="","",AL51+AM51)</f>
        <v/>
      </c>
      <c r="AL51" s="442" t="str">
        <f>IF(D51="","",IF(AI51=2,(('Calc (ex-animal)'!$G$15*'DB additional information '!$K$5/100*(1-VLOOKUP(D51,'DB technologies'!$N$27:$Y$38,9,FALSE)/100)*'Calc (ex-housing, ex-storage)'!F51/100+'Calc (ex-animal)'!$H$15*'DB additional information '!$L$5/100*(1-VLOOKUP(D51,'DB technologies'!$N$27:$Y$38,9,FALSE)/100)*'Calc (ex-housing, ex-storage)'!F51/100))/VLOOKUP($C$50,'DB animal categories'!$C$22:$AC$31,27,FALSE)*AJ51+I51+J51+K51,IF(AI51=1,('Calc (ex-animal)'!$H$15*'DB additional information '!$L$5/100*(1-VLOOKUP(D51,'DB technologies'!$N$27:$Y$38,9,FALSE)/100)*'Calc (ex-housing, ex-storage)'!F51/100)/VLOOKUP($C$50,'DB animal categories'!$C$22:$AC$31,27,FALSE)*AJ51,IF(AI51=4,('Calc (ex-animal)'!$G$15*'DB additional information '!$K$5/100+'Calc (ex-animal)'!$H$15*'DB additional information '!$L$5/100)*(1-VLOOKUP(D51,'DB technologies'!$N$27:$Y$38,9,FALSE)/100)*'Calc (ex-housing, ex-storage)'!F51/100*VLOOKUP(D51,'DB technologies'!$N$27:$Y$38,11,FALSE)/100/VLOOKUP($C$50,'DB animal categories'!$C$22:$AC$31,27,FALSE)*AJ51,0))))</f>
        <v/>
      </c>
      <c r="AM51" s="442" t="str">
        <f>IF(D51="","",IF(AI51=2,(('Calc (ex-animal)'!$G$15*(1-'DB additional information '!$K$5/100)*(1-VLOOKUP(D51,'DB technologies'!$N$27:$Y$38,8,FALSE)/100)*'Calc (ex-housing, ex-storage)'!F51/100+'Calc (ex-animal)'!$H$15*(1-'DB additional information '!$L$5/100)*(1-VLOOKUP(D51,'DB technologies'!$N$27:$Y$38,8,FALSE)/100)*'Calc (ex-housing, ex-storage)'!F51/100))/VLOOKUP($C$50,'DB animal categories'!$C$22:$AC$31,27,FALSE)*AJ51+M51+N51+O51,IF(AI51=1,('Calc (ex-animal)'!$H$15*(1-'DB additional information '!$L$5/100)*(1-VLOOKUP(D51,'DB technologies'!$N$27:$Y$38,8,FALSE)/100)*'Calc (ex-housing, ex-storage)'!F51/100)/VLOOKUP($C$50,'DB animal categories'!$C$22:$AC$31,27,FALSE)*AJ51,IF(AI51=4,('Calc (ex-animal)'!$G$15*(1-'DB additional information '!$K$5/100)+'Calc (ex-animal)'!$H$15*(1-'DB additional information '!$L$5/100))*(1-VLOOKUP(D51,'DB technologies'!$N$27:$Y$38,8,FALSE)/100)*'Calc (ex-housing, ex-storage)'!F51/100*VLOOKUP(D51,'DB technologies'!$N$27:$Y$38,11,FALSE)/100/VLOOKUP($C$50,'DB animal categories'!$C$22:$AC$31,27,FALSE)*AJ51,0))))</f>
        <v/>
      </c>
      <c r="AN51" s="442" t="str">
        <f>IF(AI51="","",IF(AL51=0,0,AL51/AK51*100))</f>
        <v/>
      </c>
      <c r="AO51" s="182" t="str">
        <f>IF(D51="","",IF(AI51=2,(('Calc (ex-animal)'!$L$15*'Calc (ex-housing, ex-storage)'!F51/100+'Calc (ex-animal)'!$K$15*'Calc (ex-housing, ex-storage)'!F51/100))/VLOOKUP($C$50,'DB animal categories'!$C$22:$AC$31,27,FALSE)*AJ51+Q51+R51+S51-AC51,IF(AI51=1,('Calc (ex-animal)'!$L$15*'Calc (ex-housing, ex-storage)'!F51/100)/VLOOKUP($C$50,'DB animal categories'!$C$22:$AC$31,27,FALSE)*AJ51-'Calc (ex-housing, ex-storage)'!AC51,IF(AI51=4,('Calc (ex-animal)'!$L$15+'Calc (ex-animal)'!$K$15)*'Calc (ex-housing, ex-storage)'!F51/100*VLOOKUP(D51,'DB technologies'!$N$27:$Y$38,11,FALSE)/100/VLOOKUP($C$50,'DB animal categories'!$C$22:$AC$31,27,FALSE)*AJ51-AC51*VLOOKUP(D51,'DB technologies'!$N$27:$Y$38,11,FALSE)/100,0))))</f>
        <v/>
      </c>
      <c r="AP51" s="182" t="str">
        <f>IF(D51="","",IF(AO51&lt;-0.01,0,IF(AI51=2,(('Calc (ex-animal)'!$L$15*'Calc (ex-housing, ex-storage)'!F51/100+'Calc (ex-animal)'!$K$15*'Calc (ex-housing, ex-storage)'!F51/100))/VLOOKUP($C$50,'DB animal categories'!$C$22:$AC$31,27,FALSE)*AJ51+Q51+R51+S51-AC51,IF(AI51=1,('Calc (ex-animal)'!$L$15*'Calc (ex-housing, ex-storage)'!F51/100)/VLOOKUP($C$50,'DB animal categories'!$C$22:$AC$31,27,FALSE)*AJ51-'Calc (ex-housing, ex-storage)'!AC51,IF(AI51=4,('Calc (ex-animal)'!$L$15+'Calc (ex-animal)'!$K$15)*'Calc (ex-housing, ex-storage)'!F51/100*VLOOKUP(D51,'DB technologies'!$N$27:$Y$38,11,FALSE)/100/VLOOKUP($C$50,'DB animal categories'!$C$22:$AC$31,27,FALSE)*AJ51-AC51*VLOOKUP(D51,'DB technologies'!$N$27:$Y$38,11,FALSE)/100,0)))))</f>
        <v/>
      </c>
      <c r="AQ51" s="182" t="str">
        <f>IF(D51="","",IF(AI51=2,('Calc (ex-animal)'!$O$15*'Calc (ex-housing, ex-storage)'!F51/100+'Calc (ex-animal)'!$N$15*'Calc (ex-housing, ex-storage)'!F51/100)/VLOOKUP($C$50,'DB animal categories'!$C$22:$AC$31,27,FALSE)*AJ51+U51+V51+W51,IF(AI51=1,'Calc (ex-animal)'!$O$15*'Calc (ex-housing, ex-storage)'!F51/100/VLOOKUP($C$50,'DB animal categories'!$C$22:$AC$31,27,FALSE)*AJ51,IF(AI51=4,('Calc (ex-animal)'!$O$15+'Calc (ex-animal)'!$N$15)*'Calc (ex-housing, ex-storage)'!F51/100*VLOOKUP(D51,'DB technologies'!$N$27:$Y$38,11,FALSE)/100/VLOOKUP($C$50,'DB animal categories'!$C$22:$AC$31,27,FALSE)*AJ51,0))))</f>
        <v/>
      </c>
      <c r="AR51" s="182" t="str">
        <f>IF(D51="","",IF(AI51=2,('Calc (ex-animal)'!$R$15*'Calc (ex-housing, ex-storage)'!F51/100+'Calc (ex-animal)'!$Q$15*'Calc (ex-housing, ex-storage)'!F51/100)/VLOOKUP($C$50,'DB animal categories'!$C$22:$AC$31,27,FALSE)*AJ51+Y51+Z51+AA51,IF(AI51=1,'Calc (ex-animal)'!$R$15*'Calc (ex-housing, ex-storage)'!F51/100/VLOOKUP($C$50,'DB animal categories'!$C$22:$AC$31,27,FALSE)*AJ51,IF(AI51=4,('Calc (ex-animal)'!$R$15+'Calc (ex-animal)'!$Q$15)*'Calc (ex-housing, ex-storage)'!F51/100*VLOOKUP(D51,'DB technologies'!$N$27:$Y$38,11,FALSE)/100/VLOOKUP($C$50,'DB animal categories'!$C$22:$AC$31,27,FALSE)*AJ51,0))))</f>
        <v/>
      </c>
      <c r="AS51" s="181" t="str">
        <f>IF(D51="","",VLOOKUP(D51,'DB technologies'!$N$27:$Y$38,10,FALSE))</f>
        <v/>
      </c>
      <c r="AT51" s="442" t="str">
        <f>IF(AS51="","",AU51+AV51)</f>
        <v/>
      </c>
      <c r="AU51" s="442" t="str">
        <f>IF(D51="","",IF(AS51=2,0,IF(AS51=1,'Calc (ex-animal)'!$G$15*'DB additional information '!$K$5/100*(1-VLOOKUP(D51,'DB technologies'!$N$27:$Y$38,8,FALSE)/100)*'Calc (ex-housing, ex-storage)'!F51/100/VLOOKUP($C$50,'DB animal categories'!$C$22:$AC$31,27,FALSE)*AJ51+I51+J51+K51,IF(AS51=5,(('Calc (ex-animal)'!$G$15*'DB additional information '!$K$5/100+'Calc (ex-animal)'!$H$15*'DB additional information '!$L$5/100))*(1-VLOOKUP(D51,'DB technologies'!$N$27:$Y$38,9,FALSE)/100)*'Calc (ex-housing, ex-storage)'!F51/100/VLOOKUP($C$50,'DB animal categories'!$C$22:$AC$31,27,FALSE)*AJ51+I51+J51+K51,IF(AS51=3,('Calc (ex-animal)'!$G$15*'DB additional information '!$K$5/100+'Calc (ex-animal)'!$H$15*'DB additional information '!$L$5/100)*(1-VLOOKUP(D51,'DB technologies'!$N$27:$Y$38,9,FALSE)/100)*'Calc (ex-housing, ex-storage)'!F51/100/VLOOKUP($C$50,'DB animal categories'!$C$22:$AC$31,27,FALSE)*AJ51+I51+J51+K51,IF(AS51=4,('Calc (ex-animal)'!$G$15*'DB additional information '!$K$5/100+'Calc (ex-animal)'!$H$15*'DB additional information '!$L$5/100)*(1-VLOOKUP(D51,'DB technologies'!$N$27:$Y$38,9,FALSE)/100)*'Calc (ex-housing, ex-storage)'!F51/100*VLOOKUP(D51,'DB technologies'!$N$27:$Y$38,12,FALSE)/100/VLOOKUP($C$50,'DB animal categories'!$C$22:$AC$31,27,FALSE)*AJ51+I51+J51+K51,0))))))</f>
        <v/>
      </c>
      <c r="AV51" s="442" t="str">
        <f>IF(D51="","",IF(AS51=2,0,IF(AS51=1,'Calc (ex-animal)'!$G$15*(1-'DB additional information '!$K$5/100)*(1-VLOOKUP(D51,'DB technologies'!$N$27:$Y$38,8,FALSE)/100)*'Calc (ex-housing, ex-storage)'!F51/100/VLOOKUP($C$50,'DB animal categories'!$C$22:$AC$31,27,FALSE)*AJ51+M51+N51+O51,IF(AS51=5,('Calc (ex-animal)'!$G$15*(1-'DB additional information '!$K$5/100)+'Calc (ex-animal)'!$H$15*(1-'DB additional information '!$L$5/100))*(1-VLOOKUP(D51,'DB technologies'!$N$27:$Y$38,8,FALSE)/100)*'Calc (ex-housing, ex-storage)'!F51/100/VLOOKUP($C$50,'DB animal categories'!$C$22:$AC$31,27,FALSE)*AJ51+M51+N51+O51,IF(AS51=3,('Calc (ex-animal)'!$G$15*(1-'DB additional information '!$K$5/100)+'Calc (ex-animal)'!$H$15*(1-'DB additional information '!$L$5/100))*(1-VLOOKUP(D51,'DB technologies'!$N$27:$Y$38,8,FALSE)/100)*'Calc (ex-housing, ex-storage)'!F51/100/VLOOKUP($C$50,'DB animal categories'!$C$22:$AC$31,27,FALSE)*AJ51+M51+N51+O51,IF(AS51=4,('Calc (ex-animal)'!$G$15*(1-'DB additional information '!$K$5/100)+'Calc (ex-animal)'!$H$15*(1-'DB additional information '!$L$5/100))*(1-VLOOKUP(D51,'DB technologies'!$N$27:$Y$38,8,FALSE)/100)*'Calc (ex-housing, ex-storage)'!F51/100*VLOOKUP(D51,'DB technologies'!$N$27:$Y$38,12,FALSE)/100/VLOOKUP($C$50,'DB animal categories'!$C$22:$AC$31,27,FALSE)*AJ51+M51+N51+O51,0))))))</f>
        <v/>
      </c>
      <c r="AW51" s="442" t="str">
        <f>IF(AS51="","",IF(AU51=0,0,AU51/AT51*100))</f>
        <v/>
      </c>
      <c r="AX51" s="182" t="str">
        <f>IF(D51="","",IF(AS51=2,0,IF(AS51=1,'Calc (ex-animal)'!$K$15*'Calc (ex-housing, ex-storage)'!F51/100/VLOOKUP($C$50,'DB animal categories'!$C$22:$AC$31,27,FALSE)*AJ51+Q51+R51+S51,IF(AS51=5,('Calc (ex-animal)'!$K$15+'Calc (ex-animal)'!$L$15)*'Calc (ex-housing, ex-storage)'!F51/100/VLOOKUP($C$50,'DB animal categories'!$C$22:$AC$31,27,FALSE)*AJ51+Q51+R51+S51-'Calc (ex-housing, ex-storage)'!AC51,IF(AS51=3,('Calc (ex-animal)'!$K$15+'Calc (ex-animal)'!$L$15)*'Calc (ex-housing, ex-storage)'!F51/100/VLOOKUP($C$50,'DB animal categories'!$C$22:$AC$31,27,FALSE)*AJ51+Q51+R51+S51-'Calc (ex-housing, ex-storage)'!AC51-AD51-AE51,IF(AI51=4,('Calc (ex-animal)'!$K$15+'Calc (ex-animal)'!$L$15)*'Calc (ex-housing, ex-storage)'!F51/100*VLOOKUP(D51,'DB technologies'!$N$27:$Y$38,12,FALSE)/100/VLOOKUP($C$50,'DB animal categories'!$C$22:$AC$31,27,FALSE)*AJ51+Q51+R51+S51-(VLOOKUP(D51,'DB technologies'!$N$27:$Y$38,12,FALSE)/100*AC51)-AD51-AE51,0))))))</f>
        <v/>
      </c>
      <c r="AY51" s="182" t="str">
        <f>IF(D51="","",IF(AS51=2,0,IF(AS51=1,'Calc (ex-animal)'!$N$15*'Calc (ex-housing, ex-storage)'!F51/100/VLOOKUP($C$50,'DB animal categories'!$C$22:$AC$31,27,FALSE)*AJ51+U51+V51+W51,IF(AS51=5,('Calc (ex-animal)'!$N$15+'Calc (ex-animal)'!$O$15)*'Calc (ex-housing, ex-storage)'!F51/100/VLOOKUP($C$50,'DB animal categories'!$C$22:$AC$31,27,FALSE)*AJ51+U51+V51+W51,IF(AS51=3,('Calc (ex-animal)'!$N$15+'Calc (ex-animal)'!$O$15)*'Calc (ex-housing, ex-storage)'!F51/100/VLOOKUP($C$50,'DB animal categories'!$C$22:$AC$31,27,FALSE)*AJ51+U51+V51+W51,IF(AS51=4,('Calc (ex-animal)'!$N$15+'Calc (ex-animal)'!$O$15)*'Calc (ex-housing, ex-storage)'!F51/100*VLOOKUP(D51,'DB technologies'!$N$27:$Y$38,12,FALSE)/100/VLOOKUP($C$50,'DB animal categories'!$C$22:$AC$31,27,FALSE)*AJ51+U51+V51+W51,0))))))</f>
        <v/>
      </c>
      <c r="AZ51" s="182" t="str">
        <f>IF(D51="","",IF(AS51=2,0,IF(AS51=1,'Calc (ex-animal)'!$Q$15*'Calc (ex-housing, ex-storage)'!F51/100/VLOOKUP($C$50,'DB animal categories'!$C$22:$AC$31,27,FALSE)*AJ51+Y51+Z51+AA51,IF(AS51=5,('Calc (ex-animal)'!$Q$15+'Calc (ex-animal)'!$R$15)*'Calc (ex-housing, ex-storage)'!F51/100/VLOOKUP($C$50,'DB animal categories'!$C$22:$AC$31,27,FALSE)*AJ51+Y51+Z51+AA51,IF(AS51=3,('Calc (ex-animal)'!$Q$15+'Calc (ex-animal)'!$R$15)*'Calc (ex-housing, ex-storage)'!F51/100/VLOOKUP($C$50,'DB animal categories'!$C$22:$AC$31,27,FALSE)*AJ51+Y51+Z51+AA51,IF(AS51=4,('Calc (ex-animal)'!$Q$15+'Calc (ex-animal)'!$R$15)*'Calc (ex-housing, ex-storage)'!F51/100*VLOOKUP(D51,'DB technologies'!$N$27:$Y$38,12,FALSE)/100/VLOOKUP($C$50,'DB animal categories'!$C$22:$AC$31,27,FALSE)*AJ51+Y51+Z51+AA51,0))))))</f>
        <v/>
      </c>
      <c r="BA51" s="506"/>
      <c r="BB51" s="506"/>
      <c r="BC51" s="506"/>
      <c r="BG51" s="556" t="s">
        <v>58</v>
      </c>
      <c r="BH51" s="315">
        <f>IF(SUM(BH46:BH50) &gt;100,"ERROR, SUM&gt;100%",SUM(BH46:BH50))</f>
        <v>0</v>
      </c>
      <c r="BI51" s="602">
        <f>SUM(BI46:BI50)</f>
        <v>0</v>
      </c>
      <c r="BJ51" s="593">
        <f>SUM(BJ46:BJ50)</f>
        <v>0</v>
      </c>
      <c r="BK51" s="597">
        <f>IF(BI51=0,0,BJ51/BI51*100)</f>
        <v>0</v>
      </c>
      <c r="BL51" s="290">
        <f t="shared" ref="BL51:BQ51" si="7">SUM(BL46:BL50)</f>
        <v>0</v>
      </c>
      <c r="BM51" s="307">
        <f t="shared" si="7"/>
        <v>0</v>
      </c>
      <c r="BN51" s="307">
        <f t="shared" si="7"/>
        <v>0</v>
      </c>
      <c r="BO51" s="307">
        <f t="shared" si="7"/>
        <v>0</v>
      </c>
      <c r="BP51" s="307">
        <f t="shared" si="7"/>
        <v>0</v>
      </c>
      <c r="BQ51" s="308">
        <f t="shared" si="7"/>
        <v>0</v>
      </c>
      <c r="BR51" s="119"/>
      <c r="BS51" s="120"/>
      <c r="BT51" s="121"/>
    </row>
    <row r="52" spans="1:72" ht="11.25" customHeight="1" x14ac:dyDescent="0.2">
      <c r="A52" s="684"/>
      <c r="B52" s="695"/>
      <c r="C52" s="251"/>
      <c r="D52" s="1357"/>
      <c r="E52" s="1358"/>
      <c r="F52" s="480" t="str">
        <f>IF('Calc (ex-animal)'!$F$9=1,"",IF($C$50=0,"",IF(D52="","",E52/'Calc (ex-animal)'!$E$15*100)))</f>
        <v/>
      </c>
      <c r="G52" s="485" t="str">
        <f>IF($C$50=0,"",IF('Calc (ex-animal)'!$F$8=1,"",IF(D52="","",SUM(H52:O52))))</f>
        <v/>
      </c>
      <c r="H52" s="423" t="str">
        <f>IF('Calc (ex-animal)'!$F$8=1,"",IF(D52="","",(((VLOOKUP($C$50,'Calc (ex-animal)'!$D$13:$Y$17,6,FALSE)-VLOOKUP($C$50,'Calc (ex-animal)'!$D$13:$Y$17,17,FALSE))*F52/100))*VLOOKUP($C$50,'Calc (ex-animal)'!$D$13:$Y$17,7,FALSE)/100*(1-VLOOKUP(D52,'DB technologies'!$N$27:$Y$38,9,FALSE)/100)))</f>
        <v/>
      </c>
      <c r="I52" s="423" t="str">
        <f>IF(D52="","",((VLOOKUP(D52,'DB technologies'!$N$27:$Y$38,2,FALSE)*VLOOKUP($C$50,'DB animal categories'!$C$22:$AC$31,27,FALSE)*E52/1000)/VLOOKUP($C$50,'DB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'!$S$6/100*(1-VLOOKUP(D52,'DB technologies'!$N$27:$Y$38,9,FALSE)/100)))</f>
        <v/>
      </c>
      <c r="J52" s="434" t="str">
        <f>IF(D52="","",((VLOOKUP(D52,'DB technologies'!$N$27:$Y$38,3,FALSE)*VLOOKUP($C$50,'DB animal categories'!$C$22:$AC$31,27,FALSE)*E52/1000)/VLOOKUP($C$50,'DB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'!$S$7/100*(1-VLOOKUP(D52,'DB technologies'!$N$27:$Y$38,9,FALSE)/100)))</f>
        <v/>
      </c>
      <c r="K52" s="434" t="str">
        <f>IF(D52="","",((VLOOKUP(D52,'DB technologies'!$N$27:$Y$38,4,FALSE)*E52*'DB additional information '!$S$8/100*(1-VLOOKUP(D52,'DB technologies'!$N$27:$Y$38,9,FALSE)/100))/VLOOKUP($C$50,'DB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L52" s="423" t="str">
        <f>IF('Calc (ex-animal)'!$F$8=1,"",IF(D52="","",(((VLOOKUP($C$50,'Calc (ex-animal)'!$D$13:$Y$17,6,FALSE)-VLOOKUP($C$50,'Calc (ex-animal)'!$D$13:$Y$17,17,FALSE))*F52/100))*(1-VLOOKUP($C$50,'Calc (ex-animal)'!$D$13:$Y$17,7,FALSE)/100)*(1-VLOOKUP(D52,'DB technologies'!$N$27:$V$38,8,FALSE)/100)))</f>
        <v/>
      </c>
      <c r="M52" s="434" t="str">
        <f>IF(D52="","",((VLOOKUP(D52,'DB technologies'!$N$27:$Y$38,2,FALSE)*VLOOKUP($C$50,'DB animal categories'!$C$22:$AC$31,27,FALSE)*E52/1000)/VLOOKUP($C$50,'DB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'!$S$6/100)*(1-VLOOKUP(D52,'DB technologies'!$N$27:$Y$38,9,FALSE)/100))</f>
        <v/>
      </c>
      <c r="N52" s="434" t="str">
        <f>IF(D52="","",((VLOOKUP(D52,'DB technologies'!$N$27:$Y$38,3,FALSE)*VLOOKUP($C$50,'DB animal categories'!$C$22:$AC$31,27,FALSE)*E52/1000)/VLOOKUP($C$50,'DB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'!$S$7/100)*(1-VLOOKUP(D52,'DB technologies'!$N$27:$Y$38,9,FALSE)/100))</f>
        <v/>
      </c>
      <c r="O52" s="423" t="str">
        <f>IF(D52="","",((VLOOKUP(D52,'DB technologies'!$N$27:$Y$38,4,FALSE)*E52*(1-'DB additional information '!$S$8/100)*(1-VLOOKUP(D52,'DB technologies'!$N$27:$Y$38,8,FALSE)/100))/VLOOKUP($C$50,'DB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P52" s="438" t="str">
        <f>IF(G52=0,0,IF(E52="","",IF(F52="","",IF($C$50=0,"",IF(D52="","",SUM(H52:K52)/G52*100)))))</f>
        <v/>
      </c>
      <c r="Q52" s="416" t="str">
        <f>IF(D52="","",(VLOOKUP(D52,'DB technologies'!$N$27:$Y$38,2,FALSE)*'DB additional information '!$S$6/100*'DB additional information '!$T$6*VLOOKUP($C$50,'DB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R52" s="416" t="str">
        <f>IF(D52="","",(VLOOKUP(D52,'DB technologies'!$N$27:$Y$38,3,FALSE)*'DB additional information '!$S$7/100*'DB additional information '!$T$7*VLOOKUP($C$50,'DB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S52" s="491" t="str">
        <f>IF(D52="","",(VLOOKUP(D52,'DB technologies'!$N$27:$Y$38,4,FALSE)*('DB additional information '!$S$8/100*'DB additional information '!$T$8*E52/1000/1000)))</f>
        <v/>
      </c>
      <c r="T52" s="264" t="str">
        <f>IF($C$50=0,"",IF('Calc (ex-animal)'!$F$9=1,"",IF(D52="","",((VLOOKUP($C$50,'Calc (ex-animal)'!$D$13:$Y$17,10,FALSE)-VLOOKUP($C$50,'Calc (ex-animal)'!$D$13:$Y$17,18,FALSE))*F52/100+Q52+R52+S52)-AC52-AD52-AE52)))</f>
        <v/>
      </c>
      <c r="U52" s="422" t="str">
        <f>IF(D52="","",(VLOOKUP(D52,'DB technologies'!$N$27:$Y$38,2,FALSE)*'DB additional information '!$S$6/100*'DB additional information '!$U$6*VLOOKUP($C$50,'DB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V52" s="418" t="str">
        <f>IF(D52="","",(VLOOKUP(D52,'DB technologies'!$N$27:$Y$38,3,FALSE)*'DB additional information '!$S$7/100*'DB additional information '!$U$7*VLOOKUP($C$50,'DB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W52" s="417" t="str">
        <f>IF(D52="","",(VLOOKUP(D52,'DB technologies'!$N$27:$Y$38,4,FALSE)*('DB additional information '!$S$8/100*'DB additional information '!$U$8*E52/1000/1000)))</f>
        <v/>
      </c>
      <c r="X52" s="261" t="str">
        <f>IF($C$50=0,"",IF('Calc (ex-animal)'!$F$9=1,"",IF(D52="","",((VLOOKUP($C$50,'Calc (ex-animal)'!$D$13:$Y$17,13,FALSE)-VLOOKUP($C$50,'Calc (ex-animal)'!$D$13:$Y$17,19,FALSE))*F52/100+U52+V52+W52))))</f>
        <v/>
      </c>
      <c r="Y52" s="418" t="str">
        <f>IF(D52="","",(VLOOKUP(D52,'DB technologies'!$N$27:$Y$38,2,FALSE)*'DB additional information '!$S$6/100*'DB additional information '!$V$6*VLOOKUP($C$50,'DB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Z52" s="418" t="str">
        <f>IF(D52="","",(VLOOKUP(D52,'DB technologies'!$N$27:$Y$38,3,FALSE)*'DB additional information '!$S$7/100*'DB additional information '!$V$7*VLOOKUP($C$50,'DB animal categories'!$C$22:$AC$31,27,FALSE)*E52/1000/1000)/VLOOKUP($C$50,'DB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AA52" s="418" t="str">
        <f>IF(D52="","",(VLOOKUP(D52,'DB technologies'!$N$27:$Y$38,4,FALSE)*('DB additional information '!$S$8/100*'DB additional information '!$V$8*E52/1000/1000)))</f>
        <v/>
      </c>
      <c r="AB52" s="261" t="str">
        <f>IF($C$50=0,"",IF('Calc (ex-animal)'!$F$8=1,"",IF(D52="","",((VLOOKUP($C$50,'Calc (ex-animal)'!$D$13:$Y$17,16,FALSE)-VLOOKUP($C$50,'Calc (ex-animal)'!$D$13:$Y$17,20,FALSE))*F52/100+Y52+Z52+AA52))))</f>
        <v/>
      </c>
      <c r="AC52" s="261" t="str">
        <f>IF($C$50=0,"",IF('Calc (ex-animal)'!$F$8=1,"",IF(D52="","",VLOOKUP($C$50,'Calc (ex-animal)'!$D$13:$Y$17,9,FALSE)/VLOOKUP($C$50,'DB animal categories'!$C$22:$AC$31,27,FALSE)*(VLOOKUP($C$50,'DB animal categories'!$C$22:$AC$31,27,FALSE)-VLOOKUP($C$50,'DB animal categories'!$C$22:$AC$31,25,FALSE)*VLOOKUP($C$50,'DB animal categories'!$C$22:$AC$31,26,FALSE)/24)*F52/100*VLOOKUP(D52,'DB technologies'!$N$27:$R$38,5,FALSE)/100)))</f>
        <v/>
      </c>
      <c r="AD52" s="261" t="str">
        <f>IF($C$50=0,"",IF('Calc (ex-animal)'!$F$8=1,"",IF(D52="","",VLOOKUP($C$50,'Calc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categories'!$C$22:$AC$31,26,FALSE)/24)*F52/100*VLOOKUP(D52,'DB technologies'!$N$27:$Y$38,6,FALSE)/100)))</f>
        <v/>
      </c>
      <c r="AE52" s="262" t="str">
        <f>IF($C$50=0,"",IF('Calc (ex-animal)'!$F$8=1,"",IF(D52="","",VLOOKUP($C$50,'Calc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categories'!$C$22:$AC$31,26,FALSE)/24)*F52/100*VLOOKUP(D52,'DB technologies'!$N$27:$Y$38,7,FALSE)/100)))</f>
        <v/>
      </c>
      <c r="AG52" s="695"/>
      <c r="AH52" s="694" t="s">
        <v>133</v>
      </c>
      <c r="AI52" s="181" t="str">
        <f>IF(D52="","",VLOOKUP(D52,'DB technologies'!$N$27:$Y$38,10,FALSE))</f>
        <v/>
      </c>
      <c r="AJ52" s="449" t="e">
        <f>VLOOKUP($C$50,'DB animal categories'!$C$22:$AN$31,27,FALSE)-VLOOKUP($C$50,'DB animal categories'!$C$22:$AN$31,26,FALSE)*VLOOKUP($C$50,'DB animal categories'!$C$22:$AN$31,25,FALSE)/24</f>
        <v>#N/A</v>
      </c>
      <c r="AK52" s="442" t="str">
        <f>IF(AI52="","",AL52+AM52)</f>
        <v/>
      </c>
      <c r="AL52" s="442" t="str">
        <f>IF(D52="","",IF(AI52=2,(('Calc (ex-animal)'!$G$15*'DB additional information '!$K$5/100*(1-VLOOKUP(D52,'DB technologies'!$N$27:$Y$38,9,FALSE)/100)*'Calc (ex-housing, ex-storage)'!F52/100+'Calc (ex-animal)'!$H$15*'DB additional information '!$L$5/100*(1-VLOOKUP(D52,'DB technologies'!$N$27:$Y$38,9,FALSE)/100)*'Calc (ex-housing, ex-storage)'!F52/100))/VLOOKUP($C$50,'DB animal categories'!$C$22:$AC$31,27,FALSE)*AJ52+I52+J52+K52,IF(AI52=1,('Calc (ex-animal)'!$H$15*'DB additional information '!$L$5/100*(1-VLOOKUP(D52,'DB technologies'!$N$27:$Y$38,9,FALSE)/100)*'Calc (ex-housing, ex-storage)'!F52/100)/VLOOKUP($C$50,'DB animal categories'!$C$22:$AC$31,27,FALSE)*AJ52,IF(AI52=4,('Calc (ex-animal)'!$G$15*'DB additional information '!$K$5/100+'Calc (ex-animal)'!$H$15*'DB additional information '!$L$5/100)*(1-VLOOKUP(D52,'DB technologies'!$N$27:$Y$38,9,FALSE)/100)*'Calc (ex-housing, ex-storage)'!F52/100*VLOOKUP(D52,'DB technologies'!$N$27:$Y$38,11,FALSE)/100/VLOOKUP($C$50,'DB animal categories'!$C$22:$AC$31,27,FALSE)*AJ52,0))))</f>
        <v/>
      </c>
      <c r="AM52" s="442" t="str">
        <f>IF(D52="","",IF(AI52=2,(('Calc (ex-animal)'!$G$15*(1-'DB additional information '!$K$5/100)*(1-VLOOKUP(D52,'DB technologies'!$N$27:$Y$38,8,FALSE)/100)*'Calc (ex-housing, ex-storage)'!F52/100+'Calc (ex-animal)'!$H$15*(1-'DB additional information '!$L$5/100)*(1-VLOOKUP(D52,'DB technologies'!$N$27:$Y$38,8,FALSE)/100)*'Calc (ex-housing, ex-storage)'!F52/100))/VLOOKUP($C$50,'DB animal categories'!$C$22:$AC$31,27,FALSE)*AJ52+M52+N52+O52,IF(AI52=1,('Calc (ex-animal)'!$H$15*(1-'DB additional information '!$L$5/100)*(1-VLOOKUP(D52,'DB technologies'!$N$27:$Y$38,8,FALSE)/100)*'Calc (ex-housing, ex-storage)'!F52/100)/VLOOKUP($C$50,'DB animal categories'!$C$22:$AC$31,27,FALSE)*AJ52,IF(AI52=4,('Calc (ex-animal)'!$G$15*(1-'DB additional information '!$K$5/100)+'Calc (ex-animal)'!$H$15*(1-'DB additional information '!$L$5/100))*(1-VLOOKUP(D52,'DB technologies'!$N$27:$Y$38,8,FALSE)/100)*'Calc (ex-housing, ex-storage)'!F52/100*VLOOKUP(D52,'DB technologies'!$N$27:$Y$38,11,FALSE)/100/VLOOKUP($C$50,'DB animal categories'!$C$22:$AC$31,27,FALSE)*AJ52,0))))</f>
        <v/>
      </c>
      <c r="AN52" s="442" t="str">
        <f>IF(AI52="","",IF(AL52=0,0,AL52/AK52*100))</f>
        <v/>
      </c>
      <c r="AO52" s="182" t="str">
        <f>IF(D52="","",IF(AI52=2,(('Calc (ex-animal)'!$L$15*'Calc (ex-housing, ex-storage)'!F52/100+'Calc (ex-animal)'!$K$15*'Calc (ex-housing, ex-storage)'!F52/100))/VLOOKUP($C$50,'DB animal categories'!$C$22:$AC$31,27,FALSE)*AJ52+Q52+R52+S52-AC52,IF(AI52=1,('Calc (ex-animal)'!$L$15*'Calc (ex-housing, ex-storage)'!F52/100)/VLOOKUP($C$50,'DB animal categories'!$C$22:$AC$31,27,FALSE)*AJ52-'Calc (ex-housing, ex-storage)'!AC52,IF(AI52=4,('Calc (ex-animal)'!$L$15+'Calc (ex-animal)'!$K$15)*'Calc (ex-housing, ex-storage)'!F52/100*VLOOKUP(D52,'DB technologies'!$N$27:$Y$38,11,FALSE)/100/VLOOKUP($C$50,'DB animal categories'!$C$22:$AC$31,27,FALSE)*AJ52-AC52*VLOOKUP(D52,'DB technologies'!$N$27:$Y$38,11,FALSE)/100,0))))</f>
        <v/>
      </c>
      <c r="AP52" s="182" t="str">
        <f>IF(D52="","",IF(AO52&lt;-0.01,0,IF(AI52=2,(('Calc (ex-animal)'!$L$15*'Calc (ex-housing, ex-storage)'!F52/100+'Calc (ex-animal)'!$K$15*'Calc (ex-housing, ex-storage)'!F52/100))/VLOOKUP($C$50,'DB animal categories'!$C$22:$AC$31,27,FALSE)*AJ52+Q52+R52+S52-AC52,IF(AI52=1,('Calc (ex-animal)'!$L$15*'Calc (ex-housing, ex-storage)'!F52/100)/VLOOKUP($C$50,'DB animal categories'!$C$22:$AC$31,27,FALSE)*AJ52-'Calc (ex-housing, ex-storage)'!AC52,IF(AI52=4,('Calc (ex-animal)'!$L$15+'Calc (ex-animal)'!$K$15)*'Calc (ex-housing, ex-storage)'!F52/100*VLOOKUP(D52,'DB technologies'!$N$27:$Y$38,11,FALSE)/100/VLOOKUP($C$50,'DB animal categories'!$C$22:$AC$31,27,FALSE)*AJ52-AC52*VLOOKUP(D52,'DB technologies'!$N$27:$Y$38,11,FALSE)/100,0)))))</f>
        <v/>
      </c>
      <c r="AQ52" s="182" t="str">
        <f>IF(D52="","",IF(AI52=2,('Calc (ex-animal)'!$O$15*'Calc (ex-housing, ex-storage)'!F52/100+'Calc (ex-animal)'!$N$15*'Calc (ex-housing, ex-storage)'!F52/100)/VLOOKUP($C$50,'DB animal categories'!$C$22:$AC$31,27,FALSE)*AJ52+U52+V52+W52,IF(AI52=1,'Calc (ex-animal)'!$O$15*'Calc (ex-housing, ex-storage)'!F52/100/VLOOKUP($C$50,'DB animal categories'!$C$22:$AC$31,27,FALSE)*AJ52,IF(AI52=4,('Calc (ex-animal)'!$O$15+'Calc (ex-animal)'!$N$15)*'Calc (ex-housing, ex-storage)'!F52/100*VLOOKUP(D52,'DB technologies'!$N$27:$Y$38,11,FALSE)/100/VLOOKUP($C$50,'DB animal categories'!$C$22:$AC$31,27,FALSE)*AJ52,0))))</f>
        <v/>
      </c>
      <c r="AR52" s="182" t="str">
        <f>IF(D52="","",IF(AI52=2,('Calc (ex-animal)'!$R$15*'Calc (ex-housing, ex-storage)'!F52/100+'Calc (ex-animal)'!$Q$15*'Calc (ex-housing, ex-storage)'!F52/100)/VLOOKUP($C$50,'DB animal categories'!$C$22:$AC$31,27,FALSE)*AJ52+Y52+Z52+AA52,IF(AI52=1,'Calc (ex-animal)'!$R$15*'Calc (ex-housing, ex-storage)'!F52/100/VLOOKUP($C$50,'DB animal categories'!$C$22:$AC$31,27,FALSE)*AJ52,IF(AI52=4,('Calc (ex-animal)'!$R$15+'Calc (ex-animal)'!$Q$15)*'Calc (ex-housing, ex-storage)'!F52/100*VLOOKUP(D52,'DB technologies'!$N$27:$Y$38,11,FALSE)/100/VLOOKUP($C$50,'DB animal categories'!$C$22:$AC$31,27,FALSE)*AJ52,0))))</f>
        <v/>
      </c>
      <c r="AS52" s="181" t="str">
        <f>IF(D52="","",VLOOKUP(D52,'DB technologies'!$N$27:$Y$38,10,FALSE))</f>
        <v/>
      </c>
      <c r="AT52" s="442" t="str">
        <f>IF(AS52="","",AU52+AV52)</f>
        <v/>
      </c>
      <c r="AU52" s="442" t="str">
        <f>IF(D52="","",IF(AS52=2,0,IF(AS52=1,'Calc (ex-animal)'!$G$15*'DB additional information '!$K$5/100*(1-VLOOKUP(D52,'DB technologies'!$N$27:$Y$38,8,FALSE)/100)*'Calc (ex-housing, ex-storage)'!F52/100/VLOOKUP($C$50,'DB animal categories'!$C$22:$AC$31,27,FALSE)*AJ52+I52+J52+K52,IF(AS52=5,(('Calc (ex-animal)'!$G$15*'DB additional information '!$K$5/100+'Calc (ex-animal)'!$H$15*'DB additional information '!$L$5/100))*(1-VLOOKUP(D52,'DB technologies'!$N$27:$Y$38,9,FALSE)/100)*'Calc (ex-housing, ex-storage)'!F52/100/VLOOKUP($C$50,'DB animal categories'!$C$22:$AC$31,27,FALSE)*AJ52+I52+J52+K52,IF(AS52=3,('Calc (ex-animal)'!$G$15*'DB additional information '!$K$5/100+'Calc (ex-animal)'!$H$15*'DB additional information '!$L$5/100)*(1-VLOOKUP(D52,'DB technologies'!$N$27:$Y$38,9,FALSE)/100)*'Calc (ex-housing, ex-storage)'!F52/100/VLOOKUP($C$50,'DB animal categories'!$C$22:$AC$31,27,FALSE)*AJ52+I52+J52+K52,IF(AS52=4,('Calc (ex-animal)'!$G$15*'DB additional information '!$K$5/100+'Calc (ex-animal)'!$H$15*'DB additional information '!$L$5/100)*(1-VLOOKUP(D52,'DB technologies'!$N$27:$Y$38,9,FALSE)/100)*'Calc (ex-housing, ex-storage)'!F52/100*VLOOKUP(D52,'DB technologies'!$N$27:$Y$38,12,FALSE)/100/VLOOKUP($C$50,'DB animal categories'!$C$22:$AC$31,27,FALSE)*AJ52+I52+J52+K52,0))))))</f>
        <v/>
      </c>
      <c r="AV52" s="442" t="str">
        <f>IF(D52="","",IF(AS52=2,0,IF(AS52=1,'Calc (ex-animal)'!$G$15*(1-'DB additional information '!$K$5/100)*(1-VLOOKUP(D52,'DB technologies'!$N$27:$Y$38,8,FALSE)/100)*'Calc (ex-housing, ex-storage)'!F52/100/VLOOKUP($C$50,'DB animal categories'!$C$22:$AC$31,27,FALSE)*AJ52+M52+N52+O52,IF(AS52=5,('Calc (ex-animal)'!$G$15*(1-'DB additional information '!$K$5/100)+'Calc (ex-animal)'!$H$15*(1-'DB additional information '!$L$5/100))*(1-VLOOKUP(D52,'DB technologies'!$N$27:$Y$38,8,FALSE)/100)*'Calc (ex-housing, ex-storage)'!F52/100/VLOOKUP($C$50,'DB animal categories'!$C$22:$AC$31,27,FALSE)*AJ52+M52+N52+O52,IF(AS52=3,('Calc (ex-animal)'!$G$15*(1-'DB additional information '!$K$5/100)+'Calc (ex-animal)'!$H$15*(1-'DB additional information '!$L$5/100))*(1-VLOOKUP(D52,'DB technologies'!$N$27:$Y$38,8,FALSE)/100)*'Calc (ex-housing, ex-storage)'!F52/100/VLOOKUP($C$50,'DB animal categories'!$C$22:$AC$31,27,FALSE)*AJ52+M52+N52+O52,IF(AS52=4,('Calc (ex-animal)'!$G$15*(1-'DB additional information '!$K$5/100)+'Calc (ex-animal)'!$H$15*(1-'DB additional information '!$L$5/100))*(1-VLOOKUP(D52,'DB technologies'!$N$27:$Y$38,8,FALSE)/100)*'Calc (ex-housing, ex-storage)'!F52/100*VLOOKUP(D52,'DB technologies'!$N$27:$Y$38,12,FALSE)/100/VLOOKUP($C$50,'DB animal categories'!$C$22:$AC$31,27,FALSE)*AJ52+M52+N52+O52,0))))))</f>
        <v/>
      </c>
      <c r="AW52" s="442" t="str">
        <f>IF(AS52="","",IF(AU52=0,0,AU52/AT52*100))</f>
        <v/>
      </c>
      <c r="AX52" s="182" t="str">
        <f>IF(D52="","",IF(AS52=2,0,IF(AS52=1,'Calc (ex-animal)'!$K$15*'Calc (ex-housing, ex-storage)'!F52/100/VLOOKUP($C$50,'DB animal categories'!$C$22:$AC$31,27,FALSE)*AJ52+Q52+R52+S52,IF(AS52=5,('Calc (ex-animal)'!$K$15+'Calc (ex-animal)'!$L$15)*'Calc (ex-housing, ex-storage)'!F52/100/VLOOKUP($C$50,'DB animal categories'!$C$22:$AC$31,27,FALSE)*AJ52+Q52+R52+S52-'Calc (ex-housing, ex-storage)'!AC52,IF(AS52=3,('Calc (ex-animal)'!$K$15+'Calc (ex-animal)'!$L$15)*'Calc (ex-housing, ex-storage)'!F52/100/VLOOKUP($C$50,'DB animal categories'!$C$22:$AC$31,27,FALSE)*AJ52+Q52+R52+S52-'Calc (ex-housing, ex-storage)'!AC52-AD52-AE52,IF(AI52=4,('Calc (ex-animal)'!$K$15+'Calc (ex-animal)'!$L$15)*'Calc (ex-housing, ex-storage)'!F52/100*VLOOKUP(D52,'DB technologies'!$N$27:$Y$38,12,FALSE)/100/VLOOKUP($C$50,'DB animal categories'!$C$22:$AC$31,27,FALSE)*AJ52+Q52+R52+S52-(VLOOKUP(D52,'DB technologies'!$N$27:$Y$38,12,FALSE)/100*AC52)-AD52-AE52,0))))))</f>
        <v/>
      </c>
      <c r="AY52" s="182" t="str">
        <f>IF(D52="","",IF(AS52=2,0,IF(AS52=1,'Calc (ex-animal)'!$N$15*'Calc (ex-housing, ex-storage)'!F52/100/VLOOKUP($C$50,'DB animal categories'!$C$22:$AC$31,27,FALSE)*AJ52+U52+V52+W52,IF(AS52=5,('Calc (ex-animal)'!$N$15+'Calc (ex-animal)'!$O$15)*'Calc (ex-housing, ex-storage)'!F52/100/VLOOKUP($C$50,'DB animal categories'!$C$22:$AC$31,27,FALSE)*AJ52+U52+V52+W52,IF(AS52=3,('Calc (ex-animal)'!$N$15+'Calc (ex-animal)'!$O$15)*'Calc (ex-housing, ex-storage)'!F52/100/VLOOKUP($C$50,'DB animal categories'!$C$22:$AC$31,27,FALSE)*AJ52+U52+V52+W52,IF(AS52=4,('Calc (ex-animal)'!$N$15+'Calc (ex-animal)'!$O$15)*'Calc (ex-housing, ex-storage)'!F52/100*VLOOKUP(D52,'DB technologies'!$N$27:$Y$38,12,FALSE)/100/VLOOKUP($C$50,'DB animal categories'!$C$22:$AC$31,27,FALSE)*AJ52+U52+V52+W52,0))))))</f>
        <v/>
      </c>
      <c r="AZ52" s="182" t="str">
        <f>IF(D52="","",IF(AS52=2,0,IF(AS52=1,'Calc (ex-animal)'!$Q$15*'Calc (ex-housing, ex-storage)'!F52/100/VLOOKUP($C$50,'DB animal categories'!$C$22:$AC$31,27,FALSE)*AJ52+Y52+Z52+AA52,IF(AS52=5,('Calc (ex-animal)'!$Q$15+'Calc (ex-animal)'!$R$15)*'Calc (ex-housing, ex-storage)'!F52/100/VLOOKUP($C$50,'DB animal categories'!$C$22:$AC$31,27,FALSE)*AJ52+Y52+Z52+AA52,IF(AS52=3,('Calc (ex-animal)'!$Q$15+'Calc (ex-animal)'!$R$15)*'Calc (ex-housing, ex-storage)'!F52/100/VLOOKUP($C$50,'DB animal categories'!$C$22:$AC$31,27,FALSE)*AJ52+Y52+Z52+AA52,IF(AS52=4,('Calc (ex-animal)'!$Q$15+'Calc (ex-animal)'!$R$15)*'Calc (ex-housing, ex-storage)'!F52/100*VLOOKUP(D52,'DB technologies'!$N$27:$Y$38,12,FALSE)/100/VLOOKUP($C$50,'DB animal categories'!$C$22:$AC$31,27,FALSE)*AJ52+Y52+Z52+AA52,0))))))</f>
        <v/>
      </c>
      <c r="BA52" s="98">
        <f>SUMIF(AS277:AS485,1,AT277:AT485)+SUMIF(AS277:AS485,5,AT277:AT485)</f>
        <v>0</v>
      </c>
      <c r="BB52" s="98">
        <f>SUMIF(AS277:AS485,1,AU277:AU485)+SUMIF(AS277:AS485,5,AU277:AU485)</f>
        <v>0</v>
      </c>
      <c r="BC52" s="506" t="e">
        <f>BB52/BA52*100</f>
        <v>#DIV/0!</v>
      </c>
      <c r="BD52" s="98">
        <f>SUMIF(AS277:AS485,1,AX277:AX485)+SUMIF(AS277:AS485,5,AX277:AX485)</f>
        <v>0</v>
      </c>
      <c r="BE52" s="98">
        <f>SUMIF(AS277:AS485,1,AY277:AY485)+SUMIF(AS277:AS485,5,AY277:AY485)</f>
        <v>0</v>
      </c>
      <c r="BF52" s="98">
        <f>SUMIF(AS277:AS485,1,AZ277:AZ485)+SUMIF(AS277:AS485,5,AZ277:AZ485)</f>
        <v>0</v>
      </c>
      <c r="BG52" s="1355"/>
      <c r="BH52" s="1363"/>
      <c r="BI52" s="599" t="str">
        <f>IF(BG52="","",$BA$52*BH52/100-($BB$52*BH52/100*VLOOKUP(BG52,'DB technologies'!$AC$48:$AT$52,5,FALSE)/100)+(VLOOKUP(BG52,'DB technologies'!$AC$48:$AT$52,12,FALSE)*$BA$52*BH52/100))</f>
        <v/>
      </c>
      <c r="BJ52" s="551">
        <f>IF(BI52="",0,BI52*BK52/100)</f>
        <v>0</v>
      </c>
      <c r="BK52" s="558" t="str">
        <f>IF(BG52="","",IF($BA$52=0,0,($BB$52*BH52/100)/BI52*(1-(VLOOKUP(BG52,'DB technologies'!$AC$48:$AQ$52,5,FALSE))/100)*100))</f>
        <v/>
      </c>
      <c r="BL52" s="261" t="str">
        <f>IF(BG52="","",$BD$52*BH52/100-BO52-BP52-BQ52-BR52)</f>
        <v/>
      </c>
      <c r="BM52" s="259" t="str">
        <f>IF(BG52="","",$BE$52*BH52/100-BS52)</f>
        <v/>
      </c>
      <c r="BN52" s="259" t="str">
        <f>IF(BG52="","",$BF$52*BH52/100-BT52)</f>
        <v/>
      </c>
      <c r="BO52" s="259" t="str">
        <f>IF(BG52="","",$BD$52*BH52/100*VLOOKUP(BG52,'DB technologies'!$AC$48:$AF$52,2,FALSE)/100)</f>
        <v/>
      </c>
      <c r="BP52" s="259" t="str">
        <f>IF(BG52="","",$BD$52*BH52/100*VLOOKUP(BG52,'DB technologies'!$AC$48:$AN$52,3,FALSE)/100)</f>
        <v/>
      </c>
      <c r="BQ52" s="260" t="str">
        <f>IF(BG52="","",$BD$52*BH52/100*VLOOKUP(BG52,'DB technologies'!$AC$48:$AN$52,4,FALSE)/100)</f>
        <v/>
      </c>
      <c r="BR52" s="263" t="str">
        <f>IF(BG52="","",VLOOKUP(BG52,'DB technologies'!$AC$48:$AQ$52,13,FALSE)/100*$BD$52*BH52/100)</f>
        <v/>
      </c>
      <c r="BS52" s="259" t="str">
        <f>IF(BG52="","",VLOOKUP(BG52,'DB technologies'!$AC$48:$AQ$52,14,FALSE)/100*$BE$52*BH52/100)</f>
        <v/>
      </c>
      <c r="BT52" s="260" t="str">
        <f>IF(BG52="","",VLOOKUP(BG52,'DB technologies'!$AC$48:$AQ$52,15,FALSE)/100*$BF$52*BH52/100)</f>
        <v/>
      </c>
    </row>
    <row r="53" spans="1:72" ht="11.25" customHeight="1" x14ac:dyDescent="0.2">
      <c r="A53" s="684"/>
      <c r="B53" s="695"/>
      <c r="C53" s="251"/>
      <c r="D53" s="1357"/>
      <c r="E53" s="1358"/>
      <c r="F53" s="480" t="str">
        <f>IF('Calc (ex-animal)'!$F$9=1,"",IF($C$50=0,"",IF(D53="","",E53/'Calc (ex-animal)'!$E$15*100)))</f>
        <v/>
      </c>
      <c r="G53" s="485" t="str">
        <f>IF($C$50=0,"",IF('Calc (ex-animal)'!$F$8=1,"",IF(D53="","",SUM(H53:O53))))</f>
        <v/>
      </c>
      <c r="H53" s="423" t="str">
        <f>IF('Calc (ex-animal)'!$F$8=1,"",IF(D53="","",(((VLOOKUP($C$50,'Calc (ex-animal)'!$D$13:$Y$17,6,FALSE)-VLOOKUP($C$50,'Calc (ex-animal)'!$D$13:$Y$17,17,FALSE))*F53/100))*VLOOKUP($C$50,'Calc (ex-animal)'!$D$13:$Y$17,7,FALSE)/100*(1-VLOOKUP(D53,'DB technologies'!$N$27:$Y$38,9,FALSE)/100)))</f>
        <v/>
      </c>
      <c r="I53" s="423" t="str">
        <f>IF(D53="","",((VLOOKUP(D53,'DB technologies'!$N$27:$Y$38,2,FALSE)*VLOOKUP($C$50,'DB animal categories'!$C$22:$AC$31,27,FALSE)*E53/1000)/VLOOKUP($C$50,'DB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'!$S$6/100*(1-VLOOKUP(D53,'DB technologies'!$N$27:$Y$38,9,FALSE)/100)))</f>
        <v/>
      </c>
      <c r="J53" s="434" t="str">
        <f>IF(D53="","",((VLOOKUP(D53,'DB technologies'!$N$27:$Y$38,3,FALSE)*VLOOKUP($C$50,'DB animal categories'!$C$22:$AC$31,27,FALSE)*E53/1000)/VLOOKUP($C$50,'DB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'!$S$7/100*(1-VLOOKUP(D53,'DB technologies'!$N$27:$Y$38,9,FALSE)/100)))</f>
        <v/>
      </c>
      <c r="K53" s="434" t="str">
        <f>IF(D53="","",((VLOOKUP(D53,'DB technologies'!$N$27:$Y$38,4,FALSE)*E53*'DB additional information '!$S$8/100*(1-VLOOKUP(D53,'DB technologies'!$N$27:$Y$38,9,FALSE)/100))/VLOOKUP($C$50,'DB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L53" s="423" t="str">
        <f>IF('Calc (ex-animal)'!$F$8=1,"",IF(D53="","",(((VLOOKUP($C$50,'Calc (ex-animal)'!$D$13:$Y$17,6,FALSE)-VLOOKUP($C$50,'Calc (ex-animal)'!$D$13:$Y$17,17,FALSE))*F53/100))*(1-VLOOKUP($C$50,'Calc (ex-animal)'!$D$13:$Y$17,7,FALSE)/100)*(1-VLOOKUP(D53,'DB technologies'!$N$27:$V$38,8,FALSE)/100)))</f>
        <v/>
      </c>
      <c r="M53" s="434" t="str">
        <f>IF(D53="","",((VLOOKUP(D53,'DB technologies'!$N$27:$Y$38,2,FALSE)*VLOOKUP($C$50,'DB animal categories'!$C$22:$AC$31,27,FALSE)*E53/1000)/VLOOKUP($C$50,'DB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'!$S$6/100)*(1-VLOOKUP(D53,'DB technologies'!$N$27:$Y$38,9,FALSE)/100))</f>
        <v/>
      </c>
      <c r="N53" s="434" t="str">
        <f>IF(D53="","",((VLOOKUP(D53,'DB technologies'!$N$27:$Y$38,3,FALSE)*VLOOKUP($C$50,'DB animal categories'!$C$22:$AC$31,27,FALSE)*E53/1000)/VLOOKUP($C$50,'DB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'!$S$7/100)*(1-VLOOKUP(D53,'DB technologies'!$N$27:$Y$38,9,FALSE)/100))</f>
        <v/>
      </c>
      <c r="O53" s="423" t="str">
        <f>IF(D53="","",((VLOOKUP(D53,'DB technologies'!$N$27:$Y$38,4,FALSE)*E53*(1-'DB additional information '!$S$8/100)*(1-VLOOKUP(D53,'DB technologies'!$N$27:$Y$38,8,FALSE)/100))/VLOOKUP($C$50,'DB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P53" s="438" t="str">
        <f>IF(G53=0,0,IF(E53="","",IF(F53="","",IF($C$50=0,"",IF(D53="","",SUM(H53:K53)/G53*100)))))</f>
        <v/>
      </c>
      <c r="Q53" s="416" t="str">
        <f>IF(D53="","",(VLOOKUP(D53,'DB technologies'!$N$27:$Y$38,2,FALSE)*'DB additional information '!$S$6/100*'DB additional information '!$T$6*VLOOKUP($C$50,'DB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R53" s="416" t="str">
        <f>IF(D53="","",(VLOOKUP(D53,'DB technologies'!$N$27:$Y$38,3,FALSE)*'DB additional information '!$S$7/100*'DB additional information '!$T$7*VLOOKUP($C$50,'DB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S53" s="491" t="str">
        <f>IF(D53="","",(VLOOKUP(D53,'DB technologies'!$N$27:$Y$38,4,FALSE)*('DB additional information '!$S$8/100*'DB additional information '!$T$8*E53/1000/1000)))</f>
        <v/>
      </c>
      <c r="T53" s="264" t="str">
        <f>IF($C$50=0,"",IF('Calc (ex-animal)'!$F$9=1,"",IF(D53="","",((VLOOKUP($C$50,'Calc (ex-animal)'!$D$13:$Y$17,10,FALSE)-VLOOKUP($C$50,'Calc (ex-animal)'!$D$13:$Y$17,18,FALSE))*F53/100+Q53+R53+S53)-AC53-AD53-AE53)))</f>
        <v/>
      </c>
      <c r="U53" s="422" t="str">
        <f>IF(D53="","",(VLOOKUP(D53,'DB technologies'!$N$27:$Y$38,2,FALSE)*'DB additional information '!$S$6/100*'DB additional information '!$U$6*VLOOKUP($C$50,'DB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V53" s="418" t="str">
        <f>IF(D53="","",(VLOOKUP(D53,'DB technologies'!$N$27:$Y$38,3,FALSE)*'DB additional information '!$S$7/100*'DB additional information '!$U$7*VLOOKUP($C$50,'DB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W53" s="417" t="str">
        <f>IF(D53="","",(VLOOKUP(D53,'DB technologies'!$N$27:$Y$38,4,FALSE)*('DB additional information '!$S$8/100*'DB additional information '!$U$8*E53/1000/1000)))</f>
        <v/>
      </c>
      <c r="X53" s="261" t="str">
        <f>IF($C$50=0,"",IF('Calc (ex-animal)'!$F$9=1,"",IF(D53="","",((VLOOKUP($C$50,'Calc (ex-animal)'!$D$13:$Y$17,13,FALSE)-VLOOKUP($C$50,'Calc (ex-animal)'!$D$13:$Y$17,19,FALSE))*F53/100+U53+V53+W53))))</f>
        <v/>
      </c>
      <c r="Y53" s="418" t="str">
        <f>IF(D53="","",(VLOOKUP(D53,'DB technologies'!$N$27:$Y$38,2,FALSE)*'DB additional information '!$S$6/100*'DB additional information '!$V$6*VLOOKUP($C$50,'DB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Z53" s="418" t="str">
        <f>IF(D53="","",(VLOOKUP(D53,'DB technologies'!$N$27:$Y$38,3,FALSE)*'DB additional information '!$S$7/100*'DB additional information '!$V$7*VLOOKUP($C$50,'DB animal categories'!$C$22:$AC$31,27,FALSE)*E53/1000/1000)/VLOOKUP($C$50,'DB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AA53" s="418" t="str">
        <f>IF(D53="","",(VLOOKUP(D53,'DB technologies'!$N$27:$Y$38,4,FALSE)*('DB additional information '!$S$8/100*'DB additional information '!$V$8*E53/1000/1000)))</f>
        <v/>
      </c>
      <c r="AB53" s="261" t="str">
        <f>IF($C$50=0,"",IF('Calc (ex-animal)'!$F$8=1,"",IF(D53="","",((VLOOKUP($C$50,'Calc (ex-animal)'!$D$13:$Y$17,16,FALSE)-VLOOKUP($C$50,'Calc (ex-animal)'!$D$13:$Y$17,20,FALSE))*F53/100+Y53+Z53+AA53))))</f>
        <v/>
      </c>
      <c r="AC53" s="261" t="str">
        <f>IF($C$50=0,"",IF('Calc (ex-animal)'!$F$8=1,"",IF(D53="","",VLOOKUP($C$50,'Calc (ex-animal)'!$D$13:$Y$17,9,FALSE)/VLOOKUP($C$50,'DB animal categories'!$C$22:$AC$31,27,FALSE)*(VLOOKUP($C$50,'DB animal categories'!$C$22:$AC$31,27,FALSE)-VLOOKUP($C$50,'DB animal categories'!$C$22:$AC$31,25,FALSE)*VLOOKUP($C$50,'DB animal categories'!$C$22:$AC$31,26,FALSE)/24)*F53/100*VLOOKUP(D53,'DB technologies'!$N$27:$R$38,5,FALSE)/100)))</f>
        <v/>
      </c>
      <c r="AD53" s="261" t="str">
        <f>IF($C$50=0,"",IF('Calc (ex-animal)'!$F$8=1,"",IF(D53="","",VLOOKUP($C$50,'Calc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categories'!$C$22:$AC$31,26,FALSE)/24)*F53/100*VLOOKUP(D53,'DB technologies'!$N$27:$Y$38,6,FALSE)/100)))</f>
        <v/>
      </c>
      <c r="AE53" s="262" t="str">
        <f>IF($C$50=0,"",IF('Calc (ex-animal)'!$F$8=1,"",IF(D53="","",VLOOKUP($C$50,'Calc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categories'!$C$22:$AC$31,26,FALSE)/24)*F53/100*VLOOKUP(D53,'DB technologies'!$N$27:$Y$38,7,FALSE)/100)))</f>
        <v/>
      </c>
      <c r="AG53" s="695"/>
      <c r="AH53" s="695"/>
      <c r="AI53" s="181" t="str">
        <f>IF(D53="","",VLOOKUP(D53,'DB technologies'!$N$27:$Y$38,10,FALSE))</f>
        <v/>
      </c>
      <c r="AJ53" s="449" t="e">
        <f>VLOOKUP($C$50,'DB animal categories'!$C$22:$AN$31,27,FALSE)-VLOOKUP($C$50,'DB animal categories'!$C$22:$AN$31,26,FALSE)*VLOOKUP($C$50,'DB animal categories'!$C$22:$AN$31,25,FALSE)/24</f>
        <v>#N/A</v>
      </c>
      <c r="AK53" s="442" t="str">
        <f>IF(AI53="","",AL53+AM53)</f>
        <v/>
      </c>
      <c r="AL53" s="442" t="str">
        <f>IF(D53="","",IF(AI53=2,(('Calc (ex-animal)'!$G$15*'DB additional information '!$K$5/100*(1-VLOOKUP(D53,'DB technologies'!$N$27:$Y$38,9,FALSE)/100)*'Calc (ex-housing, ex-storage)'!F53/100+'Calc (ex-animal)'!$H$15*'DB additional information '!$L$5/100*(1-VLOOKUP(D53,'DB technologies'!$N$27:$Y$38,9,FALSE)/100)*'Calc (ex-housing, ex-storage)'!F53/100))/VLOOKUP($C$50,'DB animal categories'!$C$22:$AC$31,27,FALSE)*AJ53+I53+J53+K53,IF(AI53=1,('Calc (ex-animal)'!$H$15*'DB additional information '!$L$5/100*(1-VLOOKUP(D53,'DB technologies'!$N$27:$Y$38,9,FALSE)/100)*'Calc (ex-housing, ex-storage)'!F53/100)/VLOOKUP($C$50,'DB animal categories'!$C$22:$AC$31,27,FALSE)*AJ53,IF(AI53=4,('Calc (ex-animal)'!$G$15*'DB additional information '!$K$5/100+'Calc (ex-animal)'!$H$15*'DB additional information '!$L$5/100)*(1-VLOOKUP(D53,'DB technologies'!$N$27:$Y$38,9,FALSE)/100)*'Calc (ex-housing, ex-storage)'!F53/100*VLOOKUP(D53,'DB technologies'!$N$27:$Y$38,11,FALSE)/100/VLOOKUP($C$50,'DB animal categories'!$C$22:$AC$31,27,FALSE)*AJ53,0))))</f>
        <v/>
      </c>
      <c r="AM53" s="442" t="str">
        <f>IF(D53="","",IF(AI53=2,(('Calc (ex-animal)'!$G$15*(1-'DB additional information '!$K$5/100)*(1-VLOOKUP(D53,'DB technologies'!$N$27:$Y$38,8,FALSE)/100)*'Calc (ex-housing, ex-storage)'!F53/100+'Calc (ex-animal)'!$H$15*(1-'DB additional information '!$L$5/100)*(1-VLOOKUP(D53,'DB technologies'!$N$27:$Y$38,8,FALSE)/100)*'Calc (ex-housing, ex-storage)'!F53/100))/VLOOKUP($C$50,'DB animal categories'!$C$22:$AC$31,27,FALSE)*AJ53+M53+N53+O53,IF(AI53=1,('Calc (ex-animal)'!$H$15*(1-'DB additional information '!$L$5/100)*(1-VLOOKUP(D53,'DB technologies'!$N$27:$Y$38,8,FALSE)/100)*'Calc (ex-housing, ex-storage)'!F53/100)/VLOOKUP($C$50,'DB animal categories'!$C$22:$AC$31,27,FALSE)*AJ53,IF(AI53=4,('Calc (ex-animal)'!$G$15*(1-'DB additional information '!$K$5/100)+'Calc (ex-animal)'!$H$15*(1-'DB additional information '!$L$5/100))*(1-VLOOKUP(D53,'DB technologies'!$N$27:$Y$38,8,FALSE)/100)*'Calc (ex-housing, ex-storage)'!F53/100*VLOOKUP(D53,'DB technologies'!$N$27:$Y$38,11,FALSE)/100/VLOOKUP($C$50,'DB animal categories'!$C$22:$AC$31,27,FALSE)*AJ53,0))))</f>
        <v/>
      </c>
      <c r="AN53" s="442" t="str">
        <f>IF(AI53="","",IF(AL53=0,0,AL53/AK53*100))</f>
        <v/>
      </c>
      <c r="AO53" s="182" t="str">
        <f>IF(D53="","",IF(AI53=2,(('Calc (ex-animal)'!$L$15*'Calc (ex-housing, ex-storage)'!F53/100+'Calc (ex-animal)'!$K$15*'Calc (ex-housing, ex-storage)'!F53/100))/VLOOKUP($C$50,'DB animal categories'!$C$22:$AC$31,27,FALSE)*AJ53+Q53+R53+S53-AC53,IF(AI53=1,('Calc (ex-animal)'!$L$15*'Calc (ex-housing, ex-storage)'!F53/100)/VLOOKUP($C$50,'DB animal categories'!$C$22:$AC$31,27,FALSE)*AJ53-'Calc (ex-housing, ex-storage)'!AC53,IF(AI53=4,('Calc (ex-animal)'!$L$15+'Calc (ex-animal)'!$K$15)*'Calc (ex-housing, ex-storage)'!F53/100*VLOOKUP(D53,'DB technologies'!$N$27:$Y$38,11,FALSE)/100/VLOOKUP($C$50,'DB animal categories'!$C$22:$AC$31,27,FALSE)*AJ53-AC53*VLOOKUP(D53,'DB technologies'!$N$27:$Y$38,11,FALSE)/100,0))))</f>
        <v/>
      </c>
      <c r="AP53" s="182" t="str">
        <f>IF(D53="","",IF(AO53&lt;-0.01,0,IF(AI53=2,(('Calc (ex-animal)'!$L$15*'Calc (ex-housing, ex-storage)'!F53/100+'Calc (ex-animal)'!$K$15*'Calc (ex-housing, ex-storage)'!F53/100))/VLOOKUP($C$50,'DB animal categories'!$C$22:$AC$31,27,FALSE)*AJ53+Q53+R53+S53-AC53,IF(AI53=1,('Calc (ex-animal)'!$L$15*'Calc (ex-housing, ex-storage)'!F53/100)/VLOOKUP($C$50,'DB animal categories'!$C$22:$AC$31,27,FALSE)*AJ53-'Calc (ex-housing, ex-storage)'!AC53,IF(AI53=4,('Calc (ex-animal)'!$L$15+'Calc (ex-animal)'!$K$15)*'Calc (ex-housing, ex-storage)'!F53/100*VLOOKUP(D53,'DB technologies'!$N$27:$Y$38,11,FALSE)/100/VLOOKUP($C$50,'DB animal categories'!$C$22:$AC$31,27,FALSE)*AJ53-AC53*VLOOKUP(D53,'DB technologies'!$N$27:$Y$38,11,FALSE)/100,0)))))</f>
        <v/>
      </c>
      <c r="AQ53" s="182" t="str">
        <f>IF(D53="","",IF(AI53=2,('Calc (ex-animal)'!$O$15*'Calc (ex-housing, ex-storage)'!F53/100+'Calc (ex-animal)'!$N$15*'Calc (ex-housing, ex-storage)'!F53/100)/VLOOKUP($C$50,'DB animal categories'!$C$22:$AC$31,27,FALSE)*AJ53+U53+V53+W53,IF(AI53=1,'Calc (ex-animal)'!$O$15*'Calc (ex-housing, ex-storage)'!F53/100/VLOOKUP($C$50,'DB animal categories'!$C$22:$AC$31,27,FALSE)*AJ53,IF(AI53=4,('Calc (ex-animal)'!$O$15+'Calc (ex-animal)'!$N$15)*'Calc (ex-housing, ex-storage)'!F53/100*VLOOKUP(D53,'DB technologies'!$N$27:$Y$38,11,FALSE)/100/VLOOKUP($C$50,'DB animal categories'!$C$22:$AC$31,27,FALSE)*AJ53,0))))</f>
        <v/>
      </c>
      <c r="AR53" s="182" t="str">
        <f>IF(D53="","",IF(AI53=2,('Calc (ex-animal)'!$R$15*'Calc (ex-housing, ex-storage)'!F53/100+'Calc (ex-animal)'!$Q$15*'Calc (ex-housing, ex-storage)'!F53/100)/VLOOKUP($C$50,'DB animal categories'!$C$22:$AC$31,27,FALSE)*AJ53+Y53+Z53+AA53,IF(AI53=1,'Calc (ex-animal)'!$R$15*'Calc (ex-housing, ex-storage)'!F53/100/VLOOKUP($C$50,'DB animal categories'!$C$22:$AC$31,27,FALSE)*AJ53,IF(AI53=4,('Calc (ex-animal)'!$R$15+'Calc (ex-animal)'!$Q$15)*'Calc (ex-housing, ex-storage)'!F53/100*VLOOKUP(D53,'DB technologies'!$N$27:$Y$38,11,FALSE)/100/VLOOKUP($C$50,'DB animal categories'!$C$22:$AC$31,27,FALSE)*AJ53,0))))</f>
        <v/>
      </c>
      <c r="AS53" s="181" t="str">
        <f>IF(D53="","",VLOOKUP(D53,'DB technologies'!$N$27:$Y$38,10,FALSE))</f>
        <v/>
      </c>
      <c r="AT53" s="442" t="str">
        <f>IF(AS53="","",AU53+AV53)</f>
        <v/>
      </c>
      <c r="AU53" s="442" t="str">
        <f>IF(D53="","",IF(AS53=2,0,IF(AS53=1,'Calc (ex-animal)'!$G$15*'DB additional information '!$K$5/100*(1-VLOOKUP(D53,'DB technologies'!$N$27:$Y$38,8,FALSE)/100)*'Calc (ex-housing, ex-storage)'!F53/100/VLOOKUP($C$50,'DB animal categories'!$C$22:$AC$31,27,FALSE)*AJ53+I53+J53+K53,IF(AS53=5,(('Calc (ex-animal)'!$G$15*'DB additional information '!$K$5/100+'Calc (ex-animal)'!$H$15*'DB additional information '!$L$5/100))*(1-VLOOKUP(D53,'DB technologies'!$N$27:$Y$38,9,FALSE)/100)*'Calc (ex-housing, ex-storage)'!F53/100/VLOOKUP($C$50,'DB animal categories'!$C$22:$AC$31,27,FALSE)*AJ53+I53+J53+K53,IF(AS53=3,('Calc (ex-animal)'!$G$15*'DB additional information '!$K$5/100+'Calc (ex-animal)'!$H$15*'DB additional information '!$L$5/100)*(1-VLOOKUP(D53,'DB technologies'!$N$27:$Y$38,9,FALSE)/100)*'Calc (ex-housing, ex-storage)'!F53/100/VLOOKUP($C$50,'DB animal categories'!$C$22:$AC$31,27,FALSE)*AJ53+I53+J53+K53,IF(AS53=4,('Calc (ex-animal)'!$G$15*'DB additional information '!$K$5/100+'Calc (ex-animal)'!$H$15*'DB additional information '!$L$5/100)*(1-VLOOKUP(D53,'DB technologies'!$N$27:$Y$38,9,FALSE)/100)*'Calc (ex-housing, ex-storage)'!F53/100*VLOOKUP(D53,'DB technologies'!$N$27:$Y$38,12,FALSE)/100/VLOOKUP($C$50,'DB animal categories'!$C$22:$AC$31,27,FALSE)*AJ53+I53+J53+K53,0))))))</f>
        <v/>
      </c>
      <c r="AV53" s="442" t="str">
        <f>IF(D53="","",IF(AS53=2,0,IF(AS53=1,'Calc (ex-animal)'!$G$15*(1-'DB additional information '!$K$5/100)*(1-VLOOKUP(D53,'DB technologies'!$N$27:$Y$38,8,FALSE)/100)*'Calc (ex-housing, ex-storage)'!F53/100/VLOOKUP($C$50,'DB animal categories'!$C$22:$AC$31,27,FALSE)*AJ53+M53+N53+O53,IF(AS53=5,('Calc (ex-animal)'!$G$15*(1-'DB additional information '!$K$5/100)+'Calc (ex-animal)'!$H$15*(1-'DB additional information '!$L$5/100))*(1-VLOOKUP(D53,'DB technologies'!$N$27:$Y$38,8,FALSE)/100)*'Calc (ex-housing, ex-storage)'!F53/100/VLOOKUP($C$50,'DB animal categories'!$C$22:$AC$31,27,FALSE)*AJ53+M53+N53+O53,IF(AS53=3,('Calc (ex-animal)'!$G$15*(1-'DB additional information '!$K$5/100)+'Calc (ex-animal)'!$H$15*(1-'DB additional information '!$L$5/100))*(1-VLOOKUP(D53,'DB technologies'!$N$27:$Y$38,8,FALSE)/100)*'Calc (ex-housing, ex-storage)'!F53/100/VLOOKUP($C$50,'DB animal categories'!$C$22:$AC$31,27,FALSE)*AJ53+M53+N53+O53,IF(AS53=4,('Calc (ex-animal)'!$G$15*(1-'DB additional information '!$K$5/100)+'Calc (ex-animal)'!$H$15*(1-'DB additional information '!$L$5/100))*(1-VLOOKUP(D53,'DB technologies'!$N$27:$Y$38,8,FALSE)/100)*'Calc (ex-housing, ex-storage)'!F53/100*VLOOKUP(D53,'DB technologies'!$N$27:$Y$38,12,FALSE)/100/VLOOKUP($C$50,'DB animal categories'!$C$22:$AC$31,27,FALSE)*AJ53+M53+N53+O53,0))))))</f>
        <v/>
      </c>
      <c r="AW53" s="442" t="str">
        <f>IF(AS53="","",IF(AU53=0,0,AU53/AT53*100))</f>
        <v/>
      </c>
      <c r="AX53" s="182" t="str">
        <f>IF(D53="","",IF(AS53=2,0,IF(AS53=1,'Calc (ex-animal)'!$K$15*'Calc (ex-housing, ex-storage)'!F53/100/VLOOKUP($C$50,'DB animal categories'!$C$22:$AC$31,27,FALSE)*AJ53+Q53+R53+S53,IF(AS53=5,('Calc (ex-animal)'!$K$15+'Calc (ex-animal)'!$L$15)*'Calc (ex-housing, ex-storage)'!F53/100/VLOOKUP($C$50,'DB animal categories'!$C$22:$AC$31,27,FALSE)*AJ53+Q53+R53+S53-'Calc (ex-housing, ex-storage)'!AC53,IF(AS53=3,('Calc (ex-animal)'!$K$15+'Calc (ex-animal)'!$L$15)*'Calc (ex-housing, ex-storage)'!F53/100/VLOOKUP($C$50,'DB animal categories'!$C$22:$AC$31,27,FALSE)*AJ53+Q53+R53+S53-'Calc (ex-housing, ex-storage)'!AC53-AD53-AE53,IF(AI53=4,('Calc (ex-animal)'!$K$15+'Calc (ex-animal)'!$L$15)*'Calc (ex-housing, ex-storage)'!F53/100*VLOOKUP(D53,'DB technologies'!$N$27:$Y$38,12,FALSE)/100/VLOOKUP($C$50,'DB animal categories'!$C$22:$AC$31,27,FALSE)*AJ53+Q53+R53+S53-(VLOOKUP(D53,'DB technologies'!$N$27:$Y$38,12,FALSE)/100*AC53)-AD53-AE53,0))))))</f>
        <v/>
      </c>
      <c r="AY53" s="182" t="str">
        <f>IF(D53="","",IF(AS53=2,0,IF(AS53=1,'Calc (ex-animal)'!$N$15*'Calc (ex-housing, ex-storage)'!F53/100/VLOOKUP($C$50,'DB animal categories'!$C$22:$AC$31,27,FALSE)*AJ53+U53+V53+W53,IF(AS53=5,('Calc (ex-animal)'!$N$15+'Calc (ex-animal)'!$O$15)*'Calc (ex-housing, ex-storage)'!F53/100/VLOOKUP($C$50,'DB animal categories'!$C$22:$AC$31,27,FALSE)*AJ53+U53+V53+W53,IF(AS53=3,('Calc (ex-animal)'!$N$15+'Calc (ex-animal)'!$O$15)*'Calc (ex-housing, ex-storage)'!F53/100/VLOOKUP($C$50,'DB animal categories'!$C$22:$AC$31,27,FALSE)*AJ53+U53+V53+W53,IF(AS53=4,('Calc (ex-animal)'!$N$15+'Calc (ex-animal)'!$O$15)*'Calc (ex-housing, ex-storage)'!F53/100*VLOOKUP(D53,'DB technologies'!$N$27:$Y$38,12,FALSE)/100/VLOOKUP($C$50,'DB animal categories'!$C$22:$AC$31,27,FALSE)*AJ53+U53+V53+W53,0))))))</f>
        <v/>
      </c>
      <c r="AZ53" s="182" t="str">
        <f>IF(D53="","",IF(AS53=2,0,IF(AS53=1,'Calc (ex-animal)'!$Q$15*'Calc (ex-housing, ex-storage)'!F53/100/VLOOKUP($C$50,'DB animal categories'!$C$22:$AC$31,27,FALSE)*AJ53+Y53+Z53+AA53,IF(AS53=5,('Calc (ex-animal)'!$Q$15+'Calc (ex-animal)'!$R$15)*'Calc (ex-housing, ex-storage)'!F53/100/VLOOKUP($C$50,'DB animal categories'!$C$22:$AC$31,27,FALSE)*AJ53+Y53+Z53+AA53,IF(AS53=3,('Calc (ex-animal)'!$Q$15+'Calc (ex-animal)'!$R$15)*'Calc (ex-housing, ex-storage)'!F53/100/VLOOKUP($C$50,'DB animal categories'!$C$22:$AC$31,27,FALSE)*AJ53+Y53+Z53+AA53,IF(AS53=4,('Calc (ex-animal)'!$Q$15+'Calc (ex-animal)'!$R$15)*'Calc (ex-housing, ex-storage)'!F53/100*VLOOKUP(D53,'DB technologies'!$N$27:$Y$38,12,FALSE)/100/VLOOKUP($C$50,'DB animal categories'!$C$22:$AC$31,27,FALSE)*AJ53+Y53+Z53+AA53,0))))))</f>
        <v/>
      </c>
      <c r="BA53" s="506"/>
      <c r="BB53" s="506"/>
      <c r="BC53" s="506"/>
      <c r="BG53" s="1357"/>
      <c r="BH53" s="1361"/>
      <c r="BI53" s="598" t="str">
        <f>IF(BG53="","",$BA$52*BH53/100-($BB$52*BH53/100*VLOOKUP(BG53,'DB technologies'!$AC$48:$AT$52,5,FALSE)/100)+(VLOOKUP(BG53,'DB technologies'!$AC$48:$AT$52,12,FALSE)*$BA$52*BH53/100))</f>
        <v/>
      </c>
      <c r="BJ53" s="551">
        <f>IF(BI53="",0,BI53*BK53/100)</f>
        <v>0</v>
      </c>
      <c r="BK53" s="559" t="str">
        <f>IF(BG53="","",IF($BA$52=0,0,($BB$52*BH53/100)/BI53*(1-(VLOOKUP(BG53,'DB technologies'!$AC$48:$AQ$52,5,FALSE))/100)*100))</f>
        <v/>
      </c>
      <c r="BL53" s="261" t="str">
        <f>IF(BG53="","",$BD$52*BH53/100-BO53-BP53-BQ53-BR53)</f>
        <v/>
      </c>
      <c r="BM53" s="261" t="str">
        <f>IF(BG53="","",$BE$52*BH53/100-BS53)</f>
        <v/>
      </c>
      <c r="BN53" s="261" t="str">
        <f>IF(BG53="","",$BF$52*BH53/100-BT53)</f>
        <v/>
      </c>
      <c r="BO53" s="261" t="str">
        <f>IF(BG53="","",$BD$52*BH53/100*VLOOKUP(BG53,'DB technologies'!$AC$48:$AF$52,2,FALSE)/100)</f>
        <v/>
      </c>
      <c r="BP53" s="261" t="str">
        <f>IF(BG53="","",$BD$52*BH53/100*VLOOKUP(BG53,'DB technologies'!$AC$48:$AN$52,3,FALSE)/100)</f>
        <v/>
      </c>
      <c r="BQ53" s="262" t="str">
        <f>IF(BG53="","",$BD$52*BH53/100*VLOOKUP(BG53,'DB technologies'!$AC$48:$AN$52,4,FALSE)/100)</f>
        <v/>
      </c>
      <c r="BR53" s="264" t="str">
        <f>IF(BG53="","",VLOOKUP(BG53,'DB technologies'!$AC$48:$AQ$52,13,FALSE)/100*$BD$52*BH53/100)</f>
        <v/>
      </c>
      <c r="BS53" s="261" t="str">
        <f>IF(BG53="","",VLOOKUP(BG53,'DB technologies'!$AC$48:$AQ$52,14,FALSE)/100*$BE$52*BH53/100)</f>
        <v/>
      </c>
      <c r="BT53" s="262" t="str">
        <f>IF(BG53="","",VLOOKUP(BG53,'DB technologies'!$AC$48:$AQ$52,15,FALSE)/100*$BF$52*BH53/100)</f>
        <v/>
      </c>
    </row>
    <row r="54" spans="1:72" ht="12" customHeight="1" thickBot="1" x14ac:dyDescent="0.25">
      <c r="A54" s="684"/>
      <c r="B54" s="695"/>
      <c r="C54" s="251"/>
      <c r="D54" s="1359"/>
      <c r="E54" s="1360"/>
      <c r="F54" s="481" t="str">
        <f>IF('Calc (ex-animal)'!$F$9=1,"",IF($C$50=0,"",IF(D54="","",E54/'Calc (ex-animal)'!$E$15*100)))</f>
        <v/>
      </c>
      <c r="G54" s="483" t="str">
        <f>IF($C$50=0,"",IF('Calc (ex-animal)'!$F$8=1,"",IF(D54="","",SUM(H54:O54))))</f>
        <v/>
      </c>
      <c r="H54" s="445" t="str">
        <f>IF('Calc (ex-animal)'!$F$8=1,"",IF(D54="","",(((VLOOKUP($C$50,'Calc (ex-animal)'!$D$13:$Y$17,6,FALSE)-VLOOKUP($C$50,'Calc (ex-animal)'!$D$13:$Y$17,17,FALSE))*F54/100))*VLOOKUP($C$50,'Calc (ex-animal)'!$D$13:$Y$17,7,FALSE)/100*(1-VLOOKUP(D54,'DB technologies'!$N$27:$Y$38,9,FALSE)/100)))</f>
        <v/>
      </c>
      <c r="I54" s="445" t="str">
        <f>IF(D54="","",((VLOOKUP(D54,'DB technologies'!$N$27:$Y$38,2,FALSE)*VLOOKUP($C$50,'DB animal categories'!$C$22:$AC$31,27,FALSE)*E54/1000)/VLOOKUP($C$50,'DB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'!$S$6/100*(1-VLOOKUP(D54,'DB technologies'!$N$27:$Y$38,9,FALSE)/100)))</f>
        <v/>
      </c>
      <c r="J54" s="446" t="str">
        <f>IF(D54="","",((VLOOKUP(D54,'DB technologies'!$N$27:$Y$38,3,FALSE)*VLOOKUP($C$50,'DB animal categories'!$C$22:$AC$31,27,FALSE)*E54/1000)/VLOOKUP($C$50,'DB animal categories'!$C$22:$AC$31,27,FALSE)*(VLOOKUP($C$50,'DB animal categories'!$C$22:$AC$31,27,FALSE)-(VLOOKUP($C$50,'DB animal categories'!$C$22:$AC$31,25,FALSE)*VLOOKUP($C$50,'DB animal categories'!$C$22:$AC$31,26,FALSE)/24))*'DB additional information '!$S$7/100*(1-VLOOKUP(D54,'DB technologies'!$N$27:$Y$38,9,FALSE)/100)))</f>
        <v/>
      </c>
      <c r="K54" s="446" t="str">
        <f>IF(D54="","",((VLOOKUP(D54,'DB technologies'!$N$27:$Y$38,4,FALSE)*E54*'DB additional information '!$S$8/100*(1-VLOOKUP(D54,'DB technologies'!$N$27:$Y$38,9,FALSE)/100))/VLOOKUP($C$50,'DB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L54" s="445" t="str">
        <f>IF('Calc (ex-animal)'!$F$8=1,"",IF(D54="","",(((VLOOKUP($C$50,'Calc (ex-animal)'!$D$13:$Y$17,6,FALSE)-VLOOKUP($C$50,'Calc (ex-animal)'!$D$13:$Y$17,17,FALSE))*F54/100))*(1-VLOOKUP($C$50,'Calc (ex-animal)'!$D$13:$Y$17,7,FALSE)/100)*(1-VLOOKUP(D54,'DB technologies'!$N$27:$V$38,8,FALSE)/100)))</f>
        <v/>
      </c>
      <c r="M54" s="446" t="str">
        <f>IF(D54="","",((VLOOKUP(D54,'DB technologies'!$N$27:$Y$38,2,FALSE)*VLOOKUP($C$50,'DB animal categories'!$C$22:$AC$31,27,FALSE)*E54/1000)/VLOOKUP($C$50,'DB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'!$S$6/100)*(1-VLOOKUP(D54,'DB technologies'!$N$27:$Y$38,9,FALSE)/100))</f>
        <v/>
      </c>
      <c r="N54" s="446" t="str">
        <f>IF(D54="","",((VLOOKUP(D54,'DB technologies'!$N$27:$Y$38,3,FALSE)*VLOOKUP($C$50,'DB animal categories'!$C$22:$AC$31,27,FALSE)*E54/1000)/VLOOKUP($C$50,'DB animal categories'!$C$22:$AC$31,27,FALSE)*(VLOOKUP($C$50,'DB animal categories'!$C$22:$AC$31,27,FALSE)-VLOOKUP($C$50,'DB animal categories'!$C$22:$AC$31,25,FALSE)*VLOOKUP($C$50,'DB animal categories'!$C$22:$AC$31,26,FALSE)/24))*(1-'DB additional information '!$S$7/100)*(1-VLOOKUP(D54,'DB technologies'!$N$27:$Y$38,9,FALSE)/100))</f>
        <v/>
      </c>
      <c r="O54" s="445" t="str">
        <f>IF(D54="","",((VLOOKUP(D54,'DB technologies'!$N$27:$Y$38,4,FALSE)*E54*(1-'DB additional information '!$S$8/100)*(1-VLOOKUP(D54,'DB technologies'!$N$27:$Y$38,8,FALSE)/100))/VLOOKUP($C$50,'DB animal categories'!$C$22:$AC$31,27,FALSE)*(VLOOKUP($C$50,'DB animal categories'!$C$22:$AC$31,27,FALSE)-VLOOKUP($C$50,'DB animal categories'!$C$22:$AC$31,25,FALSE)*VLOOKUP($C$50,'DB animal categories'!$C$22:$AC$31,26,FALSE)/24)))</f>
        <v/>
      </c>
      <c r="P54" s="444" t="str">
        <f>IF(G54=0,0,IF(E54="","",IF(F54="","",IF($C$50=0,"",IF(D54="","",SUM(H54:K54)/G54*100)))))</f>
        <v/>
      </c>
      <c r="Q54" s="476" t="str">
        <f>IF(D54="","",(VLOOKUP(D54,'DB technologies'!$N$27:$Y$38,2,FALSE)*'DB additional information '!$S$6/100*'DB additional information '!$T$6*VLOOKUP($C$50,'DB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R54" s="476" t="str">
        <f>IF(D54="","",(VLOOKUP(D54,'DB technologies'!$N$27:$Y$38,3,FALSE)*'DB additional information '!$S$7/100*'DB additional information '!$T$7*VLOOKUP($C$50,'DB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S54" s="494" t="str">
        <f>IF(D54="","",(VLOOKUP(D54,'DB technologies'!$N$27:$Y$38,4,FALSE)*('DB additional information '!$S$8/100*'DB additional information '!$T$8*E54/1000/1000)))</f>
        <v/>
      </c>
      <c r="T54" s="266" t="str">
        <f>IF($C$50=0,"",IF('Calc (ex-animal)'!$F$9=1,"",IF(D54="","",((VLOOKUP($C$50,'Calc (ex-animal)'!$D$13:$Y$17,10,FALSE)-VLOOKUP($C$50,'Calc (ex-animal)'!$D$13:$Y$17,18,FALSE))*F54/100+Q54+R54+S54)-AC54-AD54-AE54)))</f>
        <v/>
      </c>
      <c r="U54" s="477" t="str">
        <f>IF(D54="","",(VLOOKUP(D54,'DB technologies'!$N$27:$Y$38,2,FALSE)*'DB additional information '!$S$6/100*'DB additional information '!$U$6*VLOOKUP($C$50,'DB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V54" s="433" t="str">
        <f>IF(D54="","",(VLOOKUP(D54,'DB technologies'!$N$27:$Y$38,3,FALSE)*'DB additional information '!$S$7/100*'DB additional information '!$U$7*VLOOKUP($C$50,'DB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W54" s="475" t="str">
        <f>IF(D54="","",(VLOOKUP(D54,'DB technologies'!$N$27:$Y$38,4,FALSE)*('DB additional information '!$S$8/100*'DB additional information '!$U$8*E54/1000/1000)))</f>
        <v/>
      </c>
      <c r="X54" s="267" t="str">
        <f>IF($C$50=0,"",IF('Calc (ex-animal)'!$F$9=1,"",IF(D54="","",((VLOOKUP($C$50,'Calc (ex-animal)'!$D$13:$Y$17,13,FALSE)-VLOOKUP($C$50,'Calc (ex-animal)'!$D$13:$Y$17,19,FALSE))*F54/100+U54+V54+W54))))</f>
        <v/>
      </c>
      <c r="Y54" s="433" t="str">
        <f>IF(D54="","",(VLOOKUP(D54,'DB technologies'!$N$27:$Y$38,2,FALSE)*'DB additional information '!$S$6/100*'DB additional information '!$V$6*VLOOKUP($C$50,'DB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Z54" s="433" t="str">
        <f>IF(D54="","",(VLOOKUP(D54,'DB technologies'!$N$27:$Y$38,3,FALSE)*'DB additional information '!$S$7/100*'DB additional information '!$V$7*VLOOKUP($C$50,'DB animal categories'!$C$22:$AC$31,27,FALSE)*E54/1000/1000)/VLOOKUP($C$50,'DB animal categories'!$C$22:$AC$31,27,FALSE)*(VLOOKUP($C$50,'DB animal categories'!$C$22:$AC$31,27,FALSE)-VLOOKUP($C$50,'DB animal categories'!$C$22:$AC$31,25,FALSE)*VLOOKUP($C$50,'DB animal categories'!$C$22:$AC$31,26,FALSE)/24))</f>
        <v/>
      </c>
      <c r="AA54" s="433" t="str">
        <f>IF(D54="","",(VLOOKUP(D54,'DB technologies'!$N$27:$Y$38,4,FALSE)*('DB additional information '!$S$8/100*'DB additional information '!$V$8*E54/1000/1000)))</f>
        <v/>
      </c>
      <c r="AB54" s="267" t="str">
        <f>IF($C$50=0,"",IF('Calc (ex-animal)'!$F$8=1,"",IF(D54="","",((VLOOKUP($C$50,'Calc (ex-animal)'!$D$13:$Y$17,16,FALSE)-VLOOKUP($C$50,'Calc (ex-animal)'!$D$13:$Y$17,20,FALSE))*F54/100+Y54+Z54+AA54))))</f>
        <v/>
      </c>
      <c r="AC54" s="267" t="str">
        <f>IF($C$50=0,"",IF('Calc (ex-animal)'!$F$8=1,"",IF(D54="","",VLOOKUP($C$50,'Calc (ex-animal)'!$D$13:$Y$17,9,FALSE)/VLOOKUP($C$50,'DB animal categories'!$C$22:$AC$31,27,FALSE)*(VLOOKUP($C$50,'DB animal categories'!$C$22:$AC$31,27,FALSE)-VLOOKUP($C$50,'DB animal categories'!$C$22:$AC$31,25,FALSE)*VLOOKUP($C$50,'DB animal categories'!$C$22:$AC$31,26,FALSE)/24)*F54/100*VLOOKUP(D54,'DB technologies'!$N$27:$R$38,5,FALSE)/100)))</f>
        <v/>
      </c>
      <c r="AD54" s="267" t="str">
        <f>IF($C$50=0,"",IF('Calc (ex-animal)'!$F$8=1,"",IF(D54="","",VLOOKUP($C$50,'Calc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categories'!$C$22:$AC$31,26,FALSE)/24)*F54/100*VLOOKUP(D54,'DB technologies'!$N$27:$Y$38,6,FALSE)/100)))</f>
        <v/>
      </c>
      <c r="AE54" s="268" t="str">
        <f>IF($C$50=0,"",IF('Calc (ex-animal)'!$F$8=1,"",IF(D54="","",VLOOKUP($C$50,'Calc (ex-animal)'!$D$13:$Y$17,10,FALSE)/VLOOKUP($C$50,'DB animal categories'!$C$22:$AC$31,27,FALSE)*(VLOOKUP($C$50,'DB animal categories'!$C$22:$AC$31,27,FALSE)-VLOOKUP($C$50,'DB animal categories'!$C$22:$AC$31,25,FALSE)*VLOOKUP($C$50,'DB animal categories'!$C$22:$AC$31,26,FALSE)/24)*F54/100*VLOOKUP(D54,'DB technologies'!$N$27:$Y$38,7,FALSE)/100)))</f>
        <v/>
      </c>
      <c r="AG54" s="695"/>
      <c r="AH54" s="695"/>
      <c r="AI54" s="183" t="str">
        <f>IF(D54="","",VLOOKUP(D54,'DB technologies'!$N$27:$Y$38,10,FALSE))</f>
        <v/>
      </c>
      <c r="AJ54" s="451" t="e">
        <f>VLOOKUP($C$50,'DB animal categories'!$C$22:$AN$31,27,FALSE)-VLOOKUP($C$50,'DB animal categories'!$C$22:$AN$31,26,FALSE)*VLOOKUP($C$50,'DB animal categories'!$C$22:$AN$31,25,FALSE)/24</f>
        <v>#N/A</v>
      </c>
      <c r="AK54" s="452" t="str">
        <f>IF(AI54="","",AL54+AM54)</f>
        <v/>
      </c>
      <c r="AL54" s="452" t="str">
        <f>IF(D54="","",IF(AI54=2,(('Calc (ex-animal)'!$G$15*'DB additional information '!$K$5/100*(1-VLOOKUP(D54,'DB technologies'!$N$27:$Y$38,9,FALSE)/100)*'Calc (ex-housing, ex-storage)'!F54/100+'Calc (ex-animal)'!$H$15*'DB additional information '!$L$5/100*(1-VLOOKUP(D54,'DB technologies'!$N$27:$Y$38,9,FALSE)/100)*'Calc (ex-housing, ex-storage)'!F54/100))/VLOOKUP($C$50,'DB animal categories'!$C$22:$AC$31,27,FALSE)*AJ54+I54+J54+K54,IF(AI54=1,('Calc (ex-animal)'!$H$15*'DB additional information '!$L$5/100*(1-VLOOKUP(D54,'DB technologies'!$N$27:$Y$38,9,FALSE)/100)*'Calc (ex-housing, ex-storage)'!F54/100)/VLOOKUP($C$50,'DB animal categories'!$C$22:$AC$31,27,FALSE)*AJ54,IF(AI54=4,('Calc (ex-animal)'!$G$15*'DB additional information '!$K$5/100+'Calc (ex-animal)'!$H$15*'DB additional information '!$L$5/100)*(1-VLOOKUP(D54,'DB technologies'!$N$27:$Y$38,9,FALSE)/100)*'Calc (ex-housing, ex-storage)'!F54/100*VLOOKUP(D54,'DB technologies'!$N$27:$Y$38,11,FALSE)/100/VLOOKUP($C$50,'DB animal categories'!$C$22:$AC$31,27,FALSE)*AJ54,0))))</f>
        <v/>
      </c>
      <c r="AM54" s="452" t="str">
        <f>IF(D54="","",IF(AI54=2,(('Calc (ex-animal)'!$G$15*(1-'DB additional information '!$K$5/100)*(1-VLOOKUP(D54,'DB technologies'!$N$27:$Y$38,8,FALSE)/100)*'Calc (ex-housing, ex-storage)'!F54/100+'Calc (ex-animal)'!$H$15*(1-'DB additional information '!$L$5/100)*(1-VLOOKUP(D54,'DB technologies'!$N$27:$Y$38,8,FALSE)/100)*'Calc (ex-housing, ex-storage)'!F54/100))/VLOOKUP($C$50,'DB animal categories'!$C$22:$AC$31,27,FALSE)*AJ54+M54+N54+O54,IF(AI54=1,('Calc (ex-animal)'!$H$15*(1-'DB additional information '!$L$5/100)*(1-VLOOKUP(D54,'DB technologies'!$N$27:$Y$38,8,FALSE)/100)*'Calc (ex-housing, ex-storage)'!F54/100)/VLOOKUP($C$50,'DB animal categories'!$C$22:$AC$31,27,FALSE)*AJ54,IF(AI54=4,('Calc (ex-animal)'!$G$15*(1-'DB additional information '!$K$5/100)+'Calc (ex-animal)'!$H$15*(1-'DB additional information '!$L$5/100))*(1-VLOOKUP(D54,'DB technologies'!$N$27:$Y$38,8,FALSE)/100)*'Calc (ex-housing, ex-storage)'!F54/100*VLOOKUP(D54,'DB technologies'!$N$27:$Y$38,11,FALSE)/100/VLOOKUP($C$50,'DB animal categories'!$C$22:$AC$31,27,FALSE)*AJ54,0))))</f>
        <v/>
      </c>
      <c r="AN54" s="452" t="str">
        <f>IF(AI54="","",IF(AL54=0,0,AL54/AK54*100))</f>
        <v/>
      </c>
      <c r="AO54" s="184" t="str">
        <f>IF(D54="","",IF(AI54=2,(('Calc (ex-animal)'!$L$15*'Calc (ex-housing, ex-storage)'!F54/100+'Calc (ex-animal)'!$K$15*'Calc (ex-housing, ex-storage)'!F54/100))/VLOOKUP($C$50,'DB animal categories'!$C$22:$AC$31,27,FALSE)*AJ54+Q54+R54+S54-AC54,IF(AI54=1,('Calc (ex-animal)'!$L$15*'Calc (ex-housing, ex-storage)'!F54/100)/VLOOKUP($C$50,'DB animal categories'!$C$22:$AC$31,27,FALSE)*AJ54-'Calc (ex-housing, ex-storage)'!AC54,IF(AI54=4,('Calc (ex-animal)'!$L$15+'Calc (ex-animal)'!$K$15)*'Calc (ex-housing, ex-storage)'!F54/100*VLOOKUP(D54,'DB technologies'!$N$27:$Y$38,11,FALSE)/100/VLOOKUP($C$50,'DB animal categories'!$C$22:$AC$31,27,FALSE)*AJ54-AC54*VLOOKUP(D54,'DB technologies'!$N$27:$Y$38,11,FALSE)/100,0))))</f>
        <v/>
      </c>
      <c r="AP54" s="184" t="str">
        <f>IF(D54="","",IF(AO54&lt;-0.01,0,IF(AI54=2,(('Calc (ex-animal)'!$L$15*'Calc (ex-housing, ex-storage)'!F54/100+'Calc (ex-animal)'!$K$15*'Calc (ex-housing, ex-storage)'!F54/100))/VLOOKUP($C$50,'DB animal categories'!$C$22:$AC$31,27,FALSE)*AJ54+Q54+R54+S54-AC54,IF(AI54=1,('Calc (ex-animal)'!$L$15*'Calc (ex-housing, ex-storage)'!F54/100)/VLOOKUP($C$50,'DB animal categories'!$C$22:$AC$31,27,FALSE)*AJ54-'Calc (ex-housing, ex-storage)'!AC54,IF(AI54=4,('Calc (ex-animal)'!$L$15+'Calc (ex-animal)'!$K$15)*'Calc (ex-housing, ex-storage)'!F54/100*VLOOKUP(D54,'DB technologies'!$N$27:$Y$38,11,FALSE)/100/VLOOKUP($C$50,'DB animal categories'!$C$22:$AC$31,27,FALSE)*AJ54-AC54*VLOOKUP(D54,'DB technologies'!$N$27:$Y$38,11,FALSE)/100,0)))))</f>
        <v/>
      </c>
      <c r="AQ54" s="184" t="str">
        <f>IF(D54="","",IF(AI54=2,('Calc (ex-animal)'!$O$15*'Calc (ex-housing, ex-storage)'!F54/100+'Calc (ex-animal)'!$N$15*'Calc (ex-housing, ex-storage)'!F54/100)/VLOOKUP($C$50,'DB animal categories'!$C$22:$AC$31,27,FALSE)*AJ54+U54+V54+W54,IF(AI54=1,'Calc (ex-animal)'!$O$15*'Calc (ex-housing, ex-storage)'!F54/100/VLOOKUP($C$50,'DB animal categories'!$C$22:$AC$31,27,FALSE)*AJ54,IF(AI54=4,('Calc (ex-animal)'!$O$15+'Calc (ex-animal)'!$N$15)*'Calc (ex-housing, ex-storage)'!F54/100*VLOOKUP(D54,'DB technologies'!$N$27:$Y$38,11,FALSE)/100/VLOOKUP($C$50,'DB animal categories'!$C$22:$AC$31,27,FALSE)*AJ54,0))))</f>
        <v/>
      </c>
      <c r="AR54" s="184" t="str">
        <f>IF(D54="","",IF(AI54=2,('Calc (ex-animal)'!$R$15*'Calc (ex-housing, ex-storage)'!F54/100+'Calc (ex-animal)'!$Q$15*'Calc (ex-housing, ex-storage)'!F54/100)/VLOOKUP($C$50,'DB animal categories'!$C$22:$AC$31,27,FALSE)*AJ54+Y54+Z54+AA54,IF(AI54=1,'Calc (ex-animal)'!$R$15*'Calc (ex-housing, ex-storage)'!F54/100/VLOOKUP($C$50,'DB animal categories'!$C$22:$AC$31,27,FALSE)*AJ54,IF(AI54=4,('Calc (ex-animal)'!$R$15+'Calc (ex-animal)'!$Q$15)*'Calc (ex-housing, ex-storage)'!F54/100*VLOOKUP(D54,'DB technologies'!$N$27:$Y$38,11,FALSE)/100/VLOOKUP($C$50,'DB animal categories'!$C$22:$AC$31,27,FALSE)*AJ54,0))))</f>
        <v/>
      </c>
      <c r="AS54" s="183" t="str">
        <f>IF(D54="","",VLOOKUP(D54,'DB technologies'!$N$27:$Y$38,10,FALSE))</f>
        <v/>
      </c>
      <c r="AT54" s="452" t="str">
        <f>IF(AS54="","",AU54+AV54)</f>
        <v/>
      </c>
      <c r="AU54" s="452" t="str">
        <f>IF(D54="","",IF(AS54=2,0,IF(AS54=1,'Calc (ex-animal)'!$G$15*'DB additional information '!$K$5/100*(1-VLOOKUP(D54,'DB technologies'!$N$27:$Y$38,8,FALSE)/100)*'Calc (ex-housing, ex-storage)'!F54/100/VLOOKUP($C$50,'DB animal categories'!$C$22:$AC$31,27,FALSE)*AJ54+I54+J54+K54,IF(AS54=5,(('Calc (ex-animal)'!$G$15*'DB additional information '!$K$5/100+'Calc (ex-animal)'!$H$15*'DB additional information '!$L$5/100))*(1-VLOOKUP(D54,'DB technologies'!$N$27:$Y$38,9,FALSE)/100)*'Calc (ex-housing, ex-storage)'!F54/100/VLOOKUP($C$50,'DB animal categories'!$C$22:$AC$31,27,FALSE)*AJ54+I54+J54+K54,IF(AS54=3,('Calc (ex-animal)'!$G$15*'DB additional information '!$K$5/100+'Calc (ex-animal)'!$H$15*'DB additional information '!$L$5/100)*(1-VLOOKUP(D54,'DB technologies'!$N$27:$Y$38,9,FALSE)/100)*'Calc (ex-housing, ex-storage)'!F54/100/VLOOKUP($C$50,'DB animal categories'!$C$22:$AC$31,27,FALSE)*AJ54+I54+J54+K54,IF(AS54=4,('Calc (ex-animal)'!$G$15*'DB additional information '!$K$5/100+'Calc (ex-animal)'!$H$15*'DB additional information '!$L$5/100)*(1-VLOOKUP(D54,'DB technologies'!$N$27:$Y$38,9,FALSE)/100)*'Calc (ex-housing, ex-storage)'!F54/100*VLOOKUP(D54,'DB technologies'!$N$27:$Y$38,12,FALSE)/100/VLOOKUP($C$50,'DB animal categories'!$C$22:$AC$31,27,FALSE)*AJ54+I54+J54+K54,0))))))</f>
        <v/>
      </c>
      <c r="AV54" s="452" t="str">
        <f>IF(D54="","",IF(AS54=2,0,IF(AS54=1,'Calc (ex-animal)'!$G$15*(1-'DB additional information '!$K$5/100)*(1-VLOOKUP(D54,'DB technologies'!$N$27:$Y$38,8,FALSE)/100)*'Calc (ex-housing, ex-storage)'!F54/100/VLOOKUP($C$50,'DB animal categories'!$C$22:$AC$31,27,FALSE)*AJ54+M54+N54+O54,IF(AS54=5,('Calc (ex-animal)'!$G$15*(1-'DB additional information '!$K$5/100)+'Calc (ex-animal)'!$H$15*(1-'DB additional information '!$L$5/100))*(1-VLOOKUP(D54,'DB technologies'!$N$27:$Y$38,8,FALSE)/100)*'Calc (ex-housing, ex-storage)'!F54/100/VLOOKUP($C$50,'DB animal categories'!$C$22:$AC$31,27,FALSE)*AJ54+M54+N54+O54,IF(AS54=3,('Calc (ex-animal)'!$G$15*(1-'DB additional information '!$K$5/100)+'Calc (ex-animal)'!$H$15*(1-'DB additional information '!$L$5/100))*(1-VLOOKUP(D54,'DB technologies'!$N$27:$Y$38,8,FALSE)/100)*'Calc (ex-housing, ex-storage)'!F54/100/VLOOKUP($C$50,'DB animal categories'!$C$22:$AC$31,27,FALSE)*AJ54+M54+N54+O54,IF(AS54=4,('Calc (ex-animal)'!$G$15*(1-'DB additional information '!$K$5/100)+'Calc (ex-animal)'!$H$15*(1-'DB additional information '!$L$5/100))*(1-VLOOKUP(D54,'DB technologies'!$N$27:$Y$38,8,FALSE)/100)*'Calc (ex-housing, ex-storage)'!F54/100*VLOOKUP(D54,'DB technologies'!$N$27:$Y$38,12,FALSE)/100/VLOOKUP($C$50,'DB animal categories'!$C$22:$AC$31,27,FALSE)*AJ54+M54+N54+O54,0))))))</f>
        <v/>
      </c>
      <c r="AW54" s="452" t="str">
        <f>IF(AS54="","",IF(AU54=0,0,AU54/AT54*100))</f>
        <v/>
      </c>
      <c r="AX54" s="184" t="str">
        <f>IF(D54="","",IF(AS54=2,0,IF(AS54=1,'Calc (ex-animal)'!$K$15*'Calc (ex-housing, ex-storage)'!F54/100/VLOOKUP($C$50,'DB animal categories'!$C$22:$AC$31,27,FALSE)*AJ54+Q54+R54+S54,IF(AS54=5,('Calc (ex-animal)'!$K$15+'Calc (ex-animal)'!$L$15)*'Calc (ex-housing, ex-storage)'!F54/100/VLOOKUP($C$50,'DB animal categories'!$C$22:$AC$31,27,FALSE)*AJ54+Q54+R54+S54-'Calc (ex-housing, ex-storage)'!AC54,IF(AS54=3,('Calc (ex-animal)'!$K$15+'Calc (ex-animal)'!$L$15)*'Calc (ex-housing, ex-storage)'!F54/100/VLOOKUP($C$50,'DB animal categories'!$C$22:$AC$31,27,FALSE)*AJ54+Q54+R54+S54-'Calc (ex-housing, ex-storage)'!AC54-AD54-AE54,IF(AI54=4,('Calc (ex-animal)'!$K$15+'Calc (ex-animal)'!$L$15)*'Calc (ex-housing, ex-storage)'!F54/100*VLOOKUP(D54,'DB technologies'!$N$27:$Y$38,12,FALSE)/100/VLOOKUP($C$50,'DB animal categories'!$C$22:$AC$31,27,FALSE)*AJ54+Q54+R54+S54-(VLOOKUP(D54,'DB technologies'!$N$27:$Y$38,12,FALSE)/100*AC54)-AD54-AE54,0))))))</f>
        <v/>
      </c>
      <c r="AY54" s="184" t="str">
        <f>IF(D54="","",IF(AS54=2,0,IF(AS54=1,'Calc (ex-animal)'!$N$15*'Calc (ex-housing, ex-storage)'!F54/100/VLOOKUP($C$50,'DB animal categories'!$C$22:$AC$31,27,FALSE)*AJ54+U54+V54+W54,IF(AS54=5,('Calc (ex-animal)'!$N$15+'Calc (ex-animal)'!$O$15)*'Calc (ex-housing, ex-storage)'!F54/100/VLOOKUP($C$50,'DB animal categories'!$C$22:$AC$31,27,FALSE)*AJ54+U54+V54+W54,IF(AS54=3,('Calc (ex-animal)'!$N$15+'Calc (ex-animal)'!$O$15)*'Calc (ex-housing, ex-storage)'!F54/100/VLOOKUP($C$50,'DB animal categories'!$C$22:$AC$31,27,FALSE)*AJ54+U54+V54+W54,IF(AS54=4,('Calc (ex-animal)'!$N$15+'Calc (ex-animal)'!$O$15)*'Calc (ex-housing, ex-storage)'!F54/100*VLOOKUP(D54,'DB technologies'!$N$27:$Y$38,12,FALSE)/100/VLOOKUP($C$50,'DB animal categories'!$C$22:$AC$31,27,FALSE)*AJ54+U54+V54+W54,0))))))</f>
        <v/>
      </c>
      <c r="AZ54" s="184" t="str">
        <f>IF(D54="","",IF(AS54=2,0,IF(AS54=1,'Calc (ex-animal)'!$Q$15*'Calc (ex-housing, ex-storage)'!F54/100/VLOOKUP($C$50,'DB animal categories'!$C$22:$AC$31,27,FALSE)*AJ54+Y54+Z54+AA54,IF(AS54=5,('Calc (ex-animal)'!$Q$15+'Calc (ex-animal)'!$R$15)*'Calc (ex-housing, ex-storage)'!F54/100/VLOOKUP($C$50,'DB animal categories'!$C$22:$AC$31,27,FALSE)*AJ54+Y54+Z54+AA54,IF(AS54=3,('Calc (ex-animal)'!$Q$15+'Calc (ex-animal)'!$R$15)*'Calc (ex-housing, ex-storage)'!F54/100/VLOOKUP($C$50,'DB animal categories'!$C$22:$AC$31,27,FALSE)*AJ54+Y54+Z54+AA54,IF(AS54=4,('Calc (ex-animal)'!$Q$15+'Calc (ex-animal)'!$R$15)*'Calc (ex-housing, ex-storage)'!F54/100*VLOOKUP(D54,'DB technologies'!$N$27:$Y$38,12,FALSE)/100/VLOOKUP($C$50,'DB animal categories'!$C$22:$AC$31,27,FALSE)*AJ54+Y54+Z54+AA54,0))))))</f>
        <v/>
      </c>
      <c r="BA54" s="506"/>
      <c r="BB54" s="506"/>
      <c r="BC54" s="506"/>
      <c r="BG54" s="1357"/>
      <c r="BH54" s="1361"/>
      <c r="BI54" s="598" t="str">
        <f>IF(BG54="","",$BA$52*BH54/100-($BB$52*BH54/100*VLOOKUP(BG54,'DB technologies'!$AC$48:$AT$52,5,FALSE)/100)+(VLOOKUP(BG54,'DB technologies'!$AC$48:$AT$52,12,FALSE)*$BA$52*BH54/100))</f>
        <v/>
      </c>
      <c r="BJ54" s="551">
        <f>IF(BI54="",0,BI54*BK54/100)</f>
        <v>0</v>
      </c>
      <c r="BK54" s="559" t="str">
        <f>IF(BG54="","",IF($BA$52=0,0,($BB$52*BH54/100)/BI54*(1-(VLOOKUP(BG54,'DB technologies'!$AC$48:$AQ$52,5,FALSE))/100)*100))</f>
        <v/>
      </c>
      <c r="BL54" s="261" t="str">
        <f>IF(BG54="","",$BD$52*BH54/100-BO54-BP54-BQ54-BR54)</f>
        <v/>
      </c>
      <c r="BM54" s="261" t="str">
        <f>IF(BG54="","",$BE$52*BH54/100-BS54)</f>
        <v/>
      </c>
      <c r="BN54" s="261" t="str">
        <f>IF(BG54="","",$BF$52*BH54/100-BT54)</f>
        <v/>
      </c>
      <c r="BO54" s="261" t="str">
        <f>IF(BG54="","",$BD$52*BH54/100*VLOOKUP(BG54,'DB technologies'!$AC$48:$AF$52,2,FALSE)/100)</f>
        <v/>
      </c>
      <c r="BP54" s="261" t="str">
        <f>IF(BG54="","",$BD$52*BH54/100*VLOOKUP(BG54,'DB technologies'!$AC$48:$AN$52,3,FALSE)/100)</f>
        <v/>
      </c>
      <c r="BQ54" s="262" t="str">
        <f>IF(BG54="","",$BD$52*BH54/100*VLOOKUP(BG54,'DB technologies'!$AC$48:$AN$52,4,FALSE)/100)</f>
        <v/>
      </c>
      <c r="BR54" s="264" t="str">
        <f>IF(BG54="","",VLOOKUP(BG54,'DB technologies'!$AC$48:$AQ$52,13,FALSE)/100*$BD$52*BH54/100)</f>
        <v/>
      </c>
      <c r="BS54" s="261" t="str">
        <f>IF(BG54="","",VLOOKUP(BG54,'DB technologies'!$AC$48:$AQ$52,14,FALSE)/100*$BE$52*BH54/100)</f>
        <v/>
      </c>
      <c r="BT54" s="262" t="str">
        <f>IF(BG54="","",VLOOKUP(BG54,'DB technologies'!$AC$48:$AQ$52,15,FALSE)/100*$BF$52*BH54/100)</f>
        <v/>
      </c>
    </row>
    <row r="55" spans="1:72" ht="12" customHeight="1" thickBot="1" x14ac:dyDescent="0.25">
      <c r="A55" s="684"/>
      <c r="B55" s="695"/>
      <c r="C55" s="252"/>
      <c r="D55" s="269" t="s">
        <v>58</v>
      </c>
      <c r="E55" s="270">
        <f>IF(F55&lt;=100,SUM(E50:E54),"ERROR")</f>
        <v>0</v>
      </c>
      <c r="F55" s="284">
        <f>IF(SUM(F50:F54) &lt;=100,SUM(F50:F54),"ERROR, SUM&gt;100%")</f>
        <v>0</v>
      </c>
      <c r="G55" s="492">
        <f>IF('Calc (ex-animal)'!$F$9=1,"",SUM(G50:G54))</f>
        <v>0</v>
      </c>
      <c r="H55" s="433">
        <f>IF('Calc (ex-animal)'!$F$8=1,"",SUM(H50:H54))</f>
        <v>0</v>
      </c>
      <c r="I55" s="433">
        <f>IF('Calc (ex-animal)'!$F$8=1,"",SUM(I50:I54))</f>
        <v>0</v>
      </c>
      <c r="J55" s="433">
        <f>IF('Calc (ex-animal)'!$F$8=1,"",SUM(J50:J54))</f>
        <v>0</v>
      </c>
      <c r="K55" s="433">
        <f>IF('Calc (ex-animal)'!$F$8=1,"",SUM(K50:K54))</f>
        <v>0</v>
      </c>
      <c r="L55" s="470"/>
      <c r="M55" s="470"/>
      <c r="N55" s="470"/>
      <c r="O55" s="470"/>
      <c r="P55" s="478">
        <f>IF(G55=0,0,IF('Calc (ex-animal)'!$F$9=1,"",IF(D55="","",SUM(H55:K55)/G55*100)))</f>
        <v>0</v>
      </c>
      <c r="Q55" s="487"/>
      <c r="R55" s="487"/>
      <c r="S55" s="487"/>
      <c r="T55" s="278">
        <f>IF('Calc (ex-animal)'!$F$15=1,"",SUM(T50:T54))</f>
        <v>0</v>
      </c>
      <c r="U55" s="489"/>
      <c r="V55" s="489"/>
      <c r="W55" s="489"/>
      <c r="X55" s="279">
        <f>IF('Calc (ex-animal)'!$F$15=1,"",SUM(X50:X54))</f>
        <v>0</v>
      </c>
      <c r="Y55" s="489"/>
      <c r="Z55" s="489"/>
      <c r="AA55" s="489"/>
      <c r="AB55" s="279">
        <f>IF('Calc (ex-animal)'!$F$15=1,"",SUM(AB50:AB54))</f>
        <v>0</v>
      </c>
      <c r="AC55" s="279">
        <f>IF('Calc (ex-animal)'!$F$15=1,"",SUM(AC50:AC54))</f>
        <v>0</v>
      </c>
      <c r="AD55" s="279">
        <f>IF('Calc (ex-animal)'!$F$15=1,"",SUM(AD50:AD54))</f>
        <v>0</v>
      </c>
      <c r="AE55" s="280">
        <f>IF('Calc (ex-animal)'!$F$15=1,"",SUM(AE50:AE54))</f>
        <v>0</v>
      </c>
      <c r="AG55" s="695"/>
      <c r="AH55" s="695"/>
      <c r="BE55" s="111"/>
      <c r="BG55" s="1357"/>
      <c r="BH55" s="1361"/>
      <c r="BI55" s="598" t="str">
        <f>IF(BG55="","",$BA$52*BH55/100-($BB$52*BH55/100*VLOOKUP(BG55,'DB technologies'!$AC$48:$AT$52,5,FALSE)/100)+(VLOOKUP(BG55,'DB technologies'!$AC$48:$AT$52,12,FALSE)*$BA$52*BH55/100))</f>
        <v/>
      </c>
      <c r="BJ55" s="551">
        <f>IF(BI55="",0,BI55*BK55/100)</f>
        <v>0</v>
      </c>
      <c r="BK55" s="559" t="str">
        <f>IF(BG55="","",IF($BA$52=0,0,($BB$52*BH55/100)/BI55*(1-(VLOOKUP(BG55,'DB technologies'!$AC$48:$AQ$52,5,FALSE))/100)*100))</f>
        <v/>
      </c>
      <c r="BL55" s="261" t="str">
        <f>IF(BG55="","",$BD$52*BH55/100-BO55-BP55-BQ55-BR55)</f>
        <v/>
      </c>
      <c r="BM55" s="261" t="str">
        <f>IF(BG55="","",$BE$52*BH55/100-BS55)</f>
        <v/>
      </c>
      <c r="BN55" s="261" t="str">
        <f>IF(BG55="","",$BF$52*BH55/100-BT55)</f>
        <v/>
      </c>
      <c r="BO55" s="261" t="str">
        <f>IF(BG55="","",$BD$52*BH55/100*VLOOKUP(BG55,'DB technologies'!$AC$48:$AF$52,2,FALSE)/100)</f>
        <v/>
      </c>
      <c r="BP55" s="261" t="str">
        <f>IF(BG55="","",$BD$52*BH55/100*VLOOKUP(BG55,'DB technologies'!$AC$48:$AN$52,3,FALSE)/100)</f>
        <v/>
      </c>
      <c r="BQ55" s="262" t="str">
        <f>IF(BG55="","",$BD$52*BH55/100*VLOOKUP(BG55,'DB technologies'!$AC$48:$AN$52,4,FALSE)/100)</f>
        <v/>
      </c>
      <c r="BR55" s="264" t="str">
        <f>IF(BG55="","",VLOOKUP(BG55,'DB technologies'!$AC$48:$AQ$52,13,FALSE)/100*$BD$52*BH55/100)</f>
        <v/>
      </c>
      <c r="BS55" s="261" t="str">
        <f>IF(BG55="","",VLOOKUP(BG55,'DB technologies'!$AC$48:$AQ$52,14,FALSE)/100*$BE$52*BH55/100)</f>
        <v/>
      </c>
      <c r="BT55" s="262" t="str">
        <f>IF(BG55="","",VLOOKUP(BG55,'DB technologies'!$AC$48:$AQ$52,15,FALSE)/100*$BF$52*BH55/100)</f>
        <v/>
      </c>
    </row>
    <row r="56" spans="1:72" ht="11.25" customHeight="1" thickBot="1" x14ac:dyDescent="0.25">
      <c r="A56" s="684"/>
      <c r="B56" s="695"/>
      <c r="C56" s="250">
        <f>'Calc (ex-animal)'!D16</f>
        <v>0</v>
      </c>
      <c r="D56" s="1355"/>
      <c r="E56" s="1356"/>
      <c r="F56" s="479" t="str">
        <f>IF('Calc (ex-animal)'!$F$9=1,"",IF($C$56=0,"",IF(D56="","",E56/'Calc (ex-animal)'!$E$16*100)))</f>
        <v/>
      </c>
      <c r="G56" s="484" t="str">
        <f>IF($C$56=0,"",IF('Calc (ex-animal)'!$F$8=1,"",IF(D56="","",SUM(H56:O56))))</f>
        <v/>
      </c>
      <c r="H56" s="471" t="str">
        <f>IF('Calc (ex-animal)'!$F$8=1,"",IF(D56="","",(((VLOOKUP($C$56,'Calc (ex-animal)'!$D$13:$Y$17,6,FALSE)-VLOOKUP($C$56,'Calc (ex-animal)'!$D$13:$Y$17,17,FALSE))*F56/100))*VLOOKUP($C$56,'Calc (ex-animal)'!$D$13:$Y$17,7,FALSE)/100*(1-VLOOKUP(D56,'DB technologies'!$N$27:$Y$38,9,FALSE)/100)))</f>
        <v/>
      </c>
      <c r="I56" s="471" t="str">
        <f>IF(D56="","",((VLOOKUP(D56,'DB technologies'!$N$27:$Y$38,2,FALSE)*VLOOKUP($C$56,'DB animal categories'!$C$22:$AC$31,27,FALSE)*E56/1000)/VLOOKUP($C$56,'DB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'!$S$6/100*(1-VLOOKUP(D56,'DB technologies'!$N$27:$Y$38,9,FALSE)/100)))</f>
        <v/>
      </c>
      <c r="J56" s="472" t="str">
        <f>IF(D56="","",((VLOOKUP(D56,'DB technologies'!$N$27:$Y$38,3,FALSE)*VLOOKUP($C$56,'DB animal categories'!$C$22:$AC$31,27,FALSE)*E56/1000)/VLOOKUP($C$56,'DB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'!$S$7/100*(1-VLOOKUP(D56,'DB technologies'!$N$27:$Y$38,9,FALSE)/100)))</f>
        <v/>
      </c>
      <c r="K56" s="472" t="str">
        <f>IF(D56="","",((VLOOKUP(D56,'DB technologies'!$N$27:$Y$38,4,FALSE)*E56*'DB additional information '!$S$8/100*(1-VLOOKUP(D56,'DB technologies'!$N$27:$Y$38,9,FALSE)/100))/VLOOKUP($C$56,'DB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L56" s="471" t="str">
        <f>IF('Calc (ex-animal)'!$F$8=1,"",IF(D56="","",(((VLOOKUP($C$56,'Calc (ex-animal)'!$D$13:$Y$17,6,FALSE)-VLOOKUP($C$56,'Calc (ex-animal)'!$D$13:$Y$17,17,FALSE))*F56/100))*(1-VLOOKUP($C$56,'Calc (ex-animal)'!$D$13:$Y$17,7,FALSE)/100)*(1-VLOOKUP(D56,'DB technologies'!$N$27:$V$38,8,FALSE)/100)))</f>
        <v/>
      </c>
      <c r="M56" s="472" t="str">
        <f>IF(D56="","",((VLOOKUP(D56,'DB technologies'!$N$27:$Y$38,2,FALSE)*VLOOKUP($C$56,'DB animal categories'!$C$22:$AC$31,27,FALSE)*E56/1000)/VLOOKUP($C$56,'DB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'!$S$6/100)*(1-VLOOKUP(D56,'DB technologies'!$N$27:$Y$38,9,FALSE)/100))</f>
        <v/>
      </c>
      <c r="N56" s="472" t="str">
        <f>IF(D56="","",((VLOOKUP(D56,'DB technologies'!$N$27:$Y$38,3,FALSE)*VLOOKUP($C$56,'DB animal categories'!$C$22:$AC$31,27,FALSE)*E56/1000)/VLOOKUP($C$56,'DB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'!$S$7/100)*(1-VLOOKUP(D56,'DB technologies'!$N$27:$Y$38,9,FALSE)/100))</f>
        <v/>
      </c>
      <c r="O56" s="471" t="str">
        <f>IF(D56="","",((VLOOKUP(D56,'DB technologies'!$N$27:$Y$38,4,FALSE)*E56*(1-'DB additional information '!$S$8/100)*(1-VLOOKUP(D56,'DB technologies'!$N$27:$Y$38,8,FALSE)/100))/VLOOKUP($C$56,'DB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P56" s="443" t="str">
        <f>IF(G56=0,0,IF(E56="","",IF(F56="","",IF($C$56=0,"",IF(D56="","",SUM(H56:K56)/G56*100)))))</f>
        <v/>
      </c>
      <c r="Q56" s="473" t="str">
        <f>IF(D56="","",(VLOOKUP(D56,'DB technologies'!$N$27:$Y$38,2,FALSE)*'DB additional information '!$S$6/100*'DB additional information '!$T$6*VLOOKUP($C$56,'DB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R56" s="473" t="str">
        <f>IF(D56="","",(VLOOKUP(D56,'DB technologies'!$N$27:$Y$38,3,FALSE)*'DB additional information '!$S$7/100*'DB additional information '!$T$7*VLOOKUP($C$56,'DB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S56" s="490" t="str">
        <f>IF(D56="","",(VLOOKUP(D56,'DB technologies'!$N$27:$Y$38,4,FALSE)*('DB additional information '!$S$8/100*'DB additional information '!$T$8*E56/1000/1000)))</f>
        <v/>
      </c>
      <c r="T56" s="263" t="str">
        <f>IF($C$56=0,"",IF('Calc (ex-animal)'!$F$9=1,"",IF(D56="","",((VLOOKUP($C$56,'Calc (ex-animal)'!$D$13:$Y$17,10,FALSE)-VLOOKUP($C$56,'Calc (ex-animal)'!$D$13:$Y$17,18,FALSE))*F56/100+Q56+R56+S56)-AC56-AD56-AE56)))</f>
        <v/>
      </c>
      <c r="U56" s="474" t="str">
        <f>IF(D56="","",(VLOOKUP(D56,'DB technologies'!$N$27:$Y$38,2,FALSE)*'DB additional information '!$S$6/100*'DB additional information '!$U$6*VLOOKUP($C$56,'DB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V56" s="420" t="str">
        <f>IF(D56="","",(VLOOKUP(D56,'DB technologies'!$N$27:$Y$38,3,FALSE)*'DB additional information '!$S$7/100*'DB additional information '!$U$7*VLOOKUP($C$56,'DB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W56" s="415" t="str">
        <f>IF(D56="","",(VLOOKUP(D56,'DB technologies'!$N$27:$Y$38,4,FALSE)*('DB additional information '!$S$8/100*'DB additional information '!$U$8*E56/1000/1000)))</f>
        <v/>
      </c>
      <c r="X56" s="259" t="str">
        <f>IF($C$56=0,"",IF('Calc (ex-animal)'!$F$9=1,"",IF(D56="","",((VLOOKUP($C$56,'Calc (ex-animal)'!$D$13:$Y$17,13,FALSE)-VLOOKUP($C$56,'Calc (ex-animal)'!$D$13:$Y$17,19,FALSE))*F56/100+U56+V56+W56))))</f>
        <v/>
      </c>
      <c r="Y56" s="420" t="str">
        <f>IF(D56="","",(VLOOKUP(D56,'DB technologies'!$N$27:$Y$38,2,FALSE)*'DB additional information '!$S$6/100*'DB additional information '!$V$6*VLOOKUP($C$56,'DB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Z56" s="420" t="str">
        <f>IF(D56="","",(VLOOKUP(D56,'DB technologies'!$N$27:$Y$38,3,FALSE)*'DB additional information '!$S$7/100*'DB additional information '!$V$7*VLOOKUP($C$56,'DB animal categories'!$C$22:$AC$31,27,FALSE)*E56/1000/1000)/VLOOKUP($C$56,'DB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AA56" s="420" t="str">
        <f>IF(D56="","",(VLOOKUP(D56,'DB technologies'!$N$27:$Y$38,4,FALSE)*('DB additional information '!$S$8/100*'DB additional information '!$V$8*E56/1000/1000)))</f>
        <v/>
      </c>
      <c r="AB56" s="259" t="str">
        <f>IF($C$56=0,"",IF('Calc (ex-animal)'!$F$8=1,"",IF(D56="","",((VLOOKUP($C$56,'Calc (ex-animal)'!$D$13:$Y$17,16,FALSE)-VLOOKUP($C$56,'Calc (ex-animal)'!$D$13:$Y$17,20,FALSE))*F56/100+Y56+Z56+AA56))))</f>
        <v/>
      </c>
      <c r="AC56" s="259" t="str">
        <f>IF($C$56=0,"",IF('Calc (ex-animal)'!$F$8=1,"",IF(D56="","",VLOOKUP($C$56,'Calc (ex-animal)'!$D$13:$Y$17,9,FALSE)/VLOOKUP($C$56,'DB animal categories'!$C$22:$AC$31,27,FALSE)*(VLOOKUP($C$56,'DB animal categories'!$C$22:$AC$31,27,FALSE)-VLOOKUP($C$56,'DB animal categories'!$C$22:$AC$31,25,FALSE)*VLOOKUP($C$56,'DB animal categories'!$C$22:$AC$31,26,FALSE)/24)*F56/100*VLOOKUP(D56,'DB technologies'!$N$27:$R$38,5,FALSE)/100)))</f>
        <v/>
      </c>
      <c r="AD56" s="259" t="str">
        <f>IF($C$56=0,"",IF('Calc (ex-animal)'!$F$8=1,"",IF(D56="","",VLOOKUP($C$56,'Calc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categories'!$C$22:$AC$31,26,FALSE)/24)*F56/100*VLOOKUP(D56,'DB technologies'!$N$27:$Y$38,6,FALSE)/100)))</f>
        <v/>
      </c>
      <c r="AE56" s="260" t="str">
        <f>IF($C$56=0,"",IF('Calc (ex-animal)'!$F$8=1,"",IF(D56="","",VLOOKUP($C$56,'Calc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categories'!$C$22:$AC$31,26,FALSE)/24)*F56/100*VLOOKUP(D56,'DB technologies'!$N$27:$Y$38,7,FALSE)/100)))</f>
        <v/>
      </c>
      <c r="AG56" s="695"/>
      <c r="AH56" s="695"/>
      <c r="AI56" s="179" t="str">
        <f>IF(D56="","",VLOOKUP(D56,'DB technologies'!$N$27:$Y$38,10,FALSE))</f>
        <v/>
      </c>
      <c r="AJ56" s="482" t="e">
        <f>VLOOKUP($C$56,'DB animal categories'!$C$22:$AN$31,27,FALSE)-VLOOKUP($C$56,'DB animal categories'!$C$22:$AN$31,26,FALSE)*VLOOKUP($C$56,'DB animal categories'!$C$22:$AN$31,25,FALSE)/24</f>
        <v>#N/A</v>
      </c>
      <c r="AK56" s="453" t="str">
        <f>IF(AI56="","",AL56+AM56)</f>
        <v/>
      </c>
      <c r="AL56" s="453" t="str">
        <f>IF(D56="","",IF(AI56=2,(('Calc (ex-animal)'!$G$16*'DB additional information '!$K$5/100*(1-VLOOKUP(D56,'DB technologies'!$N$27:$Y$38,9,FALSE)/100)*'Calc (ex-housing, ex-storage)'!F56/100+'Calc (ex-animal)'!$H$16*'DB additional information '!$L$5/100*(1-VLOOKUP(D56,'DB technologies'!$N$27:$Y$38,9,FALSE)/100)*'Calc (ex-housing, ex-storage)'!F56/100))/VLOOKUP($C$56,'DB animal categories'!$C$22:$AC$31,27,FALSE)*AJ56+I56+J56+K56,IF(AI56=1,('Calc (ex-animal)'!$H$16*'DB additional information '!$L$5/100*(1-VLOOKUP(D56,'DB technologies'!$N$27:$Y$38,9,FALSE)/100)*'Calc (ex-housing, ex-storage)'!F56/100)/VLOOKUP($C$56,'DB animal categories'!$C$22:$AC$31,27,FALSE)*AJ56,IF(AI56=4,('Calc (ex-animal)'!$G$16*'DB additional information '!$K$5/100+'Calc (ex-animal)'!$H$16*'DB additional information '!$L$5/100)*(1-VLOOKUP(D56,'DB technologies'!$N$27:$Y$38,9,FALSE)/100)*'Calc (ex-housing, ex-storage)'!F56/100*VLOOKUP(D56,'DB technologies'!$N$27:$Y$38,11,FALSE)/100/VLOOKUP($C$56,'DB animal categories'!$C$22:$AC$31,27,FALSE)*AJ56,0))))</f>
        <v/>
      </c>
      <c r="AM56" s="453" t="str">
        <f>IF(D56="","",IF(AI56=2,(('Calc (ex-animal)'!$G$16*(1-'DB additional information '!$K$5/100)*(1-VLOOKUP(D56,'DB technologies'!$N$27:$Y$38,8,FALSE)/100)*'Calc (ex-housing, ex-storage)'!F56/100+'Calc (ex-animal)'!$H$16*(1-'DB additional information '!$L$5/100)*(1-VLOOKUP(D56,'DB technologies'!$N$27:$Y$38,8,FALSE)/100)*'Calc (ex-housing, ex-storage)'!F56/100))/VLOOKUP($C$56,'DB animal categories'!$C$22:$AC$31,27,FALSE)*AJ56+M56+N56+O56,IF(AI56=1,('Calc (ex-animal)'!$H$16*(1-'DB additional information '!$L$5/100)*(1-VLOOKUP(D56,'DB technologies'!$N$27:$Y$38,8,FALSE)/100)*'Calc (ex-housing, ex-storage)'!F56/100)/VLOOKUP($C$56,'DB animal categories'!$C$22:$AC$31,27,FALSE)*AJ56,IF(AI56=4,('Calc (ex-animal)'!$G$16*(1-'DB additional information '!$K$5/100)+'Calc (ex-animal)'!$H$16*(1-'DB additional information '!$L$5/100))*(1-VLOOKUP(D56,'DB technologies'!$N$27:$Y$38,8,FALSE)/100)*'Calc (ex-housing, ex-storage)'!F56/100*VLOOKUP(D56,'DB technologies'!$N$27:$Y$38,11,FALSE)/100/VLOOKUP($C$56,'DB animal categories'!$C$22:$AC$31,27,FALSE)*AJ56,0))))</f>
        <v/>
      </c>
      <c r="AN56" s="453" t="str">
        <f>IF(AI56="","",IF(AL56=0,0,AL56/AK56*100))</f>
        <v/>
      </c>
      <c r="AO56" s="180" t="str">
        <f>IF(D56="","",IF(AI56=2,(('Calc (ex-animal)'!$L$16*'Calc (ex-housing, ex-storage)'!F56/100+'Calc (ex-animal)'!$K$16*'Calc (ex-housing, ex-storage)'!F56/100))/VLOOKUP($C$56,'DB animal categories'!$C$22:$AC$31,27,FALSE)*AJ56+Q56+R56+S56-AC56,IF(AI56=1,('Calc (ex-animal)'!$L$16*'Calc (ex-housing, ex-storage)'!F56/100)/VLOOKUP($C$56,'DB animal categories'!$C$22:$AC$31,27,FALSE)*AJ56-'Calc (ex-housing, ex-storage)'!AC56,IF(AI56=4,('Calc (ex-animal)'!$L$16+'Calc (ex-animal)'!$K$16)*'Calc (ex-housing, ex-storage)'!F56/100*VLOOKUP(D56,'DB technologies'!$N$27:$Y$38,11,FALSE)/100/VLOOKUP($C$56,'DB animal categories'!$C$22:$AC$31,27,FALSE)*AJ56-AC56*VLOOKUP(D56,'DB technologies'!$N$27:$Y$38,11,FALSE)/100,0))))</f>
        <v/>
      </c>
      <c r="AP56" s="180" t="str">
        <f>IF(D56="","",IF(AO56&lt;-0.01,0,IF(AI56=2,(('Calc (ex-animal)'!$L$16*'Calc (ex-housing, ex-storage)'!F56/100+'Calc (ex-animal)'!$K$16*'Calc (ex-housing, ex-storage)'!F56/100))/VLOOKUP($C$56,'DB animal categories'!$C$22:$AC$31,27,FALSE)*AJ56+Q56+R56+S56-AC56,IF(AI56=1,('Calc (ex-animal)'!$L$16*'Calc (ex-housing, ex-storage)'!F56/100)/VLOOKUP($C$56,'DB animal categories'!$C$22:$AC$31,27,FALSE)*AJ56-'Calc (ex-housing, ex-storage)'!AC56,IF(AI56=4,('Calc (ex-animal)'!$L$16+'Calc (ex-animal)'!$K$16)*'Calc (ex-housing, ex-storage)'!F56/100*VLOOKUP(D56,'DB technologies'!$N$27:$Y$38,11,FALSE)/100/VLOOKUP($C$56,'DB animal categories'!$C$22:$AC$31,27,FALSE)*AJ56-AC56*VLOOKUP(D56,'DB technologies'!$N$27:$Y$38,11,FALSE)/100,0)))))</f>
        <v/>
      </c>
      <c r="AQ56" s="180" t="str">
        <f>IF(D56="","",IF(AI56=2,('Calc (ex-animal)'!$O$16*'Calc (ex-housing, ex-storage)'!F56/100+'Calc (ex-animal)'!$N$16*'Calc (ex-housing, ex-storage)'!F56/100)/VLOOKUP($C$56,'DB animal categories'!$C$22:$AC$31,27,FALSE)*AJ56+U56+V56+W56,IF(AI56=1,'Calc (ex-animal)'!$O$16*'Calc (ex-housing, ex-storage)'!F56/100/VLOOKUP($C$56,'DB animal categories'!$C$22:$AC$31,27,FALSE)*AJ56,IF(AI56=4,('Calc (ex-animal)'!$O$16+'Calc (ex-animal)'!$N$16)*'Calc (ex-housing, ex-storage)'!F56/100*VLOOKUP(D56,'DB technologies'!$N$27:$Y$38,11,FALSE)/100/VLOOKUP($C$56,'DB animal categories'!$C$22:$AC$31,27,FALSE)*AJ56,0))))</f>
        <v/>
      </c>
      <c r="AR56" s="180" t="str">
        <f>IF(D56="","",IF(AI56=2,('Calc (ex-animal)'!$R$16*'Calc (ex-housing, ex-storage)'!F56/100+'Calc (ex-animal)'!$Q$16*'Calc (ex-housing, ex-storage)'!F56/100)/VLOOKUP($C$56,'DB animal categories'!$C$22:$AC$31,27,FALSE)*AJ56+Y56+Z56+AA56,IF(AI56=1,'Calc (ex-animal)'!$R$16*'Calc (ex-housing, ex-storage)'!F56/100/VLOOKUP($C$56,'DB animal categories'!$C$22:$AC$31,27,FALSE)*AJ56,IF(AI56=4,('Calc (ex-animal)'!$R$16+'Calc (ex-animal)'!$Q$16)*'Calc (ex-housing, ex-storage)'!F56/100*VLOOKUP(D56,'DB technologies'!$N$27:$Y$38,11,FALSE)/100/VLOOKUP($C$56,'DB animal categories'!$C$22:$AC$31,27,FALSE)*AJ56,0))))</f>
        <v/>
      </c>
      <c r="AS56" s="179" t="str">
        <f>IF(D56="","",VLOOKUP(D56,'DB technologies'!$N$27:$Y$38,10,FALSE))</f>
        <v/>
      </c>
      <c r="AT56" s="453" t="str">
        <f>IF(AS56="","",AU56+AV56)</f>
        <v/>
      </c>
      <c r="AU56" s="453" t="str">
        <f>IF(D56="","",IF(AS56=2,0,IF(AS56=1,'Calc (ex-animal)'!$G$16*'DB additional information '!$K$5/100*(1-VLOOKUP(D56,'DB technologies'!$N$27:$Y$38,8,FALSE)/100)*'Calc (ex-housing, ex-storage)'!F56/100/VLOOKUP($C$56,'DB animal categories'!$C$22:$AC$31,27,FALSE)*AJ56+I56+J56+K56,IF(AS56=5,(('Calc (ex-animal)'!$G$16*'DB additional information '!$K$5/100+'Calc (ex-animal)'!$H$16*'DB additional information '!$L$5/100))*(1-VLOOKUP(D56,'DB technologies'!$N$27:$Y$38,9,FALSE)/100)*'Calc (ex-housing, ex-storage)'!F56/100/VLOOKUP($C$56,'DB animal categories'!$C$22:$AC$31,27,FALSE)*AJ56+I56+J56+K56,IF(AS56=3,('Calc (ex-animal)'!$G$16*'DB additional information '!$K$5/100+'Calc (ex-animal)'!$H$16*'DB additional information '!$L$5/100)*(1-VLOOKUP(D56,'DB technologies'!$N$27:$Y$38,9,FALSE)/100)*'Calc (ex-housing, ex-storage)'!F56/100/VLOOKUP($C$56,'DB animal categories'!$C$22:$AC$31,27,FALSE)*AJ56+I56+J56+K56,IF(AS56=4,('Calc (ex-animal)'!$G$16*'DB additional information '!$K$5/100+'Calc (ex-animal)'!$H$16*'DB additional information '!$L$5/100)*(1-VLOOKUP(D56,'DB technologies'!$N$27:$Y$38,9,FALSE)/100)*'Calc (ex-housing, ex-storage)'!F56/100*VLOOKUP(D56,'DB technologies'!$N$27:$Y$38,12,FALSE)/100/VLOOKUP($C$56,'DB animal categories'!$C$22:$AC$31,27,FALSE)*AJ56+I56+J56+K56,0))))))</f>
        <v/>
      </c>
      <c r="AV56" s="453" t="str">
        <f>IF(D56="","",IF(AS56=2,0,IF(AS56=1,'Calc (ex-animal)'!$G$16*(1-'DB additional information '!$K$5/100)*(1-VLOOKUP(D56,'DB technologies'!$N$27:$Y$38,8,FALSE)/100)*'Calc (ex-housing, ex-storage)'!F56/100/VLOOKUP($C$56,'DB animal categories'!$C$22:$AC$31,27,FALSE)*AJ56+M56+N56+O56,IF(AS56=5,('Calc (ex-animal)'!$G$16*(1-'DB additional information '!$K$5/100)+'Calc (ex-animal)'!$H$16*(1-'DB additional information '!$L$5/100))*(1-VLOOKUP(D56,'DB technologies'!$N$27:$Y$38,8,FALSE)/100)*'Calc (ex-housing, ex-storage)'!F56/100/VLOOKUP($C$56,'DB animal categories'!$C$22:$AC$31,27,FALSE)*AJ56+M56+N56+O56,IF(AS56=3,('Calc (ex-animal)'!$G$16*(1-'DB additional information '!$K$5/100)+'Calc (ex-animal)'!$H$16*(1-'DB additional information '!$L$5/100))*(1-VLOOKUP(D56,'DB technologies'!$N$27:$Y$38,8,FALSE)/100)*'Calc (ex-housing, ex-storage)'!F56/100/VLOOKUP($C$56,'DB animal categories'!$C$22:$AC$31,27,FALSE)*AJ56+M56+N56+O56,IF(AS56=4,('Calc (ex-animal)'!$G$16*(1-'DB additional information '!$K$5/100)+'Calc (ex-animal)'!$H$16*(1-'DB additional information '!$L$5/100))*(1-VLOOKUP(D56,'DB technologies'!$N$27:$Y$38,8,FALSE)/100)*'Calc (ex-housing, ex-storage)'!F56/100*VLOOKUP(D56,'DB technologies'!$N$27:$Y$38,12,FALSE)/100/VLOOKUP($C$56,'DB animal categories'!$C$22:$AC$31,27,FALSE)*AJ56+M56+N56+O56,0))))))</f>
        <v/>
      </c>
      <c r="AW56" s="453" t="str">
        <f>IF(AS56="","",IF(AU56=0,0,AU56/AT56*100))</f>
        <v/>
      </c>
      <c r="AX56" s="180" t="str">
        <f>IF(D56="","",IF(AS56=2,0,IF(AS56=1,'Calc (ex-animal)'!$K$16*'Calc (ex-housing, ex-storage)'!F56/100/VLOOKUP($C$56,'DB animal categories'!$C$22:$AC$31,27,FALSE)*AJ56+Q56+R56+S56,IF(AS56=5,('Calc (ex-animal)'!$K$16+'Calc (ex-animal)'!$L$16)*'Calc (ex-housing, ex-storage)'!F56/100/VLOOKUP($C$56,'DB animal categories'!$C$22:$AC$31,27,FALSE)*AJ56+Q56+R56+S56-'Calc (ex-housing, ex-storage)'!AC56,IF(AS56=3,('Calc (ex-animal)'!$K$16+'Calc (ex-animal)'!$L$16)*'Calc (ex-housing, ex-storage)'!F56/100/VLOOKUP($C$56,'DB animal categories'!$C$22:$AC$31,27,FALSE)*AJ56+Q56+R56+S56-'Calc (ex-housing, ex-storage)'!AC56-AD56-AE56,IF(AI56=4,('Calc (ex-animal)'!$K$16+'Calc (ex-animal)'!$L$16)*'Calc (ex-housing, ex-storage)'!F56/100*VLOOKUP(D56,'DB technologies'!$N$27:$Y$38,12,FALSE)/100/VLOOKUP($C$56,'DB animal categories'!$C$22:$AC$31,27,FALSE)*AJ56+Q56+R56+S56-(VLOOKUP(D56,'DB technologies'!$N$27:$Y$38,12,FALSE)/100*AC56)-AD56-AE56,0))))))</f>
        <v/>
      </c>
      <c r="AY56" s="180" t="str">
        <f>IF(D56="","",IF(AS56=2,0,IF(AS56=1,'Calc (ex-animal)'!$N$16*'Calc (ex-housing, ex-storage)'!F56/100/VLOOKUP($C$56,'DB animal categories'!$C$22:$AC$31,27,FALSE)*AJ56+U56+V56+W56,IF(AS56=5,('Calc (ex-animal)'!$N$16+'Calc (ex-animal)'!$O$16)*'Calc (ex-housing, ex-storage)'!F56/100/VLOOKUP($C$56,'DB animal categories'!$C$22:$AC$31,27,FALSE)*AJ56+U56+V56+W56,IF(AS56=3,('Calc (ex-animal)'!$N$16+'Calc (ex-animal)'!$O$16)*'Calc (ex-housing, ex-storage)'!F56/100/VLOOKUP($C$56,'DB animal categories'!$C$22:$AC$31,27,FALSE)*AJ56+U56+V56+W56,IF(AS56=4,('Calc (ex-animal)'!$N$16+'Calc (ex-animal)'!$O$16)*'Calc (ex-housing, ex-storage)'!F56/100*VLOOKUP(D56,'DB technologies'!$N$27:$Y$38,12,FALSE)/100/VLOOKUP($C$56,'DB animal categories'!$C$22:$AC$31,27,FALSE)*AJ56+U56+V56+W56,0))))))</f>
        <v/>
      </c>
      <c r="AZ56" s="180" t="str">
        <f>IF(D56="","",IF(AS56=2,0,IF(AS56=1,'Calc (ex-animal)'!$Q$16*'Calc (ex-housing, ex-storage)'!F56/100/VLOOKUP($C$56,'DB animal categories'!$C$22:$AC$31,27,FALSE)*AJ56+Y56+Z56+AA56,IF(AS56=5,('Calc (ex-animal)'!$Q$16+'Calc (ex-animal)'!$R$16)*'Calc (ex-housing, ex-storage)'!F56/100/VLOOKUP($C$56,'DB animal categories'!$C$22:$AC$31,27,FALSE)*AJ56+Y56+Z56+AA56,IF(AS56=3,('Calc (ex-animal)'!$Q$16+'Calc (ex-animal)'!$R$16)*'Calc (ex-housing, ex-storage)'!F56/100/VLOOKUP($C$56,'DB animal categories'!$C$22:$AC$31,27,FALSE)*AJ56+Y56+Z56+AA56,IF(AS56=4,('Calc (ex-animal)'!$Q$16+'Calc (ex-animal)'!$R$16)*'Calc (ex-housing, ex-storage)'!F56/100*VLOOKUP(D56,'DB technologies'!$N$27:$Y$38,12,FALSE)/100/VLOOKUP($C$56,'DB animal categories'!$C$22:$AC$31,27,FALSE)*AJ56+Y56+Z56+AA56,0))))))</f>
        <v/>
      </c>
      <c r="BA56" s="506"/>
      <c r="BB56" s="506"/>
      <c r="BC56" s="506"/>
      <c r="BG56" s="1359"/>
      <c r="BH56" s="1362"/>
      <c r="BI56" s="600" t="str">
        <f>IF(BG56="","",$BA$52*BH56/100-($BB$52*BH56/100*VLOOKUP(BG56,'DB technologies'!$AC$48:$AT$52,5,FALSE)/100)+(VLOOKUP(BG56,'DB technologies'!$AC$48:$AT$52,12,FALSE)*$BA$52*BH56/100))</f>
        <v/>
      </c>
      <c r="BJ56" s="551">
        <f>IF(BI56="",0,BI56*BK56/100)</f>
        <v>0</v>
      </c>
      <c r="BK56" s="509" t="str">
        <f>IF(BG56="","",IF($BA$52=0,0,($BB$52*BH56/100)/BI56*(1-(VLOOKUP(BG56,'DB technologies'!$AC$48:$AQ$52,5,FALSE))/100)*100))</f>
        <v/>
      </c>
      <c r="BL56" s="267" t="str">
        <f>IF(BG56="","",$BD$52*BH56/100-BO56-BP56-BQ56-BR56)</f>
        <v/>
      </c>
      <c r="BM56" s="267" t="str">
        <f>IF(BG56="","",$BE$52*BH56/100-BS56)</f>
        <v/>
      </c>
      <c r="BN56" s="267" t="str">
        <f>IF(BG56="","",$BF$52*BH56/100-BT56)</f>
        <v/>
      </c>
      <c r="BO56" s="267" t="str">
        <f>IF(BG56="","",$BD$52*BH56/100*VLOOKUP(BG56,'DB technologies'!$AC$48:$AF$52,2,FALSE)/100)</f>
        <v/>
      </c>
      <c r="BP56" s="267" t="str">
        <f>IF(BG56="","",$BD$52*BH56/100*VLOOKUP(BG56,'DB technologies'!$AC$48:$AN$52,3,FALSE)/100)</f>
        <v/>
      </c>
      <c r="BQ56" s="268" t="str">
        <f>IF(BG56="","",$BD$52*BH56/100*VLOOKUP(BG56,'DB technologies'!$AC$48:$AN$52,4,FALSE)/100)</f>
        <v/>
      </c>
      <c r="BR56" s="266" t="str">
        <f>IF(BG56="","",VLOOKUP(BG56,'DB technologies'!$AC$48:$AQ$52,13,FALSE)/100*$BD$52*BH56/100)</f>
        <v/>
      </c>
      <c r="BS56" s="267" t="str">
        <f>IF(BG56="","",VLOOKUP(BG56,'DB technologies'!$AC$48:$AQ$52,14,FALSE)/100*$BE$52*BH56/100)</f>
        <v/>
      </c>
      <c r="BT56" s="268" t="str">
        <f>IF(BG56="","",VLOOKUP(BG56,'DB technologies'!$AC$48:$AQ$52,15,FALSE)/100*$BF$52*BH56/100)</f>
        <v/>
      </c>
    </row>
    <row r="57" spans="1:72" ht="11.25" customHeight="1" thickBot="1" x14ac:dyDescent="0.25">
      <c r="A57" s="684"/>
      <c r="B57" s="695"/>
      <c r="C57" s="251"/>
      <c r="D57" s="1357"/>
      <c r="E57" s="1358"/>
      <c r="F57" s="480" t="str">
        <f>IF('Calc (ex-animal)'!$F$9=1,"",IF($C$56=0,"",IF(D57="","",E57/'Calc (ex-animal)'!$E$16*100)))</f>
        <v/>
      </c>
      <c r="G57" s="485" t="str">
        <f>IF($C$56=0,"",IF('Calc (ex-animal)'!$F$8=1,"",IF(D57="","",SUM(H57:O57))))</f>
        <v/>
      </c>
      <c r="H57" s="423" t="str">
        <f>IF('Calc (ex-animal)'!$F$8=1,"",IF(D57="","",(((VLOOKUP($C$56,'Calc (ex-animal)'!$D$13:$Y$17,6,FALSE)-VLOOKUP($C$56,'Calc (ex-animal)'!$D$13:$Y$17,17,FALSE))*F57/100))*VLOOKUP($C$56,'Calc (ex-animal)'!$D$13:$Y$17,7,FALSE)/100*(1-VLOOKUP(D57,'DB technologies'!$N$27:$Y$38,9,FALSE)/100)))</f>
        <v/>
      </c>
      <c r="I57" s="423" t="str">
        <f>IF(D57="","",((VLOOKUP(D57,'DB technologies'!$N$27:$Y$38,2,FALSE)*VLOOKUP($C$56,'DB animal categories'!$C$22:$AC$31,27,FALSE)*E57/1000)/VLOOKUP($C$56,'DB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'!$S$6/100*(1-VLOOKUP(D57,'DB technologies'!$N$27:$Y$38,9,FALSE)/100)))</f>
        <v/>
      </c>
      <c r="J57" s="434" t="str">
        <f>IF(D57="","",((VLOOKUP(D57,'DB technologies'!$N$27:$Y$38,3,FALSE)*VLOOKUP($C$56,'DB animal categories'!$C$22:$AC$31,27,FALSE)*E57/1000)/VLOOKUP($C$56,'DB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'!$S$7/100*(1-VLOOKUP(D57,'DB technologies'!$N$27:$Y$38,9,FALSE)/100)))</f>
        <v/>
      </c>
      <c r="K57" s="434" t="str">
        <f>IF(D57="","",((VLOOKUP(D57,'DB technologies'!$N$27:$Y$38,4,FALSE)*E57*'DB additional information '!$S$8/100*(1-VLOOKUP(D57,'DB technologies'!$N$27:$Y$38,9,FALSE)/100))/VLOOKUP($C$56,'DB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L57" s="423" t="str">
        <f>IF('Calc (ex-animal)'!$F$8=1,"",IF(D57="","",(((VLOOKUP($C$56,'Calc (ex-animal)'!$D$13:$Y$17,6,FALSE)-VLOOKUP($C$56,'Calc (ex-animal)'!$D$13:$Y$17,17,FALSE))*F57/100))*(1-VLOOKUP($C$56,'Calc (ex-animal)'!$D$13:$Y$17,7,FALSE)/100)*(1-VLOOKUP(D57,'DB technologies'!$N$27:$V$38,8,FALSE)/100)))</f>
        <v/>
      </c>
      <c r="M57" s="434" t="str">
        <f>IF(D57="","",((VLOOKUP(D57,'DB technologies'!$N$27:$Y$38,2,FALSE)*VLOOKUP($C$56,'DB animal categories'!$C$22:$AC$31,27,FALSE)*E57/1000)/VLOOKUP($C$56,'DB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'!$S$6/100)*(1-VLOOKUP(D57,'DB technologies'!$N$27:$Y$38,9,FALSE)/100))</f>
        <v/>
      </c>
      <c r="N57" s="434" t="str">
        <f>IF(D57="","",((VLOOKUP(D57,'DB technologies'!$N$27:$Y$38,3,FALSE)*VLOOKUP($C$56,'DB animal categories'!$C$22:$AC$31,27,FALSE)*E57/1000)/VLOOKUP($C$56,'DB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'!$S$7/100)*(1-VLOOKUP(D57,'DB technologies'!$N$27:$Y$38,9,FALSE)/100))</f>
        <v/>
      </c>
      <c r="O57" s="423" t="str">
        <f>IF(D57="","",((VLOOKUP(D57,'DB technologies'!$N$27:$Y$38,4,FALSE)*E57*(1-'DB additional information '!$S$8/100)*(1-VLOOKUP(D57,'DB technologies'!$N$27:$Y$38,8,FALSE)/100))/VLOOKUP($C$56,'DB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P57" s="438" t="str">
        <f>IF(G57=0,0,IF(E57="","",IF(F57="","",IF($C$56=0,"",IF(D57="","",SUM(H57:K57)/G57*100)))))</f>
        <v/>
      </c>
      <c r="Q57" s="416" t="str">
        <f>IF(D57="","",(VLOOKUP(D57,'DB technologies'!$N$27:$Y$38,2,FALSE)*'DB additional information '!$S$6/100*'DB additional information '!$T$6*VLOOKUP($C$56,'DB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R57" s="416" t="str">
        <f>IF(D57="","",(VLOOKUP(D57,'DB technologies'!$N$27:$Y$38,3,FALSE)*'DB additional information '!$S$7/100*'DB additional information '!$T$7*VLOOKUP($C$56,'DB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S57" s="491" t="str">
        <f>IF(D57="","",(VLOOKUP(D57,'DB technologies'!$N$27:$Y$38,4,FALSE)*('DB additional information '!$S$8/100*'DB additional information '!$T$8*E57/1000/1000)))</f>
        <v/>
      </c>
      <c r="T57" s="264" t="str">
        <f>IF($C$56=0,"",IF('Calc (ex-animal)'!$F$9=1,"",IF(D57="","",((VLOOKUP($C$56,'Calc (ex-animal)'!$D$13:$Y$17,10,FALSE)-VLOOKUP($C$56,'Calc (ex-animal)'!$D$13:$Y$17,18,FALSE))*F57/100+Q57+R57+S57)-AC57-AD57-AE57)))</f>
        <v/>
      </c>
      <c r="U57" s="422" t="str">
        <f>IF(D57="","",(VLOOKUP(D57,'DB technologies'!$N$27:$Y$38,2,FALSE)*'DB additional information '!$S$6/100*'DB additional information '!$U$6*VLOOKUP($C$56,'DB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V57" s="418" t="str">
        <f>IF(D57="","",(VLOOKUP(D57,'DB technologies'!$N$27:$Y$38,3,FALSE)*'DB additional information '!$S$7/100*'DB additional information '!$U$7*VLOOKUP($C$56,'DB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W57" s="417" t="str">
        <f>IF(D57="","",(VLOOKUP(D57,'DB technologies'!$N$27:$Y$38,4,FALSE)*('DB additional information '!$S$8/100*'DB additional information '!$U$8*E57/1000/1000)))</f>
        <v/>
      </c>
      <c r="X57" s="261" t="str">
        <f>IF($C$56=0,"",IF('Calc (ex-animal)'!$F$9=1,"",IF(D57="","",((VLOOKUP($C$56,'Calc (ex-animal)'!$D$13:$Y$17,13,FALSE)-VLOOKUP($C$56,'Calc (ex-animal)'!$D$13:$Y$17,19,FALSE))*F57/100+U57+V57+W57))))</f>
        <v/>
      </c>
      <c r="Y57" s="418" t="str">
        <f>IF(D57="","",(VLOOKUP(D57,'DB technologies'!$N$27:$Y$38,2,FALSE)*'DB additional information '!$S$6/100*'DB additional information '!$V$6*VLOOKUP($C$56,'DB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Z57" s="418" t="str">
        <f>IF(D57="","",(VLOOKUP(D57,'DB technologies'!$N$27:$Y$38,3,FALSE)*'DB additional information '!$S$7/100*'DB additional information '!$V$7*VLOOKUP($C$56,'DB animal categories'!$C$22:$AC$31,27,FALSE)*E57/1000/1000)/VLOOKUP($C$56,'DB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AA57" s="418" t="str">
        <f>IF(D57="","",(VLOOKUP(D57,'DB technologies'!$N$27:$Y$38,4,FALSE)*('DB additional information '!$S$8/100*'DB additional information '!$V$8*E57/1000/1000)))</f>
        <v/>
      </c>
      <c r="AB57" s="261" t="str">
        <f>IF($C$56=0,"",IF('Calc (ex-animal)'!$F$8=1,"",IF(D57="","",((VLOOKUP($C$56,'Calc (ex-animal)'!$D$13:$Y$17,16,FALSE)-VLOOKUP($C$56,'Calc (ex-animal)'!$D$13:$Y$17,20,FALSE))*F57/100+Y57+Z57+AA57))))</f>
        <v/>
      </c>
      <c r="AC57" s="261" t="str">
        <f>IF($C$56=0,"",IF('Calc (ex-animal)'!$F$8=1,"",IF(D57="","",VLOOKUP($C$56,'Calc (ex-animal)'!$D$13:$Y$17,9,FALSE)/VLOOKUP($C$56,'DB animal categories'!$C$22:$AC$31,27,FALSE)*(VLOOKUP($C$56,'DB animal categories'!$C$22:$AC$31,27,FALSE)-VLOOKUP($C$56,'DB animal categories'!$C$22:$AC$31,25,FALSE)*VLOOKUP($C$56,'DB animal categories'!$C$22:$AC$31,26,FALSE)/24)*F57/100*VLOOKUP(D57,'DB technologies'!$N$27:$R$38,5,FALSE)/100)))</f>
        <v/>
      </c>
      <c r="AD57" s="261" t="str">
        <f>IF($C$56=0,"",IF('Calc (ex-animal)'!$F$8=1,"",IF(D57="","",VLOOKUP($C$56,'Calc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categories'!$C$22:$AC$31,26,FALSE)/24)*F57/100*VLOOKUP(D57,'DB technologies'!$N$27:$Y$38,6,FALSE)/100)))</f>
        <v/>
      </c>
      <c r="AE57" s="262" t="str">
        <f>IF($C$56=0,"",IF('Calc (ex-animal)'!$F$8=1,"",IF(D57="","",VLOOKUP($C$56,'Calc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categories'!$C$22:$AC$31,26,FALSE)/24)*F57/100*VLOOKUP(D57,'DB technologies'!$N$27:$Y$38,7,FALSE)/100)))</f>
        <v/>
      </c>
      <c r="AG57" s="695"/>
      <c r="AH57" s="696"/>
      <c r="AI57" s="181" t="str">
        <f>IF(D57="","",VLOOKUP(D57,'DB technologies'!$N$27:$Y$38,10,FALSE))</f>
        <v/>
      </c>
      <c r="AJ57" s="449" t="e">
        <f>VLOOKUP($C$56,'DB animal categories'!$C$22:$AN$31,27,FALSE)-VLOOKUP($C$56,'DB animal categories'!$C$22:$AN$31,26,FALSE)*VLOOKUP($C$56,'DB animal categories'!$C$22:$AN$31,25,FALSE)/24</f>
        <v>#N/A</v>
      </c>
      <c r="AK57" s="442" t="str">
        <f>IF(AI57="","",AL57+AM57)</f>
        <v/>
      </c>
      <c r="AL57" s="442" t="str">
        <f>IF(D57="","",IF(AI57=2,(('Calc (ex-animal)'!$G$16*'DB additional information '!$K$5/100*(1-VLOOKUP(D57,'DB technologies'!$N$27:$Y$38,9,FALSE)/100)*'Calc (ex-housing, ex-storage)'!F57/100+'Calc (ex-animal)'!$H$16*'DB additional information '!$L$5/100*(1-VLOOKUP(D57,'DB technologies'!$N$27:$Y$38,9,FALSE)/100)*'Calc (ex-housing, ex-storage)'!F57/100))/VLOOKUP($C$56,'DB animal categories'!$C$22:$AC$31,27,FALSE)*AJ57+I57+J57+K57,IF(AI57=1,('Calc (ex-animal)'!$H$16*'DB additional information '!$L$5/100*(1-VLOOKUP(D57,'DB technologies'!$N$27:$Y$38,9,FALSE)/100)*'Calc (ex-housing, ex-storage)'!F57/100)/VLOOKUP($C$56,'DB animal categories'!$C$22:$AC$31,27,FALSE)*AJ57,IF(AI57=4,('Calc (ex-animal)'!$G$16*'DB additional information '!$K$5/100+'Calc (ex-animal)'!$H$16*'DB additional information '!$L$5/100)*(1-VLOOKUP(D57,'DB technologies'!$N$27:$Y$38,9,FALSE)/100)*'Calc (ex-housing, ex-storage)'!F57/100*VLOOKUP(D57,'DB technologies'!$N$27:$Y$38,11,FALSE)/100/VLOOKUP($C$56,'DB animal categories'!$C$22:$AC$31,27,FALSE)*AJ57,0))))</f>
        <v/>
      </c>
      <c r="AM57" s="442" t="str">
        <f>IF(D57="","",IF(AI57=2,(('Calc (ex-animal)'!$G$16*(1-'DB additional information '!$K$5/100)*(1-VLOOKUP(D57,'DB technologies'!$N$27:$Y$38,8,FALSE)/100)*'Calc (ex-housing, ex-storage)'!F57/100+'Calc (ex-animal)'!$H$16*(1-'DB additional information '!$L$5/100)*(1-VLOOKUP(D57,'DB technologies'!$N$27:$Y$38,8,FALSE)/100)*'Calc (ex-housing, ex-storage)'!F57/100))/VLOOKUP($C$56,'DB animal categories'!$C$22:$AC$31,27,FALSE)*AJ57+M57+N57+O57,IF(AI57=1,('Calc (ex-animal)'!$H$16*(1-'DB additional information '!$L$5/100)*(1-VLOOKUP(D57,'DB technologies'!$N$27:$Y$38,8,FALSE)/100)*'Calc (ex-housing, ex-storage)'!F57/100)/VLOOKUP($C$56,'DB animal categories'!$C$22:$AC$31,27,FALSE)*AJ57,IF(AI57=4,('Calc (ex-animal)'!$G$16*(1-'DB additional information '!$K$5/100)+'Calc (ex-animal)'!$H$16*(1-'DB additional information '!$L$5/100))*(1-VLOOKUP(D57,'DB technologies'!$N$27:$Y$38,8,FALSE)/100)*'Calc (ex-housing, ex-storage)'!F57/100*VLOOKUP(D57,'DB technologies'!$N$27:$Y$38,11,FALSE)/100/VLOOKUP($C$56,'DB animal categories'!$C$22:$AC$31,27,FALSE)*AJ57,0))))</f>
        <v/>
      </c>
      <c r="AN57" s="442" t="str">
        <f>IF(AI57="","",IF(AL57=0,0,AL57/AK57*100))</f>
        <v/>
      </c>
      <c r="AO57" s="182" t="str">
        <f>IF(D57="","",IF(AI57=2,(('Calc (ex-animal)'!$L$16*'Calc (ex-housing, ex-storage)'!F57/100+'Calc (ex-animal)'!$K$16*'Calc (ex-housing, ex-storage)'!F57/100))/VLOOKUP($C$56,'DB animal categories'!$C$22:$AC$31,27,FALSE)*AJ57+Q57+R57+S57-AC57,IF(AI57=1,('Calc (ex-animal)'!$L$16*'Calc (ex-housing, ex-storage)'!F57/100)/VLOOKUP($C$56,'DB animal categories'!$C$22:$AC$31,27,FALSE)*AJ57-'Calc (ex-housing, ex-storage)'!AC57,IF(AI57=4,('Calc (ex-animal)'!$L$16+'Calc (ex-animal)'!$K$16)*'Calc (ex-housing, ex-storage)'!F57/100*VLOOKUP(D57,'DB technologies'!$N$27:$Y$38,11,FALSE)/100/VLOOKUP($C$56,'DB animal categories'!$C$22:$AC$31,27,FALSE)*AJ57-AC57*VLOOKUP(D57,'DB technologies'!$N$27:$Y$38,11,FALSE)/100,0))))</f>
        <v/>
      </c>
      <c r="AP57" s="182" t="str">
        <f>IF(D57="","",IF(AO57&lt;-0.01,0,IF(AI57=2,(('Calc (ex-animal)'!$L$16*'Calc (ex-housing, ex-storage)'!F57/100+'Calc (ex-animal)'!$K$16*'Calc (ex-housing, ex-storage)'!F57/100))/VLOOKUP($C$56,'DB animal categories'!$C$22:$AC$31,27,FALSE)*AJ57+Q57+R57+S57-AC57,IF(AI57=1,('Calc (ex-animal)'!$L$16*'Calc (ex-housing, ex-storage)'!F57/100)/VLOOKUP($C$56,'DB animal categories'!$C$22:$AC$31,27,FALSE)*AJ57-'Calc (ex-housing, ex-storage)'!AC57,IF(AI57=4,('Calc (ex-animal)'!$L$16+'Calc (ex-animal)'!$K$16)*'Calc (ex-housing, ex-storage)'!F57/100*VLOOKUP(D57,'DB technologies'!$N$27:$Y$38,11,FALSE)/100/VLOOKUP($C$56,'DB animal categories'!$C$22:$AC$31,27,FALSE)*AJ57-AC57*VLOOKUP(D57,'DB technologies'!$N$27:$Y$38,11,FALSE)/100,0)))))</f>
        <v/>
      </c>
      <c r="AQ57" s="182" t="str">
        <f>IF(D57="","",IF(AI57=2,('Calc (ex-animal)'!$O$16*'Calc (ex-housing, ex-storage)'!F57/100+'Calc (ex-animal)'!$N$16*'Calc (ex-housing, ex-storage)'!F57/100)/VLOOKUP($C$56,'DB animal categories'!$C$22:$AC$31,27,FALSE)*AJ57+U57+V57+W57,IF(AI57=1,'Calc (ex-animal)'!$O$16*'Calc (ex-housing, ex-storage)'!F57/100/VLOOKUP($C$56,'DB animal categories'!$C$22:$AC$31,27,FALSE)*AJ57,IF(AI57=4,('Calc (ex-animal)'!$O$16+'Calc (ex-animal)'!$N$16)*'Calc (ex-housing, ex-storage)'!F57/100*VLOOKUP(D57,'DB technologies'!$N$27:$Y$38,11,FALSE)/100/VLOOKUP($C$56,'DB animal categories'!$C$22:$AC$31,27,FALSE)*AJ57,0))))</f>
        <v/>
      </c>
      <c r="AR57" s="182" t="str">
        <f>IF(D57="","",IF(AI57=2,('Calc (ex-animal)'!$R$16*'Calc (ex-housing, ex-storage)'!F57/100+'Calc (ex-animal)'!$Q$16*'Calc (ex-housing, ex-storage)'!F57/100)/VLOOKUP($C$56,'DB animal categories'!$C$22:$AC$31,27,FALSE)*AJ57+Y57+Z57+AA57,IF(AI57=1,'Calc (ex-animal)'!$R$16*'Calc (ex-housing, ex-storage)'!F57/100/VLOOKUP($C$56,'DB animal categories'!$C$22:$AC$31,27,FALSE)*AJ57,IF(AI57=4,('Calc (ex-animal)'!$R$16+'Calc (ex-animal)'!$Q$16)*'Calc (ex-housing, ex-storage)'!F57/100*VLOOKUP(D57,'DB technologies'!$N$27:$Y$38,11,FALSE)/100/VLOOKUP($C$56,'DB animal categories'!$C$22:$AC$31,27,FALSE)*AJ57,0))))</f>
        <v/>
      </c>
      <c r="AS57" s="181" t="str">
        <f>IF(D57="","",VLOOKUP(D57,'DB technologies'!$N$27:$Y$38,10,FALSE))</f>
        <v/>
      </c>
      <c r="AT57" s="442" t="str">
        <f>IF(AS57="","",AU57+AV57)</f>
        <v/>
      </c>
      <c r="AU57" s="442" t="str">
        <f>IF(D57="","",IF(AS57=2,0,IF(AS57=1,'Calc (ex-animal)'!$G$16*'DB additional information '!$K$5/100*(1-VLOOKUP(D57,'DB technologies'!$N$27:$Y$38,8,FALSE)/100)*'Calc (ex-housing, ex-storage)'!F57/100/VLOOKUP($C$56,'DB animal categories'!$C$22:$AC$31,27,FALSE)*AJ57+I57+J57+K57,IF(AS57=5,(('Calc (ex-animal)'!$G$16*'DB additional information '!$K$5/100+'Calc (ex-animal)'!$H$16*'DB additional information '!$L$5/100))*(1-VLOOKUP(D57,'DB technologies'!$N$27:$Y$38,9,FALSE)/100)*'Calc (ex-housing, ex-storage)'!F57/100/VLOOKUP($C$56,'DB animal categories'!$C$22:$AC$31,27,FALSE)*AJ57+I57+J57+K57,IF(AS57=3,('Calc (ex-animal)'!$G$16*'DB additional information '!$K$5/100+'Calc (ex-animal)'!$H$16*'DB additional information '!$L$5/100)*(1-VLOOKUP(D57,'DB technologies'!$N$27:$Y$38,9,FALSE)/100)*'Calc (ex-housing, ex-storage)'!F57/100/VLOOKUP($C$56,'DB animal categories'!$C$22:$AC$31,27,FALSE)*AJ57+I57+J57+K57,IF(AS57=4,('Calc (ex-animal)'!$G$16*'DB additional information '!$K$5/100+'Calc (ex-animal)'!$H$16*'DB additional information '!$L$5/100)*(1-VLOOKUP(D57,'DB technologies'!$N$27:$Y$38,9,FALSE)/100)*'Calc (ex-housing, ex-storage)'!F57/100*VLOOKUP(D57,'DB technologies'!$N$27:$Y$38,12,FALSE)/100/VLOOKUP($C$56,'DB animal categories'!$C$22:$AC$31,27,FALSE)*AJ57+I57+J57+K57,0))))))</f>
        <v/>
      </c>
      <c r="AV57" s="442" t="str">
        <f>IF(D57="","",IF(AS57=2,0,IF(AS57=1,'Calc (ex-animal)'!$G$16*(1-'DB additional information '!$K$5/100)*(1-VLOOKUP(D57,'DB technologies'!$N$27:$Y$38,8,FALSE)/100)*'Calc (ex-housing, ex-storage)'!F57/100/VLOOKUP($C$56,'DB animal categories'!$C$22:$AC$31,27,FALSE)*AJ57+M57+N57+O57,IF(AS57=5,('Calc (ex-animal)'!$G$16*(1-'DB additional information '!$K$5/100)+'Calc (ex-animal)'!$H$16*(1-'DB additional information '!$L$5/100))*(1-VLOOKUP(D57,'DB technologies'!$N$27:$Y$38,8,FALSE)/100)*'Calc (ex-housing, ex-storage)'!F57/100/VLOOKUP($C$56,'DB animal categories'!$C$22:$AC$31,27,FALSE)*AJ57+M57+N57+O57,IF(AS57=3,('Calc (ex-animal)'!$G$16*(1-'DB additional information '!$K$5/100)+'Calc (ex-animal)'!$H$16*(1-'DB additional information '!$L$5/100))*(1-VLOOKUP(D57,'DB technologies'!$N$27:$Y$38,8,FALSE)/100)*'Calc (ex-housing, ex-storage)'!F57/100/VLOOKUP($C$56,'DB animal categories'!$C$22:$AC$31,27,FALSE)*AJ57+M57+N57+O57,IF(AS57=4,('Calc (ex-animal)'!$G$16*(1-'DB additional information '!$K$5/100)+'Calc (ex-animal)'!$H$16*(1-'DB additional information '!$L$5/100))*(1-VLOOKUP(D57,'DB technologies'!$N$27:$Y$38,8,FALSE)/100)*'Calc (ex-housing, ex-storage)'!F57/100*VLOOKUP(D57,'DB technologies'!$N$27:$Y$38,12,FALSE)/100/VLOOKUP($C$56,'DB animal categories'!$C$22:$AC$31,27,FALSE)*AJ57+M57+N57+O57,0))))))</f>
        <v/>
      </c>
      <c r="AW57" s="442" t="str">
        <f>IF(AS57="","",IF(AU57=0,0,AU57/AT57*100))</f>
        <v/>
      </c>
      <c r="AX57" s="182" t="str">
        <f>IF(D57="","",IF(AS57=2,0,IF(AS57=1,'Calc (ex-animal)'!$K$16*'Calc (ex-housing, ex-storage)'!F57/100/VLOOKUP($C$56,'DB animal categories'!$C$22:$AC$31,27,FALSE)*AJ57+Q57+R57+S57,IF(AS57=5,('Calc (ex-animal)'!$K$16+'Calc (ex-animal)'!$L$16)*'Calc (ex-housing, ex-storage)'!F57/100/VLOOKUP($C$56,'DB animal categories'!$C$22:$AC$31,27,FALSE)*AJ57+Q57+R57+S57-'Calc (ex-housing, ex-storage)'!AC57,IF(AS57=3,('Calc (ex-animal)'!$K$16+'Calc (ex-animal)'!$L$16)*'Calc (ex-housing, ex-storage)'!F57/100/VLOOKUP($C$56,'DB animal categories'!$C$22:$AC$31,27,FALSE)*AJ57+Q57+R57+S57-'Calc (ex-housing, ex-storage)'!AC57-AD57-AE57,IF(AI57=4,('Calc (ex-animal)'!$K$16+'Calc (ex-animal)'!$L$16)*'Calc (ex-housing, ex-storage)'!F57/100*VLOOKUP(D57,'DB technologies'!$N$27:$Y$38,12,FALSE)/100/VLOOKUP($C$56,'DB animal categories'!$C$22:$AC$31,27,FALSE)*AJ57+Q57+R57+S57-(VLOOKUP(D57,'DB technologies'!$N$27:$Y$38,12,FALSE)/100*AC57)-AD57-AE57,0))))))</f>
        <v/>
      </c>
      <c r="AY57" s="182" t="str">
        <f>IF(D57="","",IF(AS57=2,0,IF(AS57=1,'Calc (ex-animal)'!$N$16*'Calc (ex-housing, ex-storage)'!F57/100/VLOOKUP($C$56,'DB animal categories'!$C$22:$AC$31,27,FALSE)*AJ57+U57+V57+W57,IF(AS57=5,('Calc (ex-animal)'!$N$16+'Calc (ex-animal)'!$O$16)*'Calc (ex-housing, ex-storage)'!F57/100/VLOOKUP($C$56,'DB animal categories'!$C$22:$AC$31,27,FALSE)*AJ57+U57+V57+W57,IF(AS57=3,('Calc (ex-animal)'!$N$16+'Calc (ex-animal)'!$O$16)*'Calc (ex-housing, ex-storage)'!F57/100/VLOOKUP($C$56,'DB animal categories'!$C$22:$AC$31,27,FALSE)*AJ57+U57+V57+W57,IF(AS57=4,('Calc (ex-animal)'!$N$16+'Calc (ex-animal)'!$O$16)*'Calc (ex-housing, ex-storage)'!F57/100*VLOOKUP(D57,'DB technologies'!$N$27:$Y$38,12,FALSE)/100/VLOOKUP($C$56,'DB animal categories'!$C$22:$AC$31,27,FALSE)*AJ57+U57+V57+W57,0))))))</f>
        <v/>
      </c>
      <c r="AZ57" s="182" t="str">
        <f>IF(D57="","",IF(AS57=2,0,IF(AS57=1,'Calc (ex-animal)'!$Q$16*'Calc (ex-housing, ex-storage)'!F57/100/VLOOKUP($C$56,'DB animal categories'!$C$22:$AC$31,27,FALSE)*AJ57+Y57+Z57+AA57,IF(AS57=5,('Calc (ex-animal)'!$Q$16+'Calc (ex-animal)'!$R$16)*'Calc (ex-housing, ex-storage)'!F57/100/VLOOKUP($C$56,'DB animal categories'!$C$22:$AC$31,27,FALSE)*AJ57+Y57+Z57+AA57,IF(AS57=3,('Calc (ex-animal)'!$Q$16+'Calc (ex-animal)'!$R$16)*'Calc (ex-housing, ex-storage)'!F57/100/VLOOKUP($C$56,'DB animal categories'!$C$22:$AC$31,27,FALSE)*AJ57+Y57+Z57+AA57,IF(AS57=4,('Calc (ex-animal)'!$Q$16+'Calc (ex-animal)'!$R$16)*'Calc (ex-housing, ex-storage)'!F57/100*VLOOKUP(D57,'DB technologies'!$N$27:$Y$38,12,FALSE)/100/VLOOKUP($C$56,'DB animal categories'!$C$22:$AC$31,27,FALSE)*AJ57+Y57+Z57+AA57,0))))))</f>
        <v/>
      </c>
      <c r="BA57" s="506"/>
      <c r="BB57" s="506"/>
      <c r="BC57" s="506"/>
      <c r="BG57" s="556" t="s">
        <v>58</v>
      </c>
      <c r="BH57" s="315">
        <f>IF(SUM(BH52:BH56) &gt;100,"ERROR, SUM&gt;100%",SUM(BH52:BH56))</f>
        <v>0</v>
      </c>
      <c r="BI57" s="602">
        <f>SUM(BI52:BI56)</f>
        <v>0</v>
      </c>
      <c r="BJ57" s="593">
        <f>SUM(BJ52:BJ56)</f>
        <v>0</v>
      </c>
      <c r="BK57" s="597">
        <f>IF(BI57=0,0,BJ57/BI57*100)</f>
        <v>0</v>
      </c>
      <c r="BL57" s="290">
        <f t="shared" ref="BL57:BQ57" si="8">SUM(BL52:BL56)</f>
        <v>0</v>
      </c>
      <c r="BM57" s="307">
        <f t="shared" si="8"/>
        <v>0</v>
      </c>
      <c r="BN57" s="307">
        <f t="shared" si="8"/>
        <v>0</v>
      </c>
      <c r="BO57" s="307">
        <f t="shared" si="8"/>
        <v>0</v>
      </c>
      <c r="BP57" s="307">
        <f t="shared" si="8"/>
        <v>0</v>
      </c>
      <c r="BQ57" s="308">
        <f t="shared" si="8"/>
        <v>0</v>
      </c>
      <c r="BR57" s="309">
        <f>SUM(BR52:BR56)</f>
        <v>0</v>
      </c>
      <c r="BS57" s="307">
        <f>SUM(BS52:BS56)</f>
        <v>0</v>
      </c>
      <c r="BT57" s="308">
        <f>SUM(BT52:BT56)</f>
        <v>0</v>
      </c>
    </row>
    <row r="58" spans="1:72" ht="11.25" customHeight="1" x14ac:dyDescent="0.2">
      <c r="A58" s="684"/>
      <c r="B58" s="695"/>
      <c r="C58" s="251"/>
      <c r="D58" s="1357"/>
      <c r="E58" s="1358"/>
      <c r="F58" s="480" t="str">
        <f>IF('Calc (ex-animal)'!$F$9=1,"",IF($C$56=0,"",IF(D58="","",E58/'Calc (ex-animal)'!$E$16*100)))</f>
        <v/>
      </c>
      <c r="G58" s="485" t="str">
        <f>IF($C$56=0,"",IF('Calc (ex-animal)'!$F$8=1,"",IF(D58="","",SUM(H58:O58))))</f>
        <v/>
      </c>
      <c r="H58" s="423" t="str">
        <f>IF('Calc (ex-animal)'!$F$8=1,"",IF(D58="","",(((VLOOKUP($C$56,'Calc (ex-animal)'!$D$13:$Y$17,6,FALSE)-VLOOKUP($C$56,'Calc (ex-animal)'!$D$13:$Y$17,17,FALSE))*F58/100))*VLOOKUP($C$56,'Calc (ex-animal)'!$D$13:$Y$17,7,FALSE)/100*(1-VLOOKUP(D58,'DB technologies'!$N$27:$Y$38,9,FALSE)/100)))</f>
        <v/>
      </c>
      <c r="I58" s="423" t="str">
        <f>IF(D58="","",((VLOOKUP(D58,'DB technologies'!$N$27:$Y$38,2,FALSE)*VLOOKUP($C$56,'DB animal categories'!$C$22:$AC$31,27,FALSE)*E58/1000)/VLOOKUP($C$56,'DB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'!$S$6/100*(1-VLOOKUP(D58,'DB technologies'!$N$27:$Y$38,9,FALSE)/100)))</f>
        <v/>
      </c>
      <c r="J58" s="434" t="str">
        <f>IF(D58="","",((VLOOKUP(D58,'DB technologies'!$N$27:$Y$38,3,FALSE)*VLOOKUP($C$56,'DB animal categories'!$C$22:$AC$31,27,FALSE)*E58/1000)/VLOOKUP($C$56,'DB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'!$S$7/100*(1-VLOOKUP(D58,'DB technologies'!$N$27:$Y$38,9,FALSE)/100)))</f>
        <v/>
      </c>
      <c r="K58" s="434" t="str">
        <f>IF(D58="","",((VLOOKUP(D58,'DB technologies'!$N$27:$Y$38,4,FALSE)*E58*'DB additional information '!$S$8/100*(1-VLOOKUP(D58,'DB technologies'!$N$27:$Y$38,9,FALSE)/100))/VLOOKUP($C$56,'DB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L58" s="423" t="str">
        <f>IF('Calc (ex-animal)'!$F$8=1,"",IF(D58="","",(((VLOOKUP($C$56,'Calc (ex-animal)'!$D$13:$Y$17,6,FALSE)-VLOOKUP($C$56,'Calc (ex-animal)'!$D$13:$Y$17,17,FALSE))*F58/100))*(1-VLOOKUP($C$56,'Calc (ex-animal)'!$D$13:$Y$17,7,FALSE)/100)*(1-VLOOKUP(D58,'DB technologies'!$N$27:$V$38,8,FALSE)/100)))</f>
        <v/>
      </c>
      <c r="M58" s="434" t="str">
        <f>IF(D58="","",((VLOOKUP(D58,'DB technologies'!$N$27:$Y$38,2,FALSE)*VLOOKUP($C$56,'DB animal categories'!$C$22:$AC$31,27,FALSE)*E58/1000)/VLOOKUP($C$56,'DB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'!$S$6/100)*(1-VLOOKUP(D58,'DB technologies'!$N$27:$Y$38,9,FALSE)/100))</f>
        <v/>
      </c>
      <c r="N58" s="434" t="str">
        <f>IF(D58="","",((VLOOKUP(D58,'DB technologies'!$N$27:$Y$38,3,FALSE)*VLOOKUP($C$56,'DB animal categories'!$C$22:$AC$31,27,FALSE)*E58/1000)/VLOOKUP($C$56,'DB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'!$S$7/100)*(1-VLOOKUP(D58,'DB technologies'!$N$27:$Y$38,9,FALSE)/100))</f>
        <v/>
      </c>
      <c r="O58" s="423" t="str">
        <f>IF(D58="","",((VLOOKUP(D58,'DB technologies'!$N$27:$Y$38,4,FALSE)*E58*(1-'DB additional information '!$S$8/100)*(1-VLOOKUP(D58,'DB technologies'!$N$27:$Y$38,8,FALSE)/100))/VLOOKUP($C$56,'DB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P58" s="438" t="str">
        <f>IF(G58=0,0,IF(E58="","",IF(F58="","",IF($C$56=0,"",IF(D58="","",SUM(H58:K58)/G58*100)))))</f>
        <v/>
      </c>
      <c r="Q58" s="416" t="str">
        <f>IF(D58="","",(VLOOKUP(D58,'DB technologies'!$N$27:$Y$38,2,FALSE)*'DB additional information '!$S$6/100*'DB additional information '!$T$6*VLOOKUP($C$56,'DB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R58" s="416" t="str">
        <f>IF(D58="","",(VLOOKUP(D58,'DB technologies'!$N$27:$Y$38,3,FALSE)*'DB additional information '!$S$7/100*'DB additional information '!$T$7*VLOOKUP($C$56,'DB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S58" s="491" t="str">
        <f>IF(D58="","",(VLOOKUP(D58,'DB technologies'!$N$27:$Y$38,4,FALSE)*('DB additional information '!$S$8/100*'DB additional information '!$T$8*E58/1000/1000)))</f>
        <v/>
      </c>
      <c r="T58" s="264" t="str">
        <f>IF($C$56=0,"",IF('Calc (ex-animal)'!$F$9=1,"",IF(D58="","",((VLOOKUP($C$56,'Calc (ex-animal)'!$D$13:$Y$17,10,FALSE)-VLOOKUP($C$56,'Calc (ex-animal)'!$D$13:$Y$17,18,FALSE))*F58/100+Q58+R58+S58)-AC58-AD58-AE58)))</f>
        <v/>
      </c>
      <c r="U58" s="422" t="str">
        <f>IF(D58="","",(VLOOKUP(D58,'DB technologies'!$N$27:$Y$38,2,FALSE)*'DB additional information '!$S$6/100*'DB additional information '!$U$6*VLOOKUP($C$56,'DB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V58" s="418" t="str">
        <f>IF(D58="","",(VLOOKUP(D58,'DB technologies'!$N$27:$Y$38,3,FALSE)*'DB additional information '!$S$7/100*'DB additional information '!$U$7*VLOOKUP($C$56,'DB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W58" s="417" t="str">
        <f>IF(D58="","",(VLOOKUP(D58,'DB technologies'!$N$27:$Y$38,4,FALSE)*('DB additional information '!$S$8/100*'DB additional information '!$U$8*E58/1000/1000)))</f>
        <v/>
      </c>
      <c r="X58" s="261" t="str">
        <f>IF($C$56=0,"",IF('Calc (ex-animal)'!$F$9=1,"",IF(D58="","",((VLOOKUP($C$56,'Calc (ex-animal)'!$D$13:$Y$17,13,FALSE)-VLOOKUP($C$56,'Calc (ex-animal)'!$D$13:$Y$17,19,FALSE))*F58/100+U58+V58+W58))))</f>
        <v/>
      </c>
      <c r="Y58" s="418" t="str">
        <f>IF(D58="","",(VLOOKUP(D58,'DB technologies'!$N$27:$Y$38,2,FALSE)*'DB additional information '!$S$6/100*'DB additional information '!$V$6*VLOOKUP($C$56,'DB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Z58" s="418" t="str">
        <f>IF(D58="","",(VLOOKUP(D58,'DB technologies'!$N$27:$Y$38,3,FALSE)*'DB additional information '!$S$7/100*'DB additional information '!$V$7*VLOOKUP($C$56,'DB animal categories'!$C$22:$AC$31,27,FALSE)*E58/1000/1000)/VLOOKUP($C$56,'DB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AA58" s="418" t="str">
        <f>IF(D58="","",(VLOOKUP(D58,'DB technologies'!$N$27:$Y$38,4,FALSE)*('DB additional information '!$S$8/100*'DB additional information '!$V$8*E58/1000/1000)))</f>
        <v/>
      </c>
      <c r="AB58" s="261" t="str">
        <f>IF($C$56=0,"",IF('Calc (ex-animal)'!$F$8=1,"",IF(D58="","",((VLOOKUP($C$56,'Calc (ex-animal)'!$D$13:$Y$17,16,FALSE)-VLOOKUP($C$56,'Calc (ex-animal)'!$D$13:$Y$17,20,FALSE))*F58/100+Y58+Z58+AA58))))</f>
        <v/>
      </c>
      <c r="AC58" s="261" t="str">
        <f>IF($C$56=0,"",IF('Calc (ex-animal)'!$F$8=1,"",IF(D58="","",VLOOKUP($C$56,'Calc (ex-animal)'!$D$13:$Y$17,9,FALSE)/VLOOKUP($C$56,'DB animal categories'!$C$22:$AC$31,27,FALSE)*(VLOOKUP($C$56,'DB animal categories'!$C$22:$AC$31,27,FALSE)-VLOOKUP($C$56,'DB animal categories'!$C$22:$AC$31,25,FALSE)*VLOOKUP($C$56,'DB animal categories'!$C$22:$AC$31,26,FALSE)/24)*F58/100*VLOOKUP(D58,'DB technologies'!$N$27:$R$38,5,FALSE)/100)))</f>
        <v/>
      </c>
      <c r="AD58" s="261" t="str">
        <f>IF($C$56=0,"",IF('Calc (ex-animal)'!$F$8=1,"",IF(D58="","",VLOOKUP($C$56,'Calc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categories'!$C$22:$AC$31,26,FALSE)/24)*F58/100*VLOOKUP(D58,'DB technologies'!$N$27:$Y$38,6,FALSE)/100)))</f>
        <v/>
      </c>
      <c r="AE58" s="262" t="str">
        <f>IF($C$56=0,"",IF('Calc (ex-animal)'!$F$8=1,"",IF(D58="","",VLOOKUP($C$56,'Calc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categories'!$C$22:$AC$31,26,FALSE)/24)*F58/100*VLOOKUP(D58,'DB technologies'!$N$27:$Y$38,7,FALSE)/100)))</f>
        <v/>
      </c>
      <c r="AG58" s="695"/>
      <c r="AH58" s="694" t="s">
        <v>130</v>
      </c>
      <c r="AI58" s="181" t="str">
        <f>IF(D58="","",VLOOKUP(D58,'DB technologies'!$N$27:$Y$38,10,FALSE))</f>
        <v/>
      </c>
      <c r="AJ58" s="449" t="e">
        <f>VLOOKUP($C$56,'DB animal categories'!$C$22:$AN$31,27,FALSE)-VLOOKUP($C$56,'DB animal categories'!$C$22:$AN$31,26,FALSE)*VLOOKUP($C$56,'DB animal categories'!$C$22:$AN$31,25,FALSE)/24</f>
        <v>#N/A</v>
      </c>
      <c r="AK58" s="442" t="str">
        <f>IF(AI58="","",AL58+AM58)</f>
        <v/>
      </c>
      <c r="AL58" s="442" t="str">
        <f>IF(D58="","",IF(AI58=2,(('Calc (ex-animal)'!$G$16*'DB additional information '!$K$5/100*(1-VLOOKUP(D58,'DB technologies'!$N$27:$Y$38,9,FALSE)/100)*'Calc (ex-housing, ex-storage)'!F58/100+'Calc (ex-animal)'!$H$16*'DB additional information '!$L$5/100*(1-VLOOKUP(D58,'DB technologies'!$N$27:$Y$38,9,FALSE)/100)*'Calc (ex-housing, ex-storage)'!F58/100))/VLOOKUP($C$56,'DB animal categories'!$C$22:$AC$31,27,FALSE)*AJ58+I58+J58+K58,IF(AI58=1,('Calc (ex-animal)'!$H$16*'DB additional information '!$L$5/100*(1-VLOOKUP(D58,'DB technologies'!$N$27:$Y$38,9,FALSE)/100)*'Calc (ex-housing, ex-storage)'!F58/100)/VLOOKUP($C$56,'DB animal categories'!$C$22:$AC$31,27,FALSE)*AJ58,IF(AI58=4,('Calc (ex-animal)'!$G$16*'DB additional information '!$K$5/100+'Calc (ex-animal)'!$H$16*'DB additional information '!$L$5/100)*(1-VLOOKUP(D58,'DB technologies'!$N$27:$Y$38,9,FALSE)/100)*'Calc (ex-housing, ex-storage)'!F58/100*VLOOKUP(D58,'DB technologies'!$N$27:$Y$38,11,FALSE)/100/VLOOKUP($C$56,'DB animal categories'!$C$22:$AC$31,27,FALSE)*AJ58,0))))</f>
        <v/>
      </c>
      <c r="AM58" s="442" t="str">
        <f>IF(D58="","",IF(AI58=2,(('Calc (ex-animal)'!$G$16*(1-'DB additional information '!$K$5/100)*(1-VLOOKUP(D58,'DB technologies'!$N$27:$Y$38,8,FALSE)/100)*'Calc (ex-housing, ex-storage)'!F58/100+'Calc (ex-animal)'!$H$16*(1-'DB additional information '!$L$5/100)*(1-VLOOKUP(D58,'DB technologies'!$N$27:$Y$38,8,FALSE)/100)*'Calc (ex-housing, ex-storage)'!F58/100))/VLOOKUP($C$56,'DB animal categories'!$C$22:$AC$31,27,FALSE)*AJ58+M58+N58+O58,IF(AI58=1,('Calc (ex-animal)'!$H$16*(1-'DB additional information '!$L$5/100)*(1-VLOOKUP(D58,'DB technologies'!$N$27:$Y$38,8,FALSE)/100)*'Calc (ex-housing, ex-storage)'!F58/100)/VLOOKUP($C$56,'DB animal categories'!$C$22:$AC$31,27,FALSE)*AJ58,IF(AI58=4,('Calc (ex-animal)'!$G$16*(1-'DB additional information '!$K$5/100)+'Calc (ex-animal)'!$H$16*(1-'DB additional information '!$L$5/100))*(1-VLOOKUP(D58,'DB technologies'!$N$27:$Y$38,8,FALSE)/100)*'Calc (ex-housing, ex-storage)'!F58/100*VLOOKUP(D58,'DB technologies'!$N$27:$Y$38,11,FALSE)/100/VLOOKUP($C$56,'DB animal categories'!$C$22:$AC$31,27,FALSE)*AJ58,0))))</f>
        <v/>
      </c>
      <c r="AN58" s="442" t="str">
        <f>IF(AI58="","",IF(AL58=0,0,AL58/AK58*100))</f>
        <v/>
      </c>
      <c r="AO58" s="182" t="str">
        <f>IF(D58="","",IF(AI58=2,(('Calc (ex-animal)'!$L$16*'Calc (ex-housing, ex-storage)'!F58/100+'Calc (ex-animal)'!$K$16*'Calc (ex-housing, ex-storage)'!F58/100))/VLOOKUP($C$56,'DB animal categories'!$C$22:$AC$31,27,FALSE)*AJ58+Q58+R58+S58-AC58,IF(AI58=1,('Calc (ex-animal)'!$L$16*'Calc (ex-housing, ex-storage)'!F58/100)/VLOOKUP($C$56,'DB animal categories'!$C$22:$AC$31,27,FALSE)*AJ58-'Calc (ex-housing, ex-storage)'!AC58,IF(AI58=4,('Calc (ex-animal)'!$L$16+'Calc (ex-animal)'!$K$16)*'Calc (ex-housing, ex-storage)'!F58/100*VLOOKUP(D58,'DB technologies'!$N$27:$Y$38,11,FALSE)/100/VLOOKUP($C$56,'DB animal categories'!$C$22:$AC$31,27,FALSE)*AJ58-AC58*VLOOKUP(D58,'DB technologies'!$N$27:$Y$38,11,FALSE)/100,0))))</f>
        <v/>
      </c>
      <c r="AP58" s="182" t="str">
        <f>IF(D58="","",IF(AO58&lt;-0.01,0,IF(AI58=2,(('Calc (ex-animal)'!$L$16*'Calc (ex-housing, ex-storage)'!F58/100+'Calc (ex-animal)'!$K$16*'Calc (ex-housing, ex-storage)'!F58/100))/VLOOKUP($C$56,'DB animal categories'!$C$22:$AC$31,27,FALSE)*AJ58+Q58+R58+S58-AC58,IF(AI58=1,('Calc (ex-animal)'!$L$16*'Calc (ex-housing, ex-storage)'!F58/100)/VLOOKUP($C$56,'DB animal categories'!$C$22:$AC$31,27,FALSE)*AJ58-'Calc (ex-housing, ex-storage)'!AC58,IF(AI58=4,('Calc (ex-animal)'!$L$16+'Calc (ex-animal)'!$K$16)*'Calc (ex-housing, ex-storage)'!F58/100*VLOOKUP(D58,'DB technologies'!$N$27:$Y$38,11,FALSE)/100/VLOOKUP($C$56,'DB animal categories'!$C$22:$AC$31,27,FALSE)*AJ58-AC58*VLOOKUP(D58,'DB technologies'!$N$27:$Y$38,11,FALSE)/100,0)))))</f>
        <v/>
      </c>
      <c r="AQ58" s="182" t="str">
        <f>IF(D58="","",IF(AI58=2,('Calc (ex-animal)'!$O$16*'Calc (ex-housing, ex-storage)'!F58/100+'Calc (ex-animal)'!$N$16*'Calc (ex-housing, ex-storage)'!F58/100)/VLOOKUP($C$56,'DB animal categories'!$C$22:$AC$31,27,FALSE)*AJ58+U58+V58+W58,IF(AI58=1,'Calc (ex-animal)'!$O$16*'Calc (ex-housing, ex-storage)'!F58/100/VLOOKUP($C$56,'DB animal categories'!$C$22:$AC$31,27,FALSE)*AJ58,IF(AI58=4,('Calc (ex-animal)'!$O$16+'Calc (ex-animal)'!$N$16)*'Calc (ex-housing, ex-storage)'!F58/100*VLOOKUP(D58,'DB technologies'!$N$27:$Y$38,11,FALSE)/100/VLOOKUP($C$56,'DB animal categories'!$C$22:$AC$31,27,FALSE)*AJ58,0))))</f>
        <v/>
      </c>
      <c r="AR58" s="182" t="str">
        <f>IF(D58="","",IF(AI58=2,('Calc (ex-animal)'!$R$16*'Calc (ex-housing, ex-storage)'!F58/100+'Calc (ex-animal)'!$Q$16*'Calc (ex-housing, ex-storage)'!F58/100)/VLOOKUP($C$56,'DB animal categories'!$C$22:$AC$31,27,FALSE)*AJ58+Y58+Z58+AA58,IF(AI58=1,'Calc (ex-animal)'!$R$16*'Calc (ex-housing, ex-storage)'!F58/100/VLOOKUP($C$56,'DB animal categories'!$C$22:$AC$31,27,FALSE)*AJ58,IF(AI58=4,('Calc (ex-animal)'!$R$16+'Calc (ex-animal)'!$Q$16)*'Calc (ex-housing, ex-storage)'!F58/100*VLOOKUP(D58,'DB technologies'!$N$27:$Y$38,11,FALSE)/100/VLOOKUP($C$56,'DB animal categories'!$C$22:$AC$31,27,FALSE)*AJ58,0))))</f>
        <v/>
      </c>
      <c r="AS58" s="181" t="str">
        <f>IF(D58="","",VLOOKUP(D58,'DB technologies'!$N$27:$Y$38,10,FALSE))</f>
        <v/>
      </c>
      <c r="AT58" s="442" t="str">
        <f>IF(AS58="","",AU58+AV58)</f>
        <v/>
      </c>
      <c r="AU58" s="442" t="str">
        <f>IF(D58="","",IF(AS58=2,0,IF(AS58=1,'Calc (ex-animal)'!$G$16*'DB additional information '!$K$5/100*(1-VLOOKUP(D58,'DB technologies'!$N$27:$Y$38,8,FALSE)/100)*'Calc (ex-housing, ex-storage)'!F58/100/VLOOKUP($C$56,'DB animal categories'!$C$22:$AC$31,27,FALSE)*AJ58+I58+J58+K58,IF(AS58=5,(('Calc (ex-animal)'!$G$16*'DB additional information '!$K$5/100+'Calc (ex-animal)'!$H$16*'DB additional information '!$L$5/100))*(1-VLOOKUP(D58,'DB technologies'!$N$27:$Y$38,9,FALSE)/100)*'Calc (ex-housing, ex-storage)'!F58/100/VLOOKUP($C$56,'DB animal categories'!$C$22:$AC$31,27,FALSE)*AJ58+I58+J58+K58,IF(AS58=3,('Calc (ex-animal)'!$G$16*'DB additional information '!$K$5/100+'Calc (ex-animal)'!$H$16*'DB additional information '!$L$5/100)*(1-VLOOKUP(D58,'DB technologies'!$N$27:$Y$38,9,FALSE)/100)*'Calc (ex-housing, ex-storage)'!F58/100/VLOOKUP($C$56,'DB animal categories'!$C$22:$AC$31,27,FALSE)*AJ58+I58+J58+K58,IF(AS58=4,('Calc (ex-animal)'!$G$16*'DB additional information '!$K$5/100+'Calc (ex-animal)'!$H$16*'DB additional information '!$L$5/100)*(1-VLOOKUP(D58,'DB technologies'!$N$27:$Y$38,9,FALSE)/100)*'Calc (ex-housing, ex-storage)'!F58/100*VLOOKUP(D58,'DB technologies'!$N$27:$Y$38,12,FALSE)/100/VLOOKUP($C$56,'DB animal categories'!$C$22:$AC$31,27,FALSE)*AJ58+I58+J58+K58,0))))))</f>
        <v/>
      </c>
      <c r="AV58" s="442" t="str">
        <f>IF(D58="","",IF(AS58=2,0,IF(AS58=1,'Calc (ex-animal)'!$G$16*(1-'DB additional information '!$K$5/100)*(1-VLOOKUP(D58,'DB technologies'!$N$27:$Y$38,8,FALSE)/100)*'Calc (ex-housing, ex-storage)'!F58/100/VLOOKUP($C$56,'DB animal categories'!$C$22:$AC$31,27,FALSE)*AJ58+M58+N58+O58,IF(AS58=5,('Calc (ex-animal)'!$G$16*(1-'DB additional information '!$K$5/100)+'Calc (ex-animal)'!$H$16*(1-'DB additional information '!$L$5/100))*(1-VLOOKUP(D58,'DB technologies'!$N$27:$Y$38,8,FALSE)/100)*'Calc (ex-housing, ex-storage)'!F58/100/VLOOKUP($C$56,'DB animal categories'!$C$22:$AC$31,27,FALSE)*AJ58+M58+N58+O58,IF(AS58=3,('Calc (ex-animal)'!$G$16*(1-'DB additional information '!$K$5/100)+'Calc (ex-animal)'!$H$16*(1-'DB additional information '!$L$5/100))*(1-VLOOKUP(D58,'DB technologies'!$N$27:$Y$38,8,FALSE)/100)*'Calc (ex-housing, ex-storage)'!F58/100/VLOOKUP($C$56,'DB animal categories'!$C$22:$AC$31,27,FALSE)*AJ58+M58+N58+O58,IF(AS58=4,('Calc (ex-animal)'!$G$16*(1-'DB additional information '!$K$5/100)+'Calc (ex-animal)'!$H$16*(1-'DB additional information '!$L$5/100))*(1-VLOOKUP(D58,'DB technologies'!$N$27:$Y$38,8,FALSE)/100)*'Calc (ex-housing, ex-storage)'!F58/100*VLOOKUP(D58,'DB technologies'!$N$27:$Y$38,12,FALSE)/100/VLOOKUP($C$56,'DB animal categories'!$C$22:$AC$31,27,FALSE)*AJ58+M58+N58+O58,0))))))</f>
        <v/>
      </c>
      <c r="AW58" s="442" t="str">
        <f>IF(AS58="","",IF(AU58=0,0,AU58/AT58*100))</f>
        <v/>
      </c>
      <c r="AX58" s="182" t="str">
        <f>IF(D58="","",IF(AS58=2,0,IF(AS58=1,'Calc (ex-animal)'!$K$16*'Calc (ex-housing, ex-storage)'!F58/100/VLOOKUP($C$56,'DB animal categories'!$C$22:$AC$31,27,FALSE)*AJ58+Q58+R58+S58,IF(AS58=5,('Calc (ex-animal)'!$K$16+'Calc (ex-animal)'!$L$16)*'Calc (ex-housing, ex-storage)'!F58/100/VLOOKUP($C$56,'DB animal categories'!$C$22:$AC$31,27,FALSE)*AJ58+Q58+R58+S58-'Calc (ex-housing, ex-storage)'!AC58,IF(AS58=3,('Calc (ex-animal)'!$K$16+'Calc (ex-animal)'!$L$16)*'Calc (ex-housing, ex-storage)'!F58/100/VLOOKUP($C$56,'DB animal categories'!$C$22:$AC$31,27,FALSE)*AJ58+Q58+R58+S58-'Calc (ex-housing, ex-storage)'!AC58-AD58-AE58,IF(AI58=4,('Calc (ex-animal)'!$K$16+'Calc (ex-animal)'!$L$16)*'Calc (ex-housing, ex-storage)'!F58/100*VLOOKUP(D58,'DB technologies'!$N$27:$Y$38,12,FALSE)/100/VLOOKUP($C$56,'DB animal categories'!$C$22:$AC$31,27,FALSE)*AJ58+Q58+R58+S58-(VLOOKUP(D58,'DB technologies'!$N$27:$Y$38,12,FALSE)/100*AC58)-AD58-AE58,0))))))</f>
        <v/>
      </c>
      <c r="AY58" s="182" t="str">
        <f>IF(D58="","",IF(AS58=2,0,IF(AS58=1,'Calc (ex-animal)'!$N$16*'Calc (ex-housing, ex-storage)'!F58/100/VLOOKUP($C$56,'DB animal categories'!$C$22:$AC$31,27,FALSE)*AJ58+U58+V58+W58,IF(AS58=5,('Calc (ex-animal)'!$N$16+'Calc (ex-animal)'!$O$16)*'Calc (ex-housing, ex-storage)'!F58/100/VLOOKUP($C$56,'DB animal categories'!$C$22:$AC$31,27,FALSE)*AJ58+U58+V58+W58,IF(AS58=3,('Calc (ex-animal)'!$N$16+'Calc (ex-animal)'!$O$16)*'Calc (ex-housing, ex-storage)'!F58/100/VLOOKUP($C$56,'DB animal categories'!$C$22:$AC$31,27,FALSE)*AJ58+U58+V58+W58,IF(AS58=4,('Calc (ex-animal)'!$N$16+'Calc (ex-animal)'!$O$16)*'Calc (ex-housing, ex-storage)'!F58/100*VLOOKUP(D58,'DB technologies'!$N$27:$Y$38,12,FALSE)/100/VLOOKUP($C$56,'DB animal categories'!$C$22:$AC$31,27,FALSE)*AJ58+U58+V58+W58,0))))))</f>
        <v/>
      </c>
      <c r="AZ58" s="182" t="str">
        <f>IF(D58="","",IF(AS58=2,0,IF(AS58=1,'Calc (ex-animal)'!$Q$16*'Calc (ex-housing, ex-storage)'!F58/100/VLOOKUP($C$56,'DB animal categories'!$C$22:$AC$31,27,FALSE)*AJ58+Y58+Z58+AA58,IF(AS58=5,('Calc (ex-animal)'!$Q$16+'Calc (ex-animal)'!$R$16)*'Calc (ex-housing, ex-storage)'!F58/100/VLOOKUP($C$56,'DB animal categories'!$C$22:$AC$31,27,FALSE)*AJ58+Y58+Z58+AA58,IF(AS58=3,('Calc (ex-animal)'!$Q$16+'Calc (ex-animal)'!$R$16)*'Calc (ex-housing, ex-storage)'!F58/100/VLOOKUP($C$56,'DB animal categories'!$C$22:$AC$31,27,FALSE)*AJ58+Y58+Z58+AA58,IF(AS58=4,('Calc (ex-animal)'!$Q$16+'Calc (ex-animal)'!$R$16)*'Calc (ex-housing, ex-storage)'!F58/100*VLOOKUP(D58,'DB technologies'!$N$27:$Y$38,12,FALSE)/100/VLOOKUP($C$56,'DB animal categories'!$C$22:$AC$31,27,FALSE)*AJ58+Y58+Z58+AA58,0))))))</f>
        <v/>
      </c>
      <c r="BA58" s="98">
        <f>(SUMIF(AS277:AS485,3,AT277:AT485)+SUMIF(AS277:AS485,4,AT277:AT485))*(1-('DB technologies'!AR53/100))</f>
        <v>0</v>
      </c>
      <c r="BB58" s="98">
        <f>(SUMIF(AS277:AS485,3,AU277:AU485)+SUMIF(AS277:AS485,4,AU277:AU485))*(1-('DB technologies'!AR53/100))</f>
        <v>0</v>
      </c>
      <c r="BC58" s="506" t="e">
        <f>BB58/BA58*100</f>
        <v>#DIV/0!</v>
      </c>
      <c r="BD58" s="98">
        <f>(SUMIF(AS277:AS485,3,AX277:AX485)+SUMIF(AS277:AS485,4,AX277:AX485))*(1-('DB technologies'!AR53/100))</f>
        <v>0</v>
      </c>
      <c r="BE58" s="98">
        <f>(SUMIF(AS277:AS485,3,AY277:AY485)+SUMIF(AS277:AS485,4,AY277:AY485))*(1-('DB technologies'!AR53/100))</f>
        <v>0</v>
      </c>
      <c r="BF58" s="98">
        <f>(SUMIF(AS277:AS485,3,AZ277:AZ485)+SUMIF(AS277:AS485,4,AZ277:AZ485))*(1-('DB technologies'!AR53/100))</f>
        <v>0</v>
      </c>
      <c r="BG58" s="1355"/>
      <c r="BH58" s="1363"/>
      <c r="BI58" s="599" t="str">
        <f>IF(BG58="","",$BA$58*BH58/100-($BB$58*BH58/100*VLOOKUP(BG58,'DB technologies'!$AC$53:$AT$57,5,FALSE)/100)+(VLOOKUP(BG58,'DB technologies'!$AC$53:$AT$57,12,FALSE)*$BA$58*BH58/100))</f>
        <v/>
      </c>
      <c r="BJ58" s="551">
        <f>IF(BI58="",0,BI58*BK58/100)</f>
        <v>0</v>
      </c>
      <c r="BK58" s="558" t="str">
        <f>IF(BG58="","",IF($BA$58=0,0,($BB$58*BH58/100)/BI58*(1-(VLOOKUP(BG58,'DB technologies'!$AC$53:$AQ$57,5,FALSE))/100)*100))</f>
        <v/>
      </c>
      <c r="BL58" s="261" t="str">
        <f>IF(BG58="","",$BD$58*(1-VLOOKUP(BG58,'DB technologies'!$AC$53:$AS$57,12,FALSE)/100)*BH58/100-BO58-BP58-BQ58-BR58)</f>
        <v/>
      </c>
      <c r="BM58" s="259" t="str">
        <f>IF(BG58="","",$BE$58*(1-VLOOKUP(BG58,'DB technologies'!$AC$53:$AS$57,12,FALSE)/100)*BH58/100-BS58)</f>
        <v/>
      </c>
      <c r="BN58" s="259" t="str">
        <f>IF(BG58="","",$BF$58*(1-VLOOKUP(BG58,'DB technologies'!$AC$53:$AS$57,12,FALSE)/100)*BH58/100-BT58)</f>
        <v/>
      </c>
      <c r="BO58" s="259" t="str">
        <f>IF(BG58="","",$BD$58*BH58/100*VLOOKUP(BG58,'DB technologies'!$AC$53:$AF$57,2,FALSE)/100)</f>
        <v/>
      </c>
      <c r="BP58" s="259" t="str">
        <f>IF(BG58="","",$BD$58*BH58/100*VLOOKUP(BG58,'DB technologies'!$AC$53:$AN$57,3,FALSE)/100)</f>
        <v/>
      </c>
      <c r="BQ58" s="259" t="str">
        <f>IF(BG58="","",$BD$58*BH58/100*VLOOKUP(BG58,'DB technologies'!$AC$53:$AN$57,4,FALSE)/100)</f>
        <v/>
      </c>
      <c r="BR58" s="263" t="str">
        <f>IF(BG58="","",VLOOKUP(BG58,'DB technologies'!$AC$53:$AQ$57,13,FALSE)/100*$BD$58*BH58/100)</f>
        <v/>
      </c>
      <c r="BS58" s="259" t="str">
        <f>IF(BG58="","",VLOOKUP(BG58,'DB technologies'!$AC$53:$AQ$57,14,FALSE)/100*$BE$58*BH58/100)</f>
        <v/>
      </c>
      <c r="BT58" s="260" t="str">
        <f>IF(BG58="","",VLOOKUP(BG58,'DB technologies'!$AC$53:$AQ$57,15,FALSE)/100*$BF$58*BH58/100)</f>
        <v/>
      </c>
    </row>
    <row r="59" spans="1:72" ht="11.25" customHeight="1" x14ac:dyDescent="0.2">
      <c r="A59" s="684"/>
      <c r="B59" s="695"/>
      <c r="C59" s="251"/>
      <c r="D59" s="1357"/>
      <c r="E59" s="1358"/>
      <c r="F59" s="480" t="str">
        <f>IF('Calc (ex-animal)'!$F$9=1,"",IF($C$56=0,"",IF(D59="","",E59/'Calc (ex-animal)'!$E$16*100)))</f>
        <v/>
      </c>
      <c r="G59" s="485" t="str">
        <f>IF($C$56=0,"",IF('Calc (ex-animal)'!$F$8=1,"",IF(D59="","",SUM(H59:O59))))</f>
        <v/>
      </c>
      <c r="H59" s="423" t="str">
        <f>IF('Calc (ex-animal)'!$F$8=1,"",IF(D59="","",(((VLOOKUP($C$56,'Calc (ex-animal)'!$D$13:$Y$17,6,FALSE)-VLOOKUP($C$56,'Calc (ex-animal)'!$D$13:$Y$17,17,FALSE))*F59/100))*VLOOKUP($C$56,'Calc (ex-animal)'!$D$13:$Y$17,7,FALSE)/100*(1-VLOOKUP(D59,'DB technologies'!$N$27:$Y$38,9,FALSE)/100)))</f>
        <v/>
      </c>
      <c r="I59" s="423" t="str">
        <f>IF(D59="","",((VLOOKUP(D59,'DB technologies'!$N$27:$Y$38,2,FALSE)*VLOOKUP($C$56,'DB animal categories'!$C$22:$AC$31,27,FALSE)*E59/1000)/VLOOKUP($C$56,'DB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'!$S$6/100*(1-VLOOKUP(D59,'DB technologies'!$N$27:$Y$38,9,FALSE)/100)))</f>
        <v/>
      </c>
      <c r="J59" s="434" t="str">
        <f>IF(D59="","",((VLOOKUP(D59,'DB technologies'!$N$27:$Y$38,3,FALSE)*VLOOKUP($C$56,'DB animal categories'!$C$22:$AC$31,27,FALSE)*E59/1000)/VLOOKUP($C$56,'DB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'!$S$7/100*(1-VLOOKUP(D59,'DB technologies'!$N$27:$Y$38,9,FALSE)/100)))</f>
        <v/>
      </c>
      <c r="K59" s="434" t="str">
        <f>IF(D59="","",((VLOOKUP(D59,'DB technologies'!$N$27:$Y$38,4,FALSE)*E59*'DB additional information '!$S$8/100*(1-VLOOKUP(D59,'DB technologies'!$N$27:$Y$38,9,FALSE)/100))/VLOOKUP($C$56,'DB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L59" s="423" t="str">
        <f>IF('Calc (ex-animal)'!$F$8=1,"",IF(D59="","",(((VLOOKUP($C$56,'Calc (ex-animal)'!$D$13:$Y$17,6,FALSE)-VLOOKUP($C$56,'Calc (ex-animal)'!$D$13:$Y$17,17,FALSE))*F59/100))*(1-VLOOKUP($C$56,'Calc (ex-animal)'!$D$13:$Y$17,7,FALSE)/100)*(1-VLOOKUP(D59,'DB technologies'!$N$27:$V$38,8,FALSE)/100)))</f>
        <v/>
      </c>
      <c r="M59" s="434" t="str">
        <f>IF(D59="","",((VLOOKUP(D59,'DB technologies'!$N$27:$Y$38,2,FALSE)*VLOOKUP($C$56,'DB animal categories'!$C$22:$AC$31,27,FALSE)*E59/1000)/VLOOKUP($C$56,'DB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'!$S$6/100)*(1-VLOOKUP(D59,'DB technologies'!$N$27:$Y$38,9,FALSE)/100))</f>
        <v/>
      </c>
      <c r="N59" s="434" t="str">
        <f>IF(D59="","",((VLOOKUP(D59,'DB technologies'!$N$27:$Y$38,3,FALSE)*VLOOKUP($C$56,'DB animal categories'!$C$22:$AC$31,27,FALSE)*E59/1000)/VLOOKUP($C$56,'DB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'!$S$7/100)*(1-VLOOKUP(D59,'DB technologies'!$N$27:$Y$38,9,FALSE)/100))</f>
        <v/>
      </c>
      <c r="O59" s="423" t="str">
        <f>IF(D59="","",((VLOOKUP(D59,'DB technologies'!$N$27:$Y$38,4,FALSE)*E59*(1-'DB additional information '!$S$8/100)*(1-VLOOKUP(D59,'DB technologies'!$N$27:$Y$38,8,FALSE)/100))/VLOOKUP($C$56,'DB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P59" s="438" t="str">
        <f>IF(G59=0,0,IF(E59="","",IF(F59="","",IF($C$56=0,"",IF(D59="","",SUM(H59:K59)/G59*100)))))</f>
        <v/>
      </c>
      <c r="Q59" s="416" t="str">
        <f>IF(D59="","",(VLOOKUP(D59,'DB technologies'!$N$27:$Y$38,2,FALSE)*'DB additional information '!$S$6/100*'DB additional information '!$T$6*VLOOKUP($C$56,'DB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R59" s="416" t="str">
        <f>IF(D59="","",(VLOOKUP(D59,'DB technologies'!$N$27:$Y$38,3,FALSE)*'DB additional information '!$S$7/100*'DB additional information '!$T$7*VLOOKUP($C$56,'DB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S59" s="491" t="str">
        <f>IF(D59="","",(VLOOKUP(D59,'DB technologies'!$N$27:$Y$38,4,FALSE)*('DB additional information '!$S$8/100*'DB additional information '!$T$8*E59/1000/1000)))</f>
        <v/>
      </c>
      <c r="T59" s="264" t="str">
        <f>IF($C$56=0,"",IF('Calc (ex-animal)'!$F$9=1,"",IF(D59="","",((VLOOKUP($C$56,'Calc (ex-animal)'!$D$13:$Y$17,10,FALSE)-VLOOKUP($C$56,'Calc (ex-animal)'!$D$13:$Y$17,18,FALSE))*F59/100+Q59+R59+S59)-AC59-AD59-AE59)))</f>
        <v/>
      </c>
      <c r="U59" s="422" t="str">
        <f>IF(D59="","",(VLOOKUP(D59,'DB technologies'!$N$27:$Y$38,2,FALSE)*'DB additional information '!$S$6/100*'DB additional information '!$U$6*VLOOKUP($C$56,'DB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V59" s="418" t="str">
        <f>IF(D59="","",(VLOOKUP(D59,'DB technologies'!$N$27:$Y$38,3,FALSE)*'DB additional information '!$S$7/100*'DB additional information '!$U$7*VLOOKUP($C$56,'DB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W59" s="417" t="str">
        <f>IF(D59="","",(VLOOKUP(D59,'DB technologies'!$N$27:$Y$38,4,FALSE)*('DB additional information '!$S$8/100*'DB additional information '!$U$8*E59/1000/1000)))</f>
        <v/>
      </c>
      <c r="X59" s="261" t="str">
        <f>IF($C$56=0,"",IF('Calc (ex-animal)'!$F$9=1,"",IF(D59="","",((VLOOKUP($C$56,'Calc (ex-animal)'!$D$13:$Y$17,13,FALSE)-VLOOKUP($C$56,'Calc (ex-animal)'!$D$13:$Y$17,19,FALSE))*F59/100+U59+V59+W59))))</f>
        <v/>
      </c>
      <c r="Y59" s="418" t="str">
        <f>IF(D59="","",(VLOOKUP(D59,'DB technologies'!$N$27:$Y$38,2,FALSE)*'DB additional information '!$S$6/100*'DB additional information '!$V$6*VLOOKUP($C$56,'DB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Z59" s="418" t="str">
        <f>IF(D59="","",(VLOOKUP(D59,'DB technologies'!$N$27:$Y$38,3,FALSE)*'DB additional information '!$S$7/100*'DB additional information '!$V$7*VLOOKUP($C$56,'DB animal categories'!$C$22:$AC$31,27,FALSE)*E59/1000/1000)/VLOOKUP($C$56,'DB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AA59" s="418" t="str">
        <f>IF(D59="","",(VLOOKUP(D59,'DB technologies'!$N$27:$Y$38,4,FALSE)*('DB additional information '!$S$8/100*'DB additional information '!$V$8*E59/1000/1000)))</f>
        <v/>
      </c>
      <c r="AB59" s="261" t="str">
        <f>IF($C$56=0,"",IF('Calc (ex-animal)'!$F$8=1,"",IF(D59="","",((VLOOKUP($C$56,'Calc (ex-animal)'!$D$13:$Y$17,16,FALSE)-VLOOKUP($C$56,'Calc (ex-animal)'!$D$13:$Y$17,20,FALSE))*F59/100+Y59+Z59+AA59))))</f>
        <v/>
      </c>
      <c r="AC59" s="261" t="str">
        <f>IF($C$56=0,"",IF('Calc (ex-animal)'!$F$8=1,"",IF(D59="","",VLOOKUP($C$56,'Calc (ex-animal)'!$D$13:$Y$17,9,FALSE)/VLOOKUP($C$56,'DB animal categories'!$C$22:$AC$31,27,FALSE)*(VLOOKUP($C$56,'DB animal categories'!$C$22:$AC$31,27,FALSE)-VLOOKUP($C$56,'DB animal categories'!$C$22:$AC$31,25,FALSE)*VLOOKUP($C$56,'DB animal categories'!$C$22:$AC$31,26,FALSE)/24)*F59/100*VLOOKUP(D59,'DB technologies'!$N$27:$R$38,5,FALSE)/100)))</f>
        <v/>
      </c>
      <c r="AD59" s="261" t="str">
        <f>IF($C$56=0,"",IF('Calc (ex-animal)'!$F$8=1,"",IF(D59="","",VLOOKUP($C$56,'Calc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categories'!$C$22:$AC$31,26,FALSE)/24)*F59/100*VLOOKUP(D59,'DB technologies'!$N$27:$Y$38,6,FALSE)/100)))</f>
        <v/>
      </c>
      <c r="AE59" s="262" t="str">
        <f>IF($C$56=0,"",IF('Calc (ex-animal)'!$F$8=1,"",IF(D59="","",VLOOKUP($C$56,'Calc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categories'!$C$22:$AC$31,26,FALSE)/24)*F59/100*VLOOKUP(D59,'DB technologies'!$N$27:$Y$38,7,FALSE)/100)))</f>
        <v/>
      </c>
      <c r="AG59" s="695"/>
      <c r="AH59" s="695"/>
      <c r="AI59" s="181" t="str">
        <f>IF(D59="","",VLOOKUP(D59,'DB technologies'!$N$27:$Y$38,10,FALSE))</f>
        <v/>
      </c>
      <c r="AJ59" s="449" t="e">
        <f>VLOOKUP($C$56,'DB animal categories'!$C$22:$AN$31,27,FALSE)-VLOOKUP($C$56,'DB animal categories'!$C$22:$AN$31,26,FALSE)*VLOOKUP($C$56,'DB animal categories'!$C$22:$AN$31,25,FALSE)/24</f>
        <v>#N/A</v>
      </c>
      <c r="AK59" s="442" t="str">
        <f>IF(AI59="","",AL59+AM59)</f>
        <v/>
      </c>
      <c r="AL59" s="442" t="str">
        <f>IF(D59="","",IF(AI59=2,(('Calc (ex-animal)'!$G$16*'DB additional information '!$K$5/100*(1-VLOOKUP(D59,'DB technologies'!$N$27:$Y$38,9,FALSE)/100)*'Calc (ex-housing, ex-storage)'!F59/100+'Calc (ex-animal)'!$H$16*'DB additional information '!$L$5/100*(1-VLOOKUP(D59,'DB technologies'!$N$27:$Y$38,9,FALSE)/100)*'Calc (ex-housing, ex-storage)'!F59/100))/VLOOKUP($C$56,'DB animal categories'!$C$22:$AC$31,27,FALSE)*AJ59+I59+J59+K59,IF(AI59=1,('Calc (ex-animal)'!$H$16*'DB additional information '!$L$5/100*(1-VLOOKUP(D59,'DB technologies'!$N$27:$Y$38,9,FALSE)/100)*'Calc (ex-housing, ex-storage)'!F59/100)/VLOOKUP($C$56,'DB animal categories'!$C$22:$AC$31,27,FALSE)*AJ59,IF(AI59=4,('Calc (ex-animal)'!$G$16*'DB additional information '!$K$5/100+'Calc (ex-animal)'!$H$16*'DB additional information '!$L$5/100)*(1-VLOOKUP(D59,'DB technologies'!$N$27:$Y$38,9,FALSE)/100)*'Calc (ex-housing, ex-storage)'!F59/100*VLOOKUP(D59,'DB technologies'!$N$27:$Y$38,11,FALSE)/100/VLOOKUP($C$56,'DB animal categories'!$C$22:$AC$31,27,FALSE)*AJ59,0))))</f>
        <v/>
      </c>
      <c r="AM59" s="442" t="str">
        <f>IF(D59="","",IF(AI59=2,(('Calc (ex-animal)'!$G$16*(1-'DB additional information '!$K$5/100)*(1-VLOOKUP(D59,'DB technologies'!$N$27:$Y$38,8,FALSE)/100)*'Calc (ex-housing, ex-storage)'!F59/100+'Calc (ex-animal)'!$H$16*(1-'DB additional information '!$L$5/100)*(1-VLOOKUP(D59,'DB technologies'!$N$27:$Y$38,8,FALSE)/100)*'Calc (ex-housing, ex-storage)'!F59/100))/VLOOKUP($C$56,'DB animal categories'!$C$22:$AC$31,27,FALSE)*AJ59+M59+N59+O59,IF(AI59=1,('Calc (ex-animal)'!$H$16*(1-'DB additional information '!$L$5/100)*(1-VLOOKUP(D59,'DB technologies'!$N$27:$Y$38,8,FALSE)/100)*'Calc (ex-housing, ex-storage)'!F59/100)/VLOOKUP($C$56,'DB animal categories'!$C$22:$AC$31,27,FALSE)*AJ59,IF(AI59=4,('Calc (ex-animal)'!$G$16*(1-'DB additional information '!$K$5/100)+'Calc (ex-animal)'!$H$16*(1-'DB additional information '!$L$5/100))*(1-VLOOKUP(D59,'DB technologies'!$N$27:$Y$38,8,FALSE)/100)*'Calc (ex-housing, ex-storage)'!F59/100*VLOOKUP(D59,'DB technologies'!$N$27:$Y$38,11,FALSE)/100/VLOOKUP($C$56,'DB animal categories'!$C$22:$AC$31,27,FALSE)*AJ59,0))))</f>
        <v/>
      </c>
      <c r="AN59" s="442" t="str">
        <f>IF(AI59="","",IF(AL59=0,0,AL59/AK59*100))</f>
        <v/>
      </c>
      <c r="AO59" s="182" t="str">
        <f>IF(D59="","",IF(AI59=2,(('Calc (ex-animal)'!$L$16*'Calc (ex-housing, ex-storage)'!F59/100+'Calc (ex-animal)'!$K$16*'Calc (ex-housing, ex-storage)'!F59/100))/VLOOKUP($C$56,'DB animal categories'!$C$22:$AC$31,27,FALSE)*AJ59+Q59+R59+S59-AC59,IF(AI59=1,('Calc (ex-animal)'!$L$16*'Calc (ex-housing, ex-storage)'!F59/100)/VLOOKUP($C$56,'DB animal categories'!$C$22:$AC$31,27,FALSE)*AJ59-'Calc (ex-housing, ex-storage)'!AC59,IF(AI59=4,('Calc (ex-animal)'!$L$16+'Calc (ex-animal)'!$K$16)*'Calc (ex-housing, ex-storage)'!F59/100*VLOOKUP(D59,'DB technologies'!$N$27:$Y$38,11,FALSE)/100/VLOOKUP($C$56,'DB animal categories'!$C$22:$AC$31,27,FALSE)*AJ59-AC59*VLOOKUP(D59,'DB technologies'!$N$27:$Y$38,11,FALSE)/100,0))))</f>
        <v/>
      </c>
      <c r="AP59" s="182" t="str">
        <f>IF(D59="","",IF(AO59&lt;-0.01,0,IF(AI59=2,(('Calc (ex-animal)'!$L$16*'Calc (ex-housing, ex-storage)'!F59/100+'Calc (ex-animal)'!$K$16*'Calc (ex-housing, ex-storage)'!F59/100))/VLOOKUP($C$56,'DB animal categories'!$C$22:$AC$31,27,FALSE)*AJ59+Q59+R59+S59-AC59,IF(AI59=1,('Calc (ex-animal)'!$L$16*'Calc (ex-housing, ex-storage)'!F59/100)/VLOOKUP($C$56,'DB animal categories'!$C$22:$AC$31,27,FALSE)*AJ59-'Calc (ex-housing, ex-storage)'!AC59,IF(AI59=4,('Calc (ex-animal)'!$L$16+'Calc (ex-animal)'!$K$16)*'Calc (ex-housing, ex-storage)'!F59/100*VLOOKUP(D59,'DB technologies'!$N$27:$Y$38,11,FALSE)/100/VLOOKUP($C$56,'DB animal categories'!$C$22:$AC$31,27,FALSE)*AJ59-AC59*VLOOKUP(D59,'DB technologies'!$N$27:$Y$38,11,FALSE)/100,0)))))</f>
        <v/>
      </c>
      <c r="AQ59" s="182" t="str">
        <f>IF(D59="","",IF(AI59=2,('Calc (ex-animal)'!$O$16*'Calc (ex-housing, ex-storage)'!F59/100+'Calc (ex-animal)'!$N$16*'Calc (ex-housing, ex-storage)'!F59/100)/VLOOKUP($C$56,'DB animal categories'!$C$22:$AC$31,27,FALSE)*AJ59+U59+V59+W59,IF(AI59=1,'Calc (ex-animal)'!$O$16*'Calc (ex-housing, ex-storage)'!F59/100/VLOOKUP($C$56,'DB animal categories'!$C$22:$AC$31,27,FALSE)*AJ59,IF(AI59=4,('Calc (ex-animal)'!$O$16+'Calc (ex-animal)'!$N$16)*'Calc (ex-housing, ex-storage)'!F59/100*VLOOKUP(D59,'DB technologies'!$N$27:$Y$38,11,FALSE)/100/VLOOKUP($C$56,'DB animal categories'!$C$22:$AC$31,27,FALSE)*AJ59,0))))</f>
        <v/>
      </c>
      <c r="AR59" s="182" t="str">
        <f>IF(D59="","",IF(AI59=2,('Calc (ex-animal)'!$R$16*'Calc (ex-housing, ex-storage)'!F59/100+'Calc (ex-animal)'!$Q$16*'Calc (ex-housing, ex-storage)'!F59/100)/VLOOKUP($C$56,'DB animal categories'!$C$22:$AC$31,27,FALSE)*AJ59+Y59+Z59+AA59,IF(AI59=1,'Calc (ex-animal)'!$R$16*'Calc (ex-housing, ex-storage)'!F59/100/VLOOKUP($C$56,'DB animal categories'!$C$22:$AC$31,27,FALSE)*AJ59,IF(AI59=4,('Calc (ex-animal)'!$R$16+'Calc (ex-animal)'!$Q$16)*'Calc (ex-housing, ex-storage)'!F59/100*VLOOKUP(D59,'DB technologies'!$N$27:$Y$38,11,FALSE)/100/VLOOKUP($C$56,'DB animal categories'!$C$22:$AC$31,27,FALSE)*AJ59,0))))</f>
        <v/>
      </c>
      <c r="AS59" s="181" t="str">
        <f>IF(D59="","",VLOOKUP(D59,'DB technologies'!$N$27:$Y$38,10,FALSE))</f>
        <v/>
      </c>
      <c r="AT59" s="442" t="str">
        <f>IF(AS59="","",AU59+AV59)</f>
        <v/>
      </c>
      <c r="AU59" s="442" t="str">
        <f>IF(D59="","",IF(AS59=2,0,IF(AS59=1,'Calc (ex-animal)'!$G$16*'DB additional information '!$K$5/100*(1-VLOOKUP(D59,'DB technologies'!$N$27:$Y$38,8,FALSE)/100)*'Calc (ex-housing, ex-storage)'!F59/100/VLOOKUP($C$56,'DB animal categories'!$C$22:$AC$31,27,FALSE)*AJ59+I59+J59+K59,IF(AS59=5,(('Calc (ex-animal)'!$G$16*'DB additional information '!$K$5/100+'Calc (ex-animal)'!$H$16*'DB additional information '!$L$5/100))*(1-VLOOKUP(D59,'DB technologies'!$N$27:$Y$38,9,FALSE)/100)*'Calc (ex-housing, ex-storage)'!F59/100/VLOOKUP($C$56,'DB animal categories'!$C$22:$AC$31,27,FALSE)*AJ59+I59+J59+K59,IF(AS59=3,('Calc (ex-animal)'!$G$16*'DB additional information '!$K$5/100+'Calc (ex-animal)'!$H$16*'DB additional information '!$L$5/100)*(1-VLOOKUP(D59,'DB technologies'!$N$27:$Y$38,9,FALSE)/100)*'Calc (ex-housing, ex-storage)'!F59/100/VLOOKUP($C$56,'DB animal categories'!$C$22:$AC$31,27,FALSE)*AJ59+I59+J59+K59,IF(AS59=4,('Calc (ex-animal)'!$G$16*'DB additional information '!$K$5/100+'Calc (ex-animal)'!$H$16*'DB additional information '!$L$5/100)*(1-VLOOKUP(D59,'DB technologies'!$N$27:$Y$38,9,FALSE)/100)*'Calc (ex-housing, ex-storage)'!F59/100*VLOOKUP(D59,'DB technologies'!$N$27:$Y$38,12,FALSE)/100/VLOOKUP($C$56,'DB animal categories'!$C$22:$AC$31,27,FALSE)*AJ59+I59+J59+K59,0))))))</f>
        <v/>
      </c>
      <c r="AV59" s="442" t="str">
        <f>IF(D59="","",IF(AS59=2,0,IF(AS59=1,'Calc (ex-animal)'!$G$16*(1-'DB additional information '!$K$5/100)*(1-VLOOKUP(D59,'DB technologies'!$N$27:$Y$38,8,FALSE)/100)*'Calc (ex-housing, ex-storage)'!F59/100/VLOOKUP($C$56,'DB animal categories'!$C$22:$AC$31,27,FALSE)*AJ59+M59+N59+O59,IF(AS59=5,('Calc (ex-animal)'!$G$16*(1-'DB additional information '!$K$5/100)+'Calc (ex-animal)'!$H$16*(1-'DB additional information '!$L$5/100))*(1-VLOOKUP(D59,'DB technologies'!$N$27:$Y$38,8,FALSE)/100)*'Calc (ex-housing, ex-storage)'!F59/100/VLOOKUP($C$56,'DB animal categories'!$C$22:$AC$31,27,FALSE)*AJ59+M59+N59+O59,IF(AS59=3,('Calc (ex-animal)'!$G$16*(1-'DB additional information '!$K$5/100)+'Calc (ex-animal)'!$H$16*(1-'DB additional information '!$L$5/100))*(1-VLOOKUP(D59,'DB technologies'!$N$27:$Y$38,8,FALSE)/100)*'Calc (ex-housing, ex-storage)'!F59/100/VLOOKUP($C$56,'DB animal categories'!$C$22:$AC$31,27,FALSE)*AJ59+M59+N59+O59,IF(AS59=4,('Calc (ex-animal)'!$G$16*(1-'DB additional information '!$K$5/100)+'Calc (ex-animal)'!$H$16*(1-'DB additional information '!$L$5/100))*(1-VLOOKUP(D59,'DB technologies'!$N$27:$Y$38,8,FALSE)/100)*'Calc (ex-housing, ex-storage)'!F59/100*VLOOKUP(D59,'DB technologies'!$N$27:$Y$38,12,FALSE)/100/VLOOKUP($C$56,'DB animal categories'!$C$22:$AC$31,27,FALSE)*AJ59+M59+N59+O59,0))))))</f>
        <v/>
      </c>
      <c r="AW59" s="442" t="str">
        <f>IF(AS59="","",IF(AU59=0,0,AU59/AT59*100))</f>
        <v/>
      </c>
      <c r="AX59" s="182" t="str">
        <f>IF(D59="","",IF(AS59=2,0,IF(AS59=1,'Calc (ex-animal)'!$K$16*'Calc (ex-housing, ex-storage)'!F59/100/VLOOKUP($C$56,'DB animal categories'!$C$22:$AC$31,27,FALSE)*AJ59+Q59+R59+S59,IF(AS59=5,('Calc (ex-animal)'!$K$16+'Calc (ex-animal)'!$L$16)*'Calc (ex-housing, ex-storage)'!F59/100/VLOOKUP($C$56,'DB animal categories'!$C$22:$AC$31,27,FALSE)*AJ59+Q59+R59+S59-'Calc (ex-housing, ex-storage)'!AC59,IF(AS59=3,('Calc (ex-animal)'!$K$16+'Calc (ex-animal)'!$L$16)*'Calc (ex-housing, ex-storage)'!F59/100/VLOOKUP($C$56,'DB animal categories'!$C$22:$AC$31,27,FALSE)*AJ59+Q59+R59+S59-'Calc (ex-housing, ex-storage)'!AC59-AD59-AE59,IF(AI59=4,('Calc (ex-animal)'!$K$16+'Calc (ex-animal)'!$L$16)*'Calc (ex-housing, ex-storage)'!F59/100*VLOOKUP(D59,'DB technologies'!$N$27:$Y$38,12,FALSE)/100/VLOOKUP($C$56,'DB animal categories'!$C$22:$AC$31,27,FALSE)*AJ59+Q59+R59+S59-(VLOOKUP(D59,'DB technologies'!$N$27:$Y$38,12,FALSE)/100*AC59)-AD59-AE59,0))))))</f>
        <v/>
      </c>
      <c r="AY59" s="182" t="str">
        <f>IF(D59="","",IF(AS59=2,0,IF(AS59=1,'Calc (ex-animal)'!$N$16*'Calc (ex-housing, ex-storage)'!F59/100/VLOOKUP($C$56,'DB animal categories'!$C$22:$AC$31,27,FALSE)*AJ59+U59+V59+W59,IF(AS59=5,('Calc (ex-animal)'!$N$16+'Calc (ex-animal)'!$O$16)*'Calc (ex-housing, ex-storage)'!F59/100/VLOOKUP($C$56,'DB animal categories'!$C$22:$AC$31,27,FALSE)*AJ59+U59+V59+W59,IF(AS59=3,('Calc (ex-animal)'!$N$16+'Calc (ex-animal)'!$O$16)*'Calc (ex-housing, ex-storage)'!F59/100/VLOOKUP($C$56,'DB animal categories'!$C$22:$AC$31,27,FALSE)*AJ59+U59+V59+W59,IF(AS59=4,('Calc (ex-animal)'!$N$16+'Calc (ex-animal)'!$O$16)*'Calc (ex-housing, ex-storage)'!F59/100*VLOOKUP(D59,'DB technologies'!$N$27:$Y$38,12,FALSE)/100/VLOOKUP($C$56,'DB animal categories'!$C$22:$AC$31,27,FALSE)*AJ59+U59+V59+W59,0))))))</f>
        <v/>
      </c>
      <c r="AZ59" s="182" t="str">
        <f>IF(D59="","",IF(AS59=2,0,IF(AS59=1,'Calc (ex-animal)'!$Q$16*'Calc (ex-housing, ex-storage)'!F59/100/VLOOKUP($C$56,'DB animal categories'!$C$22:$AC$31,27,FALSE)*AJ59+Y59+Z59+AA59,IF(AS59=5,('Calc (ex-animal)'!$Q$16+'Calc (ex-animal)'!$R$16)*'Calc (ex-housing, ex-storage)'!F59/100/VLOOKUP($C$56,'DB animal categories'!$C$22:$AC$31,27,FALSE)*AJ59+Y59+Z59+AA59,IF(AS59=3,('Calc (ex-animal)'!$Q$16+'Calc (ex-animal)'!$R$16)*'Calc (ex-housing, ex-storage)'!F59/100/VLOOKUP($C$56,'DB animal categories'!$C$22:$AC$31,27,FALSE)*AJ59+Y59+Z59+AA59,IF(AS59=4,('Calc (ex-animal)'!$Q$16+'Calc (ex-animal)'!$R$16)*'Calc (ex-housing, ex-storage)'!F59/100*VLOOKUP(D59,'DB technologies'!$N$27:$Y$38,12,FALSE)/100/VLOOKUP($C$56,'DB animal categories'!$C$22:$AC$31,27,FALSE)*AJ59+Y59+Z59+AA59,0))))))</f>
        <v/>
      </c>
      <c r="BA59" s="506"/>
      <c r="BB59" s="506"/>
      <c r="BC59" s="506"/>
      <c r="BG59" s="1357"/>
      <c r="BH59" s="1361"/>
      <c r="BI59" s="598" t="str">
        <f>IF(BG59="","",$BA$58*BH59/100-($BB$58*BH59/100*VLOOKUP(BG59,'DB technologies'!$AC$53:$AT$57,5,FALSE)/100)+(VLOOKUP(BG59,'DB technologies'!$AC$53:$AT$57,12,FALSE)*$BA$58*BH59/100))</f>
        <v/>
      </c>
      <c r="BJ59" s="551">
        <f>IF(BI59="",0,BI59*BK59/100)</f>
        <v>0</v>
      </c>
      <c r="BK59" s="559" t="str">
        <f>IF(BG59="","",IF($BA$58=0,0,($BB$58*BH59/100)/BI59*(1-(VLOOKUP(BG59,'DB technologies'!$AC$53:$AQ$57,5,FALSE))/100)*100))</f>
        <v/>
      </c>
      <c r="BL59" s="261" t="str">
        <f>IF(BG59="","",$BD$58*(1-VLOOKUP(BG59,'DB technologies'!$AC$53:$AS$57,12,FALSE)/100)*BH59/100-BO59-BP59-BQ59-BR59)</f>
        <v/>
      </c>
      <c r="BM59" s="261" t="str">
        <f>IF(BG59="","",$BE$58*(1-VLOOKUP(BG59,'DB technologies'!$AC$53:$AS$57,12,FALSE)/100)*BH59/100-BS59)</f>
        <v/>
      </c>
      <c r="BN59" s="261" t="str">
        <f>IF(BG59="","",$BF$58*(1-VLOOKUP(BG59,'DB technologies'!$AC$53:$AS$57,12,FALSE)/100)*BH59/100-BT59)</f>
        <v/>
      </c>
      <c r="BO59" s="261" t="str">
        <f>IF(BG59="","",$BD$58*BH59/100*VLOOKUP(BG59,'DB technologies'!$AC$53:$AF$57,2,FALSE)/100)</f>
        <v/>
      </c>
      <c r="BP59" s="261" t="str">
        <f>IF(BG59="","",$BD$58*BH59/100*VLOOKUP(BG59,'DB technologies'!$AC$53:$AN$57,3,FALSE)/100)</f>
        <v/>
      </c>
      <c r="BQ59" s="261" t="str">
        <f>IF(BG59="","",$BD$58*BH59/100*VLOOKUP(BG59,'DB technologies'!$AC$53:$AN$57,4,FALSE)/100)</f>
        <v/>
      </c>
      <c r="BR59" s="264" t="str">
        <f>IF(BG59="","",VLOOKUP(BG59,'DB technologies'!$AC$53:$AQ$57,13,FALSE)/100*$BD$58*BH59/100)</f>
        <v/>
      </c>
      <c r="BS59" s="261" t="str">
        <f>IF(BG59="","",VLOOKUP(BG59,'DB technologies'!$AC$53:$AQ$57,14,FALSE)/100*$BE$58*BH59/100)</f>
        <v/>
      </c>
      <c r="BT59" s="262" t="str">
        <f>IF(BG59="","",VLOOKUP(BG59,'DB technologies'!$AC$53:$AQ$57,15,FALSE)/100*$BF$58*BH59/100)</f>
        <v/>
      </c>
    </row>
    <row r="60" spans="1:72" ht="12" customHeight="1" thickBot="1" x14ac:dyDescent="0.25">
      <c r="A60" s="684"/>
      <c r="B60" s="695"/>
      <c r="C60" s="251"/>
      <c r="D60" s="1359"/>
      <c r="E60" s="1360"/>
      <c r="F60" s="481" t="str">
        <f>IF('Calc (ex-animal)'!$F$9=1,"",IF($C$56=0,"",IF(D60="","",E60/'Calc (ex-animal)'!$E$16*100)))</f>
        <v/>
      </c>
      <c r="G60" s="483" t="str">
        <f>IF($C$56=0,"",IF('Calc (ex-animal)'!$F$8=1,"",IF(D60="","",SUM(H60:O60))))</f>
        <v/>
      </c>
      <c r="H60" s="445" t="str">
        <f>IF('Calc (ex-animal)'!$F$8=1,"",IF(D60="","",(((VLOOKUP($C$56,'Calc (ex-animal)'!$D$13:$Y$17,6,FALSE)-VLOOKUP($C$56,'Calc (ex-animal)'!$D$13:$Y$17,17,FALSE))*F60/100))*VLOOKUP($C$56,'Calc (ex-animal)'!$D$13:$Y$17,7,FALSE)/100*(1-VLOOKUP(D60,'DB technologies'!$N$27:$Y$38,9,FALSE)/100)))</f>
        <v/>
      </c>
      <c r="I60" s="445" t="str">
        <f>IF(D60="","",((VLOOKUP(D60,'DB technologies'!$N$27:$Y$38,2,FALSE)*VLOOKUP($C$56,'DB animal categories'!$C$22:$AC$31,27,FALSE)*E60/1000)/VLOOKUP($C$56,'DB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'!$S$6/100*(1-VLOOKUP(D60,'DB technologies'!$N$27:$Y$38,9,FALSE)/100)))</f>
        <v/>
      </c>
      <c r="J60" s="446" t="str">
        <f>IF(D60="","",((VLOOKUP(D60,'DB technologies'!$N$27:$Y$38,3,FALSE)*VLOOKUP($C$56,'DB animal categories'!$C$22:$AC$31,27,FALSE)*E60/1000)/VLOOKUP($C$56,'DB animal categories'!$C$22:$AC$31,27,FALSE)*(VLOOKUP($C$56,'DB animal categories'!$C$22:$AC$31,27,FALSE)-(VLOOKUP($C$56,'DB animal categories'!$C$22:$AC$31,25,FALSE)*VLOOKUP($C$56,'DB animal categories'!$C$22:$AC$31,26,FALSE)/24))*'DB additional information '!$S$7/100*(1-VLOOKUP(D60,'DB technologies'!$N$27:$Y$38,9,FALSE)/100)))</f>
        <v/>
      </c>
      <c r="K60" s="446" t="str">
        <f>IF(D60="","",((VLOOKUP(D60,'DB technologies'!$N$27:$Y$38,4,FALSE)*E60*'DB additional information '!$S$8/100*(1-VLOOKUP(D60,'DB technologies'!$N$27:$Y$38,9,FALSE)/100))/VLOOKUP($C$56,'DB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L60" s="445" t="str">
        <f>IF('Calc (ex-animal)'!$F$8=1,"",IF(D60="","",(((VLOOKUP($C$56,'Calc (ex-animal)'!$D$13:$Y$17,6,FALSE)-VLOOKUP($C$56,'Calc (ex-animal)'!$D$13:$Y$17,17,FALSE))*F60/100))*(1-VLOOKUP($C$56,'Calc (ex-animal)'!$D$13:$Y$17,7,FALSE)/100)*(1-VLOOKUP(D60,'DB technologies'!$N$27:$V$38,8,FALSE)/100)))</f>
        <v/>
      </c>
      <c r="M60" s="446" t="str">
        <f>IF(D60="","",((VLOOKUP(D60,'DB technologies'!$N$27:$Y$38,2,FALSE)*VLOOKUP($C$56,'DB animal categories'!$C$22:$AC$31,27,FALSE)*E60/1000)/VLOOKUP($C$56,'DB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'!$S$6/100)*(1-VLOOKUP(D60,'DB technologies'!$N$27:$Y$38,9,FALSE)/100))</f>
        <v/>
      </c>
      <c r="N60" s="446" t="str">
        <f>IF(D60="","",((VLOOKUP(D60,'DB technologies'!$N$27:$Y$38,3,FALSE)*VLOOKUP($C$56,'DB animal categories'!$C$22:$AC$31,27,FALSE)*E60/1000)/VLOOKUP($C$56,'DB animal categories'!$C$22:$AC$31,27,FALSE)*(VLOOKUP($C$56,'DB animal categories'!$C$22:$AC$31,27,FALSE)-VLOOKUP($C$56,'DB animal categories'!$C$22:$AC$31,25,FALSE)*VLOOKUP($C$56,'DB animal categories'!$C$22:$AC$31,26,FALSE)/24))*(1-'DB additional information '!$S$7/100)*(1-VLOOKUP(D60,'DB technologies'!$N$27:$Y$38,9,FALSE)/100))</f>
        <v/>
      </c>
      <c r="O60" s="445" t="str">
        <f>IF(D60="","",((VLOOKUP(D60,'DB technologies'!$N$27:$Y$38,4,FALSE)*E60*(1-'DB additional information '!$S$8/100)*(1-VLOOKUP(D60,'DB technologies'!$N$27:$Y$38,8,FALSE)/100))/VLOOKUP($C$56,'DB animal categories'!$C$22:$AC$31,27,FALSE)*(VLOOKUP($C$56,'DB animal categories'!$C$22:$AC$31,27,FALSE)-VLOOKUP($C$56,'DB animal categories'!$C$22:$AC$31,25,FALSE)*VLOOKUP($C$56,'DB animal categories'!$C$22:$AC$31,26,FALSE)/24)))</f>
        <v/>
      </c>
      <c r="P60" s="444" t="str">
        <f>IF(G60=0,0,IF(E60="","",IF(F60="","",IF($C$56=0,"",IF(D60="","",SUM(H60:K60)/G60*100)))))</f>
        <v/>
      </c>
      <c r="Q60" s="476" t="str">
        <f>IF(D60="","",(VLOOKUP(D60,'DB technologies'!$N$27:$Y$38,2,FALSE)*'DB additional information '!$S$6/100*'DB additional information '!$T$6*VLOOKUP($C$56,'DB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R60" s="476" t="str">
        <f>IF(D60="","",(VLOOKUP(D60,'DB technologies'!$N$27:$Y$38,3,FALSE)*'DB additional information '!$S$7/100*'DB additional information '!$T$7*VLOOKUP($C$56,'DB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S60" s="494" t="str">
        <f>IF(D60="","",(VLOOKUP(D60,'DB technologies'!$N$27:$Y$38,4,FALSE)*('DB additional information '!$S$8/100*'DB additional information '!$T$8*E60/1000/1000)))</f>
        <v/>
      </c>
      <c r="T60" s="266" t="str">
        <f>IF($C$56=0,"",IF('Calc (ex-animal)'!$F$9=1,"",IF(D60="","",((VLOOKUP($C$56,'Calc (ex-animal)'!$D$13:$Y$17,10,FALSE)-VLOOKUP($C$56,'Calc (ex-animal)'!$D$13:$Y$17,18,FALSE))*F60/100+Q60+R60+S60)-AC60-AD60-AE60)))</f>
        <v/>
      </c>
      <c r="U60" s="477" t="str">
        <f>IF(D60="","",(VLOOKUP(D60,'DB technologies'!$N$27:$Y$38,2,FALSE)*'DB additional information '!$S$6/100*'DB additional information '!$U$6*VLOOKUP($C$56,'DB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V60" s="433" t="str">
        <f>IF(D60="","",(VLOOKUP(D60,'DB technologies'!$N$27:$Y$38,3,FALSE)*'DB additional information '!$S$7/100*'DB additional information '!$U$7*VLOOKUP($C$56,'DB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W60" s="475" t="str">
        <f>IF(D60="","",(VLOOKUP(D60,'DB technologies'!$N$27:$Y$38,4,FALSE)*('DB additional information '!$S$8/100*'DB additional information '!$U$8*E60/1000/1000)))</f>
        <v/>
      </c>
      <c r="X60" s="267" t="str">
        <f>IF($C$56=0,"",IF('Calc (ex-animal)'!$F$9=1,"",IF(D60="","",((VLOOKUP($C$56,'Calc (ex-animal)'!$D$13:$Y$17,13,FALSE)-VLOOKUP($C$56,'Calc (ex-animal)'!$D$13:$Y$17,19,FALSE))*F60/100+U60+V60+W60))))</f>
        <v/>
      </c>
      <c r="Y60" s="433" t="str">
        <f>IF(D60="","",(VLOOKUP(D60,'DB technologies'!$N$27:$Y$38,2,FALSE)*'DB additional information '!$S$6/100*'DB additional information '!$V$6*VLOOKUP($C$56,'DB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Z60" s="433" t="str">
        <f>IF(D60="","",(VLOOKUP(D60,'DB technologies'!$N$27:$Y$38,3,FALSE)*'DB additional information '!$S$7/100*'DB additional information '!$V$7*VLOOKUP($C$56,'DB animal categories'!$C$22:$AC$31,27,FALSE)*E60/1000/1000)/VLOOKUP($C$56,'DB animal categories'!$C$22:$AC$31,27,FALSE)*(VLOOKUP($C$56,'DB animal categories'!$C$22:$AC$31,27,FALSE)-VLOOKUP($C$56,'DB animal categories'!$C$22:$AC$31,25,FALSE)*VLOOKUP($C$56,'DB animal categories'!$C$22:$AC$31,26,FALSE)/24))</f>
        <v/>
      </c>
      <c r="AA60" s="433" t="str">
        <f>IF(D60="","",(VLOOKUP(D60,'DB technologies'!$N$27:$Y$38,4,FALSE)*('DB additional information '!$S$8/100*'DB additional information '!$V$8*E60/1000/1000)))</f>
        <v/>
      </c>
      <c r="AB60" s="267" t="str">
        <f>IF($C$56=0,"",IF('Calc (ex-animal)'!$F$8=1,"",IF(D60="","",((VLOOKUP($C$56,'Calc (ex-animal)'!$D$13:$Y$17,16,FALSE)-VLOOKUP($C$56,'Calc (ex-animal)'!$D$13:$Y$17,20,FALSE))*F60/100+Y60+Z60+AA60))))</f>
        <v/>
      </c>
      <c r="AC60" s="267" t="str">
        <f>IF($C$56=0,"",IF('Calc (ex-animal)'!$F$8=1,"",IF(D60="","",VLOOKUP($C$56,'Calc (ex-animal)'!$D$13:$Y$17,9,FALSE)/VLOOKUP($C$56,'DB animal categories'!$C$22:$AC$31,27,FALSE)*(VLOOKUP($C$56,'DB animal categories'!$C$22:$AC$31,27,FALSE)-VLOOKUP($C$56,'DB animal categories'!$C$22:$AC$31,25,FALSE)*VLOOKUP($C$56,'DB animal categories'!$C$22:$AC$31,26,FALSE)/24)*F60/100*VLOOKUP(D60,'DB technologies'!$N$27:$R$38,5,FALSE)/100)))</f>
        <v/>
      </c>
      <c r="AD60" s="267" t="str">
        <f>IF($C$56=0,"",IF('Calc (ex-animal)'!$F$8=1,"",IF(D60="","",VLOOKUP($C$56,'Calc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categories'!$C$22:$AC$31,26,FALSE)/24)*F60/100*VLOOKUP(D60,'DB technologies'!$N$27:$Y$38,6,FALSE)/100)))</f>
        <v/>
      </c>
      <c r="AE60" s="268" t="str">
        <f>IF($C$56=0,"",IF('Calc (ex-animal)'!$F$8=1,"",IF(D60="","",VLOOKUP($C$56,'Calc (ex-animal)'!$D$13:$Y$17,10,FALSE)/VLOOKUP($C$56,'DB animal categories'!$C$22:$AC$31,27,FALSE)*(VLOOKUP($C$56,'DB animal categories'!$C$22:$AC$31,27,FALSE)-VLOOKUP($C$56,'DB animal categories'!$C$22:$AC$31,25,FALSE)*VLOOKUP($C$56,'DB animal categories'!$C$22:$AC$31,26,FALSE)/24)*F60/100*VLOOKUP(D60,'DB technologies'!$N$27:$Y$38,7,FALSE)/100)))</f>
        <v/>
      </c>
      <c r="AG60" s="695"/>
      <c r="AH60" s="695"/>
      <c r="AI60" s="183" t="str">
        <f>IF(D60="","",VLOOKUP(D60,'DB technologies'!$N$27:$Y$38,10,FALSE))</f>
        <v/>
      </c>
      <c r="AJ60" s="451" t="e">
        <f>VLOOKUP($C$56,'DB animal categories'!$C$22:$AN$31,27,FALSE)-VLOOKUP($C$56,'DB animal categories'!$C$22:$AN$31,26,FALSE)*VLOOKUP($C$56,'DB animal categories'!$C$22:$AN$31,25,FALSE)/24</f>
        <v>#N/A</v>
      </c>
      <c r="AK60" s="452" t="str">
        <f>IF(AI60="","",AL60+AM60)</f>
        <v/>
      </c>
      <c r="AL60" s="452" t="str">
        <f>IF(D60="","",IF(AI60=2,(('Calc (ex-animal)'!$G$16*'DB additional information '!$K$5/100*(1-VLOOKUP(D60,'DB technologies'!$N$27:$Y$38,9,FALSE)/100)*'Calc (ex-housing, ex-storage)'!F60/100+'Calc (ex-animal)'!$H$16*'DB additional information '!$L$5/100*(1-VLOOKUP(D60,'DB technologies'!$N$27:$Y$38,9,FALSE)/100)*'Calc (ex-housing, ex-storage)'!F60/100))/VLOOKUP($C$56,'DB animal categories'!$C$22:$AC$31,27,FALSE)*AJ60+I60+J60+K60,IF(AI60=1,('Calc (ex-animal)'!$H$16*'DB additional information '!$L$5/100*(1-VLOOKUP(D60,'DB technologies'!$N$27:$Y$38,9,FALSE)/100)*'Calc (ex-housing, ex-storage)'!F60/100)/VLOOKUP($C$56,'DB animal categories'!$C$22:$AC$31,27,FALSE)*AJ60,IF(AI60=4,('Calc (ex-animal)'!$G$16*'DB additional information '!$K$5/100+'Calc (ex-animal)'!$H$16*'DB additional information '!$L$5/100)*(1-VLOOKUP(D60,'DB technologies'!$N$27:$Y$38,9,FALSE)/100)*'Calc (ex-housing, ex-storage)'!F60/100*VLOOKUP(D60,'DB technologies'!$N$27:$Y$38,11,FALSE)/100/VLOOKUP($C$56,'DB animal categories'!$C$22:$AC$31,27,FALSE)*AJ60,0))))</f>
        <v/>
      </c>
      <c r="AM60" s="452" t="str">
        <f>IF(D60="","",IF(AI60=2,(('Calc (ex-animal)'!$G$16*(1-'DB additional information '!$K$5/100)*(1-VLOOKUP(D60,'DB technologies'!$N$27:$Y$38,8,FALSE)/100)*'Calc (ex-housing, ex-storage)'!F60/100+'Calc (ex-animal)'!$H$16*(1-'DB additional information '!$L$5/100)*(1-VLOOKUP(D60,'DB technologies'!$N$27:$Y$38,8,FALSE)/100)*'Calc (ex-housing, ex-storage)'!F60/100))/VLOOKUP($C$56,'DB animal categories'!$C$22:$AC$31,27,FALSE)*AJ60+M60+N60+O60,IF(AI60=1,('Calc (ex-animal)'!$H$16*(1-'DB additional information '!$L$5/100)*(1-VLOOKUP(D60,'DB technologies'!$N$27:$Y$38,8,FALSE)/100)*'Calc (ex-housing, ex-storage)'!F60/100)/VLOOKUP($C$56,'DB animal categories'!$C$22:$AC$31,27,FALSE)*AJ60,IF(AI60=4,('Calc (ex-animal)'!$G$16*(1-'DB additional information '!$K$5/100)+'Calc (ex-animal)'!$H$16*(1-'DB additional information '!$L$5/100))*(1-VLOOKUP(D60,'DB technologies'!$N$27:$Y$38,8,FALSE)/100)*'Calc (ex-housing, ex-storage)'!F60/100*VLOOKUP(D60,'DB technologies'!$N$27:$Y$38,11,FALSE)/100/VLOOKUP($C$56,'DB animal categories'!$C$22:$AC$31,27,FALSE)*AJ60,0))))</f>
        <v/>
      </c>
      <c r="AN60" s="452" t="str">
        <f>IF(AI60="","",IF(AL60=0,0,AL60/AK60*100))</f>
        <v/>
      </c>
      <c r="AO60" s="184" t="str">
        <f>IF(D60="","",IF(AI60=2,(('Calc (ex-animal)'!$L$16*'Calc (ex-housing, ex-storage)'!F60/100+'Calc (ex-animal)'!$K$16*'Calc (ex-housing, ex-storage)'!F60/100))/VLOOKUP($C$56,'DB animal categories'!$C$22:$AC$31,27,FALSE)*AJ60+Q60+R60+S60-AC60,IF(AI60=1,('Calc (ex-animal)'!$L$16*'Calc (ex-housing, ex-storage)'!F60/100)/VLOOKUP($C$56,'DB animal categories'!$C$22:$AC$31,27,FALSE)*AJ60-'Calc (ex-housing, ex-storage)'!AC60,IF(AI60=4,('Calc (ex-animal)'!$L$16+'Calc (ex-animal)'!$K$16)*'Calc (ex-housing, ex-storage)'!F60/100*VLOOKUP(D60,'DB technologies'!$N$27:$Y$38,11,FALSE)/100/VLOOKUP($C$56,'DB animal categories'!$C$22:$AC$31,27,FALSE)*AJ60-AC60*VLOOKUP(D60,'DB technologies'!$N$27:$Y$38,11,FALSE)/100,0))))</f>
        <v/>
      </c>
      <c r="AP60" s="184" t="str">
        <f>IF(D60="","",IF(AO60&lt;-0.01,0,IF(AI60=2,(('Calc (ex-animal)'!$L$16*'Calc (ex-housing, ex-storage)'!F60/100+'Calc (ex-animal)'!$K$16*'Calc (ex-housing, ex-storage)'!F60/100))/VLOOKUP($C$56,'DB animal categories'!$C$22:$AC$31,27,FALSE)*AJ60+Q60+R60+S60-AC60,IF(AI60=1,('Calc (ex-animal)'!$L$16*'Calc (ex-housing, ex-storage)'!F60/100)/VLOOKUP($C$56,'DB animal categories'!$C$22:$AC$31,27,FALSE)*AJ60-'Calc (ex-housing, ex-storage)'!AC60,IF(AI60=4,('Calc (ex-animal)'!$L$16+'Calc (ex-animal)'!$K$16)*'Calc (ex-housing, ex-storage)'!F60/100*VLOOKUP(D60,'DB technologies'!$N$27:$Y$38,11,FALSE)/100/VLOOKUP($C$56,'DB animal categories'!$C$22:$AC$31,27,FALSE)*AJ60-AC60*VLOOKUP(D60,'DB technologies'!$N$27:$Y$38,11,FALSE)/100,0)))))</f>
        <v/>
      </c>
      <c r="AQ60" s="184" t="str">
        <f>IF(D60="","",IF(AI60=2,('Calc (ex-animal)'!$O$16*'Calc (ex-housing, ex-storage)'!F60/100+'Calc (ex-animal)'!$N$16*'Calc (ex-housing, ex-storage)'!F60/100)/VLOOKUP($C$56,'DB animal categories'!$C$22:$AC$31,27,FALSE)*AJ60+U60+V60+W60,IF(AI60=1,'Calc (ex-animal)'!$O$16*'Calc (ex-housing, ex-storage)'!F60/100/VLOOKUP($C$56,'DB animal categories'!$C$22:$AC$31,27,FALSE)*AJ60,IF(AI60=4,('Calc (ex-animal)'!$O$16+'Calc (ex-animal)'!$N$16)*'Calc (ex-housing, ex-storage)'!F60/100*VLOOKUP(D60,'DB technologies'!$N$27:$Y$38,11,FALSE)/100/VLOOKUP($C$56,'DB animal categories'!$C$22:$AC$31,27,FALSE)*AJ60,0))))</f>
        <v/>
      </c>
      <c r="AR60" s="184" t="str">
        <f>IF(D60="","",IF(AI60=2,('Calc (ex-animal)'!$R$16*'Calc (ex-housing, ex-storage)'!F60/100+'Calc (ex-animal)'!$Q$16*'Calc (ex-housing, ex-storage)'!F60/100)/VLOOKUP($C$56,'DB animal categories'!$C$22:$AC$31,27,FALSE)*AJ60+Y60+Z60+AA60,IF(AI60=1,'Calc (ex-animal)'!$R$16*'Calc (ex-housing, ex-storage)'!F60/100/VLOOKUP($C$56,'DB animal categories'!$C$22:$AC$31,27,FALSE)*AJ60,IF(AI60=4,('Calc (ex-animal)'!$R$16+'Calc (ex-animal)'!$Q$16)*'Calc (ex-housing, ex-storage)'!F60/100*VLOOKUP(D60,'DB technologies'!$N$27:$Y$38,11,FALSE)/100/VLOOKUP($C$56,'DB animal categories'!$C$22:$AC$31,27,FALSE)*AJ60,0))))</f>
        <v/>
      </c>
      <c r="AS60" s="183" t="str">
        <f>IF(D60="","",VLOOKUP(D60,'DB technologies'!$N$27:$Y$38,10,FALSE))</f>
        <v/>
      </c>
      <c r="AT60" s="452" t="str">
        <f>IF(AS60="","",AU60+AV60)</f>
        <v/>
      </c>
      <c r="AU60" s="452" t="str">
        <f>IF(D60="","",IF(AS60=2,0,IF(AS60=1,'Calc (ex-animal)'!$G$16*'DB additional information '!$K$5/100*(1-VLOOKUP(D60,'DB technologies'!$N$27:$Y$38,8,FALSE)/100)*'Calc (ex-housing, ex-storage)'!F60/100/VLOOKUP($C$56,'DB animal categories'!$C$22:$AC$31,27,FALSE)*AJ60+I60+J60+K60,IF(AS60=5,(('Calc (ex-animal)'!$G$16*'DB additional information '!$K$5/100+'Calc (ex-animal)'!$H$16*'DB additional information '!$L$5/100))*(1-VLOOKUP(D60,'DB technologies'!$N$27:$Y$38,9,FALSE)/100)*'Calc (ex-housing, ex-storage)'!F60/100/VLOOKUP($C$56,'DB animal categories'!$C$22:$AC$31,27,FALSE)*AJ60+I60+J60+K60,IF(AS60=3,('Calc (ex-animal)'!$G$16*'DB additional information '!$K$5/100+'Calc (ex-animal)'!$H$16*'DB additional information '!$L$5/100)*(1-VLOOKUP(D60,'DB technologies'!$N$27:$Y$38,9,FALSE)/100)*'Calc (ex-housing, ex-storage)'!F60/100/VLOOKUP($C$56,'DB animal categories'!$C$22:$AC$31,27,FALSE)*AJ60+I60+J60+K60,IF(AS60=4,('Calc (ex-animal)'!$G$16*'DB additional information '!$K$5/100+'Calc (ex-animal)'!$H$16*'DB additional information '!$L$5/100)*(1-VLOOKUP(D60,'DB technologies'!$N$27:$Y$38,9,FALSE)/100)*'Calc (ex-housing, ex-storage)'!F60/100*VLOOKUP(D60,'DB technologies'!$N$27:$Y$38,12,FALSE)/100/VLOOKUP($C$56,'DB animal categories'!$C$22:$AC$31,27,FALSE)*AJ60+I60+J60+K60,0))))))</f>
        <v/>
      </c>
      <c r="AV60" s="452" t="str">
        <f>IF(D60="","",IF(AS60=2,0,IF(AS60=1,'Calc (ex-animal)'!$G$16*(1-'DB additional information '!$K$5/100)*(1-VLOOKUP(D60,'DB technologies'!$N$27:$Y$38,8,FALSE)/100)*'Calc (ex-housing, ex-storage)'!F60/100/VLOOKUP($C$56,'DB animal categories'!$C$22:$AC$31,27,FALSE)*AJ60+M60+N60+O60,IF(AS60=5,('Calc (ex-animal)'!$G$16*(1-'DB additional information '!$K$5/100)+'Calc (ex-animal)'!$H$16*(1-'DB additional information '!$L$5/100))*(1-VLOOKUP(D60,'DB technologies'!$N$27:$Y$38,8,FALSE)/100)*'Calc (ex-housing, ex-storage)'!F60/100/VLOOKUP($C$56,'DB animal categories'!$C$22:$AC$31,27,FALSE)*AJ60+M60+N60+O60,IF(AS60=3,('Calc (ex-animal)'!$G$16*(1-'DB additional information '!$K$5/100)+'Calc (ex-animal)'!$H$16*(1-'DB additional information '!$L$5/100))*(1-VLOOKUP(D60,'DB technologies'!$N$27:$Y$38,8,FALSE)/100)*'Calc (ex-housing, ex-storage)'!F60/100/VLOOKUP($C$56,'DB animal categories'!$C$22:$AC$31,27,FALSE)*AJ60+M60+N60+O60,IF(AS60=4,('Calc (ex-animal)'!$G$16*(1-'DB additional information '!$K$5/100)+'Calc (ex-animal)'!$H$16*(1-'DB additional information '!$L$5/100))*(1-VLOOKUP(D60,'DB technologies'!$N$27:$Y$38,8,FALSE)/100)*'Calc (ex-housing, ex-storage)'!F60/100*VLOOKUP(D60,'DB technologies'!$N$27:$Y$38,12,FALSE)/100/VLOOKUP($C$56,'DB animal categories'!$C$22:$AC$31,27,FALSE)*AJ60+M60+N60+O60,0))))))</f>
        <v/>
      </c>
      <c r="AW60" s="452" t="str">
        <f>IF(AS60="","",IF(AU60=0,0,AU60/AT60*100))</f>
        <v/>
      </c>
      <c r="AX60" s="184" t="str">
        <f>IF(D60="","",IF(AS60=2,0,IF(AS60=1,'Calc (ex-animal)'!$K$16*'Calc (ex-housing, ex-storage)'!F60/100/VLOOKUP($C$56,'DB animal categories'!$C$22:$AC$31,27,FALSE)*AJ60+Q60+R60+S60,IF(AS60=5,('Calc (ex-animal)'!$K$16+'Calc (ex-animal)'!$L$16)*'Calc (ex-housing, ex-storage)'!F60/100/VLOOKUP($C$56,'DB animal categories'!$C$22:$AC$31,27,FALSE)*AJ60+Q60+R60+S60-'Calc (ex-housing, ex-storage)'!AC60,IF(AS60=3,('Calc (ex-animal)'!$K$16+'Calc (ex-animal)'!$L$16)*'Calc (ex-housing, ex-storage)'!F60/100/VLOOKUP($C$56,'DB animal categories'!$C$22:$AC$31,27,FALSE)*AJ60+Q60+R60+S60-'Calc (ex-housing, ex-storage)'!AC60-AD60-AE60,IF(AI60=4,('Calc (ex-animal)'!$K$16+'Calc (ex-animal)'!$L$16)*'Calc (ex-housing, ex-storage)'!F60/100*VLOOKUP(D60,'DB technologies'!$N$27:$Y$38,12,FALSE)/100/VLOOKUP($C$56,'DB animal categories'!$C$22:$AC$31,27,FALSE)*AJ60+Q60+R60+S60-(VLOOKUP(D60,'DB technologies'!$N$27:$Y$38,12,FALSE)/100*AC60)-AD60-AE60,0))))))</f>
        <v/>
      </c>
      <c r="AY60" s="184" t="str">
        <f>IF(D60="","",IF(AS60=2,0,IF(AS60=1,'Calc (ex-animal)'!$N$16*'Calc (ex-housing, ex-storage)'!F60/100/VLOOKUP($C$56,'DB animal categories'!$C$22:$AC$31,27,FALSE)*AJ60+U60+V60+W60,IF(AS60=5,('Calc (ex-animal)'!$N$16+'Calc (ex-animal)'!$O$16)*'Calc (ex-housing, ex-storage)'!F60/100/VLOOKUP($C$56,'DB animal categories'!$C$22:$AC$31,27,FALSE)*AJ60+U60+V60+W60,IF(AS60=3,('Calc (ex-animal)'!$N$16+'Calc (ex-animal)'!$O$16)*'Calc (ex-housing, ex-storage)'!F60/100/VLOOKUP($C$56,'DB animal categories'!$C$22:$AC$31,27,FALSE)*AJ60+U60+V60+W60,IF(AS60=4,('Calc (ex-animal)'!$N$16+'Calc (ex-animal)'!$O$16)*'Calc (ex-housing, ex-storage)'!F60/100*VLOOKUP(D60,'DB technologies'!$N$27:$Y$38,12,FALSE)/100/VLOOKUP($C$56,'DB animal categories'!$C$22:$AC$31,27,FALSE)*AJ60+U60+V60+W60,0))))))</f>
        <v/>
      </c>
      <c r="AZ60" s="184" t="str">
        <f>IF(D60="","",IF(AS60=2,0,IF(AS60=1,'Calc (ex-animal)'!$Q$16*'Calc (ex-housing, ex-storage)'!F60/100/VLOOKUP($C$56,'DB animal categories'!$C$22:$AC$31,27,FALSE)*AJ60+Y60+Z60+AA60,IF(AS60=5,('Calc (ex-animal)'!$Q$16+'Calc (ex-animal)'!$R$16)*'Calc (ex-housing, ex-storage)'!F60/100/VLOOKUP($C$56,'DB animal categories'!$C$22:$AC$31,27,FALSE)*AJ60+Y60+Z60+AA60,IF(AS60=3,('Calc (ex-animal)'!$Q$16+'Calc (ex-animal)'!$R$16)*'Calc (ex-housing, ex-storage)'!F60/100/VLOOKUP($C$56,'DB animal categories'!$C$22:$AC$31,27,FALSE)*AJ60+Y60+Z60+AA60,IF(AS60=4,('Calc (ex-animal)'!$Q$16+'Calc (ex-animal)'!$R$16)*'Calc (ex-housing, ex-storage)'!F60/100*VLOOKUP(D60,'DB technologies'!$N$27:$Y$38,12,FALSE)/100/VLOOKUP($C$56,'DB animal categories'!$C$22:$AC$31,27,FALSE)*AJ60+Y60+Z60+AA60,0))))))</f>
        <v/>
      </c>
      <c r="BA60" s="506"/>
      <c r="BB60" s="506"/>
      <c r="BC60" s="506"/>
      <c r="BG60" s="1357"/>
      <c r="BH60" s="1361"/>
      <c r="BI60" s="598" t="str">
        <f>IF(BG60="","",$BA$58*BH60/100-($BB$58*BH60/100*VLOOKUP(BG60,'DB technologies'!$AC$53:$AT$57,5,FALSE)/100)+(VLOOKUP(BG60,'DB technologies'!$AC$53:$AT$57,12,FALSE)*$BA$58*BH60/100))</f>
        <v/>
      </c>
      <c r="BJ60" s="551">
        <f>IF(BI60="",0,BI60*BK60/100)</f>
        <v>0</v>
      </c>
      <c r="BK60" s="559" t="str">
        <f>IF(BG60="","",IF($BA$58=0,0,($BB$58*BH60/100)/BI60*(1-(VLOOKUP(BG60,'DB technologies'!$AC$53:$AQ$57,5,FALSE))/100)*100))</f>
        <v/>
      </c>
      <c r="BL60" s="261" t="str">
        <f>IF(BG60="","",$BD$58*(1-VLOOKUP(BG60,'DB technologies'!$AC$53:$AS$57,12,FALSE)/100)*BH60/100-BO60-BP60-BQ60-BR60)</f>
        <v/>
      </c>
      <c r="BM60" s="261" t="str">
        <f>IF(BG60="","",$BE$58*(1-VLOOKUP(BG60,'DB technologies'!$AC$53:$AS$57,12,FALSE)/100)*BH60/100-BS60)</f>
        <v/>
      </c>
      <c r="BN60" s="261" t="str">
        <f>IF(BG60="","",$BF$58*(1-VLOOKUP(BG60,'DB technologies'!$AC$53:$AS$57,12,FALSE)/100)*BH60/100-BT60)</f>
        <v/>
      </c>
      <c r="BO60" s="261" t="str">
        <f>IF(BG60="","",$BD$58*BH60/100*VLOOKUP(BG60,'DB technologies'!$AC$53:$AF$57,2,FALSE)/100)</f>
        <v/>
      </c>
      <c r="BP60" s="261" t="str">
        <f>IF(BG60="","",$BD$58*BH60/100*VLOOKUP(BG60,'DB technologies'!$AC$53:$AN$57,3,FALSE)/100)</f>
        <v/>
      </c>
      <c r="BQ60" s="261" t="str">
        <f>IF(BG60="","",$BD$58*BH60/100*VLOOKUP(BG60,'DB technologies'!$AC$53:$AN$57,4,FALSE)/100)</f>
        <v/>
      </c>
      <c r="BR60" s="264" t="str">
        <f>IF(BG60="","",VLOOKUP(BG60,'DB technologies'!$AC$53:$AQ$57,13,FALSE)/100*$BD$58*BH60/100)</f>
        <v/>
      </c>
      <c r="BS60" s="261" t="str">
        <f>IF(BG60="","",VLOOKUP(BG60,'DB technologies'!$AC$53:$AQ$57,14,FALSE)/100*$BE$58*BH60/100)</f>
        <v/>
      </c>
      <c r="BT60" s="262" t="str">
        <f>IF(BG60="","",VLOOKUP(BG60,'DB technologies'!$AC$53:$AQ$57,15,FALSE)/100*$BF$58*BH60/100)</f>
        <v/>
      </c>
    </row>
    <row r="61" spans="1:72" ht="12" customHeight="1" thickBot="1" x14ac:dyDescent="0.25">
      <c r="A61" s="684"/>
      <c r="B61" s="695"/>
      <c r="C61" s="252"/>
      <c r="D61" s="269" t="s">
        <v>58</v>
      </c>
      <c r="E61" s="270">
        <f>IF(F61&lt;=100,SUM(E56:E60),"ERROR")</f>
        <v>0</v>
      </c>
      <c r="F61" s="284">
        <f>IF(SUM(F56:F60) &lt;=100,SUM(F56:F60),"ERROR, SUM&gt;100%")</f>
        <v>0</v>
      </c>
      <c r="G61" s="492">
        <f>IF('Calc (ex-animal)'!$F$9=1,"",SUM(G56:G60))</f>
        <v>0</v>
      </c>
      <c r="H61" s="433">
        <f>IF('Calc (ex-animal)'!$F$8=1,"",SUM(H56:H60))</f>
        <v>0</v>
      </c>
      <c r="I61" s="433">
        <f>IF('Calc (ex-animal)'!$F$8=1,"",SUM(I56:I60))</f>
        <v>0</v>
      </c>
      <c r="J61" s="433">
        <f>IF('Calc (ex-animal)'!$F$8=1,"",SUM(J56:J60))</f>
        <v>0</v>
      </c>
      <c r="K61" s="433">
        <f>IF('Calc (ex-animal)'!$F$8=1,"",SUM(K56:K60))</f>
        <v>0</v>
      </c>
      <c r="L61" s="470"/>
      <c r="M61" s="470"/>
      <c r="N61" s="470"/>
      <c r="O61" s="470"/>
      <c r="P61" s="478">
        <f>IF(G61=0,0,IF('Calc (ex-animal)'!$F$9=1,"",IF(D61="","",SUM(H61:K61)/G61*100)))</f>
        <v>0</v>
      </c>
      <c r="Q61" s="487"/>
      <c r="R61" s="487"/>
      <c r="S61" s="487"/>
      <c r="T61" s="278">
        <f>IF('Calc (ex-animal)'!$F$16=1,"",SUM(T56:T60))</f>
        <v>0</v>
      </c>
      <c r="U61" s="489"/>
      <c r="V61" s="489"/>
      <c r="W61" s="489"/>
      <c r="X61" s="279">
        <f>IF('Calc (ex-animal)'!$F$16=1,"",SUM(X56:X60))</f>
        <v>0</v>
      </c>
      <c r="Y61" s="489"/>
      <c r="Z61" s="489"/>
      <c r="AA61" s="489"/>
      <c r="AB61" s="279">
        <f>IF('Calc (ex-animal)'!$F$16=1,"",SUM(AB56:AB60))</f>
        <v>0</v>
      </c>
      <c r="AC61" s="279">
        <f>IF('Calc (ex-animal)'!$F$16=1,"",SUM(AC56:AC60))</f>
        <v>0</v>
      </c>
      <c r="AD61" s="279">
        <f>IF('Calc (ex-animal)'!$F$16=1,"",SUM(AD56:AD60))</f>
        <v>0</v>
      </c>
      <c r="AE61" s="280">
        <f>IF('Calc (ex-animal)'!$F$16=1,"",SUM(AE56:AE60))</f>
        <v>0</v>
      </c>
      <c r="AG61" s="695"/>
      <c r="AH61" s="695"/>
      <c r="BG61" s="1357"/>
      <c r="BH61" s="1361"/>
      <c r="BI61" s="598" t="str">
        <f>IF(BG61="","",$BA$58*BH61/100-($BB$58*BH61/100*VLOOKUP(BG61,'DB technologies'!$AC$53:$AT$57,5,FALSE)/100)+(VLOOKUP(BG61,'DB technologies'!$AC$53:$AT$57,12,FALSE)*$BA$58*BH61/100))</f>
        <v/>
      </c>
      <c r="BJ61" s="551">
        <f>IF(BI61="",0,BI61*BK61/100)</f>
        <v>0</v>
      </c>
      <c r="BK61" s="559" t="str">
        <f>IF(BG61="","",IF($BA$58=0,0,($BB$58*BH61/100)/BI61*(1-(VLOOKUP(BG61,'DB technologies'!$AC$53:$AQ$57,5,FALSE))/100)*100))</f>
        <v/>
      </c>
      <c r="BL61" s="261" t="str">
        <f>IF(BG61="","",$BD$58*(1-VLOOKUP(BG61,'DB technologies'!$AC$53:$AS$57,12,FALSE)/100)*BH61/100-BO61-BP61-BQ61-BR61)</f>
        <v/>
      </c>
      <c r="BM61" s="261" t="str">
        <f>IF(BG61="","",$BE$58*(1-VLOOKUP(BG61,'DB technologies'!$AC$53:$AS$57,12,FALSE)/100)*BH61/100-BS61)</f>
        <v/>
      </c>
      <c r="BN61" s="261" t="str">
        <f>IF(BG61="","",$BF$58*(1-VLOOKUP(BG61,'DB technologies'!$AC$53:$AS$57,12,FALSE)/100)*BH61/100-BT61)</f>
        <v/>
      </c>
      <c r="BO61" s="261" t="str">
        <f>IF(BG61="","",$BD$58*BH61/100*VLOOKUP(BG61,'DB technologies'!$AC$53:$AF$57,2,FALSE)/100)</f>
        <v/>
      </c>
      <c r="BP61" s="261" t="str">
        <f>IF(BG61="","",$BD$58*BH61/100*VLOOKUP(BG61,'DB technologies'!$AC$53:$AN$57,3,FALSE)/100)</f>
        <v/>
      </c>
      <c r="BQ61" s="261" t="str">
        <f>IF(BG61="","",$BD$58*BH61/100*VLOOKUP(BG61,'DB technologies'!$AC$53:$AN$57,4,FALSE)/100)</f>
        <v/>
      </c>
      <c r="BR61" s="264" t="str">
        <f>IF(BG61="","",VLOOKUP(BG61,'DB technologies'!$AC$53:$AQ$57,13,FALSE)/100*$BD$58*BH61/100)</f>
        <v/>
      </c>
      <c r="BS61" s="261" t="str">
        <f>IF(BG61="","",VLOOKUP(BG61,'DB technologies'!$AC$53:$AQ$57,14,FALSE)/100*$BE$58*BH61/100)</f>
        <v/>
      </c>
      <c r="BT61" s="262" t="str">
        <f>IF(BG61="","",VLOOKUP(BG61,'DB technologies'!$AC$53:$AQ$57,15,FALSE)/100*$BF$58*BH61/100)</f>
        <v/>
      </c>
    </row>
    <row r="62" spans="1:72" ht="11.25" customHeight="1" thickBot="1" x14ac:dyDescent="0.25">
      <c r="A62" s="684"/>
      <c r="B62" s="695"/>
      <c r="C62" s="250">
        <f>'Calc (ex-animal)'!D17</f>
        <v>0</v>
      </c>
      <c r="D62" s="1355"/>
      <c r="E62" s="1356"/>
      <c r="F62" s="479" t="str">
        <f>IF('Calc (ex-animal)'!$F$9=1,"",IF($C$62=0,"",IF(D62="","",E62/'Calc (ex-animal)'!$E$17*100)))</f>
        <v/>
      </c>
      <c r="G62" s="484" t="str">
        <f>IF($C$62=0,"",IF('Calc (ex-animal)'!$F$8=1,"",IF(D62="","",SUM(H62:O62))))</f>
        <v/>
      </c>
      <c r="H62" s="471" t="str">
        <f>IF('Calc (ex-animal)'!$F$8=1,"",IF(D62="","",(((VLOOKUP($C$62,'Calc (ex-animal)'!$D$13:$Y$17,6,FALSE)-VLOOKUP($C$62,'Calc (ex-animal)'!$D$13:$Y$17,17,FALSE))*F62/100))*VLOOKUP($C$62,'Calc (ex-animal)'!$D$13:$Y$17,7,FALSE)/100*(1-VLOOKUP(D62,'DB technologies'!$N$27:$Y$38,9,FALSE)/100)))</f>
        <v/>
      </c>
      <c r="I62" s="471" t="str">
        <f>IF(D62="","",((VLOOKUP(D62,'DB technologies'!$N$27:$Y$38,2,FALSE)*VLOOKUP($C$62,'DB animal categories'!$C$22:$AC$31,27,FALSE)*E62/1000)/VLOOKUP($C$62,'DB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'!$S$6/100*(1-VLOOKUP(D62,'DB technologies'!$N$27:$Y$38,9,FALSE)/100)))</f>
        <v/>
      </c>
      <c r="J62" s="472" t="str">
        <f>IF(D62="","",((VLOOKUP(D62,'DB technologies'!$N$27:$Y$38,3,FALSE)*VLOOKUP($C$62,'DB animal categories'!$C$22:$AC$31,27,FALSE)*E62/1000)/VLOOKUP($C$62,'DB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'!$S$7/100*(1-VLOOKUP(D62,'DB technologies'!$N$27:$Y$38,9,FALSE)/100)))</f>
        <v/>
      </c>
      <c r="K62" s="472" t="str">
        <f>IF(D62="","",((VLOOKUP(D62,'DB technologies'!$N$27:$Y$38,4,FALSE)*E62*'DB additional information '!$S$8/100*(1-VLOOKUP(D62,'DB technologies'!$N$27:$Y$38,9,FALSE)/100))/VLOOKUP($C$62,'DB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L62" s="471" t="str">
        <f>IF('Calc (ex-animal)'!$F$8=1,"",IF(D62="","",(((VLOOKUP($C$62,'Calc (ex-animal)'!$D$13:$Y$17,6,FALSE)-VLOOKUP($C$62,'Calc (ex-animal)'!$D$13:$Y$17,17,FALSE))*F62/100))*(1-VLOOKUP($C$62,'Calc (ex-animal)'!$D$13:$Y$17,7,FALSE)/100)*(1-VLOOKUP(D62,'DB technologies'!$N$27:$V$38,8,FALSE)/100)))</f>
        <v/>
      </c>
      <c r="M62" s="472" t="str">
        <f>IF(D62="","",((VLOOKUP(D62,'DB technologies'!$N$27:$Y$38,2,FALSE)*VLOOKUP($C$62,'DB animal categories'!$C$22:$AC$31,27,FALSE)*E62/1000)/VLOOKUP($C$62,'DB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'!$S$6/100)*(1-VLOOKUP(D62,'DB technologies'!$N$27:$Y$38,9,FALSE)/100))</f>
        <v/>
      </c>
      <c r="N62" s="472" t="str">
        <f>IF(D62="","",((VLOOKUP(D62,'DB technologies'!$N$27:$Y$38,3,FALSE)*VLOOKUP($C$62,'DB animal categories'!$C$22:$AC$31,27,FALSE)*E62/1000)/VLOOKUP($C$62,'DB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'!$S$7/100)*(1-VLOOKUP(D62,'DB technologies'!$N$27:$Y$38,9,FALSE)/100))</f>
        <v/>
      </c>
      <c r="O62" s="471" t="str">
        <f>IF(D62="","",((VLOOKUP(D62,'DB technologies'!$N$27:$Y$38,4,FALSE)*E62*(1-'DB additional information '!$S$8/100)*(1-VLOOKUP(D62,'DB technologies'!$N$27:$Y$38,8,FALSE)/100))/VLOOKUP($C$62,'DB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P62" s="443" t="str">
        <f>IF(G62=0,0,IF(E62="","",IF(F62="","",IF($C$62=0,"",IF(D62="","",SUM(H62:K62)/G62*100)))))</f>
        <v/>
      </c>
      <c r="Q62" s="473" t="str">
        <f>IF(D62="","",(VLOOKUP(D62,'DB technologies'!$N$27:$Y$38,2,FALSE)*'DB additional information '!$S$6/100*'DB additional information '!$T$6*VLOOKUP($C$62,'DB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R62" s="473" t="str">
        <f>IF(D62="","",(VLOOKUP(D62,'DB technologies'!$N$27:$Y$38,3,FALSE)*'DB additional information '!$S$7/100*'DB additional information '!$T$7*VLOOKUP($C$62,'DB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S62" s="490" t="str">
        <f>IF(D62="","",(VLOOKUP(D62,'DB technologies'!$N$27:$Y$38,4,FALSE)*('DB additional information '!$S$8/100*'DB additional information '!$T$8*E62/1000/1000)))</f>
        <v/>
      </c>
      <c r="T62" s="263" t="str">
        <f>IF($C$62=0,"",IF('Calc (ex-animal)'!$F$9=1,"",IF(D62="","",((VLOOKUP($C$62,'Calc (ex-animal)'!$D$13:$Y$17,10,FALSE)-VLOOKUP($C$62,'Calc (ex-animal)'!$D$13:$Y$17,18,FALSE))*F62/100+Q62+R62+S62)-AC62-AD62-AE62)))</f>
        <v/>
      </c>
      <c r="U62" s="474" t="str">
        <f>IF(D62="","",(VLOOKUP(D62,'DB technologies'!$N$27:$Y$38,2,FALSE)*'DB additional information '!$S$6/100*'DB additional information '!$U$6*VLOOKUP($C$62,'DB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V62" s="420" t="str">
        <f>IF(D62="","",(VLOOKUP(D62,'DB technologies'!$N$27:$Y$38,3,FALSE)*'DB additional information '!$S$7/100*'DB additional information '!$U$7*VLOOKUP($C$62,'DB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W62" s="415" t="str">
        <f>IF(D62="","",(VLOOKUP(D62,'DB technologies'!$N$27:$Y$38,4,FALSE)*('DB additional information '!$S$8/100*'DB additional information '!$U$8*E62/1000/1000)))</f>
        <v/>
      </c>
      <c r="X62" s="259" t="str">
        <f>IF($C$62=0,"",IF('Calc (ex-animal)'!$F$9=1,"",IF(D62="","",((VLOOKUP($C$62,'Calc (ex-animal)'!$D$13:$Y$17,13,FALSE)-VLOOKUP($C$62,'Calc (ex-animal)'!$D$13:$Y$17,19,FALSE))*F62/100+U62+V62+W62))))</f>
        <v/>
      </c>
      <c r="Y62" s="420" t="str">
        <f>IF(D62="","",(VLOOKUP(D62,'DB technologies'!$N$27:$Y$38,2,FALSE)*'DB additional information '!$S$6/100*'DB additional information '!$V$6*VLOOKUP($C$62,'DB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Z62" s="420" t="str">
        <f>IF(D62="","",(VLOOKUP(D62,'DB technologies'!$N$27:$Y$38,3,FALSE)*'DB additional information '!$S$7/100*'DB additional information '!$V$7*VLOOKUP($C$62,'DB animal categories'!$C$22:$AC$31,27,FALSE)*E62/1000/1000)/VLOOKUP($C$62,'DB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AA62" s="420" t="str">
        <f>IF(D62="","",(VLOOKUP(D62,'DB technologies'!$N$27:$Y$38,4,FALSE)*('DB additional information '!$S$8/100*'DB additional information '!$V$8*E62/1000/1000)))</f>
        <v/>
      </c>
      <c r="AB62" s="259" t="str">
        <f>IF($C$62=0,"",IF('Calc (ex-animal)'!$F$8=1,"",IF(D62="","",((VLOOKUP($C$62,'Calc (ex-animal)'!$D$13:$Y$17,16,FALSE)-VLOOKUP($C$62,'Calc (ex-animal)'!$D$13:$Y$17,20,FALSE))*F62/100+Y62+Z62+AA62))))</f>
        <v/>
      </c>
      <c r="AC62" s="259" t="str">
        <f>IF($C$62=0,"",IF('Calc (ex-animal)'!$F$8=1,"",IF(D62="","",VLOOKUP($C$62,'Calc (ex-animal)'!$D$13:$Y$17,9,FALSE)/VLOOKUP($C$62,'DB animal categories'!$C$22:$AC$31,27,FALSE)*(VLOOKUP($C$62,'DB animal categories'!$C$22:$AC$31,27,FALSE)-VLOOKUP($C$62,'DB animal categories'!$C$22:$AC$31,25,FALSE)*VLOOKUP($C$62,'DB animal categories'!$C$22:$AC$31,26,FALSE)/24)*F62/100*VLOOKUP(D62,'DB technologies'!$N$27:$R$38,5,FALSE)/100)))</f>
        <v/>
      </c>
      <c r="AD62" s="259" t="str">
        <f>IF($C$62=0,"",IF('Calc (ex-animal)'!$F$8=1,"",IF(D62="","",VLOOKUP($C$62,'Calc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categories'!$C$22:$AC$31,26,FALSE)/24)*F62/100*VLOOKUP(D62,'DB technologies'!$N$27:$Y$38,6,FALSE)/100)))</f>
        <v/>
      </c>
      <c r="AE62" s="260" t="str">
        <f>IF($C$62=0,"",IF('Calc (ex-animal)'!$F$8=1,"",IF(D62="","",VLOOKUP($C$62,'Calc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categories'!$C$22:$AC$31,26,FALSE)/24)*F62/100*VLOOKUP(D62,'DB technologies'!$N$27:$Y$38,7,FALSE)/100)))</f>
        <v/>
      </c>
      <c r="AG62" s="695"/>
      <c r="AH62" s="695"/>
      <c r="AI62" s="179" t="str">
        <f>IF(D62="","",VLOOKUP(D62,'DB technologies'!$N$27:$Y$38,10,FALSE))</f>
        <v/>
      </c>
      <c r="AJ62" s="482" t="e">
        <f>VLOOKUP($C$62,'DB animal categories'!$C$22:$AN$31,27,FALSE)-VLOOKUP($C$62,'DB animal categories'!$C$22:$AN$31,26,FALSE)*VLOOKUP($C$62,'DB animal categories'!$C$22:$AN$31,25,FALSE)/24</f>
        <v>#N/A</v>
      </c>
      <c r="AK62" s="453" t="str">
        <f>IF(AI62="","",AL62+AM62)</f>
        <v/>
      </c>
      <c r="AL62" s="453" t="str">
        <f>IF(D62="","",IF(AI62=2,(('Calc (ex-animal)'!$G$17*'DB additional information '!$K$5/100*(1-VLOOKUP(D62,'DB technologies'!$N$27:$Y$38,9,FALSE)/100)*'Calc (ex-housing, ex-storage)'!F62/100+'Calc (ex-animal)'!$H$17*'DB additional information '!$L$5/100*(1-VLOOKUP(D62,'DB technologies'!$N$27:$Y$38,9,FALSE)/100)*'Calc (ex-housing, ex-storage)'!F62/100))/VLOOKUP($C$62,'DB animal categories'!$C$22:$AC$31,27,FALSE)*AJ62+I62+J62+K62,IF(AI62=1,('Calc (ex-animal)'!$H$17*'DB additional information '!$L$5/100*(1-VLOOKUP(D62,'DB technologies'!$N$27:$Y$38,9,FALSE)/100)*'Calc (ex-housing, ex-storage)'!F62/100)/VLOOKUP($C$62,'DB animal categories'!$C$22:$AC$31,27,FALSE)*AJ62,IF(AI62=4,('Calc (ex-animal)'!$G$17*'DB additional information '!$K$5/100+'Calc (ex-animal)'!$H$17*'DB additional information '!$L$5/100)*(1-VLOOKUP(D62,'DB technologies'!$N$27:$Y$38,9,FALSE)/100)*'Calc (ex-housing, ex-storage)'!F62/100*VLOOKUP(D62,'DB technologies'!$N$27:$Y$38,11,FALSE)/100/VLOOKUP($C$62,'DB animal categories'!$C$22:$AC$31,27,FALSE)*AJ62,0))))</f>
        <v/>
      </c>
      <c r="AM62" s="453" t="str">
        <f>IF(D62="","",IF(AI62=2,(('Calc (ex-animal)'!$G$17*(1-'DB additional information '!$K$5/100)*(1-VLOOKUP(D62,'DB technologies'!$N$27:$Y$38,8,FALSE)/100)*'Calc (ex-housing, ex-storage)'!F62/100+'Calc (ex-animal)'!$H$17*(1-'DB additional information '!$L$5/100)*(1-VLOOKUP(D62,'DB technologies'!$N$27:$Y$38,8,FALSE)/100)*'Calc (ex-housing, ex-storage)'!F62/100))/VLOOKUP($C$62,'DB animal categories'!$C$22:$AC$31,27,FALSE)*AJ62+M62+N62+O62,IF(AI62=1,('Calc (ex-animal)'!$H$17*(1-'DB additional information '!$L$5/100)*(1-VLOOKUP(D62,'DB technologies'!$N$27:$Y$38,8,FALSE)/100)*'Calc (ex-housing, ex-storage)'!F62/100)/VLOOKUP($C$62,'DB animal categories'!$C$22:$AC$31,27,FALSE)*AJ62,IF(AI62=4,('Calc (ex-animal)'!$G$17*(1-'DB additional information '!$K$5/100)+'Calc (ex-animal)'!$H$17*(1-'DB additional information '!$L$5/100))*(1-VLOOKUP(D62,'DB technologies'!$N$27:$Y$38,8,FALSE)/100)*'Calc (ex-housing, ex-storage)'!F62/100*VLOOKUP(D62,'DB technologies'!$N$27:$Y$38,11,FALSE)/100/VLOOKUP($C$62,'DB animal categories'!$C$22:$AC$31,27,FALSE)*AJ62,0))))</f>
        <v/>
      </c>
      <c r="AN62" s="453" t="str">
        <f>IF(AI62="","",IF(AL62=0,0,AL62/AK62*100))</f>
        <v/>
      </c>
      <c r="AO62" s="180" t="str">
        <f>IF(D62="","",IF(AI62=2,(('Calc (ex-animal)'!$L$17*'Calc (ex-housing, ex-storage)'!F62/100+'Calc (ex-animal)'!$K$17*'Calc (ex-housing, ex-storage)'!F62/100))/VLOOKUP($C$62,'DB animal categories'!$C$22:$AC$31,27,FALSE)*AJ62+Q62+R62+S62-AC62,IF(AI62=1,('Calc (ex-animal)'!$L$17*'Calc (ex-housing, ex-storage)'!F62/100)/VLOOKUP($C$62,'DB animal categories'!$C$22:$AC$31,27,FALSE)*AJ62-'Calc (ex-housing, ex-storage)'!AC62,IF(AI62=4,('Calc (ex-animal)'!$L$17+'Calc (ex-animal)'!$K$17)*'Calc (ex-housing, ex-storage)'!F62/100*VLOOKUP(D62,'DB technologies'!$N$27:$Y$38,11,FALSE)/100/VLOOKUP($C$62,'DB animal categories'!$C$22:$AC$31,27,FALSE)*AJ62-AC62*VLOOKUP(D62,'DB technologies'!$N$27:$Y$38,11,FALSE)/100,0))))</f>
        <v/>
      </c>
      <c r="AP62" s="180" t="str">
        <f>IF(D62="","",IF(AO62&lt;-0.01,0,IF(AI62=2,(('Calc (ex-animal)'!$L$17*'Calc (ex-housing, ex-storage)'!F62/100+'Calc (ex-animal)'!$K$17*'Calc (ex-housing, ex-storage)'!F62/100))/VLOOKUP($C$62,'DB animal categories'!$C$22:$AC$31,27,FALSE)*AJ62+Q62+R62+S62-AC62,IF(AI62=1,('Calc (ex-animal)'!$L$17*'Calc (ex-housing, ex-storage)'!F62/100)/VLOOKUP($C$62,'DB animal categories'!$C$22:$AC$31,27,FALSE)*AJ62-'Calc (ex-housing, ex-storage)'!AC62,IF(AI62=4,('Calc (ex-animal)'!$L$17+'Calc (ex-animal)'!$K$17)*'Calc (ex-housing, ex-storage)'!F62/100*VLOOKUP(D62,'DB technologies'!$N$27:$Y$38,11,FALSE)/100/VLOOKUP($C$62,'DB animal categories'!$C$22:$AC$31,27,FALSE)*AJ62-AC62*VLOOKUP(D62,'DB technologies'!$N$27:$Y$38,11,FALSE)/100,0)))))</f>
        <v/>
      </c>
      <c r="AQ62" s="180" t="str">
        <f>IF(D62="","",IF(AI62=2,('Calc (ex-animal)'!$O$17*'Calc (ex-housing, ex-storage)'!F62/100+'Calc (ex-animal)'!$N$17*'Calc (ex-housing, ex-storage)'!F62/100)/VLOOKUP($C$62,'DB animal categories'!$C$22:$AC$31,27,FALSE)*AJ62+U62+V62+W62,IF(AI62=1,'Calc (ex-animal)'!$O$17*'Calc (ex-housing, ex-storage)'!F62/100/VLOOKUP($C$62,'DB animal categories'!$C$22:$AC$31,27,FALSE)*AJ62,IF(AI62=4,('Calc (ex-animal)'!$O$17+'Calc (ex-animal)'!$N$17)*'Calc (ex-housing, ex-storage)'!F62/100*VLOOKUP(D62,'DB technologies'!$N$27:$Y$38,11,FALSE)/100/VLOOKUP($C$62,'DB animal categories'!$C$22:$AC$31,27,FALSE)*AJ62,0))))</f>
        <v/>
      </c>
      <c r="AR62" s="180" t="str">
        <f>IF(D62="","",IF(AI62=2,('Calc (ex-animal)'!$R$17*'Calc (ex-housing, ex-storage)'!F62/100+'Calc (ex-animal)'!$Q$17*'Calc (ex-housing, ex-storage)'!F62/100)/VLOOKUP($C$62,'DB animal categories'!$C$22:$AC$31,27,FALSE)*AJ62+Y62+Z62+AA62,IF(AI62=1,'Calc (ex-animal)'!$R$17*'Calc (ex-housing, ex-storage)'!F62/100/VLOOKUP($C$62,'DB animal categories'!$C$22:$AC$31,27,FALSE)*AJ62,IF(AI62=4,('Calc (ex-animal)'!$R$17+'Calc (ex-animal)'!$Q$17)*'Calc (ex-housing, ex-storage)'!F62/100*VLOOKUP(D62,'DB technologies'!$N$27:$Y$38,11,FALSE)/100/VLOOKUP($C$62,'DB animal categories'!$C$22:$AC$31,27,FALSE)*AJ62,0))))</f>
        <v/>
      </c>
      <c r="AS62" s="179" t="str">
        <f>IF(D62="","",VLOOKUP(D62,'DB technologies'!$N$27:$Y$38,10,FALSE))</f>
        <v/>
      </c>
      <c r="AT62" s="453" t="str">
        <f>IF(AS62="","",AU62+AV62)</f>
        <v/>
      </c>
      <c r="AU62" s="453" t="str">
        <f>IF(D62="","",IF(AS62=2,0,IF(AS62=1,'Calc (ex-animal)'!$G$17*'DB additional information '!$K$5/100*(1-VLOOKUP(D62,'DB technologies'!$N$27:$Y$38,8,FALSE)/100)*'Calc (ex-housing, ex-storage)'!F62/100/VLOOKUP($C$62,'DB animal categories'!$C$22:$AC$31,27,FALSE)*AJ62+I62+J62+K62,IF(AS62=5,(('Calc (ex-animal)'!$G$17*'DB additional information '!$K$5/100+'Calc (ex-animal)'!$H$17*'DB additional information '!$L$5/100))*(1-VLOOKUP(D62,'DB technologies'!$N$27:$Y$38,9,FALSE)/100)*'Calc (ex-housing, ex-storage)'!F62/100/VLOOKUP($C$62,'DB animal categories'!$C$22:$AC$31,27,FALSE)*AJ62+I62+J62+K62,IF(AS62=3,('Calc (ex-animal)'!$G$17*'DB additional information '!$K$5/100+'Calc (ex-animal)'!$H$17*'DB additional information '!$L$5/100)*(1-VLOOKUP(D62,'DB technologies'!$N$27:$Y$38,9,FALSE)/100)*'Calc (ex-housing, ex-storage)'!F62/100/VLOOKUP($C$62,'DB animal categories'!$C$22:$AC$31,27,FALSE)*AJ62+I62+J62+K62,IF(AS62=4,('Calc (ex-animal)'!$G$17*'DB additional information '!$K$5/100+'Calc (ex-animal)'!$H$17*'DB additional information '!$L$5/100)*(1-VLOOKUP(D62,'DB technologies'!$N$27:$Y$38,9,FALSE)/100)*'Calc (ex-housing, ex-storage)'!F62/100*VLOOKUP(D62,'DB technologies'!$N$27:$Y$38,12,FALSE)/100/VLOOKUP($C$62,'DB animal categories'!$C$22:$AC$31,27,FALSE)*AJ62+I62+J62+K62,0))))))</f>
        <v/>
      </c>
      <c r="AV62" s="453" t="str">
        <f>IF(D62="","",IF(AS62=2,0,IF(AS62=1,'Calc (ex-animal)'!$G$17*(1-'DB additional information '!$K$5/100)*(1-VLOOKUP(D62,'DB technologies'!$N$27:$Y$38,8,FALSE)/100)*'Calc (ex-housing, ex-storage)'!F62/100/VLOOKUP($C$62,'DB animal categories'!$C$22:$AC$31,27,FALSE)*AJ62+M62+N62+O62,IF(AS62=5,('Calc (ex-animal)'!$G$17*(1-'DB additional information '!$K$5/100)+'Calc (ex-animal)'!$H$17*(1-'DB additional information '!$L$5/100))*(1-VLOOKUP(D62,'DB technologies'!$N$27:$Y$38,8,FALSE)/100)*'Calc (ex-housing, ex-storage)'!F62/100/VLOOKUP($C$62,'DB animal categories'!$C$22:$AC$31,27,FALSE)*AJ62+M62+N62+O62,IF(AS62=3,('Calc (ex-animal)'!$G$17*(1-'DB additional information '!$K$5/100)+'Calc (ex-animal)'!$H$17*(1-'DB additional information '!$L$5/100))*(1-VLOOKUP(D62,'DB technologies'!$N$27:$Y$38,8,FALSE)/100)*'Calc (ex-housing, ex-storage)'!F62/100/VLOOKUP($C$62,'DB animal categories'!$C$22:$AC$31,27,FALSE)*AJ62+M62+N62+O62,IF(AS62=4,('Calc (ex-animal)'!$G$17*(1-'DB additional information '!$K$5/100)+'Calc (ex-animal)'!$H$17*(1-'DB additional information '!$L$5/100))*(1-VLOOKUP(D62,'DB technologies'!$N$27:$Y$38,8,FALSE)/100)*'Calc (ex-housing, ex-storage)'!F62/100*VLOOKUP(D62,'DB technologies'!$N$27:$Y$38,12,FALSE)/100/VLOOKUP($C$62,'DB animal categories'!$C$22:$AC$31,27,FALSE)*AJ62+M62+N62+O62,0))))))</f>
        <v/>
      </c>
      <c r="AW62" s="453" t="str">
        <f>IF(AS62="","",IF(AU62=0,0,AU62/AT62*100))</f>
        <v/>
      </c>
      <c r="AX62" s="180" t="str">
        <f>IF(D62="","",IF(AS62=2,0,IF(AS62=1,'Calc (ex-animal)'!$K$17*'Calc (ex-housing, ex-storage)'!F62/100/VLOOKUP($C$62,'DB animal categories'!$C$22:$AC$31,27,FALSE)*AJ62+Q62+R62+S62,IF(AS62=5,('Calc (ex-animal)'!$K$17+'Calc (ex-animal)'!$L$17)*'Calc (ex-housing, ex-storage)'!F62/100/VLOOKUP($C$62,'DB animal categories'!$C$22:$AC$31,27,FALSE)*AJ62+Q62+R62+S62-'Calc (ex-housing, ex-storage)'!AC62,IF(AS62=3,('Calc (ex-animal)'!$K$17+'Calc (ex-animal)'!$L$17)*'Calc (ex-housing, ex-storage)'!F62/100/VLOOKUP($C$62,'DB animal categories'!$C$22:$AC$31,27,FALSE)*AJ62+Q62+R62+S62-'Calc (ex-housing, ex-storage)'!AC62-AD62-AE62,IF(AI62=4,('Calc (ex-animal)'!$K$17+'Calc (ex-animal)'!$L$17)*'Calc (ex-housing, ex-storage)'!F62/100*VLOOKUP(D62,'DB technologies'!$N$27:$Y$38,12,FALSE)/100/VLOOKUP($C$62,'DB animal categories'!$C$22:$AC$31,27,FALSE)*AJ62+Q62+R62+S62-(VLOOKUP(D62,'DB technologies'!$N$27:$Y$38,12,FALSE)/100*AC62)-AD62-AE62,0))))))</f>
        <v/>
      </c>
      <c r="AY62" s="180" t="str">
        <f>IF(D62="","",IF(AS62=2,0,IF(AS62=1,'Calc (ex-animal)'!$N$17*'Calc (ex-housing, ex-storage)'!F62/100/VLOOKUP($C$62,'DB animal categories'!$C$22:$AC$31,27,FALSE)*AJ62+U62+V62+W62,IF(AS62=5,('Calc (ex-animal)'!$N$17+'Calc (ex-animal)'!$O$17)*'Calc (ex-housing, ex-storage)'!F62/100/VLOOKUP($C$62,'DB animal categories'!$C$22:$AC$31,27,FALSE)*AJ62+U62+V62+W62,IF(AS62=3,('Calc (ex-animal)'!$N$17+'Calc (ex-animal)'!$O$17)*'Calc (ex-housing, ex-storage)'!F62/100/VLOOKUP($C$62,'DB animal categories'!$C$22:$AC$31,27,FALSE)*AJ62+U62+V62+W62,IF(AS62=4,('Calc (ex-animal)'!$N$17+'Calc (ex-animal)'!$O$17)*'Calc (ex-housing, ex-storage)'!F62/100*VLOOKUP(D62,'DB technologies'!$N$27:$Y$38,12,FALSE)/100/VLOOKUP($C$62,'DB animal categories'!$C$22:$AC$31,27,FALSE)*AJ62+U62+V62+W62,0))))))</f>
        <v/>
      </c>
      <c r="AZ62" s="180" t="str">
        <f>IF(D62="","",IF(AS62=2,0,IF(AS62=1,'Calc (ex-animal)'!$Q$17*'Calc (ex-housing, ex-storage)'!F62/100/VLOOKUP($C$62,'DB animal categories'!$C$22:$AC$31,27,FALSE)*AJ62+Y62+Z62+AA62,IF(AS62=5,('Calc (ex-animal)'!$Q$17+'Calc (ex-animal)'!$R$17)*'Calc (ex-housing, ex-storage)'!F62/100/VLOOKUP($C$62,'DB animal categories'!$C$22:$AC$31,27,FALSE)*AJ62+Y62+Z62+AA62,IF(AS62=3,('Calc (ex-animal)'!$Q$17+'Calc (ex-animal)'!$R$17)*'Calc (ex-housing, ex-storage)'!F62/100/VLOOKUP($C$62,'DB animal categories'!$C$22:$AC$31,27,FALSE)*AJ62+Y62+Z62+AA62,IF(AS62=4,('Calc (ex-animal)'!$Q$17+'Calc (ex-animal)'!$R$17)*'Calc (ex-housing, ex-storage)'!F62/100*VLOOKUP(D62,'DB technologies'!$N$27:$Y$38,12,FALSE)/100/VLOOKUP($C$62,'DB animal categories'!$C$22:$AC$31,27,FALSE)*AJ62+Y62+Z62+AA62,0))))))</f>
        <v/>
      </c>
      <c r="BA62" s="506"/>
      <c r="BB62" s="506"/>
      <c r="BC62" s="506"/>
      <c r="BG62" s="1359"/>
      <c r="BH62" s="1362"/>
      <c r="BI62" s="600" t="str">
        <f>IF(BG62="","",$BA$58*BH62/100-($BB$58*BH62/100*VLOOKUP(BG62,'DB technologies'!$AC$53:$AT$57,5,FALSE)/100)+(VLOOKUP(BG62,'DB technologies'!$AC$53:$AT$57,12,FALSE)*$BA$58*BH62/100))</f>
        <v/>
      </c>
      <c r="BJ62" s="551">
        <f>IF(BI62="",0,BI62*BK62/100)</f>
        <v>0</v>
      </c>
      <c r="BK62" s="509" t="str">
        <f>IF(BG62="","",IF($BA$58=0,0,($BB$58*BH62/100)/BI62*(1-(VLOOKUP(BG62,'DB technologies'!$AC$53:$AQ$57,5,FALSE))/100)*100))</f>
        <v/>
      </c>
      <c r="BL62" s="267" t="str">
        <f>IF(BG62="","",$BD$58*(1-VLOOKUP(BG62,'DB technologies'!$AC$53:$AS$57,12,FALSE)/100)*BH62/100-BO62-BP62-BQ62-BR62)</f>
        <v/>
      </c>
      <c r="BM62" s="267" t="str">
        <f>IF(BG62="","",$BE$58*(1-VLOOKUP(BG62,'DB technologies'!$AC$53:$AS$57,12,FALSE)/100)*BH62/100-BS62)</f>
        <v/>
      </c>
      <c r="BN62" s="267" t="str">
        <f>IF(BG62="","",$BF$58*(1-VLOOKUP(BG62,'DB technologies'!$AC$53:$AS$57,12,FALSE)/100)*BH62/100-BT62)</f>
        <v/>
      </c>
      <c r="BO62" s="267" t="str">
        <f>IF(BG62="","",$BD$58*BH62/100*VLOOKUP(BG62,'DB technologies'!$AC$53:$AF$57,2,FALSE)/100)</f>
        <v/>
      </c>
      <c r="BP62" s="267" t="str">
        <f>IF(BG62="","",$BD$58*BH62/100*VLOOKUP(BG62,'DB technologies'!$AC$53:$AN$57,3,FALSE)/100)</f>
        <v/>
      </c>
      <c r="BQ62" s="267" t="str">
        <f>IF(BG62="","",$BD$58*BH62/100*VLOOKUP(BG62,'DB technologies'!$AC$53:$AN$57,4,FALSE)/100)</f>
        <v/>
      </c>
      <c r="BR62" s="266" t="str">
        <f>IF(BG62="","",VLOOKUP(BG62,'DB technologies'!$AC$53:$AQ$57,13,FALSE)/100*$BD$58*BH62/100)</f>
        <v/>
      </c>
      <c r="BS62" s="267" t="str">
        <f>IF(BG62="","",VLOOKUP(BG62,'DB technologies'!$AC$53:$AQ$57,14,FALSE)/100*$BE$58*BH62/100)</f>
        <v/>
      </c>
      <c r="BT62" s="268" t="str">
        <f>IF(BG62="","",VLOOKUP(BG62,'DB technologies'!$AC$53:$AQ$57,15,FALSE)/100*$BF$58*BH62/100)</f>
        <v/>
      </c>
    </row>
    <row r="63" spans="1:72" ht="11.25" customHeight="1" thickBot="1" x14ac:dyDescent="0.25">
      <c r="A63" s="684"/>
      <c r="B63" s="695"/>
      <c r="C63" s="251"/>
      <c r="D63" s="1357"/>
      <c r="E63" s="1358"/>
      <c r="F63" s="480" t="str">
        <f>IF('Calc (ex-animal)'!$F$9=1,"",IF($C$62=0,"",IF(D63="","",E63/'Calc (ex-animal)'!$E$17*100)))</f>
        <v/>
      </c>
      <c r="G63" s="485" t="str">
        <f>IF($C$62=0,"",IF('Calc (ex-animal)'!$F$8=1,"",IF(D63="","",SUM(H63:O63))))</f>
        <v/>
      </c>
      <c r="H63" s="423" t="str">
        <f>IF('Calc (ex-animal)'!$F$8=1,"",IF(D63="","",(((VLOOKUP($C$62,'Calc (ex-animal)'!$D$13:$Y$17,6,FALSE)-VLOOKUP($C$62,'Calc (ex-animal)'!$D$13:$Y$17,17,FALSE))*F63/100))*VLOOKUP($C$62,'Calc (ex-animal)'!$D$13:$Y$17,7,FALSE)/100*(1-VLOOKUP(D63,'DB technologies'!$N$27:$Y$38,9,FALSE)/100)))</f>
        <v/>
      </c>
      <c r="I63" s="423" t="str">
        <f>IF(D63="","",((VLOOKUP(D63,'DB technologies'!$N$27:$Y$38,2,FALSE)*VLOOKUP($C$62,'DB animal categories'!$C$22:$AC$31,27,FALSE)*E63/1000)/VLOOKUP($C$62,'DB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'!$S$6/100*(1-VLOOKUP(D63,'DB technologies'!$N$27:$Y$38,9,FALSE)/100)))</f>
        <v/>
      </c>
      <c r="J63" s="434" t="str">
        <f>IF(D63="","",((VLOOKUP(D63,'DB technologies'!$N$27:$Y$38,3,FALSE)*VLOOKUP($C$62,'DB animal categories'!$C$22:$AC$31,27,FALSE)*E63/1000)/VLOOKUP($C$62,'DB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'!$S$7/100*(1-VLOOKUP(D63,'DB technologies'!$N$27:$Y$38,9,FALSE)/100)))</f>
        <v/>
      </c>
      <c r="K63" s="434" t="str">
        <f>IF(D63="","",((VLOOKUP(D63,'DB technologies'!$N$27:$Y$38,4,FALSE)*E63*'DB additional information '!$S$8/100*(1-VLOOKUP(D63,'DB technologies'!$N$27:$Y$38,9,FALSE)/100))/VLOOKUP($C$62,'DB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L63" s="423" t="str">
        <f>IF('Calc (ex-animal)'!$F$8=1,"",IF(D63="","",(((VLOOKUP($C$62,'Calc (ex-animal)'!$D$13:$Y$17,6,FALSE)-VLOOKUP($C$62,'Calc (ex-animal)'!$D$13:$Y$17,17,FALSE))*F63/100))*(1-VLOOKUP($C$62,'Calc (ex-animal)'!$D$13:$Y$17,7,FALSE)/100)*(1-VLOOKUP(D63,'DB technologies'!$N$27:$V$38,8,FALSE)/100)))</f>
        <v/>
      </c>
      <c r="M63" s="434" t="str">
        <f>IF(D63="","",((VLOOKUP(D63,'DB technologies'!$N$27:$Y$38,2,FALSE)*VLOOKUP($C$62,'DB animal categories'!$C$22:$AC$31,27,FALSE)*E63/1000)/VLOOKUP($C$62,'DB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'!$S$6/100)*(1-VLOOKUP(D63,'DB technologies'!$N$27:$Y$38,9,FALSE)/100))</f>
        <v/>
      </c>
      <c r="N63" s="434" t="str">
        <f>IF(D63="","",((VLOOKUP(D63,'DB technologies'!$N$27:$Y$38,3,FALSE)*VLOOKUP($C$62,'DB animal categories'!$C$22:$AC$31,27,FALSE)*E63/1000)/VLOOKUP($C$62,'DB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'!$S$7/100)*(1-VLOOKUP(D63,'DB technologies'!$N$27:$Y$38,9,FALSE)/100))</f>
        <v/>
      </c>
      <c r="O63" s="423" t="str">
        <f>IF(D63="","",((VLOOKUP(D63,'DB technologies'!$N$27:$Y$38,4,FALSE)*E63*(1-'DB additional information '!$S$8/100)*(1-VLOOKUP(D63,'DB technologies'!$N$27:$Y$38,8,FALSE)/100))/VLOOKUP($C$62,'DB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P63" s="438" t="str">
        <f>IF(G63=0,0,IF(E63="","",IF(F63="","",IF($C$62=0,"",IF(D63="","",SUM(H63:K63)/G63*100)))))</f>
        <v/>
      </c>
      <c r="Q63" s="416" t="str">
        <f>IF(D63="","",(VLOOKUP(D63,'DB technologies'!$N$27:$Y$38,2,FALSE)*'DB additional information '!$S$6/100*'DB additional information '!$T$6*VLOOKUP($C$62,'DB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R63" s="416" t="str">
        <f>IF(D63="","",(VLOOKUP(D63,'DB technologies'!$N$27:$Y$38,3,FALSE)*'DB additional information '!$S$7/100*'DB additional information '!$T$7*VLOOKUP($C$62,'DB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S63" s="491" t="str">
        <f>IF(D63="","",(VLOOKUP(D63,'DB technologies'!$N$27:$Y$38,4,FALSE)*('DB additional information '!$S$8/100*'DB additional information '!$T$8*E63/1000/1000)))</f>
        <v/>
      </c>
      <c r="T63" s="264" t="str">
        <f>IF($C$62=0,"",IF('Calc (ex-animal)'!$F$9=1,"",IF(D63="","",((VLOOKUP($C$62,'Calc (ex-animal)'!$D$13:$Y$17,10,FALSE)-VLOOKUP($C$62,'Calc (ex-animal)'!$D$13:$Y$17,18,FALSE))*F63/100+Q63+R63+S63)-AC63-AD63-AE63)))</f>
        <v/>
      </c>
      <c r="U63" s="422" t="str">
        <f>IF(D63="","",(VLOOKUP(D63,'DB technologies'!$N$27:$Y$38,2,FALSE)*'DB additional information '!$S$6/100*'DB additional information '!$U$6*VLOOKUP($C$62,'DB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V63" s="418" t="str">
        <f>IF(D63="","",(VLOOKUP(D63,'DB technologies'!$N$27:$Y$38,3,FALSE)*'DB additional information '!$S$7/100*'DB additional information '!$U$7*VLOOKUP($C$62,'DB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W63" s="417" t="str">
        <f>IF(D63="","",(VLOOKUP(D63,'DB technologies'!$N$27:$Y$38,4,FALSE)*('DB additional information '!$S$8/100*'DB additional information '!$U$8*E63/1000/1000)))</f>
        <v/>
      </c>
      <c r="X63" s="261" t="str">
        <f>IF($C$62=0,"",IF('Calc (ex-animal)'!$F$9=1,"",IF(D63="","",((VLOOKUP($C$62,'Calc (ex-animal)'!$D$13:$Y$17,13,FALSE)-VLOOKUP($C$62,'Calc (ex-animal)'!$D$13:$Y$17,19,FALSE))*F63/100+U63+V63+W63))))</f>
        <v/>
      </c>
      <c r="Y63" s="418" t="str">
        <f>IF(D63="","",(VLOOKUP(D63,'DB technologies'!$N$27:$Y$38,2,FALSE)*'DB additional information '!$S$6/100*'DB additional information '!$V$6*VLOOKUP($C$62,'DB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Z63" s="418" t="str">
        <f>IF(D63="","",(VLOOKUP(D63,'DB technologies'!$N$27:$Y$38,3,FALSE)*'DB additional information '!$S$7/100*'DB additional information '!$V$7*VLOOKUP($C$62,'DB animal categories'!$C$22:$AC$31,27,FALSE)*E63/1000/1000)/VLOOKUP($C$62,'DB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AA63" s="418" t="str">
        <f>IF(D63="","",(VLOOKUP(D63,'DB technologies'!$N$27:$Y$38,4,FALSE)*('DB additional information '!$S$8/100*'DB additional information '!$V$8*E63/1000/1000)))</f>
        <v/>
      </c>
      <c r="AB63" s="261" t="str">
        <f>IF($C$62=0,"",IF('Calc (ex-animal)'!$F$8=1,"",IF(D63="","",((VLOOKUP($C$62,'Calc (ex-animal)'!$D$13:$Y$17,16,FALSE)-VLOOKUP($C$62,'Calc (ex-animal)'!$D$13:$Y$17,20,FALSE))*F63/100+Y63+Z63+AA63))))</f>
        <v/>
      </c>
      <c r="AC63" s="261" t="str">
        <f>IF($C$62=0,"",IF('Calc (ex-animal)'!$F$8=1,"",IF(D63="","",VLOOKUP($C$62,'Calc (ex-animal)'!$D$13:$Y$17,9,FALSE)/VLOOKUP($C$62,'DB animal categories'!$C$22:$AC$31,27,FALSE)*(VLOOKUP($C$62,'DB animal categories'!$C$22:$AC$31,27,FALSE)-VLOOKUP($C$62,'DB animal categories'!$C$22:$AC$31,25,FALSE)*VLOOKUP($C$62,'DB animal categories'!$C$22:$AC$31,26,FALSE)/24)*F63/100*VLOOKUP(D63,'DB technologies'!$N$27:$R$38,5,FALSE)/100)))</f>
        <v/>
      </c>
      <c r="AD63" s="261" t="str">
        <f>IF($C$62=0,"",IF('Calc (ex-animal)'!$F$8=1,"",IF(D63="","",VLOOKUP($C$62,'Calc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categories'!$C$22:$AC$31,26,FALSE)/24)*F63/100*VLOOKUP(D63,'DB technologies'!$N$27:$Y$38,6,FALSE)/100)))</f>
        <v/>
      </c>
      <c r="AE63" s="262" t="str">
        <f>IF($C$62=0,"",IF('Calc (ex-animal)'!$F$8=1,"",IF(D63="","",VLOOKUP($C$62,'Calc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categories'!$C$22:$AC$31,26,FALSE)/24)*F63/100*VLOOKUP(D63,'DB technologies'!$N$27:$Y$38,7,FALSE)/100)))</f>
        <v/>
      </c>
      <c r="AG63" s="696"/>
      <c r="AH63" s="696"/>
      <c r="AI63" s="181" t="str">
        <f>IF(D63="","",VLOOKUP(D63,'DB technologies'!$N$27:$Y$38,10,FALSE))</f>
        <v/>
      </c>
      <c r="AJ63" s="449" t="e">
        <f>VLOOKUP($C$62,'DB animal categories'!$C$22:$AN$31,27,FALSE)-VLOOKUP($C$62,'DB animal categories'!$C$22:$AN$31,26,FALSE)*VLOOKUP($C$62,'DB animal categories'!$C$22:$AN$31,25,FALSE)/24</f>
        <v>#N/A</v>
      </c>
      <c r="AK63" s="442" t="str">
        <f>IF(AI63="","",AL63+AM63)</f>
        <v/>
      </c>
      <c r="AL63" s="442" t="str">
        <f>IF(D63="","",IF(AI63=2,(('Calc (ex-animal)'!$G$17*'DB additional information '!$K$5/100*(1-VLOOKUP(D63,'DB technologies'!$N$27:$Y$38,9,FALSE)/100)*'Calc (ex-housing, ex-storage)'!F63/100+'Calc (ex-animal)'!$H$17*'DB additional information '!$L$5/100*(1-VLOOKUP(D63,'DB technologies'!$N$27:$Y$38,9,FALSE)/100)*'Calc (ex-housing, ex-storage)'!F63/100))/VLOOKUP($C$62,'DB animal categories'!$C$22:$AC$31,27,FALSE)*AJ63+I63+J63+K63,IF(AI63=1,('Calc (ex-animal)'!$H$17*'DB additional information '!$L$5/100*(1-VLOOKUP(D63,'DB technologies'!$N$27:$Y$38,9,FALSE)/100)*'Calc (ex-housing, ex-storage)'!F63/100)/VLOOKUP($C$62,'DB animal categories'!$C$22:$AC$31,27,FALSE)*AJ63,IF(AI63=4,('Calc (ex-animal)'!$G$17*'DB additional information '!$K$5/100+'Calc (ex-animal)'!$H$17*'DB additional information '!$L$5/100)*(1-VLOOKUP(D63,'DB technologies'!$N$27:$Y$38,9,FALSE)/100)*'Calc (ex-housing, ex-storage)'!F63/100*VLOOKUP(D63,'DB technologies'!$N$27:$Y$38,11,FALSE)/100/VLOOKUP($C$62,'DB animal categories'!$C$22:$AC$31,27,FALSE)*AJ63,0))))</f>
        <v/>
      </c>
      <c r="AM63" s="442" t="str">
        <f>IF(D63="","",IF(AI63=2,(('Calc (ex-animal)'!$G$17*(1-'DB additional information '!$K$5/100)*(1-VLOOKUP(D63,'DB technologies'!$N$27:$Y$38,8,FALSE)/100)*'Calc (ex-housing, ex-storage)'!F63/100+'Calc (ex-animal)'!$H$17*(1-'DB additional information '!$L$5/100)*(1-VLOOKUP(D63,'DB technologies'!$N$27:$Y$38,8,FALSE)/100)*'Calc (ex-housing, ex-storage)'!F63/100))/VLOOKUP($C$62,'DB animal categories'!$C$22:$AC$31,27,FALSE)*AJ63+M63+N63+O63,IF(AI63=1,('Calc (ex-animal)'!$H$17*(1-'DB additional information '!$L$5/100)*(1-VLOOKUP(D63,'DB technologies'!$N$27:$Y$38,8,FALSE)/100)*'Calc (ex-housing, ex-storage)'!F63/100)/VLOOKUP($C$62,'DB animal categories'!$C$22:$AC$31,27,FALSE)*AJ63,IF(AI63=4,('Calc (ex-animal)'!$G$17*(1-'DB additional information '!$K$5/100)+'Calc (ex-animal)'!$H$17*(1-'DB additional information '!$L$5/100))*(1-VLOOKUP(D63,'DB technologies'!$N$27:$Y$38,8,FALSE)/100)*'Calc (ex-housing, ex-storage)'!F63/100*VLOOKUP(D63,'DB technologies'!$N$27:$Y$38,11,FALSE)/100/VLOOKUP($C$62,'DB animal categories'!$C$22:$AC$31,27,FALSE)*AJ63,0))))</f>
        <v/>
      </c>
      <c r="AN63" s="442" t="str">
        <f>IF(AI63="","",IF(AL63=0,0,AL63/AK63*100))</f>
        <v/>
      </c>
      <c r="AO63" s="182" t="str">
        <f>IF(D63="","",IF(AI63=2,(('Calc (ex-animal)'!$L$17*'Calc (ex-housing, ex-storage)'!F63/100+'Calc (ex-animal)'!$K$17*'Calc (ex-housing, ex-storage)'!F63/100))/VLOOKUP($C$62,'DB animal categories'!$C$22:$AC$31,27,FALSE)*AJ63+Q63+R63+S63-AC63,IF(AI63=1,('Calc (ex-animal)'!$L$17*'Calc (ex-housing, ex-storage)'!F63/100)/VLOOKUP($C$62,'DB animal categories'!$C$22:$AC$31,27,FALSE)*AJ63-'Calc (ex-housing, ex-storage)'!AC63,IF(AI63=4,('Calc (ex-animal)'!$L$17+'Calc (ex-animal)'!$K$17)*'Calc (ex-housing, ex-storage)'!F63/100*VLOOKUP(D63,'DB technologies'!$N$27:$Y$38,11,FALSE)/100/VLOOKUP($C$62,'DB animal categories'!$C$22:$AC$31,27,FALSE)*AJ63-AC63*VLOOKUP(D63,'DB technologies'!$N$27:$Y$38,11,FALSE)/100,0))))</f>
        <v/>
      </c>
      <c r="AP63" s="182" t="str">
        <f>IF(D63="","",IF(AO63&lt;-0.01,0,IF(AI63=2,(('Calc (ex-animal)'!$L$17*'Calc (ex-housing, ex-storage)'!F63/100+'Calc (ex-animal)'!$K$17*'Calc (ex-housing, ex-storage)'!F63/100))/VLOOKUP($C$62,'DB animal categories'!$C$22:$AC$31,27,FALSE)*AJ63+Q63+R63+S63-AC63,IF(AI63=1,('Calc (ex-animal)'!$L$17*'Calc (ex-housing, ex-storage)'!F63/100)/VLOOKUP($C$62,'DB animal categories'!$C$22:$AC$31,27,FALSE)*AJ63-'Calc (ex-housing, ex-storage)'!AC63,IF(AI63=4,('Calc (ex-animal)'!$L$17+'Calc (ex-animal)'!$K$17)*'Calc (ex-housing, ex-storage)'!F63/100*VLOOKUP(D63,'DB technologies'!$N$27:$Y$38,11,FALSE)/100/VLOOKUP($C$62,'DB animal categories'!$C$22:$AC$31,27,FALSE)*AJ63-AC63*VLOOKUP(D63,'DB technologies'!$N$27:$Y$38,11,FALSE)/100,0)))))</f>
        <v/>
      </c>
      <c r="AQ63" s="182" t="str">
        <f>IF(D63="","",IF(AI63=2,('Calc (ex-animal)'!$O$17*'Calc (ex-housing, ex-storage)'!F63/100+'Calc (ex-animal)'!$N$17*'Calc (ex-housing, ex-storage)'!F63/100)/VLOOKUP($C$62,'DB animal categories'!$C$22:$AC$31,27,FALSE)*AJ63+U63+V63+W63,IF(AI63=1,'Calc (ex-animal)'!$O$17*'Calc (ex-housing, ex-storage)'!F63/100/VLOOKUP($C$62,'DB animal categories'!$C$22:$AC$31,27,FALSE)*AJ63,IF(AI63=4,('Calc (ex-animal)'!$O$17+'Calc (ex-animal)'!$N$17)*'Calc (ex-housing, ex-storage)'!F63/100*VLOOKUP(D63,'DB technologies'!$N$27:$Y$38,11,FALSE)/100/VLOOKUP($C$62,'DB animal categories'!$C$22:$AC$31,27,FALSE)*AJ63,0))))</f>
        <v/>
      </c>
      <c r="AR63" s="182" t="str">
        <f>IF(D63="","",IF(AI63=2,('Calc (ex-animal)'!$R$17*'Calc (ex-housing, ex-storage)'!F63/100+'Calc (ex-animal)'!$Q$17*'Calc (ex-housing, ex-storage)'!F63/100)/VLOOKUP($C$62,'DB animal categories'!$C$22:$AC$31,27,FALSE)*AJ63+Y63+Z63+AA63,IF(AI63=1,'Calc (ex-animal)'!$R$17*'Calc (ex-housing, ex-storage)'!F63/100/VLOOKUP($C$62,'DB animal categories'!$C$22:$AC$31,27,FALSE)*AJ63,IF(AI63=4,('Calc (ex-animal)'!$R$17+'Calc (ex-animal)'!$Q$17)*'Calc (ex-housing, ex-storage)'!F63/100*VLOOKUP(D63,'DB technologies'!$N$27:$Y$38,11,FALSE)/100/VLOOKUP($C$62,'DB animal categories'!$C$22:$AC$31,27,FALSE)*AJ63,0))))</f>
        <v/>
      </c>
      <c r="AS63" s="181" t="str">
        <f>IF(D63="","",VLOOKUP(D63,'DB technologies'!$N$27:$Y$38,10,FALSE))</f>
        <v/>
      </c>
      <c r="AT63" s="442" t="str">
        <f>IF(AS63="","",AU63+AV63)</f>
        <v/>
      </c>
      <c r="AU63" s="442" t="str">
        <f>IF(D63="","",IF(AS63=2,0,IF(AS63=1,'Calc (ex-animal)'!$G$17*'DB additional information '!$K$5/100*(1-VLOOKUP(D63,'DB technologies'!$N$27:$Y$38,8,FALSE)/100)*'Calc (ex-housing, ex-storage)'!F63/100/VLOOKUP($C$62,'DB animal categories'!$C$22:$AC$31,27,FALSE)*AJ63+I63+J63+K63,IF(AS63=5,(('Calc (ex-animal)'!$G$17*'DB additional information '!$K$5/100+'Calc (ex-animal)'!$H$17*'DB additional information '!$L$5/100))*(1-VLOOKUP(D63,'DB technologies'!$N$27:$Y$38,9,FALSE)/100)*'Calc (ex-housing, ex-storage)'!F63/100/VLOOKUP($C$62,'DB animal categories'!$C$22:$AC$31,27,FALSE)*AJ63+I63+J63+K63,IF(AS63=3,('Calc (ex-animal)'!$G$17*'DB additional information '!$K$5/100+'Calc (ex-animal)'!$H$17*'DB additional information '!$L$5/100)*(1-VLOOKUP(D63,'DB technologies'!$N$27:$Y$38,9,FALSE)/100)*'Calc (ex-housing, ex-storage)'!F63/100/VLOOKUP($C$62,'DB animal categories'!$C$22:$AC$31,27,FALSE)*AJ63+I63+J63+K63,IF(AS63=4,('Calc (ex-animal)'!$G$17*'DB additional information '!$K$5/100+'Calc (ex-animal)'!$H$17*'DB additional information '!$L$5/100)*(1-VLOOKUP(D63,'DB technologies'!$N$27:$Y$38,9,FALSE)/100)*'Calc (ex-housing, ex-storage)'!F63/100*VLOOKUP(D63,'DB technologies'!$N$27:$Y$38,12,FALSE)/100/VLOOKUP($C$62,'DB animal categories'!$C$22:$AC$31,27,FALSE)*AJ63+I63+J63+K63,0))))))</f>
        <v/>
      </c>
      <c r="AV63" s="442" t="str">
        <f>IF(D63="","",IF(AS63=2,0,IF(AS63=1,'Calc (ex-animal)'!$G$17*(1-'DB additional information '!$K$5/100)*(1-VLOOKUP(D63,'DB technologies'!$N$27:$Y$38,8,FALSE)/100)*'Calc (ex-housing, ex-storage)'!F63/100/VLOOKUP($C$62,'DB animal categories'!$C$22:$AC$31,27,FALSE)*AJ63+M63+N63+O63,IF(AS63=5,('Calc (ex-animal)'!$G$17*(1-'DB additional information '!$K$5/100)+'Calc (ex-animal)'!$H$17*(1-'DB additional information '!$L$5/100))*(1-VLOOKUP(D63,'DB technologies'!$N$27:$Y$38,8,FALSE)/100)*'Calc (ex-housing, ex-storage)'!F63/100/VLOOKUP($C$62,'DB animal categories'!$C$22:$AC$31,27,FALSE)*AJ63+M63+N63+O63,IF(AS63=3,('Calc (ex-animal)'!$G$17*(1-'DB additional information '!$K$5/100)+'Calc (ex-animal)'!$H$17*(1-'DB additional information '!$L$5/100))*(1-VLOOKUP(D63,'DB technologies'!$N$27:$Y$38,8,FALSE)/100)*'Calc (ex-housing, ex-storage)'!F63/100/VLOOKUP($C$62,'DB animal categories'!$C$22:$AC$31,27,FALSE)*AJ63+M63+N63+O63,IF(AS63=4,('Calc (ex-animal)'!$G$17*(1-'DB additional information '!$K$5/100)+'Calc (ex-animal)'!$H$17*(1-'DB additional information '!$L$5/100))*(1-VLOOKUP(D63,'DB technologies'!$N$27:$Y$38,8,FALSE)/100)*'Calc (ex-housing, ex-storage)'!F63/100*VLOOKUP(D63,'DB technologies'!$N$27:$Y$38,12,FALSE)/100/VLOOKUP($C$62,'DB animal categories'!$C$22:$AC$31,27,FALSE)*AJ63+M63+N63+O63,0))))))</f>
        <v/>
      </c>
      <c r="AW63" s="442" t="str">
        <f>IF(AS63="","",IF(AU63=0,0,AU63/AT63*100))</f>
        <v/>
      </c>
      <c r="AX63" s="182" t="str">
        <f>IF(D63="","",IF(AS63=2,0,IF(AS63=1,'Calc (ex-animal)'!$K$17*'Calc (ex-housing, ex-storage)'!F63/100/VLOOKUP($C$62,'DB animal categories'!$C$22:$AC$31,27,FALSE)*AJ63+Q63+R63+S63,IF(AS63=5,('Calc (ex-animal)'!$K$17+'Calc (ex-animal)'!$L$17)*'Calc (ex-housing, ex-storage)'!F63/100/VLOOKUP($C$62,'DB animal categories'!$C$22:$AC$31,27,FALSE)*AJ63+Q63+R63+S63-'Calc (ex-housing, ex-storage)'!AC63,IF(AS63=3,('Calc (ex-animal)'!$K$17+'Calc (ex-animal)'!$L$17)*'Calc (ex-housing, ex-storage)'!F63/100/VLOOKUP($C$62,'DB animal categories'!$C$22:$AC$31,27,FALSE)*AJ63+Q63+R63+S63-'Calc (ex-housing, ex-storage)'!AC63-AD63-AE63,IF(AI63=4,('Calc (ex-animal)'!$K$17+'Calc (ex-animal)'!$L$17)*'Calc (ex-housing, ex-storage)'!F63/100*VLOOKUP(D63,'DB technologies'!$N$27:$Y$38,12,FALSE)/100/VLOOKUP($C$62,'DB animal categories'!$C$22:$AC$31,27,FALSE)*AJ63+Q63+R63+S63-(VLOOKUP(D63,'DB technologies'!$N$27:$Y$38,12,FALSE)/100*AC63)-AD63-AE63,0))))))</f>
        <v/>
      </c>
      <c r="AY63" s="182" t="str">
        <f>IF(D63="","",IF(AS63=2,0,IF(AS63=1,'Calc (ex-animal)'!$N$17*'Calc (ex-housing, ex-storage)'!F63/100/VLOOKUP($C$62,'DB animal categories'!$C$22:$AC$31,27,FALSE)*AJ63+U63+V63+W63,IF(AS63=5,('Calc (ex-animal)'!$N$17+'Calc (ex-animal)'!$O$17)*'Calc (ex-housing, ex-storage)'!F63/100/VLOOKUP($C$62,'DB animal categories'!$C$22:$AC$31,27,FALSE)*AJ63+U63+V63+W63,IF(AS63=3,('Calc (ex-animal)'!$N$17+'Calc (ex-animal)'!$O$17)*'Calc (ex-housing, ex-storage)'!F63/100/VLOOKUP($C$62,'DB animal categories'!$C$22:$AC$31,27,FALSE)*AJ63+U63+V63+W63,IF(AS63=4,('Calc (ex-animal)'!$N$17+'Calc (ex-animal)'!$O$17)*'Calc (ex-housing, ex-storage)'!F63/100*VLOOKUP(D63,'DB technologies'!$N$27:$Y$38,12,FALSE)/100/VLOOKUP($C$62,'DB animal categories'!$C$22:$AC$31,27,FALSE)*AJ63+U63+V63+W63,0))))))</f>
        <v/>
      </c>
      <c r="AZ63" s="182" t="str">
        <f>IF(D63="","",IF(AS63=2,0,IF(AS63=1,'Calc (ex-animal)'!$Q$17*'Calc (ex-housing, ex-storage)'!F63/100/VLOOKUP($C$62,'DB animal categories'!$C$22:$AC$31,27,FALSE)*AJ63+Y63+Z63+AA63,IF(AS63=5,('Calc (ex-animal)'!$Q$17+'Calc (ex-animal)'!$R$17)*'Calc (ex-housing, ex-storage)'!F63/100/VLOOKUP($C$62,'DB animal categories'!$C$22:$AC$31,27,FALSE)*AJ63+Y63+Z63+AA63,IF(AS63=3,('Calc (ex-animal)'!$Q$17+'Calc (ex-animal)'!$R$17)*'Calc (ex-housing, ex-storage)'!F63/100/VLOOKUP($C$62,'DB animal categories'!$C$22:$AC$31,27,FALSE)*AJ63+Y63+Z63+AA63,IF(AS63=4,('Calc (ex-animal)'!$Q$17+'Calc (ex-animal)'!$R$17)*'Calc (ex-housing, ex-storage)'!F63/100*VLOOKUP(D63,'DB technologies'!$N$27:$Y$38,12,FALSE)/100/VLOOKUP($C$62,'DB animal categories'!$C$22:$AC$31,27,FALSE)*AJ63+Y63+Z63+AA63,0))))))</f>
        <v/>
      </c>
      <c r="BA63" s="506"/>
      <c r="BB63" s="506"/>
      <c r="BC63" s="506"/>
      <c r="BG63" s="314" t="s">
        <v>58</v>
      </c>
      <c r="BH63" s="315">
        <f>IF(SUM(BH58:BH62) &gt;100,"ERROR, SUM&gt;100%",SUM(BH58:BH62))</f>
        <v>0</v>
      </c>
      <c r="BI63" s="601">
        <f>SUM(BI58:BI62)</f>
        <v>0</v>
      </c>
      <c r="BJ63" s="593">
        <f>SUM(BJ58:BJ62)</f>
        <v>0</v>
      </c>
      <c r="BK63" s="597">
        <f>IF(BI63=0,0,BJ63/BI63*100)</f>
        <v>0</v>
      </c>
      <c r="BL63" s="307">
        <f>SUM(BL58:BL62)</f>
        <v>0</v>
      </c>
      <c r="BM63" s="307">
        <f>SUM(BM58:BM62)</f>
        <v>0</v>
      </c>
      <c r="BN63" s="307">
        <f t="shared" ref="BN63:BT63" si="9">SUM(BN58:BN62)</f>
        <v>0</v>
      </c>
      <c r="BO63" s="307">
        <f t="shared" si="9"/>
        <v>0</v>
      </c>
      <c r="BP63" s="307">
        <f t="shared" si="9"/>
        <v>0</v>
      </c>
      <c r="BQ63" s="308">
        <f t="shared" si="9"/>
        <v>0</v>
      </c>
      <c r="BR63" s="309">
        <f t="shared" si="9"/>
        <v>0</v>
      </c>
      <c r="BS63" s="307">
        <f t="shared" si="9"/>
        <v>0</v>
      </c>
      <c r="BT63" s="308">
        <f t="shared" si="9"/>
        <v>0</v>
      </c>
    </row>
    <row r="64" spans="1:72" ht="11.25" customHeight="1" thickBot="1" x14ac:dyDescent="0.25">
      <c r="A64" s="684"/>
      <c r="B64" s="695"/>
      <c r="C64" s="251"/>
      <c r="D64" s="1357"/>
      <c r="E64" s="1358"/>
      <c r="F64" s="480" t="str">
        <f>IF('Calc (ex-animal)'!$F$9=1,"",IF($C$62=0,"",IF(D64="","",E64/'Calc (ex-animal)'!$E$17*100)))</f>
        <v/>
      </c>
      <c r="G64" s="485" t="str">
        <f>IF($C$62=0,"",IF('Calc (ex-animal)'!$F$8=1,"",IF(D64="","",SUM(H64:O64))))</f>
        <v/>
      </c>
      <c r="H64" s="423" t="str">
        <f>IF('Calc (ex-animal)'!$F$8=1,"",IF(D64="","",(((VLOOKUP($C$62,'Calc (ex-animal)'!$D$13:$Y$17,6,FALSE)-VLOOKUP($C$62,'Calc (ex-animal)'!$D$13:$Y$17,17,FALSE))*F64/100))*VLOOKUP($C$62,'Calc (ex-animal)'!$D$13:$Y$17,7,FALSE)/100*(1-VLOOKUP(D64,'DB technologies'!$N$27:$Y$38,9,FALSE)/100)))</f>
        <v/>
      </c>
      <c r="I64" s="423" t="str">
        <f>IF(D64="","",((VLOOKUP(D64,'DB technologies'!$N$27:$Y$38,2,FALSE)*VLOOKUP($C$62,'DB animal categories'!$C$22:$AC$31,27,FALSE)*E64/1000)/VLOOKUP($C$62,'DB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'!$S$6/100*(1-VLOOKUP(D64,'DB technologies'!$N$27:$Y$38,9,FALSE)/100)))</f>
        <v/>
      </c>
      <c r="J64" s="434" t="str">
        <f>IF(D64="","",((VLOOKUP(D64,'DB technologies'!$N$27:$Y$38,3,FALSE)*VLOOKUP($C$62,'DB animal categories'!$C$22:$AC$31,27,FALSE)*E64/1000)/VLOOKUP($C$62,'DB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'!$S$7/100*(1-VLOOKUP(D64,'DB technologies'!$N$27:$Y$38,9,FALSE)/100)))</f>
        <v/>
      </c>
      <c r="K64" s="434" t="str">
        <f>IF(D64="","",((VLOOKUP(D64,'DB technologies'!$N$27:$Y$38,4,FALSE)*E64*'DB additional information '!$S$8/100*(1-VLOOKUP(D64,'DB technologies'!$N$27:$Y$38,9,FALSE)/100))/VLOOKUP($C$62,'DB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L64" s="423" t="str">
        <f>IF('Calc (ex-animal)'!$F$8=1,"",IF(D64="","",(((VLOOKUP($C$62,'Calc (ex-animal)'!$D$13:$Y$17,6,FALSE)-VLOOKUP($C$62,'Calc (ex-animal)'!$D$13:$Y$17,17,FALSE))*F64/100))*(1-VLOOKUP($C$62,'Calc (ex-animal)'!$D$13:$Y$17,7,FALSE)/100)*(1-VLOOKUP(D64,'DB technologies'!$N$27:$V$38,8,FALSE)/100)))</f>
        <v/>
      </c>
      <c r="M64" s="434" t="str">
        <f>IF(D64="","",((VLOOKUP(D64,'DB technologies'!$N$27:$Y$38,2,FALSE)*VLOOKUP($C$62,'DB animal categories'!$C$22:$AC$31,27,FALSE)*E64/1000)/VLOOKUP($C$62,'DB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'!$S$6/100)*(1-VLOOKUP(D64,'DB technologies'!$N$27:$Y$38,9,FALSE)/100))</f>
        <v/>
      </c>
      <c r="N64" s="434" t="str">
        <f>IF(D64="","",((VLOOKUP(D64,'DB technologies'!$N$27:$Y$38,3,FALSE)*VLOOKUP($C$62,'DB animal categories'!$C$22:$AC$31,27,FALSE)*E64/1000)/VLOOKUP($C$62,'DB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'!$S$7/100)*(1-VLOOKUP(D64,'DB technologies'!$N$27:$Y$38,9,FALSE)/100))</f>
        <v/>
      </c>
      <c r="O64" s="423" t="str">
        <f>IF(D64="","",((VLOOKUP(D64,'DB technologies'!$N$27:$Y$38,4,FALSE)*E64*(1-'DB additional information '!$S$8/100)*(1-VLOOKUP(D64,'DB technologies'!$N$27:$Y$38,8,FALSE)/100))/VLOOKUP($C$62,'DB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P64" s="438" t="str">
        <f>IF(G64=0,0,IF(E64="","",IF(F64="","",IF($C$62=0,"",IF(D64="","",SUM(H64:K64)/G64*100)))))</f>
        <v/>
      </c>
      <c r="Q64" s="416" t="str">
        <f>IF(D64="","",(VLOOKUP(D64,'DB technologies'!$N$27:$Y$38,2,FALSE)*'DB additional information '!$S$6/100*'DB additional information '!$T$6*VLOOKUP($C$62,'DB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R64" s="416" t="str">
        <f>IF(D64="","",(VLOOKUP(D64,'DB technologies'!$N$27:$Y$38,3,FALSE)*'DB additional information '!$S$7/100*'DB additional information '!$T$7*VLOOKUP($C$62,'DB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S64" s="491" t="str">
        <f>IF(D64="","",(VLOOKUP(D64,'DB technologies'!$N$27:$Y$38,4,FALSE)*('DB additional information '!$S$8/100*'DB additional information '!$T$8*E64/1000/1000)))</f>
        <v/>
      </c>
      <c r="T64" s="264" t="str">
        <f>IF($C$62=0,"",IF('Calc (ex-animal)'!$F$9=1,"",IF(D64="","",((VLOOKUP($C$62,'Calc (ex-animal)'!$D$13:$Y$17,10,FALSE)-VLOOKUP($C$62,'Calc (ex-animal)'!$D$13:$Y$17,18,FALSE))*F64/100+Q64+R64+S64)-AC64-AD64-AE64)))</f>
        <v/>
      </c>
      <c r="U64" s="422" t="str">
        <f>IF(D64="","",(VLOOKUP(D64,'DB technologies'!$N$27:$Y$38,2,FALSE)*'DB additional information '!$S$6/100*'DB additional information '!$U$6*VLOOKUP($C$62,'DB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V64" s="418" t="str">
        <f>IF(D64="","",(VLOOKUP(D64,'DB technologies'!$N$27:$Y$38,3,FALSE)*'DB additional information '!$S$7/100*'DB additional information '!$U$7*VLOOKUP($C$62,'DB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W64" s="417" t="str">
        <f>IF(D64="","",(VLOOKUP(D64,'DB technologies'!$N$27:$Y$38,4,FALSE)*('DB additional information '!$S$8/100*'DB additional information '!$U$8*E64/1000/1000)))</f>
        <v/>
      </c>
      <c r="X64" s="261" t="str">
        <f>IF($C$62=0,"",IF('Calc (ex-animal)'!$F$9=1,"",IF(D64="","",((VLOOKUP($C$62,'Calc (ex-animal)'!$D$13:$Y$17,13,FALSE)-VLOOKUP($C$62,'Calc (ex-animal)'!$D$13:$Y$17,19,FALSE))*F64/100+U64+V64+W64))))</f>
        <v/>
      </c>
      <c r="Y64" s="418" t="str">
        <f>IF(D64="","",(VLOOKUP(D64,'DB technologies'!$N$27:$Y$38,2,FALSE)*'DB additional information '!$S$6/100*'DB additional information '!$V$6*VLOOKUP($C$62,'DB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Z64" s="418" t="str">
        <f>IF(D64="","",(VLOOKUP(D64,'DB technologies'!$N$27:$Y$38,3,FALSE)*'DB additional information '!$S$7/100*'DB additional information '!$V$7*VLOOKUP($C$62,'DB animal categories'!$C$22:$AC$31,27,FALSE)*E64/1000/1000)/VLOOKUP($C$62,'DB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AA64" s="418" t="str">
        <f>IF(D64="","",(VLOOKUP(D64,'DB technologies'!$N$27:$Y$38,4,FALSE)*('DB additional information '!$S$8/100*'DB additional information '!$V$8*E64/1000/1000)))</f>
        <v/>
      </c>
      <c r="AB64" s="261" t="str">
        <f>IF($C$62=0,"",IF('Calc (ex-animal)'!$F$8=1,"",IF(D64="","",((VLOOKUP($C$62,'Calc (ex-animal)'!$D$13:$Y$17,16,FALSE)-VLOOKUP($C$62,'Calc (ex-animal)'!$D$13:$Y$17,20,FALSE))*F64/100+Y64+Z64+AA64))))</f>
        <v/>
      </c>
      <c r="AC64" s="261" t="str">
        <f>IF($C$62=0,"",IF('Calc (ex-animal)'!$F$8=1,"",IF(D64="","",VLOOKUP($C$62,'Calc (ex-animal)'!$D$13:$Y$17,9,FALSE)/VLOOKUP($C$62,'DB animal categories'!$C$22:$AC$31,27,FALSE)*(VLOOKUP($C$62,'DB animal categories'!$C$22:$AC$31,27,FALSE)-VLOOKUP($C$62,'DB animal categories'!$C$22:$AC$31,25,FALSE)*VLOOKUP($C$62,'DB animal categories'!$C$22:$AC$31,26,FALSE)/24)*F64/100*VLOOKUP(D64,'DB technologies'!$N$27:$R$38,5,FALSE)/100)))</f>
        <v/>
      </c>
      <c r="AD64" s="261" t="str">
        <f>IF($C$62=0,"",IF('Calc (ex-animal)'!$F$8=1,"",IF(D64="","",VLOOKUP($C$62,'Calc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categories'!$C$22:$AC$31,26,FALSE)/24)*F64/100*VLOOKUP(D64,'DB technologies'!$N$27:$Y$38,6,FALSE)/100)))</f>
        <v/>
      </c>
      <c r="AE64" s="262" t="str">
        <f>IF($C$62=0,"",IF('Calc (ex-animal)'!$F$8=1,"",IF(D64="","",VLOOKUP($C$62,'Calc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categories'!$C$22:$AC$31,26,FALSE)/24)*F64/100*VLOOKUP(D64,'DB technologies'!$N$27:$Y$38,7,FALSE)/100)))</f>
        <v/>
      </c>
      <c r="AG64" s="73"/>
      <c r="AH64" s="73"/>
      <c r="AI64" s="181" t="str">
        <f>IF(D64="","",VLOOKUP(D64,'DB technologies'!$N$27:$Y$38,10,FALSE))</f>
        <v/>
      </c>
      <c r="AJ64" s="449" t="e">
        <f>VLOOKUP($C$62,'DB animal categories'!$C$22:$AN$31,27,FALSE)-VLOOKUP($C$62,'DB animal categories'!$C$22:$AN$31,26,FALSE)*VLOOKUP($C$62,'DB animal categories'!$C$22:$AN$31,25,FALSE)/24</f>
        <v>#N/A</v>
      </c>
      <c r="AK64" s="442" t="str">
        <f>IF(AI64="","",AL64+AM64)</f>
        <v/>
      </c>
      <c r="AL64" s="442" t="str">
        <f>IF(D64="","",IF(AI64=2,(('Calc (ex-animal)'!$G$17*'DB additional information '!$K$5/100*(1-VLOOKUP(D64,'DB technologies'!$N$27:$Y$38,9,FALSE)/100)*'Calc (ex-housing, ex-storage)'!F64/100+'Calc (ex-animal)'!$H$17*'DB additional information '!$L$5/100*(1-VLOOKUP(D64,'DB technologies'!$N$27:$Y$38,9,FALSE)/100)*'Calc (ex-housing, ex-storage)'!F64/100))/VLOOKUP($C$62,'DB animal categories'!$C$22:$AC$31,27,FALSE)*AJ64+I64+J64+K64,IF(AI64=1,('Calc (ex-animal)'!$H$17*'DB additional information '!$L$5/100*(1-VLOOKUP(D64,'DB technologies'!$N$27:$Y$38,9,FALSE)/100)*'Calc (ex-housing, ex-storage)'!F64/100)/VLOOKUP($C$62,'DB animal categories'!$C$22:$AC$31,27,FALSE)*AJ64,IF(AI64=4,('Calc (ex-animal)'!$G$17*'DB additional information '!$K$5/100+'Calc (ex-animal)'!$H$17*'DB additional information '!$L$5/100)*(1-VLOOKUP(D64,'DB technologies'!$N$27:$Y$38,9,FALSE)/100)*'Calc (ex-housing, ex-storage)'!F64/100*VLOOKUP(D64,'DB technologies'!$N$27:$Y$38,11,FALSE)/100/VLOOKUP($C$62,'DB animal categories'!$C$22:$AC$31,27,FALSE)*AJ64,0))))</f>
        <v/>
      </c>
      <c r="AM64" s="442" t="str">
        <f>IF(D64="","",IF(AI64=2,(('Calc (ex-animal)'!$G$17*(1-'DB additional information '!$K$5/100)*(1-VLOOKUP(D64,'DB technologies'!$N$27:$Y$38,8,FALSE)/100)*'Calc (ex-housing, ex-storage)'!F64/100+'Calc (ex-animal)'!$H$17*(1-'DB additional information '!$L$5/100)*(1-VLOOKUP(D64,'DB technologies'!$N$27:$Y$38,8,FALSE)/100)*'Calc (ex-housing, ex-storage)'!F64/100))/VLOOKUP($C$62,'DB animal categories'!$C$22:$AC$31,27,FALSE)*AJ64+M64+N64+O64,IF(AI64=1,('Calc (ex-animal)'!$H$17*(1-'DB additional information '!$L$5/100)*(1-VLOOKUP(D64,'DB technologies'!$N$27:$Y$38,8,FALSE)/100)*'Calc (ex-housing, ex-storage)'!F64/100)/VLOOKUP($C$62,'DB animal categories'!$C$22:$AC$31,27,FALSE)*AJ64,IF(AI64=4,('Calc (ex-animal)'!$G$17*(1-'DB additional information '!$K$5/100)+'Calc (ex-animal)'!$H$17*(1-'DB additional information '!$L$5/100))*(1-VLOOKUP(D64,'DB technologies'!$N$27:$Y$38,8,FALSE)/100)*'Calc (ex-housing, ex-storage)'!F64/100*VLOOKUP(D64,'DB technologies'!$N$27:$Y$38,11,FALSE)/100/VLOOKUP($C$62,'DB animal categories'!$C$22:$AC$31,27,FALSE)*AJ64,0))))</f>
        <v/>
      </c>
      <c r="AN64" s="442" t="str">
        <f>IF(AI64="","",IF(AL64=0,0,AL64/AK64*100))</f>
        <v/>
      </c>
      <c r="AO64" s="182" t="str">
        <f>IF(D64="","",IF(AI64=2,(('Calc (ex-animal)'!$L$17*'Calc (ex-housing, ex-storage)'!F64/100+'Calc (ex-animal)'!$K$17*'Calc (ex-housing, ex-storage)'!F64/100))/VLOOKUP($C$62,'DB animal categories'!$C$22:$AC$31,27,FALSE)*AJ64+Q64+R64+S64-AC64,IF(AI64=1,('Calc (ex-animal)'!$L$17*'Calc (ex-housing, ex-storage)'!F64/100)/VLOOKUP($C$62,'DB animal categories'!$C$22:$AC$31,27,FALSE)*AJ64-'Calc (ex-housing, ex-storage)'!AC64,IF(AI64=4,('Calc (ex-animal)'!$L$17+'Calc (ex-animal)'!$K$17)*'Calc (ex-housing, ex-storage)'!F64/100*VLOOKUP(D64,'DB technologies'!$N$27:$Y$38,11,FALSE)/100/VLOOKUP($C$62,'DB animal categories'!$C$22:$AC$31,27,FALSE)*AJ64-AC64*VLOOKUP(D64,'DB technologies'!$N$27:$Y$38,11,FALSE)/100,0))))</f>
        <v/>
      </c>
      <c r="AP64" s="182" t="str">
        <f>IF(D64="","",IF(AO64&lt;-0.01,0,IF(AI64=2,(('Calc (ex-animal)'!$L$17*'Calc (ex-housing, ex-storage)'!F64/100+'Calc (ex-animal)'!$K$17*'Calc (ex-housing, ex-storage)'!F64/100))/VLOOKUP($C$62,'DB animal categories'!$C$22:$AC$31,27,FALSE)*AJ64+Q64+R64+S64-AC64,IF(AI64=1,('Calc (ex-animal)'!$L$17*'Calc (ex-housing, ex-storage)'!F64/100)/VLOOKUP($C$62,'DB animal categories'!$C$22:$AC$31,27,FALSE)*AJ64-'Calc (ex-housing, ex-storage)'!AC64,IF(AI64=4,('Calc (ex-animal)'!$L$17+'Calc (ex-animal)'!$K$17)*'Calc (ex-housing, ex-storage)'!F64/100*VLOOKUP(D64,'DB technologies'!$N$27:$Y$38,11,FALSE)/100/VLOOKUP($C$62,'DB animal categories'!$C$22:$AC$31,27,FALSE)*AJ64-AC64*VLOOKUP(D64,'DB technologies'!$N$27:$Y$38,11,FALSE)/100,0)))))</f>
        <v/>
      </c>
      <c r="AQ64" s="182" t="str">
        <f>IF(D64="","",IF(AI64=2,('Calc (ex-animal)'!$O$17*'Calc (ex-housing, ex-storage)'!F64/100+'Calc (ex-animal)'!$N$17*'Calc (ex-housing, ex-storage)'!F64/100)/VLOOKUP($C$62,'DB animal categories'!$C$22:$AC$31,27,FALSE)*AJ64+U64+V64+W64,IF(AI64=1,'Calc (ex-animal)'!$O$17*'Calc (ex-housing, ex-storage)'!F64/100/VLOOKUP($C$62,'DB animal categories'!$C$22:$AC$31,27,FALSE)*AJ64,IF(AI64=4,('Calc (ex-animal)'!$O$17+'Calc (ex-animal)'!$N$17)*'Calc (ex-housing, ex-storage)'!F64/100*VLOOKUP(D64,'DB technologies'!$N$27:$Y$38,11,FALSE)/100/VLOOKUP($C$62,'DB animal categories'!$C$22:$AC$31,27,FALSE)*AJ64,0))))</f>
        <v/>
      </c>
      <c r="AR64" s="182" t="str">
        <f>IF(D64="","",IF(AI64=2,('Calc (ex-animal)'!$R$17*'Calc (ex-housing, ex-storage)'!F64/100+'Calc (ex-animal)'!$Q$17*'Calc (ex-housing, ex-storage)'!F64/100)/VLOOKUP($C$62,'DB animal categories'!$C$22:$AC$31,27,FALSE)*AJ64+Y64+Z64+AA64,IF(AI64=1,'Calc (ex-animal)'!$R$17*'Calc (ex-housing, ex-storage)'!F64/100/VLOOKUP($C$62,'DB animal categories'!$C$22:$AC$31,27,FALSE)*AJ64,IF(AI64=4,('Calc (ex-animal)'!$R$17+'Calc (ex-animal)'!$Q$17)*'Calc (ex-housing, ex-storage)'!F64/100*VLOOKUP(D64,'DB technologies'!$N$27:$Y$38,11,FALSE)/100/VLOOKUP($C$62,'DB animal categories'!$C$22:$AC$31,27,FALSE)*AJ64,0))))</f>
        <v/>
      </c>
      <c r="AS64" s="181" t="str">
        <f>IF(D64="","",VLOOKUP(D64,'DB technologies'!$N$27:$Y$38,10,FALSE))</f>
        <v/>
      </c>
      <c r="AT64" s="442" t="str">
        <f>IF(AS64="","",AU64+AV64)</f>
        <v/>
      </c>
      <c r="AU64" s="442" t="str">
        <f>IF(D64="","",IF(AS64=2,0,IF(AS64=1,'Calc (ex-animal)'!$G$17*'DB additional information '!$K$5/100*(1-VLOOKUP(D64,'DB technologies'!$N$27:$Y$38,8,FALSE)/100)*'Calc (ex-housing, ex-storage)'!F64/100/VLOOKUP($C$62,'DB animal categories'!$C$22:$AC$31,27,FALSE)*AJ64+I64+J64+K64,IF(AS64=5,(('Calc (ex-animal)'!$G$17*'DB additional information '!$K$5/100+'Calc (ex-animal)'!$H$17*'DB additional information '!$L$5/100))*(1-VLOOKUP(D64,'DB technologies'!$N$27:$Y$38,9,FALSE)/100)*'Calc (ex-housing, ex-storage)'!F64/100/VLOOKUP($C$62,'DB animal categories'!$C$22:$AC$31,27,FALSE)*AJ64+I64+J64+K64,IF(AS64=3,('Calc (ex-animal)'!$G$17*'DB additional information '!$K$5/100+'Calc (ex-animal)'!$H$17*'DB additional information '!$L$5/100)*(1-VLOOKUP(D64,'DB technologies'!$N$27:$Y$38,9,FALSE)/100)*'Calc (ex-housing, ex-storage)'!F64/100/VLOOKUP($C$62,'DB animal categories'!$C$22:$AC$31,27,FALSE)*AJ64+I64+J64+K64,IF(AS64=4,('Calc (ex-animal)'!$G$17*'DB additional information '!$K$5/100+'Calc (ex-animal)'!$H$17*'DB additional information '!$L$5/100)*(1-VLOOKUP(D64,'DB technologies'!$N$27:$Y$38,9,FALSE)/100)*'Calc (ex-housing, ex-storage)'!F64/100*VLOOKUP(D64,'DB technologies'!$N$27:$Y$38,12,FALSE)/100/VLOOKUP($C$62,'DB animal categories'!$C$22:$AC$31,27,FALSE)*AJ64+I64+J64+K64,0))))))</f>
        <v/>
      </c>
      <c r="AV64" s="442" t="str">
        <f>IF(D64="","",IF(AS64=2,0,IF(AS64=1,'Calc (ex-animal)'!$G$17*(1-'DB additional information '!$K$5/100)*(1-VLOOKUP(D64,'DB technologies'!$N$27:$Y$38,8,FALSE)/100)*'Calc (ex-housing, ex-storage)'!F64/100/VLOOKUP($C$62,'DB animal categories'!$C$22:$AC$31,27,FALSE)*AJ64+M64+N64+O64,IF(AS64=5,('Calc (ex-animal)'!$G$17*(1-'DB additional information '!$K$5/100)+'Calc (ex-animal)'!$H$17*(1-'DB additional information '!$L$5/100))*(1-VLOOKUP(D64,'DB technologies'!$N$27:$Y$38,8,FALSE)/100)*'Calc (ex-housing, ex-storage)'!F64/100/VLOOKUP($C$62,'DB animal categories'!$C$22:$AC$31,27,FALSE)*AJ64+M64+N64+O64,IF(AS64=3,('Calc (ex-animal)'!$G$17*(1-'DB additional information '!$K$5/100)+'Calc (ex-animal)'!$H$17*(1-'DB additional information '!$L$5/100))*(1-VLOOKUP(D64,'DB technologies'!$N$27:$Y$38,8,FALSE)/100)*'Calc (ex-housing, ex-storage)'!F64/100/VLOOKUP($C$62,'DB animal categories'!$C$22:$AC$31,27,FALSE)*AJ64+M64+N64+O64,IF(AS64=4,('Calc (ex-animal)'!$G$17*(1-'DB additional information '!$K$5/100)+'Calc (ex-animal)'!$H$17*(1-'DB additional information '!$L$5/100))*(1-VLOOKUP(D64,'DB technologies'!$N$27:$Y$38,8,FALSE)/100)*'Calc (ex-housing, ex-storage)'!F64/100*VLOOKUP(D64,'DB technologies'!$N$27:$Y$38,12,FALSE)/100/VLOOKUP($C$62,'DB animal categories'!$C$22:$AC$31,27,FALSE)*AJ64+M64+N64+O64,0))))))</f>
        <v/>
      </c>
      <c r="AW64" s="442" t="str">
        <f>IF(AS64="","",IF(AU64=0,0,AU64/AT64*100))</f>
        <v/>
      </c>
      <c r="AX64" s="182" t="str">
        <f>IF(D64="","",IF(AS64=2,0,IF(AS64=1,'Calc (ex-animal)'!$K$17*'Calc (ex-housing, ex-storage)'!F64/100/VLOOKUP($C$62,'DB animal categories'!$C$22:$AC$31,27,FALSE)*AJ64+Q64+R64+S64,IF(AS64=5,('Calc (ex-animal)'!$K$17+'Calc (ex-animal)'!$L$17)*'Calc (ex-housing, ex-storage)'!F64/100/VLOOKUP($C$62,'DB animal categories'!$C$22:$AC$31,27,FALSE)*AJ64+Q64+R64+S64-'Calc (ex-housing, ex-storage)'!AC64,IF(AS64=3,('Calc (ex-animal)'!$K$17+'Calc (ex-animal)'!$L$17)*'Calc (ex-housing, ex-storage)'!F64/100/VLOOKUP($C$62,'DB animal categories'!$C$22:$AC$31,27,FALSE)*AJ64+Q64+R64+S64-'Calc (ex-housing, ex-storage)'!AC64-AD64-AE64,IF(AI64=4,('Calc (ex-animal)'!$K$17+'Calc (ex-animal)'!$L$17)*'Calc (ex-housing, ex-storage)'!F64/100*VLOOKUP(D64,'DB technologies'!$N$27:$Y$38,12,FALSE)/100/VLOOKUP($C$62,'DB animal categories'!$C$22:$AC$31,27,FALSE)*AJ64+Q64+R64+S64-(VLOOKUP(D64,'DB technologies'!$N$27:$Y$38,12,FALSE)/100*AC64)-AD64-AE64,0))))))</f>
        <v/>
      </c>
      <c r="AY64" s="182" t="str">
        <f>IF(D64="","",IF(AS64=2,0,IF(AS64=1,'Calc (ex-animal)'!$N$17*'Calc (ex-housing, ex-storage)'!F64/100/VLOOKUP($C$62,'DB animal categories'!$C$22:$AC$31,27,FALSE)*AJ64+U64+V64+W64,IF(AS64=5,('Calc (ex-animal)'!$N$17+'Calc (ex-animal)'!$O$17)*'Calc (ex-housing, ex-storage)'!F64/100/VLOOKUP($C$62,'DB animal categories'!$C$22:$AC$31,27,FALSE)*AJ64+U64+V64+W64,IF(AS64=3,('Calc (ex-animal)'!$N$17+'Calc (ex-animal)'!$O$17)*'Calc (ex-housing, ex-storage)'!F64/100/VLOOKUP($C$62,'DB animal categories'!$C$22:$AC$31,27,FALSE)*AJ64+U64+V64+W64,IF(AS64=4,('Calc (ex-animal)'!$N$17+'Calc (ex-animal)'!$O$17)*'Calc (ex-housing, ex-storage)'!F64/100*VLOOKUP(D64,'DB technologies'!$N$27:$Y$38,12,FALSE)/100/VLOOKUP($C$62,'DB animal categories'!$C$22:$AC$31,27,FALSE)*AJ64+U64+V64+W64,0))))))</f>
        <v/>
      </c>
      <c r="AZ64" s="182" t="str">
        <f>IF(D64="","",IF(AS64=2,0,IF(AS64=1,'Calc (ex-animal)'!$Q$17*'Calc (ex-housing, ex-storage)'!F64/100/VLOOKUP($C$62,'DB animal categories'!$C$22:$AC$31,27,FALSE)*AJ64+Y64+Z64+AA64,IF(AS64=5,('Calc (ex-animal)'!$Q$17+'Calc (ex-animal)'!$R$17)*'Calc (ex-housing, ex-storage)'!F64/100/VLOOKUP($C$62,'DB animal categories'!$C$22:$AC$31,27,FALSE)*AJ64+Y64+Z64+AA64,IF(AS64=3,('Calc (ex-animal)'!$Q$17+'Calc (ex-animal)'!$R$17)*'Calc (ex-housing, ex-storage)'!F64/100/VLOOKUP($C$62,'DB animal categories'!$C$22:$AC$31,27,FALSE)*AJ64+Y64+Z64+AA64,IF(AS64=4,('Calc (ex-animal)'!$Q$17+'Calc (ex-animal)'!$R$17)*'Calc (ex-housing, ex-storage)'!F64/100*VLOOKUP(D64,'DB technologies'!$N$27:$Y$38,12,FALSE)/100/VLOOKUP($C$62,'DB animal categories'!$C$22:$AC$31,27,FALSE)*AJ64+Y64+Z64+AA64,0))))))</f>
        <v/>
      </c>
      <c r="BA64" s="506"/>
      <c r="BB64" s="506"/>
      <c r="BC64" s="506"/>
      <c r="BD64" s="73"/>
      <c r="BE64" s="73"/>
      <c r="BF64" s="73"/>
      <c r="BG64" s="73"/>
      <c r="BH64" s="73"/>
      <c r="BI64" s="73"/>
      <c r="BJ64" s="450"/>
      <c r="BK64" s="73"/>
      <c r="BL64" s="73"/>
      <c r="BM64" s="73"/>
      <c r="BN64" s="73"/>
      <c r="BO64" s="73"/>
      <c r="BP64" s="73"/>
      <c r="BQ64" s="73"/>
      <c r="BR64" s="73"/>
      <c r="BS64" s="73"/>
      <c r="BT64" s="73"/>
    </row>
    <row r="65" spans="1:72" ht="11.25" customHeight="1" x14ac:dyDescent="0.2">
      <c r="A65" s="684"/>
      <c r="B65" s="695"/>
      <c r="C65" s="251"/>
      <c r="D65" s="1357"/>
      <c r="E65" s="1358"/>
      <c r="F65" s="480" t="str">
        <f>IF('Calc (ex-animal)'!$F$9=1,"",IF($C$62=0,"",IF(D65="","",E65/'Calc (ex-animal)'!$E$17*100)))</f>
        <v/>
      </c>
      <c r="G65" s="485" t="str">
        <f>IF($C$62=0,"",IF('Calc (ex-animal)'!$F$8=1,"",IF(D65="","",SUM(H65:O65))))</f>
        <v/>
      </c>
      <c r="H65" s="423" t="str">
        <f>IF('Calc (ex-animal)'!$F$8=1,"",IF(D65="","",(((VLOOKUP($C$62,'Calc (ex-animal)'!$D$13:$Y$17,6,FALSE)-VLOOKUP($C$62,'Calc (ex-animal)'!$D$13:$Y$17,17,FALSE))*F65/100))*VLOOKUP($C$62,'Calc (ex-animal)'!$D$13:$Y$17,7,FALSE)/100*(1-VLOOKUP(D65,'DB technologies'!$N$27:$Y$38,9,FALSE)/100)))</f>
        <v/>
      </c>
      <c r="I65" s="423" t="str">
        <f>IF(D65="","",((VLOOKUP(D65,'DB technologies'!$N$27:$Y$38,2,FALSE)*VLOOKUP($C$62,'DB animal categories'!$C$22:$AC$31,27,FALSE)*E65/1000)/VLOOKUP($C$62,'DB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'!$S$6/100*(1-VLOOKUP(D65,'DB technologies'!$N$27:$Y$38,9,FALSE)/100)))</f>
        <v/>
      </c>
      <c r="J65" s="434" t="str">
        <f>IF(D65="","",((VLOOKUP(D65,'DB technologies'!$N$27:$Y$38,3,FALSE)*VLOOKUP($C$62,'DB animal categories'!$C$22:$AC$31,27,FALSE)*E65/1000)/VLOOKUP($C$62,'DB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'!$S$7/100*(1-VLOOKUP(D65,'DB technologies'!$N$27:$Y$38,9,FALSE)/100)))</f>
        <v/>
      </c>
      <c r="K65" s="434" t="str">
        <f>IF(D65="","",((VLOOKUP(D65,'DB technologies'!$N$27:$Y$38,4,FALSE)*E65*'DB additional information '!$S$8/100*(1-VLOOKUP(D65,'DB technologies'!$N$27:$Y$38,9,FALSE)/100))/VLOOKUP($C$62,'DB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L65" s="423" t="str">
        <f>IF('Calc (ex-animal)'!$F$8=1,"",IF(D65="","",(((VLOOKUP($C$62,'Calc (ex-animal)'!$D$13:$Y$17,6,FALSE)-VLOOKUP($C$62,'Calc (ex-animal)'!$D$13:$Y$17,17,FALSE))*F65/100))*(1-VLOOKUP($C$62,'Calc (ex-animal)'!$D$13:$Y$17,7,FALSE)/100)*(1-VLOOKUP(D65,'DB technologies'!$N$27:$V$38,8,FALSE)/100)))</f>
        <v/>
      </c>
      <c r="M65" s="434" t="str">
        <f>IF(D65="","",((VLOOKUP(D65,'DB technologies'!$N$27:$Y$38,2,FALSE)*VLOOKUP($C$62,'DB animal categories'!$C$22:$AC$31,27,FALSE)*E65/1000)/VLOOKUP($C$62,'DB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'!$S$6/100)*(1-VLOOKUP(D65,'DB technologies'!$N$27:$Y$38,9,FALSE)/100))</f>
        <v/>
      </c>
      <c r="N65" s="434" t="str">
        <f>IF(D65="","",((VLOOKUP(D65,'DB technologies'!$N$27:$Y$38,3,FALSE)*VLOOKUP($C$62,'DB animal categories'!$C$22:$AC$31,27,FALSE)*E65/1000)/VLOOKUP($C$62,'DB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'!$S$7/100)*(1-VLOOKUP(D65,'DB technologies'!$N$27:$Y$38,9,FALSE)/100))</f>
        <v/>
      </c>
      <c r="O65" s="423" t="str">
        <f>IF(D65="","",((VLOOKUP(D65,'DB technologies'!$N$27:$Y$38,4,FALSE)*E65*(1-'DB additional information '!$S$8/100)*(1-VLOOKUP(D65,'DB technologies'!$N$27:$Y$38,8,FALSE)/100))/VLOOKUP($C$62,'DB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P65" s="438" t="str">
        <f>IF(G65=0,0,IF(E65="","",IF(F65="","",IF($C$62=0,"",IF(D65="","",SUM(H65:K65)/G65*100)))))</f>
        <v/>
      </c>
      <c r="Q65" s="416" t="str">
        <f>IF(D65="","",(VLOOKUP(D65,'DB technologies'!$N$27:$Y$38,2,FALSE)*'DB additional information '!$S$6/100*'DB additional information '!$T$6*VLOOKUP($C$62,'DB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R65" s="416" t="str">
        <f>IF(D65="","",(VLOOKUP(D65,'DB technologies'!$N$27:$Y$38,3,FALSE)*'DB additional information '!$S$7/100*'DB additional information '!$T$7*VLOOKUP($C$62,'DB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S65" s="491" t="str">
        <f>IF(D65="","",(VLOOKUP(D65,'DB technologies'!$N$27:$Y$38,4,FALSE)*('DB additional information '!$S$8/100*'DB additional information '!$T$8*E65/1000/1000)))</f>
        <v/>
      </c>
      <c r="T65" s="264" t="str">
        <f>IF($C$62=0,"",IF('Calc (ex-animal)'!$F$9=1,"",IF(D65="","",((VLOOKUP($C$62,'Calc (ex-animal)'!$D$13:$Y$17,10,FALSE)-VLOOKUP($C$62,'Calc (ex-animal)'!$D$13:$Y$17,18,FALSE))*F65/100+Q65+R65+S65)-AC65-AD65-AE65)))</f>
        <v/>
      </c>
      <c r="U65" s="422" t="str">
        <f>IF(D65="","",(VLOOKUP(D65,'DB technologies'!$N$27:$Y$38,2,FALSE)*'DB additional information '!$S$6/100*'DB additional information '!$U$6*VLOOKUP($C$62,'DB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V65" s="418" t="str">
        <f>IF(D65="","",(VLOOKUP(D65,'DB technologies'!$N$27:$Y$38,3,FALSE)*'DB additional information '!$S$7/100*'DB additional information '!$U$7*VLOOKUP($C$62,'DB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W65" s="417" t="str">
        <f>IF(D65="","",(VLOOKUP(D65,'DB technologies'!$N$27:$Y$38,4,FALSE)*('DB additional information '!$S$8/100*'DB additional information '!$U$8*E65/1000/1000)))</f>
        <v/>
      </c>
      <c r="X65" s="261" t="str">
        <f>IF($C$62=0,"",IF('Calc (ex-animal)'!$F$9=1,"",IF(D65="","",((VLOOKUP($C$62,'Calc (ex-animal)'!$D$13:$Y$17,13,FALSE)-VLOOKUP($C$62,'Calc (ex-animal)'!$D$13:$Y$17,19,FALSE))*F65/100+U65+V65+W65))))</f>
        <v/>
      </c>
      <c r="Y65" s="418" t="str">
        <f>IF(D65="","",(VLOOKUP(D65,'DB technologies'!$N$27:$Y$38,2,FALSE)*'DB additional information '!$S$6/100*'DB additional information '!$V$6*VLOOKUP($C$62,'DB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Z65" s="418" t="str">
        <f>IF(D65="","",(VLOOKUP(D65,'DB technologies'!$N$27:$Y$38,3,FALSE)*'DB additional information '!$S$7/100*'DB additional information '!$V$7*VLOOKUP($C$62,'DB animal categories'!$C$22:$AC$31,27,FALSE)*E65/1000/1000)/VLOOKUP($C$62,'DB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AA65" s="418" t="str">
        <f>IF(D65="","",(VLOOKUP(D65,'DB technologies'!$N$27:$Y$38,4,FALSE)*('DB additional information '!$S$8/100*'DB additional information '!$V$8*E65/1000/1000)))</f>
        <v/>
      </c>
      <c r="AB65" s="261" t="str">
        <f>IF($C$62=0,"",IF('Calc (ex-animal)'!$F$8=1,"",IF(D65="","",((VLOOKUP($C$62,'Calc (ex-animal)'!$D$13:$Y$17,16,FALSE)-VLOOKUP($C$62,'Calc (ex-animal)'!$D$13:$Y$17,20,FALSE))*F65/100+Y65+Z65+AA65))))</f>
        <v/>
      </c>
      <c r="AC65" s="261" t="str">
        <f>IF($C$62=0,"",IF('Calc (ex-animal)'!$F$8=1,"",IF(D65="","",VLOOKUP($C$62,'Calc (ex-animal)'!$D$13:$Y$17,9,FALSE)/VLOOKUP($C$62,'DB animal categories'!$C$22:$AC$31,27,FALSE)*(VLOOKUP($C$62,'DB animal categories'!$C$22:$AC$31,27,FALSE)-VLOOKUP($C$62,'DB animal categories'!$C$22:$AC$31,25,FALSE)*VLOOKUP($C$62,'DB animal categories'!$C$22:$AC$31,26,FALSE)/24)*F65/100*VLOOKUP(D65,'DB technologies'!$N$27:$R$38,5,FALSE)/100)))</f>
        <v/>
      </c>
      <c r="AD65" s="261" t="str">
        <f>IF($C$62=0,"",IF('Calc (ex-animal)'!$F$8=1,"",IF(D65="","",VLOOKUP($C$62,'Calc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categories'!$C$22:$AC$31,26,FALSE)/24)*F65/100*VLOOKUP(D65,'DB technologies'!$N$27:$Y$38,6,FALSE)/100)))</f>
        <v/>
      </c>
      <c r="AE65" s="262" t="str">
        <f>IF($C$62=0,"",IF('Calc (ex-animal)'!$F$8=1,"",IF(D65="","",VLOOKUP($C$62,'Calc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categories'!$C$22:$AC$31,26,FALSE)/24)*F65/100*VLOOKUP(D65,'DB technologies'!$N$27:$Y$38,7,FALSE)/100)))</f>
        <v/>
      </c>
      <c r="AG65" s="697" t="s">
        <v>207</v>
      </c>
      <c r="AH65" s="694" t="s">
        <v>129</v>
      </c>
      <c r="AI65" s="181" t="str">
        <f>IF(D65="","",VLOOKUP(D65,'DB technologies'!$N$27:$Y$38,10,FALSE))</f>
        <v/>
      </c>
      <c r="AJ65" s="449" t="e">
        <f>VLOOKUP($C$62,'DB animal categories'!$C$22:$AN$31,27,FALSE)-VLOOKUP($C$62,'DB animal categories'!$C$22:$AN$31,26,FALSE)*VLOOKUP($C$62,'DB animal categories'!$C$22:$AN$31,25,FALSE)/24</f>
        <v>#N/A</v>
      </c>
      <c r="AK65" s="442" t="str">
        <f>IF(AI65="","",AL65+AM65)</f>
        <v/>
      </c>
      <c r="AL65" s="442" t="str">
        <f>IF(D65="","",IF(AI65=2,(('Calc (ex-animal)'!$G$17*'DB additional information '!$K$5/100*(1-VLOOKUP(D65,'DB technologies'!$N$27:$Y$38,9,FALSE)/100)*'Calc (ex-housing, ex-storage)'!F65/100+'Calc (ex-animal)'!$H$17*'DB additional information '!$L$5/100*(1-VLOOKUP(D65,'DB technologies'!$N$27:$Y$38,9,FALSE)/100)*'Calc (ex-housing, ex-storage)'!F65/100))/VLOOKUP($C$62,'DB animal categories'!$C$22:$AC$31,27,FALSE)*AJ65+I65+J65+K65,IF(AI65=1,('Calc (ex-animal)'!$H$17*'DB additional information '!$L$5/100*(1-VLOOKUP(D65,'DB technologies'!$N$27:$Y$38,9,FALSE)/100)*'Calc (ex-housing, ex-storage)'!F65/100)/VLOOKUP($C$62,'DB animal categories'!$C$22:$AC$31,27,FALSE)*AJ65,IF(AI65=4,('Calc (ex-animal)'!$G$17*'DB additional information '!$K$5/100+'Calc (ex-animal)'!$H$17*'DB additional information '!$L$5/100)*(1-VLOOKUP(D65,'DB technologies'!$N$27:$Y$38,9,FALSE)/100)*'Calc (ex-housing, ex-storage)'!F65/100*VLOOKUP(D65,'DB technologies'!$N$27:$Y$38,11,FALSE)/100/VLOOKUP($C$62,'DB animal categories'!$C$22:$AC$31,27,FALSE)*AJ65,0))))</f>
        <v/>
      </c>
      <c r="AM65" s="442" t="str">
        <f>IF(D65="","",IF(AI65=2,(('Calc (ex-animal)'!$G$17*(1-'DB additional information '!$K$5/100)*(1-VLOOKUP(D65,'DB technologies'!$N$27:$Y$38,8,FALSE)/100)*'Calc (ex-housing, ex-storage)'!F65/100+'Calc (ex-animal)'!$H$17*(1-'DB additional information '!$L$5/100)*(1-VLOOKUP(D65,'DB technologies'!$N$27:$Y$38,8,FALSE)/100)*'Calc (ex-housing, ex-storage)'!F65/100))/VLOOKUP($C$62,'DB animal categories'!$C$22:$AC$31,27,FALSE)*AJ65+M65+N65+O65,IF(AI65=1,('Calc (ex-animal)'!$H$17*(1-'DB additional information '!$L$5/100)*(1-VLOOKUP(D65,'DB technologies'!$N$27:$Y$38,8,FALSE)/100)*'Calc (ex-housing, ex-storage)'!F65/100)/VLOOKUP($C$62,'DB animal categories'!$C$22:$AC$31,27,FALSE)*AJ65,IF(AI65=4,('Calc (ex-animal)'!$G$17*(1-'DB additional information '!$K$5/100)+'Calc (ex-animal)'!$H$17*(1-'DB additional information '!$L$5/100))*(1-VLOOKUP(D65,'DB technologies'!$N$27:$Y$38,8,FALSE)/100)*'Calc (ex-housing, ex-storage)'!F65/100*VLOOKUP(D65,'DB technologies'!$N$27:$Y$38,11,FALSE)/100/VLOOKUP($C$62,'DB animal categories'!$C$22:$AC$31,27,FALSE)*AJ65,0))))</f>
        <v/>
      </c>
      <c r="AN65" s="442" t="str">
        <f>IF(AI65="","",IF(AL65=0,0,AL65/AK65*100))</f>
        <v/>
      </c>
      <c r="AO65" s="182" t="str">
        <f>IF(D65="","",IF(AI65=2,(('Calc (ex-animal)'!$L$17*'Calc (ex-housing, ex-storage)'!F65/100+'Calc (ex-animal)'!$K$17*'Calc (ex-housing, ex-storage)'!F65/100))/VLOOKUP($C$62,'DB animal categories'!$C$22:$AC$31,27,FALSE)*AJ65+Q65+R65+S65-AC65,IF(AI65=1,('Calc (ex-animal)'!$L$17*'Calc (ex-housing, ex-storage)'!F65/100)/VLOOKUP($C$62,'DB animal categories'!$C$22:$AC$31,27,FALSE)*AJ65-'Calc (ex-housing, ex-storage)'!AC65,IF(AI65=4,('Calc (ex-animal)'!$L$17+'Calc (ex-animal)'!$K$17)*'Calc (ex-housing, ex-storage)'!F65/100*VLOOKUP(D65,'DB technologies'!$N$27:$Y$38,11,FALSE)/100/VLOOKUP($C$62,'DB animal categories'!$C$22:$AC$31,27,FALSE)*AJ65-AC65*VLOOKUP(D65,'DB technologies'!$N$27:$Y$38,11,FALSE)/100,0))))</f>
        <v/>
      </c>
      <c r="AP65" s="182" t="str">
        <f>IF(D65="","",IF(AO65&lt;-0.01,0,IF(AI65=2,(('Calc (ex-animal)'!$L$17*'Calc (ex-housing, ex-storage)'!F65/100+'Calc (ex-animal)'!$K$17*'Calc (ex-housing, ex-storage)'!F65/100))/VLOOKUP($C$62,'DB animal categories'!$C$22:$AC$31,27,FALSE)*AJ65+Q65+R65+S65-AC65,IF(AI65=1,('Calc (ex-animal)'!$L$17*'Calc (ex-housing, ex-storage)'!F65/100)/VLOOKUP($C$62,'DB animal categories'!$C$22:$AC$31,27,FALSE)*AJ65-'Calc (ex-housing, ex-storage)'!AC65,IF(AI65=4,('Calc (ex-animal)'!$L$17+'Calc (ex-animal)'!$K$17)*'Calc (ex-housing, ex-storage)'!F65/100*VLOOKUP(D65,'DB technologies'!$N$27:$Y$38,11,FALSE)/100/VLOOKUP($C$62,'DB animal categories'!$C$22:$AC$31,27,FALSE)*AJ65-AC65*VLOOKUP(D65,'DB technologies'!$N$27:$Y$38,11,FALSE)/100,0)))))</f>
        <v/>
      </c>
      <c r="AQ65" s="182" t="str">
        <f>IF(D65="","",IF(AI65=2,('Calc (ex-animal)'!$O$17*'Calc (ex-housing, ex-storage)'!F65/100+'Calc (ex-animal)'!$N$17*'Calc (ex-housing, ex-storage)'!F65/100)/VLOOKUP($C$62,'DB animal categories'!$C$22:$AC$31,27,FALSE)*AJ65+U65+V65+W65,IF(AI65=1,'Calc (ex-animal)'!$O$17*'Calc (ex-housing, ex-storage)'!F65/100/VLOOKUP($C$62,'DB animal categories'!$C$22:$AC$31,27,FALSE)*AJ65,IF(AI65=4,('Calc (ex-animal)'!$O$17+'Calc (ex-animal)'!$N$17)*'Calc (ex-housing, ex-storage)'!F65/100*VLOOKUP(D65,'DB technologies'!$N$27:$Y$38,11,FALSE)/100/VLOOKUP($C$62,'DB animal categories'!$C$22:$AC$31,27,FALSE)*AJ65,0))))</f>
        <v/>
      </c>
      <c r="AR65" s="182" t="str">
        <f>IF(D65="","",IF(AI65=2,('Calc (ex-animal)'!$R$17*'Calc (ex-housing, ex-storage)'!F65/100+'Calc (ex-animal)'!$Q$17*'Calc (ex-housing, ex-storage)'!F65/100)/VLOOKUP($C$62,'DB animal categories'!$C$22:$AC$31,27,FALSE)*AJ65+Y65+Z65+AA65,IF(AI65=1,'Calc (ex-animal)'!$R$17*'Calc (ex-housing, ex-storage)'!F65/100/VLOOKUP($C$62,'DB animal categories'!$C$22:$AC$31,27,FALSE)*AJ65,IF(AI65=4,('Calc (ex-animal)'!$R$17+'Calc (ex-animal)'!$Q$17)*'Calc (ex-housing, ex-storage)'!F65/100*VLOOKUP(D65,'DB technologies'!$N$27:$Y$38,11,FALSE)/100/VLOOKUP($C$62,'DB animal categories'!$C$22:$AC$31,27,FALSE)*AJ65,0))))</f>
        <v/>
      </c>
      <c r="AS65" s="181" t="str">
        <f>IF(D65="","",VLOOKUP(D65,'DB technologies'!$N$27:$Y$38,10,FALSE))</f>
        <v/>
      </c>
      <c r="AT65" s="442" t="str">
        <f>IF(AS65="","",AU65+AV65)</f>
        <v/>
      </c>
      <c r="AU65" s="442" t="str">
        <f>IF(D65="","",IF(AS65=2,0,IF(AS65=1,'Calc (ex-animal)'!$G$17*'DB additional information '!$K$5/100*(1-VLOOKUP(D65,'DB technologies'!$N$27:$Y$38,8,FALSE)/100)*'Calc (ex-housing, ex-storage)'!F65/100/VLOOKUP($C$62,'DB animal categories'!$C$22:$AC$31,27,FALSE)*AJ65+I65+J65+K65,IF(AS65=5,(('Calc (ex-animal)'!$G$17*'DB additional information '!$K$5/100+'Calc (ex-animal)'!$H$17*'DB additional information '!$L$5/100))*(1-VLOOKUP(D65,'DB technologies'!$N$27:$Y$38,9,FALSE)/100)*'Calc (ex-housing, ex-storage)'!F65/100/VLOOKUP($C$62,'DB animal categories'!$C$22:$AC$31,27,FALSE)*AJ65+I65+J65+K65,IF(AS65=3,('Calc (ex-animal)'!$G$17*'DB additional information '!$K$5/100+'Calc (ex-animal)'!$H$17*'DB additional information '!$L$5/100)*(1-VLOOKUP(D65,'DB technologies'!$N$27:$Y$38,9,FALSE)/100)*'Calc (ex-housing, ex-storage)'!F65/100/VLOOKUP($C$62,'DB animal categories'!$C$22:$AC$31,27,FALSE)*AJ65+I65+J65+K65,IF(AS65=4,('Calc (ex-animal)'!$G$17*'DB additional information '!$K$5/100+'Calc (ex-animal)'!$H$17*'DB additional information '!$L$5/100)*(1-VLOOKUP(D65,'DB technologies'!$N$27:$Y$38,9,FALSE)/100)*'Calc (ex-housing, ex-storage)'!F65/100*VLOOKUP(D65,'DB technologies'!$N$27:$Y$38,12,FALSE)/100/VLOOKUP($C$62,'DB animal categories'!$C$22:$AC$31,27,FALSE)*AJ65+I65+J65+K65,0))))))</f>
        <v/>
      </c>
      <c r="AV65" s="442" t="str">
        <f>IF(D65="","",IF(AS65=2,0,IF(AS65=1,'Calc (ex-animal)'!$G$17*(1-'DB additional information '!$K$5/100)*(1-VLOOKUP(D65,'DB technologies'!$N$27:$Y$38,8,FALSE)/100)*'Calc (ex-housing, ex-storage)'!F65/100/VLOOKUP($C$62,'DB animal categories'!$C$22:$AC$31,27,FALSE)*AJ65+M65+N65+O65,IF(AS65=5,('Calc (ex-animal)'!$G$17*(1-'DB additional information '!$K$5/100)+'Calc (ex-animal)'!$H$17*(1-'DB additional information '!$L$5/100))*(1-VLOOKUP(D65,'DB technologies'!$N$27:$Y$38,8,FALSE)/100)*'Calc (ex-housing, ex-storage)'!F65/100/VLOOKUP($C$62,'DB animal categories'!$C$22:$AC$31,27,FALSE)*AJ65+M65+N65+O65,IF(AS65=3,('Calc (ex-animal)'!$G$17*(1-'DB additional information '!$K$5/100)+'Calc (ex-animal)'!$H$17*(1-'DB additional information '!$L$5/100))*(1-VLOOKUP(D65,'DB technologies'!$N$27:$Y$38,8,FALSE)/100)*'Calc (ex-housing, ex-storage)'!F65/100/VLOOKUP($C$62,'DB animal categories'!$C$22:$AC$31,27,FALSE)*AJ65+M65+N65+O65,IF(AS65=4,('Calc (ex-animal)'!$G$17*(1-'DB additional information '!$K$5/100)+'Calc (ex-animal)'!$H$17*(1-'DB additional information '!$L$5/100))*(1-VLOOKUP(D65,'DB technologies'!$N$27:$Y$38,8,FALSE)/100)*'Calc (ex-housing, ex-storage)'!F65/100*VLOOKUP(D65,'DB technologies'!$N$27:$Y$38,12,FALSE)/100/VLOOKUP($C$62,'DB animal categories'!$C$22:$AC$31,27,FALSE)*AJ65+M65+N65+O65,0))))))</f>
        <v/>
      </c>
      <c r="AW65" s="442" t="str">
        <f>IF(AS65="","",IF(AU65=0,0,AU65/AT65*100))</f>
        <v/>
      </c>
      <c r="AX65" s="182" t="str">
        <f>IF(D65="","",IF(AS65=2,0,IF(AS65=1,'Calc (ex-animal)'!$K$17*'Calc (ex-housing, ex-storage)'!F65/100/VLOOKUP($C$62,'DB animal categories'!$C$22:$AC$31,27,FALSE)*AJ65+Q65+R65+S65,IF(AS65=5,('Calc (ex-animal)'!$K$17+'Calc (ex-animal)'!$L$17)*'Calc (ex-housing, ex-storage)'!F65/100/VLOOKUP($C$62,'DB animal categories'!$C$22:$AC$31,27,FALSE)*AJ65+Q65+R65+S65-'Calc (ex-housing, ex-storage)'!AC65,IF(AS65=3,('Calc (ex-animal)'!$K$17+'Calc (ex-animal)'!$L$17)*'Calc (ex-housing, ex-storage)'!F65/100/VLOOKUP($C$62,'DB animal categories'!$C$22:$AC$31,27,FALSE)*AJ65+Q65+R65+S65-'Calc (ex-housing, ex-storage)'!AC65-AD65-AE65,IF(AI65=4,('Calc (ex-animal)'!$K$17+'Calc (ex-animal)'!$L$17)*'Calc (ex-housing, ex-storage)'!F65/100*VLOOKUP(D65,'DB technologies'!$N$27:$Y$38,12,FALSE)/100/VLOOKUP($C$62,'DB animal categories'!$C$22:$AC$31,27,FALSE)*AJ65+Q65+R65+S65-(VLOOKUP(D65,'DB technologies'!$N$27:$Y$38,12,FALSE)/100*AC65)-AD65-AE65,0))))))</f>
        <v/>
      </c>
      <c r="AY65" s="182" t="str">
        <f>IF(D65="","",IF(AS65=2,0,IF(AS65=1,'Calc (ex-animal)'!$N$17*'Calc (ex-housing, ex-storage)'!F65/100/VLOOKUP($C$62,'DB animal categories'!$C$22:$AC$31,27,FALSE)*AJ65+U65+V65+W65,IF(AS65=5,('Calc (ex-animal)'!$N$17+'Calc (ex-animal)'!$O$17)*'Calc (ex-housing, ex-storage)'!F65/100/VLOOKUP($C$62,'DB animal categories'!$C$22:$AC$31,27,FALSE)*AJ65+U65+V65+W65,IF(AS65=3,('Calc (ex-animal)'!$N$17+'Calc (ex-animal)'!$O$17)*'Calc (ex-housing, ex-storage)'!F65/100/VLOOKUP($C$62,'DB animal categories'!$C$22:$AC$31,27,FALSE)*AJ65+U65+V65+W65,IF(AS65=4,('Calc (ex-animal)'!$N$17+'Calc (ex-animal)'!$O$17)*'Calc (ex-housing, ex-storage)'!F65/100*VLOOKUP(D65,'DB technologies'!$N$27:$Y$38,12,FALSE)/100/VLOOKUP($C$62,'DB animal categories'!$C$22:$AC$31,27,FALSE)*AJ65+U65+V65+W65,0))))))</f>
        <v/>
      </c>
      <c r="AZ65" s="182" t="str">
        <f>IF(D65="","",IF(AS65=2,0,IF(AS65=1,'Calc (ex-animal)'!$Q$17*'Calc (ex-housing, ex-storage)'!F65/100/VLOOKUP($C$62,'DB animal categories'!$C$22:$AC$31,27,FALSE)*AJ65+Y65+Z65+AA65,IF(AS65=5,('Calc (ex-animal)'!$Q$17+'Calc (ex-animal)'!$R$17)*'Calc (ex-housing, ex-storage)'!F65/100/VLOOKUP($C$62,'DB animal categories'!$C$22:$AC$31,27,FALSE)*AJ65+Y65+Z65+AA65,IF(AS65=3,('Calc (ex-animal)'!$Q$17+'Calc (ex-animal)'!$R$17)*'Calc (ex-housing, ex-storage)'!F65/100/VLOOKUP($C$62,'DB animal categories'!$C$22:$AC$31,27,FALSE)*AJ65+Y65+Z65+AA65,IF(AS65=4,('Calc (ex-animal)'!$Q$17+'Calc (ex-animal)'!$R$17)*'Calc (ex-housing, ex-storage)'!F65/100*VLOOKUP(D65,'DB technologies'!$N$27:$Y$38,12,FALSE)/100/VLOOKUP($C$62,'DB animal categories'!$C$22:$AC$31,27,FALSE)*AJ65+Y65+Z65+AA65,0))))))</f>
        <v/>
      </c>
      <c r="BA65" s="97">
        <f>SUM(AK487:AK545)</f>
        <v>0</v>
      </c>
      <c r="BB65" s="97">
        <f>SUM(AL487:AL545)</f>
        <v>0</v>
      </c>
      <c r="BC65" s="506" t="e">
        <f>BB65/BA65*100</f>
        <v>#DIV/0!</v>
      </c>
      <c r="BD65" s="97">
        <f>SUM(AP487:AP545)</f>
        <v>0</v>
      </c>
      <c r="BE65" s="97">
        <f>SUM(AQ487:AQ545)</f>
        <v>0</v>
      </c>
      <c r="BF65" s="97">
        <f>SUM(AR487:AR545)</f>
        <v>0</v>
      </c>
      <c r="BG65" s="1355"/>
      <c r="BH65" s="1363"/>
      <c r="BI65" s="599" t="str">
        <f>IF(BG65="","",$BA$65*BH65/100-($BB$65*BH65/100*VLOOKUP(BG65,'DB technologies'!$AC$11:$AT$15,5,FALSE)/100)+(VLOOKUP(BG65,'DB technologies'!$AC$11:$AT$15,12,FALSE)*$BA$65*BH65/100))</f>
        <v/>
      </c>
      <c r="BJ65" s="551">
        <f>IF(BI65="",0,BI65*BK65/100)</f>
        <v>0</v>
      </c>
      <c r="BK65" s="560" t="str">
        <f>IF(BG65="","",IF($BA$65=0,0,($BB$65*BH65/100)/BI65*(1-(VLOOKUP(BG65,'DB technologies'!$AC$11:$AQ$15,5,FALSE))/100)*100))</f>
        <v/>
      </c>
      <c r="BL65" s="259" t="str">
        <f>IF(BG65="","",$BD$65*BH65/100-BO65-BP65-BQ65)</f>
        <v/>
      </c>
      <c r="BM65" s="259" t="str">
        <f>IF(BG65="","",$BE$65*BH65/100)</f>
        <v/>
      </c>
      <c r="BN65" s="259" t="str">
        <f>IF(BG65="","",$BF$65*BH65/100)</f>
        <v/>
      </c>
      <c r="BO65" s="259" t="str">
        <f>IF(BG65="","",$BD$65*BH65/100*VLOOKUP(BG65,'DB technologies'!$AC$11:$AF$15,2,FALSE)/100)</f>
        <v/>
      </c>
      <c r="BP65" s="259" t="str">
        <f>IF(BG65="","",$BD$65*BH65/100*VLOOKUP(BG65,'DB technologies'!$AC$11:$AN$15,3,FALSE)/100)</f>
        <v/>
      </c>
      <c r="BQ65" s="260" t="str">
        <f>IF(BG65="","",$BD$65*BH65/100*VLOOKUP(BG65,'DB technologies'!$AC$11:$AN$15,4,FALSE)/100)</f>
        <v/>
      </c>
      <c r="BR65" s="114"/>
      <c r="BS65" s="114"/>
      <c r="BT65" s="115"/>
    </row>
    <row r="66" spans="1:72" ht="12" customHeight="1" thickBot="1" x14ac:dyDescent="0.25">
      <c r="A66" s="684"/>
      <c r="B66" s="695"/>
      <c r="C66" s="251"/>
      <c r="D66" s="1359"/>
      <c r="E66" s="1360"/>
      <c r="F66" s="481" t="str">
        <f>IF('Calc (ex-animal)'!$F$9=1,"",IF($C$62=0,"",IF(D66="","",E66/'Calc (ex-animal)'!$E$17*100)))</f>
        <v/>
      </c>
      <c r="G66" s="483" t="str">
        <f>IF($C$62=0,"",IF('Calc (ex-animal)'!$F$8=1,"",IF(D66="","",SUM(H66:O66))))</f>
        <v/>
      </c>
      <c r="H66" s="445" t="str">
        <f>IF('Calc (ex-animal)'!$F$8=1,"",IF(D66="","",(((VLOOKUP($C$62,'Calc (ex-animal)'!$D$13:$Y$17,6,FALSE)-VLOOKUP($C$62,'Calc (ex-animal)'!$D$13:$Y$17,17,FALSE))*F66/100))*VLOOKUP($C$62,'Calc (ex-animal)'!$D$13:$Y$17,7,FALSE)/100*(1-VLOOKUP(D66,'DB technologies'!$N$27:$Y$38,9,FALSE)/100)))</f>
        <v/>
      </c>
      <c r="I66" s="445" t="str">
        <f>IF(D66="","",((VLOOKUP(D66,'DB technologies'!$N$27:$Y$38,2,FALSE)*VLOOKUP($C$62,'DB animal categories'!$C$22:$AC$31,27,FALSE)*E66/1000)/VLOOKUP($C$62,'DB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'!$S$6/100*(1-VLOOKUP(D66,'DB technologies'!$N$27:$Y$38,9,FALSE)/100)))</f>
        <v/>
      </c>
      <c r="J66" s="446" t="str">
        <f>IF(D66="","",((VLOOKUP(D66,'DB technologies'!$N$27:$Y$38,3,FALSE)*VLOOKUP($C$62,'DB animal categories'!$C$22:$AC$31,27,FALSE)*E66/1000)/VLOOKUP($C$62,'DB animal categories'!$C$22:$AC$31,27,FALSE)*(VLOOKUP($C$62,'DB animal categories'!$C$22:$AC$31,27,FALSE)-(VLOOKUP($C$62,'DB animal categories'!$C$22:$AC$31,25,FALSE)*VLOOKUP($C$62,'DB animal categories'!$C$22:$AC$31,26,FALSE)/24))*'DB additional information '!$S$7/100*(1-VLOOKUP(D66,'DB technologies'!$N$27:$Y$38,9,FALSE)/100)))</f>
        <v/>
      </c>
      <c r="K66" s="446" t="str">
        <f>IF(D66="","",((VLOOKUP(D66,'DB technologies'!$N$27:$Y$38,4,FALSE)*E66*'DB additional information '!$S$8/100*(1-VLOOKUP(D66,'DB technologies'!$N$27:$Y$38,9,FALSE)/100))/VLOOKUP($C$62,'DB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L66" s="445" t="str">
        <f>IF('Calc (ex-animal)'!$F$8=1,"",IF(D66="","",(((VLOOKUP($C$62,'Calc (ex-animal)'!$D$13:$Y$17,6,FALSE)-VLOOKUP($C$62,'Calc (ex-animal)'!$D$13:$Y$17,17,FALSE))*F66/100))*(1-VLOOKUP($C$62,'Calc (ex-animal)'!$D$13:$Y$17,7,FALSE)/100)*(1-VLOOKUP(D66,'DB technologies'!$N$27:$V$38,8,FALSE)/100)))</f>
        <v/>
      </c>
      <c r="M66" s="446" t="str">
        <f>IF(D66="","",((VLOOKUP(D66,'DB technologies'!$N$27:$Y$38,2,FALSE)*VLOOKUP($C$62,'DB animal categories'!$C$22:$AC$31,27,FALSE)*E66/1000)/VLOOKUP($C$62,'DB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'!$S$6/100)*(1-VLOOKUP(D66,'DB technologies'!$N$27:$Y$38,9,FALSE)/100))</f>
        <v/>
      </c>
      <c r="N66" s="446" t="str">
        <f>IF(D66="","",((VLOOKUP(D66,'DB technologies'!$N$27:$Y$38,3,FALSE)*VLOOKUP($C$62,'DB animal categories'!$C$22:$AC$31,27,FALSE)*E66/1000)/VLOOKUP($C$62,'DB animal categories'!$C$22:$AC$31,27,FALSE)*(VLOOKUP($C$62,'DB animal categories'!$C$22:$AC$31,27,FALSE)-VLOOKUP($C$62,'DB animal categories'!$C$22:$AC$31,25,FALSE)*VLOOKUP($C$62,'DB animal categories'!$C$22:$AC$31,26,FALSE)/24))*(1-'DB additional information '!$S$7/100)*(1-VLOOKUP(D66,'DB technologies'!$N$27:$Y$38,9,FALSE)/100))</f>
        <v/>
      </c>
      <c r="O66" s="445" t="str">
        <f>IF(D66="","",((VLOOKUP(D66,'DB technologies'!$N$27:$Y$38,4,FALSE)*E66*(1-'DB additional information '!$S$8/100)*(1-VLOOKUP(D66,'DB technologies'!$N$27:$Y$38,8,FALSE)/100))/VLOOKUP($C$62,'DB animal categories'!$C$22:$AC$31,27,FALSE)*(VLOOKUP($C$62,'DB animal categories'!$C$22:$AC$31,27,FALSE)-VLOOKUP($C$62,'DB animal categories'!$C$22:$AC$31,25,FALSE)*VLOOKUP($C$62,'DB animal categories'!$C$22:$AC$31,26,FALSE)/24)))</f>
        <v/>
      </c>
      <c r="P66" s="444" t="str">
        <f>IF(G66=0,0,IF(E66="","",IF(F66="","",IF($C$62=0,"",IF(D66="","",SUM(H66:K66)/G66*100)))))</f>
        <v/>
      </c>
      <c r="Q66" s="476" t="str">
        <f>IF(D66="","",(VLOOKUP(D66,'DB technologies'!$N$27:$Y$38,2,FALSE)*'DB additional information '!$S$6/100*'DB additional information '!$T$6*VLOOKUP($C$62,'DB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R66" s="476" t="str">
        <f>IF(D66="","",(VLOOKUP(D66,'DB technologies'!$N$27:$Y$38,3,FALSE)*'DB additional information '!$S$7/100*'DB additional information '!$T$7*VLOOKUP($C$62,'DB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S66" s="494" t="str">
        <f>IF(D66="","",(VLOOKUP(D66,'DB technologies'!$N$27:$Y$38,4,FALSE)*('DB additional information '!$S$8/100*'DB additional information '!$T$8*E66/1000/1000)))</f>
        <v/>
      </c>
      <c r="T66" s="266" t="str">
        <f>IF($C$62=0,"",IF('Calc (ex-animal)'!$F$9=1,"",IF(D66="","",((VLOOKUP($C$62,'Calc (ex-animal)'!$D$13:$Y$17,10,FALSE)-VLOOKUP($C$62,'Calc (ex-animal)'!$D$13:$Y$17,18,FALSE))*F66/100+Q66+R66+S66)-AC66-AD66-AE66)))</f>
        <v/>
      </c>
      <c r="U66" s="477" t="str">
        <f>IF(D66="","",(VLOOKUP(D66,'DB technologies'!$N$27:$Y$38,2,FALSE)*'DB additional information '!$S$6/100*'DB additional information '!$U$6*VLOOKUP($C$62,'DB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V66" s="433" t="str">
        <f>IF(D66="","",(VLOOKUP(D66,'DB technologies'!$N$27:$Y$38,3,FALSE)*'DB additional information '!$S$7/100*'DB additional information '!$U$7*VLOOKUP($C$62,'DB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W66" s="475" t="str">
        <f>IF(D66="","",(VLOOKUP(D66,'DB technologies'!$N$27:$Y$38,4,FALSE)*('DB additional information '!$S$8/100*'DB additional information '!$U$8*E66/1000/1000)))</f>
        <v/>
      </c>
      <c r="X66" s="267" t="str">
        <f>IF($C$62=0,"",IF('Calc (ex-animal)'!$F$9=1,"",IF(D66="","",((VLOOKUP($C$62,'Calc (ex-animal)'!$D$13:$Y$17,13,FALSE)-VLOOKUP($C$62,'Calc (ex-animal)'!$D$13:$Y$17,19,FALSE))*F66/100+U66+V66+W66))))</f>
        <v/>
      </c>
      <c r="Y66" s="433" t="str">
        <f>IF(D66="","",(VLOOKUP(D66,'DB technologies'!$N$27:$Y$38,2,FALSE)*'DB additional information '!$S$6/100*'DB additional information '!$V$6*VLOOKUP($C$62,'DB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Z66" s="433" t="str">
        <f>IF(D66="","",(VLOOKUP(D66,'DB technologies'!$N$27:$Y$38,3,FALSE)*'DB additional information '!$S$7/100*'DB additional information '!$V$7*VLOOKUP($C$62,'DB animal categories'!$C$22:$AC$31,27,FALSE)*E66/1000/1000)/VLOOKUP($C$62,'DB animal categories'!$C$22:$AC$31,27,FALSE)*(VLOOKUP($C$62,'DB animal categories'!$C$22:$AC$31,27,FALSE)-VLOOKUP($C$62,'DB animal categories'!$C$22:$AC$31,25,FALSE)*VLOOKUP($C$62,'DB animal categories'!$C$22:$AC$31,26,FALSE)/24))</f>
        <v/>
      </c>
      <c r="AA66" s="433" t="str">
        <f>IF(D66="","",(VLOOKUP(D66,'DB technologies'!$N$27:$Y$38,4,FALSE)*('DB additional information '!$S$8/100*'DB additional information '!$V$8*E66/1000/1000)))</f>
        <v/>
      </c>
      <c r="AB66" s="267" t="str">
        <f>IF($C$62=0,"",IF('Calc (ex-animal)'!$F$8=1,"",IF(D66="","",((VLOOKUP($C$62,'Calc (ex-animal)'!$D$13:$Y$17,16,FALSE)-VLOOKUP($C$62,'Calc (ex-animal)'!$D$13:$Y$17,20,FALSE))*F66/100+Y66+Z66+AA66))))</f>
        <v/>
      </c>
      <c r="AC66" s="267" t="str">
        <f>IF($C$62=0,"",IF('Calc (ex-animal)'!$F$8=1,"",IF(D66="","",VLOOKUP($C$62,'Calc (ex-animal)'!$D$13:$Y$17,9,FALSE)/VLOOKUP($C$62,'DB animal categories'!$C$22:$AC$31,27,FALSE)*(VLOOKUP($C$62,'DB animal categories'!$C$22:$AC$31,27,FALSE)-VLOOKUP($C$62,'DB animal categories'!$C$22:$AC$31,25,FALSE)*VLOOKUP($C$62,'DB animal categories'!$C$22:$AC$31,26,FALSE)/24)*F66/100*VLOOKUP(D66,'DB technologies'!$N$27:$R$38,5,FALSE)/100)))</f>
        <v/>
      </c>
      <c r="AD66" s="267" t="str">
        <f>IF($C$62=0,"",IF('Calc (ex-animal)'!$F$8=1,"",IF(D66="","",VLOOKUP($C$62,'Calc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categories'!$C$22:$AC$31,26,FALSE)/24)*F66/100*VLOOKUP(D66,'DB technologies'!$N$27:$Y$38,6,FALSE)/100)))</f>
        <v/>
      </c>
      <c r="AE66" s="268" t="str">
        <f>IF($C$62=0,"",IF('Calc (ex-animal)'!$F$8=1,"",IF(D66="","",VLOOKUP($C$62,'Calc (ex-animal)'!$D$13:$Y$17,10,FALSE)/VLOOKUP($C$62,'DB animal categories'!$C$22:$AC$31,27,FALSE)*(VLOOKUP($C$62,'DB animal categories'!$C$22:$AC$31,27,FALSE)-VLOOKUP($C$62,'DB animal categories'!$C$22:$AC$31,25,FALSE)*VLOOKUP($C$62,'DB animal categories'!$C$22:$AC$31,26,FALSE)/24)*F66/100*VLOOKUP(D66,'DB technologies'!$N$27:$Y$38,7,FALSE)/100)))</f>
        <v/>
      </c>
      <c r="AG66" s="698"/>
      <c r="AH66" s="695"/>
      <c r="AI66" s="183" t="str">
        <f>IF(D66="","",VLOOKUP(D66,'DB technologies'!$N$27:$Y$38,10,FALSE))</f>
        <v/>
      </c>
      <c r="AJ66" s="451" t="e">
        <f>VLOOKUP($C$62,'DB animal categories'!$C$22:$AN$31,27,FALSE)-VLOOKUP($C$62,'DB animal categories'!$C$22:$AN$31,26,FALSE)*VLOOKUP($C$62,'DB animal categories'!$C$22:$AN$31,25,FALSE)/24</f>
        <v>#N/A</v>
      </c>
      <c r="AK66" s="452" t="str">
        <f>IF(AI66="","",AL66+AM66)</f>
        <v/>
      </c>
      <c r="AL66" s="452" t="str">
        <f>IF(D66="","",IF(AI66=2,(('Calc (ex-animal)'!$G$17*'DB additional information '!$K$5/100*(1-VLOOKUP(D66,'DB technologies'!$N$27:$Y$38,9,FALSE)/100)*'Calc (ex-housing, ex-storage)'!F66/100+'Calc (ex-animal)'!$H$17*'DB additional information '!$L$5/100*(1-VLOOKUP(D66,'DB technologies'!$N$27:$Y$38,9,FALSE)/100)*'Calc (ex-housing, ex-storage)'!F66/100))/VLOOKUP($C$62,'DB animal categories'!$C$22:$AC$31,27,FALSE)*AJ66+I66+J66+K66,IF(AI66=1,('Calc (ex-animal)'!$H$17*'DB additional information '!$L$5/100*(1-VLOOKUP(D66,'DB technologies'!$N$27:$Y$38,9,FALSE)/100)*'Calc (ex-housing, ex-storage)'!F66/100)/VLOOKUP($C$62,'DB animal categories'!$C$22:$AC$31,27,FALSE)*AJ66,IF(AI66=4,('Calc (ex-animal)'!$G$17*'DB additional information '!$K$5/100+'Calc (ex-animal)'!$H$17*'DB additional information '!$L$5/100)*(1-VLOOKUP(D66,'DB technologies'!$N$27:$Y$38,9,FALSE)/100)*'Calc (ex-housing, ex-storage)'!F66/100*VLOOKUP(D66,'DB technologies'!$N$27:$Y$38,11,FALSE)/100/VLOOKUP($C$62,'DB animal categories'!$C$22:$AC$31,27,FALSE)*AJ66,0))))</f>
        <v/>
      </c>
      <c r="AM66" s="452" t="str">
        <f>IF(D66="","",IF(AI66=2,(('Calc (ex-animal)'!$G$17*(1-'DB additional information '!$K$5/100)*(1-VLOOKUP(D66,'DB technologies'!$N$27:$Y$38,8,FALSE)/100)*'Calc (ex-housing, ex-storage)'!F66/100+'Calc (ex-animal)'!$H$17*(1-'DB additional information '!$L$5/100)*(1-VLOOKUP(D66,'DB technologies'!$N$27:$Y$38,8,FALSE)/100)*'Calc (ex-housing, ex-storage)'!F66/100))/VLOOKUP($C$62,'DB animal categories'!$C$22:$AC$31,27,FALSE)*AJ66+M66+N66+O66,IF(AI66=1,('Calc (ex-animal)'!$H$17*(1-'DB additional information '!$L$5/100)*(1-VLOOKUP(D66,'DB technologies'!$N$27:$Y$38,8,FALSE)/100)*'Calc (ex-housing, ex-storage)'!F66/100)/VLOOKUP($C$62,'DB animal categories'!$C$22:$AC$31,27,FALSE)*AJ66,IF(AI66=4,('Calc (ex-animal)'!$G$17*(1-'DB additional information '!$K$5/100)+'Calc (ex-animal)'!$H$17*(1-'DB additional information '!$L$5/100))*(1-VLOOKUP(D66,'DB technologies'!$N$27:$Y$38,8,FALSE)/100)*'Calc (ex-housing, ex-storage)'!F66/100*VLOOKUP(D66,'DB technologies'!$N$27:$Y$38,11,FALSE)/100/VLOOKUP($C$62,'DB animal categories'!$C$22:$AC$31,27,FALSE)*AJ66,0))))</f>
        <v/>
      </c>
      <c r="AN66" s="452" t="str">
        <f>IF(AI66="","",IF(AL66=0,0,AL66/AK66*100))</f>
        <v/>
      </c>
      <c r="AO66" s="184" t="str">
        <f>IF(D66="","",IF(AI66=2,(('Calc (ex-animal)'!$L$17*'Calc (ex-housing, ex-storage)'!F66/100+'Calc (ex-animal)'!$K$17*'Calc (ex-housing, ex-storage)'!F66/100))/VLOOKUP($C$62,'DB animal categories'!$C$22:$AC$31,27,FALSE)*AJ66+Q66+R66+S66-AC66,IF(AI66=1,('Calc (ex-animal)'!$L$17*'Calc (ex-housing, ex-storage)'!F66/100)/VLOOKUP($C$62,'DB animal categories'!$C$22:$AC$31,27,FALSE)*AJ66-'Calc (ex-housing, ex-storage)'!AC66,IF(AI66=4,('Calc (ex-animal)'!$L$17+'Calc (ex-animal)'!$K$17)*'Calc (ex-housing, ex-storage)'!F66/100*VLOOKUP(D66,'DB technologies'!$N$27:$Y$38,11,FALSE)/100/VLOOKUP($C$62,'DB animal categories'!$C$22:$AC$31,27,FALSE)*AJ66-AC66*VLOOKUP(D66,'DB technologies'!$N$27:$Y$38,11,FALSE)/100,0))))</f>
        <v/>
      </c>
      <c r="AP66" s="184" t="str">
        <f>IF(D66="","",IF(AO66&lt;-0.01,0,IF(AI66=2,(('Calc (ex-animal)'!$L$17*'Calc (ex-housing, ex-storage)'!F66/100+'Calc (ex-animal)'!$K$17*'Calc (ex-housing, ex-storage)'!F66/100))/VLOOKUP($C$62,'DB animal categories'!$C$22:$AC$31,27,FALSE)*AJ66+Q66+R66+S66-AC66,IF(AI66=1,('Calc (ex-animal)'!$L$17*'Calc (ex-housing, ex-storage)'!F66/100)/VLOOKUP($C$62,'DB animal categories'!$C$22:$AC$31,27,FALSE)*AJ66-'Calc (ex-housing, ex-storage)'!AC66,IF(AI66=4,('Calc (ex-animal)'!$L$17+'Calc (ex-animal)'!$K$17)*'Calc (ex-housing, ex-storage)'!F66/100*VLOOKUP(D66,'DB technologies'!$N$27:$Y$38,11,FALSE)/100/VLOOKUP($C$62,'DB animal categories'!$C$22:$AC$31,27,FALSE)*AJ66-AC66*VLOOKUP(D66,'DB technologies'!$N$27:$Y$38,11,FALSE)/100,0)))))</f>
        <v/>
      </c>
      <c r="AQ66" s="184" t="str">
        <f>IF(D66="","",IF(AI66=2,('Calc (ex-animal)'!$O$17*'Calc (ex-housing, ex-storage)'!F66/100+'Calc (ex-animal)'!$N$17*'Calc (ex-housing, ex-storage)'!F66/100)/VLOOKUP($C$62,'DB animal categories'!$C$22:$AC$31,27,FALSE)*AJ66+U66+V66+W66,IF(AI66=1,'Calc (ex-animal)'!$O$17*'Calc (ex-housing, ex-storage)'!F66/100/VLOOKUP($C$62,'DB animal categories'!$C$22:$AC$31,27,FALSE)*AJ66,IF(AI66=4,('Calc (ex-animal)'!$O$17+'Calc (ex-animal)'!$N$17)*'Calc (ex-housing, ex-storage)'!F66/100*VLOOKUP(D66,'DB technologies'!$N$27:$Y$38,11,FALSE)/100/VLOOKUP($C$62,'DB animal categories'!$C$22:$AC$31,27,FALSE)*AJ66,0))))</f>
        <v/>
      </c>
      <c r="AR66" s="184" t="str">
        <f>IF(D66="","",IF(AI66=2,('Calc (ex-animal)'!$R$17*'Calc (ex-housing, ex-storage)'!F66/100+'Calc (ex-animal)'!$Q$17*'Calc (ex-housing, ex-storage)'!F66/100)/VLOOKUP($C$62,'DB animal categories'!$C$22:$AC$31,27,FALSE)*AJ66+Y66+Z66+AA66,IF(AI66=1,'Calc (ex-animal)'!$R$17*'Calc (ex-housing, ex-storage)'!F66/100/VLOOKUP($C$62,'DB animal categories'!$C$22:$AC$31,27,FALSE)*AJ66,IF(AI66=4,('Calc (ex-animal)'!$R$17+'Calc (ex-animal)'!$Q$17)*'Calc (ex-housing, ex-storage)'!F66/100*VLOOKUP(D66,'DB technologies'!$N$27:$Y$38,11,FALSE)/100/VLOOKUP($C$62,'DB animal categories'!$C$22:$AC$31,27,FALSE)*AJ66,0))))</f>
        <v/>
      </c>
      <c r="AS66" s="183" t="str">
        <f>IF(D66="","",VLOOKUP(D66,'DB technologies'!$N$27:$Y$38,10,FALSE))</f>
        <v/>
      </c>
      <c r="AT66" s="452" t="str">
        <f>IF(AS66="","",AU66+AV66)</f>
        <v/>
      </c>
      <c r="AU66" s="452" t="str">
        <f>IF(D66="","",IF(AS66=2,0,IF(AS66=1,'Calc (ex-animal)'!$G$17*'DB additional information '!$K$5/100*(1-VLOOKUP(D66,'DB technologies'!$N$27:$Y$38,8,FALSE)/100)*'Calc (ex-housing, ex-storage)'!F66/100/VLOOKUP($C$62,'DB animal categories'!$C$22:$AC$31,27,FALSE)*AJ66+I66+J66+K66,IF(AS66=5,(('Calc (ex-animal)'!$G$17*'DB additional information '!$K$5/100+'Calc (ex-animal)'!$H$17*'DB additional information '!$L$5/100))*(1-VLOOKUP(D66,'DB technologies'!$N$27:$Y$38,9,FALSE)/100)*'Calc (ex-housing, ex-storage)'!F66/100/VLOOKUP($C$62,'DB animal categories'!$C$22:$AC$31,27,FALSE)*AJ66+I66+J66+K66,IF(AS66=3,('Calc (ex-animal)'!$G$17*'DB additional information '!$K$5/100+'Calc (ex-animal)'!$H$17*'DB additional information '!$L$5/100)*(1-VLOOKUP(D66,'DB technologies'!$N$27:$Y$38,9,FALSE)/100)*'Calc (ex-housing, ex-storage)'!F66/100/VLOOKUP($C$62,'DB animal categories'!$C$22:$AC$31,27,FALSE)*AJ66+I66+J66+K66,IF(AS66=4,('Calc (ex-animal)'!$G$17*'DB additional information '!$K$5/100+'Calc (ex-animal)'!$H$17*'DB additional information '!$L$5/100)*(1-VLOOKUP(D66,'DB technologies'!$N$27:$Y$38,9,FALSE)/100)*'Calc (ex-housing, ex-storage)'!F66/100*VLOOKUP(D66,'DB technologies'!$N$27:$Y$38,12,FALSE)/100/VLOOKUP($C$62,'DB animal categories'!$C$22:$AC$31,27,FALSE)*AJ66+I66+J66+K66,0))))))</f>
        <v/>
      </c>
      <c r="AV66" s="452" t="str">
        <f>IF(D66="","",IF(AS66=2,0,IF(AS66=1,'Calc (ex-animal)'!$G$17*(1-'DB additional information '!$K$5/100)*(1-VLOOKUP(D66,'DB technologies'!$N$27:$Y$38,8,FALSE)/100)*'Calc (ex-housing, ex-storage)'!F66/100/VLOOKUP($C$62,'DB animal categories'!$C$22:$AC$31,27,FALSE)*AJ66+M66+N66+O66,IF(AS66=5,('Calc (ex-animal)'!$G$17*(1-'DB additional information '!$K$5/100)+'Calc (ex-animal)'!$H$17*(1-'DB additional information '!$L$5/100))*(1-VLOOKUP(D66,'DB technologies'!$N$27:$Y$38,8,FALSE)/100)*'Calc (ex-housing, ex-storage)'!F66/100/VLOOKUP($C$62,'DB animal categories'!$C$22:$AC$31,27,FALSE)*AJ66+M66+N66+O66,IF(AS66=3,('Calc (ex-animal)'!$G$17*(1-'DB additional information '!$K$5/100)+'Calc (ex-animal)'!$H$17*(1-'DB additional information '!$L$5/100))*(1-VLOOKUP(D66,'DB technologies'!$N$27:$Y$38,8,FALSE)/100)*'Calc (ex-housing, ex-storage)'!F66/100/VLOOKUP($C$62,'DB animal categories'!$C$22:$AC$31,27,FALSE)*AJ66+M66+N66+O66,IF(AS66=4,('Calc (ex-animal)'!$G$17*(1-'DB additional information '!$K$5/100)+'Calc (ex-animal)'!$H$17*(1-'DB additional information '!$L$5/100))*(1-VLOOKUP(D66,'DB technologies'!$N$27:$Y$38,8,FALSE)/100)*'Calc (ex-housing, ex-storage)'!F66/100*VLOOKUP(D66,'DB technologies'!$N$27:$Y$38,12,FALSE)/100/VLOOKUP($C$62,'DB animal categories'!$C$22:$AC$31,27,FALSE)*AJ66+M66+N66+O66,0))))))</f>
        <v/>
      </c>
      <c r="AW66" s="452" t="str">
        <f>IF(AS66="","",IF(AU66=0,0,AU66/AT66*100))</f>
        <v/>
      </c>
      <c r="AX66" s="184" t="str">
        <f>IF(D66="","",IF(AS66=2,0,IF(AS66=1,'Calc (ex-animal)'!$K$17*'Calc (ex-housing, ex-storage)'!F66/100/VLOOKUP($C$62,'DB animal categories'!$C$22:$AC$31,27,FALSE)*AJ66+Q66+R66+S66,IF(AS66=5,('Calc (ex-animal)'!$K$17+'Calc (ex-animal)'!$L$17)*'Calc (ex-housing, ex-storage)'!F66/100/VLOOKUP($C$62,'DB animal categories'!$C$22:$AC$31,27,FALSE)*AJ66+Q66+R66+S66-'Calc (ex-housing, ex-storage)'!AC66,IF(AS66=3,('Calc (ex-animal)'!$K$17+'Calc (ex-animal)'!$L$17)*'Calc (ex-housing, ex-storage)'!F66/100/VLOOKUP($C$62,'DB animal categories'!$C$22:$AC$31,27,FALSE)*AJ66+Q66+R66+S66-'Calc (ex-housing, ex-storage)'!AC66-AD66-AE66,IF(AI66=4,('Calc (ex-animal)'!$K$17+'Calc (ex-animal)'!$L$17)*'Calc (ex-housing, ex-storage)'!F66/100*VLOOKUP(D66,'DB technologies'!$N$27:$Y$38,12,FALSE)/100/VLOOKUP($C$62,'DB animal categories'!$C$22:$AC$31,27,FALSE)*AJ66+Q66+R66+S66-(VLOOKUP(D66,'DB technologies'!$N$27:$Y$38,12,FALSE)/100*AC66)-AD66-AE66,0))))))</f>
        <v/>
      </c>
      <c r="AY66" s="184" t="str">
        <f>IF(D66="","",IF(AS66=2,0,IF(AS66=1,'Calc (ex-animal)'!$N$17*'Calc (ex-housing, ex-storage)'!F66/100/VLOOKUP($C$62,'DB animal categories'!$C$22:$AC$31,27,FALSE)*AJ66+U66+V66+W66,IF(AS66=5,('Calc (ex-animal)'!$N$17+'Calc (ex-animal)'!$O$17)*'Calc (ex-housing, ex-storage)'!F66/100/VLOOKUP($C$62,'DB animal categories'!$C$22:$AC$31,27,FALSE)*AJ66+U66+V66+W66,IF(AS66=3,('Calc (ex-animal)'!$N$17+'Calc (ex-animal)'!$O$17)*'Calc (ex-housing, ex-storage)'!F66/100/VLOOKUP($C$62,'DB animal categories'!$C$22:$AC$31,27,FALSE)*AJ66+U66+V66+W66,IF(AS66=4,('Calc (ex-animal)'!$N$17+'Calc (ex-animal)'!$O$17)*'Calc (ex-housing, ex-storage)'!F66/100*VLOOKUP(D66,'DB technologies'!$N$27:$Y$38,12,FALSE)/100/VLOOKUP($C$62,'DB animal categories'!$C$22:$AC$31,27,FALSE)*AJ66+U66+V66+W66,0))))))</f>
        <v/>
      </c>
      <c r="AZ66" s="184" t="str">
        <f>IF(D66="","",IF(AS66=2,0,IF(AS66=1,'Calc (ex-animal)'!$Q$17*'Calc (ex-housing, ex-storage)'!F66/100/VLOOKUP($C$62,'DB animal categories'!$C$22:$AC$31,27,FALSE)*AJ66+Y66+Z66+AA66,IF(AS66=5,('Calc (ex-animal)'!$Q$17+'Calc (ex-animal)'!$R$17)*'Calc (ex-housing, ex-storage)'!F66/100/VLOOKUP($C$62,'DB animal categories'!$C$22:$AC$31,27,FALSE)*AJ66+Y66+Z66+AA66,IF(AS66=3,('Calc (ex-animal)'!$Q$17+'Calc (ex-animal)'!$R$17)*'Calc (ex-housing, ex-storage)'!F66/100/VLOOKUP($C$62,'DB animal categories'!$C$22:$AC$31,27,FALSE)*AJ66+Y66+Z66+AA66,IF(AS66=4,('Calc (ex-animal)'!$Q$17+'Calc (ex-animal)'!$R$17)*'Calc (ex-housing, ex-storage)'!F66/100*VLOOKUP(D66,'DB technologies'!$N$27:$Y$38,12,FALSE)/100/VLOOKUP($C$62,'DB animal categories'!$C$22:$AC$31,27,FALSE)*AJ66+Y66+Z66+AA66,0))))))</f>
        <v/>
      </c>
      <c r="BA66" s="506"/>
      <c r="BB66" s="506"/>
      <c r="BC66" s="506"/>
      <c r="BG66" s="1357"/>
      <c r="BH66" s="1361"/>
      <c r="BI66" s="598" t="str">
        <f>IF(BG66="","",$BA$65*BH66/100-($BB$65*BH66/100*VLOOKUP(BG66,'DB technologies'!$AC$11:$AT$15,5,FALSE)/100)+(VLOOKUP(BG66,'DB technologies'!$AC$11:$AT$15,12,FALSE)*$BA$65*BH66/100))</f>
        <v/>
      </c>
      <c r="BJ66" s="551">
        <f>IF(BI66="",0,BI66*BK66/100)</f>
        <v>0</v>
      </c>
      <c r="BK66" s="561" t="str">
        <f>IF(BG66="","",IF($BA$65=0,0,($BB$65*BH66/100)/BI66*(1-(VLOOKUP(BG66,'DB technologies'!$AC$11:$AQ$15,5,FALSE))/100)*100))</f>
        <v/>
      </c>
      <c r="BL66" s="261" t="str">
        <f>IF(BG66="","",$BD$65*BH66/100-BO66-BP66-BQ66)</f>
        <v/>
      </c>
      <c r="BM66" s="261" t="str">
        <f>IF(BG66="","",$BE$65*BH66/100)</f>
        <v/>
      </c>
      <c r="BN66" s="261" t="str">
        <f>IF(BG66="","",$BF$65*BH66/100)</f>
        <v/>
      </c>
      <c r="BO66" s="261" t="str">
        <f>IF(BG66="","",$BD$65*BH66/100*VLOOKUP(BG66,'DB technologies'!$AC$11:$AF$15,2,FALSE)/100)</f>
        <v/>
      </c>
      <c r="BP66" s="261" t="str">
        <f>IF(BG66="","",$BD$65*BH66/100*VLOOKUP(BG66,'DB technologies'!$AC$11:$AN$15,3,FALSE)/100)</f>
        <v/>
      </c>
      <c r="BQ66" s="262" t="str">
        <f>IF(BG66="","",$BD$65*BH66/100*VLOOKUP(BG66,'DB technologies'!$AC$11:$AN$15,4,FALSE)/100)</f>
        <v/>
      </c>
      <c r="BR66" s="117"/>
      <c r="BS66" s="117"/>
      <c r="BT66" s="118"/>
    </row>
    <row r="67" spans="1:72" ht="12" customHeight="1" thickBot="1" x14ac:dyDescent="0.25">
      <c r="A67" s="684"/>
      <c r="B67" s="696"/>
      <c r="C67" s="252"/>
      <c r="D67" s="281" t="s">
        <v>58</v>
      </c>
      <c r="E67" s="282">
        <f>IF(F67&lt;=100,SUM(E62:E66),"ERROR")</f>
        <v>0</v>
      </c>
      <c r="F67" s="283">
        <f>IF(SUM(F62:F66) &lt;=100,SUM(F62:F66),"ERROR, SUM&gt;100%")</f>
        <v>0</v>
      </c>
      <c r="G67" s="492">
        <f>IF('Calc (ex-animal)'!$F$9=1,"",SUM(G62:G66))</f>
        <v>0</v>
      </c>
      <c r="H67" s="433">
        <f>IF('Calc (ex-animal)'!$F$8=1,"",SUM(H62:H66))</f>
        <v>0</v>
      </c>
      <c r="I67" s="433">
        <f>IF('Calc (ex-animal)'!$F$8=1,"",SUM(I62:I66))</f>
        <v>0</v>
      </c>
      <c r="J67" s="433">
        <f>IF('Calc (ex-animal)'!$F$8=1,"",SUM(J62:J66))</f>
        <v>0</v>
      </c>
      <c r="K67" s="433">
        <f>IF('Calc (ex-animal)'!$F$8=1,"",SUM(K62:K66))</f>
        <v>0</v>
      </c>
      <c r="L67" s="433">
        <f>IF('Calc (ex-animal)'!$F$8=1,"",SUM(L62:L66))</f>
        <v>0</v>
      </c>
      <c r="M67" s="470"/>
      <c r="N67" s="470"/>
      <c r="O67" s="470"/>
      <c r="P67" s="478">
        <f>IF(G67=0,0,IF('Calc (ex-animal)'!$F$9=1,"",IF(D67="","",SUM(H67:K67)/G67*100)))</f>
        <v>0</v>
      </c>
      <c r="Q67" s="487"/>
      <c r="R67" s="487"/>
      <c r="S67" s="487"/>
      <c r="T67" s="278">
        <f>IF('Calc (ex-animal)'!$F$17=1,"",SUM(T62:T66))</f>
        <v>0</v>
      </c>
      <c r="U67" s="489"/>
      <c r="V67" s="489"/>
      <c r="W67" s="489"/>
      <c r="X67" s="279">
        <f>IF('Calc (ex-animal)'!$F$17=1,"",SUM(X62:X66))</f>
        <v>0</v>
      </c>
      <c r="Y67" s="489"/>
      <c r="Z67" s="489"/>
      <c r="AA67" s="489"/>
      <c r="AB67" s="279">
        <f>IF('Calc (ex-animal)'!$F$17=1,"",SUM(AB62:AB66))</f>
        <v>0</v>
      </c>
      <c r="AC67" s="279">
        <f>IF('Calc (ex-animal)'!$F$17=1,"",SUM(AC62:AC66))</f>
        <v>0</v>
      </c>
      <c r="AD67" s="279">
        <f>IF('Calc (ex-animal)'!$F$17=1,"",SUM(AD62:AD66))</f>
        <v>0</v>
      </c>
      <c r="AE67" s="280">
        <f>IF('Calc (ex-animal)'!$F$17=1,"",SUM(AE62:AE66))</f>
        <v>0</v>
      </c>
      <c r="AG67" s="698"/>
      <c r="AH67" s="695"/>
      <c r="BG67" s="1357"/>
      <c r="BH67" s="1361"/>
      <c r="BI67" s="598" t="str">
        <f>IF(BG67="","",$BA$65*BH67/100-($BB$65*BH67/100*VLOOKUP(BG67,'DB technologies'!$AC$11:$AT$15,5,FALSE)/100)+(VLOOKUP(BG67,'DB technologies'!$AC$11:$AT$15,12,FALSE)*$BA$65*BH67/100))</f>
        <v/>
      </c>
      <c r="BJ67" s="551">
        <f>IF(BI67="",0,BI67*BK67/100)</f>
        <v>0</v>
      </c>
      <c r="BK67" s="561" t="str">
        <f>IF(BG67="","",IF($BA$65=0,0,($BB$65*BH67/100)/BI67*(1-(VLOOKUP(BG67,'DB technologies'!$AC$11:$AQ$15,5,FALSE))/100)*100))</f>
        <v/>
      </c>
      <c r="BL67" s="261" t="str">
        <f>IF(BG67="","",$BD$65*BH67/100-BO67-BP67-BQ67)</f>
        <v/>
      </c>
      <c r="BM67" s="261" t="str">
        <f>IF(BG67="","",$BE$65*BH67/100)</f>
        <v/>
      </c>
      <c r="BN67" s="261" t="str">
        <f>IF(BG67="","",$BF$65*BH67/100)</f>
        <v/>
      </c>
      <c r="BO67" s="261" t="str">
        <f>IF(BG67="","",$BD$65*BH67/100*VLOOKUP(BG67,'DB technologies'!$AC$11:$AF$15,2,FALSE)/100)</f>
        <v/>
      </c>
      <c r="BP67" s="261" t="str">
        <f>IF(BG67="","",$BD$65*BH67/100*VLOOKUP(BG67,'DB technologies'!$AC$11:$AN$15,3,FALSE)/100)</f>
        <v/>
      </c>
      <c r="BQ67" s="262" t="str">
        <f>IF(BG67="","",$BD$65*BH67/100*VLOOKUP(BG67,'DB technologies'!$AC$11:$AN$15,4,FALSE)/100)</f>
        <v/>
      </c>
      <c r="BR67" s="117"/>
      <c r="BS67" s="117"/>
      <c r="BT67" s="118"/>
    </row>
    <row r="68" spans="1:72" ht="11.25" customHeight="1" x14ac:dyDescent="0.2">
      <c r="A68" s="684"/>
      <c r="B68" s="694" t="s">
        <v>61</v>
      </c>
      <c r="C68" s="254">
        <f>'Calc (ex-animal)'!D18</f>
        <v>0</v>
      </c>
      <c r="D68" s="1355"/>
      <c r="E68" s="1356"/>
      <c r="F68" s="479" t="str">
        <f>IF('Calc (ex-animal)'!$F$9=1,"",IF($C$68=0,"",IF(D68="","",E68/'Calc (ex-animal)'!$E$18*100)))</f>
        <v/>
      </c>
      <c r="G68" s="484" t="str">
        <f>IF($C$68=0,"",IF('Calc (ex-animal)'!$F$8=1,"",IF(D68="","",SUM(H68:O68))))</f>
        <v/>
      </c>
      <c r="H68" s="471" t="str">
        <f>IF('Calc (ex-animal)'!$F$8=1,"",IF(D68="","",(((VLOOKUP($C$68,'Calc (ex-animal)'!$D$18:$Y$22,6,FALSE)-VLOOKUP($C$68,'Calc (ex-animal)'!$D$18:$Y$22,17,FALSE))*F68/100))*VLOOKUP($C$68,'Calc (ex-animal)'!$D$18:$Y$22,7,FALSE)/100*(1-VLOOKUP(D68,'DB technologies'!$N$40:$Y$51,9,FALSE)/100)))</f>
        <v/>
      </c>
      <c r="I68" s="471" t="str">
        <f>IF(D68="","",((VLOOKUP(D68,'DB technologies'!$N$40:$Y$51,2,FALSE)*VLOOKUP($C$68,'DB animal categories'!$C$32:$AC$41,27,FALSE)*E68/1000)/VLOOKUP($C$68,'DB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'!$S$6/100*(1-VLOOKUP(D68,'DB technologies'!$N$40:$Y$51,9,FALSE)/100)))</f>
        <v/>
      </c>
      <c r="J68" s="472" t="str">
        <f>IF(D68="","",((VLOOKUP(D68,'DB technologies'!$N$40:$Y$51,3,FALSE)*VLOOKUP($C$68,'DB animal categories'!$C$32:$AC$41,27,FALSE)*E68/1000)/VLOOKUP($C$68,'DB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'!$S$7/100*(1-VLOOKUP(D68,'DB technologies'!$N$40:$Y$51,9,FALSE)/100)))</f>
        <v/>
      </c>
      <c r="K68" s="472" t="str">
        <f>IF(D68="","",((VLOOKUP(D68,'DB technologies'!$N$40:$Y$51,4,FALSE)*E68*'DB additional information '!$S$8/100*(1-VLOOKUP(D68,'DB technologies'!$N$40:$Y$51,9,FALSE)/100))/VLOOKUP($C$68,'DB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L68" s="471" t="str">
        <f>IF('Calc (ex-animal)'!$F$8=1,"",IF(D68="","",(((VLOOKUP($C$68,'Calc (ex-animal)'!$D$18:$Y$22,6,FALSE)-VLOOKUP($C$68,'Calc (ex-animal)'!$D$18:$Y$22,17,FALSE))*F68/100))*(1-VLOOKUP($C$68,'Calc (ex-animal)'!$D$18:$Y$22,7,FALSE)/100)*(1-VLOOKUP(D68,'DB technologies'!$N$40:$V$51,8,FALSE)/100)))</f>
        <v/>
      </c>
      <c r="M68" s="472" t="str">
        <f>IF(D68="","",((VLOOKUP(D68,'DB technologies'!$N$40:$Y$51,2,FALSE)*VLOOKUP($C$68,'DB animal categories'!$C$32:$AC$41,27,FALSE)*E68/1000)/VLOOKUP($C$68,'DB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'!$S$6/100)*(1-VLOOKUP(D68,'DB technologies'!$N$40:$Y$51,9,FALSE)/100))</f>
        <v/>
      </c>
      <c r="N68" s="472" t="str">
        <f>IF(D68="","",((VLOOKUP(D68,'DB technologies'!$N$40:$Y$51,3,FALSE)*VLOOKUP($C$68,'DB animal categories'!$C$32:$AC$41,27,FALSE)*E68/1000)/VLOOKUP($C$68,'DB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'!$S$7/100)*(1-VLOOKUP(D68,'DB technologies'!$N$40:$Y$51,9,FALSE)/100))</f>
        <v/>
      </c>
      <c r="O68" s="471" t="str">
        <f>IF(D68="","",((VLOOKUP(D68,'DB technologies'!$N$40:$Y$51,4,FALSE)*E68*(1-'DB additional information '!$S$8/100)*(1-VLOOKUP(D68,'DB technologies'!$N$40:$Y$51,8,FALSE)/100))/VLOOKUP($C$68,'DB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P68" s="443" t="str">
        <f>IF(G68=0,0,IF(E68="","",IF(F68="","",IF($C$68=0,"",IF(D68="","",SUM(H68:K68)/G68*100)))))</f>
        <v/>
      </c>
      <c r="Q68" s="473" t="str">
        <f>IF(D68="","",(VLOOKUP(D68,'DB technologies'!$N$40:$Y$51,2,FALSE)*'DB additional information '!$S$6/100*'DB additional information '!$T$6*VLOOKUP($C$68,'DB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R68" s="473" t="str">
        <f>IF(D68="","",(VLOOKUP(D68,'DB technologies'!$N$40:$Y$51,3,FALSE)*'DB additional information '!$S$7/100*'DB additional information '!$T$7*VLOOKUP($C$68,'DB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S68" s="490" t="str">
        <f>IF(D68="","",(VLOOKUP(D68,'DB technologies'!$N$40:$Y$51,4,FALSE)*('DB additional information '!$S$8/100*'DB additional information '!$T$8*E68/1000/1000)))</f>
        <v/>
      </c>
      <c r="T68" s="263" t="str">
        <f>IF($C$68=0,"",IF('Calc (ex-animal)'!$F$9=1,"",IF(D68="","",((VLOOKUP($C$68,'Calc (ex-animal)'!$D$18:$Y$22,10,FALSE)-VLOOKUP($C$68,'Calc (ex-animal)'!$D$18:$Y$22,18,FALSE))*F68/100+Q68+R68+S68)-AC68-AD68-AE68)))</f>
        <v/>
      </c>
      <c r="U68" s="474" t="str">
        <f>IF(D68="","",(VLOOKUP(D68,'DB technologies'!$N$40:$Y$51,2,FALSE)*'DB additional information '!$S$6/100*'DB additional information '!$U$6*VLOOKUP($C$68,'DB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V68" s="420" t="str">
        <f>IF(D68="","",(VLOOKUP(D68,'DB technologies'!$N$40:$Y$51,3,FALSE)*'DB additional information '!$S$7/100*'DB additional information '!$U$7*VLOOKUP($C$68,'DB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W68" s="415" t="str">
        <f>IF(D68="","",(VLOOKUP(D68,'DB technologies'!$N$40:$Y$51,4,FALSE)*('DB additional information '!$S$8/100*'DB additional information '!$U$8*E68/1000/1000)))</f>
        <v/>
      </c>
      <c r="X68" s="259" t="str">
        <f>IF($C$68=0,"",IF('Calc (ex-animal)'!$F$9=1,"",IF(D68="","",((VLOOKUP($C$68,'Calc (ex-animal)'!$D$18:$Y$22,13,FALSE)-VLOOKUP($C$68,'Calc (ex-animal)'!$D$18:$Y$22,19,FALSE))*F68/100+U68+V68+W68))))</f>
        <v/>
      </c>
      <c r="Y68" s="420" t="str">
        <f>IF(D68="","",(VLOOKUP(D68,'DB technologies'!$N$40:$Y$51,2,FALSE)*'DB additional information '!$S$6/100*'DB additional information '!$V$6*VLOOKUP($C$68,'DB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Z68" s="420" t="str">
        <f>IF(D68="","",(VLOOKUP(D68,'DB technologies'!$N$40:$Y$51,3,FALSE)*'DB additional information '!$S$7/100*'DB additional information '!$V$7*VLOOKUP($C$68,'DB animal categories'!$C$32:$AC$41,27,FALSE)*E68/1000/1000)/VLOOKUP($C$68,'DB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AA68" s="420" t="str">
        <f>IF(D68="","",(VLOOKUP(D68,'DB technologies'!$N$40:$Y$51,4,FALSE)*('DB additional information '!$S$8/100*'DB additional information '!$V$8*E68/1000/1000)))</f>
        <v/>
      </c>
      <c r="AB68" s="259" t="str">
        <f>IF($C$68=0,"",IF('Calc (ex-animal)'!$F$8=1,"",IF(D68="","",((VLOOKUP($C$68,'Calc (ex-animal)'!$D$18:$Y$22,16,FALSE)-VLOOKUP($C$68,'Calc (ex-animal)'!$D$18:$Y$22,20,FALSE))*F68/100+Y68+Z68+AA68))))</f>
        <v/>
      </c>
      <c r="AC68" s="259" t="str">
        <f>IF($C$68=0,"",IF('Calc (ex-animal)'!$F$8=1,"",IF(D68="","",VLOOKUP($C$68,'Calc (ex-animal)'!$D$18:$Y$22,9,FALSE)/VLOOKUP($C$68,'DB animal categories'!$C$32:$AC$41,27,FALSE)*(VLOOKUP($C$68,'DB animal categories'!$C$32:$AC$41,27,FALSE)-VLOOKUP($C$68,'DB animal categories'!$C$32:$AC$41,25,FALSE)*VLOOKUP($C$68,'DB animal categories'!$C$32:$AC$41,26,FALSE)/24)*F68/100*VLOOKUP(D68,'DB technologies'!$N$40:$R$51,5,FALSE)/100)))</f>
        <v/>
      </c>
      <c r="AD68" s="259" t="str">
        <f>IF($C$68=0,"",IF('Calc (ex-animal)'!$F$8=1,"",IF(D68="","",VLOOKUP($C$68,'Calc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categories'!$C$32:$AC$41,26,FALSE)/24)*F68/100*VLOOKUP(D68,'DB technologies'!$N$40:$Y$51,6,FALSE)/100)))</f>
        <v/>
      </c>
      <c r="AE68" s="260" t="str">
        <f>IF($C$68=0,"",IF('Calc (ex-animal)'!$F$8=1,"",IF(D68="","",VLOOKUP($C$68,'Calc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categories'!$C$32:$AC$41,26,FALSE)/24)*F68/100*VLOOKUP(D68,'DB technologies'!$N$40:$Y$51,7,FALSE)/100)))</f>
        <v/>
      </c>
      <c r="AG68" s="698"/>
      <c r="AH68" s="695"/>
      <c r="AI68" s="179" t="str">
        <f>IF(D68="","",VLOOKUP(D68,'DB technologies'!$N$40:$Y$51,10,FALSE))</f>
        <v/>
      </c>
      <c r="AJ68" s="482" t="e">
        <f>VLOOKUP($C$68,'DB animal categories'!$C$32:$AN$41,27,FALSE)-VLOOKUP($C$68,'DB animal categories'!$C$32:$AN$41,26,FALSE)*VLOOKUP($C$68,'DB animal categories'!$C$32:$AN$41,25,FALSE)/24</f>
        <v>#N/A</v>
      </c>
      <c r="AK68" s="453" t="str">
        <f>IF(AI68="","",AL68+AM68)</f>
        <v/>
      </c>
      <c r="AL68" s="453" t="str">
        <f>IF(D68="","",IF(AI68=2,(('Calc (ex-animal)'!$G$18*'DB additional information '!$K$7/100*(1-VLOOKUP(D68,'DB technologies'!$N$40:$Y$51,9,FALSE)/100)*'Calc (ex-housing, ex-storage)'!F68/100+'Calc (ex-animal)'!$H$18*'DB additional information '!$L$7/100*(1-VLOOKUP(D68,'DB technologies'!$N$40:$Y$51,9,FALSE)/100)*'Calc (ex-housing, ex-storage)'!F68/100))/VLOOKUP($C$68,'DB animal categories'!$C$32:$AC$41,27,FALSE)*AJ68+I68+J68+K68,IF(AI68=1,('Calc (ex-animal)'!$H$18*'DB additional information '!$L$7/100*(1-VLOOKUP(D68,'DB technologies'!$N$40:$Y$51,9,FALSE)/100)*'Calc (ex-housing, ex-storage)'!F68/100)/VLOOKUP($C$68,'DB animal categories'!$C$32:$AC$41,27,FALSE)*AJ68,IF(AI68=4,('Calc (ex-animal)'!$G$18*'DB additional information '!$K$7/100+'Calc (ex-animal)'!$H$18*'DB additional information '!$L$7/100)*(1-VLOOKUP(D68,'DB technologies'!$N$40:$Y$51,9,FALSE)/100)*'Calc (ex-housing, ex-storage)'!F68/100*VLOOKUP(D68,'DB technologies'!$N$40:$Y$51,11,FALSE)/100/VLOOKUP($C$68,'DB animal categories'!$C$32:$AC$41,27,FALSE)*AJ68,0))))</f>
        <v/>
      </c>
      <c r="AM68" s="453" t="str">
        <f>IF(D68="","",IF(AI68=2,(('Calc (ex-animal)'!$G$18*(1-'DB additional information '!$K$7/100)*(1-VLOOKUP(D68,'DB technologies'!$N$40:$Y$51,8,FALSE)/100)*'Calc (ex-housing, ex-storage)'!F68/100+'Calc (ex-animal)'!$H$18*(1-'DB additional information '!$L$7/100)*(1-VLOOKUP(D68,'DB technologies'!$N$40:$Y$51,8,FALSE)/100)*'Calc (ex-housing, ex-storage)'!F68/100))/VLOOKUP($C$68,'DB animal categories'!$C$32:$AC$41,27,FALSE)*AJ68+M68+N68+O68,IF(AI68=1,('Calc (ex-animal)'!$H$18*(1-'DB additional information '!$L$7/100)*(1-VLOOKUP(D68,'DB technologies'!$N$40:$Y$51,8,FALSE)/100)*'Calc (ex-housing, ex-storage)'!F68/100)/VLOOKUP($C$68,'DB animal categories'!$C$32:$AC$41,27,FALSE)*AJ68,IF(AI68=4,('Calc (ex-animal)'!$G$18*(1-'DB additional information '!$K$7/100)+'Calc (ex-animal)'!$H$18*(1-'DB additional information '!$L$7/100))*(1-VLOOKUP(D68,'DB technologies'!$N$40:$Y$51,8,FALSE)/100)*'Calc (ex-housing, ex-storage)'!F68/100*VLOOKUP(D68,'DB technologies'!$N$40:$Y$51,11,FALSE)/100/VLOOKUP($C$68,'DB animal categories'!$C$32:$AC$41,27,FALSE)*AJ68,0))))</f>
        <v/>
      </c>
      <c r="AN68" s="453" t="str">
        <f>IF(AI68="","",IF(AL68=0,0,AL68/AK68*100))</f>
        <v/>
      </c>
      <c r="AO68" s="180" t="str">
        <f>IF(D68="","",IF(AI68=2,(('Calc (ex-animal)'!$L$18*'Calc (ex-housing, ex-storage)'!F68/100+'Calc (ex-animal)'!$K$18*'Calc (ex-housing, ex-storage)'!F68/100))/VLOOKUP($C$68,'DB animal categories'!$C$32:$AC$41,27,FALSE)*AJ68+Q68+R68+S68-AC68,IF(AI68=1,('Calc (ex-animal)'!$L$18*'Calc (ex-housing, ex-storage)'!F68/100)/VLOOKUP($C$68,'DB animal categories'!$C$32:$AC$41,27,FALSE)*AJ68-'Calc (ex-housing, ex-storage)'!AC68,IF(AI68=4,('Calc (ex-animal)'!$L$18+'Calc (ex-animal)'!$K$18)*'Calc (ex-housing, ex-storage)'!F68/100*VLOOKUP(D68,'DB technologies'!$N$40:$Y$51,11,FALSE)/100/VLOOKUP($C$68,'DB animal categories'!$C$32:$AC$41,27,FALSE)*AJ68-AC68*VLOOKUP(D68,'DB technologies'!$N$40:$Y$51,11,FALSE)/100,0))))</f>
        <v/>
      </c>
      <c r="AP68" s="180" t="str">
        <f>IF(D68="","",IF(AO68&lt;-0.01,0,IF(AI68=2,(('Calc (ex-animal)'!$L$18*'Calc (ex-housing, ex-storage)'!F68/100+'Calc (ex-animal)'!$K$18*'Calc (ex-housing, ex-storage)'!F68/100))/VLOOKUP($C$68,'DB animal categories'!$C$32:$AC$41,27,FALSE)*AJ68+Q68+R68+S68-AC68,IF(AI68=1,('Calc (ex-animal)'!$L$18*'Calc (ex-housing, ex-storage)'!F68/100)/VLOOKUP($C$68,'DB animal categories'!$C$32:$AC$41,27,FALSE)*AJ68-'Calc (ex-housing, ex-storage)'!AC68,IF(AI68=4,('Calc (ex-animal)'!$L$18+'Calc (ex-animal)'!$K$18)*'Calc (ex-housing, ex-storage)'!F68/100*VLOOKUP(D68,'DB technologies'!$N$40:$Y$51,11,FALSE)/100/VLOOKUP($C$68,'DB animal categories'!$C$32:$AC$41,27,FALSE)*AJ68-AC68*VLOOKUP(D68,'DB technologies'!$N$40:$Y$51,11,FALSE)/100,0)))))</f>
        <v/>
      </c>
      <c r="AQ68" s="180" t="str">
        <f>IF(D68="","",IF(AI68=2,('Calc (ex-animal)'!$O$18*'Calc (ex-housing, ex-storage)'!F68/100+'Calc (ex-animal)'!$N$18*'Calc (ex-housing, ex-storage)'!F68/100)/VLOOKUP($C$68,'DB animal categories'!$C$32:$AC$41,27,FALSE)*AJ68+U68+V68+W68,IF(AI68=1,'Calc (ex-animal)'!$O$18*'Calc (ex-housing, ex-storage)'!F68/100/VLOOKUP($C$68,'DB animal categories'!$C$32:$AC$41,27,FALSE)*AJ68,IF(AI68=4,('Calc (ex-animal)'!$O$18+'Calc (ex-animal)'!$N$18)*'Calc (ex-housing, ex-storage)'!F68/100*VLOOKUP(D68,'DB technologies'!$N$40:$Y$51,11,FALSE)/100/VLOOKUP($C$68,'DB animal categories'!$C$32:$AC$41,27,FALSE)*AJ68,0))))</f>
        <v/>
      </c>
      <c r="AR68" s="180" t="str">
        <f>IF(D68="","",IF(AI68=2,('Calc (ex-animal)'!$R$18*'Calc (ex-housing, ex-storage)'!F68/100+'Calc (ex-animal)'!$Q$18*'Calc (ex-housing, ex-storage)'!F68/100)/VLOOKUP($C$68,'DB animal categories'!$C$32:$AC$41,27,FALSE)*AJ68+Y68+Z68+AA68,IF(AI68=1,'Calc (ex-animal)'!$R$18*'Calc (ex-housing, ex-storage)'!F68/100/VLOOKUP($C$68,'DB animal categories'!$C$32:$AC$41,27,FALSE)*AJ68,IF(AI68=4,('Calc (ex-animal)'!$R$18+'Calc (ex-animal)'!$Q$18)*'Calc (ex-housing, ex-storage)'!F68/100*VLOOKUP(D68,'DB technologies'!$N$40:$Y$51,11,FALSE)/100/VLOOKUP($C$68,'DB animal categories'!$C$32:$AC$41,27,FALSE)*AJ68,0))))</f>
        <v/>
      </c>
      <c r="AS68" s="179" t="str">
        <f>IF(D68="","",VLOOKUP(D68,'DB technologies'!$N$40:$Y$51,10,FALSE))</f>
        <v/>
      </c>
      <c r="AT68" s="453" t="str">
        <f>IF(AS68="","",AU68+AV68)</f>
        <v/>
      </c>
      <c r="AU68" s="453" t="str">
        <f>IF(D68="","",IF(AS68=2,0,IF(AS68=1,'Calc (ex-animal)'!$G$18*'DB additional information '!$K$7/100*(1-VLOOKUP(D68,'DB technologies'!$N$40:$Y$51,8,FALSE)/100)*'Calc (ex-housing, ex-storage)'!F68/100/VLOOKUP($C$68,'DB animal categories'!$C$32:$AC$41,27,FALSE)*AJ68+I68+J68+K68,IF(AS68=5,(('Calc (ex-animal)'!$G$18*'DB additional information '!$K$7/100+'Calc (ex-animal)'!$H$18*'DB additional information '!$L$7/100))*(1-VLOOKUP(D68,'DB technologies'!$N$40:$Y$51,9,FALSE)/100)*'Calc (ex-housing, ex-storage)'!F68/100/VLOOKUP($C$68,'DB animal categories'!$C$32:$AC$41,27,FALSE)*AJ68+I68+J68+K68,IF(AS68=3,('Calc (ex-animal)'!$G$18*'DB additional information '!$K$7/100+'Calc (ex-animal)'!$H$18*'DB additional information '!$L$7/100)*(1-VLOOKUP(D68,'DB technologies'!$N$40:$Y$51,9,FALSE)/100)*'Calc (ex-housing, ex-storage)'!F68/100/VLOOKUP($C$68,'DB animal categories'!$C$32:$AC$41,27,FALSE)*AJ68+I68+J68+K68,IF(AS68=4,('Calc (ex-animal)'!$G$18*'DB additional information '!$K$7/100+'Calc (ex-animal)'!$H$18*'DB additional information '!$L$7/100)*(1-VLOOKUP(D68,'DB technologies'!$N$40:$Y$51,9,FALSE)/100)*'Calc (ex-housing, ex-storage)'!F68/100*VLOOKUP(D68,'DB technologies'!$N$40:$Y$51,12,FALSE)/100/VLOOKUP($C$68,'DB animal categories'!$C$32:$AC$41,27,FALSE)*AJ68+I68+J68+K68,0))))))</f>
        <v/>
      </c>
      <c r="AV68" s="453" t="str">
        <f>IF(D68="","",IF(AS68=2,0,IF(AS68=1,'Calc (ex-animal)'!$G$18*(1-'DB additional information '!$K$7/100)*(1-VLOOKUP(D68,'DB technologies'!$N$40:$Y$51,8,FALSE)/100)*'Calc (ex-housing, ex-storage)'!F68/100/VLOOKUP($C$68,'DB animal categories'!$C$32:$AC$41,27,FALSE)*AJ68+M68+N68+O68,IF(AS68=5,('Calc (ex-animal)'!$G$18*(1-'DB additional information '!$K$7/100)+'Calc (ex-animal)'!$H$18*(1-'DB additional information '!$L$7/100))*(1-VLOOKUP(D68,'DB technologies'!$N$40:$Y$51,8,FALSE)/100)*'Calc (ex-housing, ex-storage)'!F68/100/VLOOKUP($C$68,'DB animal categories'!$C$32:$AC$41,27,FALSE)*AJ68+M68+N68+O68,IF(AS68=3,('Calc (ex-animal)'!$G$18*(1-'DB additional information '!$K$7/100)+'Calc (ex-animal)'!$H$18*(1-'DB additional information '!$L$7/100))*(1-VLOOKUP(D68,'DB technologies'!$N$40:$Y$51,8,FALSE)/100)*'Calc (ex-housing, ex-storage)'!F68/100/VLOOKUP($C$68,'DB animal categories'!$C$32:$AC$41,27,FALSE)*AJ68+M68+N68+O68,IF(AS68=4,('Calc (ex-animal)'!$G$18*(1-'DB additional information '!$K$7/100)+'Calc (ex-animal)'!$H$18*(1-'DB additional information '!$L$7/100))*(1-VLOOKUP(D68,'DB technologies'!$N$40:$Y$51,8,FALSE)/100)*'Calc (ex-housing, ex-storage)'!F68/100*VLOOKUP(D68,'DB technologies'!$N$40:$Y$51,12,FALSE)/100/VLOOKUP($C$68,'DB animal categories'!$C$32:$AC$41,27,FALSE)*AJ68+M68+N68+O68,0))))))</f>
        <v/>
      </c>
      <c r="AW68" s="453" t="str">
        <f>IF(AS68="","",IF(AU68=0,0,AU68/AT68*100))</f>
        <v/>
      </c>
      <c r="AX68" s="180" t="str">
        <f>IF(D68="","",IF(AS68=2,0,IF(AS68=1,'Calc (ex-animal)'!$K$18*'Calc (ex-housing, ex-storage)'!F68/100/VLOOKUP($C$68,'DB animal categories'!$C$32:$AC$41,27,FALSE)*AJ68+Q68+R68+S68,IF(AS68=5,('Calc (ex-animal)'!$K$18+'Calc (ex-animal)'!$L$18)*'Calc (ex-housing, ex-storage)'!F68/100/VLOOKUP($C$68,'DB animal categories'!$C$32:$AC$41,27,FALSE)*AJ68+Q68+R68+S68-'Calc (ex-housing, ex-storage)'!AC68,IF(AS68=3,('Calc (ex-animal)'!$K$18+'Calc (ex-animal)'!$L$18)*'Calc (ex-housing, ex-storage)'!F68/100/VLOOKUP($C$68,'DB animal categories'!$C$32:$AC$41,27,FALSE)*AJ68+Q68+R68+S68-'Calc (ex-housing, ex-storage)'!AC68-AD68-AE68,IF(AI68=4,('Calc (ex-animal)'!$K$18+'Calc (ex-animal)'!$L$18)*'Calc (ex-housing, ex-storage)'!F68/100*VLOOKUP(D68,'DB technologies'!$N$40:$Y$51,12,FALSE)/100/VLOOKUP($C$68,'DB animal categories'!$C$32:$AC$41,27,FALSE)*AJ68+Q68+R68+S68-(VLOOKUP(D68,'DB technologies'!$N$40:$Y$51,12,FALSE)/100*AC68)-AD68-AE68,0))))))</f>
        <v/>
      </c>
      <c r="AY68" s="180" t="str">
        <f>IF(D68="","",IF(AS68=2,0,IF(AS68=1,'Calc (ex-animal)'!$N$18*'Calc (ex-housing, ex-storage)'!F68/100/VLOOKUP($C$68,'DB animal categories'!$C$32:$AC$41,27,FALSE)*AJ68+U68+V68+W68,IF(AS68=5,('Calc (ex-animal)'!$N$18+'Calc (ex-animal)'!$O$18)*'Calc (ex-housing, ex-storage)'!F68/100/VLOOKUP($C$68,'DB animal categories'!$C$32:$AC$41,27,FALSE)*AJ68+U68+V68+W68,IF(AS68=3,('Calc (ex-animal)'!$N$18+'Calc (ex-animal)'!$O$18)*'Calc (ex-housing, ex-storage)'!F68/100/VLOOKUP($C$68,'DB animal categories'!$C$32:$AC$41,27,FALSE)*AJ68+U68+V68+W68,IF(AS68=4,('Calc (ex-animal)'!$N$18+'Calc (ex-animal)'!$O$18)*'Calc (ex-housing, ex-storage)'!F68/100*VLOOKUP(D68,'DB technologies'!$N$40:$Y$51,12,FALSE)/100/VLOOKUP($C$68,'DB animal categories'!$C$32:$AC$41,27,FALSE)*AJ68+U68+V68+W68,0))))))</f>
        <v/>
      </c>
      <c r="AZ68" s="180" t="str">
        <f>IF(D68="","",IF(AS68=2,0,IF(AS68=1,'Calc (ex-animal)'!$Q$18*'Calc (ex-housing, ex-storage)'!F68/100/VLOOKUP($C$68,'DB animal categories'!$C$32:$AC$41,27,FALSE)*AJ68+Y68+Z68+AA68,IF(AS68=5,('Calc (ex-animal)'!$Q$18+'Calc (ex-animal)'!$R$18)*'Calc (ex-housing, ex-storage)'!F68/100/VLOOKUP($C$68,'DB animal categories'!$C$32:$AC$41,27,FALSE)*AJ68+Y68+Z68+AA68,IF(AS68=3,('Calc (ex-animal)'!$Q$18+'Calc (ex-animal)'!$R$18)*'Calc (ex-housing, ex-storage)'!F68/100/VLOOKUP($C$68,'DB animal categories'!$C$32:$AC$41,27,FALSE)*AJ68+Y68+Z68+AA68,IF(AS68=4,('Calc (ex-animal)'!$Q$18+'Calc (ex-animal)'!$R$18)*'Calc (ex-housing, ex-storage)'!F68/100*VLOOKUP(D68,'DB technologies'!$N$40:$Y$51,12,FALSE)/100/VLOOKUP($C$68,'DB animal categories'!$C$32:$AC$41,27,FALSE)*AJ68+Y68+Z68+AA68,0))))))</f>
        <v/>
      </c>
      <c r="BA68" s="506"/>
      <c r="BB68" s="506"/>
      <c r="BC68" s="506"/>
      <c r="BG68" s="1357"/>
      <c r="BH68" s="1361"/>
      <c r="BI68" s="598" t="str">
        <f>IF(BG68="","",$BA$65*BH68/100-($BB$65*BH68/100*VLOOKUP(BG68,'DB technologies'!$AC$11:$AT$15,5,FALSE)/100)+(VLOOKUP(BG68,'DB technologies'!$AC$11:$AT$15,12,FALSE)*$BA$65*BH68/100))</f>
        <v/>
      </c>
      <c r="BJ68" s="551">
        <f>IF(BI68="",0,BI68*BK68/100)</f>
        <v>0</v>
      </c>
      <c r="BK68" s="561" t="str">
        <f>IF(BG68="","",IF($BA$65=0,0,($BB$65*BH68/100)/BI68*(1-(VLOOKUP(BG68,'DB technologies'!$AC$11:$AQ$15,5,FALSE))/100)*100))</f>
        <v/>
      </c>
      <c r="BL68" s="261" t="str">
        <f>IF(BG68="","",$BD$65*BH68/100-BO68-BP68-BQ68)</f>
        <v/>
      </c>
      <c r="BM68" s="261" t="str">
        <f>IF(BG68="","",$BE$65*BH68/100)</f>
        <v/>
      </c>
      <c r="BN68" s="261" t="str">
        <f>IF(BG68="","",$BF$65*BH68/100)</f>
        <v/>
      </c>
      <c r="BO68" s="261" t="str">
        <f>IF(BG68="","",$BD$65*BH68/100*VLOOKUP(BG68,'DB technologies'!$AC$11:$AF$15,2,FALSE)/100)</f>
        <v/>
      </c>
      <c r="BP68" s="261" t="str">
        <f>IF(BG68="","",$BD$65*BH68/100*VLOOKUP(BG68,'DB technologies'!$AC$11:$AN$15,3,FALSE)/100)</f>
        <v/>
      </c>
      <c r="BQ68" s="262" t="str">
        <f>IF(BG68="","",$BD$65*BH68/100*VLOOKUP(BG68,'DB technologies'!$AC$11:$AN$15,4,FALSE)/100)</f>
        <v/>
      </c>
      <c r="BR68" s="117"/>
      <c r="BS68" s="117"/>
      <c r="BT68" s="118"/>
    </row>
    <row r="69" spans="1:72" ht="11.25" customHeight="1" thickBot="1" x14ac:dyDescent="0.25">
      <c r="A69" s="684"/>
      <c r="B69" s="695"/>
      <c r="C69" s="255"/>
      <c r="D69" s="1357"/>
      <c r="E69" s="1358"/>
      <c r="F69" s="480" t="str">
        <f>IF('Calc (ex-animal)'!$F$9=1,"",IF($C$68=0,"",IF(D69="","",E69/'Calc (ex-animal)'!$E$18*100)))</f>
        <v/>
      </c>
      <c r="G69" s="485" t="str">
        <f>IF($C$68=0,"",IF('Calc (ex-animal)'!$F$8=1,"",IF(D69="","",SUM(H69:O69))))</f>
        <v/>
      </c>
      <c r="H69" s="423" t="str">
        <f>IF('Calc (ex-animal)'!$F$8=1,"",IF(D69="","",(((VLOOKUP($C$68,'Calc (ex-animal)'!$D$18:$Y$22,6,FALSE)-VLOOKUP($C$68,'Calc (ex-animal)'!$D$18:$Y$22,17,FALSE))*F69/100))*VLOOKUP($C$68,'Calc (ex-animal)'!$D$18:$Y$22,7,FALSE)/100*(1-VLOOKUP(D69,'DB technologies'!$N$40:$Y$51,9,FALSE)/100)))</f>
        <v/>
      </c>
      <c r="I69" s="423" t="str">
        <f>IF(D69="","",((VLOOKUP(D69,'DB technologies'!$N$40:$Y$51,2,FALSE)*VLOOKUP($C$68,'DB animal categories'!$C$32:$AC$41,27,FALSE)*E69/1000)/VLOOKUP($C$68,'DB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'!$S$6/100*(1-VLOOKUP(D69,'DB technologies'!$N$40:$Y$51,9,FALSE)/100)))</f>
        <v/>
      </c>
      <c r="J69" s="434" t="str">
        <f>IF(D69="","",((VLOOKUP(D69,'DB technologies'!$N$40:$Y$51,3,FALSE)*VLOOKUP($C$68,'DB animal categories'!$C$32:$AC$41,27,FALSE)*E69/1000)/VLOOKUP($C$68,'DB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'!$S$7/100*(1-VLOOKUP(D69,'DB technologies'!$N$40:$Y$51,9,FALSE)/100)))</f>
        <v/>
      </c>
      <c r="K69" s="434" t="str">
        <f>IF(D69="","",((VLOOKUP(D69,'DB technologies'!$N$40:$Y$51,4,FALSE)*E69*'DB additional information '!$S$8/100*(1-VLOOKUP(D69,'DB technologies'!$N$40:$Y$51,9,FALSE)/100))/VLOOKUP($C$68,'DB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L69" s="423" t="str">
        <f>IF('Calc (ex-animal)'!$F$8=1,"",IF(D69="","",(((VLOOKUP($C$68,'Calc (ex-animal)'!$D$18:$Y$22,6,FALSE)-VLOOKUP($C$68,'Calc (ex-animal)'!$D$18:$Y$22,17,FALSE))*F69/100))*(1-VLOOKUP($C$68,'Calc (ex-animal)'!$D$18:$Y$22,7,FALSE)/100)*(1-VLOOKUP(D69,'DB technologies'!$N$40:$V$51,8,FALSE)/100)))</f>
        <v/>
      </c>
      <c r="M69" s="434" t="str">
        <f>IF(D69="","",((VLOOKUP(D69,'DB technologies'!$N$40:$Y$51,2,FALSE)*VLOOKUP($C$68,'DB animal categories'!$C$32:$AC$41,27,FALSE)*E69/1000)/VLOOKUP($C$68,'DB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'!$S$6/100)*(1-VLOOKUP(D69,'DB technologies'!$N$40:$Y$51,9,FALSE)/100))</f>
        <v/>
      </c>
      <c r="N69" s="434" t="str">
        <f>IF(D69="","",((VLOOKUP(D69,'DB technologies'!$N$40:$Y$51,3,FALSE)*VLOOKUP($C$68,'DB animal categories'!$C$32:$AC$41,27,FALSE)*E69/1000)/VLOOKUP($C$68,'DB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'!$S$7/100)*(1-VLOOKUP(D69,'DB technologies'!$N$40:$Y$51,9,FALSE)/100))</f>
        <v/>
      </c>
      <c r="O69" s="423" t="str">
        <f>IF(D69="","",((VLOOKUP(D69,'DB technologies'!$N$40:$Y$51,4,FALSE)*E69*(1-'DB additional information '!$S$8/100)*(1-VLOOKUP(D69,'DB technologies'!$N$40:$Y$51,8,FALSE)/100))/VLOOKUP($C$68,'DB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P69" s="438" t="str">
        <f>IF(G69=0,0,IF(E69="","",IF(F69="","",IF($C$68=0,"",IF(D69="","",SUM(H69:K69)/G69*100)))))</f>
        <v/>
      </c>
      <c r="Q69" s="416" t="str">
        <f>IF(D69="","",(VLOOKUP(D69,'DB technologies'!$N$40:$Y$51,2,FALSE)*'DB additional information '!$S$6/100*'DB additional information '!$T$6*VLOOKUP($C$68,'DB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R69" s="416" t="str">
        <f>IF(D69="","",(VLOOKUP(D69,'DB technologies'!$N$40:$Y$51,3,FALSE)*'DB additional information '!$S$7/100*'DB additional information '!$T$7*VLOOKUP($C$68,'DB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S69" s="491" t="str">
        <f>IF(D69="","",(VLOOKUP(D69,'DB technologies'!$N$40:$Y$51,4,FALSE)*('DB additional information '!$S$8/100*'DB additional information '!$T$8*E69/1000/1000)))</f>
        <v/>
      </c>
      <c r="T69" s="264" t="str">
        <f>IF($C$68=0,"",IF('Calc (ex-animal)'!$F$9=1,"",IF(D69="","",((VLOOKUP($C$68,'Calc (ex-animal)'!$D$18:$Y$22,10,FALSE)-VLOOKUP($C$68,'Calc (ex-animal)'!$D$18:$Y$22,18,FALSE))*F69/100+Q69+R69+S69)-AC69-AD69-AE69)))</f>
        <v/>
      </c>
      <c r="U69" s="422" t="str">
        <f>IF(D69="","",(VLOOKUP(D69,'DB technologies'!$N$40:$Y$51,2,FALSE)*'DB additional information '!$S$6/100*'DB additional information '!$U$6*VLOOKUP($C$68,'DB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V69" s="418" t="str">
        <f>IF(D69="","",(VLOOKUP(D69,'DB technologies'!$N$40:$Y$51,3,FALSE)*'DB additional information '!$S$7/100*'DB additional information '!$U$7*VLOOKUP($C$68,'DB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W69" s="417" t="str">
        <f>IF(D69="","",(VLOOKUP(D69,'DB technologies'!$N$40:$Y$51,4,FALSE)*('DB additional information '!$S$8/100*'DB additional information '!$U$8*E69/1000/1000)))</f>
        <v/>
      </c>
      <c r="X69" s="261" t="str">
        <f>IF($C$68=0,"",IF('Calc (ex-animal)'!$F$9=1,"",IF(D69="","",((VLOOKUP($C$68,'Calc (ex-animal)'!$D$18:$Y$22,13,FALSE)-VLOOKUP($C$68,'Calc (ex-animal)'!$D$18:$Y$22,19,FALSE))*F69/100+U69+V69+W69))))</f>
        <v/>
      </c>
      <c r="Y69" s="418" t="str">
        <f>IF(D69="","",(VLOOKUP(D69,'DB technologies'!$N$40:$Y$51,2,FALSE)*'DB additional information '!$S$6/100*'DB additional information '!$V$6*VLOOKUP($C$68,'DB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Z69" s="418" t="str">
        <f>IF(D69="","",(VLOOKUP(D69,'DB technologies'!$N$40:$Y$51,3,FALSE)*'DB additional information '!$S$7/100*'DB additional information '!$V$7*VLOOKUP($C$68,'DB animal categories'!$C$32:$AC$41,27,FALSE)*E69/1000/1000)/VLOOKUP($C$68,'DB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AA69" s="418" t="str">
        <f>IF(D69="","",(VLOOKUP(D69,'DB technologies'!$N$40:$Y$51,4,FALSE)*('DB additional information '!$S$8/100*'DB additional information '!$V$8*E69/1000/1000)))</f>
        <v/>
      </c>
      <c r="AB69" s="261" t="str">
        <f>IF($C$68=0,"",IF('Calc (ex-animal)'!$F$8=1,"",IF(D69="","",((VLOOKUP($C$68,'Calc (ex-animal)'!$D$18:$Y$22,16,FALSE)-VLOOKUP($C$68,'Calc (ex-animal)'!$D$18:$Y$22,20,FALSE))*F69/100+Y69+Z69+AA69))))</f>
        <v/>
      </c>
      <c r="AC69" s="261" t="str">
        <f>IF($C$68=0,"",IF('Calc (ex-animal)'!$F$8=1,"",IF(D69="","",VLOOKUP($C$68,'Calc (ex-animal)'!$D$18:$Y$22,9,FALSE)/VLOOKUP($C$68,'DB animal categories'!$C$32:$AC$41,27,FALSE)*(VLOOKUP($C$68,'DB animal categories'!$C$32:$AC$41,27,FALSE)-VLOOKUP($C$68,'DB animal categories'!$C$32:$AC$41,25,FALSE)*VLOOKUP($C$68,'DB animal categories'!$C$32:$AC$41,26,FALSE)/24)*F69/100*VLOOKUP(D69,'DB technologies'!$N$40:$R$51,5,FALSE)/100)))</f>
        <v/>
      </c>
      <c r="AD69" s="261" t="str">
        <f>IF($C$68=0,"",IF('Calc (ex-animal)'!$F$8=1,"",IF(D69="","",VLOOKUP($C$68,'Calc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categories'!$C$32:$AC$41,26,FALSE)/24)*F69/100*VLOOKUP(D69,'DB technologies'!$N$40:$Y$51,6,FALSE)/100)))</f>
        <v/>
      </c>
      <c r="AE69" s="262" t="str">
        <f>IF($C$68=0,"",IF('Calc (ex-animal)'!$F$8=1,"",IF(D69="","",VLOOKUP($C$68,'Calc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categories'!$C$32:$AC$41,26,FALSE)/24)*F69/100*VLOOKUP(D69,'DB technologies'!$N$40:$Y$51,7,FALSE)/100)))</f>
        <v/>
      </c>
      <c r="AG69" s="698"/>
      <c r="AH69" s="695"/>
      <c r="AI69" s="181" t="str">
        <f>IF(D69="","",VLOOKUP(D69,'DB technologies'!$N$40:$Y$51,10,FALSE))</f>
        <v/>
      </c>
      <c r="AJ69" s="449" t="e">
        <f>VLOOKUP($C$68,'DB animal categories'!$C$32:$AN$41,27,FALSE)-VLOOKUP($C$68,'DB animal categories'!$C$32:$AN$41,26,FALSE)*VLOOKUP($C$68,'DB animal categories'!$C$32:$AN$41,25,FALSE)/24</f>
        <v>#N/A</v>
      </c>
      <c r="AK69" s="442" t="str">
        <f>IF(AI69="","",AL69+AM69)</f>
        <v/>
      </c>
      <c r="AL69" s="442" t="str">
        <f>IF(D69="","",IF(AI69=2,(('Calc (ex-animal)'!$G$18*'DB additional information '!$K$7/100*(1-VLOOKUP(D69,'DB technologies'!$N$40:$Y$51,9,FALSE)/100)*'Calc (ex-housing, ex-storage)'!F69/100+'Calc (ex-animal)'!$H$18*'DB additional information '!$L$7/100*(1-VLOOKUP(D69,'DB technologies'!$N$40:$Y$51,9,FALSE)/100)*'Calc (ex-housing, ex-storage)'!F69/100))/VLOOKUP($C$68,'DB animal categories'!$C$32:$AC$41,27,FALSE)*AJ69+I69+J69+K69,IF(AI69=1,('Calc (ex-animal)'!$H$18*'DB additional information '!$L$7/100*(1-VLOOKUP(D69,'DB technologies'!$N$40:$Y$51,9,FALSE)/100)*'Calc (ex-housing, ex-storage)'!F69/100)/VLOOKUP($C$68,'DB animal categories'!$C$32:$AC$41,27,FALSE)*AJ69,IF(AI69=4,('Calc (ex-animal)'!$G$18*'DB additional information '!$K$7/100+'Calc (ex-animal)'!$H$18*'DB additional information '!$L$7/100)*(1-VLOOKUP(D69,'DB technologies'!$N$40:$Y$51,9,FALSE)/100)*'Calc (ex-housing, ex-storage)'!F69/100*VLOOKUP(D69,'DB technologies'!$N$40:$Y$51,11,FALSE)/100/VLOOKUP($C$68,'DB animal categories'!$C$32:$AC$41,27,FALSE)*AJ69,0))))</f>
        <v/>
      </c>
      <c r="AM69" s="442" t="str">
        <f>IF(D69="","",IF(AI69=2,(('Calc (ex-animal)'!$G$18*(1-'DB additional information '!$K$7/100)*(1-VLOOKUP(D69,'DB technologies'!$N$40:$Y$51,8,FALSE)/100)*'Calc (ex-housing, ex-storage)'!F69/100+'Calc (ex-animal)'!$H$18*(1-'DB additional information '!$L$7/100)*(1-VLOOKUP(D69,'DB technologies'!$N$40:$Y$51,8,FALSE)/100)*'Calc (ex-housing, ex-storage)'!F69/100))/VLOOKUP($C$68,'DB animal categories'!$C$32:$AC$41,27,FALSE)*AJ69+M69+N69+O69,IF(AI69=1,('Calc (ex-animal)'!$H$18*(1-'DB additional information '!$L$7/100)*(1-VLOOKUP(D69,'DB technologies'!$N$40:$Y$51,8,FALSE)/100)*'Calc (ex-housing, ex-storage)'!F69/100)/VLOOKUP($C$68,'DB animal categories'!$C$32:$AC$41,27,FALSE)*AJ69,IF(AI69=4,('Calc (ex-animal)'!$G$18*(1-'DB additional information '!$K$7/100)+'Calc (ex-animal)'!$H$18*(1-'DB additional information '!$L$7/100))*(1-VLOOKUP(D69,'DB technologies'!$N$40:$Y$51,8,FALSE)/100)*'Calc (ex-housing, ex-storage)'!F69/100*VLOOKUP(D69,'DB technologies'!$N$40:$Y$51,11,FALSE)/100/VLOOKUP($C$68,'DB animal categories'!$C$32:$AC$41,27,FALSE)*AJ69,0))))</f>
        <v/>
      </c>
      <c r="AN69" s="442" t="str">
        <f>IF(AI69="","",IF(AL69=0,0,AL69/AK69*100))</f>
        <v/>
      </c>
      <c r="AO69" s="182" t="str">
        <f>IF(D69="","",IF(AI69=2,(('Calc (ex-animal)'!$L$18*'Calc (ex-housing, ex-storage)'!F69/100+'Calc (ex-animal)'!$K$18*'Calc (ex-housing, ex-storage)'!F69/100))/VLOOKUP($C$68,'DB animal categories'!$C$32:$AC$41,27,FALSE)*AJ69+Q69+R69+S69-AC69,IF(AI69=1,('Calc (ex-animal)'!$L$18*'Calc (ex-housing, ex-storage)'!F69/100)/VLOOKUP($C$68,'DB animal categories'!$C$32:$AC$41,27,FALSE)*AJ69-'Calc (ex-housing, ex-storage)'!AC69,IF(AI69=4,('Calc (ex-animal)'!$L$18+'Calc (ex-animal)'!$K$18)*'Calc (ex-housing, ex-storage)'!F69/100*VLOOKUP(D69,'DB technologies'!$N$40:$Y$51,11,FALSE)/100/VLOOKUP($C$68,'DB animal categories'!$C$32:$AC$41,27,FALSE)*AJ69-AC69*VLOOKUP(D69,'DB technologies'!$N$40:$Y$51,11,FALSE)/100,0))))</f>
        <v/>
      </c>
      <c r="AP69" s="182" t="str">
        <f>IF(D69="","",IF(AO69&lt;-0.01,0,IF(AI69=2,(('Calc (ex-animal)'!$L$18*'Calc (ex-housing, ex-storage)'!F69/100+'Calc (ex-animal)'!$K$18*'Calc (ex-housing, ex-storage)'!F69/100))/VLOOKUP($C$68,'DB animal categories'!$C$32:$AC$41,27,FALSE)*AJ69+Q69+R69+S69-AC69,IF(AI69=1,('Calc (ex-animal)'!$L$18*'Calc (ex-housing, ex-storage)'!F69/100)/VLOOKUP($C$68,'DB animal categories'!$C$32:$AC$41,27,FALSE)*AJ69-'Calc (ex-housing, ex-storage)'!AC69,IF(AI69=4,('Calc (ex-animal)'!$L$18+'Calc (ex-animal)'!$K$18)*'Calc (ex-housing, ex-storage)'!F69/100*VLOOKUP(D69,'DB technologies'!$N$40:$Y$51,11,FALSE)/100/VLOOKUP($C$68,'DB animal categories'!$C$32:$AC$41,27,FALSE)*AJ69-AC69*VLOOKUP(D69,'DB technologies'!$N$40:$Y$51,11,FALSE)/100,0)))))</f>
        <v/>
      </c>
      <c r="AQ69" s="182" t="str">
        <f>IF(D69="","",IF(AI69=2,('Calc (ex-animal)'!$O$18*'Calc (ex-housing, ex-storage)'!F69/100+'Calc (ex-animal)'!$N$18*'Calc (ex-housing, ex-storage)'!F69/100)/VLOOKUP($C$68,'DB animal categories'!$C$32:$AC$41,27,FALSE)*AJ69+U69+V69+W69,IF(AI69=1,'Calc (ex-animal)'!$O$18*'Calc (ex-housing, ex-storage)'!F69/100/VLOOKUP($C$68,'DB animal categories'!$C$32:$AC$41,27,FALSE)*AJ69,IF(AI69=4,('Calc (ex-animal)'!$O$18+'Calc (ex-animal)'!$N$18)*'Calc (ex-housing, ex-storage)'!F69/100*VLOOKUP(D69,'DB technologies'!$N$40:$Y$51,11,FALSE)/100/VLOOKUP($C$68,'DB animal categories'!$C$32:$AC$41,27,FALSE)*AJ69,0))))</f>
        <v/>
      </c>
      <c r="AR69" s="182" t="str">
        <f>IF(D69="","",IF(AI69=2,('Calc (ex-animal)'!$R$18*'Calc (ex-housing, ex-storage)'!F69/100+'Calc (ex-animal)'!$Q$18*'Calc (ex-housing, ex-storage)'!F69/100)/VLOOKUP($C$68,'DB animal categories'!$C$32:$AC$41,27,FALSE)*AJ69+Y69+Z69+AA69,IF(AI69=1,'Calc (ex-animal)'!$R$18*'Calc (ex-housing, ex-storage)'!F69/100/VLOOKUP($C$68,'DB animal categories'!$C$32:$AC$41,27,FALSE)*AJ69,IF(AI69=4,('Calc (ex-animal)'!$R$18+'Calc (ex-animal)'!$Q$18)*'Calc (ex-housing, ex-storage)'!F69/100*VLOOKUP(D69,'DB technologies'!$N$40:$Y$51,11,FALSE)/100/VLOOKUP($C$68,'DB animal categories'!$C$32:$AC$41,27,FALSE)*AJ69,0))))</f>
        <v/>
      </c>
      <c r="AS69" s="181" t="str">
        <f>IF(D69="","",VLOOKUP(D69,'DB technologies'!$N$40:$Y$51,10,FALSE))</f>
        <v/>
      </c>
      <c r="AT69" s="442" t="str">
        <f>IF(AS69="","",AU69+AV69)</f>
        <v/>
      </c>
      <c r="AU69" s="442" t="str">
        <f>IF(D69="","",IF(AS69=2,0,IF(AS69=1,'Calc (ex-animal)'!$G$18*'DB additional information '!$K$7/100*(1-VLOOKUP(D69,'DB technologies'!$N$40:$Y$51,8,FALSE)/100)*'Calc (ex-housing, ex-storage)'!F69/100/VLOOKUP($C$68,'DB animal categories'!$C$32:$AC$41,27,FALSE)*AJ69+I69+J69+K69,IF(AS69=5,(('Calc (ex-animal)'!$G$18*'DB additional information '!$K$7/100+'Calc (ex-animal)'!$H$18*'DB additional information '!$L$7/100))*(1-VLOOKUP(D69,'DB technologies'!$N$40:$Y$51,9,FALSE)/100)*'Calc (ex-housing, ex-storage)'!F69/100/VLOOKUP($C$68,'DB animal categories'!$C$32:$AC$41,27,FALSE)*AJ69+I69+J69+K69,IF(AS69=3,('Calc (ex-animal)'!$G$18*'DB additional information '!$K$7/100+'Calc (ex-animal)'!$H$18*'DB additional information '!$L$7/100)*(1-VLOOKUP(D69,'DB technologies'!$N$40:$Y$51,9,FALSE)/100)*'Calc (ex-housing, ex-storage)'!F69/100/VLOOKUP($C$68,'DB animal categories'!$C$32:$AC$41,27,FALSE)*AJ69+I69+J69+K69,IF(AS69=4,('Calc (ex-animal)'!$G$18*'DB additional information '!$K$7/100+'Calc (ex-animal)'!$H$18*'DB additional information '!$L$7/100)*(1-VLOOKUP(D69,'DB technologies'!$N$40:$Y$51,9,FALSE)/100)*'Calc (ex-housing, ex-storage)'!F69/100*VLOOKUP(D69,'DB technologies'!$N$40:$Y$51,12,FALSE)/100/VLOOKUP($C$68,'DB animal categories'!$C$32:$AC$41,27,FALSE)*AJ69+I69+J69+K69,0))))))</f>
        <v/>
      </c>
      <c r="AV69" s="442" t="str">
        <f>IF(D69="","",IF(AS69=2,0,IF(AS69=1,'Calc (ex-animal)'!$G$18*(1-'DB additional information '!$K$7/100)*(1-VLOOKUP(D69,'DB technologies'!$N$40:$Y$51,8,FALSE)/100)*'Calc (ex-housing, ex-storage)'!F69/100/VLOOKUP($C$68,'DB animal categories'!$C$32:$AC$41,27,FALSE)*AJ69+M69+N69+O69,IF(AS69=5,('Calc (ex-animal)'!$G$18*(1-'DB additional information '!$K$7/100)+'Calc (ex-animal)'!$H$18*(1-'DB additional information '!$L$7/100))*(1-VLOOKUP(D69,'DB technologies'!$N$40:$Y$51,8,FALSE)/100)*'Calc (ex-housing, ex-storage)'!F69/100/VLOOKUP($C$68,'DB animal categories'!$C$32:$AC$41,27,FALSE)*AJ69+M69+N69+O69,IF(AS69=3,('Calc (ex-animal)'!$G$18*(1-'DB additional information '!$K$7/100)+'Calc (ex-animal)'!$H$18*(1-'DB additional information '!$L$7/100))*(1-VLOOKUP(D69,'DB technologies'!$N$40:$Y$51,8,FALSE)/100)*'Calc (ex-housing, ex-storage)'!F69/100/VLOOKUP($C$68,'DB animal categories'!$C$32:$AC$41,27,FALSE)*AJ69+M69+N69+O69,IF(AS69=4,('Calc (ex-animal)'!$G$18*(1-'DB additional information '!$K$7/100)+'Calc (ex-animal)'!$H$18*(1-'DB additional information '!$L$7/100))*(1-VLOOKUP(D69,'DB technologies'!$N$40:$Y$51,8,FALSE)/100)*'Calc (ex-housing, ex-storage)'!F69/100*VLOOKUP(D69,'DB technologies'!$N$40:$Y$51,12,FALSE)/100/VLOOKUP($C$68,'DB animal categories'!$C$32:$AC$41,27,FALSE)*AJ69+M69+N69+O69,0))))))</f>
        <v/>
      </c>
      <c r="AW69" s="442" t="str">
        <f>IF(AS69="","",IF(AU69=0,0,AU69/AT69*100))</f>
        <v/>
      </c>
      <c r="AX69" s="182" t="str">
        <f>IF(D69="","",IF(AS69=2,0,IF(AS69=1,'Calc (ex-animal)'!$K$18*'Calc (ex-housing, ex-storage)'!F69/100/VLOOKUP($C$68,'DB animal categories'!$C$32:$AC$41,27,FALSE)*AJ69+Q69+R69+S69,IF(AS69=5,('Calc (ex-animal)'!$K$18+'Calc (ex-animal)'!$L$18)*'Calc (ex-housing, ex-storage)'!F69/100/VLOOKUP($C$68,'DB animal categories'!$C$32:$AC$41,27,FALSE)*AJ69+Q69+R69+S69-'Calc (ex-housing, ex-storage)'!AC69,IF(AS69=3,('Calc (ex-animal)'!$K$18+'Calc (ex-animal)'!$L$18)*'Calc (ex-housing, ex-storage)'!F69/100/VLOOKUP($C$68,'DB animal categories'!$C$32:$AC$41,27,FALSE)*AJ69+Q69+R69+S69-'Calc (ex-housing, ex-storage)'!AC69-AD69-AE69,IF(AI69=4,('Calc (ex-animal)'!$K$18+'Calc (ex-animal)'!$L$18)*'Calc (ex-housing, ex-storage)'!F69/100*VLOOKUP(D69,'DB technologies'!$N$40:$Y$51,12,FALSE)/100/VLOOKUP($C$68,'DB animal categories'!$C$32:$AC$41,27,FALSE)*AJ69+Q69+R69+S69-(VLOOKUP(D69,'DB technologies'!$N$40:$Y$51,12,FALSE)/100*AC69)-AD69-AE69,0))))))</f>
        <v/>
      </c>
      <c r="AY69" s="182" t="str">
        <f>IF(D69="","",IF(AS69=2,0,IF(AS69=1,'Calc (ex-animal)'!$N$18*'Calc (ex-housing, ex-storage)'!F69/100/VLOOKUP($C$68,'DB animal categories'!$C$32:$AC$41,27,FALSE)*AJ69+U69+V69+W69,IF(AS69=5,('Calc (ex-animal)'!$N$18+'Calc (ex-animal)'!$O$18)*'Calc (ex-housing, ex-storage)'!F69/100/VLOOKUP($C$68,'DB animal categories'!$C$32:$AC$41,27,FALSE)*AJ69+U69+V69+W69,IF(AS69=3,('Calc (ex-animal)'!$N$18+'Calc (ex-animal)'!$O$18)*'Calc (ex-housing, ex-storage)'!F69/100/VLOOKUP($C$68,'DB animal categories'!$C$32:$AC$41,27,FALSE)*AJ69+U69+V69+W69,IF(AS69=4,('Calc (ex-animal)'!$N$18+'Calc (ex-animal)'!$O$18)*'Calc (ex-housing, ex-storage)'!F69/100*VLOOKUP(D69,'DB technologies'!$N$40:$Y$51,12,FALSE)/100/VLOOKUP($C$68,'DB animal categories'!$C$32:$AC$41,27,FALSE)*AJ69+U69+V69+W69,0))))))</f>
        <v/>
      </c>
      <c r="AZ69" s="182" t="str">
        <f>IF(D69="","",IF(AS69=2,0,IF(AS69=1,'Calc (ex-animal)'!$Q$18*'Calc (ex-housing, ex-storage)'!F69/100/VLOOKUP($C$68,'DB animal categories'!$C$32:$AC$41,27,FALSE)*AJ69+Y69+Z69+AA69,IF(AS69=5,('Calc (ex-animal)'!$Q$18+'Calc (ex-animal)'!$R$18)*'Calc (ex-housing, ex-storage)'!F69/100/VLOOKUP($C$68,'DB animal categories'!$C$32:$AC$41,27,FALSE)*AJ69+Y69+Z69+AA69,IF(AS69=3,('Calc (ex-animal)'!$Q$18+'Calc (ex-animal)'!$R$18)*'Calc (ex-housing, ex-storage)'!F69/100/VLOOKUP($C$68,'DB animal categories'!$C$32:$AC$41,27,FALSE)*AJ69+Y69+Z69+AA69,IF(AS69=4,('Calc (ex-animal)'!$Q$18+'Calc (ex-animal)'!$R$18)*'Calc (ex-housing, ex-storage)'!F69/100*VLOOKUP(D69,'DB technologies'!$N$40:$Y$51,12,FALSE)/100/VLOOKUP($C$68,'DB animal categories'!$C$32:$AC$41,27,FALSE)*AJ69+Y69+Z69+AA69,0))))))</f>
        <v/>
      </c>
      <c r="BA69" s="506"/>
      <c r="BB69" s="506"/>
      <c r="BC69" s="506"/>
      <c r="BG69" s="1359"/>
      <c r="BH69" s="1362"/>
      <c r="BI69" s="600" t="str">
        <f>IF(BG69="","",$BA$65*BH69/100-($BB$65*BH69/100*VLOOKUP(BG69,'DB technologies'!$AC$11:$AT$15,5,FALSE)/100)+(VLOOKUP(BG69,'DB technologies'!$AC$11:$AT$15,12,FALSE)*$BA$65*BH69/100))</f>
        <v/>
      </c>
      <c r="BJ69" s="551">
        <f>IF(BI69="",0,BI69*BK69/100)</f>
        <v>0</v>
      </c>
      <c r="BK69" s="509" t="str">
        <f>IF(BG69="","",IF($BA$65=0,0,($BB$65*BH69/100)/BI69*(1-(VLOOKUP(BG69,'DB technologies'!$AC$11:$AQ$15,5,FALSE))/100)*100))</f>
        <v/>
      </c>
      <c r="BL69" s="267" t="str">
        <f>IF(BG69="","",$BD$65*BH69/100-BO69-BP69-BQ69)</f>
        <v/>
      </c>
      <c r="BM69" s="267" t="str">
        <f>IF(BG69="","",$BE$65*BH69/100)</f>
        <v/>
      </c>
      <c r="BN69" s="267" t="str">
        <f>IF(BG69="","",$BF$65*BH69/100)</f>
        <v/>
      </c>
      <c r="BO69" s="267" t="str">
        <f>IF(BG69="","",$BD$65*BH69/100*VLOOKUP(BG69,'DB technologies'!$AC$11:$AF$15,2,FALSE)/100)</f>
        <v/>
      </c>
      <c r="BP69" s="267" t="str">
        <f>IF(BG69="","",$BD$65*BH69/100*VLOOKUP(BG69,'DB technologies'!$AC$11:$AN$15,3,FALSE)/100)</f>
        <v/>
      </c>
      <c r="BQ69" s="268" t="str">
        <f>IF(BG69="","",$BD$65*BH69/100*VLOOKUP(BG69,'DB technologies'!$AC$11:$AN$15,4,FALSE)/100)</f>
        <v/>
      </c>
      <c r="BR69" s="117"/>
      <c r="BS69" s="117"/>
      <c r="BT69" s="118"/>
    </row>
    <row r="70" spans="1:72" ht="11.25" customHeight="1" thickBot="1" x14ac:dyDescent="0.25">
      <c r="A70" s="684"/>
      <c r="B70" s="695"/>
      <c r="C70" s="255"/>
      <c r="D70" s="1357"/>
      <c r="E70" s="1358"/>
      <c r="F70" s="480" t="str">
        <f>IF('Calc (ex-animal)'!$F$9=1,"",IF($C$68=0,"",IF(D70="","",E70/'Calc (ex-animal)'!$E$18*100)))</f>
        <v/>
      </c>
      <c r="G70" s="485" t="str">
        <f>IF($C$68=0,"",IF('Calc (ex-animal)'!$F$8=1,"",IF(D70="","",SUM(H70:O70))))</f>
        <v/>
      </c>
      <c r="H70" s="423" t="str">
        <f>IF('Calc (ex-animal)'!$F$8=1,"",IF(D70="","",(((VLOOKUP($C$68,'Calc (ex-animal)'!$D$18:$Y$22,6,FALSE)-VLOOKUP($C$68,'Calc (ex-animal)'!$D$18:$Y$22,17,FALSE))*F70/100))*VLOOKUP($C$68,'Calc (ex-animal)'!$D$18:$Y$22,7,FALSE)/100*(1-VLOOKUP(D70,'DB technologies'!$N$40:$Y$51,9,FALSE)/100)))</f>
        <v/>
      </c>
      <c r="I70" s="423" t="str">
        <f>IF(D70="","",((VLOOKUP(D70,'DB technologies'!$N$40:$Y$51,2,FALSE)*VLOOKUP($C$68,'DB animal categories'!$C$32:$AC$41,27,FALSE)*E70/1000)/VLOOKUP($C$68,'DB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'!$S$6/100*(1-VLOOKUP(D70,'DB technologies'!$N$40:$Y$51,9,FALSE)/100)))</f>
        <v/>
      </c>
      <c r="J70" s="434" t="str">
        <f>IF(D70="","",((VLOOKUP(D70,'DB technologies'!$N$40:$Y$51,3,FALSE)*VLOOKUP($C$68,'DB animal categories'!$C$32:$AC$41,27,FALSE)*E70/1000)/VLOOKUP($C$68,'DB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'!$S$7/100*(1-VLOOKUP(D70,'DB technologies'!$N$40:$Y$51,9,FALSE)/100)))</f>
        <v/>
      </c>
      <c r="K70" s="434" t="str">
        <f>IF(D70="","",((VLOOKUP(D70,'DB technologies'!$N$40:$Y$51,4,FALSE)*E70*'DB additional information '!$S$8/100*(1-VLOOKUP(D70,'DB technologies'!$N$40:$Y$51,9,FALSE)/100))/VLOOKUP($C$68,'DB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L70" s="423" t="str">
        <f>IF('Calc (ex-animal)'!$F$8=1,"",IF(D70="","",(((VLOOKUP($C$68,'Calc (ex-animal)'!$D$18:$Y$22,6,FALSE)-VLOOKUP($C$68,'Calc (ex-animal)'!$D$18:$Y$22,17,FALSE))*F70/100))*(1-VLOOKUP($C$68,'Calc (ex-animal)'!$D$18:$Y$22,7,FALSE)/100)*(1-VLOOKUP(D70,'DB technologies'!$N$40:$V$51,8,FALSE)/100)))</f>
        <v/>
      </c>
      <c r="M70" s="434" t="str">
        <f>IF(D70="","",((VLOOKUP(D70,'DB technologies'!$N$40:$Y$51,2,FALSE)*VLOOKUP($C$68,'DB animal categories'!$C$32:$AC$41,27,FALSE)*E70/1000)/VLOOKUP($C$68,'DB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'!$S$6/100)*(1-VLOOKUP(D70,'DB technologies'!$N$40:$Y$51,9,FALSE)/100))</f>
        <v/>
      </c>
      <c r="N70" s="434" t="str">
        <f>IF(D70="","",((VLOOKUP(D70,'DB technologies'!$N$40:$Y$51,3,FALSE)*VLOOKUP($C$68,'DB animal categories'!$C$32:$AC$41,27,FALSE)*E70/1000)/VLOOKUP($C$68,'DB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'!$S$7/100)*(1-VLOOKUP(D70,'DB technologies'!$N$40:$Y$51,9,FALSE)/100))</f>
        <v/>
      </c>
      <c r="O70" s="423" t="str">
        <f>IF(D70="","",((VLOOKUP(D70,'DB technologies'!$N$40:$Y$51,4,FALSE)*E70*(1-'DB additional information '!$S$8/100)*(1-VLOOKUP(D70,'DB technologies'!$N$40:$Y$51,8,FALSE)/100))/VLOOKUP($C$68,'DB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P70" s="438" t="str">
        <f>IF(G70=0,0,IF(E70="","",IF(F70="","",IF($C$68=0,"",IF(D70="","",SUM(H70:K70)/G70*100)))))</f>
        <v/>
      </c>
      <c r="Q70" s="416" t="str">
        <f>IF(D70="","",(VLOOKUP(D70,'DB technologies'!$N$40:$Y$51,2,FALSE)*'DB additional information '!$S$6/100*'DB additional information '!$T$6*VLOOKUP($C$68,'DB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R70" s="416" t="str">
        <f>IF(D70="","",(VLOOKUP(D70,'DB technologies'!$N$40:$Y$51,3,FALSE)*'DB additional information '!$S$7/100*'DB additional information '!$T$7*VLOOKUP($C$68,'DB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S70" s="491" t="str">
        <f>IF(D70="","",(VLOOKUP(D70,'DB technologies'!$N$40:$Y$51,4,FALSE)*('DB additional information '!$S$8/100*'DB additional information '!$T$8*E70/1000/1000)))</f>
        <v/>
      </c>
      <c r="T70" s="264" t="str">
        <f>IF($C$68=0,"",IF('Calc (ex-animal)'!$F$9=1,"",IF(D70="","",((VLOOKUP($C$68,'Calc (ex-animal)'!$D$18:$Y$22,10,FALSE)-VLOOKUP($C$68,'Calc (ex-animal)'!$D$18:$Y$22,18,FALSE))*F70/100+Q70+R70+S70)-AC70-AD70-AE70)))</f>
        <v/>
      </c>
      <c r="U70" s="422" t="str">
        <f>IF(D70="","",(VLOOKUP(D70,'DB technologies'!$N$40:$Y$51,2,FALSE)*'DB additional information '!$S$6/100*'DB additional information '!$U$6*VLOOKUP($C$68,'DB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V70" s="418" t="str">
        <f>IF(D70="","",(VLOOKUP(D70,'DB technologies'!$N$40:$Y$51,3,FALSE)*'DB additional information '!$S$7/100*'DB additional information '!$U$7*VLOOKUP($C$68,'DB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W70" s="417" t="str">
        <f>IF(D70="","",(VLOOKUP(D70,'DB technologies'!$N$40:$Y$51,4,FALSE)*('DB additional information '!$S$8/100*'DB additional information '!$U$8*E70/1000/1000)))</f>
        <v/>
      </c>
      <c r="X70" s="261" t="str">
        <f>IF($C$68=0,"",IF('Calc (ex-animal)'!$F$9=1,"",IF(D70="","",((VLOOKUP($C$68,'Calc (ex-animal)'!$D$18:$Y$22,13,FALSE)-VLOOKUP($C$68,'Calc (ex-animal)'!$D$18:$Y$22,19,FALSE))*F70/100+U70+V70+W70))))</f>
        <v/>
      </c>
      <c r="Y70" s="418" t="str">
        <f>IF(D70="","",(VLOOKUP(D70,'DB technologies'!$N$40:$Y$51,2,FALSE)*'DB additional information '!$S$6/100*'DB additional information '!$V$6*VLOOKUP($C$68,'DB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Z70" s="418" t="str">
        <f>IF(D70="","",(VLOOKUP(D70,'DB technologies'!$N$40:$Y$51,3,FALSE)*'DB additional information '!$S$7/100*'DB additional information '!$V$7*VLOOKUP($C$68,'DB animal categories'!$C$32:$AC$41,27,FALSE)*E70/1000/1000)/VLOOKUP($C$68,'DB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AA70" s="418" t="str">
        <f>IF(D70="","",(VLOOKUP(D70,'DB technologies'!$N$40:$Y$51,4,FALSE)*('DB additional information '!$S$8/100*'DB additional information '!$V$8*E70/1000/1000)))</f>
        <v/>
      </c>
      <c r="AB70" s="261" t="str">
        <f>IF($C$68=0,"",IF('Calc (ex-animal)'!$F$8=1,"",IF(D70="","",((VLOOKUP($C$68,'Calc (ex-animal)'!$D$18:$Y$22,16,FALSE)-VLOOKUP($C$68,'Calc (ex-animal)'!$D$18:$Y$22,20,FALSE))*F70/100+Y70+Z70+AA70))))</f>
        <v/>
      </c>
      <c r="AC70" s="261" t="str">
        <f>IF($C$68=0,"",IF('Calc (ex-animal)'!$F$8=1,"",IF(D70="","",VLOOKUP($C$68,'Calc (ex-animal)'!$D$18:$Y$22,9,FALSE)/VLOOKUP($C$68,'DB animal categories'!$C$32:$AC$41,27,FALSE)*(VLOOKUP($C$68,'DB animal categories'!$C$32:$AC$41,27,FALSE)-VLOOKUP($C$68,'DB animal categories'!$C$32:$AC$41,25,FALSE)*VLOOKUP($C$68,'DB animal categories'!$C$32:$AC$41,26,FALSE)/24)*F70/100*VLOOKUP(D70,'DB technologies'!$N$40:$R$51,5,FALSE)/100)))</f>
        <v/>
      </c>
      <c r="AD70" s="261" t="str">
        <f>IF($C$68=0,"",IF('Calc (ex-animal)'!$F$8=1,"",IF(D70="","",VLOOKUP($C$68,'Calc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categories'!$C$32:$AC$41,26,FALSE)/24)*F70/100*VLOOKUP(D70,'DB technologies'!$N$40:$Y$51,6,FALSE)/100)))</f>
        <v/>
      </c>
      <c r="AE70" s="262" t="str">
        <f>IF($C$68=0,"",IF('Calc (ex-animal)'!$F$8=1,"",IF(D70="","",VLOOKUP($C$68,'Calc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categories'!$C$32:$AC$41,26,FALSE)/24)*F70/100*VLOOKUP(D70,'DB technologies'!$N$40:$Y$51,7,FALSE)/100)))</f>
        <v/>
      </c>
      <c r="AG70" s="698"/>
      <c r="AH70" s="696"/>
      <c r="AI70" s="181" t="str">
        <f>IF(D70="","",VLOOKUP(D70,'DB technologies'!$N$40:$Y$51,10,FALSE))</f>
        <v/>
      </c>
      <c r="AJ70" s="449" t="e">
        <f>VLOOKUP($C$68,'DB animal categories'!$C$32:$AN$41,27,FALSE)-VLOOKUP($C$68,'DB animal categories'!$C$32:$AN$41,26,FALSE)*VLOOKUP($C$68,'DB animal categories'!$C$32:$AN$41,25,FALSE)/24</f>
        <v>#N/A</v>
      </c>
      <c r="AK70" s="442" t="str">
        <f>IF(AI70="","",AL70+AM70)</f>
        <v/>
      </c>
      <c r="AL70" s="442" t="str">
        <f>IF(D70="","",IF(AI70=2,(('Calc (ex-animal)'!$G$18*'DB additional information '!$K$7/100*(1-VLOOKUP(D70,'DB technologies'!$N$40:$Y$51,9,FALSE)/100)*'Calc (ex-housing, ex-storage)'!F70/100+'Calc (ex-animal)'!$H$18*'DB additional information '!$L$7/100*(1-VLOOKUP(D70,'DB technologies'!$N$40:$Y$51,9,FALSE)/100)*'Calc (ex-housing, ex-storage)'!F70/100))/VLOOKUP($C$68,'DB animal categories'!$C$32:$AC$41,27,FALSE)*AJ70+I70+J70+K70,IF(AI70=1,('Calc (ex-animal)'!$H$18*'DB additional information '!$L$7/100*(1-VLOOKUP(D70,'DB technologies'!$N$40:$Y$51,9,FALSE)/100)*'Calc (ex-housing, ex-storage)'!F70/100)/VLOOKUP($C$68,'DB animal categories'!$C$32:$AC$41,27,FALSE)*AJ70,IF(AI70=4,('Calc (ex-animal)'!$G$18*'DB additional information '!$K$7/100+'Calc (ex-animal)'!$H$18*'DB additional information '!$L$7/100)*(1-VLOOKUP(D70,'DB technologies'!$N$40:$Y$51,9,FALSE)/100)*'Calc (ex-housing, ex-storage)'!F70/100*VLOOKUP(D70,'DB technologies'!$N$40:$Y$51,11,FALSE)/100/VLOOKUP($C$68,'DB animal categories'!$C$32:$AC$41,27,FALSE)*AJ70,0))))</f>
        <v/>
      </c>
      <c r="AM70" s="442" t="str">
        <f>IF(D70="","",IF(AI70=2,(('Calc (ex-animal)'!$G$18*(1-'DB additional information '!$K$7/100)*(1-VLOOKUP(D70,'DB technologies'!$N$40:$Y$51,8,FALSE)/100)*'Calc (ex-housing, ex-storage)'!F70/100+'Calc (ex-animal)'!$H$18*(1-'DB additional information '!$L$7/100)*(1-VLOOKUP(D70,'DB technologies'!$N$40:$Y$51,8,FALSE)/100)*'Calc (ex-housing, ex-storage)'!F70/100))/VLOOKUP($C$68,'DB animal categories'!$C$32:$AC$41,27,FALSE)*AJ70+M70+N70+O70,IF(AI70=1,('Calc (ex-animal)'!$H$18*(1-'DB additional information '!$L$7/100)*(1-VLOOKUP(D70,'DB technologies'!$N$40:$Y$51,8,FALSE)/100)*'Calc (ex-housing, ex-storage)'!F70/100)/VLOOKUP($C$68,'DB animal categories'!$C$32:$AC$41,27,FALSE)*AJ70,IF(AI70=4,('Calc (ex-animal)'!$G$18*(1-'DB additional information '!$K$7/100)+'Calc (ex-animal)'!$H$18*(1-'DB additional information '!$L$7/100))*(1-VLOOKUP(D70,'DB technologies'!$N$40:$Y$51,8,FALSE)/100)*'Calc (ex-housing, ex-storage)'!F70/100*VLOOKUP(D70,'DB technologies'!$N$40:$Y$51,11,FALSE)/100/VLOOKUP($C$68,'DB animal categories'!$C$32:$AC$41,27,FALSE)*AJ70,0))))</f>
        <v/>
      </c>
      <c r="AN70" s="442" t="str">
        <f>IF(AI70="","",IF(AL70=0,0,AL70/AK70*100))</f>
        <v/>
      </c>
      <c r="AO70" s="182" t="str">
        <f>IF(D70="","",IF(AI70=2,(('Calc (ex-animal)'!$L$18*'Calc (ex-housing, ex-storage)'!F70/100+'Calc (ex-animal)'!$K$18*'Calc (ex-housing, ex-storage)'!F70/100))/VLOOKUP($C$68,'DB animal categories'!$C$32:$AC$41,27,FALSE)*AJ70+Q70+R70+S70-AC70,IF(AI70=1,('Calc (ex-animal)'!$L$18*'Calc (ex-housing, ex-storage)'!F70/100)/VLOOKUP($C$68,'DB animal categories'!$C$32:$AC$41,27,FALSE)*AJ70-'Calc (ex-housing, ex-storage)'!AC70,IF(AI70=4,('Calc (ex-animal)'!$L$18+'Calc (ex-animal)'!$K$18)*'Calc (ex-housing, ex-storage)'!F70/100*VLOOKUP(D70,'DB technologies'!$N$40:$Y$51,11,FALSE)/100/VLOOKUP($C$68,'DB animal categories'!$C$32:$AC$41,27,FALSE)*AJ70-AC70*VLOOKUP(D70,'DB technologies'!$N$40:$Y$51,11,FALSE)/100,0))))</f>
        <v/>
      </c>
      <c r="AP70" s="182" t="str">
        <f>IF(D70="","",IF(AO70&lt;-0.01,0,IF(AI70=2,(('Calc (ex-animal)'!$L$18*'Calc (ex-housing, ex-storage)'!F70/100+'Calc (ex-animal)'!$K$18*'Calc (ex-housing, ex-storage)'!F70/100))/VLOOKUP($C$68,'DB animal categories'!$C$32:$AC$41,27,FALSE)*AJ70+Q70+R70+S70-AC70,IF(AI70=1,('Calc (ex-animal)'!$L$18*'Calc (ex-housing, ex-storage)'!F70/100)/VLOOKUP($C$68,'DB animal categories'!$C$32:$AC$41,27,FALSE)*AJ70-'Calc (ex-housing, ex-storage)'!AC70,IF(AI70=4,('Calc (ex-animal)'!$L$18+'Calc (ex-animal)'!$K$18)*'Calc (ex-housing, ex-storage)'!F70/100*VLOOKUP(D70,'DB technologies'!$N$40:$Y$51,11,FALSE)/100/VLOOKUP($C$68,'DB animal categories'!$C$32:$AC$41,27,FALSE)*AJ70-AC70*VLOOKUP(D70,'DB technologies'!$N$40:$Y$51,11,FALSE)/100,0)))))</f>
        <v/>
      </c>
      <c r="AQ70" s="182" t="str">
        <f>IF(D70="","",IF(AI70=2,('Calc (ex-animal)'!$O$18*'Calc (ex-housing, ex-storage)'!F70/100+'Calc (ex-animal)'!$N$18*'Calc (ex-housing, ex-storage)'!F70/100)/VLOOKUP($C$68,'DB animal categories'!$C$32:$AC$41,27,FALSE)*AJ70+U70+V70+W70,IF(AI70=1,'Calc (ex-animal)'!$O$18*'Calc (ex-housing, ex-storage)'!F70/100/VLOOKUP($C$68,'DB animal categories'!$C$32:$AC$41,27,FALSE)*AJ70,IF(AI70=4,('Calc (ex-animal)'!$O$18+'Calc (ex-animal)'!$N$18)*'Calc (ex-housing, ex-storage)'!F70/100*VLOOKUP(D70,'DB technologies'!$N$40:$Y$51,11,FALSE)/100/VLOOKUP($C$68,'DB animal categories'!$C$32:$AC$41,27,FALSE)*AJ70,0))))</f>
        <v/>
      </c>
      <c r="AR70" s="182" t="str">
        <f>IF(D70="","",IF(AI70=2,('Calc (ex-animal)'!$R$18*'Calc (ex-housing, ex-storage)'!F70/100+'Calc (ex-animal)'!$Q$18*'Calc (ex-housing, ex-storage)'!F70/100)/VLOOKUP($C$68,'DB animal categories'!$C$32:$AC$41,27,FALSE)*AJ70+Y70+Z70+AA70,IF(AI70=1,'Calc (ex-animal)'!$R$18*'Calc (ex-housing, ex-storage)'!F70/100/VLOOKUP($C$68,'DB animal categories'!$C$32:$AC$41,27,FALSE)*AJ70,IF(AI70=4,('Calc (ex-animal)'!$R$18+'Calc (ex-animal)'!$Q$18)*'Calc (ex-housing, ex-storage)'!F70/100*VLOOKUP(D70,'DB technologies'!$N$40:$Y$51,11,FALSE)/100/VLOOKUP($C$68,'DB animal categories'!$C$32:$AC$41,27,FALSE)*AJ70,0))))</f>
        <v/>
      </c>
      <c r="AS70" s="181" t="str">
        <f>IF(D70="","",VLOOKUP(D70,'DB technologies'!$N$40:$Y$51,10,FALSE))</f>
        <v/>
      </c>
      <c r="AT70" s="442" t="str">
        <f>IF(AS70="","",AU70+AV70)</f>
        <v/>
      </c>
      <c r="AU70" s="442" t="str">
        <f>IF(D70="","",IF(AS70=2,0,IF(AS70=1,'Calc (ex-animal)'!$G$18*'DB additional information '!$K$7/100*(1-VLOOKUP(D70,'DB technologies'!$N$40:$Y$51,8,FALSE)/100)*'Calc (ex-housing, ex-storage)'!F70/100/VLOOKUP($C$68,'DB animal categories'!$C$32:$AC$41,27,FALSE)*AJ70+I70+J70+K70,IF(AS70=5,(('Calc (ex-animal)'!$G$18*'DB additional information '!$K$7/100+'Calc (ex-animal)'!$H$18*'DB additional information '!$L$7/100))*(1-VLOOKUP(D70,'DB technologies'!$N$40:$Y$51,9,FALSE)/100)*'Calc (ex-housing, ex-storage)'!F70/100/VLOOKUP($C$68,'DB animal categories'!$C$32:$AC$41,27,FALSE)*AJ70+I70+J70+K70,IF(AS70=3,('Calc (ex-animal)'!$G$18*'DB additional information '!$K$7/100+'Calc (ex-animal)'!$H$18*'DB additional information '!$L$7/100)*(1-VLOOKUP(D70,'DB technologies'!$N$40:$Y$51,9,FALSE)/100)*'Calc (ex-housing, ex-storage)'!F70/100/VLOOKUP($C$68,'DB animal categories'!$C$32:$AC$41,27,FALSE)*AJ70+I70+J70+K70,IF(AS70=4,('Calc (ex-animal)'!$G$18*'DB additional information '!$K$7/100+'Calc (ex-animal)'!$H$18*'DB additional information '!$L$7/100)*(1-VLOOKUP(D70,'DB technologies'!$N$40:$Y$51,9,FALSE)/100)*'Calc (ex-housing, ex-storage)'!F70/100*VLOOKUP(D70,'DB technologies'!$N$40:$Y$51,12,FALSE)/100/VLOOKUP($C$68,'DB animal categories'!$C$32:$AC$41,27,FALSE)*AJ70+I70+J70+K70,0))))))</f>
        <v/>
      </c>
      <c r="AV70" s="442" t="str">
        <f>IF(D70="","",IF(AS70=2,0,IF(AS70=1,'Calc (ex-animal)'!$G$18*(1-'DB additional information '!$K$7/100)*(1-VLOOKUP(D70,'DB technologies'!$N$40:$Y$51,8,FALSE)/100)*'Calc (ex-housing, ex-storage)'!F70/100/VLOOKUP($C$68,'DB animal categories'!$C$32:$AC$41,27,FALSE)*AJ70+M70+N70+O70,IF(AS70=5,('Calc (ex-animal)'!$G$18*(1-'DB additional information '!$K$7/100)+'Calc (ex-animal)'!$H$18*(1-'DB additional information '!$L$7/100))*(1-VLOOKUP(D70,'DB technologies'!$N$40:$Y$51,8,FALSE)/100)*'Calc (ex-housing, ex-storage)'!F70/100/VLOOKUP($C$68,'DB animal categories'!$C$32:$AC$41,27,FALSE)*AJ70+M70+N70+O70,IF(AS70=3,('Calc (ex-animal)'!$G$18*(1-'DB additional information '!$K$7/100)+'Calc (ex-animal)'!$H$18*(1-'DB additional information '!$L$7/100))*(1-VLOOKUP(D70,'DB technologies'!$N$40:$Y$51,8,FALSE)/100)*'Calc (ex-housing, ex-storage)'!F70/100/VLOOKUP($C$68,'DB animal categories'!$C$32:$AC$41,27,FALSE)*AJ70+M70+N70+O70,IF(AS70=4,('Calc (ex-animal)'!$G$18*(1-'DB additional information '!$K$7/100)+'Calc (ex-animal)'!$H$18*(1-'DB additional information '!$L$7/100))*(1-VLOOKUP(D70,'DB technologies'!$N$40:$Y$51,8,FALSE)/100)*'Calc (ex-housing, ex-storage)'!F70/100*VLOOKUP(D70,'DB technologies'!$N$40:$Y$51,12,FALSE)/100/VLOOKUP($C$68,'DB animal categories'!$C$32:$AC$41,27,FALSE)*AJ70+M70+N70+O70,0))))))</f>
        <v/>
      </c>
      <c r="AW70" s="442" t="str">
        <f>IF(AS70="","",IF(AU70=0,0,AU70/AT70*100))</f>
        <v/>
      </c>
      <c r="AX70" s="182" t="str">
        <f>IF(D70="","",IF(AS70=2,0,IF(AS70=1,'Calc (ex-animal)'!$K$18*'Calc (ex-housing, ex-storage)'!F70/100/VLOOKUP($C$68,'DB animal categories'!$C$32:$AC$41,27,FALSE)*AJ70+Q70+R70+S70,IF(AS70=5,('Calc (ex-animal)'!$K$18+'Calc (ex-animal)'!$L$18)*'Calc (ex-housing, ex-storage)'!F70/100/VLOOKUP($C$68,'DB animal categories'!$C$32:$AC$41,27,FALSE)*AJ70+Q70+R70+S70-'Calc (ex-housing, ex-storage)'!AC70,IF(AS70=3,('Calc (ex-animal)'!$K$18+'Calc (ex-animal)'!$L$18)*'Calc (ex-housing, ex-storage)'!F70/100/VLOOKUP($C$68,'DB animal categories'!$C$32:$AC$41,27,FALSE)*AJ70+Q70+R70+S70-'Calc (ex-housing, ex-storage)'!AC70-AD70-AE70,IF(AI70=4,('Calc (ex-animal)'!$K$18+'Calc (ex-animal)'!$L$18)*'Calc (ex-housing, ex-storage)'!F70/100*VLOOKUP(D70,'DB technologies'!$N$40:$Y$51,12,FALSE)/100/VLOOKUP($C$68,'DB animal categories'!$C$32:$AC$41,27,FALSE)*AJ70+Q70+R70+S70-(VLOOKUP(D70,'DB technologies'!$N$40:$Y$51,12,FALSE)/100*AC70)-AD70-AE70,0))))))</f>
        <v/>
      </c>
      <c r="AY70" s="182" t="str">
        <f>IF(D70="","",IF(AS70=2,0,IF(AS70=1,'Calc (ex-animal)'!$N$18*'Calc (ex-housing, ex-storage)'!F70/100/VLOOKUP($C$68,'DB animal categories'!$C$32:$AC$41,27,FALSE)*AJ70+U70+V70+W70,IF(AS70=5,('Calc (ex-animal)'!$N$18+'Calc (ex-animal)'!$O$18)*'Calc (ex-housing, ex-storage)'!F70/100/VLOOKUP($C$68,'DB animal categories'!$C$32:$AC$41,27,FALSE)*AJ70+U70+V70+W70,IF(AS70=3,('Calc (ex-animal)'!$N$18+'Calc (ex-animal)'!$O$18)*'Calc (ex-housing, ex-storage)'!F70/100/VLOOKUP($C$68,'DB animal categories'!$C$32:$AC$41,27,FALSE)*AJ70+U70+V70+W70,IF(AS70=4,('Calc (ex-animal)'!$N$18+'Calc (ex-animal)'!$O$18)*'Calc (ex-housing, ex-storage)'!F70/100*VLOOKUP(D70,'DB technologies'!$N$40:$Y$51,12,FALSE)/100/VLOOKUP($C$68,'DB animal categories'!$C$32:$AC$41,27,FALSE)*AJ70+U70+V70+W70,0))))))</f>
        <v/>
      </c>
      <c r="AZ70" s="182" t="str">
        <f>IF(D70="","",IF(AS70=2,0,IF(AS70=1,'Calc (ex-animal)'!$Q$18*'Calc (ex-housing, ex-storage)'!F70/100/VLOOKUP($C$68,'DB animal categories'!$C$32:$AC$41,27,FALSE)*AJ70+Y70+Z70+AA70,IF(AS70=5,('Calc (ex-animal)'!$Q$18+'Calc (ex-animal)'!$R$18)*'Calc (ex-housing, ex-storage)'!F70/100/VLOOKUP($C$68,'DB animal categories'!$C$32:$AC$41,27,FALSE)*AJ70+Y70+Z70+AA70,IF(AS70=3,('Calc (ex-animal)'!$Q$18+'Calc (ex-animal)'!$R$18)*'Calc (ex-housing, ex-storage)'!F70/100/VLOOKUP($C$68,'DB animal categories'!$C$32:$AC$41,27,FALSE)*AJ70+Y70+Z70+AA70,IF(AS70=4,('Calc (ex-animal)'!$Q$18+'Calc (ex-animal)'!$R$18)*'Calc (ex-housing, ex-storage)'!F70/100*VLOOKUP(D70,'DB technologies'!$N$40:$Y$51,12,FALSE)/100/VLOOKUP($C$68,'DB animal categories'!$C$32:$AC$41,27,FALSE)*AJ70+Y70+Z70+AA70,0))))))</f>
        <v/>
      </c>
      <c r="BA70" s="506"/>
      <c r="BB70" s="506"/>
      <c r="BC70" s="506"/>
      <c r="BG70" s="314" t="s">
        <v>58</v>
      </c>
      <c r="BH70" s="289">
        <f>IF(SUM(BH65:BH69) &gt;100,"ERROR, SUM&gt;100%",SUM(BH65:BH69))</f>
        <v>0</v>
      </c>
      <c r="BI70" s="602">
        <f>SUM(BI65:BI69)</f>
        <v>0</v>
      </c>
      <c r="BJ70" s="593">
        <f>SUM(BJ65:BJ69)</f>
        <v>0</v>
      </c>
      <c r="BK70" s="597">
        <f>IF(BI70=0,0,BJ70/BI70*100)</f>
        <v>0</v>
      </c>
      <c r="BL70" s="290">
        <f t="shared" ref="BL70:BQ70" si="10">SUM(BL65:BL69)</f>
        <v>0</v>
      </c>
      <c r="BM70" s="290">
        <f t="shared" si="10"/>
        <v>0</v>
      </c>
      <c r="BN70" s="290">
        <f t="shared" si="10"/>
        <v>0</v>
      </c>
      <c r="BO70" s="290">
        <f t="shared" si="10"/>
        <v>0</v>
      </c>
      <c r="BP70" s="290">
        <f t="shared" si="10"/>
        <v>0</v>
      </c>
      <c r="BQ70" s="291">
        <f t="shared" si="10"/>
        <v>0</v>
      </c>
      <c r="BR70" s="119"/>
      <c r="BS70" s="120"/>
      <c r="BT70" s="121"/>
    </row>
    <row r="71" spans="1:72" ht="11.25" customHeight="1" x14ac:dyDescent="0.2">
      <c r="A71" s="684"/>
      <c r="B71" s="695"/>
      <c r="C71" s="255"/>
      <c r="D71" s="1357"/>
      <c r="E71" s="1358"/>
      <c r="F71" s="480" t="str">
        <f>IF('Calc (ex-animal)'!$F$9=1,"",IF($C$68=0,"",IF(D71="","",E71/'Calc (ex-animal)'!$E$18*100)))</f>
        <v/>
      </c>
      <c r="G71" s="485" t="str">
        <f>IF($C$68=0,"",IF('Calc (ex-animal)'!$F$8=1,"",IF(D71="","",SUM(H71:O71))))</f>
        <v/>
      </c>
      <c r="H71" s="423" t="str">
        <f>IF('Calc (ex-animal)'!$F$8=1,"",IF(D71="","",(((VLOOKUP($C$68,'Calc (ex-animal)'!$D$18:$Y$22,6,FALSE)-VLOOKUP($C$68,'Calc (ex-animal)'!$D$18:$Y$22,17,FALSE))*F71/100))*VLOOKUP($C$68,'Calc (ex-animal)'!$D$18:$Y$22,7,FALSE)/100*(1-VLOOKUP(D71,'DB technologies'!$N$40:$Y$51,9,FALSE)/100)))</f>
        <v/>
      </c>
      <c r="I71" s="423" t="str">
        <f>IF(D71="","",((VLOOKUP(D71,'DB technologies'!$N$40:$Y$51,2,FALSE)*VLOOKUP($C$68,'DB animal categories'!$C$32:$AC$41,27,FALSE)*E71/1000)/VLOOKUP($C$68,'DB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'!$S$6/100*(1-VLOOKUP(D71,'DB technologies'!$N$40:$Y$51,9,FALSE)/100)))</f>
        <v/>
      </c>
      <c r="J71" s="434" t="str">
        <f>IF(D71="","",((VLOOKUP(D71,'DB technologies'!$N$40:$Y$51,3,FALSE)*VLOOKUP($C$68,'DB animal categories'!$C$32:$AC$41,27,FALSE)*E71/1000)/VLOOKUP($C$68,'DB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'!$S$7/100*(1-VLOOKUP(D71,'DB technologies'!$N$40:$Y$51,9,FALSE)/100)))</f>
        <v/>
      </c>
      <c r="K71" s="434" t="str">
        <f>IF(D71="","",((VLOOKUP(D71,'DB technologies'!$N$40:$Y$51,4,FALSE)*E71*'DB additional information '!$S$8/100*(1-VLOOKUP(D71,'DB technologies'!$N$40:$Y$51,9,FALSE)/100))/VLOOKUP($C$68,'DB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L71" s="423" t="str">
        <f>IF('Calc (ex-animal)'!$F$8=1,"",IF(D71="","",(((VLOOKUP($C$68,'Calc (ex-animal)'!$D$18:$Y$22,6,FALSE)-VLOOKUP($C$68,'Calc (ex-animal)'!$D$18:$Y$22,17,FALSE))*F71/100))*(1-VLOOKUP($C$68,'Calc (ex-animal)'!$D$18:$Y$22,7,FALSE)/100)*(1-VLOOKUP(D71,'DB technologies'!$N$40:$V$51,8,FALSE)/100)))</f>
        <v/>
      </c>
      <c r="M71" s="434" t="str">
        <f>IF(D71="","",((VLOOKUP(D71,'DB technologies'!$N$40:$Y$51,2,FALSE)*VLOOKUP($C$68,'DB animal categories'!$C$32:$AC$41,27,FALSE)*E71/1000)/VLOOKUP($C$68,'DB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'!$S$6/100)*(1-VLOOKUP(D71,'DB technologies'!$N$40:$Y$51,9,FALSE)/100))</f>
        <v/>
      </c>
      <c r="N71" s="434" t="str">
        <f>IF(D71="","",((VLOOKUP(D71,'DB technologies'!$N$40:$Y$51,3,FALSE)*VLOOKUP($C$68,'DB animal categories'!$C$32:$AC$41,27,FALSE)*E71/1000)/VLOOKUP($C$68,'DB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'!$S$7/100)*(1-VLOOKUP(D71,'DB technologies'!$N$40:$Y$51,9,FALSE)/100))</f>
        <v/>
      </c>
      <c r="O71" s="423" t="str">
        <f>IF(D71="","",((VLOOKUP(D71,'DB technologies'!$N$40:$Y$51,4,FALSE)*E71*(1-'DB additional information '!$S$8/100)*(1-VLOOKUP(D71,'DB technologies'!$N$40:$Y$51,8,FALSE)/100))/VLOOKUP($C$68,'DB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P71" s="438" t="str">
        <f>IF(G71=0,0,IF(E71="","",IF(F71="","",IF($C$68=0,"",IF(D71="","",SUM(H71:K71)/G71*100)))))</f>
        <v/>
      </c>
      <c r="Q71" s="416" t="str">
        <f>IF(D71="","",(VLOOKUP(D71,'DB technologies'!$N$40:$Y$51,2,FALSE)*'DB additional information '!$S$6/100*'DB additional information '!$T$6*VLOOKUP($C$68,'DB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R71" s="416" t="str">
        <f>IF(D71="","",(VLOOKUP(D71,'DB technologies'!$N$40:$Y$51,3,FALSE)*'DB additional information '!$S$7/100*'DB additional information '!$T$7*VLOOKUP($C$68,'DB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S71" s="491" t="str">
        <f>IF(D71="","",(VLOOKUP(D71,'DB technologies'!$N$40:$Y$51,4,FALSE)*('DB additional information '!$S$8/100*'DB additional information '!$T$8*E71/1000/1000)))</f>
        <v/>
      </c>
      <c r="T71" s="264" t="str">
        <f>IF($C$68=0,"",IF('Calc (ex-animal)'!$F$9=1,"",IF(D71="","",((VLOOKUP($C$68,'Calc (ex-animal)'!$D$18:$Y$22,10,FALSE)-VLOOKUP($C$68,'Calc (ex-animal)'!$D$18:$Y$22,18,FALSE))*F71/100+Q71+R71+S71)-AC71-AD71-AE71)))</f>
        <v/>
      </c>
      <c r="U71" s="422" t="str">
        <f>IF(D71="","",(VLOOKUP(D71,'DB technologies'!$N$40:$Y$51,2,FALSE)*'DB additional information '!$S$6/100*'DB additional information '!$U$6*VLOOKUP($C$68,'DB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V71" s="418" t="str">
        <f>IF(D71="","",(VLOOKUP(D71,'DB technologies'!$N$40:$Y$51,3,FALSE)*'DB additional information '!$S$7/100*'DB additional information '!$U$7*VLOOKUP($C$68,'DB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W71" s="417" t="str">
        <f>IF(D71="","",(VLOOKUP(D71,'DB technologies'!$N$40:$Y$51,4,FALSE)*('DB additional information '!$S$8/100*'DB additional information '!$U$8*E71/1000/1000)))</f>
        <v/>
      </c>
      <c r="X71" s="261" t="str">
        <f>IF($C$68=0,"",IF('Calc (ex-animal)'!$F$9=1,"",IF(D71="","",((VLOOKUP($C$68,'Calc (ex-animal)'!$D$18:$Y$22,13,FALSE)-VLOOKUP($C$68,'Calc (ex-animal)'!$D$18:$Y$22,19,FALSE))*F71/100+U71+V71+W71))))</f>
        <v/>
      </c>
      <c r="Y71" s="418" t="str">
        <f>IF(D71="","",(VLOOKUP(D71,'DB technologies'!$N$40:$Y$51,2,FALSE)*'DB additional information '!$S$6/100*'DB additional information '!$V$6*VLOOKUP($C$68,'DB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Z71" s="418" t="str">
        <f>IF(D71="","",(VLOOKUP(D71,'DB technologies'!$N$40:$Y$51,3,FALSE)*'DB additional information '!$S$7/100*'DB additional information '!$V$7*VLOOKUP($C$68,'DB animal categories'!$C$32:$AC$41,27,FALSE)*E71/1000/1000)/VLOOKUP($C$68,'DB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AA71" s="418" t="str">
        <f>IF(D71="","",(VLOOKUP(D71,'DB technologies'!$N$40:$Y$51,4,FALSE)*('DB additional information '!$S$8/100*'DB additional information '!$V$8*E71/1000/1000)))</f>
        <v/>
      </c>
      <c r="AB71" s="261" t="str">
        <f>IF($C$68=0,"",IF('Calc (ex-animal)'!$F$8=1,"",IF(D71="","",((VLOOKUP($C$68,'Calc (ex-animal)'!$D$18:$Y$22,16,FALSE)-VLOOKUP($C$68,'Calc (ex-animal)'!$D$18:$Y$22,20,FALSE))*F71/100+Y71+Z71+AA71))))</f>
        <v/>
      </c>
      <c r="AC71" s="261" t="str">
        <f>IF($C$68=0,"",IF('Calc (ex-animal)'!$F$8=1,"",IF(D71="","",VLOOKUP($C$68,'Calc (ex-animal)'!$D$18:$Y$22,9,FALSE)/VLOOKUP($C$68,'DB animal categories'!$C$32:$AC$41,27,FALSE)*(VLOOKUP($C$68,'DB animal categories'!$C$32:$AC$41,27,FALSE)-VLOOKUP($C$68,'DB animal categories'!$C$32:$AC$41,25,FALSE)*VLOOKUP($C$68,'DB animal categories'!$C$32:$AC$41,26,FALSE)/24)*F71/100*VLOOKUP(D71,'DB technologies'!$N$40:$R$51,5,FALSE)/100)))</f>
        <v/>
      </c>
      <c r="AD71" s="261" t="str">
        <f>IF($C$68=0,"",IF('Calc (ex-animal)'!$F$8=1,"",IF(D71="","",VLOOKUP($C$68,'Calc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categories'!$C$32:$AC$41,26,FALSE)/24)*F71/100*VLOOKUP(D71,'DB technologies'!$N$40:$Y$51,6,FALSE)/100)))</f>
        <v/>
      </c>
      <c r="AE71" s="262" t="str">
        <f>IF($C$68=0,"",IF('Calc (ex-animal)'!$F$8=1,"",IF(D71="","",VLOOKUP($C$68,'Calc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categories'!$C$32:$AC$41,26,FALSE)/24)*F71/100*VLOOKUP(D71,'DB technologies'!$N$40:$Y$51,7,FALSE)/100)))</f>
        <v/>
      </c>
      <c r="AG71" s="698"/>
      <c r="AH71" s="694" t="s">
        <v>133</v>
      </c>
      <c r="AI71" s="181" t="str">
        <f>IF(D71="","",VLOOKUP(D71,'DB technologies'!$N$40:$Y$51,10,FALSE))</f>
        <v/>
      </c>
      <c r="AJ71" s="449" t="e">
        <f>VLOOKUP($C$68,'DB animal categories'!$C$32:$AN$41,27,FALSE)-VLOOKUP($C$68,'DB animal categories'!$C$32:$AN$41,26,FALSE)*VLOOKUP($C$68,'DB animal categories'!$C$32:$AN$41,25,FALSE)/24</f>
        <v>#N/A</v>
      </c>
      <c r="AK71" s="442" t="str">
        <f>IF(AI71="","",AL71+AM71)</f>
        <v/>
      </c>
      <c r="AL71" s="442" t="str">
        <f>IF(D71="","",IF(AI71=2,(('Calc (ex-animal)'!$G$18*'DB additional information '!$K$7/100*(1-VLOOKUP(D71,'DB technologies'!$N$40:$Y$51,9,FALSE)/100)*'Calc (ex-housing, ex-storage)'!F71/100+'Calc (ex-animal)'!$H$18*'DB additional information '!$L$7/100*(1-VLOOKUP(D71,'DB technologies'!$N$40:$Y$51,9,FALSE)/100)*'Calc (ex-housing, ex-storage)'!F71/100))/VLOOKUP($C$68,'DB animal categories'!$C$32:$AC$41,27,FALSE)*AJ71+I71+J71+K71,IF(AI71=1,('Calc (ex-animal)'!$H$18*'DB additional information '!$L$7/100*(1-VLOOKUP(D71,'DB technologies'!$N$40:$Y$51,9,FALSE)/100)*'Calc (ex-housing, ex-storage)'!F71/100)/VLOOKUP($C$68,'DB animal categories'!$C$32:$AC$41,27,FALSE)*AJ71,IF(AI71=4,('Calc (ex-animal)'!$G$18*'DB additional information '!$K$7/100+'Calc (ex-animal)'!$H$18*'DB additional information '!$L$7/100)*(1-VLOOKUP(D71,'DB technologies'!$N$40:$Y$51,9,FALSE)/100)*'Calc (ex-housing, ex-storage)'!F71/100*VLOOKUP(D71,'DB technologies'!$N$40:$Y$51,11,FALSE)/100/VLOOKUP($C$68,'DB animal categories'!$C$32:$AC$41,27,FALSE)*AJ71,0))))</f>
        <v/>
      </c>
      <c r="AM71" s="442" t="str">
        <f>IF(D71="","",IF(AI71=2,(('Calc (ex-animal)'!$G$18*(1-'DB additional information '!$K$7/100)*(1-VLOOKUP(D71,'DB technologies'!$N$40:$Y$51,8,FALSE)/100)*'Calc (ex-housing, ex-storage)'!F71/100+'Calc (ex-animal)'!$H$18*(1-'DB additional information '!$L$7/100)*(1-VLOOKUP(D71,'DB technologies'!$N$40:$Y$51,8,FALSE)/100)*'Calc (ex-housing, ex-storage)'!F71/100))/VLOOKUP($C$68,'DB animal categories'!$C$32:$AC$41,27,FALSE)*AJ71+M71+N71+O71,IF(AI71=1,('Calc (ex-animal)'!$H$18*(1-'DB additional information '!$L$7/100)*(1-VLOOKUP(D71,'DB technologies'!$N$40:$Y$51,8,FALSE)/100)*'Calc (ex-housing, ex-storage)'!F71/100)/VLOOKUP($C$68,'DB animal categories'!$C$32:$AC$41,27,FALSE)*AJ71,IF(AI71=4,('Calc (ex-animal)'!$G$18*(1-'DB additional information '!$K$7/100)+'Calc (ex-animal)'!$H$18*(1-'DB additional information '!$L$7/100))*(1-VLOOKUP(D71,'DB technologies'!$N$40:$Y$51,8,FALSE)/100)*'Calc (ex-housing, ex-storage)'!F71/100*VLOOKUP(D71,'DB technologies'!$N$40:$Y$51,11,FALSE)/100/VLOOKUP($C$68,'DB animal categories'!$C$32:$AC$41,27,FALSE)*AJ71,0))))</f>
        <v/>
      </c>
      <c r="AN71" s="442" t="str">
        <f>IF(AI71="","",IF(AL71=0,0,AL71/AK71*100))</f>
        <v/>
      </c>
      <c r="AO71" s="182" t="str">
        <f>IF(D71="","",IF(AI71=2,(('Calc (ex-animal)'!$L$18*'Calc (ex-housing, ex-storage)'!F71/100+'Calc (ex-animal)'!$K$18*'Calc (ex-housing, ex-storage)'!F71/100))/VLOOKUP($C$68,'DB animal categories'!$C$32:$AC$41,27,FALSE)*AJ71+Q71+R71+S71-AC71,IF(AI71=1,('Calc (ex-animal)'!$L$18*'Calc (ex-housing, ex-storage)'!F71/100)/VLOOKUP($C$68,'DB animal categories'!$C$32:$AC$41,27,FALSE)*AJ71-'Calc (ex-housing, ex-storage)'!AC71,IF(AI71=4,('Calc (ex-animal)'!$L$18+'Calc (ex-animal)'!$K$18)*'Calc (ex-housing, ex-storage)'!F71/100*VLOOKUP(D71,'DB technologies'!$N$40:$Y$51,11,FALSE)/100/VLOOKUP($C$68,'DB animal categories'!$C$32:$AC$41,27,FALSE)*AJ71-AC71*VLOOKUP(D71,'DB technologies'!$N$40:$Y$51,11,FALSE)/100,0))))</f>
        <v/>
      </c>
      <c r="AP71" s="182" t="str">
        <f>IF(D71="","",IF(AO71&lt;-0.01,0,IF(AI71=2,(('Calc (ex-animal)'!$L$18*'Calc (ex-housing, ex-storage)'!F71/100+'Calc (ex-animal)'!$K$18*'Calc (ex-housing, ex-storage)'!F71/100))/VLOOKUP($C$68,'DB animal categories'!$C$32:$AC$41,27,FALSE)*AJ71+Q71+R71+S71-AC71,IF(AI71=1,('Calc (ex-animal)'!$L$18*'Calc (ex-housing, ex-storage)'!F71/100)/VLOOKUP($C$68,'DB animal categories'!$C$32:$AC$41,27,FALSE)*AJ71-'Calc (ex-housing, ex-storage)'!AC71,IF(AI71=4,('Calc (ex-animal)'!$L$18+'Calc (ex-animal)'!$K$18)*'Calc (ex-housing, ex-storage)'!F71/100*VLOOKUP(D71,'DB technologies'!$N$40:$Y$51,11,FALSE)/100/VLOOKUP($C$68,'DB animal categories'!$C$32:$AC$41,27,FALSE)*AJ71-AC71*VLOOKUP(D71,'DB technologies'!$N$40:$Y$51,11,FALSE)/100,0)))))</f>
        <v/>
      </c>
      <c r="AQ71" s="182" t="str">
        <f>IF(D71="","",IF(AI71=2,('Calc (ex-animal)'!$O$18*'Calc (ex-housing, ex-storage)'!F71/100+'Calc (ex-animal)'!$N$18*'Calc (ex-housing, ex-storage)'!F71/100)/VLOOKUP($C$68,'DB animal categories'!$C$32:$AC$41,27,FALSE)*AJ71+U71+V71+W71,IF(AI71=1,'Calc (ex-animal)'!$O$18*'Calc (ex-housing, ex-storage)'!F71/100/VLOOKUP($C$68,'DB animal categories'!$C$32:$AC$41,27,FALSE)*AJ71,IF(AI71=4,('Calc (ex-animal)'!$O$18+'Calc (ex-animal)'!$N$18)*'Calc (ex-housing, ex-storage)'!F71/100*VLOOKUP(D71,'DB technologies'!$N$40:$Y$51,11,FALSE)/100/VLOOKUP($C$68,'DB animal categories'!$C$32:$AC$41,27,FALSE)*AJ71,0))))</f>
        <v/>
      </c>
      <c r="AR71" s="182" t="str">
        <f>IF(D71="","",IF(AI71=2,('Calc (ex-animal)'!$R$18*'Calc (ex-housing, ex-storage)'!F71/100+'Calc (ex-animal)'!$Q$18*'Calc (ex-housing, ex-storage)'!F71/100)/VLOOKUP($C$68,'DB animal categories'!$C$32:$AC$41,27,FALSE)*AJ71+Y71+Z71+AA71,IF(AI71=1,'Calc (ex-animal)'!$R$18*'Calc (ex-housing, ex-storage)'!F71/100/VLOOKUP($C$68,'DB animal categories'!$C$32:$AC$41,27,FALSE)*AJ71,IF(AI71=4,('Calc (ex-animal)'!$R$18+'Calc (ex-animal)'!$Q$18)*'Calc (ex-housing, ex-storage)'!F71/100*VLOOKUP(D71,'DB technologies'!$N$40:$Y$51,11,FALSE)/100/VLOOKUP($C$68,'DB animal categories'!$C$32:$AC$41,27,FALSE)*AJ71,0))))</f>
        <v/>
      </c>
      <c r="AS71" s="181" t="str">
        <f>IF(D71="","",VLOOKUP(D71,'DB technologies'!$N$40:$Y$51,10,FALSE))</f>
        <v/>
      </c>
      <c r="AT71" s="442" t="str">
        <f>IF(AS71="","",AU71+AV71)</f>
        <v/>
      </c>
      <c r="AU71" s="442" t="str">
        <f>IF(D71="","",IF(AS71=2,0,IF(AS71=1,'Calc (ex-animal)'!$G$18*'DB additional information '!$K$7/100*(1-VLOOKUP(D71,'DB technologies'!$N$40:$Y$51,8,FALSE)/100)*'Calc (ex-housing, ex-storage)'!F71/100/VLOOKUP($C$68,'DB animal categories'!$C$32:$AC$41,27,FALSE)*AJ71+I71+J71+K71,IF(AS71=5,(('Calc (ex-animal)'!$G$18*'DB additional information '!$K$7/100+'Calc (ex-animal)'!$H$18*'DB additional information '!$L$7/100))*(1-VLOOKUP(D71,'DB technologies'!$N$40:$Y$51,9,FALSE)/100)*'Calc (ex-housing, ex-storage)'!F71/100/VLOOKUP($C$68,'DB animal categories'!$C$32:$AC$41,27,FALSE)*AJ71+I71+J71+K71,IF(AS71=3,('Calc (ex-animal)'!$G$18*'DB additional information '!$K$7/100+'Calc (ex-animal)'!$H$18*'DB additional information '!$L$7/100)*(1-VLOOKUP(D71,'DB technologies'!$N$40:$Y$51,9,FALSE)/100)*'Calc (ex-housing, ex-storage)'!F71/100/VLOOKUP($C$68,'DB animal categories'!$C$32:$AC$41,27,FALSE)*AJ71+I71+J71+K71,IF(AS71=4,('Calc (ex-animal)'!$G$18*'DB additional information '!$K$7/100+'Calc (ex-animal)'!$H$18*'DB additional information '!$L$7/100)*(1-VLOOKUP(D71,'DB technologies'!$N$40:$Y$51,9,FALSE)/100)*'Calc (ex-housing, ex-storage)'!F71/100*VLOOKUP(D71,'DB technologies'!$N$40:$Y$51,12,FALSE)/100/VLOOKUP($C$68,'DB animal categories'!$C$32:$AC$41,27,FALSE)*AJ71+I71+J71+K71,0))))))</f>
        <v/>
      </c>
      <c r="AV71" s="442" t="str">
        <f>IF(D71="","",IF(AS71=2,0,IF(AS71=1,'Calc (ex-animal)'!$G$18*(1-'DB additional information '!$K$7/100)*(1-VLOOKUP(D71,'DB technologies'!$N$40:$Y$51,8,FALSE)/100)*'Calc (ex-housing, ex-storage)'!F71/100/VLOOKUP($C$68,'DB animal categories'!$C$32:$AC$41,27,FALSE)*AJ71+M71+N71+O71,IF(AS71=5,('Calc (ex-animal)'!$G$18*(1-'DB additional information '!$K$7/100)+'Calc (ex-animal)'!$H$18*(1-'DB additional information '!$L$7/100))*(1-VLOOKUP(D71,'DB technologies'!$N$40:$Y$51,8,FALSE)/100)*'Calc (ex-housing, ex-storage)'!F71/100/VLOOKUP($C$68,'DB animal categories'!$C$32:$AC$41,27,FALSE)*AJ71+M71+N71+O71,IF(AS71=3,('Calc (ex-animal)'!$G$18*(1-'DB additional information '!$K$7/100)+'Calc (ex-animal)'!$H$18*(1-'DB additional information '!$L$7/100))*(1-VLOOKUP(D71,'DB technologies'!$N$40:$Y$51,8,FALSE)/100)*'Calc (ex-housing, ex-storage)'!F71/100/VLOOKUP($C$68,'DB animal categories'!$C$32:$AC$41,27,FALSE)*AJ71+M71+N71+O71,IF(AS71=4,('Calc (ex-animal)'!$G$18*(1-'DB additional information '!$K$7/100)+'Calc (ex-animal)'!$H$18*(1-'DB additional information '!$L$7/100))*(1-VLOOKUP(D71,'DB technologies'!$N$40:$Y$51,8,FALSE)/100)*'Calc (ex-housing, ex-storage)'!F71/100*VLOOKUP(D71,'DB technologies'!$N$40:$Y$51,12,FALSE)/100/VLOOKUP($C$68,'DB animal categories'!$C$32:$AC$41,27,FALSE)*AJ71+M71+N71+O71,0))))))</f>
        <v/>
      </c>
      <c r="AW71" s="442" t="str">
        <f>IF(AS71="","",IF(AU71=0,0,AU71/AT71*100))</f>
        <v/>
      </c>
      <c r="AX71" s="182" t="str">
        <f>IF(D71="","",IF(AS71=2,0,IF(AS71=1,'Calc (ex-animal)'!$K$18*'Calc (ex-housing, ex-storage)'!F71/100/VLOOKUP($C$68,'DB animal categories'!$C$32:$AC$41,27,FALSE)*AJ71+Q71+R71+S71,IF(AS71=5,('Calc (ex-animal)'!$K$18+'Calc (ex-animal)'!$L$18)*'Calc (ex-housing, ex-storage)'!F71/100/VLOOKUP($C$68,'DB animal categories'!$C$32:$AC$41,27,FALSE)*AJ71+Q71+R71+S71-'Calc (ex-housing, ex-storage)'!AC71,IF(AS71=3,('Calc (ex-animal)'!$K$18+'Calc (ex-animal)'!$L$18)*'Calc (ex-housing, ex-storage)'!F71/100/VLOOKUP($C$68,'DB animal categories'!$C$32:$AC$41,27,FALSE)*AJ71+Q71+R71+S71-'Calc (ex-housing, ex-storage)'!AC71-AD71-AE71,IF(AI71=4,('Calc (ex-animal)'!$K$18+'Calc (ex-animal)'!$L$18)*'Calc (ex-housing, ex-storage)'!F71/100*VLOOKUP(D71,'DB technologies'!$N$40:$Y$51,12,FALSE)/100/VLOOKUP($C$68,'DB animal categories'!$C$32:$AC$41,27,FALSE)*AJ71+Q71+R71+S71-(VLOOKUP(D71,'DB technologies'!$N$40:$Y$51,12,FALSE)/100*AC71)-AD71-AE71,0))))))</f>
        <v/>
      </c>
      <c r="AY71" s="182" t="str">
        <f>IF(D71="","",IF(AS71=2,0,IF(AS71=1,'Calc (ex-animal)'!$N$18*'Calc (ex-housing, ex-storage)'!F71/100/VLOOKUP($C$68,'DB animal categories'!$C$32:$AC$41,27,FALSE)*AJ71+U71+V71+W71,IF(AS71=5,('Calc (ex-animal)'!$N$18+'Calc (ex-animal)'!$O$18)*'Calc (ex-housing, ex-storage)'!F71/100/VLOOKUP($C$68,'DB animal categories'!$C$32:$AC$41,27,FALSE)*AJ71+U71+V71+W71,IF(AS71=3,('Calc (ex-animal)'!$N$18+'Calc (ex-animal)'!$O$18)*'Calc (ex-housing, ex-storage)'!F71/100/VLOOKUP($C$68,'DB animal categories'!$C$32:$AC$41,27,FALSE)*AJ71+U71+V71+W71,IF(AS71=4,('Calc (ex-animal)'!$N$18+'Calc (ex-animal)'!$O$18)*'Calc (ex-housing, ex-storage)'!F71/100*VLOOKUP(D71,'DB technologies'!$N$40:$Y$51,12,FALSE)/100/VLOOKUP($C$68,'DB animal categories'!$C$32:$AC$41,27,FALSE)*AJ71+U71+V71+W71,0))))))</f>
        <v/>
      </c>
      <c r="AZ71" s="182" t="str">
        <f>IF(D71="","",IF(AS71=2,0,IF(AS71=1,'Calc (ex-animal)'!$Q$18*'Calc (ex-housing, ex-storage)'!F71/100/VLOOKUP($C$68,'DB animal categories'!$C$32:$AC$41,27,FALSE)*AJ71+Y71+Z71+AA71,IF(AS71=5,('Calc (ex-animal)'!$Q$18+'Calc (ex-animal)'!$R$18)*'Calc (ex-housing, ex-storage)'!F71/100/VLOOKUP($C$68,'DB animal categories'!$C$32:$AC$41,27,FALSE)*AJ71+Y71+Z71+AA71,IF(AS71=3,('Calc (ex-animal)'!$Q$18+'Calc (ex-animal)'!$R$18)*'Calc (ex-housing, ex-storage)'!F71/100/VLOOKUP($C$68,'DB animal categories'!$C$32:$AC$41,27,FALSE)*AJ71+Y71+Z71+AA71,IF(AS71=4,('Calc (ex-animal)'!$Q$18+'Calc (ex-animal)'!$R$18)*'Calc (ex-housing, ex-storage)'!F71/100*VLOOKUP(D71,'DB technologies'!$N$40:$Y$51,12,FALSE)/100/VLOOKUP($C$68,'DB animal categories'!$C$32:$AC$41,27,FALSE)*AJ71+Y71+Z71+AA71,0))))))</f>
        <v/>
      </c>
      <c r="BA71" s="98">
        <f>SUMIF(AS487:AS545,1,AT487:AT545)+SUMIF(AS487:AS545,5,AT487:AT545)</f>
        <v>0</v>
      </c>
      <c r="BB71" s="98">
        <f>SUMIF(AS487:AS545,1,AU487:AU545)+SUMIF(AS487:AS545,5,AU487:AU545)</f>
        <v>0</v>
      </c>
      <c r="BC71" s="506" t="e">
        <f>BB71/BA71*100</f>
        <v>#DIV/0!</v>
      </c>
      <c r="BD71" s="98">
        <f>SUMIF(AS487:AS545,1,AX487:AX545)+SUMIF(AS487:AS545,5,AX487:AX545)</f>
        <v>0</v>
      </c>
      <c r="BE71" s="98">
        <f>SUMIF(AS487:AS545,1,AY487:AY545)+SUMIF(AS487:AS545,5,AY487:AY545)</f>
        <v>0</v>
      </c>
      <c r="BF71" s="98">
        <f>SUMIF(AS487:AS545,1,AZ487:AZ545)+SUMIF(AS487:AS545,5,AZ487:AZ545)</f>
        <v>0</v>
      </c>
      <c r="BG71" s="1355"/>
      <c r="BH71" s="1363"/>
      <c r="BI71" s="599" t="str">
        <f>IF(BG71="","",$BA$71*BH71/100-($BB$71*BH71/100*VLOOKUP(BG71,'DB technologies'!$AC$16:$AT$20,5,FALSE)/100)+(VLOOKUP(BG71,'DB technologies'!$AC$16:$AT$20,12,FALSE)*$BA$71*BH71/100))</f>
        <v/>
      </c>
      <c r="BJ71" s="551">
        <f>IF(BI71="",0,BI71*BK71/100)</f>
        <v>0</v>
      </c>
      <c r="BK71" s="560" t="str">
        <f>IF(BG71="","",IF($BA$71=0,0,($BB$71*BH71/100)/BI71*(1-(VLOOKUP(BG71,'DB technologies'!$AC$16:$AQ$20,5,FALSE))/100)*100))</f>
        <v/>
      </c>
      <c r="BL71" s="259" t="str">
        <f>IF(BG71="","",$BD$71*BH71/100-BO71-BP71-BQ71-BR71)</f>
        <v/>
      </c>
      <c r="BM71" s="259" t="str">
        <f>IF(BG71="","",$BE$71*BH71/100-BS71)</f>
        <v/>
      </c>
      <c r="BN71" s="259" t="str">
        <f>IF(BG71="","",$BF$71*BH71/100-BT71)</f>
        <v/>
      </c>
      <c r="BO71" s="259" t="str">
        <f>IF(BG71="","",$BD$71*BH71/100*VLOOKUP(BG71,'DB technologies'!$AC$16:$AF$20,2,FALSE)/100)</f>
        <v/>
      </c>
      <c r="BP71" s="259" t="str">
        <f>IF(BG71="","",$BD$71*BH71/100*VLOOKUP(BG71,'DB technologies'!$AC$16:$AN$20,3,FALSE)/100)</f>
        <v/>
      </c>
      <c r="BQ71" s="260" t="str">
        <f>IF(BG71="","",$BD$71*BH71/100*VLOOKUP(BG71,'DB technologies'!$AC$16:$AN$20,4,FALSE)/100)</f>
        <v/>
      </c>
      <c r="BR71" s="263" t="str">
        <f>IF(BG71="","",VLOOKUP(BG71,'DB technologies'!$AC$16:$AQ$20,13,FALSE)/100*$BD$71*BH71/100)</f>
        <v/>
      </c>
      <c r="BS71" s="259" t="str">
        <f>IF(BG71="","",VLOOKUP(BG71,'DB technologies'!$AC$16:$AQ$20,14,FALSE)/100*$BE$71*BH71/100)</f>
        <v/>
      </c>
      <c r="BT71" s="260" t="str">
        <f>IF(BG71="","",VLOOKUP(BG71,'DB technologies'!$AC$16:$AQ$20,15,FALSE)/100*$BF$71*BH71/100)</f>
        <v/>
      </c>
    </row>
    <row r="72" spans="1:72" ht="12" customHeight="1" thickBot="1" x14ac:dyDescent="0.25">
      <c r="A72" s="684"/>
      <c r="B72" s="695"/>
      <c r="C72" s="255"/>
      <c r="D72" s="1359"/>
      <c r="E72" s="1360"/>
      <c r="F72" s="481" t="str">
        <f>IF('Calc (ex-animal)'!$F$9=1,"",IF($C$68=0,"",IF(D72="","",E72/'Calc (ex-animal)'!$E$18*100)))</f>
        <v/>
      </c>
      <c r="G72" s="483" t="str">
        <f>IF($C$68=0,"",IF('Calc (ex-animal)'!$F$8=1,"",IF(D72="","",SUM(H72:O72))))</f>
        <v/>
      </c>
      <c r="H72" s="445" t="str">
        <f>IF('Calc (ex-animal)'!$F$8=1,"",IF(D72="","",(((VLOOKUP($C$68,'Calc (ex-animal)'!$D$18:$Y$22,6,FALSE)-VLOOKUP($C$68,'Calc (ex-animal)'!$D$18:$Y$22,17,FALSE))*F72/100))*VLOOKUP($C$68,'Calc (ex-animal)'!$D$18:$Y$22,7,FALSE)/100*(1-VLOOKUP(D72,'DB technologies'!$N$40:$Y$51,9,FALSE)/100)))</f>
        <v/>
      </c>
      <c r="I72" s="445" t="str">
        <f>IF(D72="","",((VLOOKUP(D72,'DB technologies'!$N$40:$Y$51,2,FALSE)*VLOOKUP($C$68,'DB animal categories'!$C$32:$AC$41,27,FALSE)*E72/1000)/VLOOKUP($C$68,'DB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'!$S$6/100*(1-VLOOKUP(D72,'DB technologies'!$N$40:$Y$51,9,FALSE)/100)))</f>
        <v/>
      </c>
      <c r="J72" s="446" t="str">
        <f>IF(D72="","",((VLOOKUP(D72,'DB technologies'!$N$40:$Y$51,3,FALSE)*VLOOKUP($C$68,'DB animal categories'!$C$32:$AC$41,27,FALSE)*E72/1000)/VLOOKUP($C$68,'DB animal categories'!$C$32:$AC$41,27,FALSE)*(VLOOKUP($C$68,'DB animal categories'!$C$32:$AC$41,27,FALSE)-(VLOOKUP($C$68,'DB animal categories'!$C$32:$AC$41,25,FALSE)*VLOOKUP($C$68,'DB animal categories'!$C$32:$AC$41,26,FALSE)/24))*'DB additional information '!$S$7/100*(1-VLOOKUP(D72,'DB technologies'!$N$40:$Y$51,9,FALSE)/100)))</f>
        <v/>
      </c>
      <c r="K72" s="446" t="str">
        <f>IF(D72="","",((VLOOKUP(D72,'DB technologies'!$N$40:$Y$51,4,FALSE)*E72*'DB additional information '!$S$8/100*(1-VLOOKUP(D72,'DB technologies'!$N$40:$Y$51,9,FALSE)/100))/VLOOKUP($C$68,'DB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L72" s="445" t="str">
        <f>IF('Calc (ex-animal)'!$F$8=1,"",IF(D72="","",(((VLOOKUP($C$68,'Calc (ex-animal)'!$D$18:$Y$22,6,FALSE)-VLOOKUP($C$68,'Calc (ex-animal)'!$D$18:$Y$22,17,FALSE))*F72/100))*(1-VLOOKUP($C$68,'Calc (ex-animal)'!$D$18:$Y$22,7,FALSE)/100)*(1-VLOOKUP(D72,'DB technologies'!$N$40:$V$51,8,FALSE)/100)))</f>
        <v/>
      </c>
      <c r="M72" s="446" t="str">
        <f>IF(D72="","",((VLOOKUP(D72,'DB technologies'!$N$40:$Y$51,2,FALSE)*VLOOKUP($C$68,'DB animal categories'!$C$32:$AC$41,27,FALSE)*E72/1000)/VLOOKUP($C$68,'DB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'!$S$6/100)*(1-VLOOKUP(D72,'DB technologies'!$N$40:$Y$51,9,FALSE)/100))</f>
        <v/>
      </c>
      <c r="N72" s="446" t="str">
        <f>IF(D72="","",((VLOOKUP(D72,'DB technologies'!$N$40:$Y$51,3,FALSE)*VLOOKUP($C$68,'DB animal categories'!$C$32:$AC$41,27,FALSE)*E72/1000)/VLOOKUP($C$68,'DB animal categories'!$C$32:$AC$41,27,FALSE)*(VLOOKUP($C$68,'DB animal categories'!$C$32:$AC$41,27,FALSE)-VLOOKUP($C$68,'DB animal categories'!$C$32:$AC$41,25,FALSE)*VLOOKUP($C$68,'DB animal categories'!$C$32:$AC$41,26,FALSE)/24))*(1-'DB additional information '!$S$7/100)*(1-VLOOKUP(D72,'DB technologies'!$N$40:$Y$51,9,FALSE)/100))</f>
        <v/>
      </c>
      <c r="O72" s="445" t="str">
        <f>IF(D72="","",((VLOOKUP(D72,'DB technologies'!$N$40:$Y$51,4,FALSE)*E72*(1-'DB additional information '!$S$8/100)*(1-VLOOKUP(D72,'DB technologies'!$N$40:$Y$51,8,FALSE)/100))/VLOOKUP($C$68,'DB animal categories'!$C$32:$AC$41,27,FALSE)*(VLOOKUP($C$68,'DB animal categories'!$C$32:$AC$41,27,FALSE)-VLOOKUP($C$68,'DB animal categories'!$C$32:$AC$41,25,FALSE)*VLOOKUP($C$68,'DB animal categories'!$C$32:$AC$41,26,FALSE)/24)))</f>
        <v/>
      </c>
      <c r="P72" s="444" t="str">
        <f>IF(G72=0,0,IF(E72="","",IF(F72="","",IF($C$68=0,"",IF(D72="","",SUM(H72:K72)/G72*100)))))</f>
        <v/>
      </c>
      <c r="Q72" s="476" t="str">
        <f>IF(D72="","",(VLOOKUP(D72,'DB technologies'!$N$40:$Y$51,2,FALSE)*'DB additional information '!$S$6/100*'DB additional information '!$T$6*VLOOKUP($C$68,'DB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R72" s="476" t="str">
        <f>IF(D72="","",(VLOOKUP(D72,'DB technologies'!$N$40:$Y$51,3,FALSE)*'DB additional information '!$S$7/100*'DB additional information '!$T$7*VLOOKUP($C$68,'DB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S72" s="494" t="str">
        <f>IF(D72="","",(VLOOKUP(D72,'DB technologies'!$N$40:$Y$51,4,FALSE)*('DB additional information '!$S$8/100*'DB additional information '!$T$8*E72/1000/1000)))</f>
        <v/>
      </c>
      <c r="T72" s="266" t="str">
        <f>IF($C$68=0,"",IF('Calc (ex-animal)'!$F$9=1,"",IF(D72="","",((VLOOKUP($C$68,'Calc (ex-animal)'!$D$18:$Y$22,10,FALSE)-VLOOKUP($C$68,'Calc (ex-animal)'!$D$18:$Y$22,18,FALSE))*F72/100+Q72+R72+S72)-AC72-AD72-AE72)))</f>
        <v/>
      </c>
      <c r="U72" s="477" t="str">
        <f>IF(D72="","",(VLOOKUP(D72,'DB technologies'!$N$40:$Y$51,2,FALSE)*'DB additional information '!$S$6/100*'DB additional information '!$U$6*VLOOKUP($C$68,'DB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V72" s="433" t="str">
        <f>IF(D72="","",(VLOOKUP(D72,'DB technologies'!$N$40:$Y$51,3,FALSE)*'DB additional information '!$S$7/100*'DB additional information '!$U$7*VLOOKUP($C$68,'DB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W72" s="475" t="str">
        <f>IF(D72="","",(VLOOKUP(D72,'DB technologies'!$N$40:$Y$51,4,FALSE)*('DB additional information '!$S$8/100*'DB additional information '!$U$8*E72/1000/1000)))</f>
        <v/>
      </c>
      <c r="X72" s="267" t="str">
        <f>IF($C$68=0,"",IF('Calc (ex-animal)'!$F$9=1,"",IF(D72="","",((VLOOKUP($C$68,'Calc (ex-animal)'!$D$18:$Y$22,13,FALSE)-VLOOKUP($C$68,'Calc (ex-animal)'!$D$18:$Y$22,19,FALSE))*F72/100+U72+V72+W72))))</f>
        <v/>
      </c>
      <c r="Y72" s="433" t="str">
        <f>IF(D72="","",(VLOOKUP(D72,'DB technologies'!$N$40:$Y$51,2,FALSE)*'DB additional information '!$S$6/100*'DB additional information '!$V$6*VLOOKUP($C$68,'DB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Z72" s="433" t="str">
        <f>IF(D72="","",(VLOOKUP(D72,'DB technologies'!$N$40:$Y$51,3,FALSE)*'DB additional information '!$S$7/100*'DB additional information '!$V$7*VLOOKUP($C$68,'DB animal categories'!$C$32:$AC$41,27,FALSE)*E72/1000/1000)/VLOOKUP($C$68,'DB animal categories'!$C$32:$AC$41,27,FALSE)*(VLOOKUP($C$68,'DB animal categories'!$C$32:$AC$41,27,FALSE)-VLOOKUP($C$68,'DB animal categories'!$C$32:$AC$41,25,FALSE)*VLOOKUP($C$68,'DB animal categories'!$C$32:$AC$41,26,FALSE)/24))</f>
        <v/>
      </c>
      <c r="AA72" s="433" t="str">
        <f>IF(D72="","",(VLOOKUP(D72,'DB technologies'!$N$40:$Y$51,4,FALSE)*('DB additional information '!$S$8/100*'DB additional information '!$V$8*E72/1000/1000)))</f>
        <v/>
      </c>
      <c r="AB72" s="267" t="str">
        <f>IF($C$68=0,"",IF('Calc (ex-animal)'!$F$8=1,"",IF(D72="","",((VLOOKUP($C$68,'Calc (ex-animal)'!$D$18:$Y$22,16,FALSE)-VLOOKUP($C$68,'Calc (ex-animal)'!$D$18:$Y$22,20,FALSE))*F72/100+Y72+Z72+AA72))))</f>
        <v/>
      </c>
      <c r="AC72" s="267" t="str">
        <f>IF($C$68=0,"",IF('Calc (ex-animal)'!$F$8=1,"",IF(D72="","",VLOOKUP($C$68,'Calc (ex-animal)'!$D$18:$Y$22,9,FALSE)/VLOOKUP($C$68,'DB animal categories'!$C$32:$AC$41,27,FALSE)*(VLOOKUP($C$68,'DB animal categories'!$C$32:$AC$41,27,FALSE)-VLOOKUP($C$68,'DB animal categories'!$C$32:$AC$41,25,FALSE)*VLOOKUP($C$68,'DB animal categories'!$C$32:$AC$41,26,FALSE)/24)*F72/100*VLOOKUP(D72,'DB technologies'!$N$40:$R$51,5,FALSE)/100)))</f>
        <v/>
      </c>
      <c r="AD72" s="267" t="str">
        <f>IF($C$68=0,"",IF('Calc (ex-animal)'!$F$8=1,"",IF(D72="","",VLOOKUP($C$68,'Calc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categories'!$C$32:$AC$41,26,FALSE)/24)*F72/100*VLOOKUP(D72,'DB technologies'!$N$40:$Y$51,6,FALSE)/100)))</f>
        <v/>
      </c>
      <c r="AE72" s="268" t="str">
        <f>IF($C$68=0,"",IF('Calc (ex-animal)'!$F$8=1,"",IF(D72="","",VLOOKUP($C$68,'Calc (ex-animal)'!$D$18:$Y$22,10,FALSE)/VLOOKUP($C$68,'DB animal categories'!$C$32:$AC$41,27,FALSE)*(VLOOKUP($C$68,'DB animal categories'!$C$32:$AC$41,27,FALSE)-VLOOKUP($C$68,'DB animal categories'!$C$32:$AC$41,25,FALSE)*VLOOKUP($C$68,'DB animal categories'!$C$32:$AC$41,26,FALSE)/24)*F72/100*VLOOKUP(D72,'DB technologies'!$N$40:$Y$51,7,FALSE)/100)))</f>
        <v/>
      </c>
      <c r="AG72" s="698"/>
      <c r="AH72" s="695"/>
      <c r="AI72" s="183" t="str">
        <f>IF(D72="","",VLOOKUP(D72,'DB technologies'!$N$40:$Y$51,10,FALSE))</f>
        <v/>
      </c>
      <c r="AJ72" s="451" t="e">
        <f>VLOOKUP($C$68,'DB animal categories'!$C$32:$AN$41,27,FALSE)-VLOOKUP($C$68,'DB animal categories'!$C$32:$AN$41,26,FALSE)*VLOOKUP($C$68,'DB animal categories'!$C$32:$AN$41,25,FALSE)/24</f>
        <v>#N/A</v>
      </c>
      <c r="AK72" s="452" t="str">
        <f>IF(AI72="","",AL72+AM72)</f>
        <v/>
      </c>
      <c r="AL72" s="452" t="str">
        <f>IF(D72="","",IF(AI72=2,(('Calc (ex-animal)'!$G$18*'DB additional information '!$K$7/100*(1-VLOOKUP(D72,'DB technologies'!$N$40:$Y$51,9,FALSE)/100)*'Calc (ex-housing, ex-storage)'!F72/100+'Calc (ex-animal)'!$H$18*'DB additional information '!$L$7/100*(1-VLOOKUP(D72,'DB technologies'!$N$40:$Y$51,9,FALSE)/100)*'Calc (ex-housing, ex-storage)'!F72/100))/VLOOKUP($C$68,'DB animal categories'!$C$32:$AC$41,27,FALSE)*AJ72+I72+J72+K72,IF(AI72=1,('Calc (ex-animal)'!$H$18*'DB additional information '!$L$7/100*(1-VLOOKUP(D72,'DB technologies'!$N$40:$Y$51,9,FALSE)/100)*'Calc (ex-housing, ex-storage)'!F72/100)/VLOOKUP($C$68,'DB animal categories'!$C$32:$AC$41,27,FALSE)*AJ72,IF(AI72=4,('Calc (ex-animal)'!$G$18*'DB additional information '!$K$7/100+'Calc (ex-animal)'!$H$18*'DB additional information '!$L$7/100)*(1-VLOOKUP(D72,'DB technologies'!$N$40:$Y$51,9,FALSE)/100)*'Calc (ex-housing, ex-storage)'!F72/100*VLOOKUP(D72,'DB technologies'!$N$40:$Y$51,11,FALSE)/100/VLOOKUP($C$68,'DB animal categories'!$C$32:$AC$41,27,FALSE)*AJ72,0))))</f>
        <v/>
      </c>
      <c r="AM72" s="452" t="str">
        <f>IF(D72="","",IF(AI72=2,(('Calc (ex-animal)'!$G$18*(1-'DB additional information '!$K$7/100)*(1-VLOOKUP(D72,'DB technologies'!$N$40:$Y$51,8,FALSE)/100)*'Calc (ex-housing, ex-storage)'!F72/100+'Calc (ex-animal)'!$H$18*(1-'DB additional information '!$L$7/100)*(1-VLOOKUP(D72,'DB technologies'!$N$40:$Y$51,8,FALSE)/100)*'Calc (ex-housing, ex-storage)'!F72/100))/VLOOKUP($C$68,'DB animal categories'!$C$32:$AC$41,27,FALSE)*AJ72+M72+N72+O72,IF(AI72=1,('Calc (ex-animal)'!$H$18*(1-'DB additional information '!$L$7/100)*(1-VLOOKUP(D72,'DB technologies'!$N$40:$Y$51,8,FALSE)/100)*'Calc (ex-housing, ex-storage)'!F72/100)/VLOOKUP($C$68,'DB animal categories'!$C$32:$AC$41,27,FALSE)*AJ72,IF(AI72=4,('Calc (ex-animal)'!$G$18*(1-'DB additional information '!$K$7/100)+'Calc (ex-animal)'!$H$18*(1-'DB additional information '!$L$7/100))*(1-VLOOKUP(D72,'DB technologies'!$N$40:$Y$51,8,FALSE)/100)*'Calc (ex-housing, ex-storage)'!F72/100*VLOOKUP(D72,'DB technologies'!$N$40:$Y$51,11,FALSE)/100/VLOOKUP($C$68,'DB animal categories'!$C$32:$AC$41,27,FALSE)*AJ72,0))))</f>
        <v/>
      </c>
      <c r="AN72" s="452" t="str">
        <f>IF(AI72="","",IF(AL72=0,0,AL72/AK72*100))</f>
        <v/>
      </c>
      <c r="AO72" s="184" t="str">
        <f>IF(D72="","",IF(AI72=2,(('Calc (ex-animal)'!$L$18*'Calc (ex-housing, ex-storage)'!F72/100+'Calc (ex-animal)'!$K$18*'Calc (ex-housing, ex-storage)'!F72/100))/VLOOKUP($C$68,'DB animal categories'!$C$32:$AC$41,27,FALSE)*AJ72+Q72+R72+S72-AC72,IF(AI72=1,('Calc (ex-animal)'!$L$18*'Calc (ex-housing, ex-storage)'!F72/100)/VLOOKUP($C$68,'DB animal categories'!$C$32:$AC$41,27,FALSE)*AJ72-'Calc (ex-housing, ex-storage)'!AC72,IF(AI72=4,('Calc (ex-animal)'!$L$18+'Calc (ex-animal)'!$K$18)*'Calc (ex-housing, ex-storage)'!F72/100*VLOOKUP(D72,'DB technologies'!$N$40:$Y$51,11,FALSE)/100/VLOOKUP($C$68,'DB animal categories'!$C$32:$AC$41,27,FALSE)*AJ72-AC72*VLOOKUP(D72,'DB technologies'!$N$40:$Y$51,11,FALSE)/100,0))))</f>
        <v/>
      </c>
      <c r="AP72" s="184" t="str">
        <f>IF(D72="","",IF(AO72&lt;-0.01,0,IF(AI72=2,(('Calc (ex-animal)'!$L$18*'Calc (ex-housing, ex-storage)'!F72/100+'Calc (ex-animal)'!$K$18*'Calc (ex-housing, ex-storage)'!F72/100))/VLOOKUP($C$68,'DB animal categories'!$C$32:$AC$41,27,FALSE)*AJ72+Q72+R72+S72-AC72,IF(AI72=1,('Calc (ex-animal)'!$L$18*'Calc (ex-housing, ex-storage)'!F72/100)/VLOOKUP($C$68,'DB animal categories'!$C$32:$AC$41,27,FALSE)*AJ72-'Calc (ex-housing, ex-storage)'!AC72,IF(AI72=4,('Calc (ex-animal)'!$L$18+'Calc (ex-animal)'!$K$18)*'Calc (ex-housing, ex-storage)'!F72/100*VLOOKUP(D72,'DB technologies'!$N$40:$Y$51,11,FALSE)/100/VLOOKUP($C$68,'DB animal categories'!$C$32:$AC$41,27,FALSE)*AJ72-AC72*VLOOKUP(D72,'DB technologies'!$N$40:$Y$51,11,FALSE)/100,0)))))</f>
        <v/>
      </c>
      <c r="AQ72" s="184" t="str">
        <f>IF(D72="","",IF(AI72=2,('Calc (ex-animal)'!$O$18*'Calc (ex-housing, ex-storage)'!F72/100+'Calc (ex-animal)'!$N$18*'Calc (ex-housing, ex-storage)'!F72/100)/VLOOKUP($C$68,'DB animal categories'!$C$32:$AC$41,27,FALSE)*AJ72+U72+V72+W72,IF(AI72=1,'Calc (ex-animal)'!$O$18*'Calc (ex-housing, ex-storage)'!F72/100/VLOOKUP($C$68,'DB animal categories'!$C$32:$AC$41,27,FALSE)*AJ72,IF(AI72=4,('Calc (ex-animal)'!$O$18+'Calc (ex-animal)'!$N$18)*'Calc (ex-housing, ex-storage)'!F72/100*VLOOKUP(D72,'DB technologies'!$N$40:$Y$51,11,FALSE)/100/VLOOKUP($C$68,'DB animal categories'!$C$32:$AC$41,27,FALSE)*AJ72,0))))</f>
        <v/>
      </c>
      <c r="AR72" s="184" t="str">
        <f>IF(D72="","",IF(AI72=2,('Calc (ex-animal)'!$R$18*'Calc (ex-housing, ex-storage)'!F72/100+'Calc (ex-animal)'!$Q$18*'Calc (ex-housing, ex-storage)'!F72/100)/VLOOKUP($C$68,'DB animal categories'!$C$32:$AC$41,27,FALSE)*AJ72+Y72+Z72+AA72,IF(AI72=1,'Calc (ex-animal)'!$R$18*'Calc (ex-housing, ex-storage)'!F72/100/VLOOKUP($C$68,'DB animal categories'!$C$32:$AC$41,27,FALSE)*AJ72,IF(AI72=4,('Calc (ex-animal)'!$R$18+'Calc (ex-animal)'!$Q$18)*'Calc (ex-housing, ex-storage)'!F72/100*VLOOKUP(D72,'DB technologies'!$N$40:$Y$51,11,FALSE)/100/VLOOKUP($C$68,'DB animal categories'!$C$32:$AC$41,27,FALSE)*AJ72,0))))</f>
        <v/>
      </c>
      <c r="AS72" s="183" t="str">
        <f>IF(D72="","",VLOOKUP(D72,'DB technologies'!$N$40:$Y$51,10,FALSE))</f>
        <v/>
      </c>
      <c r="AT72" s="452" t="str">
        <f>IF(AS72="","",AU72+AV72)</f>
        <v/>
      </c>
      <c r="AU72" s="452" t="str">
        <f>IF(D72="","",IF(AS72=2,0,IF(AS72=1,'Calc (ex-animal)'!$G$18*'DB additional information '!$K$7/100*(1-VLOOKUP(D72,'DB technologies'!$N$40:$Y$51,8,FALSE)/100)*'Calc (ex-housing, ex-storage)'!F72/100/VLOOKUP($C$68,'DB animal categories'!$C$32:$AC$41,27,FALSE)*AJ72+I72+J72+K72,IF(AS72=5,(('Calc (ex-animal)'!$G$18*'DB additional information '!$K$7/100+'Calc (ex-animal)'!$H$18*'DB additional information '!$L$7/100))*(1-VLOOKUP(D72,'DB technologies'!$N$40:$Y$51,9,FALSE)/100)*'Calc (ex-housing, ex-storage)'!F72/100/VLOOKUP($C$68,'DB animal categories'!$C$32:$AC$41,27,FALSE)*AJ72+I72+J72+K72,IF(AS72=3,('Calc (ex-animal)'!$G$18*'DB additional information '!$K$7/100+'Calc (ex-animal)'!$H$18*'DB additional information '!$L$7/100)*(1-VLOOKUP(D72,'DB technologies'!$N$40:$Y$51,9,FALSE)/100)*'Calc (ex-housing, ex-storage)'!F72/100/VLOOKUP($C$68,'DB animal categories'!$C$32:$AC$41,27,FALSE)*AJ72+I72+J72+K72,IF(AS72=4,('Calc (ex-animal)'!$G$18*'DB additional information '!$K$7/100+'Calc (ex-animal)'!$H$18*'DB additional information '!$L$7/100)*(1-VLOOKUP(D72,'DB technologies'!$N$40:$Y$51,9,FALSE)/100)*'Calc (ex-housing, ex-storage)'!F72/100*VLOOKUP(D72,'DB technologies'!$N$40:$Y$51,12,FALSE)/100/VLOOKUP($C$68,'DB animal categories'!$C$32:$AC$41,27,FALSE)*AJ72+I72+J72+K72,0))))))</f>
        <v/>
      </c>
      <c r="AV72" s="452" t="str">
        <f>IF(D72="","",IF(AS72=2,0,IF(AS72=1,'Calc (ex-animal)'!$G$18*(1-'DB additional information '!$K$7/100)*(1-VLOOKUP(D72,'DB technologies'!$N$40:$Y$51,8,FALSE)/100)*'Calc (ex-housing, ex-storage)'!F72/100/VLOOKUP($C$68,'DB animal categories'!$C$32:$AC$41,27,FALSE)*AJ72+M72+N72+O72,IF(AS72=5,('Calc (ex-animal)'!$G$18*(1-'DB additional information '!$K$7/100)+'Calc (ex-animal)'!$H$18*(1-'DB additional information '!$L$7/100))*(1-VLOOKUP(D72,'DB technologies'!$N$40:$Y$51,8,FALSE)/100)*'Calc (ex-housing, ex-storage)'!F72/100/VLOOKUP($C$68,'DB animal categories'!$C$32:$AC$41,27,FALSE)*AJ72+M72+N72+O72,IF(AS72=3,('Calc (ex-animal)'!$G$18*(1-'DB additional information '!$K$7/100)+'Calc (ex-animal)'!$H$18*(1-'DB additional information '!$L$7/100))*(1-VLOOKUP(D72,'DB technologies'!$N$40:$Y$51,8,FALSE)/100)*'Calc (ex-housing, ex-storage)'!F72/100/VLOOKUP($C$68,'DB animal categories'!$C$32:$AC$41,27,FALSE)*AJ72+M72+N72+O72,IF(AS72=4,('Calc (ex-animal)'!$G$18*(1-'DB additional information '!$K$7/100)+'Calc (ex-animal)'!$H$18*(1-'DB additional information '!$L$7/100))*(1-VLOOKUP(D72,'DB technologies'!$N$40:$Y$51,8,FALSE)/100)*'Calc (ex-housing, ex-storage)'!F72/100*VLOOKUP(D72,'DB technologies'!$N$40:$Y$51,12,FALSE)/100/VLOOKUP($C$68,'DB animal categories'!$C$32:$AC$41,27,FALSE)*AJ72+M72+N72+O72,0))))))</f>
        <v/>
      </c>
      <c r="AW72" s="452" t="str">
        <f>IF(AS72="","",IF(AU72=0,0,AU72/AT72*100))</f>
        <v/>
      </c>
      <c r="AX72" s="184" t="str">
        <f>IF(D72="","",IF(AS72=2,0,IF(AS72=1,'Calc (ex-animal)'!$K$18*'Calc (ex-housing, ex-storage)'!F72/100/VLOOKUP($C$68,'DB animal categories'!$C$32:$AC$41,27,FALSE)*AJ72+Q72+R72+S72,IF(AS72=5,('Calc (ex-animal)'!$K$18+'Calc (ex-animal)'!$L$18)*'Calc (ex-housing, ex-storage)'!F72/100/VLOOKUP($C$68,'DB animal categories'!$C$32:$AC$41,27,FALSE)*AJ72+Q72+R72+S72-'Calc (ex-housing, ex-storage)'!AC72,IF(AS72=3,('Calc (ex-animal)'!$K$18+'Calc (ex-animal)'!$L$18)*'Calc (ex-housing, ex-storage)'!F72/100/VLOOKUP($C$68,'DB animal categories'!$C$32:$AC$41,27,FALSE)*AJ72+Q72+R72+S72-'Calc (ex-housing, ex-storage)'!AC72-AD72-AE72,IF(AI72=4,('Calc (ex-animal)'!$K$18+'Calc (ex-animal)'!$L$18)*'Calc (ex-housing, ex-storage)'!F72/100*VLOOKUP(D72,'DB technologies'!$N$40:$Y$51,12,FALSE)/100/VLOOKUP($C$68,'DB animal categories'!$C$32:$AC$41,27,FALSE)*AJ72+Q72+R72+S72-(VLOOKUP(D72,'DB technologies'!$N$40:$Y$51,12,FALSE)/100*AC72)-AD72-AE72,0))))))</f>
        <v/>
      </c>
      <c r="AY72" s="184" t="str">
        <f>IF(D72="","",IF(AS72=2,0,IF(AS72=1,'Calc (ex-animal)'!$N$18*'Calc (ex-housing, ex-storage)'!F72/100/VLOOKUP($C$68,'DB animal categories'!$C$32:$AC$41,27,FALSE)*AJ72+U72+V72+W72,IF(AS72=5,('Calc (ex-animal)'!$N$18+'Calc (ex-animal)'!$O$18)*'Calc (ex-housing, ex-storage)'!F72/100/VLOOKUP($C$68,'DB animal categories'!$C$32:$AC$41,27,FALSE)*AJ72+U72+V72+W72,IF(AS72=3,('Calc (ex-animal)'!$N$18+'Calc (ex-animal)'!$O$18)*'Calc (ex-housing, ex-storage)'!F72/100/VLOOKUP($C$68,'DB animal categories'!$C$32:$AC$41,27,FALSE)*AJ72+U72+V72+W72,IF(AS72=4,('Calc (ex-animal)'!$N$18+'Calc (ex-animal)'!$O$18)*'Calc (ex-housing, ex-storage)'!F72/100*VLOOKUP(D72,'DB technologies'!$N$40:$Y$51,12,FALSE)/100/VLOOKUP($C$68,'DB animal categories'!$C$32:$AC$41,27,FALSE)*AJ72+U72+V72+W72,0))))))</f>
        <v/>
      </c>
      <c r="AZ72" s="184" t="str">
        <f>IF(D72="","",IF(AS72=2,0,IF(AS72=1,'Calc (ex-animal)'!$Q$18*'Calc (ex-housing, ex-storage)'!F72/100/VLOOKUP($C$68,'DB animal categories'!$C$32:$AC$41,27,FALSE)*AJ72+Y72+Z72+AA72,IF(AS72=5,('Calc (ex-animal)'!$Q$18+'Calc (ex-animal)'!$R$18)*'Calc (ex-housing, ex-storage)'!F72/100/VLOOKUP($C$68,'DB animal categories'!$C$32:$AC$41,27,FALSE)*AJ72+Y72+Z72+AA72,IF(AS72=3,('Calc (ex-animal)'!$Q$18+'Calc (ex-animal)'!$R$18)*'Calc (ex-housing, ex-storage)'!F72/100/VLOOKUP($C$68,'DB animal categories'!$C$32:$AC$41,27,FALSE)*AJ72+Y72+Z72+AA72,IF(AS72=4,('Calc (ex-animal)'!$Q$18+'Calc (ex-animal)'!$R$18)*'Calc (ex-housing, ex-storage)'!F72/100*VLOOKUP(D72,'DB technologies'!$N$40:$Y$51,12,FALSE)/100/VLOOKUP($C$68,'DB animal categories'!$C$32:$AC$41,27,FALSE)*AJ72+Y72+Z72+AA72,0))))))</f>
        <v/>
      </c>
      <c r="BA72" s="506"/>
      <c r="BB72" s="506"/>
      <c r="BC72" s="506"/>
      <c r="BG72" s="1357"/>
      <c r="BH72" s="1361"/>
      <c r="BI72" s="598" t="str">
        <f>IF(BG72="","",$BA$71*BH72/100-($BB$71*BH72/100*VLOOKUP(BG72,'DB technologies'!$AC$16:$AT$20,5,FALSE)/100)+(VLOOKUP(BG72,'DB technologies'!$AC$16:$AT$20,12,FALSE)*$BA$71*BH72/100))</f>
        <v/>
      </c>
      <c r="BJ72" s="551">
        <f>IF(BI72="",0,BI72*BK72/100)</f>
        <v>0</v>
      </c>
      <c r="BK72" s="561" t="str">
        <f>IF(BG72="","",IF($BA$71=0,0,($BB$71*BH72/100)/BI72*(1-(VLOOKUP(BG72,'DB technologies'!$AC$16:$AQ$20,5,FALSE))/100)*100))</f>
        <v/>
      </c>
      <c r="BL72" s="261" t="str">
        <f>IF(BG72="","",$BD$71*BH72/100-BO72-BP72-BQ72-BR72)</f>
        <v/>
      </c>
      <c r="BM72" s="261" t="str">
        <f>IF(BG72="","",$BE$71*BH72/100-BS72)</f>
        <v/>
      </c>
      <c r="BN72" s="261" t="str">
        <f>IF(BG72="","",$BF$71*BH72/100-BT72)</f>
        <v/>
      </c>
      <c r="BO72" s="261" t="str">
        <f>IF(BG72="","",$BD$71*BH72/100*VLOOKUP(BG72,'DB technologies'!$AC$16:$AF$20,2,FALSE)/100)</f>
        <v/>
      </c>
      <c r="BP72" s="261" t="str">
        <f>IF(BG72="","",$BD$71*BH72/100*VLOOKUP(BG72,'DB technologies'!$AC$16:$AN$20,3,FALSE)/100)</f>
        <v/>
      </c>
      <c r="BQ72" s="262" t="str">
        <f>IF(BG72="","",$BD$71*BH72/100*VLOOKUP(BG72,'DB technologies'!$AC$16:$AN$20,4,FALSE)/100)</f>
        <v/>
      </c>
      <c r="BR72" s="264" t="str">
        <f>IF(BG72="","",VLOOKUP(BG72,'DB technologies'!$AC$16:$AQ$20,13,FALSE)/100*$BD$71*BH72/100)</f>
        <v/>
      </c>
      <c r="BS72" s="261" t="str">
        <f>IF(BG72="","",VLOOKUP(BG72,'DB technologies'!$AC$16:$AQ$20,14,FALSE)/100*$BE$71*BH72/100)</f>
        <v/>
      </c>
      <c r="BT72" s="262" t="str">
        <f>IF(BG72="","",VLOOKUP(BG72,'DB technologies'!$AC$16:$AQ$20,15,FALSE)/100*$BF$71*BH72/100)</f>
        <v/>
      </c>
    </row>
    <row r="73" spans="1:72" ht="12" customHeight="1" thickBot="1" x14ac:dyDescent="0.25">
      <c r="A73" s="684"/>
      <c r="B73" s="695"/>
      <c r="C73" s="256"/>
      <c r="D73" s="269" t="s">
        <v>58</v>
      </c>
      <c r="E73" s="270">
        <f>IF(F73&lt;=100,SUM(E68:E72),"ERROR")</f>
        <v>0</v>
      </c>
      <c r="F73" s="284">
        <f>IF(SUM(F68:F72) &lt;=100,SUM(F68:F72),"ERROR, SUM&gt;100%")</f>
        <v>0</v>
      </c>
      <c r="G73" s="492">
        <f>IF('Calc (ex-animal)'!$F$9=1,"",SUM(G68:G72))</f>
        <v>0</v>
      </c>
      <c r="H73" s="433">
        <f>IF('Calc (ex-animal)'!$F$8=1,"",SUM(H68:H72))</f>
        <v>0</v>
      </c>
      <c r="I73" s="433">
        <f>IF('Calc (ex-animal)'!$F$8=1,"",SUM(I68:I72))</f>
        <v>0</v>
      </c>
      <c r="J73" s="433">
        <f>IF('Calc (ex-animal)'!$F$8=1,"",SUM(J68:J72))</f>
        <v>0</v>
      </c>
      <c r="K73" s="433">
        <f>IF('Calc (ex-animal)'!$F$8=1,"",SUM(K68:K72))</f>
        <v>0</v>
      </c>
      <c r="L73" s="433">
        <f>IF('Calc (ex-animal)'!$F$8=1,"",SUM(L68:L72))</f>
        <v>0</v>
      </c>
      <c r="M73" s="470"/>
      <c r="N73" s="470"/>
      <c r="O73" s="470"/>
      <c r="P73" s="478">
        <f>IF(G73=0,0,IF('Calc (ex-animal)'!$F$9=1,"",IF(D73="","",SUM(H73:K73)/G73*100)))</f>
        <v>0</v>
      </c>
      <c r="Q73" s="271"/>
      <c r="R73" s="271"/>
      <c r="S73" s="271"/>
      <c r="T73" s="278">
        <f>IF('Calc (ex-animal)'!$F$18=1,"",SUM(T68:T72))</f>
        <v>0</v>
      </c>
      <c r="U73" s="279"/>
      <c r="V73" s="279"/>
      <c r="W73" s="279"/>
      <c r="X73" s="279">
        <f>IF('Calc (ex-animal)'!$F$18=1,"",SUM(X68:X72))</f>
        <v>0</v>
      </c>
      <c r="Y73" s="279"/>
      <c r="Z73" s="279"/>
      <c r="AA73" s="279"/>
      <c r="AB73" s="279">
        <f>IF('Calc (ex-animal)'!$F$18=1,"",SUM(AB68:AB72))</f>
        <v>0</v>
      </c>
      <c r="AC73" s="279">
        <f>IF('Calc (ex-animal)'!$F$18=1,"",SUM(AC68:AC72))</f>
        <v>0</v>
      </c>
      <c r="AD73" s="279">
        <f>IF('Calc (ex-animal)'!$F$18=1,"",SUM(AD68:AD72))</f>
        <v>0</v>
      </c>
      <c r="AE73" s="280">
        <f>IF('Calc (ex-animal)'!$F$18=1,"",SUM(AE68:AE72))</f>
        <v>0</v>
      </c>
      <c r="AG73" s="698"/>
      <c r="AH73" s="695"/>
      <c r="BG73" s="1357"/>
      <c r="BH73" s="1361"/>
      <c r="BI73" s="598" t="str">
        <f>IF(BG73="","",$BA$71*BH73/100-($BB$71*BH73/100*VLOOKUP(BG73,'DB technologies'!$AC$16:$AT$20,5,FALSE)/100)+(VLOOKUP(BG73,'DB technologies'!$AC$16:$AT$20,12,FALSE)*$BA$71*BH73/100))</f>
        <v/>
      </c>
      <c r="BJ73" s="551">
        <f>IF(BI73="",0,BI73*BK73/100)</f>
        <v>0</v>
      </c>
      <c r="BK73" s="561" t="str">
        <f>IF(BG73="","",IF($BA$71=0,0,($BB$71*BH73/100)/BI73*(1-(VLOOKUP(BG73,'DB technologies'!$AC$16:$AQ$20,5,FALSE))/100)*100))</f>
        <v/>
      </c>
      <c r="BL73" s="261" t="str">
        <f>IF(BG73="","",$BD$71*BH73/100-BO73-BP73-BQ73-BR73)</f>
        <v/>
      </c>
      <c r="BM73" s="261" t="str">
        <f>IF(BG73="","",$BE$71*BH73/100-BS73)</f>
        <v/>
      </c>
      <c r="BN73" s="261" t="str">
        <f>IF(BG73="","",$BF$71*BH73/100-BT73)</f>
        <v/>
      </c>
      <c r="BO73" s="261" t="str">
        <f>IF(BG73="","",$BD$71*BH73/100*VLOOKUP(BG73,'DB technologies'!$AC$16:$AF$20,2,FALSE)/100)</f>
        <v/>
      </c>
      <c r="BP73" s="261" t="str">
        <f>IF(BG73="","",$BD$71*BH73/100*VLOOKUP(BG73,'DB technologies'!$AC$16:$AN$20,3,FALSE)/100)</f>
        <v/>
      </c>
      <c r="BQ73" s="262" t="str">
        <f>IF(BG73="","",$BD$71*BH73/100*VLOOKUP(BG73,'DB technologies'!$AC$16:$AN$20,4,FALSE)/100)</f>
        <v/>
      </c>
      <c r="BR73" s="264" t="str">
        <f>IF(BG73="","",VLOOKUP(BG73,'DB technologies'!$AC$16:$AQ$20,13,FALSE)/100*$BD$71*BH73/100)</f>
        <v/>
      </c>
      <c r="BS73" s="261" t="str">
        <f>IF(BG73="","",VLOOKUP(BG73,'DB technologies'!$AC$16:$AQ$20,14,FALSE)/100*$BE$71*BH73/100)</f>
        <v/>
      </c>
      <c r="BT73" s="262" t="str">
        <f>IF(BG73="","",VLOOKUP(BG73,'DB technologies'!$AC$16:$AQ$20,15,FALSE)/100*$BF$71*BH73/100)</f>
        <v/>
      </c>
    </row>
    <row r="74" spans="1:72" ht="11.25" customHeight="1" x14ac:dyDescent="0.2">
      <c r="A74" s="684"/>
      <c r="B74" s="695"/>
      <c r="C74" s="250">
        <f>'Calc (ex-animal)'!D19</f>
        <v>0</v>
      </c>
      <c r="D74" s="1355"/>
      <c r="E74" s="1356"/>
      <c r="F74" s="479" t="str">
        <f>IF('Calc (ex-animal)'!$F$9=1,"",IF($C$74=0,"",IF(D74="","",E74/'Calc (ex-animal)'!$E$19*100)))</f>
        <v/>
      </c>
      <c r="G74" s="484" t="str">
        <f>IF($C$74=0,"",IF('Calc (ex-animal)'!$F$8=1,"",IF(D74="","",SUM(H74:O74))))</f>
        <v/>
      </c>
      <c r="H74" s="471" t="str">
        <f>IF('Calc (ex-animal)'!$F$8=1,"",IF(D74="","",(((VLOOKUP($C$74,'Calc (ex-animal)'!$D$18:$Y$22,6,FALSE)-VLOOKUP($C$74,'Calc (ex-animal)'!$D$18:$Y$22,17,FALSE))*F74/100))*VLOOKUP($C$74,'Calc (ex-animal)'!$D$18:$Y$22,7,FALSE)/100*(1-VLOOKUP(D74,'DB technologies'!$N$40:$Y$51,9,FALSE)/100)))</f>
        <v/>
      </c>
      <c r="I74" s="471" t="str">
        <f>IF(D74="","",((VLOOKUP(D74,'DB technologies'!$N$40:$Y$51,2,FALSE)*VLOOKUP($C$74,'DB animal categories'!$C$32:$AC$41,27,FALSE)*E74/1000)/VLOOKUP($C$74,'DB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'!$S$6/100*(1-VLOOKUP(D74,'DB technologies'!$N$40:$Y$51,9,FALSE)/100)))</f>
        <v/>
      </c>
      <c r="J74" s="472" t="str">
        <f>IF(D74="","",((VLOOKUP(D74,'DB technologies'!$N$40:$Y$51,3,FALSE)*VLOOKUP($C$74,'DB animal categories'!$C$32:$AC$41,27,FALSE)*E74/1000)/VLOOKUP($C$74,'DB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'!$S$7/100*(1-VLOOKUP(D74,'DB technologies'!$N$40:$Y$51,9,FALSE)/100)))</f>
        <v/>
      </c>
      <c r="K74" s="472" t="str">
        <f>IF(D74="","",((VLOOKUP(D74,'DB technologies'!$N$40:$Y$51,4,FALSE)*E74*'DB additional information '!$S$8/100*(1-VLOOKUP(D74,'DB technologies'!$N$40:$Y$51,9,FALSE)/100))/VLOOKUP($C$74,'DB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L74" s="471" t="str">
        <f>IF('Calc (ex-animal)'!$F$8=1,"",IF(D74="","",(((VLOOKUP($C$74,'Calc (ex-animal)'!$D$18:$Y$22,6,FALSE)-VLOOKUP($C$74,'Calc (ex-animal)'!$D$18:$Y$22,17,FALSE))*F74/100))*(1-VLOOKUP($C$74,'Calc (ex-animal)'!$D$18:$Y$22,7,FALSE)/100)*(1-VLOOKUP(D74,'DB technologies'!$N$40:$V$51,8,FALSE)/100)))</f>
        <v/>
      </c>
      <c r="M74" s="472" t="str">
        <f>IF(D74="","",((VLOOKUP(D74,'DB technologies'!$N$40:$Y$51,2,FALSE)*VLOOKUP($C$74,'DB animal categories'!$C$32:$AC$41,27,FALSE)*E74/1000)/VLOOKUP($C$74,'DB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'!$S$6/100)*(1-VLOOKUP(D74,'DB technologies'!$N$40:$Y$51,9,FALSE)/100))</f>
        <v/>
      </c>
      <c r="N74" s="472" t="str">
        <f>IF(D74="","",((VLOOKUP(D74,'DB technologies'!$N$40:$Y$51,3,FALSE)*VLOOKUP($C$74,'DB animal categories'!$C$32:$AC$41,27,FALSE)*E74/1000)/VLOOKUP($C$74,'DB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'!$S$7/100)*(1-VLOOKUP(D74,'DB technologies'!$N$40:$Y$51,9,FALSE)/100))</f>
        <v/>
      </c>
      <c r="O74" s="471" t="str">
        <f>IF(D74="","",((VLOOKUP(D74,'DB technologies'!$N$40:$Y$51,4,FALSE)*E74*(1-'DB additional information '!$S$8/100)*(1-VLOOKUP(D74,'DB technologies'!$N$40:$Y$51,8,FALSE)/100))/VLOOKUP($C$74,'DB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P74" s="443" t="str">
        <f>IF(G74=0,0,IF(E74="","",IF(F74="","",IF($C$74=0,"",IF(D74="","",SUM(H74:K74)/G74*100)))))</f>
        <v/>
      </c>
      <c r="Q74" s="473" t="str">
        <f>IF(D74="","",(VLOOKUP(D74,'DB technologies'!$N$40:$Y$51,2,FALSE)*'DB additional information '!$S$6/100*'DB additional information '!$T$6*VLOOKUP($C$74,'DB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R74" s="473" t="str">
        <f>IF(D74="","",(VLOOKUP(D74,'DB technologies'!$N$40:$Y$51,3,FALSE)*'DB additional information '!$S$7/100*'DB additional information '!$T$7*VLOOKUP($C$74,'DB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S74" s="490" t="str">
        <f>IF(D74="","",(VLOOKUP(D74,'DB technologies'!$N$40:$Y$51,4,FALSE)*('DB additional information '!$S$8/100*'DB additional information '!$T$8*E74/1000/1000)))</f>
        <v/>
      </c>
      <c r="T74" s="263" t="str">
        <f>IF($C$74=0,"",IF('Calc (ex-animal)'!$F$9=1,"",IF(D74="","",((VLOOKUP($C$74,'Calc (ex-animal)'!$D$18:$Y$22,10,FALSE)-VLOOKUP($C$74,'Calc (ex-animal)'!$D$18:$Y$22,18,FALSE))*F74/100+Q74+R74+S74)-AC74-AD74-AE74)))</f>
        <v/>
      </c>
      <c r="U74" s="474" t="str">
        <f>IF(D74="","",(VLOOKUP(D74,'DB technologies'!$N$40:$Y$51,2,FALSE)*'DB additional information '!$S$6/100*'DB additional information '!$U$6*VLOOKUP($C$74,'DB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V74" s="420" t="str">
        <f>IF(D74="","",(VLOOKUP(D74,'DB technologies'!$N$40:$Y$51,3,FALSE)*'DB additional information '!$S$7/100*'DB additional information '!$U$7*VLOOKUP($C$74,'DB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W74" s="415" t="str">
        <f>IF(D74="","",(VLOOKUP(D74,'DB technologies'!$N$40:$Y$51,4,FALSE)*('DB additional information '!$S$8/100*'DB additional information '!$U$8*E74/1000/1000)))</f>
        <v/>
      </c>
      <c r="X74" s="259" t="str">
        <f>IF($C$74=0,"",IF('Calc (ex-animal)'!$F$9=1,"",IF(D74="","",((VLOOKUP($C$74,'Calc (ex-animal)'!$D$18:$Y$22,13,FALSE)-VLOOKUP($C$74,'Calc (ex-animal)'!$D$18:$Y$22,19,FALSE))*F74/100+U74+V74+W74))))</f>
        <v/>
      </c>
      <c r="Y74" s="420" t="str">
        <f>IF(D74="","",(VLOOKUP(D74,'DB technologies'!$N$40:$Y$51,2,FALSE)*'DB additional information '!$S$6/100*'DB additional information '!$V$6*VLOOKUP($C$74,'DB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Z74" s="420" t="str">
        <f>IF(D74="","",(VLOOKUP(D74,'DB technologies'!$N$40:$Y$51,3,FALSE)*'DB additional information '!$S$7/100*'DB additional information '!$V$7*VLOOKUP($C$74,'DB animal categories'!$C$32:$AC$41,27,FALSE)*E74/1000/1000)/VLOOKUP($C$74,'DB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AA74" s="420" t="str">
        <f>IF(D74="","",(VLOOKUP(D74,'DB technologies'!$N$40:$Y$51,4,FALSE)*('DB additional information '!$S$8/100*'DB additional information '!$V$8*E74/1000/1000)))</f>
        <v/>
      </c>
      <c r="AB74" s="259" t="str">
        <f>IF($C$74=0,"",IF('Calc (ex-animal)'!$F$8=1,"",IF(D74="","",((VLOOKUP($C$74,'Calc (ex-animal)'!$D$18:$Y$22,16,FALSE)-VLOOKUP($C$74,'Calc (ex-animal)'!$D$18:$Y$22,20,FALSE))*F74/100+Y74+Z74+AA74))))</f>
        <v/>
      </c>
      <c r="AC74" s="259" t="str">
        <f>IF($C$74=0,"",IF('Calc (ex-animal)'!$F$8=1,"",IF(D74="","",VLOOKUP($C$74,'Calc (ex-animal)'!$D$18:$Y$22,9,FALSE)/VLOOKUP($C$74,'DB animal categories'!$C$32:$AC$41,27,FALSE)*(VLOOKUP($C$74,'DB animal categories'!$C$32:$AC$41,27,FALSE)-VLOOKUP($C$74,'DB animal categories'!$C$32:$AC$41,25,FALSE)*VLOOKUP($C$74,'DB animal categories'!$C$32:$AC$41,26,FALSE)/24)*F74/100*VLOOKUP(D74,'DB technologies'!$N$40:$R$51,5,FALSE)/100)))</f>
        <v/>
      </c>
      <c r="AD74" s="259" t="str">
        <f>IF($C$74=0,"",IF('Calc (ex-animal)'!$F$8=1,"",IF(D74="","",VLOOKUP($C$74,'Calc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categories'!$C$32:$AC$41,26,FALSE)/24)*F74/100*VLOOKUP(D74,'DB technologies'!$N$40:$Y$51,6,FALSE)/100)))</f>
        <v/>
      </c>
      <c r="AE74" s="260" t="str">
        <f>IF($C$74=0,"",IF('Calc (ex-animal)'!$F$8=1,"",IF(D74="","",VLOOKUP($C$74,'Calc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categories'!$C$32:$AC$41,26,FALSE)/24)*F74/100*VLOOKUP(D74,'DB technologies'!$N$40:$Y$51,7,FALSE)/100)))</f>
        <v/>
      </c>
      <c r="AG74" s="698"/>
      <c r="AH74" s="695"/>
      <c r="AI74" s="179" t="str">
        <f>IF(D74="","",VLOOKUP(D74,'DB technologies'!$N$40:$Y$51,10,FALSE))</f>
        <v/>
      </c>
      <c r="AJ74" s="482" t="e">
        <f>VLOOKUP($C$74,'DB animal categories'!$C$32:$AN$41,27,FALSE)-VLOOKUP($C$74,'DB animal categories'!$C$32:$AN$41,26,FALSE)*VLOOKUP($C$74,'DB animal categories'!$C$32:$AN$41,25,FALSE)/24</f>
        <v>#N/A</v>
      </c>
      <c r="AK74" s="453" t="str">
        <f>IF(AI74="","",AL74+AM74)</f>
        <v/>
      </c>
      <c r="AL74" s="453" t="str">
        <f>IF(D74="","",IF(AI74=2,(('Calc (ex-animal)'!$G$19*'DB additional information '!$K$7/100*(1-VLOOKUP(D74,'DB technologies'!$N$40:$Y$51,9,FALSE)/100)*'Calc (ex-housing, ex-storage)'!F74/100+'Calc (ex-animal)'!$H$19*'DB additional information '!$L$7/100*(1-VLOOKUP(D74,'DB technologies'!$N$40:$Y$51,9,FALSE)/100)*'Calc (ex-housing, ex-storage)'!F74/100))/VLOOKUP($C$74,'DB animal categories'!$C$32:$AC$41,27,FALSE)*AJ74+I74+J74+K74,IF(AI74=1,('Calc (ex-animal)'!$H$19*'DB additional information '!$L$7/100*(1-VLOOKUP(D74,'DB technologies'!$N$40:$Y$51,9,FALSE)/100)*'Calc (ex-housing, ex-storage)'!F74/100)/VLOOKUP($C$74,'DB animal categories'!$C$32:$AC$41,27,FALSE)*AJ74,IF(AI74=4,('Calc (ex-animal)'!$G$19*'DB additional information '!$K$7/100+'Calc (ex-animal)'!$H$19*'DB additional information '!$L$7/100)*(1-VLOOKUP(D74,'DB technologies'!$N$40:$Y$51,9,FALSE)/100)*'Calc (ex-housing, ex-storage)'!F74/100*VLOOKUP(D74,'DB technologies'!$N$40:$Y$51,11,FALSE)/100/VLOOKUP($C$74,'DB animal categories'!$C$32:$AC$41,27,FALSE)*AJ74,0))))</f>
        <v/>
      </c>
      <c r="AM74" s="453" t="str">
        <f>IF(D74="","",IF(AI74=2,(('Calc (ex-animal)'!$G$19*(1-'DB additional information '!$K$7/100)*(1-VLOOKUP(D74,'DB technologies'!$N$40:$Y$51,8,FALSE)/100)*'Calc (ex-housing, ex-storage)'!F74/100+'Calc (ex-animal)'!$H$19*(1-'DB additional information '!$L$7/100)*(1-VLOOKUP(D74,'DB technologies'!$N$40:$Y$51,8,FALSE)/100)*'Calc (ex-housing, ex-storage)'!F74/100))/VLOOKUP($C$74,'DB animal categories'!$C$32:$AC$41,27,FALSE)*AJ74+M74+N74+O74,IF(AI74=1,('Calc (ex-animal)'!$H$19*(1-'DB additional information '!$L$7/100)*(1-VLOOKUP(D74,'DB technologies'!$N$40:$Y$51,8,FALSE)/100)*'Calc (ex-housing, ex-storage)'!F74/100)/VLOOKUP($C$74,'DB animal categories'!$C$32:$AC$41,27,FALSE)*AJ74,IF(AI74=4,('Calc (ex-animal)'!$G$19*(1-'DB additional information '!$K$7/100)+'Calc (ex-animal)'!$H$19*(1-'DB additional information '!$L$7/100))*(1-VLOOKUP(D74,'DB technologies'!$N$40:$Y$51,8,FALSE)/100)*'Calc (ex-housing, ex-storage)'!F74/100*VLOOKUP(D74,'DB technologies'!$N$40:$Y$51,11,FALSE)/100/VLOOKUP($C$74,'DB animal categories'!$C$32:$AC$41,27,FALSE)*AJ74,0))))</f>
        <v/>
      </c>
      <c r="AN74" s="453" t="str">
        <f>IF(AI74="","",IF(AL74=0,0,AL74/AK74*100))</f>
        <v/>
      </c>
      <c r="AO74" s="180" t="str">
        <f>IF(D74="","",IF(AI74=2,(('Calc (ex-animal)'!$L$19*'Calc (ex-housing, ex-storage)'!F74/100+'Calc (ex-animal)'!$K$19*'Calc (ex-housing, ex-storage)'!F74/100))/VLOOKUP($C$74,'DB animal categories'!$C$32:$AC$41,27,FALSE)*AJ74+Q74+R74+S74-AC74,IF(AI74=1,('Calc (ex-animal)'!$L$19*'Calc (ex-housing, ex-storage)'!F74/100)/VLOOKUP($C$74,'DB animal categories'!$C$32:$AC$41,27,FALSE)*AJ74-'Calc (ex-housing, ex-storage)'!AC74,IF(AI74=4,('Calc (ex-animal)'!$L$19+'Calc (ex-animal)'!$K$19)*'Calc (ex-housing, ex-storage)'!F74/100*VLOOKUP(D74,'DB technologies'!$N$40:$Y$51,11,FALSE)/100/VLOOKUP($C$74,'DB animal categories'!$C$32:$AC$41,27,FALSE)*AJ74-AC74*VLOOKUP(D74,'DB technologies'!$N$40:$Y$51,11,FALSE)/100,0))))</f>
        <v/>
      </c>
      <c r="AP74" s="180" t="str">
        <f>IF(D74="","",IF(AO74&lt;-0.01,0,IF(AI74=2,(('Calc (ex-animal)'!$L$19*'Calc (ex-housing, ex-storage)'!F74/100+'Calc (ex-animal)'!$K$19*'Calc (ex-housing, ex-storage)'!F74/100))/VLOOKUP($C$74,'DB animal categories'!$C$32:$AC$41,27,FALSE)*AJ74+Q74+R74+S74-AC74,IF(AI74=1,('Calc (ex-animal)'!$L$19*'Calc (ex-housing, ex-storage)'!F74/100)/VLOOKUP($C$74,'DB animal categories'!$C$32:$AC$41,27,FALSE)*AJ74-'Calc (ex-housing, ex-storage)'!AC74,IF(AI74=4,('Calc (ex-animal)'!$L$19+'Calc (ex-animal)'!$K$19)*'Calc (ex-housing, ex-storage)'!F74/100*VLOOKUP(D74,'DB technologies'!$N$40:$Y$51,11,FALSE)/100/VLOOKUP($C$74,'DB animal categories'!$C$32:$AC$41,27,FALSE)*AJ74-AC74*VLOOKUP(D74,'DB technologies'!$N$40:$Y$51,11,FALSE)/100,0)))))</f>
        <v/>
      </c>
      <c r="AQ74" s="180" t="str">
        <f>IF(D74="","",IF(AI74=2,('Calc (ex-animal)'!$O$19*'Calc (ex-housing, ex-storage)'!F74/100+'Calc (ex-animal)'!$N$19*'Calc (ex-housing, ex-storage)'!F74/100)/VLOOKUP($C$74,'DB animal categories'!$C$32:$AC$41,27,FALSE)*AJ74+U74+V74+W74,IF(AI74=1,'Calc (ex-animal)'!$O$19*'Calc (ex-housing, ex-storage)'!F74/100/VLOOKUP($C$74,'DB animal categories'!$C$32:$AC$41,27,FALSE)*AJ74,IF(AI74=4,('Calc (ex-animal)'!$O$19+'Calc (ex-animal)'!$N$19)*'Calc (ex-housing, ex-storage)'!F74/100*VLOOKUP(D74,'DB technologies'!$N$40:$Y$51,11,FALSE)/100/VLOOKUP($C$74,'DB animal categories'!$C$32:$AC$41,27,FALSE)*AJ74,0))))</f>
        <v/>
      </c>
      <c r="AR74" s="180" t="str">
        <f>IF(D74="","",IF(AI74=2,('Calc (ex-animal)'!$R$19*'Calc (ex-housing, ex-storage)'!F74/100+'Calc (ex-animal)'!$Q$19*'Calc (ex-housing, ex-storage)'!F74/100)/VLOOKUP($C$74,'DB animal categories'!$C$32:$AC$41,27,FALSE)*AJ74+Y74+Z74+AA74,IF(AI74=1,'Calc (ex-animal)'!$R$19*'Calc (ex-housing, ex-storage)'!F74/100/VLOOKUP($C$74,'DB animal categories'!$C$32:$AC$41,27,FALSE)*AJ74,IF(AI74=4,('Calc (ex-animal)'!$R$19+'Calc (ex-animal)'!$Q$19)*'Calc (ex-housing, ex-storage)'!F74/100*VLOOKUP(D74,'DB technologies'!$N$40:$Y$51,11,FALSE)/100/VLOOKUP($C$74,'DB animal categories'!$C$32:$AC$41,27,FALSE)*AJ74,0))))</f>
        <v/>
      </c>
      <c r="AS74" s="179" t="str">
        <f>IF(D74="","",VLOOKUP(D74,'DB technologies'!$N$40:$Y$51,10,FALSE))</f>
        <v/>
      </c>
      <c r="AT74" s="453" t="str">
        <f>IF(AS74="","",AU74+AV74)</f>
        <v/>
      </c>
      <c r="AU74" s="453" t="str">
        <f>IF(D74="","",IF(AS74=2,0,IF(AS74=1,'Calc (ex-animal)'!$G$19*'DB additional information '!$K$7/100*(1-VLOOKUP(D74,'DB technologies'!$N$40:$Y$51,8,FALSE)/100)*'Calc (ex-housing, ex-storage)'!F74/100/VLOOKUP($C$74,'DB animal categories'!$C$32:$AC$41,27,FALSE)*AJ74+I74+J74+K74,IF(AS74=5,(('Calc (ex-animal)'!$G$19*'DB additional information '!$K$7/100+'Calc (ex-animal)'!$H$19*'DB additional information '!$L$7/100))*(1-VLOOKUP(D74,'DB technologies'!$N$40:$Y$51,9,FALSE)/100)*'Calc (ex-housing, ex-storage)'!F74/100/VLOOKUP($C$74,'DB animal categories'!$C$32:$AC$41,27,FALSE)*AJ74+I74+J74+K74,IF(AS74=3,('Calc (ex-animal)'!$G$19*'DB additional information '!$K$7/100+'Calc (ex-animal)'!$H$19*'DB additional information '!$L$7/100)*(1-VLOOKUP(D74,'DB technologies'!$N$40:$Y$51,9,FALSE)/100)*'Calc (ex-housing, ex-storage)'!F74/100/VLOOKUP($C$74,'DB animal categories'!$C$32:$AC$41,27,FALSE)*AJ74+I74+J74+K74,IF(AS74=4,('Calc (ex-animal)'!$G$19*'DB additional information '!$K$7/100+'Calc (ex-animal)'!$H$19*'DB additional information '!$L$7/100)*(1-VLOOKUP(D74,'DB technologies'!$N$40:$Y$51,9,FALSE)/100)*'Calc (ex-housing, ex-storage)'!F74/100*VLOOKUP(D74,'DB technologies'!$N$40:$Y$51,12,FALSE)/100/VLOOKUP($C$74,'DB animal categories'!$C$32:$AC$41,27,FALSE)*AJ74+I74+J74+K74,0))))))</f>
        <v/>
      </c>
      <c r="AV74" s="453" t="str">
        <f>IF(D74="","",IF(AS74=2,0,IF(AS74=1,'Calc (ex-animal)'!$G$19*(1-'DB additional information '!$K$7/100)*(1-VLOOKUP(D74,'DB technologies'!$N$40:$Y$51,8,FALSE)/100)*'Calc (ex-housing, ex-storage)'!F74/100/VLOOKUP($C$74,'DB animal categories'!$C$32:$AC$41,27,FALSE)*AJ74+M74+N74+O74,IF(AS74=5,('Calc (ex-animal)'!$G$19*(1-'DB additional information '!$K$7/100)+'Calc (ex-animal)'!$H$19*(1-'DB additional information '!$L$7/100))*(1-VLOOKUP(D74,'DB technologies'!$N$40:$Y$51,8,FALSE)/100)*'Calc (ex-housing, ex-storage)'!F74/100/VLOOKUP($C$74,'DB animal categories'!$C$32:$AC$41,27,FALSE)*AJ74+M74+N74+O74,IF(AS74=3,('Calc (ex-animal)'!$G$19*(1-'DB additional information '!$K$7/100)+'Calc (ex-animal)'!$H$19*(1-'DB additional information '!$L$7/100))*(1-VLOOKUP(D74,'DB technologies'!$N$40:$Y$51,8,FALSE)/100)*'Calc (ex-housing, ex-storage)'!F74/100/VLOOKUP($C$74,'DB animal categories'!$C$32:$AC$41,27,FALSE)*AJ74+M74+N74+O74,IF(AS74=4,('Calc (ex-animal)'!$G$19*(1-'DB additional information '!$K$7/100)+'Calc (ex-animal)'!$H$19*(1-'DB additional information '!$L$7/100))*(1-VLOOKUP(D74,'DB technologies'!$N$40:$Y$51,8,FALSE)/100)*'Calc (ex-housing, ex-storage)'!F74/100*VLOOKUP(D74,'DB technologies'!$N$40:$Y$51,12,FALSE)/100/VLOOKUP($C$74,'DB animal categories'!$C$32:$AC$41,27,FALSE)*AJ74+M74+N74+O74,0))))))</f>
        <v/>
      </c>
      <c r="AW74" s="453" t="str">
        <f>IF(AS74="","",IF(AU74=0,0,AU74/AT74*100))</f>
        <v/>
      </c>
      <c r="AX74" s="180" t="str">
        <f>IF(D74="","",IF(AS74=2,0,IF(AS74=1,'Calc (ex-animal)'!$K$19*'Calc (ex-housing, ex-storage)'!F74/100/VLOOKUP($C$74,'DB animal categories'!$C$32:$AC$41,27,FALSE)*AJ74+Q74+R74+S74,IF(AS74=5,('Calc (ex-animal)'!$K$19+'Calc (ex-animal)'!$L$19)*'Calc (ex-housing, ex-storage)'!F74/100/VLOOKUP($C$74,'DB animal categories'!$C$32:$AC$41,27,FALSE)*AJ74+Q74+R74+S74-'Calc (ex-housing, ex-storage)'!AC74,IF(AS74=3,('Calc (ex-animal)'!$K$19+'Calc (ex-animal)'!$L$19)*'Calc (ex-housing, ex-storage)'!F74/100/VLOOKUP($C$74,'DB animal categories'!$C$32:$AC$41,27,FALSE)*AJ74+Q74+R74+S74-'Calc (ex-housing, ex-storage)'!AC74-AD74-AE74,IF(AI74=4,('Calc (ex-animal)'!$K$19+'Calc (ex-animal)'!$L$19)*'Calc (ex-housing, ex-storage)'!F74/100*VLOOKUP(D74,'DB technologies'!$N$40:$Y$51,12,FALSE)/100/VLOOKUP($C$74,'DB animal categories'!$C$32:$AC$41,27,FALSE)*AJ74+Q74+R74+S74-(VLOOKUP(D74,'DB technologies'!$N$40:$Y$51,12,FALSE)/100*AC74)-AD74-AE74,0))))))</f>
        <v/>
      </c>
      <c r="AY74" s="180" t="str">
        <f>IF(D74="","",IF(AS74=2,0,IF(AS74=1,'Calc (ex-animal)'!$N$19*'Calc (ex-housing, ex-storage)'!F74/100/VLOOKUP($C$74,'DB animal categories'!$C$32:$AC$41,27,FALSE)*AJ74+U74+V74+W74,IF(AS74=5,('Calc (ex-animal)'!$N$19+'Calc (ex-animal)'!$O$19)*'Calc (ex-housing, ex-storage)'!F74/100/VLOOKUP($C$74,'DB animal categories'!$C$32:$AC$41,27,FALSE)*AJ74+U74+V74+W74,IF(AS74=3,('Calc (ex-animal)'!$N$19+'Calc (ex-animal)'!$O$19)*'Calc (ex-housing, ex-storage)'!F74/100/VLOOKUP($C$74,'DB animal categories'!$C$32:$AC$41,27,FALSE)*AJ74+U74+V74+W74,IF(AS74=4,('Calc (ex-animal)'!$N$19+'Calc (ex-animal)'!$O$19)*'Calc (ex-housing, ex-storage)'!F74/100*VLOOKUP(D74,'DB technologies'!$N$40:$Y$51,12,FALSE)/100/VLOOKUP($C$74,'DB animal categories'!$C$32:$AC$41,27,FALSE)*AJ74+U74+V74+W74,0))))))</f>
        <v/>
      </c>
      <c r="AZ74" s="180" t="str">
        <f>IF(D74="","",IF(AS74=2,0,IF(AS74=1,'Calc (ex-animal)'!$Q$19*'Calc (ex-housing, ex-storage)'!F74/100/VLOOKUP($C$74,'DB animal categories'!$C$32:$AC$41,27,FALSE)*AJ74+Y74+Z74+AA74,IF(AS74=5,('Calc (ex-animal)'!$Q$19+'Calc (ex-animal)'!$R$19)*'Calc (ex-housing, ex-storage)'!F74/100/VLOOKUP($C$74,'DB animal categories'!$C$32:$AC$41,27,FALSE)*AJ74+Y74+Z74+AA74,IF(AS74=3,('Calc (ex-animal)'!$Q$19+'Calc (ex-animal)'!$R$19)*'Calc (ex-housing, ex-storage)'!F74/100/VLOOKUP($C$74,'DB animal categories'!$C$32:$AC$41,27,FALSE)*AJ74+Y74+Z74+AA74,IF(AS74=4,('Calc (ex-animal)'!$Q$19+'Calc (ex-animal)'!$R$19)*'Calc (ex-housing, ex-storage)'!F74/100*VLOOKUP(D74,'DB technologies'!$N$40:$Y$51,12,FALSE)/100/VLOOKUP($C$74,'DB animal categories'!$C$32:$AC$41,27,FALSE)*AJ74+Y74+Z74+AA74,0))))))</f>
        <v/>
      </c>
      <c r="BA74" s="506"/>
      <c r="BB74" s="506"/>
      <c r="BC74" s="506"/>
      <c r="BE74" s="111"/>
      <c r="BG74" s="1357"/>
      <c r="BH74" s="1361"/>
      <c r="BI74" s="598" t="str">
        <f>IF(BG74="","",$BA$71*BH74/100-($BB$71*BH74/100*VLOOKUP(BG74,'DB technologies'!$AC$16:$AT$20,5,FALSE)/100)+(VLOOKUP(BG74,'DB technologies'!$AC$16:$AT$20,12,FALSE)*$BA$71*BH74/100))</f>
        <v/>
      </c>
      <c r="BJ74" s="551">
        <f>IF(BI74="",0,BI74*BK74/100)</f>
        <v>0</v>
      </c>
      <c r="BK74" s="561" t="str">
        <f>IF(BG74="","",IF($BA$71=0,0,($BB$71*BH74/100)/BI74*(1-(VLOOKUP(BG74,'DB technologies'!$AC$16:$AQ$20,5,FALSE))/100)*100))</f>
        <v/>
      </c>
      <c r="BL74" s="261" t="str">
        <f>IF(BG74="","",$BD$71*BH74/100-BO74-BP74-BQ74-BR74)</f>
        <v/>
      </c>
      <c r="BM74" s="261" t="str">
        <f>IF(BG74="","",$BE$71*BH74/100-BS74)</f>
        <v/>
      </c>
      <c r="BN74" s="261" t="str">
        <f>IF(BG74="","",$BF$71*BH74/100-BT74)</f>
        <v/>
      </c>
      <c r="BO74" s="261" t="str">
        <f>IF(BG74="","",$BD$71*BH74/100*VLOOKUP(BG74,'DB technologies'!$AC$16:$AF$20,2,FALSE)/100)</f>
        <v/>
      </c>
      <c r="BP74" s="261" t="str">
        <f>IF(BG74="","",$BD$71*BH74/100*VLOOKUP(BG74,'DB technologies'!$AC$16:$AN$20,3,FALSE)/100)</f>
        <v/>
      </c>
      <c r="BQ74" s="262" t="str">
        <f>IF(BG74="","",$BD$71*BH74/100*VLOOKUP(BG74,'DB technologies'!$AC$16:$AN$20,4,FALSE)/100)</f>
        <v/>
      </c>
      <c r="BR74" s="264" t="str">
        <f>IF(BG74="","",VLOOKUP(BG74,'DB technologies'!$AC$16:$AQ$20,13,FALSE)/100*$BD$71*BH74/100)</f>
        <v/>
      </c>
      <c r="BS74" s="261" t="str">
        <f>IF(BG74="","",VLOOKUP(BG74,'DB technologies'!$AC$16:$AQ$20,14,FALSE)/100*$BE$71*BH74/100)</f>
        <v/>
      </c>
      <c r="BT74" s="262" t="str">
        <f>IF(BG74="","",VLOOKUP(BG74,'DB technologies'!$AC$16:$AQ$20,15,FALSE)/100*$BF$71*BH74/100)</f>
        <v/>
      </c>
    </row>
    <row r="75" spans="1:72" ht="11.25" customHeight="1" thickBot="1" x14ac:dyDescent="0.25">
      <c r="A75" s="684"/>
      <c r="B75" s="695"/>
      <c r="C75" s="255"/>
      <c r="D75" s="1357"/>
      <c r="E75" s="1358"/>
      <c r="F75" s="480" t="str">
        <f>IF('Calc (ex-animal)'!$F$9=1,"",IF($C$74=0,"",IF(D75="","",E75/'Calc (ex-animal)'!$E$19*100)))</f>
        <v/>
      </c>
      <c r="G75" s="485" t="str">
        <f>IF($C$74=0,"",IF('Calc (ex-animal)'!$F$8=1,"",IF(D75="","",SUM(H75:O75))))</f>
        <v/>
      </c>
      <c r="H75" s="423" t="str">
        <f>IF('Calc (ex-animal)'!$F$8=1,"",IF(D75="","",(((VLOOKUP($C$74,'Calc (ex-animal)'!$D$18:$Y$22,6,FALSE)-VLOOKUP($C$74,'Calc (ex-animal)'!$D$18:$Y$22,17,FALSE))*F75/100))*VLOOKUP($C$74,'Calc (ex-animal)'!$D$18:$Y$22,7,FALSE)/100*(1-VLOOKUP(D75,'DB technologies'!$N$40:$Y$51,9,FALSE)/100)))</f>
        <v/>
      </c>
      <c r="I75" s="423" t="str">
        <f>IF(D75="","",((VLOOKUP(D75,'DB technologies'!$N$40:$Y$51,2,FALSE)*VLOOKUP($C$74,'DB animal categories'!$C$32:$AC$41,27,FALSE)*E75/1000)/VLOOKUP($C$74,'DB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'!$S$6/100*(1-VLOOKUP(D75,'DB technologies'!$N$40:$Y$51,9,FALSE)/100)))</f>
        <v/>
      </c>
      <c r="J75" s="434" t="str">
        <f>IF(D75="","",((VLOOKUP(D75,'DB technologies'!$N$40:$Y$51,3,FALSE)*VLOOKUP($C$74,'DB animal categories'!$C$32:$AC$41,27,FALSE)*E75/1000)/VLOOKUP($C$74,'DB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'!$S$7/100*(1-VLOOKUP(D75,'DB technologies'!$N$40:$Y$51,9,FALSE)/100)))</f>
        <v/>
      </c>
      <c r="K75" s="434" t="str">
        <f>IF(D75="","",((VLOOKUP(D75,'DB technologies'!$N$40:$Y$51,4,FALSE)*E75*'DB additional information '!$S$8/100*(1-VLOOKUP(D75,'DB technologies'!$N$40:$Y$51,9,FALSE)/100))/VLOOKUP($C$74,'DB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L75" s="423" t="str">
        <f>IF('Calc (ex-animal)'!$F$8=1,"",IF(D75="","",(((VLOOKUP($C$74,'Calc (ex-animal)'!$D$18:$Y$22,6,FALSE)-VLOOKUP($C$74,'Calc (ex-animal)'!$D$18:$Y$22,17,FALSE))*F75/100))*(1-VLOOKUP($C$74,'Calc (ex-animal)'!$D$18:$Y$22,7,FALSE)/100)*(1-VLOOKUP(D75,'DB technologies'!$N$40:$V$51,8,FALSE)/100)))</f>
        <v/>
      </c>
      <c r="M75" s="434" t="str">
        <f>IF(D75="","",((VLOOKUP(D75,'DB technologies'!$N$40:$Y$51,2,FALSE)*VLOOKUP($C$74,'DB animal categories'!$C$32:$AC$41,27,FALSE)*E75/1000)/VLOOKUP($C$74,'DB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'!$S$6/100)*(1-VLOOKUP(D75,'DB technologies'!$N$40:$Y$51,9,FALSE)/100))</f>
        <v/>
      </c>
      <c r="N75" s="434" t="str">
        <f>IF(D75="","",((VLOOKUP(D75,'DB technologies'!$N$40:$Y$51,3,FALSE)*VLOOKUP($C$74,'DB animal categories'!$C$32:$AC$41,27,FALSE)*E75/1000)/VLOOKUP($C$74,'DB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'!$S$7/100)*(1-VLOOKUP(D75,'DB technologies'!$N$40:$Y$51,9,FALSE)/100))</f>
        <v/>
      </c>
      <c r="O75" s="423" t="str">
        <f>IF(D75="","",((VLOOKUP(D75,'DB technologies'!$N$40:$Y$51,4,FALSE)*E75*(1-'DB additional information '!$S$8/100)*(1-VLOOKUP(D75,'DB technologies'!$N$40:$Y$51,8,FALSE)/100))/VLOOKUP($C$74,'DB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P75" s="438" t="str">
        <f>IF(G75=0,0,IF(E75="","",IF(F75="","",IF($C$74=0,"",IF(D75="","",SUM(H75:K75)/G75*100)))))</f>
        <v/>
      </c>
      <c r="Q75" s="416" t="str">
        <f>IF(D75="","",(VLOOKUP(D75,'DB technologies'!$N$40:$Y$51,2,FALSE)*'DB additional information '!$S$6/100*'DB additional information '!$T$6*VLOOKUP($C$74,'DB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R75" s="416" t="str">
        <f>IF(D75="","",(VLOOKUP(D75,'DB technologies'!$N$40:$Y$51,3,FALSE)*'DB additional information '!$S$7/100*'DB additional information '!$T$7*VLOOKUP($C$74,'DB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S75" s="491" t="str">
        <f>IF(D75="","",(VLOOKUP(D75,'DB technologies'!$N$40:$Y$51,4,FALSE)*('DB additional information '!$S$8/100*'DB additional information '!$T$8*E75/1000/1000)))</f>
        <v/>
      </c>
      <c r="T75" s="264" t="str">
        <f>IF($C$74=0,"",IF('Calc (ex-animal)'!$F$9=1,"",IF(D75="","",((VLOOKUP($C$74,'Calc (ex-animal)'!$D$18:$Y$22,10,FALSE)-VLOOKUP($C$74,'Calc (ex-animal)'!$D$18:$Y$22,18,FALSE))*F75/100+Q75+R75+S75)-AC75-AD75-AE75)))</f>
        <v/>
      </c>
      <c r="U75" s="422" t="str">
        <f>IF(D75="","",(VLOOKUP(D75,'DB technologies'!$N$40:$Y$51,2,FALSE)*'DB additional information '!$S$6/100*'DB additional information '!$U$6*VLOOKUP($C$74,'DB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V75" s="418" t="str">
        <f>IF(D75="","",(VLOOKUP(D75,'DB technologies'!$N$40:$Y$51,3,FALSE)*'DB additional information '!$S$7/100*'DB additional information '!$U$7*VLOOKUP($C$74,'DB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W75" s="417" t="str">
        <f>IF(D75="","",(VLOOKUP(D75,'DB technologies'!$N$40:$Y$51,4,FALSE)*('DB additional information '!$S$8/100*'DB additional information '!$U$8*E75/1000/1000)))</f>
        <v/>
      </c>
      <c r="X75" s="261" t="str">
        <f>IF($C$74=0,"",IF('Calc (ex-animal)'!$F$9=1,"",IF(D75="","",((VLOOKUP($C$74,'Calc (ex-animal)'!$D$18:$Y$22,13,FALSE)-VLOOKUP($C$74,'Calc (ex-animal)'!$D$18:$Y$22,19,FALSE))*F75/100+U75+V75+W75))))</f>
        <v/>
      </c>
      <c r="Y75" s="418" t="str">
        <f>IF(D75="","",(VLOOKUP(D75,'DB technologies'!$N$40:$Y$51,2,FALSE)*'DB additional information '!$S$6/100*'DB additional information '!$V$6*VLOOKUP($C$74,'DB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Z75" s="418" t="str">
        <f>IF(D75="","",(VLOOKUP(D75,'DB technologies'!$N$40:$Y$51,3,FALSE)*'DB additional information '!$S$7/100*'DB additional information '!$V$7*VLOOKUP($C$74,'DB animal categories'!$C$32:$AC$41,27,FALSE)*E75/1000/1000)/VLOOKUP($C$74,'DB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AA75" s="418" t="str">
        <f>IF(D75="","",(VLOOKUP(D75,'DB technologies'!$N$40:$Y$51,4,FALSE)*('DB additional information '!$S$8/100*'DB additional information '!$V$8*E75/1000/1000)))</f>
        <v/>
      </c>
      <c r="AB75" s="261" t="str">
        <f>IF($C$74=0,"",IF('Calc (ex-animal)'!$F$8=1,"",IF(D75="","",((VLOOKUP($C$74,'Calc (ex-animal)'!$D$18:$Y$22,16,FALSE)-VLOOKUP($C$74,'Calc (ex-animal)'!$D$18:$Y$22,20,FALSE))*F75/100+Y75+Z75+AA75))))</f>
        <v/>
      </c>
      <c r="AC75" s="261" t="str">
        <f>IF($C$74=0,"",IF('Calc (ex-animal)'!$F$8=1,"",IF(D75="","",VLOOKUP($C$74,'Calc (ex-animal)'!$D$18:$Y$22,9,FALSE)/VLOOKUP($C$74,'DB animal categories'!$C$32:$AC$41,27,FALSE)*(VLOOKUP($C$74,'DB animal categories'!$C$32:$AC$41,27,FALSE)-VLOOKUP($C$74,'DB animal categories'!$C$32:$AC$41,25,FALSE)*VLOOKUP($C$74,'DB animal categories'!$C$32:$AC$41,26,FALSE)/24)*F75/100*VLOOKUP(D75,'DB technologies'!$N$40:$R$51,5,FALSE)/100)))</f>
        <v/>
      </c>
      <c r="AD75" s="261" t="str">
        <f>IF($C$74=0,"",IF('Calc (ex-animal)'!$F$8=1,"",IF(D75="","",VLOOKUP($C$74,'Calc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categories'!$C$32:$AC$41,26,FALSE)/24)*F75/100*VLOOKUP(D75,'DB technologies'!$N$40:$Y$51,6,FALSE)/100)))</f>
        <v/>
      </c>
      <c r="AE75" s="262" t="str">
        <f>IF($C$74=0,"",IF('Calc (ex-animal)'!$F$8=1,"",IF(D75="","",VLOOKUP($C$74,'Calc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categories'!$C$32:$AC$41,26,FALSE)/24)*F75/100*VLOOKUP(D75,'DB technologies'!$N$40:$Y$51,7,FALSE)/100)))</f>
        <v/>
      </c>
      <c r="AG75" s="698"/>
      <c r="AH75" s="695"/>
      <c r="AI75" s="181" t="str">
        <f>IF(D75="","",VLOOKUP(D75,'DB technologies'!$N$40:$Y$51,10,FALSE))</f>
        <v/>
      </c>
      <c r="AJ75" s="449" t="e">
        <f>VLOOKUP($C$74,'DB animal categories'!$C$32:$AN$41,27,FALSE)-VLOOKUP($C$74,'DB animal categories'!$C$32:$AN$41,26,FALSE)*VLOOKUP($C$74,'DB animal categories'!$C$32:$AN$41,25,FALSE)/24</f>
        <v>#N/A</v>
      </c>
      <c r="AK75" s="442" t="str">
        <f>IF(AI75="","",AL75+AM75)</f>
        <v/>
      </c>
      <c r="AL75" s="442" t="str">
        <f>IF(D75="","",IF(AI75=2,(('Calc (ex-animal)'!$G$19*'DB additional information '!$K$7/100*(1-VLOOKUP(D75,'DB technologies'!$N$40:$Y$51,9,FALSE)/100)*'Calc (ex-housing, ex-storage)'!F75/100+'Calc (ex-animal)'!$H$19*'DB additional information '!$L$7/100*(1-VLOOKUP(D75,'DB technologies'!$N$40:$Y$51,9,FALSE)/100)*'Calc (ex-housing, ex-storage)'!F75/100))/VLOOKUP($C$74,'DB animal categories'!$C$32:$AC$41,27,FALSE)*AJ75+I75+J75+K75,IF(AI75=1,('Calc (ex-animal)'!$H$19*'DB additional information '!$L$7/100*(1-VLOOKUP(D75,'DB technologies'!$N$40:$Y$51,9,FALSE)/100)*'Calc (ex-housing, ex-storage)'!F75/100)/VLOOKUP($C$74,'DB animal categories'!$C$32:$AC$41,27,FALSE)*AJ75,IF(AI75=4,('Calc (ex-animal)'!$G$19*'DB additional information '!$K$7/100+'Calc (ex-animal)'!$H$19*'DB additional information '!$L$7/100)*(1-VLOOKUP(D75,'DB technologies'!$N$40:$Y$51,9,FALSE)/100)*'Calc (ex-housing, ex-storage)'!F75/100*VLOOKUP(D75,'DB technologies'!$N$40:$Y$51,11,FALSE)/100/VLOOKUP($C$74,'DB animal categories'!$C$32:$AC$41,27,FALSE)*AJ75,0))))</f>
        <v/>
      </c>
      <c r="AM75" s="442" t="str">
        <f>IF(D75="","",IF(AI75=2,(('Calc (ex-animal)'!$G$19*(1-'DB additional information '!$K$7/100)*(1-VLOOKUP(D75,'DB technologies'!$N$40:$Y$51,8,FALSE)/100)*'Calc (ex-housing, ex-storage)'!F75/100+'Calc (ex-animal)'!$H$19*(1-'DB additional information '!$L$7/100)*(1-VLOOKUP(D75,'DB technologies'!$N$40:$Y$51,8,FALSE)/100)*'Calc (ex-housing, ex-storage)'!F75/100))/VLOOKUP($C$74,'DB animal categories'!$C$32:$AC$41,27,FALSE)*AJ75+M75+N75+O75,IF(AI75=1,('Calc (ex-animal)'!$H$19*(1-'DB additional information '!$L$7/100)*(1-VLOOKUP(D75,'DB technologies'!$N$40:$Y$51,8,FALSE)/100)*'Calc (ex-housing, ex-storage)'!F75/100)/VLOOKUP($C$74,'DB animal categories'!$C$32:$AC$41,27,FALSE)*AJ75,IF(AI75=4,('Calc (ex-animal)'!$G$19*(1-'DB additional information '!$K$7/100)+'Calc (ex-animal)'!$H$19*(1-'DB additional information '!$L$7/100))*(1-VLOOKUP(D75,'DB technologies'!$N$40:$Y$51,8,FALSE)/100)*'Calc (ex-housing, ex-storage)'!F75/100*VLOOKUP(D75,'DB technologies'!$N$40:$Y$51,11,FALSE)/100/VLOOKUP($C$74,'DB animal categories'!$C$32:$AC$41,27,FALSE)*AJ75,0))))</f>
        <v/>
      </c>
      <c r="AN75" s="442" t="str">
        <f>IF(AI75="","",IF(AL75=0,0,AL75/AK75*100))</f>
        <v/>
      </c>
      <c r="AO75" s="182" t="str">
        <f>IF(D75="","",IF(AI75=2,(('Calc (ex-animal)'!$L$19*'Calc (ex-housing, ex-storage)'!F75/100+'Calc (ex-animal)'!$K$19*'Calc (ex-housing, ex-storage)'!F75/100))/VLOOKUP($C$74,'DB animal categories'!$C$32:$AC$41,27,FALSE)*AJ75+Q75+R75+S75-AC75,IF(AI75=1,('Calc (ex-animal)'!$L$19*'Calc (ex-housing, ex-storage)'!F75/100)/VLOOKUP($C$74,'DB animal categories'!$C$32:$AC$41,27,FALSE)*AJ75-'Calc (ex-housing, ex-storage)'!AC75,IF(AI75=4,('Calc (ex-animal)'!$L$19+'Calc (ex-animal)'!$K$19)*'Calc (ex-housing, ex-storage)'!F75/100*VLOOKUP(D75,'DB technologies'!$N$40:$Y$51,11,FALSE)/100/VLOOKUP($C$74,'DB animal categories'!$C$32:$AC$41,27,FALSE)*AJ75-AC75*VLOOKUP(D75,'DB technologies'!$N$40:$Y$51,11,FALSE)/100,0))))</f>
        <v/>
      </c>
      <c r="AP75" s="182" t="str">
        <f>IF(D75="","",IF(AO75&lt;-0.01,0,IF(AI75=2,(('Calc (ex-animal)'!$L$19*'Calc (ex-housing, ex-storage)'!F75/100+'Calc (ex-animal)'!$K$19*'Calc (ex-housing, ex-storage)'!F75/100))/VLOOKUP($C$74,'DB animal categories'!$C$32:$AC$41,27,FALSE)*AJ75+Q75+R75+S75-AC75,IF(AI75=1,('Calc (ex-animal)'!$L$19*'Calc (ex-housing, ex-storage)'!F75/100)/VLOOKUP($C$74,'DB animal categories'!$C$32:$AC$41,27,FALSE)*AJ75-'Calc (ex-housing, ex-storage)'!AC75,IF(AI75=4,('Calc (ex-animal)'!$L$19+'Calc (ex-animal)'!$K$19)*'Calc (ex-housing, ex-storage)'!F75/100*VLOOKUP(D75,'DB technologies'!$N$40:$Y$51,11,FALSE)/100/VLOOKUP($C$74,'DB animal categories'!$C$32:$AC$41,27,FALSE)*AJ75-AC75*VLOOKUP(D75,'DB technologies'!$N$40:$Y$51,11,FALSE)/100,0)))))</f>
        <v/>
      </c>
      <c r="AQ75" s="182" t="str">
        <f>IF(D75="","",IF(AI75=2,('Calc (ex-animal)'!$O$19*'Calc (ex-housing, ex-storage)'!F75/100+'Calc (ex-animal)'!$N$19*'Calc (ex-housing, ex-storage)'!F75/100)/VLOOKUP($C$74,'DB animal categories'!$C$32:$AC$41,27,FALSE)*AJ75+U75+V75+W75,IF(AI75=1,'Calc (ex-animal)'!$O$19*'Calc (ex-housing, ex-storage)'!F75/100/VLOOKUP($C$74,'DB animal categories'!$C$32:$AC$41,27,FALSE)*AJ75,IF(AI75=4,('Calc (ex-animal)'!$O$19+'Calc (ex-animal)'!$N$19)*'Calc (ex-housing, ex-storage)'!F75/100*VLOOKUP(D75,'DB technologies'!$N$40:$Y$51,11,FALSE)/100/VLOOKUP($C$74,'DB animal categories'!$C$32:$AC$41,27,FALSE)*AJ75,0))))</f>
        <v/>
      </c>
      <c r="AR75" s="182" t="str">
        <f>IF(D75="","",IF(AI75=2,('Calc (ex-animal)'!$R$19*'Calc (ex-housing, ex-storage)'!F75/100+'Calc (ex-animal)'!$Q$19*'Calc (ex-housing, ex-storage)'!F75/100)/VLOOKUP($C$74,'DB animal categories'!$C$32:$AC$41,27,FALSE)*AJ75+Y75+Z75+AA75,IF(AI75=1,'Calc (ex-animal)'!$R$19*'Calc (ex-housing, ex-storage)'!F75/100/VLOOKUP($C$74,'DB animal categories'!$C$32:$AC$41,27,FALSE)*AJ75,IF(AI75=4,('Calc (ex-animal)'!$R$19+'Calc (ex-animal)'!$Q$19)*'Calc (ex-housing, ex-storage)'!F75/100*VLOOKUP(D75,'DB technologies'!$N$40:$Y$51,11,FALSE)/100/VLOOKUP($C$74,'DB animal categories'!$C$32:$AC$41,27,FALSE)*AJ75,0))))</f>
        <v/>
      </c>
      <c r="AS75" s="181" t="str">
        <f>IF(D75="","",VLOOKUP(D75,'DB technologies'!$N$40:$Y$51,10,FALSE))</f>
        <v/>
      </c>
      <c r="AT75" s="442" t="str">
        <f>IF(AS75="","",AU75+AV75)</f>
        <v/>
      </c>
      <c r="AU75" s="442" t="str">
        <f>IF(D75="","",IF(AS75=2,0,IF(AS75=1,'Calc (ex-animal)'!$G$19*'DB additional information '!$K$7/100*(1-VLOOKUP(D75,'DB technologies'!$N$40:$Y$51,8,FALSE)/100)*'Calc (ex-housing, ex-storage)'!F75/100/VLOOKUP($C$74,'DB animal categories'!$C$32:$AC$41,27,FALSE)*AJ75+I75+J75+K75,IF(AS75=5,(('Calc (ex-animal)'!$G$19*'DB additional information '!$K$7/100+'Calc (ex-animal)'!$H$19*'DB additional information '!$L$7/100))*(1-VLOOKUP(D75,'DB technologies'!$N$40:$Y$51,9,FALSE)/100)*'Calc (ex-housing, ex-storage)'!F75/100/VLOOKUP($C$74,'DB animal categories'!$C$32:$AC$41,27,FALSE)*AJ75+I75+J75+K75,IF(AS75=3,('Calc (ex-animal)'!$G$19*'DB additional information '!$K$7/100+'Calc (ex-animal)'!$H$19*'DB additional information '!$L$7/100)*(1-VLOOKUP(D75,'DB technologies'!$N$40:$Y$51,9,FALSE)/100)*'Calc (ex-housing, ex-storage)'!F75/100/VLOOKUP($C$74,'DB animal categories'!$C$32:$AC$41,27,FALSE)*AJ75+I75+J75+K75,IF(AS75=4,('Calc (ex-animal)'!$G$19*'DB additional information '!$K$7/100+'Calc (ex-animal)'!$H$19*'DB additional information '!$L$7/100)*(1-VLOOKUP(D75,'DB technologies'!$N$40:$Y$51,9,FALSE)/100)*'Calc (ex-housing, ex-storage)'!F75/100*VLOOKUP(D75,'DB technologies'!$N$40:$Y$51,12,FALSE)/100/VLOOKUP($C$74,'DB animal categories'!$C$32:$AC$41,27,FALSE)*AJ75+I75+J75+K75,0))))))</f>
        <v/>
      </c>
      <c r="AV75" s="442" t="str">
        <f>IF(D75="","",IF(AS75=2,0,IF(AS75=1,'Calc (ex-animal)'!$G$19*(1-'DB additional information '!$K$7/100)*(1-VLOOKUP(D75,'DB technologies'!$N$40:$Y$51,8,FALSE)/100)*'Calc (ex-housing, ex-storage)'!F75/100/VLOOKUP($C$74,'DB animal categories'!$C$32:$AC$41,27,FALSE)*AJ75+M75+N75+O75,IF(AS75=5,('Calc (ex-animal)'!$G$19*(1-'DB additional information '!$K$7/100)+'Calc (ex-animal)'!$H$19*(1-'DB additional information '!$L$7/100))*(1-VLOOKUP(D75,'DB technologies'!$N$40:$Y$51,8,FALSE)/100)*'Calc (ex-housing, ex-storage)'!F75/100/VLOOKUP($C$74,'DB animal categories'!$C$32:$AC$41,27,FALSE)*AJ75+M75+N75+O75,IF(AS75=3,('Calc (ex-animal)'!$G$19*(1-'DB additional information '!$K$7/100)+'Calc (ex-animal)'!$H$19*(1-'DB additional information '!$L$7/100))*(1-VLOOKUP(D75,'DB technologies'!$N$40:$Y$51,8,FALSE)/100)*'Calc (ex-housing, ex-storage)'!F75/100/VLOOKUP($C$74,'DB animal categories'!$C$32:$AC$41,27,FALSE)*AJ75+M75+N75+O75,IF(AS75=4,('Calc (ex-animal)'!$G$19*(1-'DB additional information '!$K$7/100)+'Calc (ex-animal)'!$H$19*(1-'DB additional information '!$L$7/100))*(1-VLOOKUP(D75,'DB technologies'!$N$40:$Y$51,8,FALSE)/100)*'Calc (ex-housing, ex-storage)'!F75/100*VLOOKUP(D75,'DB technologies'!$N$40:$Y$51,12,FALSE)/100/VLOOKUP($C$74,'DB animal categories'!$C$32:$AC$41,27,FALSE)*AJ75+M75+N75+O75,0))))))</f>
        <v/>
      </c>
      <c r="AW75" s="442" t="str">
        <f>IF(AS75="","",IF(AU75=0,0,AU75/AT75*100))</f>
        <v/>
      </c>
      <c r="AX75" s="182" t="str">
        <f>IF(D75="","",IF(AS75=2,0,IF(AS75=1,'Calc (ex-animal)'!$K$19*'Calc (ex-housing, ex-storage)'!F75/100/VLOOKUP($C$74,'DB animal categories'!$C$32:$AC$41,27,FALSE)*AJ75+Q75+R75+S75,IF(AS75=5,('Calc (ex-animal)'!$K$19+'Calc (ex-animal)'!$L$19)*'Calc (ex-housing, ex-storage)'!F75/100/VLOOKUP($C$74,'DB animal categories'!$C$32:$AC$41,27,FALSE)*AJ75+Q75+R75+S75-'Calc (ex-housing, ex-storage)'!AC75,IF(AS75=3,('Calc (ex-animal)'!$K$19+'Calc (ex-animal)'!$L$19)*'Calc (ex-housing, ex-storage)'!F75/100/VLOOKUP($C$74,'DB animal categories'!$C$32:$AC$41,27,FALSE)*AJ75+Q75+R75+S75-'Calc (ex-housing, ex-storage)'!AC75-AD75-AE75,IF(AI75=4,('Calc (ex-animal)'!$K$19+'Calc (ex-animal)'!$L$19)*'Calc (ex-housing, ex-storage)'!F75/100*VLOOKUP(D75,'DB technologies'!$N$40:$Y$51,12,FALSE)/100/VLOOKUP($C$74,'DB animal categories'!$C$32:$AC$41,27,FALSE)*AJ75+Q75+R75+S75-(VLOOKUP(D75,'DB technologies'!$N$40:$Y$51,12,FALSE)/100*AC75)-AD75-AE75,0))))))</f>
        <v/>
      </c>
      <c r="AY75" s="182" t="str">
        <f>IF(D75="","",IF(AS75=2,0,IF(AS75=1,'Calc (ex-animal)'!$N$19*'Calc (ex-housing, ex-storage)'!F75/100/VLOOKUP($C$74,'DB animal categories'!$C$32:$AC$41,27,FALSE)*AJ75+U75+V75+W75,IF(AS75=5,('Calc (ex-animal)'!$N$19+'Calc (ex-animal)'!$O$19)*'Calc (ex-housing, ex-storage)'!F75/100/VLOOKUP($C$74,'DB animal categories'!$C$32:$AC$41,27,FALSE)*AJ75+U75+V75+W75,IF(AS75=3,('Calc (ex-animal)'!$N$19+'Calc (ex-animal)'!$O$19)*'Calc (ex-housing, ex-storage)'!F75/100/VLOOKUP($C$74,'DB animal categories'!$C$32:$AC$41,27,FALSE)*AJ75+U75+V75+W75,IF(AS75=4,('Calc (ex-animal)'!$N$19+'Calc (ex-animal)'!$O$19)*'Calc (ex-housing, ex-storage)'!F75/100*VLOOKUP(D75,'DB technologies'!$N$40:$Y$51,12,FALSE)/100/VLOOKUP($C$74,'DB animal categories'!$C$32:$AC$41,27,FALSE)*AJ75+U75+V75+W75,0))))))</f>
        <v/>
      </c>
      <c r="AZ75" s="182" t="str">
        <f>IF(D75="","",IF(AS75=2,0,IF(AS75=1,'Calc (ex-animal)'!$Q$19*'Calc (ex-housing, ex-storage)'!F75/100/VLOOKUP($C$74,'DB animal categories'!$C$32:$AC$41,27,FALSE)*AJ75+Y75+Z75+AA75,IF(AS75=5,('Calc (ex-animal)'!$Q$19+'Calc (ex-animal)'!$R$19)*'Calc (ex-housing, ex-storage)'!F75/100/VLOOKUP($C$74,'DB animal categories'!$C$32:$AC$41,27,FALSE)*AJ75+Y75+Z75+AA75,IF(AS75=3,('Calc (ex-animal)'!$Q$19+'Calc (ex-animal)'!$R$19)*'Calc (ex-housing, ex-storage)'!F75/100/VLOOKUP($C$74,'DB animal categories'!$C$32:$AC$41,27,FALSE)*AJ75+Y75+Z75+AA75,IF(AS75=4,('Calc (ex-animal)'!$Q$19+'Calc (ex-animal)'!$R$19)*'Calc (ex-housing, ex-storage)'!F75/100*VLOOKUP(D75,'DB technologies'!$N$40:$Y$51,12,FALSE)/100/VLOOKUP($C$74,'DB animal categories'!$C$32:$AC$41,27,FALSE)*AJ75+Y75+Z75+AA75,0))))))</f>
        <v/>
      </c>
      <c r="BA75" s="506"/>
      <c r="BB75" s="506"/>
      <c r="BC75" s="506"/>
      <c r="BG75" s="1359"/>
      <c r="BH75" s="1362"/>
      <c r="BI75" s="600" t="str">
        <f>IF(BG75="","",$BA$71*BH75/100-($BB$71*BH75/100*VLOOKUP(BG75,'DB technologies'!$AC$16:$AT$20,5,FALSE)/100)+(VLOOKUP(BG75,'DB technologies'!$AC$16:$AT$20,12,FALSE)*$BA$71*BH75/100))</f>
        <v/>
      </c>
      <c r="BJ75" s="551">
        <f>IF(BI75="",0,BI75*BK75/100)</f>
        <v>0</v>
      </c>
      <c r="BK75" s="509" t="str">
        <f>IF(BG75="","",IF($BA$71=0,0,($BB$71*BH75/100)/BI75*(1-(VLOOKUP(BG75,'DB technologies'!$AC$16:$AQ$20,5,FALSE))/100)*100))</f>
        <v/>
      </c>
      <c r="BL75" s="267" t="str">
        <f>IF(BG75="","",$BD$71*BH75/100-BO75-BP75-BQ75-BR75)</f>
        <v/>
      </c>
      <c r="BM75" s="267" t="str">
        <f>IF(BG75="","",$BE$71*BH75/100-BS75)</f>
        <v/>
      </c>
      <c r="BN75" s="267" t="str">
        <f>IF(BG75="","",$BF$71*BH75/100-BT75)</f>
        <v/>
      </c>
      <c r="BO75" s="267" t="str">
        <f>IF(BG75="","",$BD$71*BH75/100*VLOOKUP(BG75,'DB technologies'!$AC$16:$AF$20,2,FALSE)/100)</f>
        <v/>
      </c>
      <c r="BP75" s="267" t="str">
        <f>IF(BG75="","",$BD$71*BH75/100*VLOOKUP(BG75,'DB technologies'!$AC$16:$AN$20,3,FALSE)/100)</f>
        <v/>
      </c>
      <c r="BQ75" s="268" t="str">
        <f>IF(BG75="","",$BD$71*BH75/100*VLOOKUP(BG75,'DB technologies'!$AC$16:$AN$20,4,FALSE)/100)</f>
        <v/>
      </c>
      <c r="BR75" s="266" t="str">
        <f>IF(BG75="","",VLOOKUP(BG75,'DB technologies'!$AC$16:$AQ$20,13,FALSE)/100*$BD$71*BH75/100)</f>
        <v/>
      </c>
      <c r="BS75" s="267" t="str">
        <f>IF(BG75="","",VLOOKUP(BG75,'DB technologies'!$AC$16:$AQ$20,14,FALSE)/100*$BE$71*BH75/100)</f>
        <v/>
      </c>
      <c r="BT75" s="268" t="str">
        <f>IF(BG75="","",VLOOKUP(BG75,'DB technologies'!$AC$16:$AQ$20,15,FALSE)/100*$BF$71*BH75/100)</f>
        <v/>
      </c>
    </row>
    <row r="76" spans="1:72" ht="11.25" customHeight="1" thickBot="1" x14ac:dyDescent="0.25">
      <c r="A76" s="684"/>
      <c r="B76" s="695"/>
      <c r="C76" s="255"/>
      <c r="D76" s="1357"/>
      <c r="E76" s="1358"/>
      <c r="F76" s="480" t="str">
        <f>IF('Calc (ex-animal)'!$F$9=1,"",IF($C$74=0,"",IF(D76="","",E76/'Calc (ex-animal)'!$E$19*100)))</f>
        <v/>
      </c>
      <c r="G76" s="485" t="str">
        <f>IF($C$74=0,"",IF('Calc (ex-animal)'!$F$8=1,"",IF(D76="","",SUM(H76:O76))))</f>
        <v/>
      </c>
      <c r="H76" s="423" t="str">
        <f>IF('Calc (ex-animal)'!$F$8=1,"",IF(D76="","",(((VLOOKUP($C$74,'Calc (ex-animal)'!$D$18:$Y$22,6,FALSE)-VLOOKUP($C$74,'Calc (ex-animal)'!$D$18:$Y$22,17,FALSE))*F76/100))*VLOOKUP($C$74,'Calc (ex-animal)'!$D$18:$Y$22,7,FALSE)/100*(1-VLOOKUP(D76,'DB technologies'!$N$40:$Y$51,9,FALSE)/100)))</f>
        <v/>
      </c>
      <c r="I76" s="423" t="str">
        <f>IF(D76="","",((VLOOKUP(D76,'DB technologies'!$N$40:$Y$51,2,FALSE)*VLOOKUP($C$74,'DB animal categories'!$C$32:$AC$41,27,FALSE)*E76/1000)/VLOOKUP($C$74,'DB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'!$S$6/100*(1-VLOOKUP(D76,'DB technologies'!$N$40:$Y$51,9,FALSE)/100)))</f>
        <v/>
      </c>
      <c r="J76" s="434" t="str">
        <f>IF(D76="","",((VLOOKUP(D76,'DB technologies'!$N$40:$Y$51,3,FALSE)*VLOOKUP($C$74,'DB animal categories'!$C$32:$AC$41,27,FALSE)*E76/1000)/VLOOKUP($C$74,'DB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'!$S$7/100*(1-VLOOKUP(D76,'DB technologies'!$N$40:$Y$51,9,FALSE)/100)))</f>
        <v/>
      </c>
      <c r="K76" s="434" t="str">
        <f>IF(D76="","",((VLOOKUP(D76,'DB technologies'!$N$40:$Y$51,4,FALSE)*E76*'DB additional information '!$S$8/100*(1-VLOOKUP(D76,'DB technologies'!$N$40:$Y$51,9,FALSE)/100))/VLOOKUP($C$74,'DB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L76" s="423" t="str">
        <f>IF('Calc (ex-animal)'!$F$8=1,"",IF(D76="","",(((VLOOKUP($C$74,'Calc (ex-animal)'!$D$18:$Y$22,6,FALSE)-VLOOKUP($C$74,'Calc (ex-animal)'!$D$18:$Y$22,17,FALSE))*F76/100))*(1-VLOOKUP($C$74,'Calc (ex-animal)'!$D$18:$Y$22,7,FALSE)/100)*(1-VLOOKUP(D76,'DB technologies'!$N$40:$V$51,8,FALSE)/100)))</f>
        <v/>
      </c>
      <c r="M76" s="434" t="str">
        <f>IF(D76="","",((VLOOKUP(D76,'DB technologies'!$N$40:$Y$51,2,FALSE)*VLOOKUP($C$74,'DB animal categories'!$C$32:$AC$41,27,FALSE)*E76/1000)/VLOOKUP($C$74,'DB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'!$S$6/100)*(1-VLOOKUP(D76,'DB technologies'!$N$40:$Y$51,9,FALSE)/100))</f>
        <v/>
      </c>
      <c r="N76" s="434" t="str">
        <f>IF(D76="","",((VLOOKUP(D76,'DB technologies'!$N$40:$Y$51,3,FALSE)*VLOOKUP($C$74,'DB animal categories'!$C$32:$AC$41,27,FALSE)*E76/1000)/VLOOKUP($C$74,'DB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'!$S$7/100)*(1-VLOOKUP(D76,'DB technologies'!$N$40:$Y$51,9,FALSE)/100))</f>
        <v/>
      </c>
      <c r="O76" s="423" t="str">
        <f>IF(D76="","",((VLOOKUP(D76,'DB technologies'!$N$40:$Y$51,4,FALSE)*E76*(1-'DB additional information '!$S$8/100)*(1-VLOOKUP(D76,'DB technologies'!$N$40:$Y$51,8,FALSE)/100))/VLOOKUP($C$74,'DB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P76" s="438" t="str">
        <f>IF(G76=0,0,IF(E76="","",IF(F76="","",IF($C$74=0,"",IF(D76="","",SUM(H76:K76)/G76*100)))))</f>
        <v/>
      </c>
      <c r="Q76" s="416" t="str">
        <f>IF(D76="","",(VLOOKUP(D76,'DB technologies'!$N$40:$Y$51,2,FALSE)*'DB additional information '!$S$6/100*'DB additional information '!$T$6*VLOOKUP($C$74,'DB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R76" s="416" t="str">
        <f>IF(D76="","",(VLOOKUP(D76,'DB technologies'!$N$40:$Y$51,3,FALSE)*'DB additional information '!$S$7/100*'DB additional information '!$T$7*VLOOKUP($C$74,'DB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S76" s="491" t="str">
        <f>IF(D76="","",(VLOOKUP(D76,'DB technologies'!$N$40:$Y$51,4,FALSE)*('DB additional information '!$S$8/100*'DB additional information '!$T$8*E76/1000/1000)))</f>
        <v/>
      </c>
      <c r="T76" s="264" t="str">
        <f>IF($C$74=0,"",IF('Calc (ex-animal)'!$F$9=1,"",IF(D76="","",((VLOOKUP($C$74,'Calc (ex-animal)'!$D$18:$Y$22,10,FALSE)-VLOOKUP($C$74,'Calc (ex-animal)'!$D$18:$Y$22,18,FALSE))*F76/100+Q76+R76+S76)-AC76-AD76-AE76)))</f>
        <v/>
      </c>
      <c r="U76" s="422" t="str">
        <f>IF(D76="","",(VLOOKUP(D76,'DB technologies'!$N$40:$Y$51,2,FALSE)*'DB additional information '!$S$6/100*'DB additional information '!$U$6*VLOOKUP($C$74,'DB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V76" s="418" t="str">
        <f>IF(D76="","",(VLOOKUP(D76,'DB technologies'!$N$40:$Y$51,3,FALSE)*'DB additional information '!$S$7/100*'DB additional information '!$U$7*VLOOKUP($C$74,'DB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W76" s="417" t="str">
        <f>IF(D76="","",(VLOOKUP(D76,'DB technologies'!$N$40:$Y$51,4,FALSE)*('DB additional information '!$S$8/100*'DB additional information '!$U$8*E76/1000/1000)))</f>
        <v/>
      </c>
      <c r="X76" s="261" t="str">
        <f>IF($C$74=0,"",IF('Calc (ex-animal)'!$F$9=1,"",IF(D76="","",((VLOOKUP($C$74,'Calc (ex-animal)'!$D$18:$Y$22,13,FALSE)-VLOOKUP($C$74,'Calc (ex-animal)'!$D$18:$Y$22,19,FALSE))*F76/100+U76+V76+W76))))</f>
        <v/>
      </c>
      <c r="Y76" s="418" t="str">
        <f>IF(D76="","",(VLOOKUP(D76,'DB technologies'!$N$40:$Y$51,2,FALSE)*'DB additional information '!$S$6/100*'DB additional information '!$V$6*VLOOKUP($C$74,'DB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Z76" s="418" t="str">
        <f>IF(D76="","",(VLOOKUP(D76,'DB technologies'!$N$40:$Y$51,3,FALSE)*'DB additional information '!$S$7/100*'DB additional information '!$V$7*VLOOKUP($C$74,'DB animal categories'!$C$32:$AC$41,27,FALSE)*E76/1000/1000)/VLOOKUP($C$74,'DB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AA76" s="418" t="str">
        <f>IF(D76="","",(VLOOKUP(D76,'DB technologies'!$N$40:$Y$51,4,FALSE)*('DB additional information '!$S$8/100*'DB additional information '!$V$8*E76/1000/1000)))</f>
        <v/>
      </c>
      <c r="AB76" s="261" t="str">
        <f>IF($C$74=0,"",IF('Calc (ex-animal)'!$F$8=1,"",IF(D76="","",((VLOOKUP($C$74,'Calc (ex-animal)'!$D$18:$Y$22,16,FALSE)-VLOOKUP($C$74,'Calc (ex-animal)'!$D$18:$Y$22,20,FALSE))*F76/100+Y76+Z76+AA76))))</f>
        <v/>
      </c>
      <c r="AC76" s="261" t="str">
        <f>IF($C$74=0,"",IF('Calc (ex-animal)'!$F$8=1,"",IF(D76="","",VLOOKUP($C$74,'Calc (ex-animal)'!$D$18:$Y$22,9,FALSE)/VLOOKUP($C$74,'DB animal categories'!$C$32:$AC$41,27,FALSE)*(VLOOKUP($C$74,'DB animal categories'!$C$32:$AC$41,27,FALSE)-VLOOKUP($C$74,'DB animal categories'!$C$32:$AC$41,25,FALSE)*VLOOKUP($C$74,'DB animal categories'!$C$32:$AC$41,26,FALSE)/24)*F76/100*VLOOKUP(D76,'DB technologies'!$N$40:$R$51,5,FALSE)/100)))</f>
        <v/>
      </c>
      <c r="AD76" s="261" t="str">
        <f>IF($C$74=0,"",IF('Calc (ex-animal)'!$F$8=1,"",IF(D76="","",VLOOKUP($C$74,'Calc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categories'!$C$32:$AC$41,26,FALSE)/24)*F76/100*VLOOKUP(D76,'DB technologies'!$N$40:$Y$51,6,FALSE)/100)))</f>
        <v/>
      </c>
      <c r="AE76" s="262" t="str">
        <f>IF($C$74=0,"",IF('Calc (ex-animal)'!$F$8=1,"",IF(D76="","",VLOOKUP($C$74,'Calc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categories'!$C$32:$AC$41,26,FALSE)/24)*F76/100*VLOOKUP(D76,'DB technologies'!$N$40:$Y$51,7,FALSE)/100)))</f>
        <v/>
      </c>
      <c r="AG76" s="698"/>
      <c r="AH76" s="696"/>
      <c r="AI76" s="181" t="str">
        <f>IF(D76="","",VLOOKUP(D76,'DB technologies'!$N$40:$Y$51,10,FALSE))</f>
        <v/>
      </c>
      <c r="AJ76" s="449" t="e">
        <f>VLOOKUP($C$74,'DB animal categories'!$C$32:$AN$41,27,FALSE)-VLOOKUP($C$74,'DB animal categories'!$C$32:$AN$41,26,FALSE)*VLOOKUP($C$74,'DB animal categories'!$C$32:$AN$41,25,FALSE)/24</f>
        <v>#N/A</v>
      </c>
      <c r="AK76" s="442" t="str">
        <f>IF(AI76="","",AL76+AM76)</f>
        <v/>
      </c>
      <c r="AL76" s="442" t="str">
        <f>IF(D76="","",IF(AI76=2,(('Calc (ex-animal)'!$G$19*'DB additional information '!$K$7/100*(1-VLOOKUP(D76,'DB technologies'!$N$40:$Y$51,9,FALSE)/100)*'Calc (ex-housing, ex-storage)'!F76/100+'Calc (ex-animal)'!$H$19*'DB additional information '!$L$7/100*(1-VLOOKUP(D76,'DB technologies'!$N$40:$Y$51,9,FALSE)/100)*'Calc (ex-housing, ex-storage)'!F76/100))/VLOOKUP($C$74,'DB animal categories'!$C$32:$AC$41,27,FALSE)*AJ76+I76+J76+K76,IF(AI76=1,('Calc (ex-animal)'!$H$19*'DB additional information '!$L$7/100*(1-VLOOKUP(D76,'DB technologies'!$N$40:$Y$51,9,FALSE)/100)*'Calc (ex-housing, ex-storage)'!F76/100)/VLOOKUP($C$74,'DB animal categories'!$C$32:$AC$41,27,FALSE)*AJ76,IF(AI76=4,('Calc (ex-animal)'!$G$19*'DB additional information '!$K$7/100+'Calc (ex-animal)'!$H$19*'DB additional information '!$L$7/100)*(1-VLOOKUP(D76,'DB technologies'!$N$40:$Y$51,9,FALSE)/100)*'Calc (ex-housing, ex-storage)'!F76/100*VLOOKUP(D76,'DB technologies'!$N$40:$Y$51,11,FALSE)/100/VLOOKUP($C$74,'DB animal categories'!$C$32:$AC$41,27,FALSE)*AJ76,0))))</f>
        <v/>
      </c>
      <c r="AM76" s="442" t="str">
        <f>IF(D76="","",IF(AI76=2,(('Calc (ex-animal)'!$G$19*(1-'DB additional information '!$K$7/100)*(1-VLOOKUP(D76,'DB technologies'!$N$40:$Y$51,8,FALSE)/100)*'Calc (ex-housing, ex-storage)'!F76/100+'Calc (ex-animal)'!$H$19*(1-'DB additional information '!$L$7/100)*(1-VLOOKUP(D76,'DB technologies'!$N$40:$Y$51,8,FALSE)/100)*'Calc (ex-housing, ex-storage)'!F76/100))/VLOOKUP($C$74,'DB animal categories'!$C$32:$AC$41,27,FALSE)*AJ76+M76+N76+O76,IF(AI76=1,('Calc (ex-animal)'!$H$19*(1-'DB additional information '!$L$7/100)*(1-VLOOKUP(D76,'DB technologies'!$N$40:$Y$51,8,FALSE)/100)*'Calc (ex-housing, ex-storage)'!F76/100)/VLOOKUP($C$74,'DB animal categories'!$C$32:$AC$41,27,FALSE)*AJ76,IF(AI76=4,('Calc (ex-animal)'!$G$19*(1-'DB additional information '!$K$7/100)+'Calc (ex-animal)'!$H$19*(1-'DB additional information '!$L$7/100))*(1-VLOOKUP(D76,'DB technologies'!$N$40:$Y$51,8,FALSE)/100)*'Calc (ex-housing, ex-storage)'!F76/100*VLOOKUP(D76,'DB technologies'!$N$40:$Y$51,11,FALSE)/100/VLOOKUP($C$74,'DB animal categories'!$C$32:$AC$41,27,FALSE)*AJ76,0))))</f>
        <v/>
      </c>
      <c r="AN76" s="442" t="str">
        <f>IF(AI76="","",IF(AL76=0,0,AL76/AK76*100))</f>
        <v/>
      </c>
      <c r="AO76" s="182" t="str">
        <f>IF(D76="","",IF(AI76=2,(('Calc (ex-animal)'!$L$19*'Calc (ex-housing, ex-storage)'!F76/100+'Calc (ex-animal)'!$K$19*'Calc (ex-housing, ex-storage)'!F76/100))/VLOOKUP($C$74,'DB animal categories'!$C$32:$AC$41,27,FALSE)*AJ76+Q76+R76+S76-AC76,IF(AI76=1,('Calc (ex-animal)'!$L$19*'Calc (ex-housing, ex-storage)'!F76/100)/VLOOKUP($C$74,'DB animal categories'!$C$32:$AC$41,27,FALSE)*AJ76-'Calc (ex-housing, ex-storage)'!AC76,IF(AI76=4,('Calc (ex-animal)'!$L$19+'Calc (ex-animal)'!$K$19)*'Calc (ex-housing, ex-storage)'!F76/100*VLOOKUP(D76,'DB technologies'!$N$40:$Y$51,11,FALSE)/100/VLOOKUP($C$74,'DB animal categories'!$C$32:$AC$41,27,FALSE)*AJ76-AC76*VLOOKUP(D76,'DB technologies'!$N$40:$Y$51,11,FALSE)/100,0))))</f>
        <v/>
      </c>
      <c r="AP76" s="182" t="str">
        <f>IF(D76="","",IF(AO76&lt;-0.01,0,IF(AI76=2,(('Calc (ex-animal)'!$L$19*'Calc (ex-housing, ex-storage)'!F76/100+'Calc (ex-animal)'!$K$19*'Calc (ex-housing, ex-storage)'!F76/100))/VLOOKUP($C$74,'DB animal categories'!$C$32:$AC$41,27,FALSE)*AJ76+Q76+R76+S76-AC76,IF(AI76=1,('Calc (ex-animal)'!$L$19*'Calc (ex-housing, ex-storage)'!F76/100)/VLOOKUP($C$74,'DB animal categories'!$C$32:$AC$41,27,FALSE)*AJ76-'Calc (ex-housing, ex-storage)'!AC76,IF(AI76=4,('Calc (ex-animal)'!$L$19+'Calc (ex-animal)'!$K$19)*'Calc (ex-housing, ex-storage)'!F76/100*VLOOKUP(D76,'DB technologies'!$N$40:$Y$51,11,FALSE)/100/VLOOKUP($C$74,'DB animal categories'!$C$32:$AC$41,27,FALSE)*AJ76-AC76*VLOOKUP(D76,'DB technologies'!$N$40:$Y$51,11,FALSE)/100,0)))))</f>
        <v/>
      </c>
      <c r="AQ76" s="182" t="str">
        <f>IF(D76="","",IF(AI76=2,('Calc (ex-animal)'!$O$19*'Calc (ex-housing, ex-storage)'!F76/100+'Calc (ex-animal)'!$N$19*'Calc (ex-housing, ex-storage)'!F76/100)/VLOOKUP($C$74,'DB animal categories'!$C$32:$AC$41,27,FALSE)*AJ76+U76+V76+W76,IF(AI76=1,'Calc (ex-animal)'!$O$19*'Calc (ex-housing, ex-storage)'!F76/100/VLOOKUP($C$74,'DB animal categories'!$C$32:$AC$41,27,FALSE)*AJ76,IF(AI76=4,('Calc (ex-animal)'!$O$19+'Calc (ex-animal)'!$N$19)*'Calc (ex-housing, ex-storage)'!F76/100*VLOOKUP(D76,'DB technologies'!$N$40:$Y$51,11,FALSE)/100/VLOOKUP($C$74,'DB animal categories'!$C$32:$AC$41,27,FALSE)*AJ76,0))))</f>
        <v/>
      </c>
      <c r="AR76" s="182" t="str">
        <f>IF(D76="","",IF(AI76=2,('Calc (ex-animal)'!$R$19*'Calc (ex-housing, ex-storage)'!F76/100+'Calc (ex-animal)'!$Q$19*'Calc (ex-housing, ex-storage)'!F76/100)/VLOOKUP($C$74,'DB animal categories'!$C$32:$AC$41,27,FALSE)*AJ76+Y76+Z76+AA76,IF(AI76=1,'Calc (ex-animal)'!$R$19*'Calc (ex-housing, ex-storage)'!F76/100/VLOOKUP($C$74,'DB animal categories'!$C$32:$AC$41,27,FALSE)*AJ76,IF(AI76=4,('Calc (ex-animal)'!$R$19+'Calc (ex-animal)'!$Q$19)*'Calc (ex-housing, ex-storage)'!F76/100*VLOOKUP(D76,'DB technologies'!$N$40:$Y$51,11,FALSE)/100/VLOOKUP($C$74,'DB animal categories'!$C$32:$AC$41,27,FALSE)*AJ76,0))))</f>
        <v/>
      </c>
      <c r="AS76" s="181" t="str">
        <f>IF(D76="","",VLOOKUP(D76,'DB technologies'!$N$40:$Y$51,10,FALSE))</f>
        <v/>
      </c>
      <c r="AT76" s="442" t="str">
        <f>IF(AS76="","",AU76+AV76)</f>
        <v/>
      </c>
      <c r="AU76" s="442" t="str">
        <f>IF(D76="","",IF(AS76=2,0,IF(AS76=1,'Calc (ex-animal)'!$G$19*'DB additional information '!$K$7/100*(1-VLOOKUP(D76,'DB technologies'!$N$40:$Y$51,8,FALSE)/100)*'Calc (ex-housing, ex-storage)'!F76/100/VLOOKUP($C$74,'DB animal categories'!$C$32:$AC$41,27,FALSE)*AJ76+I76+J76+K76,IF(AS76=5,(('Calc (ex-animal)'!$G$19*'DB additional information '!$K$7/100+'Calc (ex-animal)'!$H$19*'DB additional information '!$L$7/100))*(1-VLOOKUP(D76,'DB technologies'!$N$40:$Y$51,9,FALSE)/100)*'Calc (ex-housing, ex-storage)'!F76/100/VLOOKUP($C$74,'DB animal categories'!$C$32:$AC$41,27,FALSE)*AJ76+I76+J76+K76,IF(AS76=3,('Calc (ex-animal)'!$G$19*'DB additional information '!$K$7/100+'Calc (ex-animal)'!$H$19*'DB additional information '!$L$7/100)*(1-VLOOKUP(D76,'DB technologies'!$N$40:$Y$51,9,FALSE)/100)*'Calc (ex-housing, ex-storage)'!F76/100/VLOOKUP($C$74,'DB animal categories'!$C$32:$AC$41,27,FALSE)*AJ76+I76+J76+K76,IF(AS76=4,('Calc (ex-animal)'!$G$19*'DB additional information '!$K$7/100+'Calc (ex-animal)'!$H$19*'DB additional information '!$L$7/100)*(1-VLOOKUP(D76,'DB technologies'!$N$40:$Y$51,9,FALSE)/100)*'Calc (ex-housing, ex-storage)'!F76/100*VLOOKUP(D76,'DB technologies'!$N$40:$Y$51,12,FALSE)/100/VLOOKUP($C$74,'DB animal categories'!$C$32:$AC$41,27,FALSE)*AJ76+I76+J76+K76,0))))))</f>
        <v/>
      </c>
      <c r="AV76" s="442" t="str">
        <f>IF(D76="","",IF(AS76=2,0,IF(AS76=1,'Calc (ex-animal)'!$G$19*(1-'DB additional information '!$K$7/100)*(1-VLOOKUP(D76,'DB technologies'!$N$40:$Y$51,8,FALSE)/100)*'Calc (ex-housing, ex-storage)'!F76/100/VLOOKUP($C$74,'DB animal categories'!$C$32:$AC$41,27,FALSE)*AJ76+M76+N76+O76,IF(AS76=5,('Calc (ex-animal)'!$G$19*(1-'DB additional information '!$K$7/100)+'Calc (ex-animal)'!$H$19*(1-'DB additional information '!$L$7/100))*(1-VLOOKUP(D76,'DB technologies'!$N$40:$Y$51,8,FALSE)/100)*'Calc (ex-housing, ex-storage)'!F76/100/VLOOKUP($C$74,'DB animal categories'!$C$32:$AC$41,27,FALSE)*AJ76+M76+N76+O76,IF(AS76=3,('Calc (ex-animal)'!$G$19*(1-'DB additional information '!$K$7/100)+'Calc (ex-animal)'!$H$19*(1-'DB additional information '!$L$7/100))*(1-VLOOKUP(D76,'DB technologies'!$N$40:$Y$51,8,FALSE)/100)*'Calc (ex-housing, ex-storage)'!F76/100/VLOOKUP($C$74,'DB animal categories'!$C$32:$AC$41,27,FALSE)*AJ76+M76+N76+O76,IF(AS76=4,('Calc (ex-animal)'!$G$19*(1-'DB additional information '!$K$7/100)+'Calc (ex-animal)'!$H$19*(1-'DB additional information '!$L$7/100))*(1-VLOOKUP(D76,'DB technologies'!$N$40:$Y$51,8,FALSE)/100)*'Calc (ex-housing, ex-storage)'!F76/100*VLOOKUP(D76,'DB technologies'!$N$40:$Y$51,12,FALSE)/100/VLOOKUP($C$74,'DB animal categories'!$C$32:$AC$41,27,FALSE)*AJ76+M76+N76+O76,0))))))</f>
        <v/>
      </c>
      <c r="AW76" s="442" t="str">
        <f>IF(AS76="","",IF(AU76=0,0,AU76/AT76*100))</f>
        <v/>
      </c>
      <c r="AX76" s="182" t="str">
        <f>IF(D76="","",IF(AS76=2,0,IF(AS76=1,'Calc (ex-animal)'!$K$19*'Calc (ex-housing, ex-storage)'!F76/100/VLOOKUP($C$74,'DB animal categories'!$C$32:$AC$41,27,FALSE)*AJ76+Q76+R76+S76,IF(AS76=5,('Calc (ex-animal)'!$K$19+'Calc (ex-animal)'!$L$19)*'Calc (ex-housing, ex-storage)'!F76/100/VLOOKUP($C$74,'DB animal categories'!$C$32:$AC$41,27,FALSE)*AJ76+Q76+R76+S76-'Calc (ex-housing, ex-storage)'!AC76,IF(AS76=3,('Calc (ex-animal)'!$K$19+'Calc (ex-animal)'!$L$19)*'Calc (ex-housing, ex-storage)'!F76/100/VLOOKUP($C$74,'DB animal categories'!$C$32:$AC$41,27,FALSE)*AJ76+Q76+R76+S76-'Calc (ex-housing, ex-storage)'!AC76-AD76-AE76,IF(AI76=4,('Calc (ex-animal)'!$K$19+'Calc (ex-animal)'!$L$19)*'Calc (ex-housing, ex-storage)'!F76/100*VLOOKUP(D76,'DB technologies'!$N$40:$Y$51,12,FALSE)/100/VLOOKUP($C$74,'DB animal categories'!$C$32:$AC$41,27,FALSE)*AJ76+Q76+R76+S76-(VLOOKUP(D76,'DB technologies'!$N$40:$Y$51,12,FALSE)/100*AC76)-AD76-AE76,0))))))</f>
        <v/>
      </c>
      <c r="AY76" s="182" t="str">
        <f>IF(D76="","",IF(AS76=2,0,IF(AS76=1,'Calc (ex-animal)'!$N$19*'Calc (ex-housing, ex-storage)'!F76/100/VLOOKUP($C$74,'DB animal categories'!$C$32:$AC$41,27,FALSE)*AJ76+U76+V76+W76,IF(AS76=5,('Calc (ex-animal)'!$N$19+'Calc (ex-animal)'!$O$19)*'Calc (ex-housing, ex-storage)'!F76/100/VLOOKUP($C$74,'DB animal categories'!$C$32:$AC$41,27,FALSE)*AJ76+U76+V76+W76,IF(AS76=3,('Calc (ex-animal)'!$N$19+'Calc (ex-animal)'!$O$19)*'Calc (ex-housing, ex-storage)'!F76/100/VLOOKUP($C$74,'DB animal categories'!$C$32:$AC$41,27,FALSE)*AJ76+U76+V76+W76,IF(AS76=4,('Calc (ex-animal)'!$N$19+'Calc (ex-animal)'!$O$19)*'Calc (ex-housing, ex-storage)'!F76/100*VLOOKUP(D76,'DB technologies'!$N$40:$Y$51,12,FALSE)/100/VLOOKUP($C$74,'DB animal categories'!$C$32:$AC$41,27,FALSE)*AJ76+U76+V76+W76,0))))))</f>
        <v/>
      </c>
      <c r="AZ76" s="182" t="str">
        <f>IF(D76="","",IF(AS76=2,0,IF(AS76=1,'Calc (ex-animal)'!$Q$19*'Calc (ex-housing, ex-storage)'!F76/100/VLOOKUP($C$74,'DB animal categories'!$C$32:$AC$41,27,FALSE)*AJ76+Y76+Z76+AA76,IF(AS76=5,('Calc (ex-animal)'!$Q$19+'Calc (ex-animal)'!$R$19)*'Calc (ex-housing, ex-storage)'!F76/100/VLOOKUP($C$74,'DB animal categories'!$C$32:$AC$41,27,FALSE)*AJ76+Y76+Z76+AA76,IF(AS76=3,('Calc (ex-animal)'!$Q$19+'Calc (ex-animal)'!$R$19)*'Calc (ex-housing, ex-storage)'!F76/100/VLOOKUP($C$74,'DB animal categories'!$C$32:$AC$41,27,FALSE)*AJ76+Y76+Z76+AA76,IF(AS76=4,('Calc (ex-animal)'!$Q$19+'Calc (ex-animal)'!$R$19)*'Calc (ex-housing, ex-storage)'!F76/100*VLOOKUP(D76,'DB technologies'!$N$40:$Y$51,12,FALSE)/100/VLOOKUP($C$74,'DB animal categories'!$C$32:$AC$41,27,FALSE)*AJ76+Y76+Z76+AA76,0))))))</f>
        <v/>
      </c>
      <c r="BA76" s="506"/>
      <c r="BB76" s="506"/>
      <c r="BC76" s="506"/>
      <c r="BG76" s="574" t="s">
        <v>58</v>
      </c>
      <c r="BH76" s="315">
        <f>IF(SUM(BH71:BH75) &gt;100,"ERROR, SUM&gt;100%",SUM(BH71:BH75))</f>
        <v>0</v>
      </c>
      <c r="BI76" s="601">
        <f>SUM(BI71:BI75)</f>
        <v>0</v>
      </c>
      <c r="BJ76" s="593">
        <f>SUM(BJ71:BJ75)</f>
        <v>0</v>
      </c>
      <c r="BK76" s="597">
        <f>IF(BI76=0,0,BJ76/BI76*100)</f>
        <v>0</v>
      </c>
      <c r="BL76" s="307">
        <f>SUM(BL71:BL75)</f>
        <v>0</v>
      </c>
      <c r="BM76" s="307">
        <f t="shared" ref="BM76:BT76" si="11">SUM(BM71:BM75)</f>
        <v>0</v>
      </c>
      <c r="BN76" s="307">
        <f t="shared" si="11"/>
        <v>0</v>
      </c>
      <c r="BO76" s="307">
        <f t="shared" si="11"/>
        <v>0</v>
      </c>
      <c r="BP76" s="307">
        <f t="shared" si="11"/>
        <v>0</v>
      </c>
      <c r="BQ76" s="308">
        <f t="shared" si="11"/>
        <v>0</v>
      </c>
      <c r="BR76" s="309">
        <f t="shared" si="11"/>
        <v>0</v>
      </c>
      <c r="BS76" s="307">
        <f t="shared" si="11"/>
        <v>0</v>
      </c>
      <c r="BT76" s="308">
        <f t="shared" si="11"/>
        <v>0</v>
      </c>
    </row>
    <row r="77" spans="1:72" ht="11.25" customHeight="1" x14ac:dyDescent="0.2">
      <c r="A77" s="684"/>
      <c r="B77" s="695"/>
      <c r="C77" s="255"/>
      <c r="D77" s="1357"/>
      <c r="E77" s="1358"/>
      <c r="F77" s="480" t="str">
        <f>IF('Calc (ex-animal)'!$F$9=1,"",IF($C$74=0,"",IF(D77="","",E77/'Calc (ex-animal)'!$E$19*100)))</f>
        <v/>
      </c>
      <c r="G77" s="485" t="str">
        <f>IF($C$74=0,"",IF('Calc (ex-animal)'!$F$8=1,"",IF(D77="","",SUM(H77:O77))))</f>
        <v/>
      </c>
      <c r="H77" s="423" t="str">
        <f>IF('Calc (ex-animal)'!$F$8=1,"",IF(D77="","",(((VLOOKUP($C$74,'Calc (ex-animal)'!$D$18:$Y$22,6,FALSE)-VLOOKUP($C$74,'Calc (ex-animal)'!$D$18:$Y$22,17,FALSE))*F77/100))*VLOOKUP($C$74,'Calc (ex-animal)'!$D$18:$Y$22,7,FALSE)/100*(1-VLOOKUP(D77,'DB technologies'!$N$40:$Y$51,9,FALSE)/100)))</f>
        <v/>
      </c>
      <c r="I77" s="423" t="str">
        <f>IF(D77="","",((VLOOKUP(D77,'DB technologies'!$N$40:$Y$51,2,FALSE)*VLOOKUP($C$74,'DB animal categories'!$C$32:$AC$41,27,FALSE)*E77/1000)/VLOOKUP($C$74,'DB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'!$S$6/100*(1-VLOOKUP(D77,'DB technologies'!$N$40:$Y$51,9,FALSE)/100)))</f>
        <v/>
      </c>
      <c r="J77" s="434" t="str">
        <f>IF(D77="","",((VLOOKUP(D77,'DB technologies'!$N$40:$Y$51,3,FALSE)*VLOOKUP($C$74,'DB animal categories'!$C$32:$AC$41,27,FALSE)*E77/1000)/VLOOKUP($C$74,'DB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'!$S$7/100*(1-VLOOKUP(D77,'DB technologies'!$N$40:$Y$51,9,FALSE)/100)))</f>
        <v/>
      </c>
      <c r="K77" s="434" t="str">
        <f>IF(D77="","",((VLOOKUP(D77,'DB technologies'!$N$40:$Y$51,4,FALSE)*E77*'DB additional information '!$S$8/100*(1-VLOOKUP(D77,'DB technologies'!$N$40:$Y$51,9,FALSE)/100))/VLOOKUP($C$74,'DB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L77" s="423" t="str">
        <f>IF('Calc (ex-animal)'!$F$8=1,"",IF(D77="","",(((VLOOKUP($C$74,'Calc (ex-animal)'!$D$18:$Y$22,6,FALSE)-VLOOKUP($C$74,'Calc (ex-animal)'!$D$18:$Y$22,17,FALSE))*F77/100))*(1-VLOOKUP($C$74,'Calc (ex-animal)'!$D$18:$Y$22,7,FALSE)/100)*(1-VLOOKUP(D77,'DB technologies'!$N$40:$V$51,8,FALSE)/100)))</f>
        <v/>
      </c>
      <c r="M77" s="434" t="str">
        <f>IF(D77="","",((VLOOKUP(D77,'DB technologies'!$N$40:$Y$51,2,FALSE)*VLOOKUP($C$74,'DB animal categories'!$C$32:$AC$41,27,FALSE)*E77/1000)/VLOOKUP($C$74,'DB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'!$S$6/100)*(1-VLOOKUP(D77,'DB technologies'!$N$40:$Y$51,9,FALSE)/100))</f>
        <v/>
      </c>
      <c r="N77" s="434" t="str">
        <f>IF(D77="","",((VLOOKUP(D77,'DB technologies'!$N$40:$Y$51,3,FALSE)*VLOOKUP($C$74,'DB animal categories'!$C$32:$AC$41,27,FALSE)*E77/1000)/VLOOKUP($C$74,'DB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'!$S$7/100)*(1-VLOOKUP(D77,'DB technologies'!$N$40:$Y$51,9,FALSE)/100))</f>
        <v/>
      </c>
      <c r="O77" s="423" t="str">
        <f>IF(D77="","",((VLOOKUP(D77,'DB technologies'!$N$40:$Y$51,4,FALSE)*E77*(1-'DB additional information '!$S$8/100)*(1-VLOOKUP(D77,'DB technologies'!$N$40:$Y$51,8,FALSE)/100))/VLOOKUP($C$74,'DB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P77" s="438" t="str">
        <f>IF(G77=0,0,IF(E77="","",IF(F77="","",IF($C$74=0,"",IF(D77="","",SUM(H77:K77)/G77*100)))))</f>
        <v/>
      </c>
      <c r="Q77" s="416" t="str">
        <f>IF(D77="","",(VLOOKUP(D77,'DB technologies'!$N$40:$Y$51,2,FALSE)*'DB additional information '!$S$6/100*'DB additional information '!$T$6*VLOOKUP($C$74,'DB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R77" s="416" t="str">
        <f>IF(D77="","",(VLOOKUP(D77,'DB technologies'!$N$40:$Y$51,3,FALSE)*'DB additional information '!$S$7/100*'DB additional information '!$T$7*VLOOKUP($C$74,'DB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S77" s="491" t="str">
        <f>IF(D77="","",(VLOOKUP(D77,'DB technologies'!$N$40:$Y$51,4,FALSE)*('DB additional information '!$S$8/100*'DB additional information '!$T$8*E77/1000/1000)))</f>
        <v/>
      </c>
      <c r="T77" s="264" t="str">
        <f>IF($C$74=0,"",IF('Calc (ex-animal)'!$F$9=1,"",IF(D77="","",((VLOOKUP($C$74,'Calc (ex-animal)'!$D$18:$Y$22,10,FALSE)-VLOOKUP($C$74,'Calc (ex-animal)'!$D$18:$Y$22,18,FALSE))*F77/100+Q77+R77+S77)-AC77-AD77-AE77)))</f>
        <v/>
      </c>
      <c r="U77" s="422" t="str">
        <f>IF(D77="","",(VLOOKUP(D77,'DB technologies'!$N$40:$Y$51,2,FALSE)*'DB additional information '!$S$6/100*'DB additional information '!$U$6*VLOOKUP($C$74,'DB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V77" s="418" t="str">
        <f>IF(D77="","",(VLOOKUP(D77,'DB technologies'!$N$40:$Y$51,3,FALSE)*'DB additional information '!$S$7/100*'DB additional information '!$U$7*VLOOKUP($C$74,'DB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W77" s="417" t="str">
        <f>IF(D77="","",(VLOOKUP(D77,'DB technologies'!$N$40:$Y$51,4,FALSE)*('DB additional information '!$S$8/100*'DB additional information '!$U$8*E77/1000/1000)))</f>
        <v/>
      </c>
      <c r="X77" s="261" t="str">
        <f>IF($C$74=0,"",IF('Calc (ex-animal)'!$F$9=1,"",IF(D77="","",((VLOOKUP($C$74,'Calc (ex-animal)'!$D$18:$Y$22,13,FALSE)-VLOOKUP($C$74,'Calc (ex-animal)'!$D$18:$Y$22,19,FALSE))*F77/100+U77+V77+W77))))</f>
        <v/>
      </c>
      <c r="Y77" s="418" t="str">
        <f>IF(D77="","",(VLOOKUP(D77,'DB technologies'!$N$40:$Y$51,2,FALSE)*'DB additional information '!$S$6/100*'DB additional information '!$V$6*VLOOKUP($C$74,'DB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Z77" s="418" t="str">
        <f>IF(D77="","",(VLOOKUP(D77,'DB technologies'!$N$40:$Y$51,3,FALSE)*'DB additional information '!$S$7/100*'DB additional information '!$V$7*VLOOKUP($C$74,'DB animal categories'!$C$32:$AC$41,27,FALSE)*E77/1000/1000)/VLOOKUP($C$74,'DB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AA77" s="418" t="str">
        <f>IF(D77="","",(VLOOKUP(D77,'DB technologies'!$N$40:$Y$51,4,FALSE)*('DB additional information '!$S$8/100*'DB additional information '!$V$8*E77/1000/1000)))</f>
        <v/>
      </c>
      <c r="AB77" s="261" t="str">
        <f>IF($C$74=0,"",IF('Calc (ex-animal)'!$F$8=1,"",IF(D77="","",((VLOOKUP($C$74,'Calc (ex-animal)'!$D$18:$Y$22,16,FALSE)-VLOOKUP($C$74,'Calc (ex-animal)'!$D$18:$Y$22,20,FALSE))*F77/100+Y77+Z77+AA77))))</f>
        <v/>
      </c>
      <c r="AC77" s="261" t="str">
        <f>IF($C$74=0,"",IF('Calc (ex-animal)'!$F$8=1,"",IF(D77="","",VLOOKUP($C$74,'Calc (ex-animal)'!$D$18:$Y$22,9,FALSE)/VLOOKUP($C$74,'DB animal categories'!$C$32:$AC$41,27,FALSE)*(VLOOKUP($C$74,'DB animal categories'!$C$32:$AC$41,27,FALSE)-VLOOKUP($C$74,'DB animal categories'!$C$32:$AC$41,25,FALSE)*VLOOKUP($C$74,'DB animal categories'!$C$32:$AC$41,26,FALSE)/24)*F77/100*VLOOKUP(D77,'DB technologies'!$N$40:$R$51,5,FALSE)/100)))</f>
        <v/>
      </c>
      <c r="AD77" s="261" t="str">
        <f>IF($C$74=0,"",IF('Calc (ex-animal)'!$F$8=1,"",IF(D77="","",VLOOKUP($C$74,'Calc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categories'!$C$32:$AC$41,26,FALSE)/24)*F77/100*VLOOKUP(D77,'DB technologies'!$N$40:$Y$51,6,FALSE)/100)))</f>
        <v/>
      </c>
      <c r="AE77" s="262" t="str">
        <f>IF($C$74=0,"",IF('Calc (ex-animal)'!$F$8=1,"",IF(D77="","",VLOOKUP($C$74,'Calc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categories'!$C$32:$AC$41,26,FALSE)/24)*F77/100*VLOOKUP(D77,'DB technologies'!$N$40:$Y$51,7,FALSE)/100)))</f>
        <v/>
      </c>
      <c r="AG77" s="698"/>
      <c r="AH77" s="694" t="s">
        <v>130</v>
      </c>
      <c r="AI77" s="181" t="str">
        <f>IF(D77="","",VLOOKUP(D77,'DB technologies'!$N$40:$Y$51,10,FALSE))</f>
        <v/>
      </c>
      <c r="AJ77" s="449" t="e">
        <f>VLOOKUP($C$74,'DB animal categories'!$C$32:$AN$41,27,FALSE)-VLOOKUP($C$74,'DB animal categories'!$C$32:$AN$41,26,FALSE)*VLOOKUP($C$74,'DB animal categories'!$C$32:$AN$41,25,FALSE)/24</f>
        <v>#N/A</v>
      </c>
      <c r="AK77" s="442" t="str">
        <f>IF(AI77="","",AL77+AM77)</f>
        <v/>
      </c>
      <c r="AL77" s="442" t="str">
        <f>IF(D77="","",IF(AI77=2,(('Calc (ex-animal)'!$G$19*'DB additional information '!$K$7/100*(1-VLOOKUP(D77,'DB technologies'!$N$40:$Y$51,9,FALSE)/100)*'Calc (ex-housing, ex-storage)'!F77/100+'Calc (ex-animal)'!$H$19*'DB additional information '!$L$7/100*(1-VLOOKUP(D77,'DB technologies'!$N$40:$Y$51,9,FALSE)/100)*'Calc (ex-housing, ex-storage)'!F77/100))/VLOOKUP($C$74,'DB animal categories'!$C$32:$AC$41,27,FALSE)*AJ77+I77+J77+K77,IF(AI77=1,('Calc (ex-animal)'!$H$19*'DB additional information '!$L$7/100*(1-VLOOKUP(D77,'DB technologies'!$N$40:$Y$51,9,FALSE)/100)*'Calc (ex-housing, ex-storage)'!F77/100)/VLOOKUP($C$74,'DB animal categories'!$C$32:$AC$41,27,FALSE)*AJ77,IF(AI77=4,('Calc (ex-animal)'!$G$19*'DB additional information '!$K$7/100+'Calc (ex-animal)'!$H$19*'DB additional information '!$L$7/100)*(1-VLOOKUP(D77,'DB technologies'!$N$40:$Y$51,9,FALSE)/100)*'Calc (ex-housing, ex-storage)'!F77/100*VLOOKUP(D77,'DB technologies'!$N$40:$Y$51,11,FALSE)/100/VLOOKUP($C$74,'DB animal categories'!$C$32:$AC$41,27,FALSE)*AJ77,0))))</f>
        <v/>
      </c>
      <c r="AM77" s="442" t="str">
        <f>IF(D77="","",IF(AI77=2,(('Calc (ex-animal)'!$G$19*(1-'DB additional information '!$K$7/100)*(1-VLOOKUP(D77,'DB technologies'!$N$40:$Y$51,8,FALSE)/100)*'Calc (ex-housing, ex-storage)'!F77/100+'Calc (ex-animal)'!$H$19*(1-'DB additional information '!$L$7/100)*(1-VLOOKUP(D77,'DB technologies'!$N$40:$Y$51,8,FALSE)/100)*'Calc (ex-housing, ex-storage)'!F77/100))/VLOOKUP($C$74,'DB animal categories'!$C$32:$AC$41,27,FALSE)*AJ77+M77+N77+O77,IF(AI77=1,('Calc (ex-animal)'!$H$19*(1-'DB additional information '!$L$7/100)*(1-VLOOKUP(D77,'DB technologies'!$N$40:$Y$51,8,FALSE)/100)*'Calc (ex-housing, ex-storage)'!F77/100)/VLOOKUP($C$74,'DB animal categories'!$C$32:$AC$41,27,FALSE)*AJ77,IF(AI77=4,('Calc (ex-animal)'!$G$19*(1-'DB additional information '!$K$7/100)+'Calc (ex-animal)'!$H$19*(1-'DB additional information '!$L$7/100))*(1-VLOOKUP(D77,'DB technologies'!$N$40:$Y$51,8,FALSE)/100)*'Calc (ex-housing, ex-storage)'!F77/100*VLOOKUP(D77,'DB technologies'!$N$40:$Y$51,11,FALSE)/100/VLOOKUP($C$74,'DB animal categories'!$C$32:$AC$41,27,FALSE)*AJ77,0))))</f>
        <v/>
      </c>
      <c r="AN77" s="442" t="str">
        <f>IF(AI77="","",IF(AL77=0,0,AL77/AK77*100))</f>
        <v/>
      </c>
      <c r="AO77" s="182" t="str">
        <f>IF(D77="","",IF(AI77=2,(('Calc (ex-animal)'!$L$19*'Calc (ex-housing, ex-storage)'!F77/100+'Calc (ex-animal)'!$K$19*'Calc (ex-housing, ex-storage)'!F77/100))/VLOOKUP($C$74,'DB animal categories'!$C$32:$AC$41,27,FALSE)*AJ77+Q77+R77+S77-AC77,IF(AI77=1,('Calc (ex-animal)'!$L$19*'Calc (ex-housing, ex-storage)'!F77/100)/VLOOKUP($C$74,'DB animal categories'!$C$32:$AC$41,27,FALSE)*AJ77-'Calc (ex-housing, ex-storage)'!AC77,IF(AI77=4,('Calc (ex-animal)'!$L$19+'Calc (ex-animal)'!$K$19)*'Calc (ex-housing, ex-storage)'!F77/100*VLOOKUP(D77,'DB technologies'!$N$40:$Y$51,11,FALSE)/100/VLOOKUP($C$74,'DB animal categories'!$C$32:$AC$41,27,FALSE)*AJ77-AC77*VLOOKUP(D77,'DB technologies'!$N$40:$Y$51,11,FALSE)/100,0))))</f>
        <v/>
      </c>
      <c r="AP77" s="182" t="str">
        <f>IF(D77="","",IF(AO77&lt;-0.01,0,IF(AI77=2,(('Calc (ex-animal)'!$L$19*'Calc (ex-housing, ex-storage)'!F77/100+'Calc (ex-animal)'!$K$19*'Calc (ex-housing, ex-storage)'!F77/100))/VLOOKUP($C$74,'DB animal categories'!$C$32:$AC$41,27,FALSE)*AJ77+Q77+R77+S77-AC77,IF(AI77=1,('Calc (ex-animal)'!$L$19*'Calc (ex-housing, ex-storage)'!F77/100)/VLOOKUP($C$74,'DB animal categories'!$C$32:$AC$41,27,FALSE)*AJ77-'Calc (ex-housing, ex-storage)'!AC77,IF(AI77=4,('Calc (ex-animal)'!$L$19+'Calc (ex-animal)'!$K$19)*'Calc (ex-housing, ex-storage)'!F77/100*VLOOKUP(D77,'DB technologies'!$N$40:$Y$51,11,FALSE)/100/VLOOKUP($C$74,'DB animal categories'!$C$32:$AC$41,27,FALSE)*AJ77-AC77*VLOOKUP(D77,'DB technologies'!$N$40:$Y$51,11,FALSE)/100,0)))))</f>
        <v/>
      </c>
      <c r="AQ77" s="182" t="str">
        <f>IF(D77="","",IF(AI77=2,('Calc (ex-animal)'!$O$19*'Calc (ex-housing, ex-storage)'!F77/100+'Calc (ex-animal)'!$N$19*'Calc (ex-housing, ex-storage)'!F77/100)/VLOOKUP($C$74,'DB animal categories'!$C$32:$AC$41,27,FALSE)*AJ77+U77+V77+W77,IF(AI77=1,'Calc (ex-animal)'!$O$19*'Calc (ex-housing, ex-storage)'!F77/100/VLOOKUP($C$74,'DB animal categories'!$C$32:$AC$41,27,FALSE)*AJ77,IF(AI77=4,('Calc (ex-animal)'!$O$19+'Calc (ex-animal)'!$N$19)*'Calc (ex-housing, ex-storage)'!F77/100*VLOOKUP(D77,'DB technologies'!$N$40:$Y$51,11,FALSE)/100/VLOOKUP($C$74,'DB animal categories'!$C$32:$AC$41,27,FALSE)*AJ77,0))))</f>
        <v/>
      </c>
      <c r="AR77" s="182" t="str">
        <f>IF(D77="","",IF(AI77=2,('Calc (ex-animal)'!$R$19*'Calc (ex-housing, ex-storage)'!F77/100+'Calc (ex-animal)'!$Q$19*'Calc (ex-housing, ex-storage)'!F77/100)/VLOOKUP($C$74,'DB animal categories'!$C$32:$AC$41,27,FALSE)*AJ77+Y77+Z77+AA77,IF(AI77=1,'Calc (ex-animal)'!$R$19*'Calc (ex-housing, ex-storage)'!F77/100/VLOOKUP($C$74,'DB animal categories'!$C$32:$AC$41,27,FALSE)*AJ77,IF(AI77=4,('Calc (ex-animal)'!$R$19+'Calc (ex-animal)'!$Q$19)*'Calc (ex-housing, ex-storage)'!F77/100*VLOOKUP(D77,'DB technologies'!$N$40:$Y$51,11,FALSE)/100/VLOOKUP($C$74,'DB animal categories'!$C$32:$AC$41,27,FALSE)*AJ77,0))))</f>
        <v/>
      </c>
      <c r="AS77" s="181" t="str">
        <f>IF(D77="","",VLOOKUP(D77,'DB technologies'!$N$40:$Y$51,10,FALSE))</f>
        <v/>
      </c>
      <c r="AT77" s="442" t="str">
        <f>IF(AS77="","",AU77+AV77)</f>
        <v/>
      </c>
      <c r="AU77" s="442" t="str">
        <f>IF(D77="","",IF(AS77=2,0,IF(AS77=1,'Calc (ex-animal)'!$G$19*'DB additional information '!$K$7/100*(1-VLOOKUP(D77,'DB technologies'!$N$40:$Y$51,8,FALSE)/100)*'Calc (ex-housing, ex-storage)'!F77/100/VLOOKUP($C$74,'DB animal categories'!$C$32:$AC$41,27,FALSE)*AJ77+I77+J77+K77,IF(AS77=5,(('Calc (ex-animal)'!$G$19*'DB additional information '!$K$7/100+'Calc (ex-animal)'!$H$19*'DB additional information '!$L$7/100))*(1-VLOOKUP(D77,'DB technologies'!$N$40:$Y$51,9,FALSE)/100)*'Calc (ex-housing, ex-storage)'!F77/100/VLOOKUP($C$74,'DB animal categories'!$C$32:$AC$41,27,FALSE)*AJ77+I77+J77+K77,IF(AS77=3,('Calc (ex-animal)'!$G$19*'DB additional information '!$K$7/100+'Calc (ex-animal)'!$H$19*'DB additional information '!$L$7/100)*(1-VLOOKUP(D77,'DB technologies'!$N$40:$Y$51,9,FALSE)/100)*'Calc (ex-housing, ex-storage)'!F77/100/VLOOKUP($C$74,'DB animal categories'!$C$32:$AC$41,27,FALSE)*AJ77+I77+J77+K77,IF(AS77=4,('Calc (ex-animal)'!$G$19*'DB additional information '!$K$7/100+'Calc (ex-animal)'!$H$19*'DB additional information '!$L$7/100)*(1-VLOOKUP(D77,'DB technologies'!$N$40:$Y$51,9,FALSE)/100)*'Calc (ex-housing, ex-storage)'!F77/100*VLOOKUP(D77,'DB technologies'!$N$40:$Y$51,12,FALSE)/100/VLOOKUP($C$74,'DB animal categories'!$C$32:$AC$41,27,FALSE)*AJ77+I77+J77+K77,0))))))</f>
        <v/>
      </c>
      <c r="AV77" s="442" t="str">
        <f>IF(D77="","",IF(AS77=2,0,IF(AS77=1,'Calc (ex-animal)'!$G$19*(1-'DB additional information '!$K$7/100)*(1-VLOOKUP(D77,'DB technologies'!$N$40:$Y$51,8,FALSE)/100)*'Calc (ex-housing, ex-storage)'!F77/100/VLOOKUP($C$74,'DB animal categories'!$C$32:$AC$41,27,FALSE)*AJ77+M77+N77+O77,IF(AS77=5,('Calc (ex-animal)'!$G$19*(1-'DB additional information '!$K$7/100)+'Calc (ex-animal)'!$H$19*(1-'DB additional information '!$L$7/100))*(1-VLOOKUP(D77,'DB technologies'!$N$40:$Y$51,8,FALSE)/100)*'Calc (ex-housing, ex-storage)'!F77/100/VLOOKUP($C$74,'DB animal categories'!$C$32:$AC$41,27,FALSE)*AJ77+M77+N77+O77,IF(AS77=3,('Calc (ex-animal)'!$G$19*(1-'DB additional information '!$K$7/100)+'Calc (ex-animal)'!$H$19*(1-'DB additional information '!$L$7/100))*(1-VLOOKUP(D77,'DB technologies'!$N$40:$Y$51,8,FALSE)/100)*'Calc (ex-housing, ex-storage)'!F77/100/VLOOKUP($C$74,'DB animal categories'!$C$32:$AC$41,27,FALSE)*AJ77+M77+N77+O77,IF(AS77=4,('Calc (ex-animal)'!$G$19*(1-'DB additional information '!$K$7/100)+'Calc (ex-animal)'!$H$19*(1-'DB additional information '!$L$7/100))*(1-VLOOKUP(D77,'DB technologies'!$N$40:$Y$51,8,FALSE)/100)*'Calc (ex-housing, ex-storage)'!F77/100*VLOOKUP(D77,'DB technologies'!$N$40:$Y$51,12,FALSE)/100/VLOOKUP($C$74,'DB animal categories'!$C$32:$AC$41,27,FALSE)*AJ77+M77+N77+O77,0))))))</f>
        <v/>
      </c>
      <c r="AW77" s="442" t="str">
        <f>IF(AS77="","",IF(AU77=0,0,AU77/AT77*100))</f>
        <v/>
      </c>
      <c r="AX77" s="182" t="str">
        <f>IF(D77="","",IF(AS77=2,0,IF(AS77=1,'Calc (ex-animal)'!$K$19*'Calc (ex-housing, ex-storage)'!F77/100/VLOOKUP($C$74,'DB animal categories'!$C$32:$AC$41,27,FALSE)*AJ77+Q77+R77+S77,IF(AS77=5,('Calc (ex-animal)'!$K$19+'Calc (ex-animal)'!$L$19)*'Calc (ex-housing, ex-storage)'!F77/100/VLOOKUP($C$74,'DB animal categories'!$C$32:$AC$41,27,FALSE)*AJ77+Q77+R77+S77-'Calc (ex-housing, ex-storage)'!AC77,IF(AS77=3,('Calc (ex-animal)'!$K$19+'Calc (ex-animal)'!$L$19)*'Calc (ex-housing, ex-storage)'!F77/100/VLOOKUP($C$74,'DB animal categories'!$C$32:$AC$41,27,FALSE)*AJ77+Q77+R77+S77-'Calc (ex-housing, ex-storage)'!AC77-AD77-AE77,IF(AI77=4,('Calc (ex-animal)'!$K$19+'Calc (ex-animal)'!$L$19)*'Calc (ex-housing, ex-storage)'!F77/100*VLOOKUP(D77,'DB technologies'!$N$40:$Y$51,12,FALSE)/100/VLOOKUP($C$74,'DB animal categories'!$C$32:$AC$41,27,FALSE)*AJ77+Q77+R77+S77-(VLOOKUP(D77,'DB technologies'!$N$40:$Y$51,12,FALSE)/100*AC77)-AD77-AE77,0))))))</f>
        <v/>
      </c>
      <c r="AY77" s="182" t="str">
        <f>IF(D77="","",IF(AS77=2,0,IF(AS77=1,'Calc (ex-animal)'!$N$19*'Calc (ex-housing, ex-storage)'!F77/100/VLOOKUP($C$74,'DB animal categories'!$C$32:$AC$41,27,FALSE)*AJ77+U77+V77+W77,IF(AS77=5,('Calc (ex-animal)'!$N$19+'Calc (ex-animal)'!$O$19)*'Calc (ex-housing, ex-storage)'!F77/100/VLOOKUP($C$74,'DB animal categories'!$C$32:$AC$41,27,FALSE)*AJ77+U77+V77+W77,IF(AS77=3,('Calc (ex-animal)'!$N$19+'Calc (ex-animal)'!$O$19)*'Calc (ex-housing, ex-storage)'!F77/100/VLOOKUP($C$74,'DB animal categories'!$C$32:$AC$41,27,FALSE)*AJ77+U77+V77+W77,IF(AS77=4,('Calc (ex-animal)'!$N$19+'Calc (ex-animal)'!$O$19)*'Calc (ex-housing, ex-storage)'!F77/100*VLOOKUP(D77,'DB technologies'!$N$40:$Y$51,12,FALSE)/100/VLOOKUP($C$74,'DB animal categories'!$C$32:$AC$41,27,FALSE)*AJ77+U77+V77+W77,0))))))</f>
        <v/>
      </c>
      <c r="AZ77" s="182" t="str">
        <f>IF(D77="","",IF(AS77=2,0,IF(AS77=1,'Calc (ex-animal)'!$Q$19*'Calc (ex-housing, ex-storage)'!F77/100/VLOOKUP($C$74,'DB animal categories'!$C$32:$AC$41,27,FALSE)*AJ77+Y77+Z77+AA77,IF(AS77=5,('Calc (ex-animal)'!$Q$19+'Calc (ex-animal)'!$R$19)*'Calc (ex-housing, ex-storage)'!F77/100/VLOOKUP($C$74,'DB animal categories'!$C$32:$AC$41,27,FALSE)*AJ77+Y77+Z77+AA77,IF(AS77=3,('Calc (ex-animal)'!$Q$19+'Calc (ex-animal)'!$R$19)*'Calc (ex-housing, ex-storage)'!F77/100/VLOOKUP($C$74,'DB animal categories'!$C$32:$AC$41,27,FALSE)*AJ77+Y77+Z77+AA77,IF(AS77=4,('Calc (ex-animal)'!$Q$19+'Calc (ex-animal)'!$R$19)*'Calc (ex-housing, ex-storage)'!F77/100*VLOOKUP(D77,'DB technologies'!$N$40:$Y$51,12,FALSE)/100/VLOOKUP($C$74,'DB animal categories'!$C$32:$AC$41,27,FALSE)*AJ77+Y77+Z77+AA77,0))))))</f>
        <v/>
      </c>
      <c r="BA77" s="98">
        <f>(SUMIF(AS487:AS545,3,AT487:AT545)+SUMIF(AS487:AS545,4,AT487:AT545))*(1-('DB technologies'!AR21/100))</f>
        <v>0</v>
      </c>
      <c r="BB77" s="98">
        <f>(SUMIF(AS487:AS545,3,AU487:AU545)+SUMIF(AS487:AS545,4,AU487:AU545))*(1-('DB technologies'!AR21/100))</f>
        <v>0</v>
      </c>
      <c r="BC77" s="506" t="e">
        <f>BB77/BA77*100</f>
        <v>#DIV/0!</v>
      </c>
      <c r="BD77" s="98">
        <f>(SUMIF(AS487:AS545,3,AX487:AX545)+SUMIF(AS487:AS545,4,AX487:AX545))*(1-('DB technologies'!AR21/100))</f>
        <v>0</v>
      </c>
      <c r="BE77" s="98">
        <f>(SUMIF(AS487:AS545,3,AY487:AY545)+SUMIF(AS487:AS545,4,AY487:AY545))*(1-('DB technologies'!AR21/100))</f>
        <v>0</v>
      </c>
      <c r="BF77" s="98">
        <f>(SUMIF(AS487:AS545,3,AZ487:AZ545)+SUMIF(AS487:AS545,4,AZ487:AZ545))*(1-('DB technologies'!AR21/100))</f>
        <v>0</v>
      </c>
      <c r="BG77" s="1355"/>
      <c r="BH77" s="1363"/>
      <c r="BI77" s="599" t="str">
        <f>IF(BG77="","",$BA$77*BH77/100-($BB$77*BH77/100*VLOOKUP(BG77,'DB technologies'!$AC$21:$AT$25,5,FALSE)/100)+(VLOOKUP(BG77,'DB technologies'!$AC$21:$AT$25,12,FALSE)*$BA$77*BH77/100))</f>
        <v/>
      </c>
      <c r="BJ77" s="551">
        <f>IF(BI77="",0,BI77*BK77/100)</f>
        <v>0</v>
      </c>
      <c r="BK77" s="560" t="str">
        <f>IF(BG77="","",IF($BA$77=0,0,($BB$77*BH77/100)/BI77*(1-(VLOOKUP(BG77,'DB technologies'!$AC$21:$AQ$25,5,FALSE))/100)*100))</f>
        <v/>
      </c>
      <c r="BL77" s="259" t="str">
        <f>IF(BG77="","",$BD$77*(1-VLOOKUP(BG77,'DB technologies'!$AC$21:$AS$25,12,FALSE)/100)*BH77/100-BO77-BP77-BQ77-BR77)</f>
        <v/>
      </c>
      <c r="BM77" s="259" t="str">
        <f>IF(BG77="","",$BE$77*(1-VLOOKUP(BG77,'DB technologies'!$AC$21:$AS$25,12,FALSE)/100)*BH77/100-BS77)</f>
        <v/>
      </c>
      <c r="BN77" s="259" t="str">
        <f>IF(BG77="","",$BF$77*(1-VLOOKUP(BG77,'DB technologies'!$AC$21:$AS$25,12,FALSE)/100)*BH77/100-BT77)</f>
        <v/>
      </c>
      <c r="BO77" s="259" t="str">
        <f>IF(BG77="","",$BD$77*BH77/100*VLOOKUP(BG77,'DB technologies'!$AC$21:$AF$25,2,FALSE)/100)</f>
        <v/>
      </c>
      <c r="BP77" s="259" t="str">
        <f>IF(BG77="","",$BD$77*BH77/100*VLOOKUP(BG77,'DB technologies'!$AC$21:$AN$25,3,FALSE)/100)</f>
        <v/>
      </c>
      <c r="BQ77" s="260" t="str">
        <f>IF(BG77="","",$BD$77*BH77/100*VLOOKUP(BG77,'DB technologies'!$AC$21:$AN$25,4,FALSE)/100)</f>
        <v/>
      </c>
      <c r="BR77" s="263" t="str">
        <f>IF(BG77="","",VLOOKUP(BG77,'DB technologies'!$AC$21:$AQ$25,13,FALSE)/100*$BD$77*BH77/100)</f>
        <v/>
      </c>
      <c r="BS77" s="259" t="str">
        <f>IF(BG77="","",VLOOKUP(BG77,'DB technologies'!$AC$21:$AQ$25,14,FALSE)/100*$BE$77*BH77/100)</f>
        <v/>
      </c>
      <c r="BT77" s="260" t="str">
        <f>IF(BG77="","",VLOOKUP(BG77,'DB technologies'!$AC$21:$AQ$25,15,FALSE)/100*$BF$77*BH77/100)</f>
        <v/>
      </c>
    </row>
    <row r="78" spans="1:72" ht="12" customHeight="1" thickBot="1" x14ac:dyDescent="0.25">
      <c r="A78" s="684"/>
      <c r="B78" s="695"/>
      <c r="C78" s="255"/>
      <c r="D78" s="1359"/>
      <c r="E78" s="1360"/>
      <c r="F78" s="481" t="str">
        <f>IF('Calc (ex-animal)'!$F$9=1,"",IF($C$74=0,"",IF(D78="","",E78/'Calc (ex-animal)'!$E$19*100)))</f>
        <v/>
      </c>
      <c r="G78" s="483" t="str">
        <f>IF($C$74=0,"",IF('Calc (ex-animal)'!$F$8=1,"",IF(D78="","",SUM(H78:O78))))</f>
        <v/>
      </c>
      <c r="H78" s="445" t="str">
        <f>IF('Calc (ex-animal)'!$F$8=1,"",IF(D78="","",(((VLOOKUP($C$74,'Calc (ex-animal)'!$D$18:$Y$22,6,FALSE)-VLOOKUP($C$74,'Calc (ex-animal)'!$D$18:$Y$22,17,FALSE))*F78/100))*VLOOKUP($C$74,'Calc (ex-animal)'!$D$18:$Y$22,7,FALSE)/100*(1-VLOOKUP(D78,'DB technologies'!$N$40:$Y$51,9,FALSE)/100)))</f>
        <v/>
      </c>
      <c r="I78" s="445" t="str">
        <f>IF(D78="","",((VLOOKUP(D78,'DB technologies'!$N$40:$Y$51,2,FALSE)*VLOOKUP($C$74,'DB animal categories'!$C$32:$AC$41,27,FALSE)*E78/1000)/VLOOKUP($C$74,'DB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'!$S$6/100*(1-VLOOKUP(D78,'DB technologies'!$N$40:$Y$51,9,FALSE)/100)))</f>
        <v/>
      </c>
      <c r="J78" s="446" t="str">
        <f>IF(D78="","",((VLOOKUP(D78,'DB technologies'!$N$40:$Y$51,3,FALSE)*VLOOKUP($C$74,'DB animal categories'!$C$32:$AC$41,27,FALSE)*E78/1000)/VLOOKUP($C$74,'DB animal categories'!$C$32:$AC$41,27,FALSE)*(VLOOKUP($C$74,'DB animal categories'!$C$32:$AC$41,27,FALSE)-(VLOOKUP($C$74,'DB animal categories'!$C$32:$AC$41,25,FALSE)*VLOOKUP($C$74,'DB animal categories'!$C$32:$AC$41,26,FALSE)/24))*'DB additional information '!$S$7/100*(1-VLOOKUP(D78,'DB technologies'!$N$40:$Y$51,9,FALSE)/100)))</f>
        <v/>
      </c>
      <c r="K78" s="446" t="str">
        <f>IF(D78="","",((VLOOKUP(D78,'DB technologies'!$N$40:$Y$51,4,FALSE)*E78*'DB additional information '!$S$8/100*(1-VLOOKUP(D78,'DB technologies'!$N$40:$Y$51,9,FALSE)/100))/VLOOKUP($C$74,'DB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L78" s="445" t="str">
        <f>IF('Calc (ex-animal)'!$F$8=1,"",IF(D78="","",(((VLOOKUP($C$74,'Calc (ex-animal)'!$D$18:$Y$22,6,FALSE)-VLOOKUP($C$74,'Calc (ex-animal)'!$D$18:$Y$22,17,FALSE))*F78/100))*(1-VLOOKUP($C$74,'Calc (ex-animal)'!$D$18:$Y$22,7,FALSE)/100)*(1-VLOOKUP(D78,'DB technologies'!$N$40:$V$51,8,FALSE)/100)))</f>
        <v/>
      </c>
      <c r="M78" s="446" t="str">
        <f>IF(D78="","",((VLOOKUP(D78,'DB technologies'!$N$40:$Y$51,2,FALSE)*VLOOKUP($C$74,'DB animal categories'!$C$32:$AC$41,27,FALSE)*E78/1000)/VLOOKUP($C$74,'DB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'!$S$6/100)*(1-VLOOKUP(D78,'DB technologies'!$N$40:$Y$51,9,FALSE)/100))</f>
        <v/>
      </c>
      <c r="N78" s="446" t="str">
        <f>IF(D78="","",((VLOOKUP(D78,'DB technologies'!$N$40:$Y$51,3,FALSE)*VLOOKUP($C$74,'DB animal categories'!$C$32:$AC$41,27,FALSE)*E78/1000)/VLOOKUP($C$74,'DB animal categories'!$C$32:$AC$41,27,FALSE)*(VLOOKUP($C$74,'DB animal categories'!$C$32:$AC$41,27,FALSE)-VLOOKUP($C$74,'DB animal categories'!$C$32:$AC$41,25,FALSE)*VLOOKUP($C$74,'DB animal categories'!$C$32:$AC$41,26,FALSE)/24))*(1-'DB additional information '!$S$7/100)*(1-VLOOKUP(D78,'DB technologies'!$N$40:$Y$51,9,FALSE)/100))</f>
        <v/>
      </c>
      <c r="O78" s="445" t="str">
        <f>IF(D78="","",((VLOOKUP(D78,'DB technologies'!$N$40:$Y$51,4,FALSE)*E78*(1-'DB additional information '!$S$8/100)*(1-VLOOKUP(D78,'DB technologies'!$N$40:$Y$51,8,FALSE)/100))/VLOOKUP($C$74,'DB animal categories'!$C$32:$AC$41,27,FALSE)*(VLOOKUP($C$74,'DB animal categories'!$C$32:$AC$41,27,FALSE)-VLOOKUP($C$74,'DB animal categories'!$C$32:$AC$41,25,FALSE)*VLOOKUP($C$74,'DB animal categories'!$C$32:$AC$41,26,FALSE)/24)))</f>
        <v/>
      </c>
      <c r="P78" s="444" t="str">
        <f>IF(G78=0,0,IF(E78="","",IF(F78="","",IF($C$74=0,"",IF(D78="","",SUM(H78:K78)/G78*100)))))</f>
        <v/>
      </c>
      <c r="Q78" s="476" t="str">
        <f>IF(D78="","",(VLOOKUP(D78,'DB technologies'!$N$40:$Y$51,2,FALSE)*'DB additional information '!$S$6/100*'DB additional information '!$T$6*VLOOKUP($C$74,'DB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R78" s="476" t="str">
        <f>IF(D78="","",(VLOOKUP(D78,'DB technologies'!$N$40:$Y$51,3,FALSE)*'DB additional information '!$S$7/100*'DB additional information '!$T$7*VLOOKUP($C$74,'DB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S78" s="494" t="str">
        <f>IF(D78="","",(VLOOKUP(D78,'DB technologies'!$N$40:$Y$51,4,FALSE)*('DB additional information '!$S$8/100*'DB additional information '!$T$8*E78/1000/1000)))</f>
        <v/>
      </c>
      <c r="T78" s="266" t="str">
        <f>IF($C$74=0,"",IF('Calc (ex-animal)'!$F$9=1,"",IF(D78="","",((VLOOKUP($C$74,'Calc (ex-animal)'!$D$18:$Y$22,10,FALSE)-VLOOKUP($C$74,'Calc (ex-animal)'!$D$18:$Y$22,18,FALSE))*F78/100+Q78+R78+S78)-AC78-AD78-AE78)))</f>
        <v/>
      </c>
      <c r="U78" s="477" t="str">
        <f>IF(D78="","",(VLOOKUP(D78,'DB technologies'!$N$40:$Y$51,2,FALSE)*'DB additional information '!$S$6/100*'DB additional information '!$U$6*VLOOKUP($C$74,'DB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V78" s="433" t="str">
        <f>IF(D78="","",(VLOOKUP(D78,'DB technologies'!$N$40:$Y$51,3,FALSE)*'DB additional information '!$S$7/100*'DB additional information '!$U$7*VLOOKUP($C$74,'DB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W78" s="475" t="str">
        <f>IF(D78="","",(VLOOKUP(D78,'DB technologies'!$N$40:$Y$51,4,FALSE)*('DB additional information '!$S$8/100*'DB additional information '!$U$8*E78/1000/1000)))</f>
        <v/>
      </c>
      <c r="X78" s="267" t="str">
        <f>IF($C$74=0,"",IF('Calc (ex-animal)'!$F$9=1,"",IF(D78="","",((VLOOKUP($C$74,'Calc (ex-animal)'!$D$18:$Y$22,13,FALSE)-VLOOKUP($C$74,'Calc (ex-animal)'!$D$18:$Y$22,19,FALSE))*F78/100+U78+V78+W78))))</f>
        <v/>
      </c>
      <c r="Y78" s="433" t="str">
        <f>IF(D78="","",(VLOOKUP(D78,'DB technologies'!$N$40:$Y$51,2,FALSE)*'DB additional information '!$S$6/100*'DB additional information '!$V$6*VLOOKUP($C$74,'DB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Z78" s="433" t="str">
        <f>IF(D78="","",(VLOOKUP(D78,'DB technologies'!$N$40:$Y$51,3,FALSE)*'DB additional information '!$S$7/100*'DB additional information '!$V$7*VLOOKUP($C$74,'DB animal categories'!$C$32:$AC$41,27,FALSE)*E78/1000/1000)/VLOOKUP($C$74,'DB animal categories'!$C$32:$AC$41,27,FALSE)*(VLOOKUP($C$74,'DB animal categories'!$C$32:$AC$41,27,FALSE)-VLOOKUP($C$74,'DB animal categories'!$C$32:$AC$41,25,FALSE)*VLOOKUP($C$74,'DB animal categories'!$C$32:$AC$41,26,FALSE)/24))</f>
        <v/>
      </c>
      <c r="AA78" s="433" t="str">
        <f>IF(D78="","",(VLOOKUP(D78,'DB technologies'!$N$40:$Y$51,4,FALSE)*('DB additional information '!$S$8/100*'DB additional information '!$V$8*E78/1000/1000)))</f>
        <v/>
      </c>
      <c r="AB78" s="267" t="str">
        <f>IF($C$74=0,"",IF('Calc (ex-animal)'!$F$8=1,"",IF(D78="","",((VLOOKUP($C$74,'Calc (ex-animal)'!$D$18:$Y$22,16,FALSE)-VLOOKUP($C$74,'Calc (ex-animal)'!$D$18:$Y$22,20,FALSE))*F78/100+Y78+Z78+AA78))))</f>
        <v/>
      </c>
      <c r="AC78" s="267" t="str">
        <f>IF($C$74=0,"",IF('Calc (ex-animal)'!$F$8=1,"",IF(D78="","",VLOOKUP($C$74,'Calc (ex-animal)'!$D$18:$Y$22,9,FALSE)/VLOOKUP($C$74,'DB animal categories'!$C$32:$AC$41,27,FALSE)*(VLOOKUP($C$74,'DB animal categories'!$C$32:$AC$41,27,FALSE)-VLOOKUP($C$74,'DB animal categories'!$C$32:$AC$41,25,FALSE)*VLOOKUP($C$74,'DB animal categories'!$C$32:$AC$41,26,FALSE)/24)*F78/100*VLOOKUP(D78,'DB technologies'!$N$40:$R$51,5,FALSE)/100)))</f>
        <v/>
      </c>
      <c r="AD78" s="267" t="str">
        <f>IF($C$74=0,"",IF('Calc (ex-animal)'!$F$8=1,"",IF(D78="","",VLOOKUP($C$74,'Calc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categories'!$C$32:$AC$41,26,FALSE)/24)*F78/100*VLOOKUP(D78,'DB technologies'!$N$40:$Y$51,6,FALSE)/100)))</f>
        <v/>
      </c>
      <c r="AE78" s="268" t="str">
        <f>IF($C$74=0,"",IF('Calc (ex-animal)'!$F$8=1,"",IF(D78="","",VLOOKUP($C$74,'Calc (ex-animal)'!$D$18:$Y$22,10,FALSE)/VLOOKUP($C$74,'DB animal categories'!$C$32:$AC$41,27,FALSE)*(VLOOKUP($C$74,'DB animal categories'!$C$32:$AC$41,27,FALSE)-VLOOKUP($C$74,'DB animal categories'!$C$32:$AC$41,25,FALSE)*VLOOKUP($C$74,'DB animal categories'!$C$32:$AC$41,26,FALSE)/24)*F78/100*VLOOKUP(D78,'DB technologies'!$N$40:$Y$51,7,FALSE)/100)))</f>
        <v/>
      </c>
      <c r="AG78" s="698"/>
      <c r="AH78" s="695"/>
      <c r="AI78" s="183" t="str">
        <f>IF(D78="","",VLOOKUP(D78,'DB technologies'!$N$40:$Y$51,10,FALSE))</f>
        <v/>
      </c>
      <c r="AJ78" s="451" t="e">
        <f>VLOOKUP($C$74,'DB animal categories'!$C$32:$AN$41,27,FALSE)-VLOOKUP($C$74,'DB animal categories'!$C$32:$AN$41,26,FALSE)*VLOOKUP($C$74,'DB animal categories'!$C$32:$AN$41,25,FALSE)/24</f>
        <v>#N/A</v>
      </c>
      <c r="AK78" s="452" t="str">
        <f>IF(AI78="","",AL78+AM78)</f>
        <v/>
      </c>
      <c r="AL78" s="452" t="str">
        <f>IF(D78="","",IF(AI78=2,(('Calc (ex-animal)'!$G$19*'DB additional information '!$K$7/100*(1-VLOOKUP(D78,'DB technologies'!$N$40:$Y$51,9,FALSE)/100)*'Calc (ex-housing, ex-storage)'!F78/100+'Calc (ex-animal)'!$H$19*'DB additional information '!$L$7/100*(1-VLOOKUP(D78,'DB technologies'!$N$40:$Y$51,9,FALSE)/100)*'Calc (ex-housing, ex-storage)'!F78/100))/VLOOKUP($C$74,'DB animal categories'!$C$32:$AC$41,27,FALSE)*AJ78+I78+J78+K78,IF(AI78=1,('Calc (ex-animal)'!$H$19*'DB additional information '!$L$7/100*(1-VLOOKUP(D78,'DB technologies'!$N$40:$Y$51,9,FALSE)/100)*'Calc (ex-housing, ex-storage)'!F78/100)/VLOOKUP($C$74,'DB animal categories'!$C$32:$AC$41,27,FALSE)*AJ78,IF(AI78=4,('Calc (ex-animal)'!$G$19*'DB additional information '!$K$7/100+'Calc (ex-animal)'!$H$19*'DB additional information '!$L$7/100)*(1-VLOOKUP(D78,'DB technologies'!$N$40:$Y$51,9,FALSE)/100)*'Calc (ex-housing, ex-storage)'!F78/100*VLOOKUP(D78,'DB technologies'!$N$40:$Y$51,11,FALSE)/100/VLOOKUP($C$74,'DB animal categories'!$C$32:$AC$41,27,FALSE)*AJ78,0))))</f>
        <v/>
      </c>
      <c r="AM78" s="452" t="str">
        <f>IF(D78="","",IF(AI78=2,(('Calc (ex-animal)'!$G$19*(1-'DB additional information '!$K$7/100)*(1-VLOOKUP(D78,'DB technologies'!$N$40:$Y$51,8,FALSE)/100)*'Calc (ex-housing, ex-storage)'!F78/100+'Calc (ex-animal)'!$H$19*(1-'DB additional information '!$L$7/100)*(1-VLOOKUP(D78,'DB technologies'!$N$40:$Y$51,8,FALSE)/100)*'Calc (ex-housing, ex-storage)'!F78/100))/VLOOKUP($C$74,'DB animal categories'!$C$32:$AC$41,27,FALSE)*AJ78+M78+N78+O78,IF(AI78=1,('Calc (ex-animal)'!$H$19*(1-'DB additional information '!$L$7/100)*(1-VLOOKUP(D78,'DB technologies'!$N$40:$Y$51,8,FALSE)/100)*'Calc (ex-housing, ex-storage)'!F78/100)/VLOOKUP($C$74,'DB animal categories'!$C$32:$AC$41,27,FALSE)*AJ78,IF(AI78=4,('Calc (ex-animal)'!$G$19*(1-'DB additional information '!$K$7/100)+'Calc (ex-animal)'!$H$19*(1-'DB additional information '!$L$7/100))*(1-VLOOKUP(D78,'DB technologies'!$N$40:$Y$51,8,FALSE)/100)*'Calc (ex-housing, ex-storage)'!F78/100*VLOOKUP(D78,'DB technologies'!$N$40:$Y$51,11,FALSE)/100/VLOOKUP($C$74,'DB animal categories'!$C$32:$AC$41,27,FALSE)*AJ78,0))))</f>
        <v/>
      </c>
      <c r="AN78" s="452" t="str">
        <f>IF(AI78="","",IF(AL78=0,0,AL78/AK78*100))</f>
        <v/>
      </c>
      <c r="AO78" s="184" t="str">
        <f>IF(D78="","",IF(AI78=2,(('Calc (ex-animal)'!$L$19*'Calc (ex-housing, ex-storage)'!F78/100+'Calc (ex-animal)'!$K$19*'Calc (ex-housing, ex-storage)'!F78/100))/VLOOKUP($C$74,'DB animal categories'!$C$32:$AC$41,27,FALSE)*AJ78+Q78+R78+S78-AC78,IF(AI78=1,('Calc (ex-animal)'!$L$19*'Calc (ex-housing, ex-storage)'!F78/100)/VLOOKUP($C$74,'DB animal categories'!$C$32:$AC$41,27,FALSE)*AJ78-'Calc (ex-housing, ex-storage)'!AC78,IF(AI78=4,('Calc (ex-animal)'!$L$19+'Calc (ex-animal)'!$K$19)*'Calc (ex-housing, ex-storage)'!F78/100*VLOOKUP(D78,'DB technologies'!$N$40:$Y$51,11,FALSE)/100/VLOOKUP($C$74,'DB animal categories'!$C$32:$AC$41,27,FALSE)*AJ78-AC78*VLOOKUP(D78,'DB technologies'!$N$40:$Y$51,11,FALSE)/100,0))))</f>
        <v/>
      </c>
      <c r="AP78" s="184" t="str">
        <f>IF(D78="","",IF(AO78&lt;-0.01,0,IF(AI78=2,(('Calc (ex-animal)'!$L$19*'Calc (ex-housing, ex-storage)'!F78/100+'Calc (ex-animal)'!$K$19*'Calc (ex-housing, ex-storage)'!F78/100))/VLOOKUP($C$74,'DB animal categories'!$C$32:$AC$41,27,FALSE)*AJ78+Q78+R78+S78-AC78,IF(AI78=1,('Calc (ex-animal)'!$L$19*'Calc (ex-housing, ex-storage)'!F78/100)/VLOOKUP($C$74,'DB animal categories'!$C$32:$AC$41,27,FALSE)*AJ78-'Calc (ex-housing, ex-storage)'!AC78,IF(AI78=4,('Calc (ex-animal)'!$L$19+'Calc (ex-animal)'!$K$19)*'Calc (ex-housing, ex-storage)'!F78/100*VLOOKUP(D78,'DB technologies'!$N$40:$Y$51,11,FALSE)/100/VLOOKUP($C$74,'DB animal categories'!$C$32:$AC$41,27,FALSE)*AJ78-AC78*VLOOKUP(D78,'DB technologies'!$N$40:$Y$51,11,FALSE)/100,0)))))</f>
        <v/>
      </c>
      <c r="AQ78" s="184" t="str">
        <f>IF(D78="","",IF(AI78=2,('Calc (ex-animal)'!$O$19*'Calc (ex-housing, ex-storage)'!F78/100+'Calc (ex-animal)'!$N$19*'Calc (ex-housing, ex-storage)'!F78/100)/VLOOKUP($C$74,'DB animal categories'!$C$32:$AC$41,27,FALSE)*AJ78+U78+V78+W78,IF(AI78=1,'Calc (ex-animal)'!$O$19*'Calc (ex-housing, ex-storage)'!F78/100/VLOOKUP($C$74,'DB animal categories'!$C$32:$AC$41,27,FALSE)*AJ78,IF(AI78=4,('Calc (ex-animal)'!$O$19+'Calc (ex-animal)'!$N$19)*'Calc (ex-housing, ex-storage)'!F78/100*VLOOKUP(D78,'DB technologies'!$N$40:$Y$51,11,FALSE)/100/VLOOKUP($C$74,'DB animal categories'!$C$32:$AC$41,27,FALSE)*AJ78,0))))</f>
        <v/>
      </c>
      <c r="AR78" s="184" t="str">
        <f>IF(D78="","",IF(AI78=2,('Calc (ex-animal)'!$R$19*'Calc (ex-housing, ex-storage)'!F78/100+'Calc (ex-animal)'!$Q$19*'Calc (ex-housing, ex-storage)'!F78/100)/VLOOKUP($C$74,'DB animal categories'!$C$32:$AC$41,27,FALSE)*AJ78+Y78+Z78+AA78,IF(AI78=1,'Calc (ex-animal)'!$R$19*'Calc (ex-housing, ex-storage)'!F78/100/VLOOKUP($C$74,'DB animal categories'!$C$32:$AC$41,27,FALSE)*AJ78,IF(AI78=4,('Calc (ex-animal)'!$R$19+'Calc (ex-animal)'!$Q$19)*'Calc (ex-housing, ex-storage)'!F78/100*VLOOKUP(D78,'DB technologies'!$N$40:$Y$51,11,FALSE)/100/VLOOKUP($C$74,'DB animal categories'!$C$32:$AC$41,27,FALSE)*AJ78,0))))</f>
        <v/>
      </c>
      <c r="AS78" s="183" t="str">
        <f>IF(D78="","",VLOOKUP(D78,'DB technologies'!$N$40:$Y$51,10,FALSE))</f>
        <v/>
      </c>
      <c r="AT78" s="452" t="str">
        <f>IF(AS78="","",AU78+AV78)</f>
        <v/>
      </c>
      <c r="AU78" s="452" t="str">
        <f>IF(D78="","",IF(AS78=2,0,IF(AS78=1,'Calc (ex-animal)'!$G$19*'DB additional information '!$K$7/100*(1-VLOOKUP(D78,'DB technologies'!$N$40:$Y$51,8,FALSE)/100)*'Calc (ex-housing, ex-storage)'!F78/100/VLOOKUP($C$74,'DB animal categories'!$C$32:$AC$41,27,FALSE)*AJ78+I78+J78+K78,IF(AS78=5,(('Calc (ex-animal)'!$G$19*'DB additional information '!$K$7/100+'Calc (ex-animal)'!$H$19*'DB additional information '!$L$7/100))*(1-VLOOKUP(D78,'DB technologies'!$N$40:$Y$51,9,FALSE)/100)*'Calc (ex-housing, ex-storage)'!F78/100/VLOOKUP($C$74,'DB animal categories'!$C$32:$AC$41,27,FALSE)*AJ78+I78+J78+K78,IF(AS78=3,('Calc (ex-animal)'!$G$19*'DB additional information '!$K$7/100+'Calc (ex-animal)'!$H$19*'DB additional information '!$L$7/100)*(1-VLOOKUP(D78,'DB technologies'!$N$40:$Y$51,9,FALSE)/100)*'Calc (ex-housing, ex-storage)'!F78/100/VLOOKUP($C$74,'DB animal categories'!$C$32:$AC$41,27,FALSE)*AJ78+I78+J78+K78,IF(AS78=4,('Calc (ex-animal)'!$G$19*'DB additional information '!$K$7/100+'Calc (ex-animal)'!$H$19*'DB additional information '!$L$7/100)*(1-VLOOKUP(D78,'DB technologies'!$N$40:$Y$51,9,FALSE)/100)*'Calc (ex-housing, ex-storage)'!F78/100*VLOOKUP(D78,'DB technologies'!$N$40:$Y$51,12,FALSE)/100/VLOOKUP($C$74,'DB animal categories'!$C$32:$AC$41,27,FALSE)*AJ78+I78+J78+K78,0))))))</f>
        <v/>
      </c>
      <c r="AV78" s="452" t="str">
        <f>IF(D78="","",IF(AS78=2,0,IF(AS78=1,'Calc (ex-animal)'!$G$19*(1-'DB additional information '!$K$7/100)*(1-VLOOKUP(D78,'DB technologies'!$N$40:$Y$51,8,FALSE)/100)*'Calc (ex-housing, ex-storage)'!F78/100/VLOOKUP($C$74,'DB animal categories'!$C$32:$AC$41,27,FALSE)*AJ78+M78+N78+O78,IF(AS78=5,('Calc (ex-animal)'!$G$19*(1-'DB additional information '!$K$7/100)+'Calc (ex-animal)'!$H$19*(1-'DB additional information '!$L$7/100))*(1-VLOOKUP(D78,'DB technologies'!$N$40:$Y$51,8,FALSE)/100)*'Calc (ex-housing, ex-storage)'!F78/100/VLOOKUP($C$74,'DB animal categories'!$C$32:$AC$41,27,FALSE)*AJ78+M78+N78+O78,IF(AS78=3,('Calc (ex-animal)'!$G$19*(1-'DB additional information '!$K$7/100)+'Calc (ex-animal)'!$H$19*(1-'DB additional information '!$L$7/100))*(1-VLOOKUP(D78,'DB technologies'!$N$40:$Y$51,8,FALSE)/100)*'Calc (ex-housing, ex-storage)'!F78/100/VLOOKUP($C$74,'DB animal categories'!$C$32:$AC$41,27,FALSE)*AJ78+M78+N78+O78,IF(AS78=4,('Calc (ex-animal)'!$G$19*(1-'DB additional information '!$K$7/100)+'Calc (ex-animal)'!$H$19*(1-'DB additional information '!$L$7/100))*(1-VLOOKUP(D78,'DB technologies'!$N$40:$Y$51,8,FALSE)/100)*'Calc (ex-housing, ex-storage)'!F78/100*VLOOKUP(D78,'DB technologies'!$N$40:$Y$51,12,FALSE)/100/VLOOKUP($C$74,'DB animal categories'!$C$32:$AC$41,27,FALSE)*AJ78+M78+N78+O78,0))))))</f>
        <v/>
      </c>
      <c r="AW78" s="452" t="str">
        <f>IF(AS78="","",IF(AU78=0,0,AU78/AT78*100))</f>
        <v/>
      </c>
      <c r="AX78" s="184" t="str">
        <f>IF(D78="","",IF(AS78=2,0,IF(AS78=1,'Calc (ex-animal)'!$K$19*'Calc (ex-housing, ex-storage)'!F78/100/VLOOKUP($C$74,'DB animal categories'!$C$32:$AC$41,27,FALSE)*AJ78+Q78+R78+S78,IF(AS78=5,('Calc (ex-animal)'!$K$19+'Calc (ex-animal)'!$L$19)*'Calc (ex-housing, ex-storage)'!F78/100/VLOOKUP($C$74,'DB animal categories'!$C$32:$AC$41,27,FALSE)*AJ78+Q78+R78+S78-'Calc (ex-housing, ex-storage)'!AC78,IF(AS78=3,('Calc (ex-animal)'!$K$19+'Calc (ex-animal)'!$L$19)*'Calc (ex-housing, ex-storage)'!F78/100/VLOOKUP($C$74,'DB animal categories'!$C$32:$AC$41,27,FALSE)*AJ78+Q78+R78+S78-'Calc (ex-housing, ex-storage)'!AC78-AD78-AE78,IF(AI78=4,('Calc (ex-animal)'!$K$19+'Calc (ex-animal)'!$L$19)*'Calc (ex-housing, ex-storage)'!F78/100*VLOOKUP(D78,'DB technologies'!$N$40:$Y$51,12,FALSE)/100/VLOOKUP($C$74,'DB animal categories'!$C$32:$AC$41,27,FALSE)*AJ78+Q78+R78+S78-(VLOOKUP(D78,'DB technologies'!$N$40:$Y$51,12,FALSE)/100*AC78)-AD78-AE78,0))))))</f>
        <v/>
      </c>
      <c r="AY78" s="184" t="str">
        <f>IF(D78="","",IF(AS78=2,0,IF(AS78=1,'Calc (ex-animal)'!$N$19*'Calc (ex-housing, ex-storage)'!F78/100/VLOOKUP($C$74,'DB animal categories'!$C$32:$AC$41,27,FALSE)*AJ78+U78+V78+W78,IF(AS78=5,('Calc (ex-animal)'!$N$19+'Calc (ex-animal)'!$O$19)*'Calc (ex-housing, ex-storage)'!F78/100/VLOOKUP($C$74,'DB animal categories'!$C$32:$AC$41,27,FALSE)*AJ78+U78+V78+W78,IF(AS78=3,('Calc (ex-animal)'!$N$19+'Calc (ex-animal)'!$O$19)*'Calc (ex-housing, ex-storage)'!F78/100/VLOOKUP($C$74,'DB animal categories'!$C$32:$AC$41,27,FALSE)*AJ78+U78+V78+W78,IF(AS78=4,('Calc (ex-animal)'!$N$19+'Calc (ex-animal)'!$O$19)*'Calc (ex-housing, ex-storage)'!F78/100*VLOOKUP(D78,'DB technologies'!$N$40:$Y$51,12,FALSE)/100/VLOOKUP($C$74,'DB animal categories'!$C$32:$AC$41,27,FALSE)*AJ78+U78+V78+W78,0))))))</f>
        <v/>
      </c>
      <c r="AZ78" s="184" t="str">
        <f>IF(D78="","",IF(AS78=2,0,IF(AS78=1,'Calc (ex-animal)'!$Q$19*'Calc (ex-housing, ex-storage)'!F78/100/VLOOKUP($C$74,'DB animal categories'!$C$32:$AC$41,27,FALSE)*AJ78+Y78+Z78+AA78,IF(AS78=5,('Calc (ex-animal)'!$Q$19+'Calc (ex-animal)'!$R$19)*'Calc (ex-housing, ex-storage)'!F78/100/VLOOKUP($C$74,'DB animal categories'!$C$32:$AC$41,27,FALSE)*AJ78+Y78+Z78+AA78,IF(AS78=3,('Calc (ex-animal)'!$Q$19+'Calc (ex-animal)'!$R$19)*'Calc (ex-housing, ex-storage)'!F78/100/VLOOKUP($C$74,'DB animal categories'!$C$32:$AC$41,27,FALSE)*AJ78+Y78+Z78+AA78,IF(AS78=4,('Calc (ex-animal)'!$Q$19+'Calc (ex-animal)'!$R$19)*'Calc (ex-housing, ex-storage)'!F78/100*VLOOKUP(D78,'DB technologies'!$N$40:$Y$51,12,FALSE)/100/VLOOKUP($C$74,'DB animal categories'!$C$32:$AC$41,27,FALSE)*AJ78+Y78+Z78+AA78,0))))))</f>
        <v/>
      </c>
      <c r="BA78" s="506"/>
      <c r="BB78" s="506"/>
      <c r="BC78" s="506"/>
      <c r="BG78" s="1357"/>
      <c r="BH78" s="1361"/>
      <c r="BI78" s="598" t="str">
        <f>IF(BG78="","",$BA$77*BH78/100-($BB$77*BH78/100*VLOOKUP(BG78,'DB technologies'!$AC$21:$AT$25,5,FALSE)/100)+(VLOOKUP(BG78,'DB technologies'!$AC$21:$AT$25,12,FALSE)*$BA$77*BH78/100))</f>
        <v/>
      </c>
      <c r="BJ78" s="551">
        <f>IF(BI78="",0,BI78*BK78/100)</f>
        <v>0</v>
      </c>
      <c r="BK78" s="561" t="str">
        <f>IF(BG78="","",IF($BA$77=0,0,($BB$77*BH78/100)/BI78*(1-(VLOOKUP(BG78,'DB technologies'!$AC$21:$AQ$25,5,FALSE))/100)*100))</f>
        <v/>
      </c>
      <c r="BL78" s="261" t="str">
        <f>IF(BG78="","",$BD$77*(1-VLOOKUP(BG78,'DB technologies'!$AC$21:$AS$25,12,FALSE)/100)*BH78/100-BO78-BP78-BQ78-BR78)</f>
        <v/>
      </c>
      <c r="BM78" s="261" t="str">
        <f>IF(BG78="","",$BE$77*(1-VLOOKUP(BG78,'DB technologies'!$AC$21:$AS$25,12,FALSE)/100)*BH78/100-BS78)</f>
        <v/>
      </c>
      <c r="BN78" s="261" t="str">
        <f>IF(BG78="","",$BF$77*(1-VLOOKUP(BG78,'DB technologies'!$AC$21:$AS$25,12,FALSE)/100)*BH78/100-BT78)</f>
        <v/>
      </c>
      <c r="BO78" s="261" t="str">
        <f>IF(BG78="","",$BD$77*BH78/100*VLOOKUP(BG78,'DB technologies'!$AC$21:$AF$25,2,FALSE)/100)</f>
        <v/>
      </c>
      <c r="BP78" s="261" t="str">
        <f>IF(BG78="","",$BD$77*BH78/100*VLOOKUP(BG78,'DB technologies'!$AC$21:$AN$25,3,FALSE)/100)</f>
        <v/>
      </c>
      <c r="BQ78" s="262" t="str">
        <f>IF(BG78="","",$BD$77*BH78/100*VLOOKUP(BG78,'DB technologies'!$AC$21:$AN$25,4,FALSE)/100)</f>
        <v/>
      </c>
      <c r="BR78" s="264" t="str">
        <f>IF(BG78="","",VLOOKUP(BG78,'DB technologies'!$AC$21:$AQ$25,13,FALSE)/100*$BD$77*BH78/100)</f>
        <v/>
      </c>
      <c r="BS78" s="261" t="str">
        <f>IF(BG78="","",VLOOKUP(BG78,'DB technologies'!$AC$21:$AQ$25,14,FALSE)/100*$BE$77*BH78/100)</f>
        <v/>
      </c>
      <c r="BT78" s="262" t="str">
        <f>IF(BG78="","",VLOOKUP(BG78,'DB technologies'!$AC$21:$AQ$25,15,FALSE)/100*$BF$77*BH78/100)</f>
        <v/>
      </c>
    </row>
    <row r="79" spans="1:72" ht="12" customHeight="1" thickBot="1" x14ac:dyDescent="0.25">
      <c r="A79" s="684"/>
      <c r="B79" s="695"/>
      <c r="C79" s="256"/>
      <c r="D79" s="269" t="s">
        <v>58</v>
      </c>
      <c r="E79" s="270">
        <f>IF(F79&lt;=100,SUM(E74:E78),"ERROR")</f>
        <v>0</v>
      </c>
      <c r="F79" s="284">
        <f>IF(SUM(F74:F78) &lt;=100,SUM(F74:F78),"ERROR, SUM&gt;100%")</f>
        <v>0</v>
      </c>
      <c r="G79" s="492">
        <f>IF('Calc (ex-animal)'!$F$9=1,"",SUM(G74:G78))</f>
        <v>0</v>
      </c>
      <c r="H79" s="433">
        <f>IF('Calc (ex-animal)'!$F$8=1,"",SUM(H74:H78))</f>
        <v>0</v>
      </c>
      <c r="I79" s="433">
        <f>IF('Calc (ex-animal)'!$F$8=1,"",SUM(I74:I78))</f>
        <v>0</v>
      </c>
      <c r="J79" s="433">
        <f>IF('Calc (ex-animal)'!$F$8=1,"",SUM(J74:J78))</f>
        <v>0</v>
      </c>
      <c r="K79" s="433">
        <f>IF('Calc (ex-animal)'!$F$8=1,"",SUM(K74:K78))</f>
        <v>0</v>
      </c>
      <c r="L79" s="433">
        <f>IF('Calc (ex-animal)'!$F$8=1,"",SUM(L74:L78))</f>
        <v>0</v>
      </c>
      <c r="M79" s="470"/>
      <c r="N79" s="470"/>
      <c r="O79" s="470"/>
      <c r="P79" s="478">
        <f>IF(G79=0,0,IF('Calc (ex-animal)'!$F$9=1,"",IF(D79="","",SUM(H79:K79)/G79*100)))</f>
        <v>0</v>
      </c>
      <c r="Q79" s="271"/>
      <c r="R79" s="271"/>
      <c r="S79" s="271"/>
      <c r="T79" s="278">
        <f>IF('Calc (ex-animal)'!$F$19=1,"",SUM(T74:T78))</f>
        <v>0</v>
      </c>
      <c r="U79" s="279"/>
      <c r="V79" s="279"/>
      <c r="W79" s="279"/>
      <c r="X79" s="279">
        <f>IF('Calc (ex-animal)'!$F$19=1,"",SUM(X74:X78))</f>
        <v>0</v>
      </c>
      <c r="Y79" s="279"/>
      <c r="Z79" s="279"/>
      <c r="AA79" s="279"/>
      <c r="AB79" s="279">
        <f>IF('Calc (ex-animal)'!$F$19=1,"",SUM(AB74:AB78))</f>
        <v>0</v>
      </c>
      <c r="AC79" s="279">
        <f>IF('Calc (ex-animal)'!$F$19=1,"",SUM(AC74:AC78))</f>
        <v>0</v>
      </c>
      <c r="AD79" s="279">
        <f>IF('Calc (ex-animal)'!$F$19=1,"",SUM(AD74:AD78))</f>
        <v>0</v>
      </c>
      <c r="AE79" s="280">
        <f>IF('Calc (ex-animal)'!$F$19=1,"",SUM(AE74:AE78))</f>
        <v>0</v>
      </c>
      <c r="AG79" s="698"/>
      <c r="AH79" s="695"/>
      <c r="BG79" s="1357"/>
      <c r="BH79" s="1361"/>
      <c r="BI79" s="598" t="str">
        <f>IF(BG79="","",$BA$77*BH79/100-($BB$77*BH79/100*VLOOKUP(BG79,'DB technologies'!$AC$21:$AT$25,5,FALSE)/100)+(VLOOKUP(BG79,'DB technologies'!$AC$21:$AT$25,12,FALSE)*$BA$77*BH79/100))</f>
        <v/>
      </c>
      <c r="BJ79" s="551">
        <f>IF(BI79="",0,BI79*BK79/100)</f>
        <v>0</v>
      </c>
      <c r="BK79" s="561" t="str">
        <f>IF(BG79="","",IF($BA$77=0,0,($BB$77*BH79/100)/BI79*(1-(VLOOKUP(BG79,'DB technologies'!$AC$21:$AQ$25,5,FALSE))/100)*100))</f>
        <v/>
      </c>
      <c r="BL79" s="261" t="str">
        <f>IF(BG79="","",$BD$77*(1-VLOOKUP(BG79,'DB technologies'!$AC$21:$AS$25,12,FALSE)/100)*BH79/100-BO79-BP79-BQ79-BR79)</f>
        <v/>
      </c>
      <c r="BM79" s="261" t="str">
        <f>IF(BG79="","",$BE$77*(1-VLOOKUP(BG79,'DB technologies'!$AC$21:$AS$25,12,FALSE)/100)*BH79/100-BS79)</f>
        <v/>
      </c>
      <c r="BN79" s="261" t="str">
        <f>IF(BG79="","",$BF$77*(1-VLOOKUP(BG79,'DB technologies'!$AC$21:$AS$25,12,FALSE)/100)*BH79/100-BT79)</f>
        <v/>
      </c>
      <c r="BO79" s="261" t="str">
        <f>IF(BG79="","",$BD$77*BH79/100*VLOOKUP(BG79,'DB technologies'!$AC$21:$AF$25,2,FALSE)/100)</f>
        <v/>
      </c>
      <c r="BP79" s="261" t="str">
        <f>IF(BG79="","",$BD$77*BH79/100*VLOOKUP(BG79,'DB technologies'!$AC$21:$AN$25,3,FALSE)/100)</f>
        <v/>
      </c>
      <c r="BQ79" s="262" t="str">
        <f>IF(BG79="","",$BD$77*BH79/100*VLOOKUP(BG79,'DB technologies'!$AC$21:$AN$25,4,FALSE)/100)</f>
        <v/>
      </c>
      <c r="BR79" s="264" t="str">
        <f>IF(BG79="","",VLOOKUP(BG79,'DB technologies'!$AC$21:$AQ$25,13,FALSE)/100*$BD$77*BH79/100)</f>
        <v/>
      </c>
      <c r="BS79" s="261" t="str">
        <f>IF(BG79="","",VLOOKUP(BG79,'DB technologies'!$AC$21:$AQ$25,14,FALSE)/100*$BE$77*BH79/100)</f>
        <v/>
      </c>
      <c r="BT79" s="262" t="str">
        <f>IF(BG79="","",VLOOKUP(BG79,'DB technologies'!$AC$21:$AQ$25,15,FALSE)/100*$BF$77*BH79/100)</f>
        <v/>
      </c>
    </row>
    <row r="80" spans="1:72" ht="11.25" customHeight="1" x14ac:dyDescent="0.2">
      <c r="A80" s="684"/>
      <c r="B80" s="695"/>
      <c r="C80" s="250">
        <f>'Calc (ex-animal)'!D20</f>
        <v>0</v>
      </c>
      <c r="D80" s="1355"/>
      <c r="E80" s="1356"/>
      <c r="F80" s="479" t="str">
        <f>IF('Calc (ex-animal)'!$F$9=1,"",IF($C$80=0,"",IF(D80="","",E80/'Calc (ex-animal)'!$E$20*100)))</f>
        <v/>
      </c>
      <c r="G80" s="484" t="str">
        <f>IF($C$80=0,"",IF('Calc (ex-animal)'!$F$8=1,"",IF(D80="","",SUM(H80:O80))))</f>
        <v/>
      </c>
      <c r="H80" s="471" t="str">
        <f>IF('Calc (ex-animal)'!$F$8=1,"",IF(D80="","",(((VLOOKUP($C$80,'Calc (ex-animal)'!$D$18:$Y$22,6,FALSE)-VLOOKUP($C$80,'Calc (ex-animal)'!$D$18:$Y$22,17,FALSE))*F80/100))*VLOOKUP($C$80,'Calc (ex-animal)'!$D$18:$Y$22,7,FALSE)/100*(1-VLOOKUP(D80,'DB technologies'!$N$40:$Y$51,9,FALSE)/100)))</f>
        <v/>
      </c>
      <c r="I80" s="471" t="str">
        <f>IF(D80="","",((VLOOKUP(D80,'DB technologies'!$N$40:$Y$51,2,FALSE)*VLOOKUP($C$80,'DB animal categories'!$C$32:$AC$41,27,FALSE)*E80/1000)/VLOOKUP($C$80,'DB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'!$S$6/100*(1-VLOOKUP(D80,'DB technologies'!$N$40:$Y$51,9,FALSE)/100)))</f>
        <v/>
      </c>
      <c r="J80" s="472" t="str">
        <f>IF(D80="","",((VLOOKUP(D80,'DB technologies'!$N$40:$Y$51,3,FALSE)*VLOOKUP($C$80,'DB animal categories'!$C$32:$AC$41,27,FALSE)*E80/1000)/VLOOKUP($C$80,'DB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'!$S$7/100*(1-VLOOKUP(D80,'DB technologies'!$N$40:$Y$51,9,FALSE)/100)))</f>
        <v/>
      </c>
      <c r="K80" s="472" t="str">
        <f>IF(D80="","",((VLOOKUP(D80,'DB technologies'!$N$40:$Y$51,4,FALSE)*E80*'DB additional information '!$S$8/100*(1-VLOOKUP(D80,'DB technologies'!$N$40:$Y$51,9,FALSE)/100))/VLOOKUP($C$80,'DB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L80" s="471" t="str">
        <f>IF('Calc (ex-animal)'!$F$8=1,"",IF(D80="","",(((VLOOKUP($C$80,'Calc (ex-animal)'!$D$18:$Y$22,6,FALSE)-VLOOKUP($C$80,'Calc (ex-animal)'!$D$18:$Y$22,17,FALSE))*F80/100))*(1-VLOOKUP($C$80,'Calc (ex-animal)'!$D$18:$Y$22,7,FALSE)/100)*(1-VLOOKUP(D80,'DB technologies'!$N$40:$V$51,8,FALSE)/100)))</f>
        <v/>
      </c>
      <c r="M80" s="472" t="str">
        <f>IF(D80="","",((VLOOKUP(D80,'DB technologies'!$N$40:$Y$51,2,FALSE)*VLOOKUP($C$80,'DB animal categories'!$C$32:$AC$41,27,FALSE)*E80/1000)/VLOOKUP($C$80,'DB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'!$S$6/100)*(1-VLOOKUP(D80,'DB technologies'!$N$40:$Y$51,9,FALSE)/100))</f>
        <v/>
      </c>
      <c r="N80" s="472" t="str">
        <f>IF(D80="","",((VLOOKUP(D80,'DB technologies'!$N$40:$Y$51,3,FALSE)*VLOOKUP($C$80,'DB animal categories'!$C$32:$AC$41,27,FALSE)*E80/1000)/VLOOKUP($C$80,'DB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'!$S$7/100)*(1-VLOOKUP(D80,'DB technologies'!$N$40:$Y$51,9,FALSE)/100))</f>
        <v/>
      </c>
      <c r="O80" s="471" t="str">
        <f>IF(D80="","",((VLOOKUP(D80,'DB technologies'!$N$40:$Y$51,4,FALSE)*E80*(1-'DB additional information '!$S$8/100)*(1-VLOOKUP(D80,'DB technologies'!$N$40:$Y$51,8,FALSE)/100))/VLOOKUP($C$80,'DB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P80" s="443" t="str">
        <f>IF(G80=0,0,IF(E80="","",IF(F80="","",IF($C$80=0,"",IF(D80="","",SUM(H80:K80)/G80*100)))))</f>
        <v/>
      </c>
      <c r="Q80" s="473" t="str">
        <f>IF(D80="","",(VLOOKUP(D80,'DB technologies'!$N$40:$Y$51,2,FALSE)*'DB additional information '!$S$6/100*'DB additional information '!$T$6*VLOOKUP($C$80,'DB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R80" s="473" t="str">
        <f>IF(D80="","",(VLOOKUP(D80,'DB technologies'!$N$40:$Y$51,3,FALSE)*'DB additional information '!$S$7/100*'DB additional information '!$T$7*VLOOKUP($C$80,'DB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S80" s="490" t="str">
        <f>IF(D80="","",(VLOOKUP(D80,'DB technologies'!$N$40:$Y$51,4,FALSE)*('DB additional information '!$S$8/100*'DB additional information '!$T$8*E80/1000/1000)))</f>
        <v/>
      </c>
      <c r="T80" s="263" t="str">
        <f>IF($C$80=0,"",IF('Calc (ex-animal)'!$F$9=1,"",IF(D80="","",((VLOOKUP($C$80,'Calc (ex-animal)'!$D$18:$Y$22,10,FALSE)-VLOOKUP($C$80,'Calc (ex-animal)'!$D$18:$Y$22,18,FALSE))*F80/100+Q80+R80+S80)-AC80-AD80-AE80)))</f>
        <v/>
      </c>
      <c r="U80" s="474" t="str">
        <f>IF(D80="","",(VLOOKUP(D80,'DB technologies'!$N$40:$Y$51,2,FALSE)*'DB additional information '!$S$6/100*'DB additional information '!$U$6*VLOOKUP($C$80,'DB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V80" s="420" t="str">
        <f>IF(D80="","",(VLOOKUP(D80,'DB technologies'!$N$40:$Y$51,3,FALSE)*'DB additional information '!$S$7/100*'DB additional information '!$U$7*VLOOKUP($C$80,'DB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W80" s="415" t="str">
        <f>IF(D80="","",(VLOOKUP(D80,'DB technologies'!$N$40:$Y$51,4,FALSE)*('DB additional information '!$S$8/100*'DB additional information '!$U$8*E80/1000/1000)))</f>
        <v/>
      </c>
      <c r="X80" s="259" t="str">
        <f>IF($C$80=0,"",IF('Calc (ex-animal)'!$F$9=1,"",IF(D80="","",((VLOOKUP($C$80,'Calc (ex-animal)'!$D$18:$Y$22,13,FALSE)-VLOOKUP($C$80,'Calc (ex-animal)'!$D$18:$Y$22,19,FALSE))*F80/100+U80+V80+W80))))</f>
        <v/>
      </c>
      <c r="Y80" s="420" t="str">
        <f>IF(D80="","",(VLOOKUP(D80,'DB technologies'!$N$40:$Y$51,2,FALSE)*'DB additional information '!$S$6/100*'DB additional information '!$V$6*VLOOKUP($C$80,'DB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Z80" s="420" t="str">
        <f>IF(D80="","",(VLOOKUP(D80,'DB technologies'!$N$40:$Y$51,3,FALSE)*'DB additional information '!$S$7/100*'DB additional information '!$V$7*VLOOKUP($C$80,'DB animal categories'!$C$32:$AC$41,27,FALSE)*E80/1000/1000)/VLOOKUP($C$80,'DB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AA80" s="420" t="str">
        <f>IF(D80="","",(VLOOKUP(D80,'DB technologies'!$N$40:$Y$51,4,FALSE)*('DB additional information '!$S$8/100*'DB additional information '!$V$8*E80/1000/1000)))</f>
        <v/>
      </c>
      <c r="AB80" s="259" t="str">
        <f>IF($C$80=0,"",IF('Calc (ex-animal)'!$F$8=1,"",IF(D80="","",((VLOOKUP($C$80,'Calc (ex-animal)'!$D$18:$Y$22,16,FALSE)-VLOOKUP($C$80,'Calc (ex-animal)'!$D$18:$Y$22,20,FALSE))*F80/100+Y80+Z80+AA80))))</f>
        <v/>
      </c>
      <c r="AC80" s="259" t="str">
        <f>IF($C$80=0,"",IF('Calc (ex-animal)'!$F$8=1,"",IF(D80="","",VLOOKUP($C$80,'Calc (ex-animal)'!$D$18:$Y$22,9,FALSE)/VLOOKUP($C$80,'DB animal categories'!$C$32:$AC$41,27,FALSE)*(VLOOKUP($C$80,'DB animal categories'!$C$32:$AC$41,27,FALSE)-VLOOKUP($C$80,'DB animal categories'!$C$32:$AC$41,25,FALSE)*VLOOKUP($C$80,'DB animal categories'!$C$32:$AC$41,26,FALSE)/24)*F80/100*VLOOKUP(D80,'DB technologies'!$N$40:$R$51,5,FALSE)/100)))</f>
        <v/>
      </c>
      <c r="AD80" s="259" t="str">
        <f>IF($C$80=0,"",IF('Calc (ex-animal)'!$F$8=1,"",IF(D80="","",VLOOKUP($C$80,'Calc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categories'!$C$32:$AC$41,26,FALSE)/24)*F80/100*VLOOKUP(D80,'DB technologies'!$N$40:$Y$51,6,FALSE)/100)))</f>
        <v/>
      </c>
      <c r="AE80" s="260" t="str">
        <f>IF($C$80=0,"",IF('Calc (ex-animal)'!$F$8=1,"",IF(D80="","",VLOOKUP($C$80,'Calc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categories'!$C$32:$AC$41,26,FALSE)/24)*F80/100*VLOOKUP(D80,'DB technologies'!$N$40:$Y$51,7,FALSE)/100)))</f>
        <v/>
      </c>
      <c r="AG80" s="698"/>
      <c r="AH80" s="695"/>
      <c r="AI80" s="179" t="str">
        <f>IF(D80="","",VLOOKUP(D80,'DB technologies'!$N$40:$Y$51,10,FALSE))</f>
        <v/>
      </c>
      <c r="AJ80" s="482" t="e">
        <f>VLOOKUP($C$80,'DB animal categories'!$C$32:$AN$41,27,FALSE)-VLOOKUP($C$80,'DB animal categories'!$C$32:$AN$41,26,FALSE)*VLOOKUP($C$80,'DB animal categories'!$C$32:$AN$41,25,FALSE)/24</f>
        <v>#N/A</v>
      </c>
      <c r="AK80" s="453" t="str">
        <f>IF(AI80="","",AL80+AM80)</f>
        <v/>
      </c>
      <c r="AL80" s="453" t="str">
        <f>IF(D80="","",IF(AI80=2,(('Calc (ex-animal)'!$G$20*'DB additional information '!$K$7/100*(1-VLOOKUP(D80,'DB technologies'!$N$40:$Y$51,9,FALSE)/100)*'Calc (ex-housing, ex-storage)'!F80/100+'Calc (ex-animal)'!$H$20*'DB additional information '!$L$7/100*(1-VLOOKUP(D80,'DB technologies'!$N$40:$Y$51,9,FALSE)/100)*'Calc (ex-housing, ex-storage)'!F80/100))/VLOOKUP($C$80,'DB animal categories'!$C$32:$AC$41,27,FALSE)*AJ80+I80+J80+K80,IF(AI80=1,('Calc (ex-animal)'!$H$20*'DB additional information '!$L$7/100*(1-VLOOKUP(D80,'DB technologies'!$N$40:$Y$51,9,FALSE)/100)*'Calc (ex-housing, ex-storage)'!F80/100)/VLOOKUP($C$80,'DB animal categories'!$C$32:$AC$41,27,FALSE)*AJ80,IF(AI80=4,('Calc (ex-animal)'!$G$20*'DB additional information '!$K$7/100+'Calc (ex-animal)'!$H$20*'DB additional information '!$L$7/100)*(1-VLOOKUP(D80,'DB technologies'!$N$40:$Y$51,9,FALSE)/100)*'Calc (ex-housing, ex-storage)'!F80/100*VLOOKUP(D80,'DB technologies'!$N$40:$Y$51,11,FALSE)/100/VLOOKUP($C$80,'DB animal categories'!$C$32:$AC$41,27,FALSE)*AJ80,0))))</f>
        <v/>
      </c>
      <c r="AM80" s="453" t="str">
        <f>IF(D80="","",IF(AI80=2,(('Calc (ex-animal)'!$G$20*(1-'DB additional information '!$K$7/100)*(1-VLOOKUP(D80,'DB technologies'!$N$40:$Y$51,8,FALSE)/100)*'Calc (ex-housing, ex-storage)'!F80/100+'Calc (ex-animal)'!$H$20*(1-'DB additional information '!$L$7/100)*(1-VLOOKUP(D80,'DB technologies'!$N$40:$Y$51,8,FALSE)/100)*'Calc (ex-housing, ex-storage)'!F80/100))/VLOOKUP($C$80,'DB animal categories'!$C$32:$AC$41,27,FALSE)*AJ80+M80+N80+O80,IF(AI80=1,('Calc (ex-animal)'!$H$20*(1-'DB additional information '!$L$7/100)*(1-VLOOKUP(D80,'DB technologies'!$N$40:$Y$51,8,FALSE)/100)*'Calc (ex-housing, ex-storage)'!F80/100)/VLOOKUP($C$80,'DB animal categories'!$C$32:$AC$41,27,FALSE)*AJ80,IF(AI80=4,('Calc (ex-animal)'!$G$20*(1-'DB additional information '!$K$7/100)+'Calc (ex-animal)'!$H$20*(1-'DB additional information '!$L$7/100))*(1-VLOOKUP(D80,'DB technologies'!$N$40:$Y$51,8,FALSE)/100)*'Calc (ex-housing, ex-storage)'!F80/100*VLOOKUP(D80,'DB technologies'!$N$40:$Y$51,11,FALSE)/100/VLOOKUP($C$80,'DB animal categories'!$C$32:$AC$41,27,FALSE)*AJ80,0))))</f>
        <v/>
      </c>
      <c r="AN80" s="453" t="str">
        <f>IF(AI80="","",IF(AL80=0,0,AL80/AK80*100))</f>
        <v/>
      </c>
      <c r="AO80" s="180" t="str">
        <f>IF(D80="","",IF(AI80=2,(('Calc (ex-animal)'!$L$20*'Calc (ex-housing, ex-storage)'!F80/100+'Calc (ex-animal)'!$K$20*'Calc (ex-housing, ex-storage)'!F80/100))/VLOOKUP($C$80,'DB animal categories'!$C$32:$AC$41,27,FALSE)*AJ80+Q80+R80+S80-AC80,IF(AI80=1,('Calc (ex-animal)'!$L$20*'Calc (ex-housing, ex-storage)'!F80/100)/VLOOKUP($C$80,'DB animal categories'!$C$32:$AC$41,27,FALSE)*AJ80-'Calc (ex-housing, ex-storage)'!AC80,IF(AI80=4,('Calc (ex-animal)'!$L$20+'Calc (ex-animal)'!$K$20)*'Calc (ex-housing, ex-storage)'!F80/100*VLOOKUP(D80,'DB technologies'!$N$40:$Y$51,11,FALSE)/100/VLOOKUP($C$80,'DB animal categories'!$C$32:$AC$41,27,FALSE)*AJ80-AC80*VLOOKUP(D80,'DB technologies'!$N$40:$Y$51,11,FALSE)/100,0))))</f>
        <v/>
      </c>
      <c r="AP80" s="180" t="str">
        <f>IF(D80="","",IF(AO80&lt;-0.01,0,IF(AI80=2,(('Calc (ex-animal)'!$L$20*'Calc (ex-housing, ex-storage)'!F80/100+'Calc (ex-animal)'!$K$20*'Calc (ex-housing, ex-storage)'!F80/100))/VLOOKUP($C$80,'DB animal categories'!$C$32:$AC$41,27,FALSE)*AJ80+Q80+R80+S80-AC80,IF(AI80=1,('Calc (ex-animal)'!$L$20*'Calc (ex-housing, ex-storage)'!F80/100)/VLOOKUP($C$80,'DB animal categories'!$C$32:$AC$41,27,FALSE)*AJ80-'Calc (ex-housing, ex-storage)'!AC80,IF(AI80=4,('Calc (ex-animal)'!$L$20+'Calc (ex-animal)'!$K$20)*'Calc (ex-housing, ex-storage)'!F80/100*VLOOKUP(D80,'DB technologies'!$N$40:$Y$51,11,FALSE)/100/VLOOKUP($C$80,'DB animal categories'!$C$32:$AC$41,27,FALSE)*AJ80-AC80*VLOOKUP(D80,'DB technologies'!$N$40:$Y$51,11,FALSE)/100,0)))))</f>
        <v/>
      </c>
      <c r="AQ80" s="180" t="str">
        <f>IF(D80="","",IF(AI80=2,('Calc (ex-animal)'!$O$20*'Calc (ex-housing, ex-storage)'!F80/100+'Calc (ex-animal)'!$N$20*'Calc (ex-housing, ex-storage)'!F80/100)/VLOOKUP($C$80,'DB animal categories'!$C$32:$AC$41,27,FALSE)*AJ80+U80+V80+W80,IF(AI80=1,'Calc (ex-animal)'!$O$20*'Calc (ex-housing, ex-storage)'!F80/100/VLOOKUP($C$80,'DB animal categories'!$C$32:$AC$41,27,FALSE)*AJ80,IF(AI80=4,('Calc (ex-animal)'!$O$20+'Calc (ex-animal)'!$N$20)*'Calc (ex-housing, ex-storage)'!F80/100*VLOOKUP(D80,'DB technologies'!$N$40:$Y$51,11,FALSE)/100/VLOOKUP($C$80,'DB animal categories'!$C$32:$AC$41,27,FALSE)*AJ80,0))))</f>
        <v/>
      </c>
      <c r="AR80" s="180" t="str">
        <f>IF(D80="","",IF(AI80=2,('Calc (ex-animal)'!$R$20*'Calc (ex-housing, ex-storage)'!F80/100+'Calc (ex-animal)'!$Q$20*'Calc (ex-housing, ex-storage)'!F80/100)/VLOOKUP($C$80,'DB animal categories'!$C$32:$AC$41,27,FALSE)*AJ80+Y80+Z80+AA80,IF(AI80=1,'Calc (ex-animal)'!$R$20*'Calc (ex-housing, ex-storage)'!F80/100/VLOOKUP($C$80,'DB animal categories'!$C$32:$AC$41,27,FALSE)*AJ80,IF(AI80=4,('Calc (ex-animal)'!$R$20+'Calc (ex-animal)'!$Q$20)*'Calc (ex-housing, ex-storage)'!F80/100*VLOOKUP(D80,'DB technologies'!$N$40:$Y$51,11,FALSE)/100/VLOOKUP($C$80,'DB animal categories'!$C$32:$AC$41,27,FALSE)*AJ80,0))))</f>
        <v/>
      </c>
      <c r="AS80" s="179" t="str">
        <f>IF(D80="","",VLOOKUP(D80,'DB technologies'!$N$40:$Y$51,10,FALSE))</f>
        <v/>
      </c>
      <c r="AT80" s="453" t="str">
        <f>IF(AS80="","",AU80+AV80)</f>
        <v/>
      </c>
      <c r="AU80" s="453" t="str">
        <f>IF(D80="","",IF(AS80=2,0,IF(AS80=1,'Calc (ex-animal)'!$G$20*'DB additional information '!$K$7/100*(1-VLOOKUP(D80,'DB technologies'!$N$40:$Y$51,8,FALSE)/100)*'Calc (ex-housing, ex-storage)'!F80/100/VLOOKUP($C$80,'DB animal categories'!$C$32:$AC$41,27,FALSE)*AJ80+I80+J80+K80,IF(AS80=5,(('Calc (ex-animal)'!$G$20*'DB additional information '!$K$7/100+'Calc (ex-animal)'!$H$20*'DB additional information '!$L$7/100))*(1-VLOOKUP(D80,'DB technologies'!$N$40:$Y$51,9,FALSE)/100)*'Calc (ex-housing, ex-storage)'!F80/100/VLOOKUP($C$80,'DB animal categories'!$C$32:$AC$41,27,FALSE)*AJ80+I80+J80+K80,IF(AS80=3,('Calc (ex-animal)'!$G$20*'DB additional information '!$K$7/100+'Calc (ex-animal)'!$H$20*'DB additional information '!$L$7/100)*(1-VLOOKUP(D80,'DB technologies'!$N$40:$Y$51,9,FALSE)/100)*'Calc (ex-housing, ex-storage)'!F80/100/VLOOKUP($C$80,'DB animal categories'!$C$32:$AC$41,27,FALSE)*AJ80+I80+J80+K80,IF(AS80=4,('Calc (ex-animal)'!$G$20*'DB additional information '!$K$7/100+'Calc (ex-animal)'!$H$20*'DB additional information '!$L$7/100)*(1-VLOOKUP(D80,'DB technologies'!$N$40:$Y$51,9,FALSE)/100)*'Calc (ex-housing, ex-storage)'!F80/100*VLOOKUP(D80,'DB technologies'!$N$40:$Y$51,12,FALSE)/100/VLOOKUP($C$80,'DB animal categories'!$C$32:$AC$41,27,FALSE)*AJ80+I80+J80+K80,0))))))</f>
        <v/>
      </c>
      <c r="AV80" s="453" t="str">
        <f>IF(D80="","",IF(AS80=2,0,IF(AS80=1,'Calc (ex-animal)'!$G$20*(1-'DB additional information '!$K$7/100)*(1-VLOOKUP(D80,'DB technologies'!$N$40:$Y$51,8,FALSE)/100)*'Calc (ex-housing, ex-storage)'!F80/100/VLOOKUP($C$80,'DB animal categories'!$C$32:$AC$41,27,FALSE)*AJ80+M80+N80+O80,IF(AS80=5,('Calc (ex-animal)'!$G$20*(1-'DB additional information '!$K$7/100)+'Calc (ex-animal)'!$H$20*(1-'DB additional information '!$L$7/100))*(1-VLOOKUP(D80,'DB technologies'!$N$40:$Y$51,8,FALSE)/100)*'Calc (ex-housing, ex-storage)'!F80/100/VLOOKUP($C$80,'DB animal categories'!$C$32:$AC$41,27,FALSE)*AJ80+M80+N80+O80,IF(AS80=3,('Calc (ex-animal)'!$G$20*(1-'DB additional information '!$K$7/100)+'Calc (ex-animal)'!$H$20*(1-'DB additional information '!$L$7/100))*(1-VLOOKUP(D80,'DB technologies'!$N$40:$Y$51,8,FALSE)/100)*'Calc (ex-housing, ex-storage)'!F80/100/VLOOKUP($C$80,'DB animal categories'!$C$32:$AC$41,27,FALSE)*AJ80+M80+N80+O80,IF(AS80=4,('Calc (ex-animal)'!$G$20*(1-'DB additional information '!$K$7/100)+'Calc (ex-animal)'!$H$20*(1-'DB additional information '!$L$7/100))*(1-VLOOKUP(D80,'DB technologies'!$N$40:$Y$51,8,FALSE)/100)*'Calc (ex-housing, ex-storage)'!F80/100*VLOOKUP(D80,'DB technologies'!$N$40:$Y$51,12,FALSE)/100/VLOOKUP($C$80,'DB animal categories'!$C$32:$AC$41,27,FALSE)*AJ80+M80+N80+O80,0))))))</f>
        <v/>
      </c>
      <c r="AW80" s="453" t="str">
        <f>IF(AS80="","",IF(AU80=0,0,AU80/AT80*100))</f>
        <v/>
      </c>
      <c r="AX80" s="180" t="str">
        <f>IF(D80="","",IF(AS80=2,0,IF(AS80=1,'Calc (ex-animal)'!$K$20*'Calc (ex-housing, ex-storage)'!F80/100/VLOOKUP($C$80,'DB animal categories'!$C$32:$AC$41,27,FALSE)*AJ80+Q80+R80+S80,IF(AS80=5,('Calc (ex-animal)'!$K$20+'Calc (ex-animal)'!$L$20)*'Calc (ex-housing, ex-storage)'!F80/100/VLOOKUP($C$80,'DB animal categories'!$C$32:$AC$41,27,FALSE)*AJ80+Q80+R80+S80-'Calc (ex-housing, ex-storage)'!AC80,IF(AS80=3,('Calc (ex-animal)'!$K$20+'Calc (ex-animal)'!$L$20)*'Calc (ex-housing, ex-storage)'!F80/100/VLOOKUP($C$80,'DB animal categories'!$C$32:$AC$41,27,FALSE)*AJ80+Q80+R80+S80-'Calc (ex-housing, ex-storage)'!AC80-AD80-AE80,IF(AI80=4,('Calc (ex-animal)'!$K$20+'Calc (ex-animal)'!$L$20)*'Calc (ex-housing, ex-storage)'!F80/100*VLOOKUP(D80,'DB technologies'!$N$40:$Y$51,12,FALSE)/100/VLOOKUP($C$80,'DB animal categories'!$C$32:$AC$41,27,FALSE)*AJ80+Q80+R80+S80-(VLOOKUP(D80,'DB technologies'!$N$40:$Y$51,12,FALSE)/100*AC80)-AD80-AE80,0))))))</f>
        <v/>
      </c>
      <c r="AY80" s="180" t="str">
        <f>IF(D80="","",IF(AS80=2,0,IF(AS80=1,'Calc (ex-animal)'!$N$20*'Calc (ex-housing, ex-storage)'!F80/100/VLOOKUP($C$80,'DB animal categories'!$C$32:$AC$41,27,FALSE)*AJ80+U80+V80+W80,IF(AS80=5,('Calc (ex-animal)'!$N$20+'Calc (ex-animal)'!$O$20)*'Calc (ex-housing, ex-storage)'!F80/100/VLOOKUP($C$80,'DB animal categories'!$C$32:$AC$41,27,FALSE)*AJ80+U80+V80+W80,IF(AS80=3,('Calc (ex-animal)'!$N$20+'Calc (ex-animal)'!$O$20)*'Calc (ex-housing, ex-storage)'!F80/100/VLOOKUP($C$80,'DB animal categories'!$C$32:$AC$41,27,FALSE)*AJ80+U80+V80+W80,IF(AS80=4,('Calc (ex-animal)'!$N$20+'Calc (ex-animal)'!$O$20)*'Calc (ex-housing, ex-storage)'!F80/100*VLOOKUP(D80,'DB technologies'!$N$40:$Y$51,12,FALSE)/100/VLOOKUP($C$80,'DB animal categories'!$C$32:$AC$41,27,FALSE)*AJ80+U80+V80+W80,0))))))</f>
        <v/>
      </c>
      <c r="AZ80" s="180" t="str">
        <f>IF(D80="","",IF(AS80=2,0,IF(AS80=1,'Calc (ex-animal)'!$Q$20*'Calc (ex-housing, ex-storage)'!F80/100/VLOOKUP($C$80,'DB animal categories'!$C$32:$AC$41,27,FALSE)*AJ80+Y80+Z80+AA80,IF(AS80=5,('Calc (ex-animal)'!$Q$20+'Calc (ex-animal)'!$R$20)*'Calc (ex-housing, ex-storage)'!F80/100/VLOOKUP($C$80,'DB animal categories'!$C$32:$AC$41,27,FALSE)*AJ80+Y80+Z80+AA80,IF(AS80=3,('Calc (ex-animal)'!$Q$20+'Calc (ex-animal)'!$R$20)*'Calc (ex-housing, ex-storage)'!F80/100/VLOOKUP($C$80,'DB animal categories'!$C$32:$AC$41,27,FALSE)*AJ80+Y80+Z80+AA80,IF(AS80=4,('Calc (ex-animal)'!$Q$20+'Calc (ex-animal)'!$R$20)*'Calc (ex-housing, ex-storage)'!F80/100*VLOOKUP(D80,'DB technologies'!$N$40:$Y$51,12,FALSE)/100/VLOOKUP($C$80,'DB animal categories'!$C$32:$AC$41,27,FALSE)*AJ80+Y80+Z80+AA80,0))))))</f>
        <v/>
      </c>
      <c r="BA80" s="506"/>
      <c r="BB80" s="506"/>
      <c r="BC80" s="506"/>
      <c r="BG80" s="1357"/>
      <c r="BH80" s="1361"/>
      <c r="BI80" s="598" t="str">
        <f>IF(BG80="","",$BA$77*BH80/100-($BB$77*BH80/100*VLOOKUP(BG80,'DB technologies'!$AC$21:$AT$25,5,FALSE)/100)+(VLOOKUP(BG80,'DB technologies'!$AC$21:$AT$25,12,FALSE)*$BA$77*BH80/100))</f>
        <v/>
      </c>
      <c r="BJ80" s="551">
        <f>IF(BI80="",0,BI80*BK80/100)</f>
        <v>0</v>
      </c>
      <c r="BK80" s="561" t="str">
        <f>IF(BG80="","",IF($BA$77=0,0,($BB$77*BH80/100)/BI80*(1-(VLOOKUP(BG80,'DB technologies'!$AC$21:$AQ$25,5,FALSE))/100)*100))</f>
        <v/>
      </c>
      <c r="BL80" s="261" t="str">
        <f>IF(BG80="","",$BD$77*(1-VLOOKUP(BG80,'DB technologies'!$AC$21:$AS$25,12,FALSE)/100)*BH80/100-BO80-BP80-BQ80-BR80)</f>
        <v/>
      </c>
      <c r="BM80" s="261" t="str">
        <f>IF(BG80="","",$BE$77*(1-VLOOKUP(BG80,'DB technologies'!$AC$21:$AS$25,12,FALSE)/100)*BH80/100-BS80)</f>
        <v/>
      </c>
      <c r="BN80" s="261" t="str">
        <f>IF(BG80="","",$BF$77*(1-VLOOKUP(BG80,'DB technologies'!$AC$21:$AS$25,12,FALSE)/100)*BH80/100-BT80)</f>
        <v/>
      </c>
      <c r="BO80" s="261" t="str">
        <f>IF(BG80="","",$BD$77*BH80/100*VLOOKUP(BG80,'DB technologies'!$AC$21:$AF$25,2,FALSE)/100)</f>
        <v/>
      </c>
      <c r="BP80" s="261" t="str">
        <f>IF(BG80="","",$BD$77*BH80/100*VLOOKUP(BG80,'DB technologies'!$AC$21:$AN$25,3,FALSE)/100)</f>
        <v/>
      </c>
      <c r="BQ80" s="262" t="str">
        <f>IF(BG80="","",$BD$77*BH80/100*VLOOKUP(BG80,'DB technologies'!$AC$21:$AN$25,4,FALSE)/100)</f>
        <v/>
      </c>
      <c r="BR80" s="264" t="str">
        <f>IF(BG80="","",VLOOKUP(BG80,'DB technologies'!$AC$21:$AQ$25,13,FALSE)/100*$BD$77*BH80/100)</f>
        <v/>
      </c>
      <c r="BS80" s="261" t="str">
        <f>IF(BG80="","",VLOOKUP(BG80,'DB technologies'!$AC$21:$AQ$25,14,FALSE)/100*$BE$77*BH80/100)</f>
        <v/>
      </c>
      <c r="BT80" s="262" t="str">
        <f>IF(BG80="","",VLOOKUP(BG80,'DB technologies'!$AC$21:$AQ$25,15,FALSE)/100*$BF$77*BH80/100)</f>
        <v/>
      </c>
    </row>
    <row r="81" spans="1:72" ht="11.25" customHeight="1" thickBot="1" x14ac:dyDescent="0.25">
      <c r="A81" s="684"/>
      <c r="B81" s="695"/>
      <c r="C81" s="255"/>
      <c r="D81" s="1357"/>
      <c r="E81" s="1358"/>
      <c r="F81" s="480" t="str">
        <f>IF('Calc (ex-animal)'!$F$9=1,"",IF($C$80=0,"",IF(D81="","",E81/'Calc (ex-animal)'!$E$20*100)))</f>
        <v/>
      </c>
      <c r="G81" s="485" t="str">
        <f>IF($C$80=0,"",IF('Calc (ex-animal)'!$F$8=1,"",IF(D81="","",SUM(H81:O81))))</f>
        <v/>
      </c>
      <c r="H81" s="423" t="str">
        <f>IF('Calc (ex-animal)'!$F$8=1,"",IF(D81="","",(((VLOOKUP($C$80,'Calc (ex-animal)'!$D$18:$Y$22,6,FALSE)-VLOOKUP($C$80,'Calc (ex-animal)'!$D$18:$Y$22,17,FALSE))*F81/100))*VLOOKUP($C$80,'Calc (ex-animal)'!$D$18:$Y$22,7,FALSE)/100*(1-VLOOKUP(D81,'DB technologies'!$N$40:$Y$51,9,FALSE)/100)))</f>
        <v/>
      </c>
      <c r="I81" s="423" t="str">
        <f>IF(D81="","",((VLOOKUP(D81,'DB technologies'!$N$40:$Y$51,2,FALSE)*VLOOKUP($C$80,'DB animal categories'!$C$32:$AC$41,27,FALSE)*E81/1000)/VLOOKUP($C$80,'DB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'!$S$6/100*(1-VLOOKUP(D81,'DB technologies'!$N$40:$Y$51,9,FALSE)/100)))</f>
        <v/>
      </c>
      <c r="J81" s="434" t="str">
        <f>IF(D81="","",((VLOOKUP(D81,'DB technologies'!$N$40:$Y$51,3,FALSE)*VLOOKUP($C$80,'DB animal categories'!$C$32:$AC$41,27,FALSE)*E81/1000)/VLOOKUP($C$80,'DB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'!$S$7/100*(1-VLOOKUP(D81,'DB technologies'!$N$40:$Y$51,9,FALSE)/100)))</f>
        <v/>
      </c>
      <c r="K81" s="434" t="str">
        <f>IF(D81="","",((VLOOKUP(D81,'DB technologies'!$N$40:$Y$51,4,FALSE)*E81*'DB additional information '!$S$8/100*(1-VLOOKUP(D81,'DB technologies'!$N$40:$Y$51,9,FALSE)/100))/VLOOKUP($C$80,'DB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L81" s="423" t="str">
        <f>IF('Calc (ex-animal)'!$F$8=1,"",IF(D81="","",(((VLOOKUP($C$80,'Calc (ex-animal)'!$D$18:$Y$22,6,FALSE)-VLOOKUP($C$80,'Calc (ex-animal)'!$D$18:$Y$22,17,FALSE))*F81/100))*(1-VLOOKUP($C$80,'Calc (ex-animal)'!$D$18:$Y$22,7,FALSE)/100)*(1-VLOOKUP(D81,'DB technologies'!$N$40:$V$51,8,FALSE)/100)))</f>
        <v/>
      </c>
      <c r="M81" s="434" t="str">
        <f>IF(D81="","",((VLOOKUP(D81,'DB technologies'!$N$40:$Y$51,2,FALSE)*VLOOKUP($C$80,'DB animal categories'!$C$32:$AC$41,27,FALSE)*E81/1000)/VLOOKUP($C$80,'DB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'!$S$6/100)*(1-VLOOKUP(D81,'DB technologies'!$N$40:$Y$51,9,FALSE)/100))</f>
        <v/>
      </c>
      <c r="N81" s="434" t="str">
        <f>IF(D81="","",((VLOOKUP(D81,'DB technologies'!$N$40:$Y$51,3,FALSE)*VLOOKUP($C$80,'DB animal categories'!$C$32:$AC$41,27,FALSE)*E81/1000)/VLOOKUP($C$80,'DB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'!$S$7/100)*(1-VLOOKUP(D81,'DB technologies'!$N$40:$Y$51,9,FALSE)/100))</f>
        <v/>
      </c>
      <c r="O81" s="423" t="str">
        <f>IF(D81="","",((VLOOKUP(D81,'DB technologies'!$N$40:$Y$51,4,FALSE)*E81*(1-'DB additional information '!$S$8/100)*(1-VLOOKUP(D81,'DB technologies'!$N$40:$Y$51,8,FALSE)/100))/VLOOKUP($C$80,'DB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P81" s="438" t="str">
        <f>IF(G81=0,0,IF(E81="","",IF(F81="","",IF($C$80=0,"",IF(D81="","",SUM(H81:K81)/G81*100)))))</f>
        <v/>
      </c>
      <c r="Q81" s="416" t="str">
        <f>IF(D81="","",(VLOOKUP(D81,'DB technologies'!$N$40:$Y$51,2,FALSE)*'DB additional information '!$S$6/100*'DB additional information '!$T$6*VLOOKUP($C$80,'DB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R81" s="416" t="str">
        <f>IF(D81="","",(VLOOKUP(D81,'DB technologies'!$N$40:$Y$51,3,FALSE)*'DB additional information '!$S$7/100*'DB additional information '!$T$7*VLOOKUP($C$80,'DB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S81" s="491" t="str">
        <f>IF(D81="","",(VLOOKUP(D81,'DB technologies'!$N$40:$Y$51,4,FALSE)*('DB additional information '!$S$8/100*'DB additional information '!$T$8*E81/1000/1000)))</f>
        <v/>
      </c>
      <c r="T81" s="264" t="str">
        <f>IF($C$80=0,"",IF('Calc (ex-animal)'!$F$9=1,"",IF(D81="","",((VLOOKUP($C$80,'Calc (ex-animal)'!$D$18:$Y$22,10,FALSE)-VLOOKUP($C$80,'Calc (ex-animal)'!$D$18:$Y$22,18,FALSE))*F81/100+Q81+R81+S81)-AC81-AD81-AE81)))</f>
        <v/>
      </c>
      <c r="U81" s="422" t="str">
        <f>IF(D81="","",(VLOOKUP(D81,'DB technologies'!$N$40:$Y$51,2,FALSE)*'DB additional information '!$S$6/100*'DB additional information '!$U$6*VLOOKUP($C$80,'DB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V81" s="418" t="str">
        <f>IF(D81="","",(VLOOKUP(D81,'DB technologies'!$N$40:$Y$51,3,FALSE)*'DB additional information '!$S$7/100*'DB additional information '!$U$7*VLOOKUP($C$80,'DB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W81" s="417" t="str">
        <f>IF(D81="","",(VLOOKUP(D81,'DB technologies'!$N$40:$Y$51,4,FALSE)*('DB additional information '!$S$8/100*'DB additional information '!$U$8*E81/1000/1000)))</f>
        <v/>
      </c>
      <c r="X81" s="261" t="str">
        <f>IF($C$80=0,"",IF('Calc (ex-animal)'!$F$9=1,"",IF(D81="","",((VLOOKUP($C$80,'Calc (ex-animal)'!$D$18:$Y$22,13,FALSE)-VLOOKUP($C$80,'Calc (ex-animal)'!$D$18:$Y$22,19,FALSE))*F81/100+U81+V81+W81))))</f>
        <v/>
      </c>
      <c r="Y81" s="418" t="str">
        <f>IF(D81="","",(VLOOKUP(D81,'DB technologies'!$N$40:$Y$51,2,FALSE)*'DB additional information '!$S$6/100*'DB additional information '!$V$6*VLOOKUP($C$80,'DB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Z81" s="418" t="str">
        <f>IF(D81="","",(VLOOKUP(D81,'DB technologies'!$N$40:$Y$51,3,FALSE)*'DB additional information '!$S$7/100*'DB additional information '!$V$7*VLOOKUP($C$80,'DB animal categories'!$C$32:$AC$41,27,FALSE)*E81/1000/1000)/VLOOKUP($C$80,'DB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AA81" s="418" t="str">
        <f>IF(D81="","",(VLOOKUP(D81,'DB technologies'!$N$40:$Y$51,4,FALSE)*('DB additional information '!$S$8/100*'DB additional information '!$V$8*E81/1000/1000)))</f>
        <v/>
      </c>
      <c r="AB81" s="261" t="str">
        <f>IF($C$80=0,"",IF('Calc (ex-animal)'!$F$8=1,"",IF(D81="","",((VLOOKUP($C$80,'Calc (ex-animal)'!$D$18:$Y$22,16,FALSE)-VLOOKUP($C$80,'Calc (ex-animal)'!$D$18:$Y$22,20,FALSE))*F81/100+Y81+Z81+AA81))))</f>
        <v/>
      </c>
      <c r="AC81" s="261" t="str">
        <f>IF($C$80=0,"",IF('Calc (ex-animal)'!$F$8=1,"",IF(D81="","",VLOOKUP($C$80,'Calc (ex-animal)'!$D$18:$Y$22,9,FALSE)/VLOOKUP($C$80,'DB animal categories'!$C$32:$AC$41,27,FALSE)*(VLOOKUP($C$80,'DB animal categories'!$C$32:$AC$41,27,FALSE)-VLOOKUP($C$80,'DB animal categories'!$C$32:$AC$41,25,FALSE)*VLOOKUP($C$80,'DB animal categories'!$C$32:$AC$41,26,FALSE)/24)*F81/100*VLOOKUP(D81,'DB technologies'!$N$40:$R$51,5,FALSE)/100)))</f>
        <v/>
      </c>
      <c r="AD81" s="261" t="str">
        <f>IF($C$80=0,"",IF('Calc (ex-animal)'!$F$8=1,"",IF(D81="","",VLOOKUP($C$80,'Calc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categories'!$C$32:$AC$41,26,FALSE)/24)*F81/100*VLOOKUP(D81,'DB technologies'!$N$40:$Y$51,6,FALSE)/100)))</f>
        <v/>
      </c>
      <c r="AE81" s="262" t="str">
        <f>IF($C$80=0,"",IF('Calc (ex-animal)'!$F$8=1,"",IF(D81="","",VLOOKUP($C$80,'Calc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categories'!$C$32:$AC$41,26,FALSE)/24)*F81/100*VLOOKUP(D81,'DB technologies'!$N$40:$Y$51,7,FALSE)/100)))</f>
        <v/>
      </c>
      <c r="AG81" s="698"/>
      <c r="AH81" s="695"/>
      <c r="AI81" s="181" t="str">
        <f>IF(D81="","",VLOOKUP(D81,'DB technologies'!$N$40:$Y$51,10,FALSE))</f>
        <v/>
      </c>
      <c r="AJ81" s="449" t="e">
        <f>VLOOKUP($C$80,'DB animal categories'!$C$32:$AN$41,27,FALSE)-VLOOKUP($C$80,'DB animal categories'!$C$32:$AN$41,26,FALSE)*VLOOKUP($C$80,'DB animal categories'!$C$32:$AN$41,25,FALSE)/24</f>
        <v>#N/A</v>
      </c>
      <c r="AK81" s="442" t="str">
        <f>IF(AI81="","",AL81+AM81)</f>
        <v/>
      </c>
      <c r="AL81" s="442" t="str">
        <f>IF(D81="","",IF(AI81=2,(('Calc (ex-animal)'!$G$20*'DB additional information '!$K$7/100*(1-VLOOKUP(D81,'DB technologies'!$N$40:$Y$51,9,FALSE)/100)*'Calc (ex-housing, ex-storage)'!F81/100+'Calc (ex-animal)'!$H$20*'DB additional information '!$L$7/100*(1-VLOOKUP(D81,'DB technologies'!$N$40:$Y$51,9,FALSE)/100)*'Calc (ex-housing, ex-storage)'!F81/100))/VLOOKUP($C$80,'DB animal categories'!$C$32:$AC$41,27,FALSE)*AJ81+I81+J81+K81,IF(AI81=1,('Calc (ex-animal)'!$H$20*'DB additional information '!$L$7/100*(1-VLOOKUP(D81,'DB technologies'!$N$40:$Y$51,9,FALSE)/100)*'Calc (ex-housing, ex-storage)'!F81/100)/VLOOKUP($C$80,'DB animal categories'!$C$32:$AC$41,27,FALSE)*AJ81,IF(AI81=4,('Calc (ex-animal)'!$G$20*'DB additional information '!$K$7/100+'Calc (ex-animal)'!$H$20*'DB additional information '!$L$7/100)*(1-VLOOKUP(D81,'DB technologies'!$N$40:$Y$51,9,FALSE)/100)*'Calc (ex-housing, ex-storage)'!F81/100*VLOOKUP(D81,'DB technologies'!$N$40:$Y$51,11,FALSE)/100/VLOOKUP($C$80,'DB animal categories'!$C$32:$AC$41,27,FALSE)*AJ81,0))))</f>
        <v/>
      </c>
      <c r="AM81" s="442" t="str">
        <f>IF(D81="","",IF(AI81=2,(('Calc (ex-animal)'!$G$20*(1-'DB additional information '!$K$7/100)*(1-VLOOKUP(D81,'DB technologies'!$N$40:$Y$51,8,FALSE)/100)*'Calc (ex-housing, ex-storage)'!F81/100+'Calc (ex-animal)'!$H$20*(1-'DB additional information '!$L$7/100)*(1-VLOOKUP(D81,'DB technologies'!$N$40:$Y$51,8,FALSE)/100)*'Calc (ex-housing, ex-storage)'!F81/100))/VLOOKUP($C$80,'DB animal categories'!$C$32:$AC$41,27,FALSE)*AJ81+M81+N81+O81,IF(AI81=1,('Calc (ex-animal)'!$H$20*(1-'DB additional information '!$L$7/100)*(1-VLOOKUP(D81,'DB technologies'!$N$40:$Y$51,8,FALSE)/100)*'Calc (ex-housing, ex-storage)'!F81/100)/VLOOKUP($C$80,'DB animal categories'!$C$32:$AC$41,27,FALSE)*AJ81,IF(AI81=4,('Calc (ex-animal)'!$G$20*(1-'DB additional information '!$K$7/100)+'Calc (ex-animal)'!$H$20*(1-'DB additional information '!$L$7/100))*(1-VLOOKUP(D81,'DB technologies'!$N$40:$Y$51,8,FALSE)/100)*'Calc (ex-housing, ex-storage)'!F81/100*VLOOKUP(D81,'DB technologies'!$N$40:$Y$51,11,FALSE)/100/VLOOKUP($C$80,'DB animal categories'!$C$32:$AC$41,27,FALSE)*AJ81,0))))</f>
        <v/>
      </c>
      <c r="AN81" s="442" t="str">
        <f>IF(AI81="","",IF(AL81=0,0,AL81/AK81*100))</f>
        <v/>
      </c>
      <c r="AO81" s="182" t="str">
        <f>IF(D81="","",IF(AI81=2,(('Calc (ex-animal)'!$L$20*'Calc (ex-housing, ex-storage)'!F81/100+'Calc (ex-animal)'!$K$20*'Calc (ex-housing, ex-storage)'!F81/100))/VLOOKUP($C$80,'DB animal categories'!$C$32:$AC$41,27,FALSE)*AJ81+Q81+R81+S81-AC81,IF(AI81=1,('Calc (ex-animal)'!$L$20*'Calc (ex-housing, ex-storage)'!F81/100)/VLOOKUP($C$80,'DB animal categories'!$C$32:$AC$41,27,FALSE)*AJ81-'Calc (ex-housing, ex-storage)'!AC81,IF(AI81=4,('Calc (ex-animal)'!$L$20+'Calc (ex-animal)'!$K$20)*'Calc (ex-housing, ex-storage)'!F81/100*VLOOKUP(D81,'DB technologies'!$N$40:$Y$51,11,FALSE)/100/VLOOKUP($C$80,'DB animal categories'!$C$32:$AC$41,27,FALSE)*AJ81-AC81*VLOOKUP(D81,'DB technologies'!$N$40:$Y$51,11,FALSE)/100,0))))</f>
        <v/>
      </c>
      <c r="AP81" s="182" t="str">
        <f>IF(D81="","",IF(AO81&lt;-0.01,0,IF(AI81=2,(('Calc (ex-animal)'!$L$20*'Calc (ex-housing, ex-storage)'!F81/100+'Calc (ex-animal)'!$K$20*'Calc (ex-housing, ex-storage)'!F81/100))/VLOOKUP($C$80,'DB animal categories'!$C$32:$AC$41,27,FALSE)*AJ81+Q81+R81+S81-AC81,IF(AI81=1,('Calc (ex-animal)'!$L$20*'Calc (ex-housing, ex-storage)'!F81/100)/VLOOKUP($C$80,'DB animal categories'!$C$32:$AC$41,27,FALSE)*AJ81-'Calc (ex-housing, ex-storage)'!AC81,IF(AI81=4,('Calc (ex-animal)'!$L$20+'Calc (ex-animal)'!$K$20)*'Calc (ex-housing, ex-storage)'!F81/100*VLOOKUP(D81,'DB technologies'!$N$40:$Y$51,11,FALSE)/100/VLOOKUP($C$80,'DB animal categories'!$C$32:$AC$41,27,FALSE)*AJ81-AC81*VLOOKUP(D81,'DB technologies'!$N$40:$Y$51,11,FALSE)/100,0)))))</f>
        <v/>
      </c>
      <c r="AQ81" s="182" t="str">
        <f>IF(D81="","",IF(AI81=2,('Calc (ex-animal)'!$O$20*'Calc (ex-housing, ex-storage)'!F81/100+'Calc (ex-animal)'!$N$20*'Calc (ex-housing, ex-storage)'!F81/100)/VLOOKUP($C$80,'DB animal categories'!$C$32:$AC$41,27,FALSE)*AJ81+U81+V81+W81,IF(AI81=1,'Calc (ex-animal)'!$O$20*'Calc (ex-housing, ex-storage)'!F81/100/VLOOKUP($C$80,'DB animal categories'!$C$32:$AC$41,27,FALSE)*AJ81,IF(AI81=4,('Calc (ex-animal)'!$O$20+'Calc (ex-animal)'!$N$20)*'Calc (ex-housing, ex-storage)'!F81/100*VLOOKUP(D81,'DB technologies'!$N$40:$Y$51,11,FALSE)/100/VLOOKUP($C$80,'DB animal categories'!$C$32:$AC$41,27,FALSE)*AJ81,0))))</f>
        <v/>
      </c>
      <c r="AR81" s="182" t="str">
        <f>IF(D81="","",IF(AI81=2,('Calc (ex-animal)'!$R$20*'Calc (ex-housing, ex-storage)'!F81/100+'Calc (ex-animal)'!$Q$20*'Calc (ex-housing, ex-storage)'!F81/100)/VLOOKUP($C$80,'DB animal categories'!$C$32:$AC$41,27,FALSE)*AJ81+Y81+Z81+AA81,IF(AI81=1,'Calc (ex-animal)'!$R$20*'Calc (ex-housing, ex-storage)'!F81/100/VLOOKUP($C$80,'DB animal categories'!$C$32:$AC$41,27,FALSE)*AJ81,IF(AI81=4,('Calc (ex-animal)'!$R$20+'Calc (ex-animal)'!$Q$20)*'Calc (ex-housing, ex-storage)'!F81/100*VLOOKUP(D81,'DB technologies'!$N$40:$Y$51,11,FALSE)/100/VLOOKUP($C$80,'DB animal categories'!$C$32:$AC$41,27,FALSE)*AJ81,0))))</f>
        <v/>
      </c>
      <c r="AS81" s="181" t="str">
        <f>IF(D81="","",VLOOKUP(D81,'DB technologies'!$N$40:$Y$51,10,FALSE))</f>
        <v/>
      </c>
      <c r="AT81" s="442" t="str">
        <f>IF(AS81="","",AU81+AV81)</f>
        <v/>
      </c>
      <c r="AU81" s="442" t="str">
        <f>IF(D81="","",IF(AS81=2,0,IF(AS81=1,'Calc (ex-animal)'!$G$20*'DB additional information '!$K$7/100*(1-VLOOKUP(D81,'DB technologies'!$N$40:$Y$51,8,FALSE)/100)*'Calc (ex-housing, ex-storage)'!F81/100/VLOOKUP($C$80,'DB animal categories'!$C$32:$AC$41,27,FALSE)*AJ81+I81+J81+K81,IF(AS81=5,(('Calc (ex-animal)'!$G$20*'DB additional information '!$K$7/100+'Calc (ex-animal)'!$H$20*'DB additional information '!$L$7/100))*(1-VLOOKUP(D81,'DB technologies'!$N$40:$Y$51,9,FALSE)/100)*'Calc (ex-housing, ex-storage)'!F81/100/VLOOKUP($C$80,'DB animal categories'!$C$32:$AC$41,27,FALSE)*AJ81+I81+J81+K81,IF(AS81=3,('Calc (ex-animal)'!$G$20*'DB additional information '!$K$7/100+'Calc (ex-animal)'!$H$20*'DB additional information '!$L$7/100)*(1-VLOOKUP(D81,'DB technologies'!$N$40:$Y$51,9,FALSE)/100)*'Calc (ex-housing, ex-storage)'!F81/100/VLOOKUP($C$80,'DB animal categories'!$C$32:$AC$41,27,FALSE)*AJ81+I81+J81+K81,IF(AS81=4,('Calc (ex-animal)'!$G$20*'DB additional information '!$K$7/100+'Calc (ex-animal)'!$H$20*'DB additional information '!$L$7/100)*(1-VLOOKUP(D81,'DB technologies'!$N$40:$Y$51,9,FALSE)/100)*'Calc (ex-housing, ex-storage)'!F81/100*VLOOKUP(D81,'DB technologies'!$N$40:$Y$51,12,FALSE)/100/VLOOKUP($C$80,'DB animal categories'!$C$32:$AC$41,27,FALSE)*AJ81+I81+J81+K81,0))))))</f>
        <v/>
      </c>
      <c r="AV81" s="442" t="str">
        <f>IF(D81="","",IF(AS81=2,0,IF(AS81=1,'Calc (ex-animal)'!$G$20*(1-'DB additional information '!$K$7/100)*(1-VLOOKUP(D81,'DB technologies'!$N$40:$Y$51,8,FALSE)/100)*'Calc (ex-housing, ex-storage)'!F81/100/VLOOKUP($C$80,'DB animal categories'!$C$32:$AC$41,27,FALSE)*AJ81+M81+N81+O81,IF(AS81=5,('Calc (ex-animal)'!$G$20*(1-'DB additional information '!$K$7/100)+'Calc (ex-animal)'!$H$20*(1-'DB additional information '!$L$7/100))*(1-VLOOKUP(D81,'DB technologies'!$N$40:$Y$51,8,FALSE)/100)*'Calc (ex-housing, ex-storage)'!F81/100/VLOOKUP($C$80,'DB animal categories'!$C$32:$AC$41,27,FALSE)*AJ81+M81+N81+O81,IF(AS81=3,('Calc (ex-animal)'!$G$20*(1-'DB additional information '!$K$7/100)+'Calc (ex-animal)'!$H$20*(1-'DB additional information '!$L$7/100))*(1-VLOOKUP(D81,'DB technologies'!$N$40:$Y$51,8,FALSE)/100)*'Calc (ex-housing, ex-storage)'!F81/100/VLOOKUP($C$80,'DB animal categories'!$C$32:$AC$41,27,FALSE)*AJ81+M81+N81+O81,IF(AS81=4,('Calc (ex-animal)'!$G$20*(1-'DB additional information '!$K$7/100)+'Calc (ex-animal)'!$H$20*(1-'DB additional information '!$L$7/100))*(1-VLOOKUP(D81,'DB technologies'!$N$40:$Y$51,8,FALSE)/100)*'Calc (ex-housing, ex-storage)'!F81/100*VLOOKUP(D81,'DB technologies'!$N$40:$Y$51,12,FALSE)/100/VLOOKUP($C$80,'DB animal categories'!$C$32:$AC$41,27,FALSE)*AJ81+M81+N81+O81,0))))))</f>
        <v/>
      </c>
      <c r="AW81" s="442" t="str">
        <f>IF(AS81="","",IF(AU81=0,0,AU81/AT81*100))</f>
        <v/>
      </c>
      <c r="AX81" s="182" t="str">
        <f>IF(D81="","",IF(AS81=2,0,IF(AS81=1,'Calc (ex-animal)'!$K$20*'Calc (ex-housing, ex-storage)'!F81/100/VLOOKUP($C$80,'DB animal categories'!$C$32:$AC$41,27,FALSE)*AJ81+Q81+R81+S81,IF(AS81=5,('Calc (ex-animal)'!$K$20+'Calc (ex-animal)'!$L$20)*'Calc (ex-housing, ex-storage)'!F81/100/VLOOKUP($C$80,'DB animal categories'!$C$32:$AC$41,27,FALSE)*AJ81+Q81+R81+S81-'Calc (ex-housing, ex-storage)'!AC81,IF(AS81=3,('Calc (ex-animal)'!$K$20+'Calc (ex-animal)'!$L$20)*'Calc (ex-housing, ex-storage)'!F81/100/VLOOKUP($C$80,'DB animal categories'!$C$32:$AC$41,27,FALSE)*AJ81+Q81+R81+S81-'Calc (ex-housing, ex-storage)'!AC81-AD81-AE81,IF(AI81=4,('Calc (ex-animal)'!$K$20+'Calc (ex-animal)'!$L$20)*'Calc (ex-housing, ex-storage)'!F81/100*VLOOKUP(D81,'DB technologies'!$N$40:$Y$51,12,FALSE)/100/VLOOKUP($C$80,'DB animal categories'!$C$32:$AC$41,27,FALSE)*AJ81+Q81+R81+S81-(VLOOKUP(D81,'DB technologies'!$N$40:$Y$51,12,FALSE)/100*AC81)-AD81-AE81,0))))))</f>
        <v/>
      </c>
      <c r="AY81" s="182" t="str">
        <f>IF(D81="","",IF(AS81=2,0,IF(AS81=1,'Calc (ex-animal)'!$N$20*'Calc (ex-housing, ex-storage)'!F81/100/VLOOKUP($C$80,'DB animal categories'!$C$32:$AC$41,27,FALSE)*AJ81+U81+V81+W81,IF(AS81=5,('Calc (ex-animal)'!$N$20+'Calc (ex-animal)'!$O$20)*'Calc (ex-housing, ex-storage)'!F81/100/VLOOKUP($C$80,'DB animal categories'!$C$32:$AC$41,27,FALSE)*AJ81+U81+V81+W81,IF(AS81=3,('Calc (ex-animal)'!$N$20+'Calc (ex-animal)'!$O$20)*'Calc (ex-housing, ex-storage)'!F81/100/VLOOKUP($C$80,'DB animal categories'!$C$32:$AC$41,27,FALSE)*AJ81+U81+V81+W81,IF(AS81=4,('Calc (ex-animal)'!$N$20+'Calc (ex-animal)'!$O$20)*'Calc (ex-housing, ex-storage)'!F81/100*VLOOKUP(D81,'DB technologies'!$N$40:$Y$51,12,FALSE)/100/VLOOKUP($C$80,'DB animal categories'!$C$32:$AC$41,27,FALSE)*AJ81+U81+V81+W81,0))))))</f>
        <v/>
      </c>
      <c r="AZ81" s="182" t="str">
        <f>IF(D81="","",IF(AS81=2,0,IF(AS81=1,'Calc (ex-animal)'!$Q$20*'Calc (ex-housing, ex-storage)'!F81/100/VLOOKUP($C$80,'DB animal categories'!$C$32:$AC$41,27,FALSE)*AJ81+Y81+Z81+AA81,IF(AS81=5,('Calc (ex-animal)'!$Q$20+'Calc (ex-animal)'!$R$20)*'Calc (ex-housing, ex-storage)'!F81/100/VLOOKUP($C$80,'DB animal categories'!$C$32:$AC$41,27,FALSE)*AJ81+Y81+Z81+AA81,IF(AS81=3,('Calc (ex-animal)'!$Q$20+'Calc (ex-animal)'!$R$20)*'Calc (ex-housing, ex-storage)'!F81/100/VLOOKUP($C$80,'DB animal categories'!$C$32:$AC$41,27,FALSE)*AJ81+Y81+Z81+AA81,IF(AS81=4,('Calc (ex-animal)'!$Q$20+'Calc (ex-animal)'!$R$20)*'Calc (ex-housing, ex-storage)'!F81/100*VLOOKUP(D81,'DB technologies'!$N$40:$Y$51,12,FALSE)/100/VLOOKUP($C$80,'DB animal categories'!$C$32:$AC$41,27,FALSE)*AJ81+Y81+Z81+AA81,0))))))</f>
        <v/>
      </c>
      <c r="BA81" s="506"/>
      <c r="BB81" s="506"/>
      <c r="BC81" s="506"/>
      <c r="BG81" s="1359"/>
      <c r="BH81" s="1362"/>
      <c r="BI81" s="600" t="str">
        <f>IF(BG81="","",$BA$77*BH81/100-($BB$77*BH81/100*VLOOKUP(BG81,'DB technologies'!$AC$21:$AT$25,5,FALSE)/100)+(VLOOKUP(BG81,'DB technologies'!$AC$21:$AT$25,12,FALSE)*$BA$77*BH81/100))</f>
        <v/>
      </c>
      <c r="BJ81" s="551">
        <f>IF(BI81="",0,BI81*BK81/100)</f>
        <v>0</v>
      </c>
      <c r="BK81" s="509" t="str">
        <f>IF(BG81="","",IF($BA$77=0,0,($BB$77*BH81/100)/BI81*(1-(VLOOKUP(BG81,'DB technologies'!$AC$21:$AQ$25,5,FALSE))/100)*100))</f>
        <v/>
      </c>
      <c r="BL81" s="267" t="str">
        <f>IF(BG81="","",$BD$77*(1-VLOOKUP(BG81,'DB technologies'!$AC$21:$AS$25,12,FALSE)/100)*BH81/100-BO81-BP81-BQ81-BR81)</f>
        <v/>
      </c>
      <c r="BM81" s="267" t="str">
        <f>IF(BG81="","",$BE$77*(1-VLOOKUP(BG81,'DB technologies'!$AC$21:$AS$25,12,FALSE)/100)*BH81/100-BS81)</f>
        <v/>
      </c>
      <c r="BN81" s="267" t="str">
        <f>IF(BG81="","",$BF$77*(1-VLOOKUP(BG81,'DB technologies'!$AC$21:$AS$25,12,FALSE)/100)*BH81/100-BT81)</f>
        <v/>
      </c>
      <c r="BO81" s="267" t="str">
        <f>IF(BG81="","",$BD$77*BH81/100*VLOOKUP(BG81,'DB technologies'!$AC$21:$AF$25,2,FALSE)/100)</f>
        <v/>
      </c>
      <c r="BP81" s="267" t="str">
        <f>IF(BG81="","",$BD$77*BH81/100*VLOOKUP(BG81,'DB technologies'!$AC$21:$AN$25,3,FALSE)/100)</f>
        <v/>
      </c>
      <c r="BQ81" s="268" t="str">
        <f>IF(BG81="","",$BD$77*BH81/100*VLOOKUP(BG81,'DB technologies'!$AC$21:$AN$25,4,FALSE)/100)</f>
        <v/>
      </c>
      <c r="BR81" s="266" t="str">
        <f>IF(BG81="","",VLOOKUP(BG81,'DB technologies'!$AC$21:$AQ$25,13,FALSE)/100*$BD$77*BH81/100)</f>
        <v/>
      </c>
      <c r="BS81" s="267" t="str">
        <f>IF(BG81="","",VLOOKUP(BG81,'DB technologies'!$AC$21:$AQ$25,14,FALSE)/100*$BE$77*BH81/100)</f>
        <v/>
      </c>
      <c r="BT81" s="268" t="str">
        <f>IF(BG81="","",VLOOKUP(BG81,'DB technologies'!$AC$21:$AQ$25,15,FALSE)/100*$BF$77*BH81/100)</f>
        <v/>
      </c>
    </row>
    <row r="82" spans="1:72" ht="11.25" customHeight="1" thickBot="1" x14ac:dyDescent="0.25">
      <c r="A82" s="684"/>
      <c r="B82" s="695"/>
      <c r="C82" s="255"/>
      <c r="D82" s="1357"/>
      <c r="E82" s="1358"/>
      <c r="F82" s="480" t="str">
        <f>IF('Calc (ex-animal)'!$F$9=1,"",IF($C$80=0,"",IF(D82="","",E82/'Calc (ex-animal)'!$E$20*100)))</f>
        <v/>
      </c>
      <c r="G82" s="485" t="str">
        <f>IF($C$80=0,"",IF('Calc (ex-animal)'!$F$8=1,"",IF(D82="","",SUM(H82:O82))))</f>
        <v/>
      </c>
      <c r="H82" s="423" t="str">
        <f>IF('Calc (ex-animal)'!$F$8=1,"",IF(D82="","",(((VLOOKUP($C$80,'Calc (ex-animal)'!$D$18:$Y$22,6,FALSE)-VLOOKUP($C$80,'Calc (ex-animal)'!$D$18:$Y$22,17,FALSE))*F82/100))*VLOOKUP($C$80,'Calc (ex-animal)'!$D$18:$Y$22,7,FALSE)/100*(1-VLOOKUP(D82,'DB technologies'!$N$40:$Y$51,9,FALSE)/100)))</f>
        <v/>
      </c>
      <c r="I82" s="423" t="str">
        <f>IF(D82="","",((VLOOKUP(D82,'DB technologies'!$N$40:$Y$51,2,FALSE)*VLOOKUP($C$80,'DB animal categories'!$C$32:$AC$41,27,FALSE)*E82/1000)/VLOOKUP($C$80,'DB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'!$S$6/100*(1-VLOOKUP(D82,'DB technologies'!$N$40:$Y$51,9,FALSE)/100)))</f>
        <v/>
      </c>
      <c r="J82" s="434" t="str">
        <f>IF(D82="","",((VLOOKUP(D82,'DB technologies'!$N$40:$Y$51,3,FALSE)*VLOOKUP($C$80,'DB animal categories'!$C$32:$AC$41,27,FALSE)*E82/1000)/VLOOKUP($C$80,'DB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'!$S$7/100*(1-VLOOKUP(D82,'DB technologies'!$N$40:$Y$51,9,FALSE)/100)))</f>
        <v/>
      </c>
      <c r="K82" s="434" t="str">
        <f>IF(D82="","",((VLOOKUP(D82,'DB technologies'!$N$40:$Y$51,4,FALSE)*E82*'DB additional information '!$S$8/100*(1-VLOOKUP(D82,'DB technologies'!$N$40:$Y$51,9,FALSE)/100))/VLOOKUP($C$80,'DB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L82" s="423" t="str">
        <f>IF('Calc (ex-animal)'!$F$8=1,"",IF(D82="","",(((VLOOKUP($C$80,'Calc (ex-animal)'!$D$18:$Y$22,6,FALSE)-VLOOKUP($C$80,'Calc (ex-animal)'!$D$18:$Y$22,17,FALSE))*F82/100))*(1-VLOOKUP($C$80,'Calc (ex-animal)'!$D$18:$Y$22,7,FALSE)/100)*(1-VLOOKUP(D82,'DB technologies'!$N$40:$V$51,8,FALSE)/100)))</f>
        <v/>
      </c>
      <c r="M82" s="434" t="str">
        <f>IF(D82="","",((VLOOKUP(D82,'DB technologies'!$N$40:$Y$51,2,FALSE)*VLOOKUP($C$80,'DB animal categories'!$C$32:$AC$41,27,FALSE)*E82/1000)/VLOOKUP($C$80,'DB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'!$S$6/100)*(1-VLOOKUP(D82,'DB technologies'!$N$40:$Y$51,9,FALSE)/100))</f>
        <v/>
      </c>
      <c r="N82" s="434" t="str">
        <f>IF(D82="","",((VLOOKUP(D82,'DB technologies'!$N$40:$Y$51,3,FALSE)*VLOOKUP($C$80,'DB animal categories'!$C$32:$AC$41,27,FALSE)*E82/1000)/VLOOKUP($C$80,'DB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'!$S$7/100)*(1-VLOOKUP(D82,'DB technologies'!$N$40:$Y$51,9,FALSE)/100))</f>
        <v/>
      </c>
      <c r="O82" s="423" t="str">
        <f>IF(D82="","",((VLOOKUP(D82,'DB technologies'!$N$40:$Y$51,4,FALSE)*E82*(1-'DB additional information '!$S$8/100)*(1-VLOOKUP(D82,'DB technologies'!$N$40:$Y$51,8,FALSE)/100))/VLOOKUP($C$80,'DB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P82" s="438" t="str">
        <f>IF(G82=0,0,IF(E82="","",IF(F82="","",IF($C$80=0,"",IF(D82="","",SUM(H82:K82)/G82*100)))))</f>
        <v/>
      </c>
      <c r="Q82" s="416" t="str">
        <f>IF(D82="","",(VLOOKUP(D82,'DB technologies'!$N$40:$Y$51,2,FALSE)*'DB additional information '!$S$6/100*'DB additional information '!$T$6*VLOOKUP($C$80,'DB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R82" s="416" t="str">
        <f>IF(D82="","",(VLOOKUP(D82,'DB technologies'!$N$40:$Y$51,3,FALSE)*'DB additional information '!$S$7/100*'DB additional information '!$T$7*VLOOKUP($C$80,'DB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S82" s="491" t="str">
        <f>IF(D82="","",(VLOOKUP(D82,'DB technologies'!$N$40:$Y$51,4,FALSE)*('DB additional information '!$S$8/100*'DB additional information '!$T$8*E82/1000/1000)))</f>
        <v/>
      </c>
      <c r="T82" s="264" t="str">
        <f>IF($C$80=0,"",IF('Calc (ex-animal)'!$F$9=1,"",IF(D82="","",((VLOOKUP($C$80,'Calc (ex-animal)'!$D$18:$Y$22,10,FALSE)-VLOOKUP($C$80,'Calc (ex-animal)'!$D$18:$Y$22,18,FALSE))*F82/100+Q82+R82+S82)-AC82-AD82-AE82)))</f>
        <v/>
      </c>
      <c r="U82" s="422" t="str">
        <f>IF(D82="","",(VLOOKUP(D82,'DB technologies'!$N$40:$Y$51,2,FALSE)*'DB additional information '!$S$6/100*'DB additional information '!$U$6*VLOOKUP($C$80,'DB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V82" s="418" t="str">
        <f>IF(D82="","",(VLOOKUP(D82,'DB technologies'!$N$40:$Y$51,3,FALSE)*'DB additional information '!$S$7/100*'DB additional information '!$U$7*VLOOKUP($C$80,'DB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W82" s="417" t="str">
        <f>IF(D82="","",(VLOOKUP(D82,'DB technologies'!$N$40:$Y$51,4,FALSE)*('DB additional information '!$S$8/100*'DB additional information '!$U$8*E82/1000/1000)))</f>
        <v/>
      </c>
      <c r="X82" s="261" t="str">
        <f>IF($C$80=0,"",IF('Calc (ex-animal)'!$F$9=1,"",IF(D82="","",((VLOOKUP($C$80,'Calc (ex-animal)'!$D$18:$Y$22,13,FALSE)-VLOOKUP($C$80,'Calc (ex-animal)'!$D$18:$Y$22,19,FALSE))*F82/100+U82+V82+W82))))</f>
        <v/>
      </c>
      <c r="Y82" s="418" t="str">
        <f>IF(D82="","",(VLOOKUP(D82,'DB technologies'!$N$40:$Y$51,2,FALSE)*'DB additional information '!$S$6/100*'DB additional information '!$V$6*VLOOKUP($C$80,'DB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Z82" s="418" t="str">
        <f>IF(D82="","",(VLOOKUP(D82,'DB technologies'!$N$40:$Y$51,3,FALSE)*'DB additional information '!$S$7/100*'DB additional information '!$V$7*VLOOKUP($C$80,'DB animal categories'!$C$32:$AC$41,27,FALSE)*E82/1000/1000)/VLOOKUP($C$80,'DB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AA82" s="418" t="str">
        <f>IF(D82="","",(VLOOKUP(D82,'DB technologies'!$N$40:$Y$51,4,FALSE)*('DB additional information '!$S$8/100*'DB additional information '!$V$8*E82/1000/1000)))</f>
        <v/>
      </c>
      <c r="AB82" s="261" t="str">
        <f>IF($C$80=0,"",IF('Calc (ex-animal)'!$F$8=1,"",IF(D82="","",((VLOOKUP($C$80,'Calc (ex-animal)'!$D$18:$Y$22,16,FALSE)-VLOOKUP($C$80,'Calc (ex-animal)'!$D$18:$Y$22,20,FALSE))*F82/100+Y82+Z82+AA82))))</f>
        <v/>
      </c>
      <c r="AC82" s="261" t="str">
        <f>IF($C$80=0,"",IF('Calc (ex-animal)'!$F$8=1,"",IF(D82="","",VLOOKUP($C$80,'Calc (ex-animal)'!$D$18:$Y$22,9,FALSE)/VLOOKUP($C$80,'DB animal categories'!$C$32:$AC$41,27,FALSE)*(VLOOKUP($C$80,'DB animal categories'!$C$32:$AC$41,27,FALSE)-VLOOKUP($C$80,'DB animal categories'!$C$32:$AC$41,25,FALSE)*VLOOKUP($C$80,'DB animal categories'!$C$32:$AC$41,26,FALSE)/24)*F82/100*VLOOKUP(D82,'DB technologies'!$N$40:$R$51,5,FALSE)/100)))</f>
        <v/>
      </c>
      <c r="AD82" s="261" t="str">
        <f>IF($C$80=0,"",IF('Calc (ex-animal)'!$F$8=1,"",IF(D82="","",VLOOKUP($C$80,'Calc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categories'!$C$32:$AC$41,26,FALSE)/24)*F82/100*VLOOKUP(D82,'DB technologies'!$N$40:$Y$51,6,FALSE)/100)))</f>
        <v/>
      </c>
      <c r="AE82" s="262" t="str">
        <f>IF($C$80=0,"",IF('Calc (ex-animal)'!$F$8=1,"",IF(D82="","",VLOOKUP($C$80,'Calc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categories'!$C$32:$AC$41,26,FALSE)/24)*F82/100*VLOOKUP(D82,'DB technologies'!$N$40:$Y$51,7,FALSE)/100)))</f>
        <v/>
      </c>
      <c r="AG82" s="699"/>
      <c r="AH82" s="696"/>
      <c r="AI82" s="181" t="str">
        <f>IF(D82="","",VLOOKUP(D82,'DB technologies'!$N$40:$Y$51,10,FALSE))</f>
        <v/>
      </c>
      <c r="AJ82" s="449" t="e">
        <f>VLOOKUP($C$80,'DB animal categories'!$C$32:$AN$41,27,FALSE)-VLOOKUP($C$80,'DB animal categories'!$C$32:$AN$41,26,FALSE)*VLOOKUP($C$80,'DB animal categories'!$C$32:$AN$41,25,FALSE)/24</f>
        <v>#N/A</v>
      </c>
      <c r="AK82" s="442" t="str">
        <f>IF(AI82="","",AL82+AM82)</f>
        <v/>
      </c>
      <c r="AL82" s="442" t="str">
        <f>IF(D82="","",IF(AI82=2,(('Calc (ex-animal)'!$G$20*'DB additional information '!$K$7/100*(1-VLOOKUP(D82,'DB technologies'!$N$40:$Y$51,9,FALSE)/100)*'Calc (ex-housing, ex-storage)'!F82/100+'Calc (ex-animal)'!$H$20*'DB additional information '!$L$7/100*(1-VLOOKUP(D82,'DB technologies'!$N$40:$Y$51,9,FALSE)/100)*'Calc (ex-housing, ex-storage)'!F82/100))/VLOOKUP($C$80,'DB animal categories'!$C$32:$AC$41,27,FALSE)*AJ82+I82+J82+K82,IF(AI82=1,('Calc (ex-animal)'!$H$20*'DB additional information '!$L$7/100*(1-VLOOKUP(D82,'DB technologies'!$N$40:$Y$51,9,FALSE)/100)*'Calc (ex-housing, ex-storage)'!F82/100)/VLOOKUP($C$80,'DB animal categories'!$C$32:$AC$41,27,FALSE)*AJ82,IF(AI82=4,('Calc (ex-animal)'!$G$20*'DB additional information '!$K$7/100+'Calc (ex-animal)'!$H$20*'DB additional information '!$L$7/100)*(1-VLOOKUP(D82,'DB technologies'!$N$40:$Y$51,9,FALSE)/100)*'Calc (ex-housing, ex-storage)'!F82/100*VLOOKUP(D82,'DB technologies'!$N$40:$Y$51,11,FALSE)/100/VLOOKUP($C$80,'DB animal categories'!$C$32:$AC$41,27,FALSE)*AJ82,0))))</f>
        <v/>
      </c>
      <c r="AM82" s="442" t="str">
        <f>IF(D82="","",IF(AI82=2,(('Calc (ex-animal)'!$G$20*(1-'DB additional information '!$K$7/100)*(1-VLOOKUP(D82,'DB technologies'!$N$40:$Y$51,8,FALSE)/100)*'Calc (ex-housing, ex-storage)'!F82/100+'Calc (ex-animal)'!$H$20*(1-'DB additional information '!$L$7/100)*(1-VLOOKUP(D82,'DB technologies'!$N$40:$Y$51,8,FALSE)/100)*'Calc (ex-housing, ex-storage)'!F82/100))/VLOOKUP($C$80,'DB animal categories'!$C$32:$AC$41,27,FALSE)*AJ82+M82+N82+O82,IF(AI82=1,('Calc (ex-animal)'!$H$20*(1-'DB additional information '!$L$7/100)*(1-VLOOKUP(D82,'DB technologies'!$N$40:$Y$51,8,FALSE)/100)*'Calc (ex-housing, ex-storage)'!F82/100)/VLOOKUP($C$80,'DB animal categories'!$C$32:$AC$41,27,FALSE)*AJ82,IF(AI82=4,('Calc (ex-animal)'!$G$20*(1-'DB additional information '!$K$7/100)+'Calc (ex-animal)'!$H$20*(1-'DB additional information '!$L$7/100))*(1-VLOOKUP(D82,'DB technologies'!$N$40:$Y$51,8,FALSE)/100)*'Calc (ex-housing, ex-storage)'!F82/100*VLOOKUP(D82,'DB technologies'!$N$40:$Y$51,11,FALSE)/100/VLOOKUP($C$80,'DB animal categories'!$C$32:$AC$41,27,FALSE)*AJ82,0))))</f>
        <v/>
      </c>
      <c r="AN82" s="442" t="str">
        <f>IF(AI82="","",IF(AL82=0,0,AL82/AK82*100))</f>
        <v/>
      </c>
      <c r="AO82" s="182" t="str">
        <f>IF(D82="","",IF(AI82=2,(('Calc (ex-animal)'!$L$20*'Calc (ex-housing, ex-storage)'!F82/100+'Calc (ex-animal)'!$K$20*'Calc (ex-housing, ex-storage)'!F82/100))/VLOOKUP($C$80,'DB animal categories'!$C$32:$AC$41,27,FALSE)*AJ82+Q82+R82+S82-AC82,IF(AI82=1,('Calc (ex-animal)'!$L$20*'Calc (ex-housing, ex-storage)'!F82/100)/VLOOKUP($C$80,'DB animal categories'!$C$32:$AC$41,27,FALSE)*AJ82-'Calc (ex-housing, ex-storage)'!AC82,IF(AI82=4,('Calc (ex-animal)'!$L$20+'Calc (ex-animal)'!$K$20)*'Calc (ex-housing, ex-storage)'!F82/100*VLOOKUP(D82,'DB technologies'!$N$40:$Y$51,11,FALSE)/100/VLOOKUP($C$80,'DB animal categories'!$C$32:$AC$41,27,FALSE)*AJ82-AC82*VLOOKUP(D82,'DB technologies'!$N$40:$Y$51,11,FALSE)/100,0))))</f>
        <v/>
      </c>
      <c r="AP82" s="182" t="str">
        <f>IF(D82="","",IF(AO82&lt;-0.01,0,IF(AI82=2,(('Calc (ex-animal)'!$L$20*'Calc (ex-housing, ex-storage)'!F82/100+'Calc (ex-animal)'!$K$20*'Calc (ex-housing, ex-storage)'!F82/100))/VLOOKUP($C$80,'DB animal categories'!$C$32:$AC$41,27,FALSE)*AJ82+Q82+R82+S82-AC82,IF(AI82=1,('Calc (ex-animal)'!$L$20*'Calc (ex-housing, ex-storage)'!F82/100)/VLOOKUP($C$80,'DB animal categories'!$C$32:$AC$41,27,FALSE)*AJ82-'Calc (ex-housing, ex-storage)'!AC82,IF(AI82=4,('Calc (ex-animal)'!$L$20+'Calc (ex-animal)'!$K$20)*'Calc (ex-housing, ex-storage)'!F82/100*VLOOKUP(D82,'DB technologies'!$N$40:$Y$51,11,FALSE)/100/VLOOKUP($C$80,'DB animal categories'!$C$32:$AC$41,27,FALSE)*AJ82-AC82*VLOOKUP(D82,'DB technologies'!$N$40:$Y$51,11,FALSE)/100,0)))))</f>
        <v/>
      </c>
      <c r="AQ82" s="182" t="str">
        <f>IF(D82="","",IF(AI82=2,('Calc (ex-animal)'!$O$20*'Calc (ex-housing, ex-storage)'!F82/100+'Calc (ex-animal)'!$N$20*'Calc (ex-housing, ex-storage)'!F82/100)/VLOOKUP($C$80,'DB animal categories'!$C$32:$AC$41,27,FALSE)*AJ82+U82+V82+W82,IF(AI82=1,'Calc (ex-animal)'!$O$20*'Calc (ex-housing, ex-storage)'!F82/100/VLOOKUP($C$80,'DB animal categories'!$C$32:$AC$41,27,FALSE)*AJ82,IF(AI82=4,('Calc (ex-animal)'!$O$20+'Calc (ex-animal)'!$N$20)*'Calc (ex-housing, ex-storage)'!F82/100*VLOOKUP(D82,'DB technologies'!$N$40:$Y$51,11,FALSE)/100/VLOOKUP($C$80,'DB animal categories'!$C$32:$AC$41,27,FALSE)*AJ82,0))))</f>
        <v/>
      </c>
      <c r="AR82" s="182" t="str">
        <f>IF(D82="","",IF(AI82=2,('Calc (ex-animal)'!$R$20*'Calc (ex-housing, ex-storage)'!F82/100+'Calc (ex-animal)'!$Q$20*'Calc (ex-housing, ex-storage)'!F82/100)/VLOOKUP($C$80,'DB animal categories'!$C$32:$AC$41,27,FALSE)*AJ82+Y82+Z82+AA82,IF(AI82=1,'Calc (ex-animal)'!$R$20*'Calc (ex-housing, ex-storage)'!F82/100/VLOOKUP($C$80,'DB animal categories'!$C$32:$AC$41,27,FALSE)*AJ82,IF(AI82=4,('Calc (ex-animal)'!$R$20+'Calc (ex-animal)'!$Q$20)*'Calc (ex-housing, ex-storage)'!F82/100*VLOOKUP(D82,'DB technologies'!$N$40:$Y$51,11,FALSE)/100/VLOOKUP($C$80,'DB animal categories'!$C$32:$AC$41,27,FALSE)*AJ82,0))))</f>
        <v/>
      </c>
      <c r="AS82" s="181" t="str">
        <f>IF(D82="","",VLOOKUP(D82,'DB technologies'!$N$40:$Y$51,10,FALSE))</f>
        <v/>
      </c>
      <c r="AT82" s="442" t="str">
        <f>IF(AS82="","",AU82+AV82)</f>
        <v/>
      </c>
      <c r="AU82" s="442" t="str">
        <f>IF(D82="","",IF(AS82=2,0,IF(AS82=1,'Calc (ex-animal)'!$G$20*'DB additional information '!$K$7/100*(1-VLOOKUP(D82,'DB technologies'!$N$40:$Y$51,8,FALSE)/100)*'Calc (ex-housing, ex-storage)'!F82/100/VLOOKUP($C$80,'DB animal categories'!$C$32:$AC$41,27,FALSE)*AJ82+I82+J82+K82,IF(AS82=5,(('Calc (ex-animal)'!$G$20*'DB additional information '!$K$7/100+'Calc (ex-animal)'!$H$20*'DB additional information '!$L$7/100))*(1-VLOOKUP(D82,'DB technologies'!$N$40:$Y$51,9,FALSE)/100)*'Calc (ex-housing, ex-storage)'!F82/100/VLOOKUP($C$80,'DB animal categories'!$C$32:$AC$41,27,FALSE)*AJ82+I82+J82+K82,IF(AS82=3,('Calc (ex-animal)'!$G$20*'DB additional information '!$K$7/100+'Calc (ex-animal)'!$H$20*'DB additional information '!$L$7/100)*(1-VLOOKUP(D82,'DB technologies'!$N$40:$Y$51,9,FALSE)/100)*'Calc (ex-housing, ex-storage)'!F82/100/VLOOKUP($C$80,'DB animal categories'!$C$32:$AC$41,27,FALSE)*AJ82+I82+J82+K82,IF(AS82=4,('Calc (ex-animal)'!$G$20*'DB additional information '!$K$7/100+'Calc (ex-animal)'!$H$20*'DB additional information '!$L$7/100)*(1-VLOOKUP(D82,'DB technologies'!$N$40:$Y$51,9,FALSE)/100)*'Calc (ex-housing, ex-storage)'!F82/100*VLOOKUP(D82,'DB technologies'!$N$40:$Y$51,12,FALSE)/100/VLOOKUP($C$80,'DB animal categories'!$C$32:$AC$41,27,FALSE)*AJ82+I82+J82+K82,0))))))</f>
        <v/>
      </c>
      <c r="AV82" s="442" t="str">
        <f>IF(D82="","",IF(AS82=2,0,IF(AS82=1,'Calc (ex-animal)'!$G$20*(1-'DB additional information '!$K$7/100)*(1-VLOOKUP(D82,'DB technologies'!$N$40:$Y$51,8,FALSE)/100)*'Calc (ex-housing, ex-storage)'!F82/100/VLOOKUP($C$80,'DB animal categories'!$C$32:$AC$41,27,FALSE)*AJ82+M82+N82+O82,IF(AS82=5,('Calc (ex-animal)'!$G$20*(1-'DB additional information '!$K$7/100)+'Calc (ex-animal)'!$H$20*(1-'DB additional information '!$L$7/100))*(1-VLOOKUP(D82,'DB technologies'!$N$40:$Y$51,8,FALSE)/100)*'Calc (ex-housing, ex-storage)'!F82/100/VLOOKUP($C$80,'DB animal categories'!$C$32:$AC$41,27,FALSE)*AJ82+M82+N82+O82,IF(AS82=3,('Calc (ex-animal)'!$G$20*(1-'DB additional information '!$K$7/100)+'Calc (ex-animal)'!$H$20*(1-'DB additional information '!$L$7/100))*(1-VLOOKUP(D82,'DB technologies'!$N$40:$Y$51,8,FALSE)/100)*'Calc (ex-housing, ex-storage)'!F82/100/VLOOKUP($C$80,'DB animal categories'!$C$32:$AC$41,27,FALSE)*AJ82+M82+N82+O82,IF(AS82=4,('Calc (ex-animal)'!$G$20*(1-'DB additional information '!$K$7/100)+'Calc (ex-animal)'!$H$20*(1-'DB additional information '!$L$7/100))*(1-VLOOKUP(D82,'DB technologies'!$N$40:$Y$51,8,FALSE)/100)*'Calc (ex-housing, ex-storage)'!F82/100*VLOOKUP(D82,'DB technologies'!$N$40:$Y$51,12,FALSE)/100/VLOOKUP($C$80,'DB animal categories'!$C$32:$AC$41,27,FALSE)*AJ82+M82+N82+O82,0))))))</f>
        <v/>
      </c>
      <c r="AW82" s="442" t="str">
        <f>IF(AS82="","",IF(AU82=0,0,AU82/AT82*100))</f>
        <v/>
      </c>
      <c r="AX82" s="182" t="str">
        <f>IF(D82="","",IF(AS82=2,0,IF(AS82=1,'Calc (ex-animal)'!$K$20*'Calc (ex-housing, ex-storage)'!F82/100/VLOOKUP($C$80,'DB animal categories'!$C$32:$AC$41,27,FALSE)*AJ82+Q82+R82+S82,IF(AS82=5,('Calc (ex-animal)'!$K$20+'Calc (ex-animal)'!$L$20)*'Calc (ex-housing, ex-storage)'!F82/100/VLOOKUP($C$80,'DB animal categories'!$C$32:$AC$41,27,FALSE)*AJ82+Q82+R82+S82-'Calc (ex-housing, ex-storage)'!AC82,IF(AS82=3,('Calc (ex-animal)'!$K$20+'Calc (ex-animal)'!$L$20)*'Calc (ex-housing, ex-storage)'!F82/100/VLOOKUP($C$80,'DB animal categories'!$C$32:$AC$41,27,FALSE)*AJ82+Q82+R82+S82-'Calc (ex-housing, ex-storage)'!AC82-AD82-AE82,IF(AI82=4,('Calc (ex-animal)'!$K$20+'Calc (ex-animal)'!$L$20)*'Calc (ex-housing, ex-storage)'!F82/100*VLOOKUP(D82,'DB technologies'!$N$40:$Y$51,12,FALSE)/100/VLOOKUP($C$80,'DB animal categories'!$C$32:$AC$41,27,FALSE)*AJ82+Q82+R82+S82-(VLOOKUP(D82,'DB technologies'!$N$40:$Y$51,12,FALSE)/100*AC82)-AD82-AE82,0))))))</f>
        <v/>
      </c>
      <c r="AY82" s="182" t="str">
        <f>IF(D82="","",IF(AS82=2,0,IF(AS82=1,'Calc (ex-animal)'!$N$20*'Calc (ex-housing, ex-storage)'!F82/100/VLOOKUP($C$80,'DB animal categories'!$C$32:$AC$41,27,FALSE)*AJ82+U82+V82+W82,IF(AS82=5,('Calc (ex-animal)'!$N$20+'Calc (ex-animal)'!$O$20)*'Calc (ex-housing, ex-storage)'!F82/100/VLOOKUP($C$80,'DB animal categories'!$C$32:$AC$41,27,FALSE)*AJ82+U82+V82+W82,IF(AS82=3,('Calc (ex-animal)'!$N$20+'Calc (ex-animal)'!$O$20)*'Calc (ex-housing, ex-storage)'!F82/100/VLOOKUP($C$80,'DB animal categories'!$C$32:$AC$41,27,FALSE)*AJ82+U82+V82+W82,IF(AS82=4,('Calc (ex-animal)'!$N$20+'Calc (ex-animal)'!$O$20)*'Calc (ex-housing, ex-storage)'!F82/100*VLOOKUP(D82,'DB technologies'!$N$40:$Y$51,12,FALSE)/100/VLOOKUP($C$80,'DB animal categories'!$C$32:$AC$41,27,FALSE)*AJ82+U82+V82+W82,0))))))</f>
        <v/>
      </c>
      <c r="AZ82" s="182" t="str">
        <f>IF(D82="","",IF(AS82=2,0,IF(AS82=1,'Calc (ex-animal)'!$Q$20*'Calc (ex-housing, ex-storage)'!F82/100/VLOOKUP($C$80,'DB animal categories'!$C$32:$AC$41,27,FALSE)*AJ82+Y82+Z82+AA82,IF(AS82=5,('Calc (ex-animal)'!$Q$20+'Calc (ex-animal)'!$R$20)*'Calc (ex-housing, ex-storage)'!F82/100/VLOOKUP($C$80,'DB animal categories'!$C$32:$AC$41,27,FALSE)*AJ82+Y82+Z82+AA82,IF(AS82=3,('Calc (ex-animal)'!$Q$20+'Calc (ex-animal)'!$R$20)*'Calc (ex-housing, ex-storage)'!F82/100/VLOOKUP($C$80,'DB animal categories'!$C$32:$AC$41,27,FALSE)*AJ82+Y82+Z82+AA82,IF(AS82=4,('Calc (ex-animal)'!$Q$20+'Calc (ex-animal)'!$R$20)*'Calc (ex-housing, ex-storage)'!F82/100*VLOOKUP(D82,'DB technologies'!$N$40:$Y$51,12,FALSE)/100/VLOOKUP($C$80,'DB animal categories'!$C$32:$AC$41,27,FALSE)*AJ82+Y82+Z82+AA82,0))))))</f>
        <v/>
      </c>
      <c r="BA82" s="506"/>
      <c r="BB82" s="506"/>
      <c r="BC82" s="506"/>
      <c r="BG82" s="556" t="s">
        <v>58</v>
      </c>
      <c r="BH82" s="315">
        <f>IF(SUM(BH77:BH81) &gt;100,"ERROR, SUM&gt;100%",SUM(BH77:BH81))</f>
        <v>0</v>
      </c>
      <c r="BI82" s="601">
        <f>SUM(BI77:BI81)</f>
        <v>0</v>
      </c>
      <c r="BJ82" s="593">
        <f>SUM(BJ77:BJ81)</f>
        <v>0</v>
      </c>
      <c r="BK82" s="597">
        <f>IF(BI82=0,0,BJ82/BI82*100)</f>
        <v>0</v>
      </c>
      <c r="BL82" s="307">
        <f t="shared" ref="BL82:BT82" si="12">SUM(BL77:BL81)</f>
        <v>0</v>
      </c>
      <c r="BM82" s="307">
        <f t="shared" si="12"/>
        <v>0</v>
      </c>
      <c r="BN82" s="307">
        <f t="shared" si="12"/>
        <v>0</v>
      </c>
      <c r="BO82" s="307">
        <f t="shared" si="12"/>
        <v>0</v>
      </c>
      <c r="BP82" s="307">
        <f t="shared" si="12"/>
        <v>0</v>
      </c>
      <c r="BQ82" s="308">
        <f t="shared" si="12"/>
        <v>0</v>
      </c>
      <c r="BR82" s="309">
        <f>SUM(BR77:BR81)</f>
        <v>0</v>
      </c>
      <c r="BS82" s="307">
        <f t="shared" si="12"/>
        <v>0</v>
      </c>
      <c r="BT82" s="308">
        <f t="shared" si="12"/>
        <v>0</v>
      </c>
    </row>
    <row r="83" spans="1:72" ht="11.25" customHeight="1" thickBot="1" x14ac:dyDescent="0.25">
      <c r="A83" s="684"/>
      <c r="B83" s="695"/>
      <c r="C83" s="255"/>
      <c r="D83" s="1357"/>
      <c r="E83" s="1358"/>
      <c r="F83" s="480" t="str">
        <f>IF('Calc (ex-animal)'!$F$9=1,"",IF($C$80=0,"",IF(D83="","",E83/'Calc (ex-animal)'!$E$20*100)))</f>
        <v/>
      </c>
      <c r="G83" s="485" t="str">
        <f>IF($C$80=0,"",IF('Calc (ex-animal)'!$F$8=1,"",IF(D83="","",SUM(H83:O83))))</f>
        <v/>
      </c>
      <c r="H83" s="423" t="str">
        <f>IF('Calc (ex-animal)'!$F$8=1,"",IF(D83="","",(((VLOOKUP($C$80,'Calc (ex-animal)'!$D$18:$Y$22,6,FALSE)-VLOOKUP($C$80,'Calc (ex-animal)'!$D$18:$Y$22,17,FALSE))*F83/100))*VLOOKUP($C$80,'Calc (ex-animal)'!$D$18:$Y$22,7,FALSE)/100*(1-VLOOKUP(D83,'DB technologies'!$N$40:$Y$51,9,FALSE)/100)))</f>
        <v/>
      </c>
      <c r="I83" s="423" t="str">
        <f>IF(D83="","",((VLOOKUP(D83,'DB technologies'!$N$40:$Y$51,2,FALSE)*VLOOKUP($C$80,'DB animal categories'!$C$32:$AC$41,27,FALSE)*E83/1000)/VLOOKUP($C$80,'DB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'!$S$6/100*(1-VLOOKUP(D83,'DB technologies'!$N$40:$Y$51,9,FALSE)/100)))</f>
        <v/>
      </c>
      <c r="J83" s="434" t="str">
        <f>IF(D83="","",((VLOOKUP(D83,'DB technologies'!$N$40:$Y$51,3,FALSE)*VLOOKUP($C$80,'DB animal categories'!$C$32:$AC$41,27,FALSE)*E83/1000)/VLOOKUP($C$80,'DB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'!$S$7/100*(1-VLOOKUP(D83,'DB technologies'!$N$40:$Y$51,9,FALSE)/100)))</f>
        <v/>
      </c>
      <c r="K83" s="434" t="str">
        <f>IF(D83="","",((VLOOKUP(D83,'DB technologies'!$N$40:$Y$51,4,FALSE)*E83*'DB additional information '!$S$8/100*(1-VLOOKUP(D83,'DB technologies'!$N$40:$Y$51,9,FALSE)/100))/VLOOKUP($C$80,'DB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L83" s="423" t="str">
        <f>IF('Calc (ex-animal)'!$F$8=1,"",IF(D83="","",(((VLOOKUP($C$80,'Calc (ex-animal)'!$D$18:$Y$22,6,FALSE)-VLOOKUP($C$80,'Calc (ex-animal)'!$D$18:$Y$22,17,FALSE))*F83/100))*(1-VLOOKUP($C$80,'Calc (ex-animal)'!$D$18:$Y$22,7,FALSE)/100)*(1-VLOOKUP(D83,'DB technologies'!$N$40:$V$51,8,FALSE)/100)))</f>
        <v/>
      </c>
      <c r="M83" s="434" t="str">
        <f>IF(D83="","",((VLOOKUP(D83,'DB technologies'!$N$40:$Y$51,2,FALSE)*VLOOKUP($C$80,'DB animal categories'!$C$32:$AC$41,27,FALSE)*E83/1000)/VLOOKUP($C$80,'DB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'!$S$6/100)*(1-VLOOKUP(D83,'DB technologies'!$N$40:$Y$51,9,FALSE)/100))</f>
        <v/>
      </c>
      <c r="N83" s="434" t="str">
        <f>IF(D83="","",((VLOOKUP(D83,'DB technologies'!$N$40:$Y$51,3,FALSE)*VLOOKUP($C$80,'DB animal categories'!$C$32:$AC$41,27,FALSE)*E83/1000)/VLOOKUP($C$80,'DB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'!$S$7/100)*(1-VLOOKUP(D83,'DB technologies'!$N$40:$Y$51,9,FALSE)/100))</f>
        <v/>
      </c>
      <c r="O83" s="423" t="str">
        <f>IF(D83="","",((VLOOKUP(D83,'DB technologies'!$N$40:$Y$51,4,FALSE)*E83*(1-'DB additional information '!$S$8/100)*(1-VLOOKUP(D83,'DB technologies'!$N$40:$Y$51,8,FALSE)/100))/VLOOKUP($C$80,'DB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P83" s="438" t="str">
        <f>IF(G83=0,0,IF(E83="","",IF(F83="","",IF($C$80=0,"",IF(D83="","",SUM(H83:K83)/G83*100)))))</f>
        <v/>
      </c>
      <c r="Q83" s="416" t="str">
        <f>IF(D83="","",(VLOOKUP(D83,'DB technologies'!$N$40:$Y$51,2,FALSE)*'DB additional information '!$S$6/100*'DB additional information '!$T$6*VLOOKUP($C$80,'DB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R83" s="416" t="str">
        <f>IF(D83="","",(VLOOKUP(D83,'DB technologies'!$N$40:$Y$51,3,FALSE)*'DB additional information '!$S$7/100*'DB additional information '!$T$7*VLOOKUP($C$80,'DB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S83" s="491" t="str">
        <f>IF(D83="","",(VLOOKUP(D83,'DB technologies'!$N$40:$Y$51,4,FALSE)*('DB additional information '!$S$8/100*'DB additional information '!$T$8*E83/1000/1000)))</f>
        <v/>
      </c>
      <c r="T83" s="264" t="str">
        <f>IF($C$80=0,"",IF('Calc (ex-animal)'!$F$9=1,"",IF(D83="","",((VLOOKUP($C$80,'Calc (ex-animal)'!$D$18:$Y$22,10,FALSE)-VLOOKUP($C$80,'Calc (ex-animal)'!$D$18:$Y$22,18,FALSE))*F83/100+Q83+R83+S83)-AC83-AD83-AE83)))</f>
        <v/>
      </c>
      <c r="U83" s="422" t="str">
        <f>IF(D83="","",(VLOOKUP(D83,'DB technologies'!$N$40:$Y$51,2,FALSE)*'DB additional information '!$S$6/100*'DB additional information '!$U$6*VLOOKUP($C$80,'DB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V83" s="418" t="str">
        <f>IF(D83="","",(VLOOKUP(D83,'DB technologies'!$N$40:$Y$51,3,FALSE)*'DB additional information '!$S$7/100*'DB additional information '!$U$7*VLOOKUP($C$80,'DB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W83" s="417" t="str">
        <f>IF(D83="","",(VLOOKUP(D83,'DB technologies'!$N$40:$Y$51,4,FALSE)*('DB additional information '!$S$8/100*'DB additional information '!$U$8*E83/1000/1000)))</f>
        <v/>
      </c>
      <c r="X83" s="261" t="str">
        <f>IF($C$80=0,"",IF('Calc (ex-animal)'!$F$9=1,"",IF(D83="","",((VLOOKUP($C$80,'Calc (ex-animal)'!$D$18:$Y$22,13,FALSE)-VLOOKUP($C$80,'Calc (ex-animal)'!$D$18:$Y$22,19,FALSE))*F83/100+U83+V83+W83))))</f>
        <v/>
      </c>
      <c r="Y83" s="418" t="str">
        <f>IF(D83="","",(VLOOKUP(D83,'DB technologies'!$N$40:$Y$51,2,FALSE)*'DB additional information '!$S$6/100*'DB additional information '!$V$6*VLOOKUP($C$80,'DB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Z83" s="418" t="str">
        <f>IF(D83="","",(VLOOKUP(D83,'DB technologies'!$N$40:$Y$51,3,FALSE)*'DB additional information '!$S$7/100*'DB additional information '!$V$7*VLOOKUP($C$80,'DB animal categories'!$C$32:$AC$41,27,FALSE)*E83/1000/1000)/VLOOKUP($C$80,'DB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AA83" s="418" t="str">
        <f>IF(D83="","",(VLOOKUP(D83,'DB technologies'!$N$40:$Y$51,4,FALSE)*('DB additional information '!$S$8/100*'DB additional information '!$V$8*E83/1000/1000)))</f>
        <v/>
      </c>
      <c r="AB83" s="261" t="str">
        <f>IF($C$80=0,"",IF('Calc (ex-animal)'!$F$8=1,"",IF(D83="","",((VLOOKUP($C$80,'Calc (ex-animal)'!$D$18:$Y$22,16,FALSE)-VLOOKUP($C$80,'Calc (ex-animal)'!$D$18:$Y$22,20,FALSE))*F83/100+Y83+Z83+AA83))))</f>
        <v/>
      </c>
      <c r="AC83" s="261" t="str">
        <f>IF($C$80=0,"",IF('Calc (ex-animal)'!$F$8=1,"",IF(D83="","",VLOOKUP($C$80,'Calc (ex-animal)'!$D$18:$Y$22,9,FALSE)/VLOOKUP($C$80,'DB animal categories'!$C$32:$AC$41,27,FALSE)*(VLOOKUP($C$80,'DB animal categories'!$C$32:$AC$41,27,FALSE)-VLOOKUP($C$80,'DB animal categories'!$C$32:$AC$41,25,FALSE)*VLOOKUP($C$80,'DB animal categories'!$C$32:$AC$41,26,FALSE)/24)*F83/100*VLOOKUP(D83,'DB technologies'!$N$40:$R$51,5,FALSE)/100)))</f>
        <v/>
      </c>
      <c r="AD83" s="261" t="str">
        <f>IF($C$80=0,"",IF('Calc (ex-animal)'!$F$8=1,"",IF(D83="","",VLOOKUP($C$80,'Calc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categories'!$C$32:$AC$41,26,FALSE)/24)*F83/100*VLOOKUP(D83,'DB technologies'!$N$40:$Y$51,6,FALSE)/100)))</f>
        <v/>
      </c>
      <c r="AE83" s="262" t="str">
        <f>IF($C$80=0,"",IF('Calc (ex-animal)'!$F$8=1,"",IF(D83="","",VLOOKUP($C$80,'Calc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categories'!$C$32:$AC$41,26,FALSE)/24)*F83/100*VLOOKUP(D83,'DB technologies'!$N$40:$Y$51,7,FALSE)/100)))</f>
        <v/>
      </c>
      <c r="AG83" s="73"/>
      <c r="AH83" s="73"/>
      <c r="AI83" s="181" t="str">
        <f>IF(D83="","",VLOOKUP(D83,'DB technologies'!$N$40:$Y$51,10,FALSE))</f>
        <v/>
      </c>
      <c r="AJ83" s="449" t="e">
        <f>VLOOKUP($C$80,'DB animal categories'!$C$32:$AN$41,27,FALSE)-VLOOKUP($C$80,'DB animal categories'!$C$32:$AN$41,26,FALSE)*VLOOKUP($C$80,'DB animal categories'!$C$32:$AN$41,25,FALSE)/24</f>
        <v>#N/A</v>
      </c>
      <c r="AK83" s="442" t="str">
        <f>IF(AI83="","",AL83+AM83)</f>
        <v/>
      </c>
      <c r="AL83" s="442" t="str">
        <f>IF(D83="","",IF(AI83=2,(('Calc (ex-animal)'!$G$20*'DB additional information '!$K$7/100*(1-VLOOKUP(D83,'DB technologies'!$N$40:$Y$51,9,FALSE)/100)*'Calc (ex-housing, ex-storage)'!F83/100+'Calc (ex-animal)'!$H$20*'DB additional information '!$L$7/100*(1-VLOOKUP(D83,'DB technologies'!$N$40:$Y$51,9,FALSE)/100)*'Calc (ex-housing, ex-storage)'!F83/100))/VLOOKUP($C$80,'DB animal categories'!$C$32:$AC$41,27,FALSE)*AJ83+I83+J83+K83,IF(AI83=1,('Calc (ex-animal)'!$H$20*'DB additional information '!$L$7/100*(1-VLOOKUP(D83,'DB technologies'!$N$40:$Y$51,9,FALSE)/100)*'Calc (ex-housing, ex-storage)'!F83/100)/VLOOKUP($C$80,'DB animal categories'!$C$32:$AC$41,27,FALSE)*AJ83,IF(AI83=4,('Calc (ex-animal)'!$G$20*'DB additional information '!$K$7/100+'Calc (ex-animal)'!$H$20*'DB additional information '!$L$7/100)*(1-VLOOKUP(D83,'DB technologies'!$N$40:$Y$51,9,FALSE)/100)*'Calc (ex-housing, ex-storage)'!F83/100*VLOOKUP(D83,'DB technologies'!$N$40:$Y$51,11,FALSE)/100/VLOOKUP($C$80,'DB animal categories'!$C$32:$AC$41,27,FALSE)*AJ83,0))))</f>
        <v/>
      </c>
      <c r="AM83" s="442" t="str">
        <f>IF(D83="","",IF(AI83=2,(('Calc (ex-animal)'!$G$20*(1-'DB additional information '!$K$7/100)*(1-VLOOKUP(D83,'DB technologies'!$N$40:$Y$51,8,FALSE)/100)*'Calc (ex-housing, ex-storage)'!F83/100+'Calc (ex-animal)'!$H$20*(1-'DB additional information '!$L$7/100)*(1-VLOOKUP(D83,'DB technologies'!$N$40:$Y$51,8,FALSE)/100)*'Calc (ex-housing, ex-storage)'!F83/100))/VLOOKUP($C$80,'DB animal categories'!$C$32:$AC$41,27,FALSE)*AJ83+M83+N83+O83,IF(AI83=1,('Calc (ex-animal)'!$H$20*(1-'DB additional information '!$L$7/100)*(1-VLOOKUP(D83,'DB technologies'!$N$40:$Y$51,8,FALSE)/100)*'Calc (ex-housing, ex-storage)'!F83/100)/VLOOKUP($C$80,'DB animal categories'!$C$32:$AC$41,27,FALSE)*AJ83,IF(AI83=4,('Calc (ex-animal)'!$G$20*(1-'DB additional information '!$K$7/100)+'Calc (ex-animal)'!$H$20*(1-'DB additional information '!$L$7/100))*(1-VLOOKUP(D83,'DB technologies'!$N$40:$Y$51,8,FALSE)/100)*'Calc (ex-housing, ex-storage)'!F83/100*VLOOKUP(D83,'DB technologies'!$N$40:$Y$51,11,FALSE)/100/VLOOKUP($C$80,'DB animal categories'!$C$32:$AC$41,27,FALSE)*AJ83,0))))</f>
        <v/>
      </c>
      <c r="AN83" s="442" t="str">
        <f>IF(AI83="","",IF(AL83=0,0,AL83/AK83*100))</f>
        <v/>
      </c>
      <c r="AO83" s="182" t="str">
        <f>IF(D83="","",IF(AI83=2,(('Calc (ex-animal)'!$L$20*'Calc (ex-housing, ex-storage)'!F83/100+'Calc (ex-animal)'!$K$20*'Calc (ex-housing, ex-storage)'!F83/100))/VLOOKUP($C$80,'DB animal categories'!$C$32:$AC$41,27,FALSE)*AJ83+Q83+R83+S83-AC83,IF(AI83=1,('Calc (ex-animal)'!$L$20*'Calc (ex-housing, ex-storage)'!F83/100)/VLOOKUP($C$80,'DB animal categories'!$C$32:$AC$41,27,FALSE)*AJ83-'Calc (ex-housing, ex-storage)'!AC83,IF(AI83=4,('Calc (ex-animal)'!$L$20+'Calc (ex-animal)'!$K$20)*'Calc (ex-housing, ex-storage)'!F83/100*VLOOKUP(D83,'DB technologies'!$N$40:$Y$51,11,FALSE)/100/VLOOKUP($C$80,'DB animal categories'!$C$32:$AC$41,27,FALSE)*AJ83-AC83*VLOOKUP(D83,'DB technologies'!$N$40:$Y$51,11,FALSE)/100,0))))</f>
        <v/>
      </c>
      <c r="AP83" s="182" t="str">
        <f>IF(D83="","",IF(AO83&lt;-0.01,0,IF(AI83=2,(('Calc (ex-animal)'!$L$20*'Calc (ex-housing, ex-storage)'!F83/100+'Calc (ex-animal)'!$K$20*'Calc (ex-housing, ex-storage)'!F83/100))/VLOOKUP($C$80,'DB animal categories'!$C$32:$AC$41,27,FALSE)*AJ83+Q83+R83+S83-AC83,IF(AI83=1,('Calc (ex-animal)'!$L$20*'Calc (ex-housing, ex-storage)'!F83/100)/VLOOKUP($C$80,'DB animal categories'!$C$32:$AC$41,27,FALSE)*AJ83-'Calc (ex-housing, ex-storage)'!AC83,IF(AI83=4,('Calc (ex-animal)'!$L$20+'Calc (ex-animal)'!$K$20)*'Calc (ex-housing, ex-storage)'!F83/100*VLOOKUP(D83,'DB technologies'!$N$40:$Y$51,11,FALSE)/100/VLOOKUP($C$80,'DB animal categories'!$C$32:$AC$41,27,FALSE)*AJ83-AC83*VLOOKUP(D83,'DB technologies'!$N$40:$Y$51,11,FALSE)/100,0)))))</f>
        <v/>
      </c>
      <c r="AQ83" s="182" t="str">
        <f>IF(D83="","",IF(AI83=2,('Calc (ex-animal)'!$O$20*'Calc (ex-housing, ex-storage)'!F83/100+'Calc (ex-animal)'!$N$20*'Calc (ex-housing, ex-storage)'!F83/100)/VLOOKUP($C$80,'DB animal categories'!$C$32:$AC$41,27,FALSE)*AJ83+U83+V83+W83,IF(AI83=1,'Calc (ex-animal)'!$O$20*'Calc (ex-housing, ex-storage)'!F83/100/VLOOKUP($C$80,'DB animal categories'!$C$32:$AC$41,27,FALSE)*AJ83,IF(AI83=4,('Calc (ex-animal)'!$O$20+'Calc (ex-animal)'!$N$20)*'Calc (ex-housing, ex-storage)'!F83/100*VLOOKUP(D83,'DB technologies'!$N$40:$Y$51,11,FALSE)/100/VLOOKUP($C$80,'DB animal categories'!$C$32:$AC$41,27,FALSE)*AJ83,0))))</f>
        <v/>
      </c>
      <c r="AR83" s="182" t="str">
        <f>IF(D83="","",IF(AI83=2,('Calc (ex-animal)'!$R$20*'Calc (ex-housing, ex-storage)'!F83/100+'Calc (ex-animal)'!$Q$20*'Calc (ex-housing, ex-storage)'!F83/100)/VLOOKUP($C$80,'DB animal categories'!$C$32:$AC$41,27,FALSE)*AJ83+Y83+Z83+AA83,IF(AI83=1,'Calc (ex-animal)'!$R$20*'Calc (ex-housing, ex-storage)'!F83/100/VLOOKUP($C$80,'DB animal categories'!$C$32:$AC$41,27,FALSE)*AJ83,IF(AI83=4,('Calc (ex-animal)'!$R$20+'Calc (ex-animal)'!$Q$20)*'Calc (ex-housing, ex-storage)'!F83/100*VLOOKUP(D83,'DB technologies'!$N$40:$Y$51,11,FALSE)/100/VLOOKUP($C$80,'DB animal categories'!$C$32:$AC$41,27,FALSE)*AJ83,0))))</f>
        <v/>
      </c>
      <c r="AS83" s="181" t="str">
        <f>IF(D83="","",VLOOKUP(D83,'DB technologies'!$N$40:$Y$51,10,FALSE))</f>
        <v/>
      </c>
      <c r="AT83" s="442" t="str">
        <f>IF(AS83="","",AU83+AV83)</f>
        <v/>
      </c>
      <c r="AU83" s="442" t="str">
        <f>IF(D83="","",IF(AS83=2,0,IF(AS83=1,'Calc (ex-animal)'!$G$20*'DB additional information '!$K$7/100*(1-VLOOKUP(D83,'DB technologies'!$N$40:$Y$51,8,FALSE)/100)*'Calc (ex-housing, ex-storage)'!F83/100/VLOOKUP($C$80,'DB animal categories'!$C$32:$AC$41,27,FALSE)*AJ83+I83+J83+K83,IF(AS83=5,(('Calc (ex-animal)'!$G$20*'DB additional information '!$K$7/100+'Calc (ex-animal)'!$H$20*'DB additional information '!$L$7/100))*(1-VLOOKUP(D83,'DB technologies'!$N$40:$Y$51,9,FALSE)/100)*'Calc (ex-housing, ex-storage)'!F83/100/VLOOKUP($C$80,'DB animal categories'!$C$32:$AC$41,27,FALSE)*AJ83+I83+J83+K83,IF(AS83=3,('Calc (ex-animal)'!$G$20*'DB additional information '!$K$7/100+'Calc (ex-animal)'!$H$20*'DB additional information '!$L$7/100)*(1-VLOOKUP(D83,'DB technologies'!$N$40:$Y$51,9,FALSE)/100)*'Calc (ex-housing, ex-storage)'!F83/100/VLOOKUP($C$80,'DB animal categories'!$C$32:$AC$41,27,FALSE)*AJ83+I83+J83+K83,IF(AS83=4,('Calc (ex-animal)'!$G$20*'DB additional information '!$K$7/100+'Calc (ex-animal)'!$H$20*'DB additional information '!$L$7/100)*(1-VLOOKUP(D83,'DB technologies'!$N$40:$Y$51,9,FALSE)/100)*'Calc (ex-housing, ex-storage)'!F83/100*VLOOKUP(D83,'DB technologies'!$N$40:$Y$51,12,FALSE)/100/VLOOKUP($C$80,'DB animal categories'!$C$32:$AC$41,27,FALSE)*AJ83+I83+J83+K83,0))))))</f>
        <v/>
      </c>
      <c r="AV83" s="442" t="str">
        <f>IF(D83="","",IF(AS83=2,0,IF(AS83=1,'Calc (ex-animal)'!$G$20*(1-'DB additional information '!$K$7/100)*(1-VLOOKUP(D83,'DB technologies'!$N$40:$Y$51,8,FALSE)/100)*'Calc (ex-housing, ex-storage)'!F83/100/VLOOKUP($C$80,'DB animal categories'!$C$32:$AC$41,27,FALSE)*AJ83+M83+N83+O83,IF(AS83=5,('Calc (ex-animal)'!$G$20*(1-'DB additional information '!$K$7/100)+'Calc (ex-animal)'!$H$20*(1-'DB additional information '!$L$7/100))*(1-VLOOKUP(D83,'DB technologies'!$N$40:$Y$51,8,FALSE)/100)*'Calc (ex-housing, ex-storage)'!F83/100/VLOOKUP($C$80,'DB animal categories'!$C$32:$AC$41,27,FALSE)*AJ83+M83+N83+O83,IF(AS83=3,('Calc (ex-animal)'!$G$20*(1-'DB additional information '!$K$7/100)+'Calc (ex-animal)'!$H$20*(1-'DB additional information '!$L$7/100))*(1-VLOOKUP(D83,'DB technologies'!$N$40:$Y$51,8,FALSE)/100)*'Calc (ex-housing, ex-storage)'!F83/100/VLOOKUP($C$80,'DB animal categories'!$C$32:$AC$41,27,FALSE)*AJ83+M83+N83+O83,IF(AS83=4,('Calc (ex-animal)'!$G$20*(1-'DB additional information '!$K$7/100)+'Calc (ex-animal)'!$H$20*(1-'DB additional information '!$L$7/100))*(1-VLOOKUP(D83,'DB technologies'!$N$40:$Y$51,8,FALSE)/100)*'Calc (ex-housing, ex-storage)'!F83/100*VLOOKUP(D83,'DB technologies'!$N$40:$Y$51,12,FALSE)/100/VLOOKUP($C$80,'DB animal categories'!$C$32:$AC$41,27,FALSE)*AJ83+M83+N83+O83,0))))))</f>
        <v/>
      </c>
      <c r="AW83" s="442" t="str">
        <f>IF(AS83="","",IF(AU83=0,0,AU83/AT83*100))</f>
        <v/>
      </c>
      <c r="AX83" s="182" t="str">
        <f>IF(D83="","",IF(AS83=2,0,IF(AS83=1,'Calc (ex-animal)'!$K$20*'Calc (ex-housing, ex-storage)'!F83/100/VLOOKUP($C$80,'DB animal categories'!$C$32:$AC$41,27,FALSE)*AJ83+Q83+R83+S83,IF(AS83=5,('Calc (ex-animal)'!$K$20+'Calc (ex-animal)'!$L$20)*'Calc (ex-housing, ex-storage)'!F83/100/VLOOKUP($C$80,'DB animal categories'!$C$32:$AC$41,27,FALSE)*AJ83+Q83+R83+S83-'Calc (ex-housing, ex-storage)'!AC83,IF(AS83=3,('Calc (ex-animal)'!$K$20+'Calc (ex-animal)'!$L$20)*'Calc (ex-housing, ex-storage)'!F83/100/VLOOKUP($C$80,'DB animal categories'!$C$32:$AC$41,27,FALSE)*AJ83+Q83+R83+S83-'Calc (ex-housing, ex-storage)'!AC83-AD83-AE83,IF(AI83=4,('Calc (ex-animal)'!$K$20+'Calc (ex-animal)'!$L$20)*'Calc (ex-housing, ex-storage)'!F83/100*VLOOKUP(D83,'DB technologies'!$N$40:$Y$51,12,FALSE)/100/VLOOKUP($C$80,'DB animal categories'!$C$32:$AC$41,27,FALSE)*AJ83+Q83+R83+S83-(VLOOKUP(D83,'DB technologies'!$N$40:$Y$51,12,FALSE)/100*AC83)-AD83-AE83,0))))))</f>
        <v/>
      </c>
      <c r="AY83" s="182" t="str">
        <f>IF(D83="","",IF(AS83=2,0,IF(AS83=1,'Calc (ex-animal)'!$N$20*'Calc (ex-housing, ex-storage)'!F83/100/VLOOKUP($C$80,'DB animal categories'!$C$32:$AC$41,27,FALSE)*AJ83+U83+V83+W83,IF(AS83=5,('Calc (ex-animal)'!$N$20+'Calc (ex-animal)'!$O$20)*'Calc (ex-housing, ex-storage)'!F83/100/VLOOKUP($C$80,'DB animal categories'!$C$32:$AC$41,27,FALSE)*AJ83+U83+V83+W83,IF(AS83=3,('Calc (ex-animal)'!$N$20+'Calc (ex-animal)'!$O$20)*'Calc (ex-housing, ex-storage)'!F83/100/VLOOKUP($C$80,'DB animal categories'!$C$32:$AC$41,27,FALSE)*AJ83+U83+V83+W83,IF(AS83=4,('Calc (ex-animal)'!$N$20+'Calc (ex-animal)'!$O$20)*'Calc (ex-housing, ex-storage)'!F83/100*VLOOKUP(D83,'DB technologies'!$N$40:$Y$51,12,FALSE)/100/VLOOKUP($C$80,'DB animal categories'!$C$32:$AC$41,27,FALSE)*AJ83+U83+V83+W83,0))))))</f>
        <v/>
      </c>
      <c r="AZ83" s="182" t="str">
        <f>IF(D83="","",IF(AS83=2,0,IF(AS83=1,'Calc (ex-animal)'!$Q$20*'Calc (ex-housing, ex-storage)'!F83/100/VLOOKUP($C$80,'DB animal categories'!$C$32:$AC$41,27,FALSE)*AJ83+Y83+Z83+AA83,IF(AS83=5,('Calc (ex-animal)'!$Q$20+'Calc (ex-animal)'!$R$20)*'Calc (ex-housing, ex-storage)'!F83/100/VLOOKUP($C$80,'DB animal categories'!$C$32:$AC$41,27,FALSE)*AJ83+Y83+Z83+AA83,IF(AS83=3,('Calc (ex-animal)'!$Q$20+'Calc (ex-animal)'!$R$20)*'Calc (ex-housing, ex-storage)'!F83/100/VLOOKUP($C$80,'DB animal categories'!$C$32:$AC$41,27,FALSE)*AJ83+Y83+Z83+AA83,IF(AS83=4,('Calc (ex-animal)'!$Q$20+'Calc (ex-animal)'!$R$20)*'Calc (ex-housing, ex-storage)'!F83/100*VLOOKUP(D83,'DB technologies'!$N$40:$Y$51,12,FALSE)/100/VLOOKUP($C$80,'DB animal categories'!$C$32:$AC$41,27,FALSE)*AJ83+Y83+Z83+AA83,0))))))</f>
        <v/>
      </c>
      <c r="BA83" s="506"/>
      <c r="BB83" s="506"/>
      <c r="BC83" s="506"/>
      <c r="BD83" s="73"/>
      <c r="BE83" s="73"/>
      <c r="BF83" s="73"/>
      <c r="BG83" s="73"/>
      <c r="BH83" s="73"/>
      <c r="BI83" s="73"/>
      <c r="BJ83" s="450"/>
      <c r="BK83" s="73"/>
      <c r="BL83" s="73"/>
      <c r="BM83" s="73"/>
      <c r="BN83" s="73"/>
      <c r="BO83" s="73"/>
      <c r="BP83" s="73"/>
      <c r="BQ83" s="73"/>
      <c r="BR83" s="73"/>
      <c r="BS83" s="73"/>
      <c r="BT83" s="73"/>
    </row>
    <row r="84" spans="1:72" ht="12" customHeight="1" thickBot="1" x14ac:dyDescent="0.25">
      <c r="A84" s="684"/>
      <c r="B84" s="695"/>
      <c r="C84" s="255"/>
      <c r="D84" s="1359"/>
      <c r="E84" s="1360"/>
      <c r="F84" s="481" t="str">
        <f>IF('Calc (ex-animal)'!$F$9=1,"",IF($C$80=0,"",IF(D84="","",E84/'Calc (ex-animal)'!$E$20*100)))</f>
        <v/>
      </c>
      <c r="G84" s="483" t="str">
        <f>IF($C$80=0,"",IF('Calc (ex-animal)'!$F$8=1,"",IF(D84="","",SUM(H84:O84))))</f>
        <v/>
      </c>
      <c r="H84" s="445" t="str">
        <f>IF('Calc (ex-animal)'!$F$8=1,"",IF(D84="","",(((VLOOKUP($C$80,'Calc (ex-animal)'!$D$18:$Y$22,6,FALSE)-VLOOKUP($C$80,'Calc (ex-animal)'!$D$18:$Y$22,17,FALSE))*F84/100))*VLOOKUP($C$80,'Calc (ex-animal)'!$D$18:$Y$22,7,FALSE)/100*(1-VLOOKUP(D84,'DB technologies'!$N$40:$Y$51,9,FALSE)/100)))</f>
        <v/>
      </c>
      <c r="I84" s="445" t="str">
        <f>IF(D84="","",((VLOOKUP(D84,'DB technologies'!$N$40:$Y$51,2,FALSE)*VLOOKUP($C$80,'DB animal categories'!$C$32:$AC$41,27,FALSE)*E84/1000)/VLOOKUP($C$80,'DB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'!$S$6/100*(1-VLOOKUP(D84,'DB technologies'!$N$40:$Y$51,9,FALSE)/100)))</f>
        <v/>
      </c>
      <c r="J84" s="446" t="str">
        <f>IF(D84="","",((VLOOKUP(D84,'DB technologies'!$N$40:$Y$51,3,FALSE)*VLOOKUP($C$80,'DB animal categories'!$C$32:$AC$41,27,FALSE)*E84/1000)/VLOOKUP($C$80,'DB animal categories'!$C$32:$AC$41,27,FALSE)*(VLOOKUP($C$80,'DB animal categories'!$C$32:$AC$41,27,FALSE)-(VLOOKUP($C$80,'DB animal categories'!$C$32:$AC$41,25,FALSE)*VLOOKUP($C$80,'DB animal categories'!$C$32:$AC$41,26,FALSE)/24))*'DB additional information '!$S$7/100*(1-VLOOKUP(D84,'DB technologies'!$N$40:$Y$51,9,FALSE)/100)))</f>
        <v/>
      </c>
      <c r="K84" s="446" t="str">
        <f>IF(D84="","",((VLOOKUP(D84,'DB technologies'!$N$40:$Y$51,4,FALSE)*E84*'DB additional information '!$S$8/100*(1-VLOOKUP(D84,'DB technologies'!$N$40:$Y$51,9,FALSE)/100))/VLOOKUP($C$80,'DB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L84" s="445" t="str">
        <f>IF('Calc (ex-animal)'!$F$8=1,"",IF(D84="","",(((VLOOKUP($C$80,'Calc (ex-animal)'!$D$18:$Y$22,6,FALSE)-VLOOKUP($C$80,'Calc (ex-animal)'!$D$18:$Y$22,17,FALSE))*F84/100))*(1-VLOOKUP($C$80,'Calc (ex-animal)'!$D$18:$Y$22,7,FALSE)/100)*(1-VLOOKUP(D84,'DB technologies'!$N$40:$V$51,8,FALSE)/100)))</f>
        <v/>
      </c>
      <c r="M84" s="446" t="str">
        <f>IF(D84="","",((VLOOKUP(D84,'DB technologies'!$N$40:$Y$51,2,FALSE)*VLOOKUP($C$80,'DB animal categories'!$C$32:$AC$41,27,FALSE)*E84/1000)/VLOOKUP($C$80,'DB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'!$S$6/100)*(1-VLOOKUP(D84,'DB technologies'!$N$40:$Y$51,9,FALSE)/100))</f>
        <v/>
      </c>
      <c r="N84" s="446" t="str">
        <f>IF(D84="","",((VLOOKUP(D84,'DB technologies'!$N$40:$Y$51,3,FALSE)*VLOOKUP($C$80,'DB animal categories'!$C$32:$AC$41,27,FALSE)*E84/1000)/VLOOKUP($C$80,'DB animal categories'!$C$32:$AC$41,27,FALSE)*(VLOOKUP($C$80,'DB animal categories'!$C$32:$AC$41,27,FALSE)-VLOOKUP($C$80,'DB animal categories'!$C$32:$AC$41,25,FALSE)*VLOOKUP($C$80,'DB animal categories'!$C$32:$AC$41,26,FALSE)/24))*(1-'DB additional information '!$S$7/100)*(1-VLOOKUP(D84,'DB technologies'!$N$40:$Y$51,9,FALSE)/100))</f>
        <v/>
      </c>
      <c r="O84" s="445" t="str">
        <f>IF(D84="","",((VLOOKUP(D84,'DB technologies'!$N$40:$Y$51,4,FALSE)*E84*(1-'DB additional information '!$S$8/100)*(1-VLOOKUP(D84,'DB technologies'!$N$40:$Y$51,8,FALSE)/100))/VLOOKUP($C$80,'DB animal categories'!$C$32:$AC$41,27,FALSE)*(VLOOKUP($C$80,'DB animal categories'!$C$32:$AC$41,27,FALSE)-VLOOKUP($C$80,'DB animal categories'!$C$32:$AC$41,25,FALSE)*VLOOKUP($C$80,'DB animal categories'!$C$32:$AC$41,26,FALSE)/24)))</f>
        <v/>
      </c>
      <c r="P84" s="444" t="str">
        <f>IF(G84=0,0,IF(E84="","",IF(F84="","",IF($C$80=0,"",IF(D84="","",SUM(H84:K84)/G84*100)))))</f>
        <v/>
      </c>
      <c r="Q84" s="476" t="str">
        <f>IF(D84="","",(VLOOKUP(D84,'DB technologies'!$N$40:$Y$51,2,FALSE)*'DB additional information '!$S$6/100*'DB additional information '!$T$6*VLOOKUP($C$80,'DB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R84" s="476" t="str">
        <f>IF(D84="","",(VLOOKUP(D84,'DB technologies'!$N$40:$Y$51,3,FALSE)*'DB additional information '!$S$7/100*'DB additional information '!$T$7*VLOOKUP($C$80,'DB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S84" s="494" t="str">
        <f>IF(D84="","",(VLOOKUP(D84,'DB technologies'!$N$40:$Y$51,4,FALSE)*('DB additional information '!$S$8/100*'DB additional information '!$T$8*E84/1000/1000)))</f>
        <v/>
      </c>
      <c r="T84" s="266" t="str">
        <f>IF($C$80=0,"",IF('Calc (ex-animal)'!$F$9=1,"",IF(D84="","",((VLOOKUP($C$80,'Calc (ex-animal)'!$D$18:$Y$22,10,FALSE)-VLOOKUP($C$80,'Calc (ex-animal)'!$D$18:$Y$22,18,FALSE))*F84/100+Q84+R84+S84)-AC84-AD84-AE84)))</f>
        <v/>
      </c>
      <c r="U84" s="477" t="str">
        <f>IF(D84="","",(VLOOKUP(D84,'DB technologies'!$N$40:$Y$51,2,FALSE)*'DB additional information '!$S$6/100*'DB additional information '!$U$6*VLOOKUP($C$80,'DB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V84" s="433" t="str">
        <f>IF(D84="","",(VLOOKUP(D84,'DB technologies'!$N$40:$Y$51,3,FALSE)*'DB additional information '!$S$7/100*'DB additional information '!$U$7*VLOOKUP($C$80,'DB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W84" s="475" t="str">
        <f>IF(D84="","",(VLOOKUP(D84,'DB technologies'!$N$40:$Y$51,4,FALSE)*('DB additional information '!$S$8/100*'DB additional information '!$U$8*E84/1000/1000)))</f>
        <v/>
      </c>
      <c r="X84" s="267" t="str">
        <f>IF($C$80=0,"",IF('Calc (ex-animal)'!$F$9=1,"",IF(D84="","",((VLOOKUP($C$80,'Calc (ex-animal)'!$D$18:$Y$22,13,FALSE)-VLOOKUP($C$80,'Calc (ex-animal)'!$D$18:$Y$22,19,FALSE))*F84/100+U84+V84+W84))))</f>
        <v/>
      </c>
      <c r="Y84" s="433" t="str">
        <f>IF(D84="","",(VLOOKUP(D84,'DB technologies'!$N$40:$Y$51,2,FALSE)*'DB additional information '!$S$6/100*'DB additional information '!$V$6*VLOOKUP($C$80,'DB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Z84" s="433" t="str">
        <f>IF(D84="","",(VLOOKUP(D84,'DB technologies'!$N$40:$Y$51,3,FALSE)*'DB additional information '!$S$7/100*'DB additional information '!$V$7*VLOOKUP($C$80,'DB animal categories'!$C$32:$AC$41,27,FALSE)*E84/1000/1000)/VLOOKUP($C$80,'DB animal categories'!$C$32:$AC$41,27,FALSE)*(VLOOKUP($C$80,'DB animal categories'!$C$32:$AC$41,27,FALSE)-VLOOKUP($C$80,'DB animal categories'!$C$32:$AC$41,25,FALSE)*VLOOKUP($C$80,'DB animal categories'!$C$32:$AC$41,26,FALSE)/24))</f>
        <v/>
      </c>
      <c r="AA84" s="433" t="str">
        <f>IF(D84="","",(VLOOKUP(D84,'DB technologies'!$N$40:$Y$51,4,FALSE)*('DB additional information '!$S$8/100*'DB additional information '!$V$8*E84/1000/1000)))</f>
        <v/>
      </c>
      <c r="AB84" s="267" t="str">
        <f>IF($C$80=0,"",IF('Calc (ex-animal)'!$F$8=1,"",IF(D84="","",((VLOOKUP($C$80,'Calc (ex-animal)'!$D$18:$Y$22,16,FALSE)-VLOOKUP($C$80,'Calc (ex-animal)'!$D$18:$Y$22,20,FALSE))*F84/100+Y84+Z84+AA84))))</f>
        <v/>
      </c>
      <c r="AC84" s="267" t="str">
        <f>IF($C$80=0,"",IF('Calc (ex-animal)'!$F$8=1,"",IF(D84="","",VLOOKUP($C$80,'Calc (ex-animal)'!$D$18:$Y$22,9,FALSE)/VLOOKUP($C$80,'DB animal categories'!$C$32:$AC$41,27,FALSE)*(VLOOKUP($C$80,'DB animal categories'!$C$32:$AC$41,27,FALSE)-VLOOKUP($C$80,'DB animal categories'!$C$32:$AC$41,25,FALSE)*VLOOKUP($C$80,'DB animal categories'!$C$32:$AC$41,26,FALSE)/24)*F84/100*VLOOKUP(D84,'DB technologies'!$N$40:$R$51,5,FALSE)/100)))</f>
        <v/>
      </c>
      <c r="AD84" s="267" t="str">
        <f>IF($C$80=0,"",IF('Calc (ex-animal)'!$F$8=1,"",IF(D84="","",VLOOKUP($C$80,'Calc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categories'!$C$32:$AC$41,26,FALSE)/24)*F84/100*VLOOKUP(D84,'DB technologies'!$N$40:$Y$51,6,FALSE)/100)))</f>
        <v/>
      </c>
      <c r="AE84" s="268" t="str">
        <f>IF($C$80=0,"",IF('Calc (ex-animal)'!$F$8=1,"",IF(D84="","",VLOOKUP($C$80,'Calc (ex-animal)'!$D$18:$Y$22,10,FALSE)/VLOOKUP($C$80,'DB animal categories'!$C$32:$AC$41,27,FALSE)*(VLOOKUP($C$80,'DB animal categories'!$C$32:$AC$41,27,FALSE)-VLOOKUP($C$80,'DB animal categories'!$C$32:$AC$41,25,FALSE)*VLOOKUP($C$80,'DB animal categories'!$C$32:$AC$41,26,FALSE)/24)*F84/100*VLOOKUP(D84,'DB technologies'!$N$40:$Y$51,7,FALSE)/100)))</f>
        <v/>
      </c>
      <c r="AG84" s="697" t="s">
        <v>208</v>
      </c>
      <c r="AH84" s="694" t="s">
        <v>129</v>
      </c>
      <c r="AI84" s="183" t="str">
        <f>IF(D84="","",VLOOKUP(D84,'DB technologies'!$N$40:$Y$51,10,FALSE))</f>
        <v/>
      </c>
      <c r="AJ84" s="451" t="e">
        <f>VLOOKUP($C$80,'DB animal categories'!$C$32:$AN$41,27,FALSE)-VLOOKUP($C$80,'DB animal categories'!$C$32:$AN$41,26,FALSE)*VLOOKUP($C$80,'DB animal categories'!$C$32:$AN$41,25,FALSE)/24</f>
        <v>#N/A</v>
      </c>
      <c r="AK84" s="452" t="str">
        <f>IF(AI84="","",AL84+AM84)</f>
        <v/>
      </c>
      <c r="AL84" s="452" t="str">
        <f>IF(D84="","",IF(AI84=2,(('Calc (ex-animal)'!$G$20*'DB additional information '!$K$7/100*(1-VLOOKUP(D84,'DB technologies'!$N$40:$Y$51,9,FALSE)/100)*'Calc (ex-housing, ex-storage)'!F84/100+'Calc (ex-animal)'!$H$20*'DB additional information '!$L$7/100*(1-VLOOKUP(D84,'DB technologies'!$N$40:$Y$51,9,FALSE)/100)*'Calc (ex-housing, ex-storage)'!F84/100))/VLOOKUP($C$80,'DB animal categories'!$C$32:$AC$41,27,FALSE)*AJ84+I84+J84+K84,IF(AI84=1,('Calc (ex-animal)'!$H$20*'DB additional information '!$L$7/100*(1-VLOOKUP(D84,'DB technologies'!$N$40:$Y$51,9,FALSE)/100)*'Calc (ex-housing, ex-storage)'!F84/100)/VLOOKUP($C$80,'DB animal categories'!$C$32:$AC$41,27,FALSE)*AJ84,IF(AI84=4,('Calc (ex-animal)'!$G$20*'DB additional information '!$K$7/100+'Calc (ex-animal)'!$H$20*'DB additional information '!$L$7/100)*(1-VLOOKUP(D84,'DB technologies'!$N$40:$Y$51,9,FALSE)/100)*'Calc (ex-housing, ex-storage)'!F84/100*VLOOKUP(D84,'DB technologies'!$N$40:$Y$51,11,FALSE)/100/VLOOKUP($C$80,'DB animal categories'!$C$32:$AC$41,27,FALSE)*AJ84,0))))</f>
        <v/>
      </c>
      <c r="AM84" s="452" t="str">
        <f>IF(D84="","",IF(AI84=2,(('Calc (ex-animal)'!$G$20*(1-'DB additional information '!$K$7/100)*(1-VLOOKUP(D84,'DB technologies'!$N$40:$Y$51,8,FALSE)/100)*'Calc (ex-housing, ex-storage)'!F84/100+'Calc (ex-animal)'!$H$20*(1-'DB additional information '!$L$7/100)*(1-VLOOKUP(D84,'DB technologies'!$N$40:$Y$51,8,FALSE)/100)*'Calc (ex-housing, ex-storage)'!F84/100))/VLOOKUP($C$80,'DB animal categories'!$C$32:$AC$41,27,FALSE)*AJ84+M84+N84+O84,IF(AI84=1,('Calc (ex-animal)'!$H$20*(1-'DB additional information '!$L$7/100)*(1-VLOOKUP(D84,'DB technologies'!$N$40:$Y$51,8,FALSE)/100)*'Calc (ex-housing, ex-storage)'!F84/100)/VLOOKUP($C$80,'DB animal categories'!$C$32:$AC$41,27,FALSE)*AJ84,IF(AI84=4,('Calc (ex-animal)'!$G$20*(1-'DB additional information '!$K$7/100)+'Calc (ex-animal)'!$H$20*(1-'DB additional information '!$L$7/100))*(1-VLOOKUP(D84,'DB technologies'!$N$40:$Y$51,8,FALSE)/100)*'Calc (ex-housing, ex-storage)'!F84/100*VLOOKUP(D84,'DB technologies'!$N$40:$Y$51,11,FALSE)/100/VLOOKUP($C$80,'DB animal categories'!$C$32:$AC$41,27,FALSE)*AJ84,0))))</f>
        <v/>
      </c>
      <c r="AN84" s="452" t="str">
        <f>IF(AI84="","",IF(AL84=0,0,AL84/AK84*100))</f>
        <v/>
      </c>
      <c r="AO84" s="184" t="str">
        <f>IF(D84="","",IF(AI84=2,(('Calc (ex-animal)'!$L$20*'Calc (ex-housing, ex-storage)'!F84/100+'Calc (ex-animal)'!$K$20*'Calc (ex-housing, ex-storage)'!F84/100))/VLOOKUP($C$80,'DB animal categories'!$C$32:$AC$41,27,FALSE)*AJ84+Q84+R84+S84-AC84,IF(AI84=1,('Calc (ex-animal)'!$L$20*'Calc (ex-housing, ex-storage)'!F84/100)/VLOOKUP($C$80,'DB animal categories'!$C$32:$AC$41,27,FALSE)*AJ84-'Calc (ex-housing, ex-storage)'!AC84,IF(AI84=4,('Calc (ex-animal)'!$L$20+'Calc (ex-animal)'!$K$20)*'Calc (ex-housing, ex-storage)'!F84/100*VLOOKUP(D84,'DB technologies'!$N$40:$Y$51,11,FALSE)/100/VLOOKUP($C$80,'DB animal categories'!$C$32:$AC$41,27,FALSE)*AJ84-AC84*VLOOKUP(D84,'DB technologies'!$N$40:$Y$51,11,FALSE)/100,0))))</f>
        <v/>
      </c>
      <c r="AP84" s="184" t="str">
        <f>IF(D84="","",IF(AO84&lt;-0.01,0,IF(AI84=2,(('Calc (ex-animal)'!$L$20*'Calc (ex-housing, ex-storage)'!F84/100+'Calc (ex-animal)'!$K$20*'Calc (ex-housing, ex-storage)'!F84/100))/VLOOKUP($C$80,'DB animal categories'!$C$32:$AC$41,27,FALSE)*AJ84+Q84+R84+S84-AC84,IF(AI84=1,('Calc (ex-animal)'!$L$20*'Calc (ex-housing, ex-storage)'!F84/100)/VLOOKUP($C$80,'DB animal categories'!$C$32:$AC$41,27,FALSE)*AJ84-'Calc (ex-housing, ex-storage)'!AC84,IF(AI84=4,('Calc (ex-animal)'!$L$20+'Calc (ex-animal)'!$K$20)*'Calc (ex-housing, ex-storage)'!F84/100*VLOOKUP(D84,'DB technologies'!$N$40:$Y$51,11,FALSE)/100/VLOOKUP($C$80,'DB animal categories'!$C$32:$AC$41,27,FALSE)*AJ84-AC84*VLOOKUP(D84,'DB technologies'!$N$40:$Y$51,11,FALSE)/100,0)))))</f>
        <v/>
      </c>
      <c r="AQ84" s="184" t="str">
        <f>IF(D84="","",IF(AI84=2,('Calc (ex-animal)'!$O$20*'Calc (ex-housing, ex-storage)'!F84/100+'Calc (ex-animal)'!$N$20*'Calc (ex-housing, ex-storage)'!F84/100)/VLOOKUP($C$80,'DB animal categories'!$C$32:$AC$41,27,FALSE)*AJ84+U84+V84+W84,IF(AI84=1,'Calc (ex-animal)'!$O$20*'Calc (ex-housing, ex-storage)'!F84/100/VLOOKUP($C$80,'DB animal categories'!$C$32:$AC$41,27,FALSE)*AJ84,IF(AI84=4,('Calc (ex-animal)'!$O$20+'Calc (ex-animal)'!$N$20)*'Calc (ex-housing, ex-storage)'!F84/100*VLOOKUP(D84,'DB technologies'!$N$40:$Y$51,11,FALSE)/100/VLOOKUP($C$80,'DB animal categories'!$C$32:$AC$41,27,FALSE)*AJ84,0))))</f>
        <v/>
      </c>
      <c r="AR84" s="184" t="str">
        <f>IF(D84="","",IF(AI84=2,('Calc (ex-animal)'!$R$20*'Calc (ex-housing, ex-storage)'!F84/100+'Calc (ex-animal)'!$Q$20*'Calc (ex-housing, ex-storage)'!F84/100)/VLOOKUP($C$80,'DB animal categories'!$C$32:$AC$41,27,FALSE)*AJ84+Y84+Z84+AA84,IF(AI84=1,'Calc (ex-animal)'!$R$20*'Calc (ex-housing, ex-storage)'!F84/100/VLOOKUP($C$80,'DB animal categories'!$C$32:$AC$41,27,FALSE)*AJ84,IF(AI84=4,('Calc (ex-animal)'!$R$20+'Calc (ex-animal)'!$Q$20)*'Calc (ex-housing, ex-storage)'!F84/100*VLOOKUP(D84,'DB technologies'!$N$40:$Y$51,11,FALSE)/100/VLOOKUP($C$80,'DB animal categories'!$C$32:$AC$41,27,FALSE)*AJ84,0))))</f>
        <v/>
      </c>
      <c r="AS84" s="183" t="str">
        <f>IF(D84="","",VLOOKUP(D84,'DB technologies'!$N$40:$Y$51,10,FALSE))</f>
        <v/>
      </c>
      <c r="AT84" s="452" t="str">
        <f>IF(AS84="","",AU84+AV84)</f>
        <v/>
      </c>
      <c r="AU84" s="452" t="str">
        <f>IF(D84="","",IF(AS84=2,0,IF(AS84=1,'Calc (ex-animal)'!$G$20*'DB additional information '!$K$7/100*(1-VLOOKUP(D84,'DB technologies'!$N$40:$Y$51,8,FALSE)/100)*'Calc (ex-housing, ex-storage)'!F84/100/VLOOKUP($C$80,'DB animal categories'!$C$32:$AC$41,27,FALSE)*AJ84+I84+J84+K84,IF(AS84=5,(('Calc (ex-animal)'!$G$20*'DB additional information '!$K$7/100+'Calc (ex-animal)'!$H$20*'DB additional information '!$L$7/100))*(1-VLOOKUP(D84,'DB technologies'!$N$40:$Y$51,9,FALSE)/100)*'Calc (ex-housing, ex-storage)'!F84/100/VLOOKUP($C$80,'DB animal categories'!$C$32:$AC$41,27,FALSE)*AJ84+I84+J84+K84,IF(AS84=3,('Calc (ex-animal)'!$G$20*'DB additional information '!$K$7/100+'Calc (ex-animal)'!$H$20*'DB additional information '!$L$7/100)*(1-VLOOKUP(D84,'DB technologies'!$N$40:$Y$51,9,FALSE)/100)*'Calc (ex-housing, ex-storage)'!F84/100/VLOOKUP($C$80,'DB animal categories'!$C$32:$AC$41,27,FALSE)*AJ84+I84+J84+K84,IF(AS84=4,('Calc (ex-animal)'!$G$20*'DB additional information '!$K$7/100+'Calc (ex-animal)'!$H$20*'DB additional information '!$L$7/100)*(1-VLOOKUP(D84,'DB technologies'!$N$40:$Y$51,9,FALSE)/100)*'Calc (ex-housing, ex-storage)'!F84/100*VLOOKUP(D84,'DB technologies'!$N$40:$Y$51,12,FALSE)/100/VLOOKUP($C$80,'DB animal categories'!$C$32:$AC$41,27,FALSE)*AJ84+I84+J84+K84,0))))))</f>
        <v/>
      </c>
      <c r="AV84" s="452" t="str">
        <f>IF(D84="","",IF(AS84=2,0,IF(AS84=1,'Calc (ex-animal)'!$G$20*(1-'DB additional information '!$K$7/100)*(1-VLOOKUP(D84,'DB technologies'!$N$40:$Y$51,8,FALSE)/100)*'Calc (ex-housing, ex-storage)'!F84/100/VLOOKUP($C$80,'DB animal categories'!$C$32:$AC$41,27,FALSE)*AJ84+M84+N84+O84,IF(AS84=5,('Calc (ex-animal)'!$G$20*(1-'DB additional information '!$K$7/100)+'Calc (ex-animal)'!$H$20*(1-'DB additional information '!$L$7/100))*(1-VLOOKUP(D84,'DB technologies'!$N$40:$Y$51,8,FALSE)/100)*'Calc (ex-housing, ex-storage)'!F84/100/VLOOKUP($C$80,'DB animal categories'!$C$32:$AC$41,27,FALSE)*AJ84+M84+N84+O84,IF(AS84=3,('Calc (ex-animal)'!$G$20*(1-'DB additional information '!$K$7/100)+'Calc (ex-animal)'!$H$20*(1-'DB additional information '!$L$7/100))*(1-VLOOKUP(D84,'DB technologies'!$N$40:$Y$51,8,FALSE)/100)*'Calc (ex-housing, ex-storage)'!F84/100/VLOOKUP($C$80,'DB animal categories'!$C$32:$AC$41,27,FALSE)*AJ84+M84+N84+O84,IF(AS84=4,('Calc (ex-animal)'!$G$20*(1-'DB additional information '!$K$7/100)+'Calc (ex-animal)'!$H$20*(1-'DB additional information '!$L$7/100))*(1-VLOOKUP(D84,'DB technologies'!$N$40:$Y$51,8,FALSE)/100)*'Calc (ex-housing, ex-storage)'!F84/100*VLOOKUP(D84,'DB technologies'!$N$40:$Y$51,12,FALSE)/100/VLOOKUP($C$80,'DB animal categories'!$C$32:$AC$41,27,FALSE)*AJ84+M84+N84+O84,0))))))</f>
        <v/>
      </c>
      <c r="AW84" s="452" t="str">
        <f>IF(AS84="","",IF(AU84=0,0,AU84/AT84*100))</f>
        <v/>
      </c>
      <c r="AX84" s="184" t="str">
        <f>IF(D84="","",IF(AS84=2,0,IF(AS84=1,'Calc (ex-animal)'!$K$20*'Calc (ex-housing, ex-storage)'!F84/100/VLOOKUP($C$80,'DB animal categories'!$C$32:$AC$41,27,FALSE)*AJ84+Q84+R84+S84,IF(AS84=5,('Calc (ex-animal)'!$K$20+'Calc (ex-animal)'!$L$20)*'Calc (ex-housing, ex-storage)'!F84/100/VLOOKUP($C$80,'DB animal categories'!$C$32:$AC$41,27,FALSE)*AJ84+Q84+R84+S84-'Calc (ex-housing, ex-storage)'!AC84,IF(AS84=3,('Calc (ex-animal)'!$K$20+'Calc (ex-animal)'!$L$20)*'Calc (ex-housing, ex-storage)'!F84/100/VLOOKUP($C$80,'DB animal categories'!$C$32:$AC$41,27,FALSE)*AJ84+Q84+R84+S84-'Calc (ex-housing, ex-storage)'!AC84-AD84-AE84,IF(AI84=4,('Calc (ex-animal)'!$K$20+'Calc (ex-animal)'!$L$20)*'Calc (ex-housing, ex-storage)'!F84/100*VLOOKUP(D84,'DB technologies'!$N$40:$Y$51,12,FALSE)/100/VLOOKUP($C$80,'DB animal categories'!$C$32:$AC$41,27,FALSE)*AJ84+Q84+R84+S84-(VLOOKUP(D84,'DB technologies'!$N$40:$Y$51,12,FALSE)/100*AC84)-AD84-AE84,0))))))</f>
        <v/>
      </c>
      <c r="AY84" s="184" t="str">
        <f>IF(D84="","",IF(AS84=2,0,IF(AS84=1,'Calc (ex-animal)'!$N$20*'Calc (ex-housing, ex-storage)'!F84/100/VLOOKUP($C$80,'DB animal categories'!$C$32:$AC$41,27,FALSE)*AJ84+U84+V84+W84,IF(AS84=5,('Calc (ex-animal)'!$N$20+'Calc (ex-animal)'!$O$20)*'Calc (ex-housing, ex-storage)'!F84/100/VLOOKUP($C$80,'DB animal categories'!$C$32:$AC$41,27,FALSE)*AJ84+U84+V84+W84,IF(AS84=3,('Calc (ex-animal)'!$N$20+'Calc (ex-animal)'!$O$20)*'Calc (ex-housing, ex-storage)'!F84/100/VLOOKUP($C$80,'DB animal categories'!$C$32:$AC$41,27,FALSE)*AJ84+U84+V84+W84,IF(AS84=4,('Calc (ex-animal)'!$N$20+'Calc (ex-animal)'!$O$20)*'Calc (ex-housing, ex-storage)'!F84/100*VLOOKUP(D84,'DB technologies'!$N$40:$Y$51,12,FALSE)/100/VLOOKUP($C$80,'DB animal categories'!$C$32:$AC$41,27,FALSE)*AJ84+U84+V84+W84,0))))))</f>
        <v/>
      </c>
      <c r="AZ84" s="184" t="str">
        <f>IF(D84="","",IF(AS84=2,0,IF(AS84=1,'Calc (ex-animal)'!$Q$20*'Calc (ex-housing, ex-storage)'!F84/100/VLOOKUP($C$80,'DB animal categories'!$C$32:$AC$41,27,FALSE)*AJ84+Y84+Z84+AA84,IF(AS84=5,('Calc (ex-animal)'!$Q$20+'Calc (ex-animal)'!$R$20)*'Calc (ex-housing, ex-storage)'!F84/100/VLOOKUP($C$80,'DB animal categories'!$C$32:$AC$41,27,FALSE)*AJ84+Y84+Z84+AA84,IF(AS84=3,('Calc (ex-animal)'!$Q$20+'Calc (ex-animal)'!$R$20)*'Calc (ex-housing, ex-storage)'!F84/100/VLOOKUP($C$80,'DB animal categories'!$C$32:$AC$41,27,FALSE)*AJ84+Y84+Z84+AA84,IF(AS84=4,('Calc (ex-animal)'!$Q$20+'Calc (ex-animal)'!$R$20)*'Calc (ex-housing, ex-storage)'!F84/100*VLOOKUP(D84,'DB technologies'!$N$40:$Y$51,12,FALSE)/100/VLOOKUP($C$80,'DB animal categories'!$C$32:$AC$41,27,FALSE)*AJ84+Y84+Z84+AA84,0))))))</f>
        <v/>
      </c>
      <c r="BA84" s="97">
        <f>SUM(AK547:AK575)</f>
        <v>0</v>
      </c>
      <c r="BB84" s="97">
        <f>SUM(AL547:AL575)</f>
        <v>0</v>
      </c>
      <c r="BC84" s="506" t="e">
        <f>BB84/BA84*100</f>
        <v>#DIV/0!</v>
      </c>
      <c r="BD84" s="97">
        <f>SUM(AP547:AP575)</f>
        <v>0</v>
      </c>
      <c r="BE84" s="97">
        <f>SUM(AQ547:AQ575)</f>
        <v>0</v>
      </c>
      <c r="BF84" s="97">
        <f>SUM(AR547:AR575)</f>
        <v>0</v>
      </c>
      <c r="BG84" s="1355"/>
      <c r="BH84" s="1363"/>
      <c r="BI84" s="599" t="str">
        <f>IF(BG84="","",$BA$84*BH84/100-($BB$84*BH84/100*VLOOKUP(BG84,'DB technologies'!$AC$11:$AT$15,5,FALSE)/100)+(VLOOKUP(BG84,'DB technologies'!$AC$11:$AT$15,12,FALSE)*$BA$84*BH84/100))</f>
        <v/>
      </c>
      <c r="BJ84" s="594">
        <f>IF(BI84="",0,BI84*BK84/100)</f>
        <v>0</v>
      </c>
      <c r="BK84" s="570" t="str">
        <f>IF(BG84="","",IF($BA$84=0,0,($BB$84*BH84/100)/BI84*(1-(VLOOKUP(BG84,'DB technologies'!$AC$11:$AQ$15,5,FALSE))/100)*100))</f>
        <v/>
      </c>
      <c r="BL84" s="259" t="str">
        <f>IF(BG84="","",$BD$84*BH84/100-BO84-BP84-BQ84)</f>
        <v/>
      </c>
      <c r="BM84" s="259" t="str">
        <f>IF(BG84="","",$BE$84*BH84/100)</f>
        <v/>
      </c>
      <c r="BN84" s="259" t="str">
        <f>IF(BG84="","",$BF$84*BH84/100)</f>
        <v/>
      </c>
      <c r="BO84" s="259" t="str">
        <f>IF(BG84="","",$BD$84*BH84/100*VLOOKUP(BG84,'DB technologies'!$AC$11:$AF$15,2,FALSE)/100)</f>
        <v/>
      </c>
      <c r="BP84" s="259" t="str">
        <f>IF(BG84="","",$BD$84*BH84/100*VLOOKUP(BG84,'DB technologies'!$AC$11:$AN$15,3,FALSE)/100)</f>
        <v/>
      </c>
      <c r="BQ84" s="260" t="str">
        <f>IF(BG84="","",$BD$84*BH84/100*VLOOKUP(BG84,'DB technologies'!$AC$11:$AN$15,4,FALSE)/100)</f>
        <v/>
      </c>
      <c r="BR84" s="114"/>
      <c r="BS84" s="114"/>
      <c r="BT84" s="115"/>
    </row>
    <row r="85" spans="1:72" ht="12" customHeight="1" thickBot="1" x14ac:dyDescent="0.25">
      <c r="A85" s="684"/>
      <c r="B85" s="695"/>
      <c r="C85" s="256"/>
      <c r="D85" s="269" t="s">
        <v>58</v>
      </c>
      <c r="E85" s="270">
        <f>IF(F85&lt;=100,SUM(E80:E84),"ERROR")</f>
        <v>0</v>
      </c>
      <c r="F85" s="284">
        <f>IF(SUM(F80:F84) &lt;=100,SUM(F80:F84),"ERROR, SUM&gt;100%")</f>
        <v>0</v>
      </c>
      <c r="G85" s="492">
        <f>IF('Calc (ex-animal)'!$F$9=1,"",SUM(G80:G84))</f>
        <v>0</v>
      </c>
      <c r="H85" s="433">
        <f>IF('Calc (ex-animal)'!$F$8=1,"",SUM(H80:H84))</f>
        <v>0</v>
      </c>
      <c r="I85" s="433">
        <f>IF('Calc (ex-animal)'!$F$8=1,"",SUM(I80:I84))</f>
        <v>0</v>
      </c>
      <c r="J85" s="433">
        <f>IF('Calc (ex-animal)'!$F$8=1,"",SUM(J80:J84))</f>
        <v>0</v>
      </c>
      <c r="K85" s="433">
        <f>IF('Calc (ex-animal)'!$F$8=1,"",SUM(K80:K84))</f>
        <v>0</v>
      </c>
      <c r="L85" s="433">
        <f>IF('Calc (ex-animal)'!$F$8=1,"",SUM(L80:L84))</f>
        <v>0</v>
      </c>
      <c r="M85" s="470"/>
      <c r="N85" s="470"/>
      <c r="O85" s="470"/>
      <c r="P85" s="478">
        <f>IF(G85=0,0,IF('Calc (ex-animal)'!$F$9=1,"",IF(D85="","",SUM(H85:K85)/G85*100)))</f>
        <v>0</v>
      </c>
      <c r="Q85" s="271"/>
      <c r="R85" s="271"/>
      <c r="S85" s="271"/>
      <c r="T85" s="278">
        <f>IF('Calc (ex-animal)'!$F$20=1,"",SUM(T80:T84))</f>
        <v>0</v>
      </c>
      <c r="U85" s="279"/>
      <c r="V85" s="279"/>
      <c r="W85" s="279"/>
      <c r="X85" s="279">
        <f>IF('Calc (ex-animal)'!$F$20=1,"",SUM(X80:X84))</f>
        <v>0</v>
      </c>
      <c r="Y85" s="279"/>
      <c r="Z85" s="279"/>
      <c r="AA85" s="279"/>
      <c r="AB85" s="279">
        <f>IF('Calc (ex-animal)'!$F$20=1,"",SUM(AB80:AB84))</f>
        <v>0</v>
      </c>
      <c r="AC85" s="279">
        <f>IF('Calc (ex-animal)'!$F$20=1,"",SUM(AC80:AC84))</f>
        <v>0</v>
      </c>
      <c r="AD85" s="279">
        <f>IF('Calc (ex-animal)'!$F$20=1,"",SUM(AD80:AD84))</f>
        <v>0</v>
      </c>
      <c r="AE85" s="280">
        <f>IF('Calc (ex-animal)'!$F$20=1,"",SUM(AE80:AE84))</f>
        <v>0</v>
      </c>
      <c r="AG85" s="698"/>
      <c r="AH85" s="695"/>
      <c r="BG85" s="1357"/>
      <c r="BH85" s="1361"/>
      <c r="BI85" s="598" t="str">
        <f>IF(BG85="","",$BA$84*BH85/100-($BB$84*BH85/100*VLOOKUP(BG85,'DB technologies'!$AC$11:$AT$15,5,FALSE)/100)+(VLOOKUP(BG85,'DB technologies'!$AC$11:$AT$15,12,FALSE)*$BA$84*BH85/100))</f>
        <v/>
      </c>
      <c r="BJ85" s="551">
        <f>IF(BI85="",0,BI85*BK85/100)</f>
        <v>0</v>
      </c>
      <c r="BK85" s="571" t="str">
        <f>IF(BG85="","",IF($BA$84=0,0,($BB$84*BH85/100)/BI85*(1-(VLOOKUP(BG85,'DB technologies'!$AC$11:$AQ$15,5,FALSE))/100)*100))</f>
        <v/>
      </c>
      <c r="BL85" s="261" t="str">
        <f>IF(BG85="","",$BD$84*BH85/100-BO85-BP85-BQ85)</f>
        <v/>
      </c>
      <c r="BM85" s="261" t="str">
        <f>IF(BG85="","",$BE$84*BH85/100)</f>
        <v/>
      </c>
      <c r="BN85" s="261" t="str">
        <f>IF(BG85="","",$BF$84*BH85/100)</f>
        <v/>
      </c>
      <c r="BO85" s="261" t="str">
        <f>IF(BG85="","",$BD$84*BH85/100*VLOOKUP(BG85,'DB technologies'!$AC$11:$AF$15,2,FALSE)/100)</f>
        <v/>
      </c>
      <c r="BP85" s="261" t="str">
        <f>IF(BG85="","",$BD$84*BH85/100*VLOOKUP(BG85,'DB technologies'!$AC$11:$AN$15,3,FALSE)/100)</f>
        <v/>
      </c>
      <c r="BQ85" s="262" t="str">
        <f>IF(BG85="","",$BD$84*BH85/100*VLOOKUP(BG85,'DB technologies'!$AC$11:$AN$15,4,FALSE)/100)</f>
        <v/>
      </c>
      <c r="BR85" s="117"/>
      <c r="BS85" s="117"/>
      <c r="BT85" s="118"/>
    </row>
    <row r="86" spans="1:72" ht="11.25" customHeight="1" x14ac:dyDescent="0.2">
      <c r="A86" s="684"/>
      <c r="B86" s="695"/>
      <c r="C86" s="250">
        <f>'Calc (ex-animal)'!D21</f>
        <v>0</v>
      </c>
      <c r="D86" s="1355"/>
      <c r="E86" s="1364"/>
      <c r="F86" s="479" t="str">
        <f>IF('Calc (ex-animal)'!$F$9=1,"",IF($C$86=0,"",IF(D86="","",E86/'Calc (ex-animal)'!$E$21*100)))</f>
        <v/>
      </c>
      <c r="G86" s="484" t="str">
        <f>IF($C$86=0,"",IF('Calc (ex-animal)'!$F$8=1,"",IF(D86="","",SUM(H86:O86))))</f>
        <v/>
      </c>
      <c r="H86" s="471" t="str">
        <f>IF('Calc (ex-animal)'!$F$8=1,"",IF(D86="","",(((VLOOKUP($C$86,'Calc (ex-animal)'!$D$18:$Y$22,6,FALSE)-VLOOKUP($C$86,'Calc (ex-animal)'!$D$18:$Y$22,17,FALSE))*F86/100))*VLOOKUP($C$86,'Calc (ex-animal)'!$D$18:$Y$22,7,FALSE)/100*(1-VLOOKUP(D86,'DB technologies'!$N$40:$Y$51,9,FALSE)/100)))</f>
        <v/>
      </c>
      <c r="I86" s="471" t="str">
        <f>IF(D86="","",((VLOOKUP(D86,'DB technologies'!$N$40:$Y$51,2,FALSE)*VLOOKUP($C$86,'DB animal categories'!$C$32:$AC$41,27,FALSE)*E86/1000)/VLOOKUP($C$86,'DB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'!$S$6/100*(1-VLOOKUP(D86,'DB technologies'!$N$40:$Y$51,9,FALSE)/100)))</f>
        <v/>
      </c>
      <c r="J86" s="472" t="str">
        <f>IF(D86="","",((VLOOKUP(D86,'DB technologies'!$N$40:$Y$51,3,FALSE)*VLOOKUP($C$86,'DB animal categories'!$C$32:$AC$41,27,FALSE)*E86/1000)/VLOOKUP($C$86,'DB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'!$S$7/100*(1-VLOOKUP(D86,'DB technologies'!$N$40:$Y$51,9,FALSE)/100)))</f>
        <v/>
      </c>
      <c r="K86" s="472" t="str">
        <f>IF(D86="","",((VLOOKUP(D86,'DB technologies'!$N$40:$Y$51,4,FALSE)*E86*'DB additional information '!$S$8/100*(1-VLOOKUP(D86,'DB technologies'!$N$40:$Y$51,9,FALSE)/100))/VLOOKUP($C$86,'DB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L86" s="471" t="str">
        <f>IF('Calc (ex-animal)'!$F$8=1,"",IF(D86="","",(((VLOOKUP($C$86,'Calc (ex-animal)'!$D$18:$Y$22,6,FALSE)-VLOOKUP($C$86,'Calc (ex-animal)'!$D$18:$Y$22,17,FALSE))*F86/100))*(1-VLOOKUP($C$86,'Calc (ex-animal)'!$D$18:$Y$22,7,FALSE)/100)*(1-VLOOKUP(D86,'DB technologies'!$N$40:$V$51,8,FALSE)/100)))</f>
        <v/>
      </c>
      <c r="M86" s="472" t="str">
        <f>IF(D86="","",((VLOOKUP(D86,'DB technologies'!$N$40:$Y$51,2,FALSE)*VLOOKUP($C$86,'DB animal categories'!$C$32:$AC$41,27,FALSE)*E86/1000)/VLOOKUP($C$86,'DB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'!$S$6/100)*(1-VLOOKUP(D86,'DB technologies'!$N$40:$Y$51,9,FALSE)/100))</f>
        <v/>
      </c>
      <c r="N86" s="472" t="str">
        <f>IF(D86="","",((VLOOKUP(D86,'DB technologies'!$N$40:$Y$51,3,FALSE)*VLOOKUP($C$86,'DB animal categories'!$C$32:$AC$41,27,FALSE)*E86/1000)/VLOOKUP($C$86,'DB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'!$S$7/100)*(1-VLOOKUP(D86,'DB technologies'!$N$40:$Y$51,9,FALSE)/100))</f>
        <v/>
      </c>
      <c r="O86" s="471" t="str">
        <f>IF(D86="","",((VLOOKUP(D86,'DB technologies'!$N$40:$Y$51,4,FALSE)*E86*(1-'DB additional information '!$S$8/100)*(1-VLOOKUP(D86,'DB technologies'!$N$40:$Y$51,8,FALSE)/100))/VLOOKUP($C$86,'DB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P86" s="443" t="str">
        <f>IF(G86=0,0,IF(E86="","",IF(F86="","",IF($C$86=0,"",IF(D86="","",SUM(H86:K86)/G86*100)))))</f>
        <v/>
      </c>
      <c r="Q86" s="473" t="str">
        <f>IF(D86="","",(VLOOKUP(D86,'DB technologies'!$N$40:$Y$51,2,FALSE)*'DB additional information '!$S$6/100*'DB additional information '!$T$6*VLOOKUP($C$86,'DB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R86" s="473" t="str">
        <f>IF(D86="","",(VLOOKUP(D86,'DB technologies'!$N$40:$Y$51,3,FALSE)*'DB additional information '!$S$7/100*'DB additional information '!$T$7*VLOOKUP($C$86,'DB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S86" s="490" t="str">
        <f>IF(D86="","",(VLOOKUP(D86,'DB technologies'!$N$40:$Y$51,4,FALSE)*('DB additional information '!$S$8/100*'DB additional information '!$T$8*E86/1000/1000)))</f>
        <v/>
      </c>
      <c r="T86" s="263" t="str">
        <f>IF($C$86=0,"",IF('Calc (ex-animal)'!$F$9=1,"",IF(D86="","",((VLOOKUP($C$86,'Calc (ex-animal)'!$D$18:$Y$22,10,FALSE)-VLOOKUP($C$86,'Calc (ex-animal)'!$D$18:$Y$22,18,FALSE))*F86/100+Q86+R86+S86)-AC86-AD86-AE86)))</f>
        <v/>
      </c>
      <c r="U86" s="474" t="str">
        <f>IF(D86="","",(VLOOKUP(D86,'DB technologies'!$N$40:$Y$51,2,FALSE)*'DB additional information '!$S$6/100*'DB additional information '!$U$6*VLOOKUP($C$86,'DB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V86" s="420" t="str">
        <f>IF(D86="","",(VLOOKUP(D86,'DB technologies'!$N$40:$Y$51,3,FALSE)*'DB additional information '!$S$7/100*'DB additional information '!$U$7*VLOOKUP($C$86,'DB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W86" s="415" t="str">
        <f>IF(D86="","",(VLOOKUP(D86,'DB technologies'!$N$40:$Y$51,4,FALSE)*('DB additional information '!$S$8/100*'DB additional information '!$U$8*E86/1000/1000)))</f>
        <v/>
      </c>
      <c r="X86" s="259" t="str">
        <f>IF($C$86=0,"",IF('Calc (ex-animal)'!$F$9=1,"",IF(D86="","",((VLOOKUP($C$86,'Calc (ex-animal)'!$D$18:$Y$22,13,FALSE)-VLOOKUP($C$86,'Calc (ex-animal)'!$D$18:$Y$22,19,FALSE))*F86/100+U86+V86+W86))))</f>
        <v/>
      </c>
      <c r="Y86" s="420" t="str">
        <f>IF(D86="","",(VLOOKUP(D86,'DB technologies'!$N$40:$Y$51,2,FALSE)*'DB additional information '!$S$6/100*'DB additional information '!$V$6*VLOOKUP($C$86,'DB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Z86" s="420" t="str">
        <f>IF(D86="","",(VLOOKUP(D86,'DB technologies'!$N$40:$Y$51,3,FALSE)*'DB additional information '!$S$7/100*'DB additional information '!$V$7*VLOOKUP($C$86,'DB animal categories'!$C$32:$AC$41,27,FALSE)*E86/1000/1000)/VLOOKUP($C$86,'DB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AA86" s="420" t="str">
        <f>IF(D86="","",(VLOOKUP(D86,'DB technologies'!$N$40:$Y$51,4,FALSE)*('DB additional information '!$S$8/100*'DB additional information '!$V$8*E86/1000/1000)))</f>
        <v/>
      </c>
      <c r="AB86" s="259" t="str">
        <f>IF($C$86=0,"",IF('Calc (ex-animal)'!$F$8=1,"",IF(D86="","",((VLOOKUP($C$86,'Calc (ex-animal)'!$D$18:$Y$22,16,FALSE)-VLOOKUP($C$86,'Calc (ex-animal)'!$D$18:$Y$22,20,FALSE))*F86/100+Y86+Z86+AA86))))</f>
        <v/>
      </c>
      <c r="AC86" s="259" t="str">
        <f>IF($C$86=0,"",IF('Calc (ex-animal)'!$F$8=1,"",IF(D86="","",VLOOKUP($C$86,'Calc (ex-animal)'!$D$18:$Y$22,9,FALSE)/VLOOKUP($C$86,'DB animal categories'!$C$32:$AC$41,27,FALSE)*(VLOOKUP($C$86,'DB animal categories'!$C$32:$AC$41,27,FALSE)-VLOOKUP($C$86,'DB animal categories'!$C$32:$AC$41,25,FALSE)*VLOOKUP($C$86,'DB animal categories'!$C$32:$AC$41,26,FALSE)/24)*F86/100*VLOOKUP(D86,'DB technologies'!$N$40:$R$51,5,FALSE)/100)))</f>
        <v/>
      </c>
      <c r="AD86" s="259" t="str">
        <f>IF($C$86=0,"",IF('Calc (ex-animal)'!$F$8=1,"",IF(D86="","",VLOOKUP($C$86,'Calc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categories'!$C$32:$AC$41,26,FALSE)/24)*F86/100*VLOOKUP(D86,'DB technologies'!$N$40:$Y$51,6,FALSE)/100)))</f>
        <v/>
      </c>
      <c r="AE86" s="260" t="str">
        <f>IF($C$86=0,"",IF('Calc (ex-animal)'!$F$8=1,"",IF(D86="","",VLOOKUP($C$86,'Calc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categories'!$C$32:$AC$41,26,FALSE)/24)*F86/100*VLOOKUP(D86,'DB technologies'!$N$40:$Y$51,7,FALSE)/100)))</f>
        <v/>
      </c>
      <c r="AG86" s="698"/>
      <c r="AH86" s="695"/>
      <c r="AI86" s="179" t="str">
        <f>IF(D86="","",VLOOKUP(D86,'DB technologies'!$N$40:$Y$51,10,FALSE))</f>
        <v/>
      </c>
      <c r="AJ86" s="482" t="e">
        <f>VLOOKUP($C$86,'DB animal categories'!$C$32:$AN$41,27,FALSE)-VLOOKUP($C$86,'DB animal categories'!$C$32:$AN$41,26,FALSE)*VLOOKUP($C$86,'DB animal categories'!$C$32:$AN$41,25,FALSE)/24</f>
        <v>#N/A</v>
      </c>
      <c r="AK86" s="453" t="str">
        <f>IF(AI86="","",AL86+AM86)</f>
        <v/>
      </c>
      <c r="AL86" s="453" t="str">
        <f>IF(D86="","",IF(AI86=2,(('Calc (ex-animal)'!$G$21*'DB additional information '!$K$7/100*(1-VLOOKUP(D86,'DB technologies'!$N$40:$Y$51,9,FALSE)/100)*'Calc (ex-housing, ex-storage)'!F86/100+'Calc (ex-animal)'!$H$21*'DB additional information '!$L$7/100*(1-VLOOKUP(D86,'DB technologies'!$N$40:$Y$51,9,FALSE)/100)*'Calc (ex-housing, ex-storage)'!F86/100))/VLOOKUP($C$86,'DB animal categories'!$C$32:$AC$41,27,FALSE)*AJ86+I86+J86+K86,IF(AI86=1,('Calc (ex-animal)'!$H$21*'DB additional information '!$L$7/100*(1-VLOOKUP(D86,'DB technologies'!$N$40:$Y$51,9,FALSE)/100)*'Calc (ex-housing, ex-storage)'!F86/100)/VLOOKUP($C$86,'DB animal categories'!$C$32:$AC$41,27,FALSE)*AJ86,IF(AI86=4,('Calc (ex-animal)'!$G$21*'DB additional information '!$K$7/100+'Calc (ex-animal)'!$H$21*'DB additional information '!$L$7/100)*(1-VLOOKUP(D86,'DB technologies'!$N$40:$Y$51,9,FALSE)/100)*'Calc (ex-housing, ex-storage)'!F86/100*VLOOKUP(D86,'DB technologies'!$N$40:$Y$51,11,FALSE)/100/VLOOKUP($C$86,'DB animal categories'!$C$32:$AC$41,27,FALSE)*AJ86,0))))</f>
        <v/>
      </c>
      <c r="AM86" s="453" t="str">
        <f>IF(D86="","",IF(AI86=2,(('Calc (ex-animal)'!$G$21*(1-'DB additional information '!$K$7/100)*(1-VLOOKUP(D86,'DB technologies'!$N$40:$Y$51,8,FALSE)/100)*'Calc (ex-housing, ex-storage)'!F86/100+'Calc (ex-animal)'!$H$21*(1-'DB additional information '!$L$7/100)*(1-VLOOKUP(D86,'DB technologies'!$N$40:$Y$51,8,FALSE)/100)*'Calc (ex-housing, ex-storage)'!F86/100))/VLOOKUP($C$86,'DB animal categories'!$C$32:$AC$41,27,FALSE)*AJ86+M86+N86+O86,IF(AI86=1,('Calc (ex-animal)'!$H$21*(1-'DB additional information '!$L$7/100)*(1-VLOOKUP(D86,'DB technologies'!$N$40:$Y$51,8,FALSE)/100)*'Calc (ex-housing, ex-storage)'!F86/100)/VLOOKUP($C$86,'DB animal categories'!$C$32:$AC$41,27,FALSE)*AJ86,IF(AI86=4,('Calc (ex-animal)'!$G$21*(1-'DB additional information '!$K$7/100)+'Calc (ex-animal)'!$H$21*(1-'DB additional information '!$L$7/100))*(1-VLOOKUP(D86,'DB technologies'!$N$40:$Y$51,8,FALSE)/100)*'Calc (ex-housing, ex-storage)'!F86/100*VLOOKUP(D86,'DB technologies'!$N$40:$Y$51,11,FALSE)/100/VLOOKUP($C$86,'DB animal categories'!$C$32:$AC$41,27,FALSE)*AJ86,0))))</f>
        <v/>
      </c>
      <c r="AN86" s="453" t="str">
        <f>IF(AI86="","",IF(AL86=0,0,AL86/AK86*100))</f>
        <v/>
      </c>
      <c r="AO86" s="180" t="str">
        <f>IF(D86="","",IF(AI86=2,(('Calc (ex-animal)'!$L$21*'Calc (ex-housing, ex-storage)'!F86/100+'Calc (ex-animal)'!$K$21*'Calc (ex-housing, ex-storage)'!F86/100))/VLOOKUP($C$86,'DB animal categories'!$C$32:$AC$41,27,FALSE)*AJ86+Q86+R86+S86-AC86,IF(AI86=1,('Calc (ex-animal)'!$L$21*'Calc (ex-housing, ex-storage)'!F86/100)/VLOOKUP($C$86,'DB animal categories'!$C$32:$AC$41,27,FALSE)*AJ86-'Calc (ex-housing, ex-storage)'!AC86,IF(AI86=4,('Calc (ex-animal)'!$L$21+'Calc (ex-animal)'!$K$21)*'Calc (ex-housing, ex-storage)'!F86/100*VLOOKUP(D86,'DB technologies'!$N$40:$Y$51,11,FALSE)/100/VLOOKUP($C$86,'DB animal categories'!$C$32:$AC$41,27,FALSE)*AJ86-AC86*VLOOKUP(D86,'DB technologies'!$N$40:$Y$51,11,FALSE)/100,0))))</f>
        <v/>
      </c>
      <c r="AP86" s="180" t="str">
        <f>IF(D86="","",IF(AO86&lt;-0.01,0,IF(AI86=2,(('Calc (ex-animal)'!$L$21*'Calc (ex-housing, ex-storage)'!F86/100+'Calc (ex-animal)'!$K$21*'Calc (ex-housing, ex-storage)'!F86/100))/VLOOKUP($C$86,'DB animal categories'!$C$32:$AC$41,27,FALSE)*AJ86+Q86+R86+S86-AC86,IF(AI86=1,('Calc (ex-animal)'!$L$21*'Calc (ex-housing, ex-storage)'!F86/100)/VLOOKUP($C$86,'DB animal categories'!$C$32:$AC$41,27,FALSE)*AJ86-'Calc (ex-housing, ex-storage)'!AC86,IF(AI86=4,('Calc (ex-animal)'!$L$21+'Calc (ex-animal)'!$K$21)*'Calc (ex-housing, ex-storage)'!F86/100*VLOOKUP(D86,'DB technologies'!$N$40:$Y$51,11,FALSE)/100/VLOOKUP($C$86,'DB animal categories'!$C$32:$AC$41,27,FALSE)*AJ86-AC86*VLOOKUP(D86,'DB technologies'!$N$40:$Y$51,11,FALSE)/100,0)))))</f>
        <v/>
      </c>
      <c r="AQ86" s="180" t="str">
        <f>IF(D86="","",IF(AI86=2,('Calc (ex-animal)'!$O$21*'Calc (ex-housing, ex-storage)'!F86/100+'Calc (ex-animal)'!$N$21*'Calc (ex-housing, ex-storage)'!F86/100)/VLOOKUP($C$86,'DB animal categories'!$C$32:$AC$41,27,FALSE)*AJ86+U86+V86+W86,IF(AI86=1,'Calc (ex-animal)'!$O$21*'Calc (ex-housing, ex-storage)'!F86/100/VLOOKUP($C$86,'DB animal categories'!$C$32:$AC$41,27,FALSE)*AJ86,IF(AI86=4,('Calc (ex-animal)'!$O$21+'Calc (ex-animal)'!$N$21)*'Calc (ex-housing, ex-storage)'!F86/100*VLOOKUP(D86,'DB technologies'!$N$40:$Y$51,11,FALSE)/100/VLOOKUP($C$86,'DB animal categories'!$C$32:$AC$41,27,FALSE)*AJ86,0))))</f>
        <v/>
      </c>
      <c r="AR86" s="180" t="str">
        <f>IF(D86="","",IF(AI86=2,('Calc (ex-animal)'!$R$21*'Calc (ex-housing, ex-storage)'!F86/100+'Calc (ex-animal)'!$Q$21*'Calc (ex-housing, ex-storage)'!F86/100)/VLOOKUP($C$86,'DB animal categories'!$C$32:$AC$41,27,FALSE)*AJ86+Y86+Z86+AA86,IF(AI86=1,'Calc (ex-animal)'!$R$21*'Calc (ex-housing, ex-storage)'!F86/100/VLOOKUP($C$86,'DB animal categories'!$C$32:$AC$41,27,FALSE)*AJ86,IF(AI86=4,('Calc (ex-animal)'!$R$21+'Calc (ex-animal)'!$Q$21)*'Calc (ex-housing, ex-storage)'!F86/100*VLOOKUP(D86,'DB technologies'!$N$40:$Y$51,11,FALSE)/100/VLOOKUP($C$86,'DB animal categories'!$C$32:$AC$41,27,FALSE)*AJ86,0))))</f>
        <v/>
      </c>
      <c r="AS86" s="179" t="str">
        <f>IF(D86="","",VLOOKUP(D86,'DB technologies'!$N$40:$Y$51,10,FALSE))</f>
        <v/>
      </c>
      <c r="AT86" s="453" t="str">
        <f>IF(AS86="","",AU86+AV86)</f>
        <v/>
      </c>
      <c r="AU86" s="453" t="str">
        <f>IF(D86="","",IF(AS86=2,0,IF(AS86=1,'Calc (ex-animal)'!$G$21*'DB additional information '!$K$7/100*(1-VLOOKUP(D86,'DB technologies'!$N$40:$Y$51,8,FALSE)/100)*'Calc (ex-housing, ex-storage)'!F86/100/VLOOKUP($C$86,'DB animal categories'!$C$32:$AC$41,27,FALSE)*AJ86+I86+J86+K86,IF(AS86=5,(('Calc (ex-animal)'!$G$21*'DB additional information '!$K$7/100+'Calc (ex-animal)'!$H$21*'DB additional information '!$L$7/100))*(1-VLOOKUP(D86,'DB technologies'!$N$40:$Y$51,9,FALSE)/100)*'Calc (ex-housing, ex-storage)'!F86/100/VLOOKUP($C$86,'DB animal categories'!$C$32:$AC$41,27,FALSE)*AJ86+I86+J86+K86,IF(AS86=3,('Calc (ex-animal)'!$G$21*'DB additional information '!$K$7/100+'Calc (ex-animal)'!$H$21*'DB additional information '!$L$7/100)*(1-VLOOKUP(D86,'DB technologies'!$N$40:$Y$51,9,FALSE)/100)*'Calc (ex-housing, ex-storage)'!F86/100/VLOOKUP($C$86,'DB animal categories'!$C$32:$AC$41,27,FALSE)*AJ86+I86+J86+K86,IF(AS86=4,('Calc (ex-animal)'!$G$21*'DB additional information '!$K$7/100+'Calc (ex-animal)'!$H$21*'DB additional information '!$L$7/100)*(1-VLOOKUP(D86,'DB technologies'!$N$40:$Y$51,9,FALSE)/100)*'Calc (ex-housing, ex-storage)'!F86/100*VLOOKUP(D86,'DB technologies'!$N$40:$Y$51,12,FALSE)/100/VLOOKUP($C$86,'DB animal categories'!$C$32:$AC$41,27,FALSE)*AJ86+I86+J86+K86,0))))))</f>
        <v/>
      </c>
      <c r="AV86" s="453" t="str">
        <f>IF(D86="","",IF(AS86=2,0,IF(AS86=1,'Calc (ex-animal)'!$G$21*(1-'DB additional information '!$K$7/100)*(1-VLOOKUP(D86,'DB technologies'!$N$40:$Y$51,8,FALSE)/100)*'Calc (ex-housing, ex-storage)'!F86/100/VLOOKUP($C$86,'DB animal categories'!$C$32:$AC$41,27,FALSE)*AJ86+M86+N86+O86,IF(AS86=5,('Calc (ex-animal)'!$G$21*(1-'DB additional information '!$K$7/100)+'Calc (ex-animal)'!$H$21*(1-'DB additional information '!$L$7/100))*(1-VLOOKUP(D86,'DB technologies'!$N$40:$Y$51,8,FALSE)/100)*'Calc (ex-housing, ex-storage)'!F86/100/VLOOKUP($C$86,'DB animal categories'!$C$32:$AC$41,27,FALSE)*AJ86+M86+N86+O86,IF(AS86=3,('Calc (ex-animal)'!$G$21*(1-'DB additional information '!$K$7/100)+'Calc (ex-animal)'!$H$21*(1-'DB additional information '!$L$7/100))*(1-VLOOKUP(D86,'DB technologies'!$N$40:$Y$51,8,FALSE)/100)*'Calc (ex-housing, ex-storage)'!F86/100/VLOOKUP($C$86,'DB animal categories'!$C$32:$AC$41,27,FALSE)*AJ86+M86+N86+O86,IF(AS86=4,('Calc (ex-animal)'!$G$21*(1-'DB additional information '!$K$7/100)+'Calc (ex-animal)'!$H$21*(1-'DB additional information '!$L$7/100))*(1-VLOOKUP(D86,'DB technologies'!$N$40:$Y$51,8,FALSE)/100)*'Calc (ex-housing, ex-storage)'!F86/100*VLOOKUP(D86,'DB technologies'!$N$40:$Y$51,12,FALSE)/100/VLOOKUP($C$86,'DB animal categories'!$C$32:$AC$41,27,FALSE)*AJ86+M86+N86+O86,0))))))</f>
        <v/>
      </c>
      <c r="AW86" s="453" t="str">
        <f>IF(AS86="","",IF(AU86=0,0,AU86/AT86*100))</f>
        <v/>
      </c>
      <c r="AX86" s="180" t="str">
        <f>IF(D86="","",IF(AS86=2,0,IF(AS86=1,'Calc (ex-animal)'!$K$21*'Calc (ex-housing, ex-storage)'!F86/100/VLOOKUP($C$86,'DB animal categories'!$C$32:$AC$41,27,FALSE)*AJ86+Q86+R86+S86,IF(AS86=5,('Calc (ex-animal)'!$K$21+'Calc (ex-animal)'!$L$21)*'Calc (ex-housing, ex-storage)'!F86/100/VLOOKUP($C$86,'DB animal categories'!$C$32:$AC$41,27,FALSE)*AJ86+Q86+R86+S86-'Calc (ex-housing, ex-storage)'!AC86,IF(AS86=3,('Calc (ex-animal)'!$K$21+'Calc (ex-animal)'!$L$21)*'Calc (ex-housing, ex-storage)'!F86/100/VLOOKUP($C$86,'DB animal categories'!$C$32:$AC$41,27,FALSE)*AJ86+Q86+R86+S86-'Calc (ex-housing, ex-storage)'!AC86-AD86-AE86,IF(AI86=4,('Calc (ex-animal)'!$K$21+'Calc (ex-animal)'!$L$21)*'Calc (ex-housing, ex-storage)'!F86/100*VLOOKUP(D86,'DB technologies'!$N$40:$Y$51,12,FALSE)/100/VLOOKUP($C$86,'DB animal categories'!$C$32:$AC$41,27,FALSE)*AJ86+Q86+R86+S86-(VLOOKUP(D86,'DB technologies'!$N$40:$Y$51,12,FALSE)/100*AC86)-AD86-AE86,0))))))</f>
        <v/>
      </c>
      <c r="AY86" s="180" t="str">
        <f>IF(D86="","",IF(AS86=2,0,IF(AS86=1,'Calc (ex-animal)'!$N$21*'Calc (ex-housing, ex-storage)'!F86/100/VLOOKUP($C$86,'DB animal categories'!$C$32:$AC$41,27,FALSE)*AJ86+U86+V86+W86,IF(AS86=5,('Calc (ex-animal)'!$N$21+'Calc (ex-animal)'!$O$21)*'Calc (ex-housing, ex-storage)'!F86/100/VLOOKUP($C$86,'DB animal categories'!$C$32:$AC$41,27,FALSE)*AJ86+U86+V86+W86,IF(AS86=3,('Calc (ex-animal)'!$N$21+'Calc (ex-animal)'!$O$21)*'Calc (ex-housing, ex-storage)'!F86/100/VLOOKUP($C$86,'DB animal categories'!$C$32:$AC$41,27,FALSE)*AJ86+U86+V86+W86,IF(AS86=4,('Calc (ex-animal)'!$N$21+'Calc (ex-animal)'!$O$21)*'Calc (ex-housing, ex-storage)'!F86/100*VLOOKUP(D86,'DB technologies'!$N$40:$Y$51,12,FALSE)/100/VLOOKUP($C$86,'DB animal categories'!$C$32:$AC$41,27,FALSE)*AJ86+U86+V86+W86,0))))))</f>
        <v/>
      </c>
      <c r="AZ86" s="180" t="str">
        <f>IF(D86="","",IF(AS86=2,0,IF(AS86=1,'Calc (ex-animal)'!$Q$21*'Calc (ex-housing, ex-storage)'!F86/100/VLOOKUP($C$86,'DB animal categories'!$C$32:$AC$41,27,FALSE)*AJ86+Y86+Z86+AA86,IF(AS86=5,('Calc (ex-animal)'!$Q$21+'Calc (ex-animal)'!$R$21)*'Calc (ex-housing, ex-storage)'!F86/100/VLOOKUP($C$86,'DB animal categories'!$C$32:$AC$41,27,FALSE)*AJ86+Y86+Z86+AA86,IF(AS86=3,('Calc (ex-animal)'!$Q$21+'Calc (ex-animal)'!$R$21)*'Calc (ex-housing, ex-storage)'!F86/100/VLOOKUP($C$86,'DB animal categories'!$C$32:$AC$41,27,FALSE)*AJ86+Y86+Z86+AA86,IF(AS86=4,('Calc (ex-animal)'!$Q$21+'Calc (ex-animal)'!$R$21)*'Calc (ex-housing, ex-storage)'!F86/100*VLOOKUP(D86,'DB technologies'!$N$40:$Y$51,12,FALSE)/100/VLOOKUP($C$86,'DB animal categories'!$C$32:$AC$41,27,FALSE)*AJ86+Y86+Z86+AA86,0))))))</f>
        <v/>
      </c>
      <c r="BA86" s="506"/>
      <c r="BB86" s="506"/>
      <c r="BC86" s="506"/>
      <c r="BG86" s="1357"/>
      <c r="BH86" s="1361"/>
      <c r="BI86" s="598" t="str">
        <f>IF(BG86="","",$BA$84*BH86/100-($BB$84*BH86/100*VLOOKUP(BG86,'DB technologies'!$AC$11:$AT$15,5,FALSE)/100)+(VLOOKUP(BG86,'DB technologies'!$AC$11:$AT$15,12,FALSE)*$BA$84*BH86/100))</f>
        <v/>
      </c>
      <c r="BJ86" s="551">
        <f>IF(BI86="",0,BI86*BK86/100)</f>
        <v>0</v>
      </c>
      <c r="BK86" s="571" t="str">
        <f>IF(BG86="","",IF($BA$84=0,0,($BB$84*BH86/100)/BI86*(1-(VLOOKUP(BG86,'DB technologies'!$AC$11:$AQ$15,5,FALSE))/100)*100))</f>
        <v/>
      </c>
      <c r="BL86" s="261" t="str">
        <f>IF(BG86="","",$BD$84*BH86/100-BO86-BP86-BQ86)</f>
        <v/>
      </c>
      <c r="BM86" s="261" t="str">
        <f>IF(BG86="","",$BE$84*BH86/100)</f>
        <v/>
      </c>
      <c r="BN86" s="261" t="str">
        <f>IF(BG86="","",$BF$84*BH86/100)</f>
        <v/>
      </c>
      <c r="BO86" s="261" t="str">
        <f>IF(BG86="","",$BD$84*BH86/100*VLOOKUP(BG86,'DB technologies'!$AC$11:$AF$15,2,FALSE)/100)</f>
        <v/>
      </c>
      <c r="BP86" s="261" t="str">
        <f>IF(BG86="","",$BD$84*BH86/100*VLOOKUP(BG86,'DB technologies'!$AC$11:$AN$15,3,FALSE)/100)</f>
        <v/>
      </c>
      <c r="BQ86" s="262" t="str">
        <f>IF(BG86="","",$BD$84*BH86/100*VLOOKUP(BG86,'DB technologies'!$AC$11:$AN$15,4,FALSE)/100)</f>
        <v/>
      </c>
      <c r="BR86" s="117"/>
      <c r="BS86" s="117"/>
      <c r="BT86" s="118"/>
    </row>
    <row r="87" spans="1:72" ht="11.25" customHeight="1" x14ac:dyDescent="0.2">
      <c r="A87" s="684"/>
      <c r="B87" s="695"/>
      <c r="C87" s="255"/>
      <c r="D87" s="1357"/>
      <c r="E87" s="1365"/>
      <c r="F87" s="480" t="str">
        <f>IF('Calc (ex-animal)'!$F$9=1,"",IF($C$86=0,"",IF(D87="","",E87/'Calc (ex-animal)'!$E$21*100)))</f>
        <v/>
      </c>
      <c r="G87" s="485" t="str">
        <f>IF($C$86=0,"",IF('Calc (ex-animal)'!$F$8=1,"",IF(D87="","",SUM(H87:O87))))</f>
        <v/>
      </c>
      <c r="H87" s="423" t="str">
        <f>IF('Calc (ex-animal)'!$F$8=1,"",IF(D87="","",(((VLOOKUP($C$86,'Calc (ex-animal)'!$D$18:$Y$22,6,FALSE)-VLOOKUP($C$86,'Calc (ex-animal)'!$D$18:$Y$22,17,FALSE))*F87/100))*VLOOKUP($C$86,'Calc (ex-animal)'!$D$18:$Y$22,7,FALSE)/100*(1-VLOOKUP(D87,'DB technologies'!$N$40:$Y$51,9,FALSE)/100)))</f>
        <v/>
      </c>
      <c r="I87" s="423" t="str">
        <f>IF(D87="","",((VLOOKUP(D87,'DB technologies'!$N$40:$Y$51,2,FALSE)*VLOOKUP($C$86,'DB animal categories'!$C$32:$AC$41,27,FALSE)*E87/1000)/VLOOKUP($C$86,'DB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'!$S$6/100*(1-VLOOKUP(D87,'DB technologies'!$N$40:$Y$51,9,FALSE)/100)))</f>
        <v/>
      </c>
      <c r="J87" s="434" t="str">
        <f>IF(D87="","",((VLOOKUP(D87,'DB technologies'!$N$40:$Y$51,3,FALSE)*VLOOKUP($C$86,'DB animal categories'!$C$32:$AC$41,27,FALSE)*E87/1000)/VLOOKUP($C$86,'DB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'!$S$7/100*(1-VLOOKUP(D87,'DB technologies'!$N$40:$Y$51,9,FALSE)/100)))</f>
        <v/>
      </c>
      <c r="K87" s="434" t="str">
        <f>IF(D87="","",((VLOOKUP(D87,'DB technologies'!$N$40:$Y$51,4,FALSE)*E87*'DB additional information '!$S$8/100*(1-VLOOKUP(D87,'DB technologies'!$N$40:$Y$51,9,FALSE)/100))/VLOOKUP($C$86,'DB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L87" s="423" t="str">
        <f>IF('Calc (ex-animal)'!$F$8=1,"",IF(D87="","",(((VLOOKUP($C$86,'Calc (ex-animal)'!$D$18:$Y$22,6,FALSE)-VLOOKUP($C$86,'Calc (ex-animal)'!$D$18:$Y$22,17,FALSE))*F87/100))*(1-VLOOKUP($C$86,'Calc (ex-animal)'!$D$18:$Y$22,7,FALSE)/100)*(1-VLOOKUP(D87,'DB technologies'!$N$40:$V$51,8,FALSE)/100)))</f>
        <v/>
      </c>
      <c r="M87" s="434" t="str">
        <f>IF(D87="","",((VLOOKUP(D87,'DB technologies'!$N$40:$Y$51,2,FALSE)*VLOOKUP($C$86,'DB animal categories'!$C$32:$AC$41,27,FALSE)*E87/1000)/VLOOKUP($C$86,'DB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'!$S$6/100)*(1-VLOOKUP(D87,'DB technologies'!$N$40:$Y$51,9,FALSE)/100))</f>
        <v/>
      </c>
      <c r="N87" s="434" t="str">
        <f>IF(D87="","",((VLOOKUP(D87,'DB technologies'!$N$40:$Y$51,3,FALSE)*VLOOKUP($C$86,'DB animal categories'!$C$32:$AC$41,27,FALSE)*E87/1000)/VLOOKUP($C$86,'DB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'!$S$7/100)*(1-VLOOKUP(D87,'DB technologies'!$N$40:$Y$51,9,FALSE)/100))</f>
        <v/>
      </c>
      <c r="O87" s="423" t="str">
        <f>IF(D87="","",((VLOOKUP(D87,'DB technologies'!$N$40:$Y$51,4,FALSE)*E87*(1-'DB additional information '!$S$8/100)*(1-VLOOKUP(D87,'DB technologies'!$N$40:$Y$51,8,FALSE)/100))/VLOOKUP($C$86,'DB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P87" s="438" t="str">
        <f>IF(G87=0,0,IF(E87="","",IF(F87="","",IF($C$86=0,"",IF(D87="","",SUM(H87:K87)/G87*100)))))</f>
        <v/>
      </c>
      <c r="Q87" s="416" t="str">
        <f>IF(D87="","",(VLOOKUP(D87,'DB technologies'!$N$40:$Y$51,2,FALSE)*'DB additional information '!$S$6/100*'DB additional information '!$T$6*VLOOKUP($C$86,'DB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R87" s="416" t="str">
        <f>IF(D87="","",(VLOOKUP(D87,'DB technologies'!$N$40:$Y$51,3,FALSE)*'DB additional information '!$S$7/100*'DB additional information '!$T$7*VLOOKUP($C$86,'DB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S87" s="491" t="str">
        <f>IF(D87="","",(VLOOKUP(D87,'DB technologies'!$N$40:$Y$51,4,FALSE)*('DB additional information '!$S$8/100*'DB additional information '!$T$8*E87/1000/1000)))</f>
        <v/>
      </c>
      <c r="T87" s="264" t="str">
        <f>IF($C$86=0,"",IF('Calc (ex-animal)'!$F$9=1,"",IF(D87="","",((VLOOKUP($C$86,'Calc (ex-animal)'!$D$18:$Y$22,10,FALSE)-VLOOKUP($C$86,'Calc (ex-animal)'!$D$18:$Y$22,18,FALSE))*F87/100+Q87+R87+S87)-AC87-AD87-AE87)))</f>
        <v/>
      </c>
      <c r="U87" s="422" t="str">
        <f>IF(D87="","",(VLOOKUP(D87,'DB technologies'!$N$40:$Y$51,2,FALSE)*'DB additional information '!$S$6/100*'DB additional information '!$U$6*VLOOKUP($C$86,'DB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V87" s="418" t="str">
        <f>IF(D87="","",(VLOOKUP(D87,'DB technologies'!$N$40:$Y$51,3,FALSE)*'DB additional information '!$S$7/100*'DB additional information '!$U$7*VLOOKUP($C$86,'DB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W87" s="417" t="str">
        <f>IF(D87="","",(VLOOKUP(D87,'DB technologies'!$N$40:$Y$51,4,FALSE)*('DB additional information '!$S$8/100*'DB additional information '!$U$8*E87/1000/1000)))</f>
        <v/>
      </c>
      <c r="X87" s="261" t="str">
        <f>IF($C$86=0,"",IF('Calc (ex-animal)'!$F$9=1,"",IF(D87="","",((VLOOKUP($C$86,'Calc (ex-animal)'!$D$18:$Y$22,13,FALSE)-VLOOKUP($C$86,'Calc (ex-animal)'!$D$18:$Y$22,19,FALSE))*F87/100+U87+V87+W87))))</f>
        <v/>
      </c>
      <c r="Y87" s="418" t="str">
        <f>IF(D87="","",(VLOOKUP(D87,'DB technologies'!$N$40:$Y$51,2,FALSE)*'DB additional information '!$S$6/100*'DB additional information '!$V$6*VLOOKUP($C$86,'DB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Z87" s="418" t="str">
        <f>IF(D87="","",(VLOOKUP(D87,'DB technologies'!$N$40:$Y$51,3,FALSE)*'DB additional information '!$S$7/100*'DB additional information '!$V$7*VLOOKUP($C$86,'DB animal categories'!$C$32:$AC$41,27,FALSE)*E87/1000/1000)/VLOOKUP($C$86,'DB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AA87" s="418" t="str">
        <f>IF(D87="","",(VLOOKUP(D87,'DB technologies'!$N$40:$Y$51,4,FALSE)*('DB additional information '!$S$8/100*'DB additional information '!$V$8*E87/1000/1000)))</f>
        <v/>
      </c>
      <c r="AB87" s="261" t="str">
        <f>IF($C$86=0,"",IF('Calc (ex-animal)'!$F$8=1,"",IF(D87="","",((VLOOKUP($C$86,'Calc (ex-animal)'!$D$18:$Y$22,16,FALSE)-VLOOKUP($C$86,'Calc (ex-animal)'!$D$18:$Y$22,20,FALSE))*F87/100+Y87+Z87+AA87))))</f>
        <v/>
      </c>
      <c r="AC87" s="261" t="str">
        <f>IF($C$86=0,"",IF('Calc (ex-animal)'!$F$8=1,"",IF(D87="","",VLOOKUP($C$86,'Calc (ex-animal)'!$D$18:$Y$22,9,FALSE)/VLOOKUP($C$86,'DB animal categories'!$C$32:$AC$41,27,FALSE)*(VLOOKUP($C$86,'DB animal categories'!$C$32:$AC$41,27,FALSE)-VLOOKUP($C$86,'DB animal categories'!$C$32:$AC$41,25,FALSE)*VLOOKUP($C$86,'DB animal categories'!$C$32:$AC$41,26,FALSE)/24)*F87/100*VLOOKUP(D87,'DB technologies'!$N$40:$R$51,5,FALSE)/100)))</f>
        <v/>
      </c>
      <c r="AD87" s="261" t="str">
        <f>IF($C$86=0,"",IF('Calc (ex-animal)'!$F$8=1,"",IF(D87="","",VLOOKUP($C$86,'Calc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categories'!$C$32:$AC$41,26,FALSE)/24)*F87/100*VLOOKUP(D87,'DB technologies'!$N$40:$Y$51,6,FALSE)/100)))</f>
        <v/>
      </c>
      <c r="AE87" s="262" t="str">
        <f>IF($C$86=0,"",IF('Calc (ex-animal)'!$F$8=1,"",IF(D87="","",VLOOKUP($C$86,'Calc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categories'!$C$32:$AC$41,26,FALSE)/24)*F87/100*VLOOKUP(D87,'DB technologies'!$N$40:$Y$51,7,FALSE)/100)))</f>
        <v/>
      </c>
      <c r="AG87" s="698"/>
      <c r="AH87" s="695"/>
      <c r="AI87" s="181" t="str">
        <f>IF(D87="","",VLOOKUP(D87,'DB technologies'!$N$40:$Y$51,10,FALSE))</f>
        <v/>
      </c>
      <c r="AJ87" s="449" t="e">
        <f>VLOOKUP($C$86,'DB animal categories'!$C$32:$AN$41,27,FALSE)-VLOOKUP($C$86,'DB animal categories'!$C$32:$AN$41,26,FALSE)*VLOOKUP($C$86,'DB animal categories'!$C$32:$AN$41,25,FALSE)/24</f>
        <v>#N/A</v>
      </c>
      <c r="AK87" s="442" t="str">
        <f>IF(AI87="","",AL87+AM87)</f>
        <v/>
      </c>
      <c r="AL87" s="442" t="str">
        <f>IF(D87="","",IF(AI87=2,(('Calc (ex-animal)'!$G$21*'DB additional information '!$K$7/100*(1-VLOOKUP(D87,'DB technologies'!$N$40:$Y$51,9,FALSE)/100)*'Calc (ex-housing, ex-storage)'!F87/100+'Calc (ex-animal)'!$H$21*'DB additional information '!$L$7/100*(1-VLOOKUP(D87,'DB technologies'!$N$40:$Y$51,9,FALSE)/100)*'Calc (ex-housing, ex-storage)'!F87/100))/VLOOKUP($C$86,'DB animal categories'!$C$32:$AC$41,27,FALSE)*AJ87+I87+J87+K87,IF(AI87=1,('Calc (ex-animal)'!$H$21*'DB additional information '!$L$7/100*(1-VLOOKUP(D87,'DB technologies'!$N$40:$Y$51,9,FALSE)/100)*'Calc (ex-housing, ex-storage)'!F87/100)/VLOOKUP($C$86,'DB animal categories'!$C$32:$AC$41,27,FALSE)*AJ87,IF(AI87=4,('Calc (ex-animal)'!$G$21*'DB additional information '!$K$7/100+'Calc (ex-animal)'!$H$21*'DB additional information '!$L$7/100)*(1-VLOOKUP(D87,'DB technologies'!$N$40:$Y$51,9,FALSE)/100)*'Calc (ex-housing, ex-storage)'!F87/100*VLOOKUP(D87,'DB technologies'!$N$40:$Y$51,11,FALSE)/100/VLOOKUP($C$86,'DB animal categories'!$C$32:$AC$41,27,FALSE)*AJ87,0))))</f>
        <v/>
      </c>
      <c r="AM87" s="442" t="str">
        <f>IF(D87="","",IF(AI87=2,(('Calc (ex-animal)'!$G$21*(1-'DB additional information '!$K$7/100)*(1-VLOOKUP(D87,'DB technologies'!$N$40:$Y$51,8,FALSE)/100)*'Calc (ex-housing, ex-storage)'!F87/100+'Calc (ex-animal)'!$H$21*(1-'DB additional information '!$L$7/100)*(1-VLOOKUP(D87,'DB technologies'!$N$40:$Y$51,8,FALSE)/100)*'Calc (ex-housing, ex-storage)'!F87/100))/VLOOKUP($C$86,'DB animal categories'!$C$32:$AC$41,27,FALSE)*AJ87+M87+N87+O87,IF(AI87=1,('Calc (ex-animal)'!$H$21*(1-'DB additional information '!$L$7/100)*(1-VLOOKUP(D87,'DB technologies'!$N$40:$Y$51,8,FALSE)/100)*'Calc (ex-housing, ex-storage)'!F87/100)/VLOOKUP($C$86,'DB animal categories'!$C$32:$AC$41,27,FALSE)*AJ87,IF(AI87=4,('Calc (ex-animal)'!$G$21*(1-'DB additional information '!$K$7/100)+'Calc (ex-animal)'!$H$21*(1-'DB additional information '!$L$7/100))*(1-VLOOKUP(D87,'DB technologies'!$N$40:$Y$51,8,FALSE)/100)*'Calc (ex-housing, ex-storage)'!F87/100*VLOOKUP(D87,'DB technologies'!$N$40:$Y$51,11,FALSE)/100/VLOOKUP($C$86,'DB animal categories'!$C$32:$AC$41,27,FALSE)*AJ87,0))))</f>
        <v/>
      </c>
      <c r="AN87" s="442" t="str">
        <f>IF(AI87="","",IF(AL87=0,0,AL87/AK87*100))</f>
        <v/>
      </c>
      <c r="AO87" s="182" t="str">
        <f>IF(D87="","",IF(AI87=2,(('Calc (ex-animal)'!$L$21*'Calc (ex-housing, ex-storage)'!F87/100+'Calc (ex-animal)'!$K$21*'Calc (ex-housing, ex-storage)'!F87/100))/VLOOKUP($C$86,'DB animal categories'!$C$32:$AC$41,27,FALSE)*AJ87+Q87+R87+S87-AC87,IF(AI87=1,('Calc (ex-animal)'!$L$21*'Calc (ex-housing, ex-storage)'!F87/100)/VLOOKUP($C$86,'DB animal categories'!$C$32:$AC$41,27,FALSE)*AJ87-'Calc (ex-housing, ex-storage)'!AC87,IF(AI87=4,('Calc (ex-animal)'!$L$21+'Calc (ex-animal)'!$K$21)*'Calc (ex-housing, ex-storage)'!F87/100*VLOOKUP(D87,'DB technologies'!$N$40:$Y$51,11,FALSE)/100/VLOOKUP($C$86,'DB animal categories'!$C$32:$AC$41,27,FALSE)*AJ87-AC87*VLOOKUP(D87,'DB technologies'!$N$40:$Y$51,11,FALSE)/100,0))))</f>
        <v/>
      </c>
      <c r="AP87" s="182" t="str">
        <f>IF(D87="","",IF(AO87&lt;-0.01,0,IF(AI87=2,(('Calc (ex-animal)'!$L$21*'Calc (ex-housing, ex-storage)'!F87/100+'Calc (ex-animal)'!$K$21*'Calc (ex-housing, ex-storage)'!F87/100))/VLOOKUP($C$86,'DB animal categories'!$C$32:$AC$41,27,FALSE)*AJ87+Q87+R87+S87-AC87,IF(AI87=1,('Calc (ex-animal)'!$L$21*'Calc (ex-housing, ex-storage)'!F87/100)/VLOOKUP($C$86,'DB animal categories'!$C$32:$AC$41,27,FALSE)*AJ87-'Calc (ex-housing, ex-storage)'!AC87,IF(AI87=4,('Calc (ex-animal)'!$L$21+'Calc (ex-animal)'!$K$21)*'Calc (ex-housing, ex-storage)'!F87/100*VLOOKUP(D87,'DB technologies'!$N$40:$Y$51,11,FALSE)/100/VLOOKUP($C$86,'DB animal categories'!$C$32:$AC$41,27,FALSE)*AJ87-AC87*VLOOKUP(D87,'DB technologies'!$N$40:$Y$51,11,FALSE)/100,0)))))</f>
        <v/>
      </c>
      <c r="AQ87" s="182" t="str">
        <f>IF(D87="","",IF(AI87=2,('Calc (ex-animal)'!$O$21*'Calc (ex-housing, ex-storage)'!F87/100+'Calc (ex-animal)'!$N$21*'Calc (ex-housing, ex-storage)'!F87/100)/VLOOKUP($C$86,'DB animal categories'!$C$32:$AC$41,27,FALSE)*AJ87+U87+V87+W87,IF(AI87=1,'Calc (ex-animal)'!$O$21*'Calc (ex-housing, ex-storage)'!F87/100/VLOOKUP($C$86,'DB animal categories'!$C$32:$AC$41,27,FALSE)*AJ87,IF(AI87=4,('Calc (ex-animal)'!$O$21+'Calc (ex-animal)'!$N$21)*'Calc (ex-housing, ex-storage)'!F87/100*VLOOKUP(D87,'DB technologies'!$N$40:$Y$51,11,FALSE)/100/VLOOKUP($C$86,'DB animal categories'!$C$32:$AC$41,27,FALSE)*AJ87,0))))</f>
        <v/>
      </c>
      <c r="AR87" s="182" t="str">
        <f>IF(D87="","",IF(AI87=2,('Calc (ex-animal)'!$R$21*'Calc (ex-housing, ex-storage)'!F87/100+'Calc (ex-animal)'!$Q$21*'Calc (ex-housing, ex-storage)'!F87/100)/VLOOKUP($C$86,'DB animal categories'!$C$32:$AC$41,27,FALSE)*AJ87+Y87+Z87+AA87,IF(AI87=1,'Calc (ex-animal)'!$R$21*'Calc (ex-housing, ex-storage)'!F87/100/VLOOKUP($C$86,'DB animal categories'!$C$32:$AC$41,27,FALSE)*AJ87,IF(AI87=4,('Calc (ex-animal)'!$R$21+'Calc (ex-animal)'!$Q$21)*'Calc (ex-housing, ex-storage)'!F87/100*VLOOKUP(D87,'DB technologies'!$N$40:$Y$51,11,FALSE)/100/VLOOKUP($C$86,'DB animal categories'!$C$32:$AC$41,27,FALSE)*AJ87,0))))</f>
        <v/>
      </c>
      <c r="AS87" s="181" t="str">
        <f>IF(D87="","",VLOOKUP(D87,'DB technologies'!$N$40:$Y$51,10,FALSE))</f>
        <v/>
      </c>
      <c r="AT87" s="442" t="str">
        <f>IF(AS87="","",AU87+AV87)</f>
        <v/>
      </c>
      <c r="AU87" s="442" t="str">
        <f>IF(D87="","",IF(AS87=2,0,IF(AS87=1,'Calc (ex-animal)'!$G$21*'DB additional information '!$K$7/100*(1-VLOOKUP(D87,'DB technologies'!$N$40:$Y$51,8,FALSE)/100)*'Calc (ex-housing, ex-storage)'!F87/100/VLOOKUP($C$86,'DB animal categories'!$C$32:$AC$41,27,FALSE)*AJ87+I87+J87+K87,IF(AS87=5,(('Calc (ex-animal)'!$G$21*'DB additional information '!$K$7/100+'Calc (ex-animal)'!$H$21*'DB additional information '!$L$7/100))*(1-VLOOKUP(D87,'DB technologies'!$N$40:$Y$51,9,FALSE)/100)*'Calc (ex-housing, ex-storage)'!F87/100/VLOOKUP($C$86,'DB animal categories'!$C$32:$AC$41,27,FALSE)*AJ87+I87+J87+K87,IF(AS87=3,('Calc (ex-animal)'!$G$21*'DB additional information '!$K$7/100+'Calc (ex-animal)'!$H$21*'DB additional information '!$L$7/100)*(1-VLOOKUP(D87,'DB technologies'!$N$40:$Y$51,9,FALSE)/100)*'Calc (ex-housing, ex-storage)'!F87/100/VLOOKUP($C$86,'DB animal categories'!$C$32:$AC$41,27,FALSE)*AJ87+I87+J87+K87,IF(AS87=4,('Calc (ex-animal)'!$G$21*'DB additional information '!$K$7/100+'Calc (ex-animal)'!$H$21*'DB additional information '!$L$7/100)*(1-VLOOKUP(D87,'DB technologies'!$N$40:$Y$51,9,FALSE)/100)*'Calc (ex-housing, ex-storage)'!F87/100*VLOOKUP(D87,'DB technologies'!$N$40:$Y$51,12,FALSE)/100/VLOOKUP($C$86,'DB animal categories'!$C$32:$AC$41,27,FALSE)*AJ87+I87+J87+K87,0))))))</f>
        <v/>
      </c>
      <c r="AV87" s="442" t="str">
        <f>IF(D87="","",IF(AS87=2,0,IF(AS87=1,'Calc (ex-animal)'!$G$21*(1-'DB additional information '!$K$7/100)*(1-VLOOKUP(D87,'DB technologies'!$N$40:$Y$51,8,FALSE)/100)*'Calc (ex-housing, ex-storage)'!F87/100/VLOOKUP($C$86,'DB animal categories'!$C$32:$AC$41,27,FALSE)*AJ87+M87+N87+O87,IF(AS87=5,('Calc (ex-animal)'!$G$21*(1-'DB additional information '!$K$7/100)+'Calc (ex-animal)'!$H$21*(1-'DB additional information '!$L$7/100))*(1-VLOOKUP(D87,'DB technologies'!$N$40:$Y$51,8,FALSE)/100)*'Calc (ex-housing, ex-storage)'!F87/100/VLOOKUP($C$86,'DB animal categories'!$C$32:$AC$41,27,FALSE)*AJ87+M87+N87+O87,IF(AS87=3,('Calc (ex-animal)'!$G$21*(1-'DB additional information '!$K$7/100)+'Calc (ex-animal)'!$H$21*(1-'DB additional information '!$L$7/100))*(1-VLOOKUP(D87,'DB technologies'!$N$40:$Y$51,8,FALSE)/100)*'Calc (ex-housing, ex-storage)'!F87/100/VLOOKUP($C$86,'DB animal categories'!$C$32:$AC$41,27,FALSE)*AJ87+M87+N87+O87,IF(AS87=4,('Calc (ex-animal)'!$G$21*(1-'DB additional information '!$K$7/100)+'Calc (ex-animal)'!$H$21*(1-'DB additional information '!$L$7/100))*(1-VLOOKUP(D87,'DB technologies'!$N$40:$Y$51,8,FALSE)/100)*'Calc (ex-housing, ex-storage)'!F87/100*VLOOKUP(D87,'DB technologies'!$N$40:$Y$51,12,FALSE)/100/VLOOKUP($C$86,'DB animal categories'!$C$32:$AC$41,27,FALSE)*AJ87+M87+N87+O87,0))))))</f>
        <v/>
      </c>
      <c r="AW87" s="442" t="str">
        <f>IF(AS87="","",IF(AU87=0,0,AU87/AT87*100))</f>
        <v/>
      </c>
      <c r="AX87" s="182" t="str">
        <f>IF(D87="","",IF(AS87=2,0,IF(AS87=1,'Calc (ex-animal)'!$K$21*'Calc (ex-housing, ex-storage)'!F87/100/VLOOKUP($C$86,'DB animal categories'!$C$32:$AC$41,27,FALSE)*AJ87+Q87+R87+S87,IF(AS87=5,('Calc (ex-animal)'!$K$21+'Calc (ex-animal)'!$L$21)*'Calc (ex-housing, ex-storage)'!F87/100/VLOOKUP($C$86,'DB animal categories'!$C$32:$AC$41,27,FALSE)*AJ87+Q87+R87+S87-'Calc (ex-housing, ex-storage)'!AC87,IF(AS87=3,('Calc (ex-animal)'!$K$21+'Calc (ex-animal)'!$L$21)*'Calc (ex-housing, ex-storage)'!F87/100/VLOOKUP($C$86,'DB animal categories'!$C$32:$AC$41,27,FALSE)*AJ87+Q87+R87+S87-'Calc (ex-housing, ex-storage)'!AC87-AD87-AE87,IF(AI87=4,('Calc (ex-animal)'!$K$21+'Calc (ex-animal)'!$L$21)*'Calc (ex-housing, ex-storage)'!F87/100*VLOOKUP(D87,'DB technologies'!$N$40:$Y$51,12,FALSE)/100/VLOOKUP($C$86,'DB animal categories'!$C$32:$AC$41,27,FALSE)*AJ87+Q87+R87+S87-(VLOOKUP(D87,'DB technologies'!$N$40:$Y$51,12,FALSE)/100*AC87)-AD87-AE87,0))))))</f>
        <v/>
      </c>
      <c r="AY87" s="182" t="str">
        <f>IF(D87="","",IF(AS87=2,0,IF(AS87=1,'Calc (ex-animal)'!$N$21*'Calc (ex-housing, ex-storage)'!F87/100/VLOOKUP($C$86,'DB animal categories'!$C$32:$AC$41,27,FALSE)*AJ87+U87+V87+W87,IF(AS87=5,('Calc (ex-animal)'!$N$21+'Calc (ex-animal)'!$O$21)*'Calc (ex-housing, ex-storage)'!F87/100/VLOOKUP($C$86,'DB animal categories'!$C$32:$AC$41,27,FALSE)*AJ87+U87+V87+W87,IF(AS87=3,('Calc (ex-animal)'!$N$21+'Calc (ex-animal)'!$O$21)*'Calc (ex-housing, ex-storage)'!F87/100/VLOOKUP($C$86,'DB animal categories'!$C$32:$AC$41,27,FALSE)*AJ87+U87+V87+W87,IF(AS87=4,('Calc (ex-animal)'!$N$21+'Calc (ex-animal)'!$O$21)*'Calc (ex-housing, ex-storage)'!F87/100*VLOOKUP(D87,'DB technologies'!$N$40:$Y$51,12,FALSE)/100/VLOOKUP($C$86,'DB animal categories'!$C$32:$AC$41,27,FALSE)*AJ87+U87+V87+W87,0))))))</f>
        <v/>
      </c>
      <c r="AZ87" s="182" t="str">
        <f>IF(D87="","",IF(AS87=2,0,IF(AS87=1,'Calc (ex-animal)'!$Q$21*'Calc (ex-housing, ex-storage)'!F87/100/VLOOKUP($C$86,'DB animal categories'!$C$32:$AC$41,27,FALSE)*AJ87+Y87+Z87+AA87,IF(AS87=5,('Calc (ex-animal)'!$Q$21+'Calc (ex-animal)'!$R$21)*'Calc (ex-housing, ex-storage)'!F87/100/VLOOKUP($C$86,'DB animal categories'!$C$32:$AC$41,27,FALSE)*AJ87+Y87+Z87+AA87,IF(AS87=3,('Calc (ex-animal)'!$Q$21+'Calc (ex-animal)'!$R$21)*'Calc (ex-housing, ex-storage)'!F87/100/VLOOKUP($C$86,'DB animal categories'!$C$32:$AC$41,27,FALSE)*AJ87+Y87+Z87+AA87,IF(AS87=4,('Calc (ex-animal)'!$Q$21+'Calc (ex-animal)'!$R$21)*'Calc (ex-housing, ex-storage)'!F87/100*VLOOKUP(D87,'DB technologies'!$N$40:$Y$51,12,FALSE)/100/VLOOKUP($C$86,'DB animal categories'!$C$32:$AC$41,27,FALSE)*AJ87+Y87+Z87+AA87,0))))))</f>
        <v/>
      </c>
      <c r="BA87" s="506"/>
      <c r="BB87" s="506"/>
      <c r="BC87" s="506"/>
      <c r="BG87" s="1357"/>
      <c r="BH87" s="1361"/>
      <c r="BI87" s="598" t="str">
        <f>IF(BG87="","",$BA$84*BH87/100-($BB$84*BH87/100*VLOOKUP(BG87,'DB technologies'!$AC$11:$AT$15,5,FALSE)/100)+(VLOOKUP(BG87,'DB technologies'!$AC$11:$AT$15,12,FALSE)*$BA$84*BH87/100))</f>
        <v/>
      </c>
      <c r="BJ87" s="551">
        <f>IF(BI87="",0,BI87*BK87/100)</f>
        <v>0</v>
      </c>
      <c r="BK87" s="571" t="str">
        <f>IF(BG87="","",IF($BA$84=0,0,($BB$84*BH87/100)/BI87*(1-(VLOOKUP(BG87,'DB technologies'!$AC$11:$AQ$15,5,FALSE))/100)*100))</f>
        <v/>
      </c>
      <c r="BL87" s="261" t="str">
        <f>IF(BG87="","",$BD$84*BH87/100-BO87-BP87-BQ87)</f>
        <v/>
      </c>
      <c r="BM87" s="261" t="str">
        <f>IF(BG87="","",$BE$84*BH87/100)</f>
        <v/>
      </c>
      <c r="BN87" s="261" t="str">
        <f>IF(BG87="","",$BF$84*BH87/100)</f>
        <v/>
      </c>
      <c r="BO87" s="261" t="str">
        <f>IF(BG87="","",$BD$84*BH87/100*VLOOKUP(BG87,'DB technologies'!$AC$11:$AF$15,2,FALSE)/100)</f>
        <v/>
      </c>
      <c r="BP87" s="261" t="str">
        <f>IF(BG87="","",$BD$84*BH87/100*VLOOKUP(BG87,'DB technologies'!$AC$11:$AN$15,3,FALSE)/100)</f>
        <v/>
      </c>
      <c r="BQ87" s="262" t="str">
        <f>IF(BG87="","",$BD$84*BH87/100*VLOOKUP(BG87,'DB technologies'!$AC$11:$AN$15,4,FALSE)/100)</f>
        <v/>
      </c>
      <c r="BR87" s="117"/>
      <c r="BS87" s="117"/>
      <c r="BT87" s="118"/>
    </row>
    <row r="88" spans="1:72" ht="11.25" customHeight="1" thickBot="1" x14ac:dyDescent="0.25">
      <c r="A88" s="684"/>
      <c r="B88" s="695"/>
      <c r="C88" s="255"/>
      <c r="D88" s="1357"/>
      <c r="E88" s="1365"/>
      <c r="F88" s="480" t="str">
        <f>IF('Calc (ex-animal)'!$F$9=1,"",IF($C$86=0,"",IF(D88="","",E88/'Calc (ex-animal)'!$E$21*100)))</f>
        <v/>
      </c>
      <c r="G88" s="485" t="str">
        <f>IF($C$86=0,"",IF('Calc (ex-animal)'!$F$8=1,"",IF(D88="","",SUM(H88:O88))))</f>
        <v/>
      </c>
      <c r="H88" s="423" t="str">
        <f>IF('Calc (ex-animal)'!$F$8=1,"",IF(D88="","",(((VLOOKUP($C$86,'Calc (ex-animal)'!$D$18:$Y$22,6,FALSE)-VLOOKUP($C$86,'Calc (ex-animal)'!$D$18:$Y$22,17,FALSE))*F88/100))*VLOOKUP($C$86,'Calc (ex-animal)'!$D$18:$Y$22,7,FALSE)/100*(1-VLOOKUP(D88,'DB technologies'!$N$40:$Y$51,9,FALSE)/100)))</f>
        <v/>
      </c>
      <c r="I88" s="423" t="str">
        <f>IF(D88="","",((VLOOKUP(D88,'DB technologies'!$N$40:$Y$51,2,FALSE)*VLOOKUP($C$86,'DB animal categories'!$C$32:$AC$41,27,FALSE)*E88/1000)/VLOOKUP($C$86,'DB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'!$S$6/100*(1-VLOOKUP(D88,'DB technologies'!$N$40:$Y$51,9,FALSE)/100)))</f>
        <v/>
      </c>
      <c r="J88" s="434" t="str">
        <f>IF(D88="","",((VLOOKUP(D88,'DB technologies'!$N$40:$Y$51,3,FALSE)*VLOOKUP($C$86,'DB animal categories'!$C$32:$AC$41,27,FALSE)*E88/1000)/VLOOKUP($C$86,'DB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'!$S$7/100*(1-VLOOKUP(D88,'DB technologies'!$N$40:$Y$51,9,FALSE)/100)))</f>
        <v/>
      </c>
      <c r="K88" s="434" t="str">
        <f>IF(D88="","",((VLOOKUP(D88,'DB technologies'!$N$40:$Y$51,4,FALSE)*E88*'DB additional information '!$S$8/100*(1-VLOOKUP(D88,'DB technologies'!$N$40:$Y$51,9,FALSE)/100))/VLOOKUP($C$86,'DB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L88" s="423" t="str">
        <f>IF('Calc (ex-animal)'!$F$8=1,"",IF(D88="","",(((VLOOKUP($C$86,'Calc (ex-animal)'!$D$18:$Y$22,6,FALSE)-VLOOKUP($C$86,'Calc (ex-animal)'!$D$18:$Y$22,17,FALSE))*F88/100))*(1-VLOOKUP($C$86,'Calc (ex-animal)'!$D$18:$Y$22,7,FALSE)/100)*(1-VLOOKUP(D88,'DB technologies'!$N$40:$V$51,8,FALSE)/100)))</f>
        <v/>
      </c>
      <c r="M88" s="434" t="str">
        <f>IF(D88="","",((VLOOKUP(D88,'DB technologies'!$N$40:$Y$51,2,FALSE)*VLOOKUP($C$86,'DB animal categories'!$C$32:$AC$41,27,FALSE)*E88/1000)/VLOOKUP($C$86,'DB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'!$S$6/100)*(1-VLOOKUP(D88,'DB technologies'!$N$40:$Y$51,9,FALSE)/100))</f>
        <v/>
      </c>
      <c r="N88" s="434" t="str">
        <f>IF(D88="","",((VLOOKUP(D88,'DB technologies'!$N$40:$Y$51,3,FALSE)*VLOOKUP($C$86,'DB animal categories'!$C$32:$AC$41,27,FALSE)*E88/1000)/VLOOKUP($C$86,'DB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'!$S$7/100)*(1-VLOOKUP(D88,'DB technologies'!$N$40:$Y$51,9,FALSE)/100))</f>
        <v/>
      </c>
      <c r="O88" s="423" t="str">
        <f>IF(D88="","",((VLOOKUP(D88,'DB technologies'!$N$40:$Y$51,4,FALSE)*E88*(1-'DB additional information '!$S$8/100)*(1-VLOOKUP(D88,'DB technologies'!$N$40:$Y$51,8,FALSE)/100))/VLOOKUP($C$86,'DB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P88" s="438" t="str">
        <f>IF(G88=0,0,IF(E88="","",IF(F88="","",IF($C$86=0,"",IF(D88="","",SUM(H88:K88)/G88*100)))))</f>
        <v/>
      </c>
      <c r="Q88" s="416" t="str">
        <f>IF(D88="","",(VLOOKUP(D88,'DB technologies'!$N$40:$Y$51,2,FALSE)*'DB additional information '!$S$6/100*'DB additional information '!$T$6*VLOOKUP($C$86,'DB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R88" s="416" t="str">
        <f>IF(D88="","",(VLOOKUP(D88,'DB technologies'!$N$40:$Y$51,3,FALSE)*'DB additional information '!$S$7/100*'DB additional information '!$T$7*VLOOKUP($C$86,'DB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S88" s="491" t="str">
        <f>IF(D88="","",(VLOOKUP(D88,'DB technologies'!$N$40:$Y$51,4,FALSE)*('DB additional information '!$S$8/100*'DB additional information '!$T$8*E88/1000/1000)))</f>
        <v/>
      </c>
      <c r="T88" s="264" t="str">
        <f>IF($C$86=0,"",IF('Calc (ex-animal)'!$F$9=1,"",IF(D88="","",((VLOOKUP($C$86,'Calc (ex-animal)'!$D$18:$Y$22,10,FALSE)-VLOOKUP($C$86,'Calc (ex-animal)'!$D$18:$Y$22,18,FALSE))*F88/100+Q88+R88+S88)-AC88-AD88-AE88)))</f>
        <v/>
      </c>
      <c r="U88" s="422" t="str">
        <f>IF(D88="","",(VLOOKUP(D88,'DB technologies'!$N$40:$Y$51,2,FALSE)*'DB additional information '!$S$6/100*'DB additional information '!$U$6*VLOOKUP($C$86,'DB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V88" s="418" t="str">
        <f>IF(D88="","",(VLOOKUP(D88,'DB technologies'!$N$40:$Y$51,3,FALSE)*'DB additional information '!$S$7/100*'DB additional information '!$U$7*VLOOKUP($C$86,'DB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W88" s="417" t="str">
        <f>IF(D88="","",(VLOOKUP(D88,'DB technologies'!$N$40:$Y$51,4,FALSE)*('DB additional information '!$S$8/100*'DB additional information '!$U$8*E88/1000/1000)))</f>
        <v/>
      </c>
      <c r="X88" s="261" t="str">
        <f>IF($C$86=0,"",IF('Calc (ex-animal)'!$F$9=1,"",IF(D88="","",((VLOOKUP($C$86,'Calc (ex-animal)'!$D$18:$Y$22,13,FALSE)-VLOOKUP($C$86,'Calc (ex-animal)'!$D$18:$Y$22,19,FALSE))*F88/100+U88+V88+W88))))</f>
        <v/>
      </c>
      <c r="Y88" s="418" t="str">
        <f>IF(D88="","",(VLOOKUP(D88,'DB technologies'!$N$40:$Y$51,2,FALSE)*'DB additional information '!$S$6/100*'DB additional information '!$V$6*VLOOKUP($C$86,'DB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Z88" s="418" t="str">
        <f>IF(D88="","",(VLOOKUP(D88,'DB technologies'!$N$40:$Y$51,3,FALSE)*'DB additional information '!$S$7/100*'DB additional information '!$V$7*VLOOKUP($C$86,'DB animal categories'!$C$32:$AC$41,27,FALSE)*E88/1000/1000)/VLOOKUP($C$86,'DB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AA88" s="418" t="str">
        <f>IF(D88="","",(VLOOKUP(D88,'DB technologies'!$N$40:$Y$51,4,FALSE)*('DB additional information '!$S$8/100*'DB additional information '!$V$8*E88/1000/1000)))</f>
        <v/>
      </c>
      <c r="AB88" s="261" t="str">
        <f>IF($C$86=0,"",IF('Calc (ex-animal)'!$F$8=1,"",IF(D88="","",((VLOOKUP($C$86,'Calc (ex-animal)'!$D$18:$Y$22,16,FALSE)-VLOOKUP($C$86,'Calc (ex-animal)'!$D$18:$Y$22,20,FALSE))*F88/100+Y88+Z88+AA88))))</f>
        <v/>
      </c>
      <c r="AC88" s="261" t="str">
        <f>IF($C$86=0,"",IF('Calc (ex-animal)'!$F$8=1,"",IF(D88="","",VLOOKUP($C$86,'Calc (ex-animal)'!$D$18:$Y$22,9,FALSE)/VLOOKUP($C$86,'DB animal categories'!$C$32:$AC$41,27,FALSE)*(VLOOKUP($C$86,'DB animal categories'!$C$32:$AC$41,27,FALSE)-VLOOKUP($C$86,'DB animal categories'!$C$32:$AC$41,25,FALSE)*VLOOKUP($C$86,'DB animal categories'!$C$32:$AC$41,26,FALSE)/24)*F88/100*VLOOKUP(D88,'DB technologies'!$N$40:$R$51,5,FALSE)/100)))</f>
        <v/>
      </c>
      <c r="AD88" s="261" t="str">
        <f>IF($C$86=0,"",IF('Calc (ex-animal)'!$F$8=1,"",IF(D88="","",VLOOKUP($C$86,'Calc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categories'!$C$32:$AC$41,26,FALSE)/24)*F88/100*VLOOKUP(D88,'DB technologies'!$N$40:$Y$51,6,FALSE)/100)))</f>
        <v/>
      </c>
      <c r="AE88" s="262" t="str">
        <f>IF($C$86=0,"",IF('Calc (ex-animal)'!$F$8=1,"",IF(D88="","",VLOOKUP($C$86,'Calc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categories'!$C$32:$AC$41,26,FALSE)/24)*F88/100*VLOOKUP(D88,'DB technologies'!$N$40:$Y$51,7,FALSE)/100)))</f>
        <v/>
      </c>
      <c r="AG88" s="698"/>
      <c r="AH88" s="695"/>
      <c r="AI88" s="181" t="str">
        <f>IF(D88="","",VLOOKUP(D88,'DB technologies'!$N$40:$Y$51,10,FALSE))</f>
        <v/>
      </c>
      <c r="AJ88" s="449" t="e">
        <f>VLOOKUP($C$86,'DB animal categories'!$C$32:$AN$41,27,FALSE)-VLOOKUP($C$86,'DB animal categories'!$C$32:$AN$41,26,FALSE)*VLOOKUP($C$86,'DB animal categories'!$C$32:$AN$41,25,FALSE)/24</f>
        <v>#N/A</v>
      </c>
      <c r="AK88" s="442" t="str">
        <f>IF(AI88="","",AL88+AM88)</f>
        <v/>
      </c>
      <c r="AL88" s="442" t="str">
        <f>IF(D88="","",IF(AI88=2,(('Calc (ex-animal)'!$G$21*'DB additional information '!$K$7/100*(1-VLOOKUP(D88,'DB technologies'!$N$40:$Y$51,9,FALSE)/100)*'Calc (ex-housing, ex-storage)'!F88/100+'Calc (ex-animal)'!$H$21*'DB additional information '!$L$7/100*(1-VLOOKUP(D88,'DB technologies'!$N$40:$Y$51,9,FALSE)/100)*'Calc (ex-housing, ex-storage)'!F88/100))/VLOOKUP($C$86,'DB animal categories'!$C$32:$AC$41,27,FALSE)*AJ88+I88+J88+K88,IF(AI88=1,('Calc (ex-animal)'!$H$21*'DB additional information '!$L$7/100*(1-VLOOKUP(D88,'DB technologies'!$N$40:$Y$51,9,FALSE)/100)*'Calc (ex-housing, ex-storage)'!F88/100)/VLOOKUP($C$86,'DB animal categories'!$C$32:$AC$41,27,FALSE)*AJ88,IF(AI88=4,('Calc (ex-animal)'!$G$21*'DB additional information '!$K$7/100+'Calc (ex-animal)'!$H$21*'DB additional information '!$L$7/100)*(1-VLOOKUP(D88,'DB technologies'!$N$40:$Y$51,9,FALSE)/100)*'Calc (ex-housing, ex-storage)'!F88/100*VLOOKUP(D88,'DB technologies'!$N$40:$Y$51,11,FALSE)/100/VLOOKUP($C$86,'DB animal categories'!$C$32:$AC$41,27,FALSE)*AJ88,0))))</f>
        <v/>
      </c>
      <c r="AM88" s="442" t="str">
        <f>IF(D88="","",IF(AI88=2,(('Calc (ex-animal)'!$G$21*(1-'DB additional information '!$K$7/100)*(1-VLOOKUP(D88,'DB technologies'!$N$40:$Y$51,8,FALSE)/100)*'Calc (ex-housing, ex-storage)'!F88/100+'Calc (ex-animal)'!$H$21*(1-'DB additional information '!$L$7/100)*(1-VLOOKUP(D88,'DB technologies'!$N$40:$Y$51,8,FALSE)/100)*'Calc (ex-housing, ex-storage)'!F88/100))/VLOOKUP($C$86,'DB animal categories'!$C$32:$AC$41,27,FALSE)*AJ88+M88+N88+O88,IF(AI88=1,('Calc (ex-animal)'!$H$21*(1-'DB additional information '!$L$7/100)*(1-VLOOKUP(D88,'DB technologies'!$N$40:$Y$51,8,FALSE)/100)*'Calc (ex-housing, ex-storage)'!F88/100)/VLOOKUP($C$86,'DB animal categories'!$C$32:$AC$41,27,FALSE)*AJ88,IF(AI88=4,('Calc (ex-animal)'!$G$21*(1-'DB additional information '!$K$7/100)+'Calc (ex-animal)'!$H$21*(1-'DB additional information '!$L$7/100))*(1-VLOOKUP(D88,'DB technologies'!$N$40:$Y$51,8,FALSE)/100)*'Calc (ex-housing, ex-storage)'!F88/100*VLOOKUP(D88,'DB technologies'!$N$40:$Y$51,11,FALSE)/100/VLOOKUP($C$86,'DB animal categories'!$C$32:$AC$41,27,FALSE)*AJ88,0))))</f>
        <v/>
      </c>
      <c r="AN88" s="442" t="str">
        <f>IF(AI88="","",IF(AL88=0,0,AL88/AK88*100))</f>
        <v/>
      </c>
      <c r="AO88" s="182" t="str">
        <f>IF(D88="","",IF(AI88=2,(('Calc (ex-animal)'!$L$21*'Calc (ex-housing, ex-storage)'!F88/100+'Calc (ex-animal)'!$K$21*'Calc (ex-housing, ex-storage)'!F88/100))/VLOOKUP($C$86,'DB animal categories'!$C$32:$AC$41,27,FALSE)*AJ88+Q88+R88+S88-AC88,IF(AI88=1,('Calc (ex-animal)'!$L$21*'Calc (ex-housing, ex-storage)'!F88/100)/VLOOKUP($C$86,'DB animal categories'!$C$32:$AC$41,27,FALSE)*AJ88-'Calc (ex-housing, ex-storage)'!AC88,IF(AI88=4,('Calc (ex-animal)'!$L$21+'Calc (ex-animal)'!$K$21)*'Calc (ex-housing, ex-storage)'!F88/100*VLOOKUP(D88,'DB technologies'!$N$40:$Y$51,11,FALSE)/100/VLOOKUP($C$86,'DB animal categories'!$C$32:$AC$41,27,FALSE)*AJ88-AC88*VLOOKUP(D88,'DB technologies'!$N$40:$Y$51,11,FALSE)/100,0))))</f>
        <v/>
      </c>
      <c r="AP88" s="182" t="str">
        <f>IF(D88="","",IF(AO88&lt;-0.01,0,IF(AI88=2,(('Calc (ex-animal)'!$L$21*'Calc (ex-housing, ex-storage)'!F88/100+'Calc (ex-animal)'!$K$21*'Calc (ex-housing, ex-storage)'!F88/100))/VLOOKUP($C$86,'DB animal categories'!$C$32:$AC$41,27,FALSE)*AJ88+Q88+R88+S88-AC88,IF(AI88=1,('Calc (ex-animal)'!$L$21*'Calc (ex-housing, ex-storage)'!F88/100)/VLOOKUP($C$86,'DB animal categories'!$C$32:$AC$41,27,FALSE)*AJ88-'Calc (ex-housing, ex-storage)'!AC88,IF(AI88=4,('Calc (ex-animal)'!$L$21+'Calc (ex-animal)'!$K$21)*'Calc (ex-housing, ex-storage)'!F88/100*VLOOKUP(D88,'DB technologies'!$N$40:$Y$51,11,FALSE)/100/VLOOKUP($C$86,'DB animal categories'!$C$32:$AC$41,27,FALSE)*AJ88-AC88*VLOOKUP(D88,'DB technologies'!$N$40:$Y$51,11,FALSE)/100,0)))))</f>
        <v/>
      </c>
      <c r="AQ88" s="182" t="str">
        <f>IF(D88="","",IF(AI88=2,('Calc (ex-animal)'!$O$21*'Calc (ex-housing, ex-storage)'!F88/100+'Calc (ex-animal)'!$N$21*'Calc (ex-housing, ex-storage)'!F88/100)/VLOOKUP($C$86,'DB animal categories'!$C$32:$AC$41,27,FALSE)*AJ88+U88+V88+W88,IF(AI88=1,'Calc (ex-animal)'!$O$21*'Calc (ex-housing, ex-storage)'!F88/100/VLOOKUP($C$86,'DB animal categories'!$C$32:$AC$41,27,FALSE)*AJ88,IF(AI88=4,('Calc (ex-animal)'!$O$21+'Calc (ex-animal)'!$N$21)*'Calc (ex-housing, ex-storage)'!F88/100*VLOOKUP(D88,'DB technologies'!$N$40:$Y$51,11,FALSE)/100/VLOOKUP($C$86,'DB animal categories'!$C$32:$AC$41,27,FALSE)*AJ88,0))))</f>
        <v/>
      </c>
      <c r="AR88" s="182" t="str">
        <f>IF(D88="","",IF(AI88=2,('Calc (ex-animal)'!$R$21*'Calc (ex-housing, ex-storage)'!F88/100+'Calc (ex-animal)'!$Q$21*'Calc (ex-housing, ex-storage)'!F88/100)/VLOOKUP($C$86,'DB animal categories'!$C$32:$AC$41,27,FALSE)*AJ88+Y88+Z88+AA88,IF(AI88=1,'Calc (ex-animal)'!$R$21*'Calc (ex-housing, ex-storage)'!F88/100/VLOOKUP($C$86,'DB animal categories'!$C$32:$AC$41,27,FALSE)*AJ88,IF(AI88=4,('Calc (ex-animal)'!$R$21+'Calc (ex-animal)'!$Q$21)*'Calc (ex-housing, ex-storage)'!F88/100*VLOOKUP(D88,'DB technologies'!$N$40:$Y$51,11,FALSE)/100/VLOOKUP($C$86,'DB animal categories'!$C$32:$AC$41,27,FALSE)*AJ88,0))))</f>
        <v/>
      </c>
      <c r="AS88" s="181" t="str">
        <f>IF(D88="","",VLOOKUP(D88,'DB technologies'!$N$40:$Y$51,10,FALSE))</f>
        <v/>
      </c>
      <c r="AT88" s="442" t="str">
        <f>IF(AS88="","",AU88+AV88)</f>
        <v/>
      </c>
      <c r="AU88" s="442" t="str">
        <f>IF(D88="","",IF(AS88=2,0,IF(AS88=1,'Calc (ex-animal)'!$G$21*'DB additional information '!$K$7/100*(1-VLOOKUP(D88,'DB technologies'!$N$40:$Y$51,8,FALSE)/100)*'Calc (ex-housing, ex-storage)'!F88/100/VLOOKUP($C$86,'DB animal categories'!$C$32:$AC$41,27,FALSE)*AJ88+I88+J88+K88,IF(AS88=5,(('Calc (ex-animal)'!$G$21*'DB additional information '!$K$7/100+'Calc (ex-animal)'!$H$21*'DB additional information '!$L$7/100))*(1-VLOOKUP(D88,'DB technologies'!$N$40:$Y$51,9,FALSE)/100)*'Calc (ex-housing, ex-storage)'!F88/100/VLOOKUP($C$86,'DB animal categories'!$C$32:$AC$41,27,FALSE)*AJ88+I88+J88+K88,IF(AS88=3,('Calc (ex-animal)'!$G$21*'DB additional information '!$K$7/100+'Calc (ex-animal)'!$H$21*'DB additional information '!$L$7/100)*(1-VLOOKUP(D88,'DB technologies'!$N$40:$Y$51,9,FALSE)/100)*'Calc (ex-housing, ex-storage)'!F88/100/VLOOKUP($C$86,'DB animal categories'!$C$32:$AC$41,27,FALSE)*AJ88+I88+J88+K88,IF(AS88=4,('Calc (ex-animal)'!$G$21*'DB additional information '!$K$7/100+'Calc (ex-animal)'!$H$21*'DB additional information '!$L$7/100)*(1-VLOOKUP(D88,'DB technologies'!$N$40:$Y$51,9,FALSE)/100)*'Calc (ex-housing, ex-storage)'!F88/100*VLOOKUP(D88,'DB technologies'!$N$40:$Y$51,12,FALSE)/100/VLOOKUP($C$86,'DB animal categories'!$C$32:$AC$41,27,FALSE)*AJ88+I88+J88+K88,0))))))</f>
        <v/>
      </c>
      <c r="AV88" s="442" t="str">
        <f>IF(D88="","",IF(AS88=2,0,IF(AS88=1,'Calc (ex-animal)'!$G$21*(1-'DB additional information '!$K$7/100)*(1-VLOOKUP(D88,'DB technologies'!$N$40:$Y$51,8,FALSE)/100)*'Calc (ex-housing, ex-storage)'!F88/100/VLOOKUP($C$86,'DB animal categories'!$C$32:$AC$41,27,FALSE)*AJ88+M88+N88+O88,IF(AS88=5,('Calc (ex-animal)'!$G$21*(1-'DB additional information '!$K$7/100)+'Calc (ex-animal)'!$H$21*(1-'DB additional information '!$L$7/100))*(1-VLOOKUP(D88,'DB technologies'!$N$40:$Y$51,8,FALSE)/100)*'Calc (ex-housing, ex-storage)'!F88/100/VLOOKUP($C$86,'DB animal categories'!$C$32:$AC$41,27,FALSE)*AJ88+M88+N88+O88,IF(AS88=3,('Calc (ex-animal)'!$G$21*(1-'DB additional information '!$K$7/100)+'Calc (ex-animal)'!$H$21*(1-'DB additional information '!$L$7/100))*(1-VLOOKUP(D88,'DB technologies'!$N$40:$Y$51,8,FALSE)/100)*'Calc (ex-housing, ex-storage)'!F88/100/VLOOKUP($C$86,'DB animal categories'!$C$32:$AC$41,27,FALSE)*AJ88+M88+N88+O88,IF(AS88=4,('Calc (ex-animal)'!$G$21*(1-'DB additional information '!$K$7/100)+'Calc (ex-animal)'!$H$21*(1-'DB additional information '!$L$7/100))*(1-VLOOKUP(D88,'DB technologies'!$N$40:$Y$51,8,FALSE)/100)*'Calc (ex-housing, ex-storage)'!F88/100*VLOOKUP(D88,'DB technologies'!$N$40:$Y$51,12,FALSE)/100/VLOOKUP($C$86,'DB animal categories'!$C$32:$AC$41,27,FALSE)*AJ88+M88+N88+O88,0))))))</f>
        <v/>
      </c>
      <c r="AW88" s="442" t="str">
        <f>IF(AS88="","",IF(AU88=0,0,AU88/AT88*100))</f>
        <v/>
      </c>
      <c r="AX88" s="182" t="str">
        <f>IF(D88="","",IF(AS88=2,0,IF(AS88=1,'Calc (ex-animal)'!$K$21*'Calc (ex-housing, ex-storage)'!F88/100/VLOOKUP($C$86,'DB animal categories'!$C$32:$AC$41,27,FALSE)*AJ88+Q88+R88+S88,IF(AS88=5,('Calc (ex-animal)'!$K$21+'Calc (ex-animal)'!$L$21)*'Calc (ex-housing, ex-storage)'!F88/100/VLOOKUP($C$86,'DB animal categories'!$C$32:$AC$41,27,FALSE)*AJ88+Q88+R88+S88-'Calc (ex-housing, ex-storage)'!AC88,IF(AS88=3,('Calc (ex-animal)'!$K$21+'Calc (ex-animal)'!$L$21)*'Calc (ex-housing, ex-storage)'!F88/100/VLOOKUP($C$86,'DB animal categories'!$C$32:$AC$41,27,FALSE)*AJ88+Q88+R88+S88-'Calc (ex-housing, ex-storage)'!AC88-AD88-AE88,IF(AI88=4,('Calc (ex-animal)'!$K$21+'Calc (ex-animal)'!$L$21)*'Calc (ex-housing, ex-storage)'!F88/100*VLOOKUP(D88,'DB technologies'!$N$40:$Y$51,12,FALSE)/100/VLOOKUP($C$86,'DB animal categories'!$C$32:$AC$41,27,FALSE)*AJ88+Q88+R88+S88-(VLOOKUP(D88,'DB technologies'!$N$40:$Y$51,12,FALSE)/100*AC88)-AD88-AE88,0))))))</f>
        <v/>
      </c>
      <c r="AY88" s="182" t="str">
        <f>IF(D88="","",IF(AS88=2,0,IF(AS88=1,'Calc (ex-animal)'!$N$21*'Calc (ex-housing, ex-storage)'!F88/100/VLOOKUP($C$86,'DB animal categories'!$C$32:$AC$41,27,FALSE)*AJ88+U88+V88+W88,IF(AS88=5,('Calc (ex-animal)'!$N$21+'Calc (ex-animal)'!$O$21)*'Calc (ex-housing, ex-storage)'!F88/100/VLOOKUP($C$86,'DB animal categories'!$C$32:$AC$41,27,FALSE)*AJ88+U88+V88+W88,IF(AS88=3,('Calc (ex-animal)'!$N$21+'Calc (ex-animal)'!$O$21)*'Calc (ex-housing, ex-storage)'!F88/100/VLOOKUP($C$86,'DB animal categories'!$C$32:$AC$41,27,FALSE)*AJ88+U88+V88+W88,IF(AS88=4,('Calc (ex-animal)'!$N$21+'Calc (ex-animal)'!$O$21)*'Calc (ex-housing, ex-storage)'!F88/100*VLOOKUP(D88,'DB technologies'!$N$40:$Y$51,12,FALSE)/100/VLOOKUP($C$86,'DB animal categories'!$C$32:$AC$41,27,FALSE)*AJ88+U88+V88+W88,0))))))</f>
        <v/>
      </c>
      <c r="AZ88" s="182" t="str">
        <f>IF(D88="","",IF(AS88=2,0,IF(AS88=1,'Calc (ex-animal)'!$Q$21*'Calc (ex-housing, ex-storage)'!F88/100/VLOOKUP($C$86,'DB animal categories'!$C$32:$AC$41,27,FALSE)*AJ88+Y88+Z88+AA88,IF(AS88=5,('Calc (ex-animal)'!$Q$21+'Calc (ex-animal)'!$R$21)*'Calc (ex-housing, ex-storage)'!F88/100/VLOOKUP($C$86,'DB animal categories'!$C$32:$AC$41,27,FALSE)*AJ88+Y88+Z88+AA88,IF(AS88=3,('Calc (ex-animal)'!$Q$21+'Calc (ex-animal)'!$R$21)*'Calc (ex-housing, ex-storage)'!F88/100/VLOOKUP($C$86,'DB animal categories'!$C$32:$AC$41,27,FALSE)*AJ88+Y88+Z88+AA88,IF(AS88=4,('Calc (ex-animal)'!$Q$21+'Calc (ex-animal)'!$R$21)*'Calc (ex-housing, ex-storage)'!F88/100*VLOOKUP(D88,'DB technologies'!$N$40:$Y$51,12,FALSE)/100/VLOOKUP($C$86,'DB animal categories'!$C$32:$AC$41,27,FALSE)*AJ88+Y88+Z88+AA88,0))))))</f>
        <v/>
      </c>
      <c r="BA88" s="506"/>
      <c r="BB88" s="506"/>
      <c r="BC88" s="506"/>
      <c r="BG88" s="1359"/>
      <c r="BH88" s="1362"/>
      <c r="BI88" s="600" t="str">
        <f>IF(BG88="","",$BA$84*BH88/100-($BB$84*BH88/100*VLOOKUP(BG88,'DB technologies'!$AC$11:$AT$15,5,FALSE)/100)+(VLOOKUP(BG88,'DB technologies'!$AC$11:$AT$15,12,FALSE)*$BA$84*BH88/100))</f>
        <v/>
      </c>
      <c r="BJ88" s="470">
        <f>IF(BI88="",0,BI88*BK88/100)</f>
        <v>0</v>
      </c>
      <c r="BK88" s="509" t="str">
        <f>IF(BG88="","",IF($BA$84=0,0,($BB$84*BH88/100)/BI88*(1-(VLOOKUP(BG88,'DB technologies'!$AC$11:$AQ$15,5,FALSE))/100)*100))</f>
        <v/>
      </c>
      <c r="BL88" s="267" t="str">
        <f>IF(BG88="","",$BD$84*BH88/100-BO88-BP88-BQ88)</f>
        <v/>
      </c>
      <c r="BM88" s="267" t="str">
        <f>IF(BG88="","",$BE$84*BH88/100)</f>
        <v/>
      </c>
      <c r="BN88" s="267" t="str">
        <f>IF(BG88="","",$BF$84*BH88/100)</f>
        <v/>
      </c>
      <c r="BO88" s="267" t="str">
        <f>IF(BG88="","",$BD$84*BH88/100*VLOOKUP(BG88,'DB technologies'!$AC$11:$AF$15,2,FALSE)/100)</f>
        <v/>
      </c>
      <c r="BP88" s="267" t="str">
        <f>IF(BG88="","",$BD$84*BH88/100*VLOOKUP(BG88,'DB technologies'!$AC$11:$AN$15,3,FALSE)/100)</f>
        <v/>
      </c>
      <c r="BQ88" s="268" t="str">
        <f>IF(BG88="","",$BD$84*BH88/100*VLOOKUP(BG88,'DB technologies'!$AC$11:$AN$15,4,FALSE)/100)</f>
        <v/>
      </c>
      <c r="BR88" s="117"/>
      <c r="BS88" s="117"/>
      <c r="BT88" s="118"/>
    </row>
    <row r="89" spans="1:72" ht="11.25" customHeight="1" thickBot="1" x14ac:dyDescent="0.25">
      <c r="A89" s="684"/>
      <c r="B89" s="695"/>
      <c r="C89" s="255"/>
      <c r="D89" s="1357"/>
      <c r="E89" s="1365"/>
      <c r="F89" s="480" t="str">
        <f>IF('Calc (ex-animal)'!$F$9=1,"",IF($C$86=0,"",IF(D89="","",E89/'Calc (ex-animal)'!$E$21*100)))</f>
        <v/>
      </c>
      <c r="G89" s="485" t="str">
        <f>IF($C$86=0,"",IF('Calc (ex-animal)'!$F$8=1,"",IF(D89="","",SUM(H89:O89))))</f>
        <v/>
      </c>
      <c r="H89" s="423" t="str">
        <f>IF('Calc (ex-animal)'!$F$8=1,"",IF(D89="","",(((VLOOKUP($C$86,'Calc (ex-animal)'!$D$18:$Y$22,6,FALSE)-VLOOKUP($C$86,'Calc (ex-animal)'!$D$18:$Y$22,17,FALSE))*F89/100))*VLOOKUP($C$86,'Calc (ex-animal)'!$D$18:$Y$22,7,FALSE)/100*(1-VLOOKUP(D89,'DB technologies'!$N$40:$Y$51,9,FALSE)/100)))</f>
        <v/>
      </c>
      <c r="I89" s="423" t="str">
        <f>IF(D89="","",((VLOOKUP(D89,'DB technologies'!$N$40:$Y$51,2,FALSE)*VLOOKUP($C$86,'DB animal categories'!$C$32:$AC$41,27,FALSE)*E89/1000)/VLOOKUP($C$86,'DB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'!$S$6/100*(1-VLOOKUP(D89,'DB technologies'!$N$40:$Y$51,9,FALSE)/100)))</f>
        <v/>
      </c>
      <c r="J89" s="434" t="str">
        <f>IF(D89="","",((VLOOKUP(D89,'DB technologies'!$N$40:$Y$51,3,FALSE)*VLOOKUP($C$86,'DB animal categories'!$C$32:$AC$41,27,FALSE)*E89/1000)/VLOOKUP($C$86,'DB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'!$S$7/100*(1-VLOOKUP(D89,'DB technologies'!$N$40:$Y$51,9,FALSE)/100)))</f>
        <v/>
      </c>
      <c r="K89" s="434" t="str">
        <f>IF(D89="","",((VLOOKUP(D89,'DB technologies'!$N$40:$Y$51,4,FALSE)*E89*'DB additional information '!$S$8/100*(1-VLOOKUP(D89,'DB technologies'!$N$40:$Y$51,9,FALSE)/100))/VLOOKUP($C$86,'DB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L89" s="423" t="str">
        <f>IF('Calc (ex-animal)'!$F$8=1,"",IF(D89="","",(((VLOOKUP($C$86,'Calc (ex-animal)'!$D$18:$Y$22,6,FALSE)-VLOOKUP($C$86,'Calc (ex-animal)'!$D$18:$Y$22,17,FALSE))*F89/100))*(1-VLOOKUP($C$86,'Calc (ex-animal)'!$D$18:$Y$22,7,FALSE)/100)*(1-VLOOKUP(D89,'DB technologies'!$N$40:$V$51,8,FALSE)/100)))</f>
        <v/>
      </c>
      <c r="M89" s="434" t="str">
        <f>IF(D89="","",((VLOOKUP(D89,'DB technologies'!$N$40:$Y$51,2,FALSE)*VLOOKUP($C$86,'DB animal categories'!$C$32:$AC$41,27,FALSE)*E89/1000)/VLOOKUP($C$86,'DB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'!$S$6/100)*(1-VLOOKUP(D89,'DB technologies'!$N$40:$Y$51,9,FALSE)/100))</f>
        <v/>
      </c>
      <c r="N89" s="434" t="str">
        <f>IF(D89="","",((VLOOKUP(D89,'DB technologies'!$N$40:$Y$51,3,FALSE)*VLOOKUP($C$86,'DB animal categories'!$C$32:$AC$41,27,FALSE)*E89/1000)/VLOOKUP($C$86,'DB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'!$S$7/100)*(1-VLOOKUP(D89,'DB technologies'!$N$40:$Y$51,9,FALSE)/100))</f>
        <v/>
      </c>
      <c r="O89" s="423" t="str">
        <f>IF(D89="","",((VLOOKUP(D89,'DB technologies'!$N$40:$Y$51,4,FALSE)*E89*(1-'DB additional information '!$S$8/100)*(1-VLOOKUP(D89,'DB technologies'!$N$40:$Y$51,8,FALSE)/100))/VLOOKUP($C$86,'DB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P89" s="438" t="str">
        <f>IF(G89=0,0,IF(E89="","",IF(F89="","",IF($C$86=0,"",IF(D89="","",SUM(H89:K89)/G89*100)))))</f>
        <v/>
      </c>
      <c r="Q89" s="416" t="str">
        <f>IF(D89="","",(VLOOKUP(D89,'DB technologies'!$N$40:$Y$51,2,FALSE)*'DB additional information '!$S$6/100*'DB additional information '!$T$6*VLOOKUP($C$86,'DB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R89" s="416" t="str">
        <f>IF(D89="","",(VLOOKUP(D89,'DB technologies'!$N$40:$Y$51,3,FALSE)*'DB additional information '!$S$7/100*'DB additional information '!$T$7*VLOOKUP($C$86,'DB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S89" s="491" t="str">
        <f>IF(D89="","",(VLOOKUP(D89,'DB technologies'!$N$40:$Y$51,4,FALSE)*('DB additional information '!$S$8/100*'DB additional information '!$T$8*E89/1000/1000)))</f>
        <v/>
      </c>
      <c r="T89" s="264" t="str">
        <f>IF($C$86=0,"",IF('Calc (ex-animal)'!$F$9=1,"",IF(D89="","",((VLOOKUP($C$86,'Calc (ex-animal)'!$D$18:$Y$22,10,FALSE)-VLOOKUP($C$86,'Calc (ex-animal)'!$D$18:$Y$22,18,FALSE))*F89/100+Q89+R89+S89)-AC89-AD89-AE89)))</f>
        <v/>
      </c>
      <c r="U89" s="422" t="str">
        <f>IF(D89="","",(VLOOKUP(D89,'DB technologies'!$N$40:$Y$51,2,FALSE)*'DB additional information '!$S$6/100*'DB additional information '!$U$6*VLOOKUP($C$86,'DB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V89" s="418" t="str">
        <f>IF(D89="","",(VLOOKUP(D89,'DB technologies'!$N$40:$Y$51,3,FALSE)*'DB additional information '!$S$7/100*'DB additional information '!$U$7*VLOOKUP($C$86,'DB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W89" s="417" t="str">
        <f>IF(D89="","",(VLOOKUP(D89,'DB technologies'!$N$40:$Y$51,4,FALSE)*('DB additional information '!$S$8/100*'DB additional information '!$U$8*E89/1000/1000)))</f>
        <v/>
      </c>
      <c r="X89" s="261" t="str">
        <f>IF($C$86=0,"",IF('Calc (ex-animal)'!$F$9=1,"",IF(D89="","",((VLOOKUP($C$86,'Calc (ex-animal)'!$D$18:$Y$22,13,FALSE)-VLOOKUP($C$86,'Calc (ex-animal)'!$D$18:$Y$22,19,FALSE))*F89/100+U89+V89+W89))))</f>
        <v/>
      </c>
      <c r="Y89" s="418" t="str">
        <f>IF(D89="","",(VLOOKUP(D89,'DB technologies'!$N$40:$Y$51,2,FALSE)*'DB additional information '!$S$6/100*'DB additional information '!$V$6*VLOOKUP($C$86,'DB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Z89" s="418" t="str">
        <f>IF(D89="","",(VLOOKUP(D89,'DB technologies'!$N$40:$Y$51,3,FALSE)*'DB additional information '!$S$7/100*'DB additional information '!$V$7*VLOOKUP($C$86,'DB animal categories'!$C$32:$AC$41,27,FALSE)*E89/1000/1000)/VLOOKUP($C$86,'DB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AA89" s="418" t="str">
        <f>IF(D89="","",(VLOOKUP(D89,'DB technologies'!$N$40:$Y$51,4,FALSE)*('DB additional information '!$S$8/100*'DB additional information '!$V$8*E89/1000/1000)))</f>
        <v/>
      </c>
      <c r="AB89" s="261" t="str">
        <f>IF($C$86=0,"",IF('Calc (ex-animal)'!$F$8=1,"",IF(D89="","",((VLOOKUP($C$86,'Calc (ex-animal)'!$D$18:$Y$22,16,FALSE)-VLOOKUP($C$86,'Calc (ex-animal)'!$D$18:$Y$22,20,FALSE))*F89/100+Y89+Z89+AA89))))</f>
        <v/>
      </c>
      <c r="AC89" s="261" t="str">
        <f>IF($C$86=0,"",IF('Calc (ex-animal)'!$F$8=1,"",IF(D89="","",VLOOKUP($C$86,'Calc (ex-animal)'!$D$18:$Y$22,9,FALSE)/VLOOKUP($C$86,'DB animal categories'!$C$32:$AC$41,27,FALSE)*(VLOOKUP($C$86,'DB animal categories'!$C$32:$AC$41,27,FALSE)-VLOOKUP($C$86,'DB animal categories'!$C$32:$AC$41,25,FALSE)*VLOOKUP($C$86,'DB animal categories'!$C$32:$AC$41,26,FALSE)/24)*F89/100*VLOOKUP(D89,'DB technologies'!$N$40:$R$51,5,FALSE)/100)))</f>
        <v/>
      </c>
      <c r="AD89" s="261" t="str">
        <f>IF($C$86=0,"",IF('Calc (ex-animal)'!$F$8=1,"",IF(D89="","",VLOOKUP($C$86,'Calc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categories'!$C$32:$AC$41,26,FALSE)/24)*F89/100*VLOOKUP(D89,'DB technologies'!$N$40:$Y$51,6,FALSE)/100)))</f>
        <v/>
      </c>
      <c r="AE89" s="262" t="str">
        <f>IF($C$86=0,"",IF('Calc (ex-animal)'!$F$8=1,"",IF(D89="","",VLOOKUP($C$86,'Calc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categories'!$C$32:$AC$41,26,FALSE)/24)*F89/100*VLOOKUP(D89,'DB technologies'!$N$40:$Y$51,7,FALSE)/100)))</f>
        <v/>
      </c>
      <c r="AG89" s="698"/>
      <c r="AH89" s="696"/>
      <c r="AI89" s="181" t="str">
        <f>IF(D89="","",VLOOKUP(D89,'DB technologies'!$N$40:$Y$51,10,FALSE))</f>
        <v/>
      </c>
      <c r="AJ89" s="449" t="e">
        <f>VLOOKUP($C$86,'DB animal categories'!$C$32:$AN$41,27,FALSE)-VLOOKUP($C$86,'DB animal categories'!$C$32:$AN$41,26,FALSE)*VLOOKUP($C$86,'DB animal categories'!$C$32:$AN$41,25,FALSE)/24</f>
        <v>#N/A</v>
      </c>
      <c r="AK89" s="442" t="str">
        <f>IF(AI89="","",AL89+AM89)</f>
        <v/>
      </c>
      <c r="AL89" s="442" t="str">
        <f>IF(D89="","",IF(AI89=2,(('Calc (ex-animal)'!$G$21*'DB additional information '!$K$7/100*(1-VLOOKUP(D89,'DB technologies'!$N$40:$Y$51,9,FALSE)/100)*'Calc (ex-housing, ex-storage)'!F89/100+'Calc (ex-animal)'!$H$21*'DB additional information '!$L$7/100*(1-VLOOKUP(D89,'DB technologies'!$N$40:$Y$51,9,FALSE)/100)*'Calc (ex-housing, ex-storage)'!F89/100))/VLOOKUP($C$86,'DB animal categories'!$C$32:$AC$41,27,FALSE)*AJ89+I89+J89+K89,IF(AI89=1,('Calc (ex-animal)'!$H$21*'DB additional information '!$L$7/100*(1-VLOOKUP(D89,'DB technologies'!$N$40:$Y$51,9,FALSE)/100)*'Calc (ex-housing, ex-storage)'!F89/100)/VLOOKUP($C$86,'DB animal categories'!$C$32:$AC$41,27,FALSE)*AJ89,IF(AI89=4,('Calc (ex-animal)'!$G$21*'DB additional information '!$K$7/100+'Calc (ex-animal)'!$H$21*'DB additional information '!$L$7/100)*(1-VLOOKUP(D89,'DB technologies'!$N$40:$Y$51,9,FALSE)/100)*'Calc (ex-housing, ex-storage)'!F89/100*VLOOKUP(D89,'DB technologies'!$N$40:$Y$51,11,FALSE)/100/VLOOKUP($C$86,'DB animal categories'!$C$32:$AC$41,27,FALSE)*AJ89,0))))</f>
        <v/>
      </c>
      <c r="AM89" s="442" t="str">
        <f>IF(D89="","",IF(AI89=2,(('Calc (ex-animal)'!$G$21*(1-'DB additional information '!$K$7/100)*(1-VLOOKUP(D89,'DB technologies'!$N$40:$Y$51,8,FALSE)/100)*'Calc (ex-housing, ex-storage)'!F89/100+'Calc (ex-animal)'!$H$21*(1-'DB additional information '!$L$7/100)*(1-VLOOKUP(D89,'DB technologies'!$N$40:$Y$51,8,FALSE)/100)*'Calc (ex-housing, ex-storage)'!F89/100))/VLOOKUP($C$86,'DB animal categories'!$C$32:$AC$41,27,FALSE)*AJ89+M89+N89+O89,IF(AI89=1,('Calc (ex-animal)'!$H$21*(1-'DB additional information '!$L$7/100)*(1-VLOOKUP(D89,'DB technologies'!$N$40:$Y$51,8,FALSE)/100)*'Calc (ex-housing, ex-storage)'!F89/100)/VLOOKUP($C$86,'DB animal categories'!$C$32:$AC$41,27,FALSE)*AJ89,IF(AI89=4,('Calc (ex-animal)'!$G$21*(1-'DB additional information '!$K$7/100)+'Calc (ex-animal)'!$H$21*(1-'DB additional information '!$L$7/100))*(1-VLOOKUP(D89,'DB technologies'!$N$40:$Y$51,8,FALSE)/100)*'Calc (ex-housing, ex-storage)'!F89/100*VLOOKUP(D89,'DB technologies'!$N$40:$Y$51,11,FALSE)/100/VLOOKUP($C$86,'DB animal categories'!$C$32:$AC$41,27,FALSE)*AJ89,0))))</f>
        <v/>
      </c>
      <c r="AN89" s="442" t="str">
        <f>IF(AI89="","",IF(AL89=0,0,AL89/AK89*100))</f>
        <v/>
      </c>
      <c r="AO89" s="182" t="str">
        <f>IF(D89="","",IF(AI89=2,(('Calc (ex-animal)'!$L$21*'Calc (ex-housing, ex-storage)'!F89/100+'Calc (ex-animal)'!$K$21*'Calc (ex-housing, ex-storage)'!F89/100))/VLOOKUP($C$86,'DB animal categories'!$C$32:$AC$41,27,FALSE)*AJ89+Q89+R89+S89-AC89,IF(AI89=1,('Calc (ex-animal)'!$L$21*'Calc (ex-housing, ex-storage)'!F89/100)/VLOOKUP($C$86,'DB animal categories'!$C$32:$AC$41,27,FALSE)*AJ89-'Calc (ex-housing, ex-storage)'!AC89,IF(AI89=4,('Calc (ex-animal)'!$L$21+'Calc (ex-animal)'!$K$21)*'Calc (ex-housing, ex-storage)'!F89/100*VLOOKUP(D89,'DB technologies'!$N$40:$Y$51,11,FALSE)/100/VLOOKUP($C$86,'DB animal categories'!$C$32:$AC$41,27,FALSE)*AJ89-AC89*VLOOKUP(D89,'DB technologies'!$N$40:$Y$51,11,FALSE)/100,0))))</f>
        <v/>
      </c>
      <c r="AP89" s="182" t="str">
        <f>IF(D89="","",IF(AO89&lt;-0.01,0,IF(AI89=2,(('Calc (ex-animal)'!$L$21*'Calc (ex-housing, ex-storage)'!F89/100+'Calc (ex-animal)'!$K$21*'Calc (ex-housing, ex-storage)'!F89/100))/VLOOKUP($C$86,'DB animal categories'!$C$32:$AC$41,27,FALSE)*AJ89+Q89+R89+S89-AC89,IF(AI89=1,('Calc (ex-animal)'!$L$21*'Calc (ex-housing, ex-storage)'!F89/100)/VLOOKUP($C$86,'DB animal categories'!$C$32:$AC$41,27,FALSE)*AJ89-'Calc (ex-housing, ex-storage)'!AC89,IF(AI89=4,('Calc (ex-animal)'!$L$21+'Calc (ex-animal)'!$K$21)*'Calc (ex-housing, ex-storage)'!F89/100*VLOOKUP(D89,'DB technologies'!$N$40:$Y$51,11,FALSE)/100/VLOOKUP($C$86,'DB animal categories'!$C$32:$AC$41,27,FALSE)*AJ89-AC89*VLOOKUP(D89,'DB technologies'!$N$40:$Y$51,11,FALSE)/100,0)))))</f>
        <v/>
      </c>
      <c r="AQ89" s="182" t="str">
        <f>IF(D89="","",IF(AI89=2,('Calc (ex-animal)'!$O$21*'Calc (ex-housing, ex-storage)'!F89/100+'Calc (ex-animal)'!$N$21*'Calc (ex-housing, ex-storage)'!F89/100)/VLOOKUP($C$86,'DB animal categories'!$C$32:$AC$41,27,FALSE)*AJ89+U89+V89+W89,IF(AI89=1,'Calc (ex-animal)'!$O$21*'Calc (ex-housing, ex-storage)'!F89/100/VLOOKUP($C$86,'DB animal categories'!$C$32:$AC$41,27,FALSE)*AJ89,IF(AI89=4,('Calc (ex-animal)'!$O$21+'Calc (ex-animal)'!$N$21)*'Calc (ex-housing, ex-storage)'!F89/100*VLOOKUP(D89,'DB technologies'!$N$40:$Y$51,11,FALSE)/100/VLOOKUP($C$86,'DB animal categories'!$C$32:$AC$41,27,FALSE)*AJ89,0))))</f>
        <v/>
      </c>
      <c r="AR89" s="182" t="str">
        <f>IF(D89="","",IF(AI89=2,('Calc (ex-animal)'!$R$21*'Calc (ex-housing, ex-storage)'!F89/100+'Calc (ex-animal)'!$Q$21*'Calc (ex-housing, ex-storage)'!F89/100)/VLOOKUP($C$86,'DB animal categories'!$C$32:$AC$41,27,FALSE)*AJ89+Y89+Z89+AA89,IF(AI89=1,'Calc (ex-animal)'!$R$21*'Calc (ex-housing, ex-storage)'!F89/100/VLOOKUP($C$86,'DB animal categories'!$C$32:$AC$41,27,FALSE)*AJ89,IF(AI89=4,('Calc (ex-animal)'!$R$21+'Calc (ex-animal)'!$Q$21)*'Calc (ex-housing, ex-storage)'!F89/100*VLOOKUP(D89,'DB technologies'!$N$40:$Y$51,11,FALSE)/100/VLOOKUP($C$86,'DB animal categories'!$C$32:$AC$41,27,FALSE)*AJ89,0))))</f>
        <v/>
      </c>
      <c r="AS89" s="181" t="str">
        <f>IF(D89="","",VLOOKUP(D89,'DB technologies'!$N$40:$Y$51,10,FALSE))</f>
        <v/>
      </c>
      <c r="AT89" s="442" t="str">
        <f>IF(AS89="","",AU89+AV89)</f>
        <v/>
      </c>
      <c r="AU89" s="442" t="str">
        <f>IF(D89="","",IF(AS89=2,0,IF(AS89=1,'Calc (ex-animal)'!$G$21*'DB additional information '!$K$7/100*(1-VLOOKUP(D89,'DB technologies'!$N$40:$Y$51,8,FALSE)/100)*'Calc (ex-housing, ex-storage)'!F89/100/VLOOKUP($C$86,'DB animal categories'!$C$32:$AC$41,27,FALSE)*AJ89+I89+J89+K89,IF(AS89=5,(('Calc (ex-animal)'!$G$21*'DB additional information '!$K$7/100+'Calc (ex-animal)'!$H$21*'DB additional information '!$L$7/100))*(1-VLOOKUP(D89,'DB technologies'!$N$40:$Y$51,9,FALSE)/100)*'Calc (ex-housing, ex-storage)'!F89/100/VLOOKUP($C$86,'DB animal categories'!$C$32:$AC$41,27,FALSE)*AJ89+I89+J89+K89,IF(AS89=3,('Calc (ex-animal)'!$G$21*'DB additional information '!$K$7/100+'Calc (ex-animal)'!$H$21*'DB additional information '!$L$7/100)*(1-VLOOKUP(D89,'DB technologies'!$N$40:$Y$51,9,FALSE)/100)*'Calc (ex-housing, ex-storage)'!F89/100/VLOOKUP($C$86,'DB animal categories'!$C$32:$AC$41,27,FALSE)*AJ89+I89+J89+K89,IF(AS89=4,('Calc (ex-animal)'!$G$21*'DB additional information '!$K$7/100+'Calc (ex-animal)'!$H$21*'DB additional information '!$L$7/100)*(1-VLOOKUP(D89,'DB technologies'!$N$40:$Y$51,9,FALSE)/100)*'Calc (ex-housing, ex-storage)'!F89/100*VLOOKUP(D89,'DB technologies'!$N$40:$Y$51,12,FALSE)/100/VLOOKUP($C$86,'DB animal categories'!$C$32:$AC$41,27,FALSE)*AJ89+I89+J89+K89,0))))))</f>
        <v/>
      </c>
      <c r="AV89" s="442" t="str">
        <f>IF(D89="","",IF(AS89=2,0,IF(AS89=1,'Calc (ex-animal)'!$G$21*(1-'DB additional information '!$K$7/100)*(1-VLOOKUP(D89,'DB technologies'!$N$40:$Y$51,8,FALSE)/100)*'Calc (ex-housing, ex-storage)'!F89/100/VLOOKUP($C$86,'DB animal categories'!$C$32:$AC$41,27,FALSE)*AJ89+M89+N89+O89,IF(AS89=5,('Calc (ex-animal)'!$G$21*(1-'DB additional information '!$K$7/100)+'Calc (ex-animal)'!$H$21*(1-'DB additional information '!$L$7/100))*(1-VLOOKUP(D89,'DB technologies'!$N$40:$Y$51,8,FALSE)/100)*'Calc (ex-housing, ex-storage)'!F89/100/VLOOKUP($C$86,'DB animal categories'!$C$32:$AC$41,27,FALSE)*AJ89+M89+N89+O89,IF(AS89=3,('Calc (ex-animal)'!$G$21*(1-'DB additional information '!$K$7/100)+'Calc (ex-animal)'!$H$21*(1-'DB additional information '!$L$7/100))*(1-VLOOKUP(D89,'DB technologies'!$N$40:$Y$51,8,FALSE)/100)*'Calc (ex-housing, ex-storage)'!F89/100/VLOOKUP($C$86,'DB animal categories'!$C$32:$AC$41,27,FALSE)*AJ89+M89+N89+O89,IF(AS89=4,('Calc (ex-animal)'!$G$21*(1-'DB additional information '!$K$7/100)+'Calc (ex-animal)'!$H$21*(1-'DB additional information '!$L$7/100))*(1-VLOOKUP(D89,'DB technologies'!$N$40:$Y$51,8,FALSE)/100)*'Calc (ex-housing, ex-storage)'!F89/100*VLOOKUP(D89,'DB technologies'!$N$40:$Y$51,12,FALSE)/100/VLOOKUP($C$86,'DB animal categories'!$C$32:$AC$41,27,FALSE)*AJ89+M89+N89+O89,0))))))</f>
        <v/>
      </c>
      <c r="AW89" s="442" t="str">
        <f>IF(AS89="","",IF(AU89=0,0,AU89/AT89*100))</f>
        <v/>
      </c>
      <c r="AX89" s="182" t="str">
        <f>IF(D89="","",IF(AS89=2,0,IF(AS89=1,'Calc (ex-animal)'!$K$21*'Calc (ex-housing, ex-storage)'!F89/100/VLOOKUP($C$86,'DB animal categories'!$C$32:$AC$41,27,FALSE)*AJ89+Q89+R89+S89,IF(AS89=5,('Calc (ex-animal)'!$K$21+'Calc (ex-animal)'!$L$21)*'Calc (ex-housing, ex-storage)'!F89/100/VLOOKUP($C$86,'DB animal categories'!$C$32:$AC$41,27,FALSE)*AJ89+Q89+R89+S89-'Calc (ex-housing, ex-storage)'!AC89,IF(AS89=3,('Calc (ex-animal)'!$K$21+'Calc (ex-animal)'!$L$21)*'Calc (ex-housing, ex-storage)'!F89/100/VLOOKUP($C$86,'DB animal categories'!$C$32:$AC$41,27,FALSE)*AJ89+Q89+R89+S89-'Calc (ex-housing, ex-storage)'!AC89-AD89-AE89,IF(AI89=4,('Calc (ex-animal)'!$K$21+'Calc (ex-animal)'!$L$21)*'Calc (ex-housing, ex-storage)'!F89/100*VLOOKUP(D89,'DB technologies'!$N$40:$Y$51,12,FALSE)/100/VLOOKUP($C$86,'DB animal categories'!$C$32:$AC$41,27,FALSE)*AJ89+Q89+R89+S89-(VLOOKUP(D89,'DB technologies'!$N$40:$Y$51,12,FALSE)/100*AC89)-AD89-AE89,0))))))</f>
        <v/>
      </c>
      <c r="AY89" s="182" t="str">
        <f>IF(D89="","",IF(AS89=2,0,IF(AS89=1,'Calc (ex-animal)'!$N$21*'Calc (ex-housing, ex-storage)'!F89/100/VLOOKUP($C$86,'DB animal categories'!$C$32:$AC$41,27,FALSE)*AJ89+U89+V89+W89,IF(AS89=5,('Calc (ex-animal)'!$N$21+'Calc (ex-animal)'!$O$21)*'Calc (ex-housing, ex-storage)'!F89/100/VLOOKUP($C$86,'DB animal categories'!$C$32:$AC$41,27,FALSE)*AJ89+U89+V89+W89,IF(AS89=3,('Calc (ex-animal)'!$N$21+'Calc (ex-animal)'!$O$21)*'Calc (ex-housing, ex-storage)'!F89/100/VLOOKUP($C$86,'DB animal categories'!$C$32:$AC$41,27,FALSE)*AJ89+U89+V89+W89,IF(AS89=4,('Calc (ex-animal)'!$N$21+'Calc (ex-animal)'!$O$21)*'Calc (ex-housing, ex-storage)'!F89/100*VLOOKUP(D89,'DB technologies'!$N$40:$Y$51,12,FALSE)/100/VLOOKUP($C$86,'DB animal categories'!$C$32:$AC$41,27,FALSE)*AJ89+U89+V89+W89,0))))))</f>
        <v/>
      </c>
      <c r="AZ89" s="182" t="str">
        <f>IF(D89="","",IF(AS89=2,0,IF(AS89=1,'Calc (ex-animal)'!$Q$21*'Calc (ex-housing, ex-storage)'!F89/100/VLOOKUP($C$86,'DB animal categories'!$C$32:$AC$41,27,FALSE)*AJ89+Y89+Z89+AA89,IF(AS89=5,('Calc (ex-animal)'!$Q$21+'Calc (ex-animal)'!$R$21)*'Calc (ex-housing, ex-storage)'!F89/100/VLOOKUP($C$86,'DB animal categories'!$C$32:$AC$41,27,FALSE)*AJ89+Y89+Z89+AA89,IF(AS89=3,('Calc (ex-animal)'!$Q$21+'Calc (ex-animal)'!$R$21)*'Calc (ex-housing, ex-storage)'!F89/100/VLOOKUP($C$86,'DB animal categories'!$C$32:$AC$41,27,FALSE)*AJ89+Y89+Z89+AA89,IF(AS89=4,('Calc (ex-animal)'!$Q$21+'Calc (ex-animal)'!$R$21)*'Calc (ex-housing, ex-storage)'!F89/100*VLOOKUP(D89,'DB technologies'!$N$40:$Y$51,12,FALSE)/100/VLOOKUP($C$86,'DB animal categories'!$C$32:$AC$41,27,FALSE)*AJ89+Y89+Z89+AA89,0))))))</f>
        <v/>
      </c>
      <c r="BA89" s="506"/>
      <c r="BB89" s="506"/>
      <c r="BC89" s="506"/>
      <c r="BG89" s="574" t="s">
        <v>58</v>
      </c>
      <c r="BH89" s="315">
        <f>IF(SUM(BH84:BH88) &gt;100,"ERROR, SUM&gt;100%",SUM(BH84:BH88))</f>
        <v>0</v>
      </c>
      <c r="BI89" s="601">
        <f>SUM(BI84:BI88)</f>
        <v>0</v>
      </c>
      <c r="BJ89" s="593">
        <f>SUM(BJ84:BJ88)</f>
        <v>0</v>
      </c>
      <c r="BK89" s="597">
        <f>IF(BI89=0,0,BJ89/BI89*100)</f>
        <v>0</v>
      </c>
      <c r="BL89" s="307">
        <f t="shared" ref="BL89:BQ89" si="13">SUM(BL84:BL88)</f>
        <v>0</v>
      </c>
      <c r="BM89" s="307">
        <f t="shared" si="13"/>
        <v>0</v>
      </c>
      <c r="BN89" s="307">
        <f t="shared" si="13"/>
        <v>0</v>
      </c>
      <c r="BO89" s="307">
        <f t="shared" si="13"/>
        <v>0</v>
      </c>
      <c r="BP89" s="307">
        <f t="shared" si="13"/>
        <v>0</v>
      </c>
      <c r="BQ89" s="308">
        <f t="shared" si="13"/>
        <v>0</v>
      </c>
      <c r="BR89" s="119"/>
      <c r="BS89" s="120"/>
      <c r="BT89" s="121"/>
    </row>
    <row r="90" spans="1:72" ht="12" customHeight="1" thickBot="1" x14ac:dyDescent="0.25">
      <c r="A90" s="684"/>
      <c r="B90" s="695"/>
      <c r="C90" s="255"/>
      <c r="D90" s="1359"/>
      <c r="E90" s="1366"/>
      <c r="F90" s="481" t="str">
        <f>IF('Calc (ex-animal)'!$F$9=1,"",IF($C$86=0,"",IF(D90="","",E90/'Calc (ex-animal)'!$E$21*100)))</f>
        <v/>
      </c>
      <c r="G90" s="483" t="str">
        <f>IF($C$86=0,"",IF('Calc (ex-animal)'!$F$8=1,"",IF(D90="","",SUM(H90:O90))))</f>
        <v/>
      </c>
      <c r="H90" s="445" t="str">
        <f>IF('Calc (ex-animal)'!$F$8=1,"",IF(D90="","",(((VLOOKUP($C$86,'Calc (ex-animal)'!$D$18:$Y$22,6,FALSE)-VLOOKUP($C$86,'Calc (ex-animal)'!$D$18:$Y$22,17,FALSE))*F90/100))*VLOOKUP($C$86,'Calc (ex-animal)'!$D$18:$Y$22,7,FALSE)/100*(1-VLOOKUP(D90,'DB technologies'!$N$40:$Y$51,9,FALSE)/100)))</f>
        <v/>
      </c>
      <c r="I90" s="445" t="str">
        <f>IF(D90="","",((VLOOKUP(D90,'DB technologies'!$N$40:$Y$51,2,FALSE)*VLOOKUP($C$86,'DB animal categories'!$C$32:$AC$41,27,FALSE)*E90/1000)/VLOOKUP($C$86,'DB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'!$S$6/100*(1-VLOOKUP(D90,'DB technologies'!$N$40:$Y$51,9,FALSE)/100)))</f>
        <v/>
      </c>
      <c r="J90" s="446" t="str">
        <f>IF(D90="","",((VLOOKUP(D90,'DB technologies'!$N$40:$Y$51,3,FALSE)*VLOOKUP($C$86,'DB animal categories'!$C$32:$AC$41,27,FALSE)*E90/1000)/VLOOKUP($C$86,'DB animal categories'!$C$32:$AC$41,27,FALSE)*(VLOOKUP($C$86,'DB animal categories'!$C$32:$AC$41,27,FALSE)-(VLOOKUP($C$86,'DB animal categories'!$C$32:$AC$41,25,FALSE)*VLOOKUP($C$86,'DB animal categories'!$C$32:$AC$41,26,FALSE)/24))*'DB additional information '!$S$7/100*(1-VLOOKUP(D90,'DB technologies'!$N$40:$Y$51,9,FALSE)/100)))</f>
        <v/>
      </c>
      <c r="K90" s="446" t="str">
        <f>IF(D90="","",((VLOOKUP(D90,'DB technologies'!$N$40:$Y$51,4,FALSE)*E90*'DB additional information '!$S$8/100*(1-VLOOKUP(D90,'DB technologies'!$N$40:$Y$51,9,FALSE)/100))/VLOOKUP($C$86,'DB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L90" s="445" t="str">
        <f>IF('Calc (ex-animal)'!$F$8=1,"",IF(D90="","",(((VLOOKUP($C$86,'Calc (ex-animal)'!$D$18:$Y$22,6,FALSE)-VLOOKUP($C$86,'Calc (ex-animal)'!$D$18:$Y$22,17,FALSE))*F90/100))*(1-VLOOKUP($C$86,'Calc (ex-animal)'!$D$18:$Y$22,7,FALSE)/100)*(1-VLOOKUP(D90,'DB technologies'!$N$40:$V$51,8,FALSE)/100)))</f>
        <v/>
      </c>
      <c r="M90" s="446" t="str">
        <f>IF(D90="","",((VLOOKUP(D90,'DB technologies'!$N$40:$Y$51,2,FALSE)*VLOOKUP($C$86,'DB animal categories'!$C$32:$AC$41,27,FALSE)*E90/1000)/VLOOKUP($C$86,'DB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'!$S$6/100)*(1-VLOOKUP(D90,'DB technologies'!$N$40:$Y$51,9,FALSE)/100))</f>
        <v/>
      </c>
      <c r="N90" s="446" t="str">
        <f>IF(D90="","",((VLOOKUP(D90,'DB technologies'!$N$40:$Y$51,3,FALSE)*VLOOKUP($C$86,'DB animal categories'!$C$32:$AC$41,27,FALSE)*E90/1000)/VLOOKUP($C$86,'DB animal categories'!$C$32:$AC$41,27,FALSE)*(VLOOKUP($C$86,'DB animal categories'!$C$32:$AC$41,27,FALSE)-VLOOKUP($C$86,'DB animal categories'!$C$32:$AC$41,25,FALSE)*VLOOKUP($C$86,'DB animal categories'!$C$32:$AC$41,26,FALSE)/24))*(1-'DB additional information '!$S$7/100)*(1-VLOOKUP(D90,'DB technologies'!$N$40:$Y$51,9,FALSE)/100))</f>
        <v/>
      </c>
      <c r="O90" s="445" t="str">
        <f>IF(D90="","",((VLOOKUP(D90,'DB technologies'!$N$40:$Y$51,4,FALSE)*E90*(1-'DB additional information '!$S$8/100)*(1-VLOOKUP(D90,'DB technologies'!$N$40:$Y$51,8,FALSE)/100))/VLOOKUP($C$86,'DB animal categories'!$C$32:$AC$41,27,FALSE)*(VLOOKUP($C$86,'DB animal categories'!$C$32:$AC$41,27,FALSE)-VLOOKUP($C$86,'DB animal categories'!$C$32:$AC$41,25,FALSE)*VLOOKUP($C$86,'DB animal categories'!$C$32:$AC$41,26,FALSE)/24)))</f>
        <v/>
      </c>
      <c r="P90" s="444" t="str">
        <f>IF(G90=0,0,IF(E90="","",IF(F90="","",IF($C$86=0,"",IF(D90="","",SUM(H90:K90)/G90*100)))))</f>
        <v/>
      </c>
      <c r="Q90" s="476" t="str">
        <f>IF(D90="","",(VLOOKUP(D90,'DB technologies'!$N$40:$Y$51,2,FALSE)*'DB additional information '!$S$6/100*'DB additional information '!$T$6*VLOOKUP($C$86,'DB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R90" s="476" t="str">
        <f>IF(D90="","",(VLOOKUP(D90,'DB technologies'!$N$40:$Y$51,3,FALSE)*'DB additional information '!$S$7/100*'DB additional information '!$T$7*VLOOKUP($C$86,'DB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S90" s="494" t="str">
        <f>IF(D90="","",(VLOOKUP(D90,'DB technologies'!$N$40:$Y$51,4,FALSE)*('DB additional information '!$S$8/100*'DB additional information '!$T$8*E90/1000/1000)))</f>
        <v/>
      </c>
      <c r="T90" s="266" t="str">
        <f>IF($C$86=0,"",IF('Calc (ex-animal)'!$F$9=1,"",IF(D90="","",((VLOOKUP($C$86,'Calc (ex-animal)'!$D$18:$Y$22,10,FALSE)-VLOOKUP($C$86,'Calc (ex-animal)'!$D$18:$Y$22,18,FALSE))*F90/100+Q90+R90+S90)-AC90-AD90-AE90)))</f>
        <v/>
      </c>
      <c r="U90" s="477" t="str">
        <f>IF(D90="","",(VLOOKUP(D90,'DB technologies'!$N$40:$Y$51,2,FALSE)*'DB additional information '!$S$6/100*'DB additional information '!$U$6*VLOOKUP($C$86,'DB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V90" s="433" t="str">
        <f>IF(D90="","",(VLOOKUP(D90,'DB technologies'!$N$40:$Y$51,3,FALSE)*'DB additional information '!$S$7/100*'DB additional information '!$U$7*VLOOKUP($C$86,'DB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W90" s="475" t="str">
        <f>IF(D90="","",(VLOOKUP(D90,'DB technologies'!$N$40:$Y$51,4,FALSE)*('DB additional information '!$S$8/100*'DB additional information '!$U$8*E90/1000/1000)))</f>
        <v/>
      </c>
      <c r="X90" s="267" t="str">
        <f>IF($C$86=0,"",IF('Calc (ex-animal)'!$F$9=1,"",IF(D90="","",((VLOOKUP($C$86,'Calc (ex-animal)'!$D$18:$Y$22,13,FALSE)-VLOOKUP($C$86,'Calc (ex-animal)'!$D$18:$Y$22,19,FALSE))*F90/100+U90+V90+W90))))</f>
        <v/>
      </c>
      <c r="Y90" s="433" t="str">
        <f>IF(D90="","",(VLOOKUP(D90,'DB technologies'!$N$40:$Y$51,2,FALSE)*'DB additional information '!$S$6/100*'DB additional information '!$V$6*VLOOKUP($C$86,'DB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Z90" s="433" t="str">
        <f>IF(D90="","",(VLOOKUP(D90,'DB technologies'!$N$40:$Y$51,3,FALSE)*'DB additional information '!$S$7/100*'DB additional information '!$V$7*VLOOKUP($C$86,'DB animal categories'!$C$32:$AC$41,27,FALSE)*E90/1000/1000)/VLOOKUP($C$86,'DB animal categories'!$C$32:$AC$41,27,FALSE)*(VLOOKUP($C$86,'DB animal categories'!$C$32:$AC$41,27,FALSE)-VLOOKUP($C$86,'DB animal categories'!$C$32:$AC$41,25,FALSE)*VLOOKUP($C$86,'DB animal categories'!$C$32:$AC$41,26,FALSE)/24))</f>
        <v/>
      </c>
      <c r="AA90" s="433" t="str">
        <f>IF(D90="","",(VLOOKUP(D90,'DB technologies'!$N$40:$Y$51,4,FALSE)*('DB additional information '!$S$8/100*'DB additional information '!$V$8*E90/1000/1000)))</f>
        <v/>
      </c>
      <c r="AB90" s="267" t="str">
        <f>IF($C$86=0,"",IF('Calc (ex-animal)'!$F$8=1,"",IF(D90="","",((VLOOKUP($C$86,'Calc (ex-animal)'!$D$18:$Y$22,16,FALSE)-VLOOKUP($C$86,'Calc (ex-animal)'!$D$18:$Y$22,20,FALSE))*F90/100+Y90+Z90+AA90))))</f>
        <v/>
      </c>
      <c r="AC90" s="267" t="str">
        <f>IF($C$86=0,"",IF('Calc (ex-animal)'!$F$8=1,"",IF(D90="","",VLOOKUP($C$86,'Calc (ex-animal)'!$D$18:$Y$22,9,FALSE)/VLOOKUP($C$86,'DB animal categories'!$C$32:$AC$41,27,FALSE)*(VLOOKUP($C$86,'DB animal categories'!$C$32:$AC$41,27,FALSE)-VLOOKUP($C$86,'DB animal categories'!$C$32:$AC$41,25,FALSE)*VLOOKUP($C$86,'DB animal categories'!$C$32:$AC$41,26,FALSE)/24)*F90/100*VLOOKUP(D90,'DB technologies'!$N$40:$R$51,5,FALSE)/100)))</f>
        <v/>
      </c>
      <c r="AD90" s="267" t="str">
        <f>IF($C$86=0,"",IF('Calc (ex-animal)'!$F$8=1,"",IF(D90="","",VLOOKUP($C$86,'Calc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categories'!$C$32:$AC$41,26,FALSE)/24)*F90/100*VLOOKUP(D90,'DB technologies'!$N$40:$Y$51,6,FALSE)/100)))</f>
        <v/>
      </c>
      <c r="AE90" s="268" t="str">
        <f>IF($C$86=0,"",IF('Calc (ex-animal)'!$F$8=1,"",IF(D90="","",VLOOKUP($C$86,'Calc (ex-animal)'!$D$18:$Y$22,10,FALSE)/VLOOKUP($C$86,'DB animal categories'!$C$32:$AC$41,27,FALSE)*(VLOOKUP($C$86,'DB animal categories'!$C$32:$AC$41,27,FALSE)-VLOOKUP($C$86,'DB animal categories'!$C$32:$AC$41,25,FALSE)*VLOOKUP($C$86,'DB animal categories'!$C$32:$AC$41,26,FALSE)/24)*F90/100*VLOOKUP(D90,'DB technologies'!$N$40:$Y$51,7,FALSE)/100)))</f>
        <v/>
      </c>
      <c r="AG90" s="698"/>
      <c r="AH90" s="694" t="s">
        <v>133</v>
      </c>
      <c r="AI90" s="183" t="str">
        <f>IF(D90="","",VLOOKUP(D90,'DB technologies'!$N$40:$Y$51,10,FALSE))</f>
        <v/>
      </c>
      <c r="AJ90" s="451" t="e">
        <f>VLOOKUP($C$86,'DB animal categories'!$C$32:$AN$41,27,FALSE)-VLOOKUP($C$86,'DB animal categories'!$C$32:$AN$41,26,FALSE)*VLOOKUP($C$86,'DB animal categories'!$C$32:$AN$41,25,FALSE)/24</f>
        <v>#N/A</v>
      </c>
      <c r="AK90" s="452" t="str">
        <f>IF(AI90="","",AL90+AM90)</f>
        <v/>
      </c>
      <c r="AL90" s="452" t="str">
        <f>IF(D90="","",IF(AI90=2,(('Calc (ex-animal)'!$G$21*'DB additional information '!$K$7/100*(1-VLOOKUP(D90,'DB technologies'!$N$40:$Y$51,9,FALSE)/100)*'Calc (ex-housing, ex-storage)'!F90/100+'Calc (ex-animal)'!$H$21*'DB additional information '!$L$7/100*(1-VLOOKUP(D90,'DB technologies'!$N$40:$Y$51,9,FALSE)/100)*'Calc (ex-housing, ex-storage)'!F90/100))/VLOOKUP($C$86,'DB animal categories'!$C$32:$AC$41,27,FALSE)*AJ90+I90+J90+K90,IF(AI90=1,('Calc (ex-animal)'!$H$21*'DB additional information '!$L$7/100*(1-VLOOKUP(D90,'DB technologies'!$N$40:$Y$51,9,FALSE)/100)*'Calc (ex-housing, ex-storage)'!F90/100)/VLOOKUP($C$86,'DB animal categories'!$C$32:$AC$41,27,FALSE)*AJ90,IF(AI90=4,('Calc (ex-animal)'!$G$21*'DB additional information '!$K$7/100+'Calc (ex-animal)'!$H$21*'DB additional information '!$L$7/100)*(1-VLOOKUP(D90,'DB technologies'!$N$40:$Y$51,9,FALSE)/100)*'Calc (ex-housing, ex-storage)'!F90/100*VLOOKUP(D90,'DB technologies'!$N$40:$Y$51,11,FALSE)/100/VLOOKUP($C$86,'DB animal categories'!$C$32:$AC$41,27,FALSE)*AJ90,0))))</f>
        <v/>
      </c>
      <c r="AM90" s="452" t="str">
        <f>IF(D90="","",IF(AI90=2,(('Calc (ex-animal)'!$G$21*(1-'DB additional information '!$K$7/100)*(1-VLOOKUP(D90,'DB technologies'!$N$40:$Y$51,8,FALSE)/100)*'Calc (ex-housing, ex-storage)'!F90/100+'Calc (ex-animal)'!$H$21*(1-'DB additional information '!$L$7/100)*(1-VLOOKUP(D90,'DB technologies'!$N$40:$Y$51,8,FALSE)/100)*'Calc (ex-housing, ex-storage)'!F90/100))/VLOOKUP($C$86,'DB animal categories'!$C$32:$AC$41,27,FALSE)*AJ90+M90+N90+O90,IF(AI90=1,('Calc (ex-animal)'!$H$21*(1-'DB additional information '!$L$7/100)*(1-VLOOKUP(D90,'DB technologies'!$N$40:$Y$51,8,FALSE)/100)*'Calc (ex-housing, ex-storage)'!F90/100)/VLOOKUP($C$86,'DB animal categories'!$C$32:$AC$41,27,FALSE)*AJ90,IF(AI90=4,('Calc (ex-animal)'!$G$21*(1-'DB additional information '!$K$7/100)+'Calc (ex-animal)'!$H$21*(1-'DB additional information '!$L$7/100))*(1-VLOOKUP(D90,'DB technologies'!$N$40:$Y$51,8,FALSE)/100)*'Calc (ex-housing, ex-storage)'!F90/100*VLOOKUP(D90,'DB technologies'!$N$40:$Y$51,11,FALSE)/100/VLOOKUP($C$86,'DB animal categories'!$C$32:$AC$41,27,FALSE)*AJ90,0))))</f>
        <v/>
      </c>
      <c r="AN90" s="452" t="str">
        <f>IF(AI90="","",IF(AL90=0,0,AL90/AK90*100))</f>
        <v/>
      </c>
      <c r="AO90" s="184" t="str">
        <f>IF(D90="","",IF(AI90=2,(('Calc (ex-animal)'!$L$21*'Calc (ex-housing, ex-storage)'!F90/100+'Calc (ex-animal)'!$K$21*'Calc (ex-housing, ex-storage)'!F90/100))/VLOOKUP($C$86,'DB animal categories'!$C$32:$AC$41,27,FALSE)*AJ90+Q90+R90+S90-AC90,IF(AI90=1,('Calc (ex-animal)'!$L$21*'Calc (ex-housing, ex-storage)'!F90/100)/VLOOKUP($C$86,'DB animal categories'!$C$32:$AC$41,27,FALSE)*AJ90-'Calc (ex-housing, ex-storage)'!AC90,IF(AI90=4,('Calc (ex-animal)'!$L$21+'Calc (ex-animal)'!$K$21)*'Calc (ex-housing, ex-storage)'!F90/100*VLOOKUP(D90,'DB technologies'!$N$40:$Y$51,11,FALSE)/100/VLOOKUP($C$86,'DB animal categories'!$C$32:$AC$41,27,FALSE)*AJ90-AC90*VLOOKUP(D90,'DB technologies'!$N$40:$Y$51,11,FALSE)/100,0))))</f>
        <v/>
      </c>
      <c r="AP90" s="184" t="str">
        <f>IF(D90="","",IF(AO90&lt;-0.01,0,IF(AI90=2,(('Calc (ex-animal)'!$L$21*'Calc (ex-housing, ex-storage)'!F90/100+'Calc (ex-animal)'!$K$21*'Calc (ex-housing, ex-storage)'!F90/100))/VLOOKUP($C$86,'DB animal categories'!$C$32:$AC$41,27,FALSE)*AJ90+Q90+R90+S90-AC90,IF(AI90=1,('Calc (ex-animal)'!$L$21*'Calc (ex-housing, ex-storage)'!F90/100)/VLOOKUP($C$86,'DB animal categories'!$C$32:$AC$41,27,FALSE)*AJ90-'Calc (ex-housing, ex-storage)'!AC90,IF(AI90=4,('Calc (ex-animal)'!$L$21+'Calc (ex-animal)'!$K$21)*'Calc (ex-housing, ex-storage)'!F90/100*VLOOKUP(D90,'DB technologies'!$N$40:$Y$51,11,FALSE)/100/VLOOKUP($C$86,'DB animal categories'!$C$32:$AC$41,27,FALSE)*AJ90-AC90*VLOOKUP(D90,'DB technologies'!$N$40:$Y$51,11,FALSE)/100,0)))))</f>
        <v/>
      </c>
      <c r="AQ90" s="184" t="str">
        <f>IF(D90="","",IF(AI90=2,('Calc (ex-animal)'!$O$21*'Calc (ex-housing, ex-storage)'!F90/100+'Calc (ex-animal)'!$N$21*'Calc (ex-housing, ex-storage)'!F90/100)/VLOOKUP($C$86,'DB animal categories'!$C$32:$AC$41,27,FALSE)*AJ90+U90+V90+W90,IF(AI90=1,'Calc (ex-animal)'!$O$21*'Calc (ex-housing, ex-storage)'!F90/100/VLOOKUP($C$86,'DB animal categories'!$C$32:$AC$41,27,FALSE)*AJ90,IF(AI90=4,('Calc (ex-animal)'!$O$21+'Calc (ex-animal)'!$N$21)*'Calc (ex-housing, ex-storage)'!F90/100*VLOOKUP(D90,'DB technologies'!$N$40:$Y$51,11,FALSE)/100/VLOOKUP($C$86,'DB animal categories'!$C$32:$AC$41,27,FALSE)*AJ90,0))))</f>
        <v/>
      </c>
      <c r="AR90" s="184" t="str">
        <f>IF(D90="","",IF(AI90=2,('Calc (ex-animal)'!$R$21*'Calc (ex-housing, ex-storage)'!F90/100+'Calc (ex-animal)'!$Q$21*'Calc (ex-housing, ex-storage)'!F90/100)/VLOOKUP($C$86,'DB animal categories'!$C$32:$AC$41,27,FALSE)*AJ90+Y90+Z90+AA90,IF(AI90=1,'Calc (ex-animal)'!$R$21*'Calc (ex-housing, ex-storage)'!F90/100/VLOOKUP($C$86,'DB animal categories'!$C$32:$AC$41,27,FALSE)*AJ90,IF(AI90=4,('Calc (ex-animal)'!$R$21+'Calc (ex-animal)'!$Q$21)*'Calc (ex-housing, ex-storage)'!F90/100*VLOOKUP(D90,'DB technologies'!$N$40:$Y$51,11,FALSE)/100/VLOOKUP($C$86,'DB animal categories'!$C$32:$AC$41,27,FALSE)*AJ90,0))))</f>
        <v/>
      </c>
      <c r="AS90" s="183" t="str">
        <f>IF(D90="","",VLOOKUP(D90,'DB technologies'!$N$40:$Y$51,10,FALSE))</f>
        <v/>
      </c>
      <c r="AT90" s="452" t="str">
        <f>IF(AS90="","",AU90+AV90)</f>
        <v/>
      </c>
      <c r="AU90" s="452" t="str">
        <f>IF(D90="","",IF(AS90=2,0,IF(AS90=1,'Calc (ex-animal)'!$G$21*'DB additional information '!$K$7/100*(1-VLOOKUP(D90,'DB technologies'!$N$40:$Y$51,8,FALSE)/100)*'Calc (ex-housing, ex-storage)'!F90/100/VLOOKUP($C$86,'DB animal categories'!$C$32:$AC$41,27,FALSE)*AJ90+I90+J90+K90,IF(AS90=5,(('Calc (ex-animal)'!$G$21*'DB additional information '!$K$7/100+'Calc (ex-animal)'!$H$21*'DB additional information '!$L$7/100))*(1-VLOOKUP(D90,'DB technologies'!$N$40:$Y$51,9,FALSE)/100)*'Calc (ex-housing, ex-storage)'!F90/100/VLOOKUP($C$86,'DB animal categories'!$C$32:$AC$41,27,FALSE)*AJ90+I90+J90+K90,IF(AS90=3,('Calc (ex-animal)'!$G$21*'DB additional information '!$K$7/100+'Calc (ex-animal)'!$H$21*'DB additional information '!$L$7/100)*(1-VLOOKUP(D90,'DB technologies'!$N$40:$Y$51,9,FALSE)/100)*'Calc (ex-housing, ex-storage)'!F90/100/VLOOKUP($C$86,'DB animal categories'!$C$32:$AC$41,27,FALSE)*AJ90+I90+J90+K90,IF(AS90=4,('Calc (ex-animal)'!$G$21*'DB additional information '!$K$7/100+'Calc (ex-animal)'!$H$21*'DB additional information '!$L$7/100)*(1-VLOOKUP(D90,'DB technologies'!$N$40:$Y$51,9,FALSE)/100)*'Calc (ex-housing, ex-storage)'!F90/100*VLOOKUP(D90,'DB technologies'!$N$40:$Y$51,12,FALSE)/100/VLOOKUP($C$86,'DB animal categories'!$C$32:$AC$41,27,FALSE)*AJ90+I90+J90+K90,0))))))</f>
        <v/>
      </c>
      <c r="AV90" s="452" t="str">
        <f>IF(D90="","",IF(AS90=2,0,IF(AS90=1,'Calc (ex-animal)'!$G$21*(1-'DB additional information '!$K$7/100)*(1-VLOOKUP(D90,'DB technologies'!$N$40:$Y$51,8,FALSE)/100)*'Calc (ex-housing, ex-storage)'!F90/100/VLOOKUP($C$86,'DB animal categories'!$C$32:$AC$41,27,FALSE)*AJ90+M90+N90+O90,IF(AS90=5,('Calc (ex-animal)'!$G$21*(1-'DB additional information '!$K$7/100)+'Calc (ex-animal)'!$H$21*(1-'DB additional information '!$L$7/100))*(1-VLOOKUP(D90,'DB technologies'!$N$40:$Y$51,8,FALSE)/100)*'Calc (ex-housing, ex-storage)'!F90/100/VLOOKUP($C$86,'DB animal categories'!$C$32:$AC$41,27,FALSE)*AJ90+M90+N90+O90,IF(AS90=3,('Calc (ex-animal)'!$G$21*(1-'DB additional information '!$K$7/100)+'Calc (ex-animal)'!$H$21*(1-'DB additional information '!$L$7/100))*(1-VLOOKUP(D90,'DB technologies'!$N$40:$Y$51,8,FALSE)/100)*'Calc (ex-housing, ex-storage)'!F90/100/VLOOKUP($C$86,'DB animal categories'!$C$32:$AC$41,27,FALSE)*AJ90+M90+N90+O90,IF(AS90=4,('Calc (ex-animal)'!$G$21*(1-'DB additional information '!$K$7/100)+'Calc (ex-animal)'!$H$21*(1-'DB additional information '!$L$7/100))*(1-VLOOKUP(D90,'DB technologies'!$N$40:$Y$51,8,FALSE)/100)*'Calc (ex-housing, ex-storage)'!F90/100*VLOOKUP(D90,'DB technologies'!$N$40:$Y$51,12,FALSE)/100/VLOOKUP($C$86,'DB animal categories'!$C$32:$AC$41,27,FALSE)*AJ90+M90+N90+O90,0))))))</f>
        <v/>
      </c>
      <c r="AW90" s="452" t="str">
        <f>IF(AS90="","",IF(AU90=0,0,AU90/AT90*100))</f>
        <v/>
      </c>
      <c r="AX90" s="184" t="str">
        <f>IF(D90="","",IF(AS90=2,0,IF(AS90=1,'Calc (ex-animal)'!$K$21*'Calc (ex-housing, ex-storage)'!F90/100/VLOOKUP($C$86,'DB animal categories'!$C$32:$AC$41,27,FALSE)*AJ90+Q90+R90+S90,IF(AS90=5,('Calc (ex-animal)'!$K$21+'Calc (ex-animal)'!$L$21)*'Calc (ex-housing, ex-storage)'!F90/100/VLOOKUP($C$86,'DB animal categories'!$C$32:$AC$41,27,FALSE)*AJ90+Q90+R90+S90-'Calc (ex-housing, ex-storage)'!AC90,IF(AS90=3,('Calc (ex-animal)'!$K$21+'Calc (ex-animal)'!$L$21)*'Calc (ex-housing, ex-storage)'!F90/100/VLOOKUP($C$86,'DB animal categories'!$C$32:$AC$41,27,FALSE)*AJ90+Q90+R90+S90-'Calc (ex-housing, ex-storage)'!AC90-AD90-AE90,IF(AI90=4,('Calc (ex-animal)'!$K$21+'Calc (ex-animal)'!$L$21)*'Calc (ex-housing, ex-storage)'!F90/100*VLOOKUP(D90,'DB technologies'!$N$40:$Y$51,12,FALSE)/100/VLOOKUP($C$86,'DB animal categories'!$C$32:$AC$41,27,FALSE)*AJ90+Q90+R90+S90-(VLOOKUP(D90,'DB technologies'!$N$40:$Y$51,12,FALSE)/100*AC90)-AD90-AE90,0))))))</f>
        <v/>
      </c>
      <c r="AY90" s="184" t="str">
        <f>IF(D90="","",IF(AS90=2,0,IF(AS90=1,'Calc (ex-animal)'!$N$21*'Calc (ex-housing, ex-storage)'!F90/100/VLOOKUP($C$86,'DB animal categories'!$C$32:$AC$41,27,FALSE)*AJ90+U90+V90+W90,IF(AS90=5,('Calc (ex-animal)'!$N$21+'Calc (ex-animal)'!$O$21)*'Calc (ex-housing, ex-storage)'!F90/100/VLOOKUP($C$86,'DB animal categories'!$C$32:$AC$41,27,FALSE)*AJ90+U90+V90+W90,IF(AS90=3,('Calc (ex-animal)'!$N$21+'Calc (ex-animal)'!$O$21)*'Calc (ex-housing, ex-storage)'!F90/100/VLOOKUP($C$86,'DB animal categories'!$C$32:$AC$41,27,FALSE)*AJ90+U90+V90+W90,IF(AS90=4,('Calc (ex-animal)'!$N$21+'Calc (ex-animal)'!$O$21)*'Calc (ex-housing, ex-storage)'!F90/100*VLOOKUP(D90,'DB technologies'!$N$40:$Y$51,12,FALSE)/100/VLOOKUP($C$86,'DB animal categories'!$C$32:$AC$41,27,FALSE)*AJ90+U90+V90+W90,0))))))</f>
        <v/>
      </c>
      <c r="AZ90" s="184" t="str">
        <f>IF(D90="","",IF(AS90=2,0,IF(AS90=1,'Calc (ex-animal)'!$Q$21*'Calc (ex-housing, ex-storage)'!F90/100/VLOOKUP($C$86,'DB animal categories'!$C$32:$AC$41,27,FALSE)*AJ90+Y90+Z90+AA90,IF(AS90=5,('Calc (ex-animal)'!$Q$21+'Calc (ex-animal)'!$R$21)*'Calc (ex-housing, ex-storage)'!F90/100/VLOOKUP($C$86,'DB animal categories'!$C$32:$AC$41,27,FALSE)*AJ90+Y90+Z90+AA90,IF(AS90=3,('Calc (ex-animal)'!$Q$21+'Calc (ex-animal)'!$R$21)*'Calc (ex-housing, ex-storage)'!F90/100/VLOOKUP($C$86,'DB animal categories'!$C$32:$AC$41,27,FALSE)*AJ90+Y90+Z90+AA90,IF(AS90=4,('Calc (ex-animal)'!$Q$21+'Calc (ex-animal)'!$R$21)*'Calc (ex-housing, ex-storage)'!F90/100*VLOOKUP(D90,'DB technologies'!$N$40:$Y$51,12,FALSE)/100/VLOOKUP($C$86,'DB animal categories'!$C$32:$AC$41,27,FALSE)*AJ90+Y90+Z90+AA90,0))))))</f>
        <v/>
      </c>
      <c r="BA90" s="98">
        <f>SUMIF(AS547:AS575,1,AT547:AT575)+SUMIF(AS547:AS575,5,AT547:AT575)</f>
        <v>0</v>
      </c>
      <c r="BB90" s="98">
        <f>SUMIF(AS547:AS575,1,AU547:AU575)+SUMIF(AS547:AS575,5,AU547:AU575)</f>
        <v>0</v>
      </c>
      <c r="BC90" s="506" t="e">
        <f>BB90/BA90*100</f>
        <v>#DIV/0!</v>
      </c>
      <c r="BD90" s="98">
        <f>SUMIF(AS547:AS575,1,AX547:AX575)+SUMIF(AS547:AS575,5,AX547:AX575)</f>
        <v>0</v>
      </c>
      <c r="BE90" s="98">
        <f>SUMIF(AS547:AS575,1,AY547:AY575)+SUMIF(AS547:AS575,5,AY547:AY575)</f>
        <v>0</v>
      </c>
      <c r="BF90" s="98">
        <f>SUMIF(AS547:AS575,1,AZ547:AZ575)+SUMIF(AS547:AS575,5,AZ547:AZ575)</f>
        <v>0</v>
      </c>
      <c r="BG90" s="1355"/>
      <c r="BH90" s="1363"/>
      <c r="BI90" s="599" t="str">
        <f>IF(BG90="","",$BA$90*BH90/100-($BB$90*BH90/100*VLOOKUP(BG90,'DB technologies'!$AC$16:$AT$20,5,FALSE)/100)+(VLOOKUP(BG90,'DB technologies'!$AC$16:$AT$20,12,FALSE)*$BA$90*BH90/100))</f>
        <v/>
      </c>
      <c r="BJ90" s="551">
        <f>IF(BI90="",0,BI90*BK90/100)</f>
        <v>0</v>
      </c>
      <c r="BK90" s="560" t="str">
        <f>IF(BG90="","",IF($BA$90=0,0,($BB$90*BH90/100)/BI90*(1-(VLOOKUP(BG90,'DB technologies'!$AC$16:$AQ$20,5,FALSE))/100)*100))</f>
        <v/>
      </c>
      <c r="BL90" s="259" t="str">
        <f>IF(BG90="","",$BD$90*BH90/100-BO90-BP90-BQ90-BR90)</f>
        <v/>
      </c>
      <c r="BM90" s="259" t="str">
        <f>IF(BG90="","",$BE$90*BH90/100-BS90)</f>
        <v/>
      </c>
      <c r="BN90" s="259" t="str">
        <f>IF(BG90="","",$BF$90*BH90/100-BT90)</f>
        <v/>
      </c>
      <c r="BO90" s="259" t="str">
        <f>IF(BG90="","",$BD$90*BH90/100*VLOOKUP(BG90,'DB technologies'!$AC$16:$AF$20,2,FALSE)/100)</f>
        <v/>
      </c>
      <c r="BP90" s="259" t="str">
        <f>IF(BG90="","",$BD$90*BH90/100*VLOOKUP(BG90,'DB technologies'!$AC$16:$AN$20,3,FALSE)/100)</f>
        <v/>
      </c>
      <c r="BQ90" s="260" t="str">
        <f>IF(BG90="","",$BD$90*BH90/100*VLOOKUP(BG90,'DB technologies'!$AC$16:$AN$20,4,FALSE)/100)</f>
        <v/>
      </c>
      <c r="BR90" s="263" t="str">
        <f>IF(BG90="","",VLOOKUP(BG90,'DB technologies'!$AC$16:$AQ$20,13,FALSE)/100*$BD$90*BH90/100)</f>
        <v/>
      </c>
      <c r="BS90" s="259" t="str">
        <f>IF(BG90="","",VLOOKUP(BG90,'DB technologies'!$AC$16:$AQ$20,14,FALSE)/100*$BE$90*BH90/100)</f>
        <v/>
      </c>
      <c r="BT90" s="260" t="str">
        <f>IF(BG90="","",VLOOKUP(BG90,'DB technologies'!$AC$16:$AQ$20,15,FALSE)/100*$BF$90*BH90/100)</f>
        <v/>
      </c>
    </row>
    <row r="91" spans="1:72" ht="12" customHeight="1" thickBot="1" x14ac:dyDescent="0.25">
      <c r="A91" s="684"/>
      <c r="B91" s="695"/>
      <c r="C91" s="256"/>
      <c r="D91" s="269" t="s">
        <v>58</v>
      </c>
      <c r="E91" s="270">
        <f>IF(F91&lt;=100,SUM(E86:E90),"ERROR")</f>
        <v>0</v>
      </c>
      <c r="F91" s="284">
        <f>IF(SUM(F86:F90) &lt;=100,SUM(F86:F90),"ERROR, SUM&gt;100%")</f>
        <v>0</v>
      </c>
      <c r="G91" s="492">
        <f>IF('Calc (ex-animal)'!$F$9=1,"",SUM(G86:G90))</f>
        <v>0</v>
      </c>
      <c r="H91" s="433">
        <f>IF('Calc (ex-animal)'!$F$8=1,"",SUM(H86:H90))</f>
        <v>0</v>
      </c>
      <c r="I91" s="433">
        <f>IF('Calc (ex-animal)'!$F$8=1,"",SUM(I86:I90))</f>
        <v>0</v>
      </c>
      <c r="J91" s="433">
        <f>IF('Calc (ex-animal)'!$F$8=1,"",SUM(J86:J90))</f>
        <v>0</v>
      </c>
      <c r="K91" s="433">
        <f>IF('Calc (ex-animal)'!$F$8=1,"",SUM(K86:K90))</f>
        <v>0</v>
      </c>
      <c r="L91" s="433">
        <f>IF('Calc (ex-animal)'!$F$8=1,"",SUM(L86:L90))</f>
        <v>0</v>
      </c>
      <c r="M91" s="470"/>
      <c r="N91" s="470"/>
      <c r="O91" s="470"/>
      <c r="P91" s="478">
        <f>IF(G91=0,0,IF('Calc (ex-animal)'!$F$9=1,"",IF(D91="","",SUM(H91:K91)/G91*100)))</f>
        <v>0</v>
      </c>
      <c r="Q91" s="271"/>
      <c r="R91" s="271"/>
      <c r="S91" s="271"/>
      <c r="T91" s="278">
        <f>IF('Calc (ex-animal)'!$F$21=1,"",SUM(T86:T90))</f>
        <v>0</v>
      </c>
      <c r="U91" s="279"/>
      <c r="V91" s="279"/>
      <c r="W91" s="279"/>
      <c r="X91" s="279">
        <f>IF('Calc (ex-animal)'!$F$21=1,"",SUM(X86:X90))</f>
        <v>0</v>
      </c>
      <c r="Y91" s="279"/>
      <c r="Z91" s="279"/>
      <c r="AA91" s="279"/>
      <c r="AB91" s="279">
        <f>IF('Calc (ex-animal)'!$F$21=1,"",SUM(AB86:AB90))</f>
        <v>0</v>
      </c>
      <c r="AC91" s="279">
        <f>IF('Calc (ex-animal)'!$F$21=1,"",SUM(AC86:AC90))</f>
        <v>0</v>
      </c>
      <c r="AD91" s="279">
        <f>IF('Calc (ex-animal)'!$F$21=1,"",SUM(AD86:AD90))</f>
        <v>0</v>
      </c>
      <c r="AE91" s="280">
        <f>IF('Calc (ex-animal)'!$F$21=1,"",SUM(AE86:AE90))</f>
        <v>0</v>
      </c>
      <c r="AG91" s="698"/>
      <c r="AH91" s="695"/>
      <c r="BG91" s="1357"/>
      <c r="BH91" s="1361"/>
      <c r="BI91" s="598" t="str">
        <f>IF(BG91="","",$BA$90*BH91/100-($BB$90*BH91/100*VLOOKUP(BG91,'DB technologies'!$AC$16:$AT$20,5,FALSE)/100)+(VLOOKUP(BG91,'DB technologies'!$AC$16:$AT$20,12,FALSE)*$BA$90*BH91/100))</f>
        <v/>
      </c>
      <c r="BJ91" s="551">
        <f>IF(BI91="",0,BI91*BK91/100)</f>
        <v>0</v>
      </c>
      <c r="BK91" s="561" t="str">
        <f>IF(BG91="","",IF($BA$90=0,0,($BB$90*BH91/100)/BI91*(1-(VLOOKUP(BG91,'DB technologies'!$AC$16:$AQ$20,5,FALSE))/100)*100))</f>
        <v/>
      </c>
      <c r="BL91" s="261" t="str">
        <f>IF(BG91="","",$BD$90*BH91/100-BO91-BP91-BQ91-BR91)</f>
        <v/>
      </c>
      <c r="BM91" s="261" t="str">
        <f>IF(BG91="","",$BE$90*BH91/100-BS91)</f>
        <v/>
      </c>
      <c r="BN91" s="261" t="str">
        <f>IF(BG91="","",$BF$90*BH91/100-BT91)</f>
        <v/>
      </c>
      <c r="BO91" s="261" t="str">
        <f>IF(BG91="","",$BD$90*BH91/100*VLOOKUP(BG91,'DB technologies'!$AC$16:$AF$20,2,FALSE)/100)</f>
        <v/>
      </c>
      <c r="BP91" s="261" t="str">
        <f>IF(BG91="","",$BD$90*BH91/100*VLOOKUP(BG91,'DB technologies'!$AC$16:$AN$20,3,FALSE)/100)</f>
        <v/>
      </c>
      <c r="BQ91" s="262" t="str">
        <f>IF(BG91="","",$BD$90*BH91/100*VLOOKUP(BG91,'DB technologies'!$AC$16:$AN$20,4,FALSE)/100)</f>
        <v/>
      </c>
      <c r="BR91" s="264" t="str">
        <f>IF(BG91="","",VLOOKUP(BG91,'DB technologies'!$AC$16:$AQ$20,13,FALSE)/100*$BD$90*BH91/100)</f>
        <v/>
      </c>
      <c r="BS91" s="261" t="str">
        <f>IF(BG91="","",VLOOKUP(BG91,'DB technologies'!$AC$16:$AQ$20,14,FALSE)/100*$BE$90*BH91/100)</f>
        <v/>
      </c>
      <c r="BT91" s="262" t="str">
        <f>IF(BG91="","",VLOOKUP(BG91,'DB technologies'!$AC$16:$AQ$20,15,FALSE)/100*$BF$90*BH91/100)</f>
        <v/>
      </c>
    </row>
    <row r="92" spans="1:72" ht="11.25" customHeight="1" x14ac:dyDescent="0.2">
      <c r="A92" s="684"/>
      <c r="B92" s="695"/>
      <c r="C92" s="250">
        <f>'Calc (ex-animal)'!D22</f>
        <v>0</v>
      </c>
      <c r="D92" s="1355"/>
      <c r="E92" s="1356"/>
      <c r="F92" s="479" t="str">
        <f>IF('Calc (ex-animal)'!$F$9=1,"",IF($C$92=0,"",IF(D92="","",E92/'Calc (ex-animal)'!$E$22*100)))</f>
        <v/>
      </c>
      <c r="G92" s="484" t="str">
        <f>IF($C$92=0,"",IF('Calc (ex-animal)'!$F$8=1,"",IF(D92="","",SUM(H92:O92))))</f>
        <v/>
      </c>
      <c r="H92" s="471" t="str">
        <f>IF('Calc (ex-animal)'!$F$8=1,"",IF(D92="","",(((VLOOKUP($C$92,'Calc (ex-animal)'!$D$18:$Y$22,6,FALSE)-VLOOKUP($C$92,'Calc (ex-animal)'!$D$18:$Y$22,17,FALSE))*F92/100))*VLOOKUP($C$92,'Calc (ex-animal)'!$D$18:$Y$22,7,FALSE)/100*(1-VLOOKUP(D92,'DB technologies'!$N$40:$Y$51,9,FALSE)/100)))</f>
        <v/>
      </c>
      <c r="I92" s="471" t="str">
        <f>IF(D92="","",((VLOOKUP(D92,'DB technologies'!$N$40:$Y$51,2,FALSE)*VLOOKUP($C$92,'DB animal categories'!$C$32:$AC$41,27,FALSE)*E92/1000)/VLOOKUP($C$92,'DB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'!$S$6/100*(1-VLOOKUP(D92,'DB technologies'!$N$40:$Y$51,9,FALSE)/100)))</f>
        <v/>
      </c>
      <c r="J92" s="472" t="str">
        <f>IF(D92="","",((VLOOKUP(D92,'DB technologies'!$N$40:$Y$51,3,FALSE)*VLOOKUP($C$92,'DB animal categories'!$C$32:$AC$41,27,FALSE)*E92/1000)/VLOOKUP($C$92,'DB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'!$S$7/100*(1-VLOOKUP(D92,'DB technologies'!$N$40:$Y$51,9,FALSE)/100)))</f>
        <v/>
      </c>
      <c r="K92" s="472" t="str">
        <f>IF(D92="","",((VLOOKUP(D92,'DB technologies'!$N$40:$Y$51,4,FALSE)*E92*'DB additional information '!$S$8/100*(1-VLOOKUP(D92,'DB technologies'!$N$40:$Y$51,9,FALSE)/100))/VLOOKUP($C$92,'DB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L92" s="471" t="str">
        <f>IF('Calc (ex-animal)'!$F$8=1,"",IF(D92="","",(((VLOOKUP($C$92,'Calc (ex-animal)'!$D$18:$Y$22,6,FALSE)-VLOOKUP($C$92,'Calc (ex-animal)'!$D$18:$Y$22,17,FALSE))*F92/100))*(1-VLOOKUP($C$92,'Calc (ex-animal)'!$D$18:$Y$22,7,FALSE)/100)*(1-VLOOKUP(D92,'DB technologies'!$N$40:$V$51,8,FALSE)/100)))</f>
        <v/>
      </c>
      <c r="M92" s="472" t="str">
        <f>IF(D92="","",((VLOOKUP(D92,'DB technologies'!$N$40:$Y$51,2,FALSE)*VLOOKUP($C$92,'DB animal categories'!$C$32:$AC$41,27,FALSE)*E92/1000)/VLOOKUP($C$92,'DB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'!$S$6/100)*(1-VLOOKUP(D92,'DB technologies'!$N$40:$Y$51,9,FALSE)/100))</f>
        <v/>
      </c>
      <c r="N92" s="472" t="str">
        <f>IF(D92="","",((VLOOKUP(D92,'DB technologies'!$N$40:$Y$51,3,FALSE)*VLOOKUP($C$92,'DB animal categories'!$C$32:$AC$41,27,FALSE)*E92/1000)/VLOOKUP($C$92,'DB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'!$S$7/100)*(1-VLOOKUP(D92,'DB technologies'!$N$40:$Y$51,9,FALSE)/100))</f>
        <v/>
      </c>
      <c r="O92" s="471" t="str">
        <f>IF(D92="","",((VLOOKUP(D92,'DB technologies'!$N$40:$Y$51,4,FALSE)*E92*(1-'DB additional information '!$S$8/100)*(1-VLOOKUP(D92,'DB technologies'!$N$40:$Y$51,8,FALSE)/100))/VLOOKUP($C$92,'DB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P92" s="443" t="str">
        <f>IF(G92=0,0,IF(E92="","",IF(F92="","",IF($C$92=0,"",IF(D92="","",SUM(H92:K92)/G92*100)))))</f>
        <v/>
      </c>
      <c r="Q92" s="473" t="str">
        <f>IF(D92="","",(VLOOKUP(D92,'DB technologies'!$N$40:$Y$51,2,FALSE)*'DB additional information '!$S$6/100*'DB additional information '!$T$6*VLOOKUP($C$92,'DB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R92" s="473" t="str">
        <f>IF(D92="","",(VLOOKUP(D92,'DB technologies'!$N$40:$Y$51,3,FALSE)*'DB additional information '!$S$7/100*'DB additional information '!$T$7*VLOOKUP($C$92,'DB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S92" s="490" t="str">
        <f>IF(D92="","",(VLOOKUP(D92,'DB technologies'!$N$40:$Y$51,4,FALSE)*('DB additional information '!$S$8/100*'DB additional information '!$T$8*E92/1000/1000)))</f>
        <v/>
      </c>
      <c r="T92" s="263" t="str">
        <f>IF($C$92=0,"",IF('Calc (ex-animal)'!$F$9=1,"",IF(D92="","",((VLOOKUP($C$92,'Calc (ex-animal)'!$D$18:$Y$22,10,FALSE)-VLOOKUP($C$92,'Calc (ex-animal)'!$D$18:$Y$22,18,FALSE))*F92/100+Q92+R92+S92)-AC92-AD92-AE92)))</f>
        <v/>
      </c>
      <c r="U92" s="474" t="str">
        <f>IF(D92="","",(VLOOKUP(D92,'DB technologies'!$N$40:$Y$51,2,FALSE)*'DB additional information '!$S$6/100*'DB additional information '!$U$6*VLOOKUP($C$92,'DB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V92" s="420" t="str">
        <f>IF(D92="","",(VLOOKUP(D92,'DB technologies'!$N$40:$Y$51,3,FALSE)*'DB additional information '!$S$7/100*'DB additional information '!$U$7*VLOOKUP($C$92,'DB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W92" s="415" t="str">
        <f>IF(D92="","",(VLOOKUP(D92,'DB technologies'!$N$40:$Y$51,4,FALSE)*('DB additional information '!$S$8/100*'DB additional information '!$U$8*E92/1000/1000)))</f>
        <v/>
      </c>
      <c r="X92" s="259" t="str">
        <f>IF($C$92=0,"",IF('Calc (ex-animal)'!$F$9=1,"",IF(D92="","",((VLOOKUP($C$92,'Calc (ex-animal)'!$D$18:$Y$22,13,FALSE)-VLOOKUP($C$92,'Calc (ex-animal)'!$D$18:$Y$22,19,FALSE))*F92/100+U92+V92+W92))))</f>
        <v/>
      </c>
      <c r="Y92" s="420" t="str">
        <f>IF(D92="","",(VLOOKUP(D92,'DB technologies'!$N$40:$Y$51,2,FALSE)*'DB additional information '!$S$6/100*'DB additional information '!$V$6*VLOOKUP($C$92,'DB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Z92" s="420" t="str">
        <f>IF(D92="","",(VLOOKUP(D92,'DB technologies'!$N$40:$Y$51,3,FALSE)*'DB additional information '!$S$7/100*'DB additional information '!$V$7*VLOOKUP($C$92,'DB animal categories'!$C$32:$AC$41,27,FALSE)*E92/1000/1000)/VLOOKUP($C$92,'DB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AA92" s="420" t="str">
        <f>IF(D92="","",(VLOOKUP(D92,'DB technologies'!$N$40:$Y$51,4,FALSE)*('DB additional information '!$S$8/100*'DB additional information '!$V$8*E92/1000/1000)))</f>
        <v/>
      </c>
      <c r="AB92" s="259" t="str">
        <f>IF($C$92=0,"",IF('Calc (ex-animal)'!$F$8=1,"",IF(D92="","",((VLOOKUP($C$92,'Calc (ex-animal)'!$D$18:$Y$22,16,FALSE)-VLOOKUP($C$92,'Calc (ex-animal)'!$D$18:$Y$22,20,FALSE))*F92/100+Y92+Z92+AA92))))</f>
        <v/>
      </c>
      <c r="AC92" s="259" t="str">
        <f>IF($C$92=0,"",IF('Calc (ex-animal)'!$F$8=1,"",IF(D92="","",VLOOKUP($C$92,'Calc (ex-animal)'!$D$18:$Y$22,9,FALSE)/VLOOKUP($C$92,'DB animal categories'!$C$32:$AC$41,27,FALSE)*(VLOOKUP($C$92,'DB animal categories'!$C$32:$AC$41,27,FALSE)-VLOOKUP($C$92,'DB animal categories'!$C$32:$AC$41,25,FALSE)*VLOOKUP($C$92,'DB animal categories'!$C$32:$AC$41,26,FALSE)/24)*F92/100*VLOOKUP(D92,'DB technologies'!$N$40:$R$51,5,FALSE)/100)))</f>
        <v/>
      </c>
      <c r="AD92" s="259" t="str">
        <f>IF($C$92=0,"",IF('Calc (ex-animal)'!$F$8=1,"",IF(D92="","",VLOOKUP($C$92,'Calc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categories'!$C$32:$AC$41,26,FALSE)/24)*F92/100*VLOOKUP(D92,'DB technologies'!$N$40:$Y$51,6,FALSE)/100)))</f>
        <v/>
      </c>
      <c r="AE92" s="260" t="str">
        <f>IF($C$92=0,"",IF('Calc (ex-animal)'!$F$8=1,"",IF(D92="","",VLOOKUP($C$92,'Calc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categories'!$C$32:$AC$41,26,FALSE)/24)*F92/100*VLOOKUP(D92,'DB technologies'!$N$40:$Y$51,7,FALSE)/100)))</f>
        <v/>
      </c>
      <c r="AG92" s="698"/>
      <c r="AH92" s="695"/>
      <c r="AI92" s="179" t="str">
        <f>IF(D92="","",VLOOKUP(D92,'DB technologies'!$N$40:$Y$51,10,FALSE))</f>
        <v/>
      </c>
      <c r="AJ92" s="482" t="e">
        <f>VLOOKUP($C$92,'DB animal categories'!$C$32:$AN$41,27,FALSE)-VLOOKUP($C$92,'DB animal categories'!$C$32:$AN$41,26,FALSE)*VLOOKUP($C$92,'DB animal categories'!$C$32:$AN$41,25,FALSE)/24</f>
        <v>#N/A</v>
      </c>
      <c r="AK92" s="453" t="str">
        <f>IF(AI92="","",AL92+AM92)</f>
        <v/>
      </c>
      <c r="AL92" s="453" t="str">
        <f>IF(D92="","",IF(AI92=2,(('Calc (ex-animal)'!$G$22*'DB additional information '!$K$7/100*(1-VLOOKUP(D92,'DB technologies'!$N$40:$Y$51,9,FALSE)/100)*'Calc (ex-housing, ex-storage)'!F92/100+'Calc (ex-animal)'!$H$22*'DB additional information '!$L$7/100*(1-VLOOKUP(D92,'DB technologies'!$N$40:$Y$51,9,FALSE)/100)*'Calc (ex-housing, ex-storage)'!F92/100))/VLOOKUP($C$92,'DB animal categories'!$C$32:$AC$41,27,FALSE)*AJ92+I92+J92+K92,IF(AI92=1,('Calc (ex-animal)'!$H$22*'DB additional information '!$L$7/100*(1-VLOOKUP(D92,'DB technologies'!$N$40:$Y$51,9,FALSE)/100)*'Calc (ex-housing, ex-storage)'!F92/100)/VLOOKUP($C$92,'DB animal categories'!$C$32:$AC$41,27,FALSE)*AJ92,IF(AI92=4,('Calc (ex-animal)'!$G$22*'DB additional information '!$K$7/100+'Calc (ex-animal)'!$H$22*'DB additional information '!$L$7/100)*(1-VLOOKUP(D92,'DB technologies'!$N$40:$Y$51,9,FALSE)/100)*'Calc (ex-housing, ex-storage)'!F92/100*VLOOKUP(D92,'DB technologies'!$N$40:$Y$51,11,FALSE)/100/VLOOKUP($C$92,'DB animal categories'!$C$32:$AC$41,27,FALSE)*AJ92,0))))</f>
        <v/>
      </c>
      <c r="AM92" s="453" t="str">
        <f>IF(D92="","",IF(AI92=2,(('Calc (ex-animal)'!$G$22*(1-'DB additional information '!$K$7/100)*(1-VLOOKUP(D92,'DB technologies'!$N$40:$Y$51,8,FALSE)/100)*'Calc (ex-housing, ex-storage)'!F92/100+'Calc (ex-animal)'!$H$22*(1-'DB additional information '!$L$7/100)*(1-VLOOKUP(D92,'DB technologies'!$N$40:$Y$51,8,FALSE)/100)*'Calc (ex-housing, ex-storage)'!F92/100))/VLOOKUP($C$92,'DB animal categories'!$C$32:$AC$41,27,FALSE)*AJ92+M92+N92+O92,IF(AI92=1,('Calc (ex-animal)'!$H$22*(1-'DB additional information '!$L$7/100)*(1-VLOOKUP(D92,'DB technologies'!$N$40:$Y$51,8,FALSE)/100)*'Calc (ex-housing, ex-storage)'!F92/100)/VLOOKUP($C$92,'DB animal categories'!$C$32:$AC$41,27,FALSE)*AJ92,IF(AI92=4,('Calc (ex-animal)'!$G$22*(1-'DB additional information '!$K$7/100)+'Calc (ex-animal)'!$H$22*(1-'DB additional information '!$L$7/100))*(1-VLOOKUP(D92,'DB technologies'!$N$40:$Y$51,8,FALSE)/100)*'Calc (ex-housing, ex-storage)'!F92/100*VLOOKUP(D92,'DB technologies'!$N$40:$Y$51,11,FALSE)/100/VLOOKUP($C$92,'DB animal categories'!$C$32:$AC$41,27,FALSE)*AJ92,0))))</f>
        <v/>
      </c>
      <c r="AN92" s="453" t="str">
        <f>IF(AI92="","",IF(AL92=0,0,AL92/AK92*100))</f>
        <v/>
      </c>
      <c r="AO92" s="180" t="str">
        <f>IF(D92="","",IF(AI92=2,(('Calc (ex-animal)'!$L$22*'Calc (ex-housing, ex-storage)'!F92/100+'Calc (ex-animal)'!$K$22*'Calc (ex-housing, ex-storage)'!F92/100))/VLOOKUP($C$92,'DB animal categories'!$C$32:$AC$41,27,FALSE)*AJ92+Q92+R92+S92-AC92,IF(AI92=1,('Calc (ex-animal)'!$L$22*'Calc (ex-housing, ex-storage)'!F92/100)/VLOOKUP($C$92,'DB animal categories'!$C$32:$AC$41,27,FALSE)*AJ92-'Calc (ex-housing, ex-storage)'!AC92,IF(AI92=4,('Calc (ex-animal)'!$L$22+'Calc (ex-animal)'!$K$22)*'Calc (ex-housing, ex-storage)'!F92/100*VLOOKUP(D92,'DB technologies'!$N$40:$Y$51,11,FALSE)/100/VLOOKUP($C$92,'DB animal categories'!$C$32:$AC$41,27,FALSE)*AJ92-AC92*VLOOKUP(D92,'DB technologies'!$N$40:$Y$51,11,FALSE)/100,0))))</f>
        <v/>
      </c>
      <c r="AP92" s="180" t="str">
        <f>IF(D92="","",IF(AO92&lt;-0.01,0,IF(AI92=2,(('Calc (ex-animal)'!$L$22*'Calc (ex-housing, ex-storage)'!F92/100+'Calc (ex-animal)'!$K$22*'Calc (ex-housing, ex-storage)'!F92/100))/VLOOKUP($C$92,'DB animal categories'!$C$32:$AC$41,27,FALSE)*AJ92+Q92+R92+S92-AC92,IF(AI92=1,('Calc (ex-animal)'!$L$22*'Calc (ex-housing, ex-storage)'!F92/100)/VLOOKUP($C$92,'DB animal categories'!$C$32:$AC$41,27,FALSE)*AJ92-'Calc (ex-housing, ex-storage)'!AC92,IF(AI92=4,('Calc (ex-animal)'!$L$22+'Calc (ex-animal)'!$K$22)*'Calc (ex-housing, ex-storage)'!F92/100*VLOOKUP(D92,'DB technologies'!$N$40:$Y$51,11,FALSE)/100/VLOOKUP($C$92,'DB animal categories'!$C$32:$AC$41,27,FALSE)*AJ92-AC92*VLOOKUP(D92,'DB technologies'!$N$40:$Y$51,11,FALSE)/100,0)))))</f>
        <v/>
      </c>
      <c r="AQ92" s="180" t="str">
        <f>IF(D92="","",IF(AI92=2,('Calc (ex-animal)'!$O$22*'Calc (ex-housing, ex-storage)'!F92/100+'Calc (ex-animal)'!$N$22*'Calc (ex-housing, ex-storage)'!F92/100)/VLOOKUP($C$92,'DB animal categories'!$C$32:$AC$41,27,FALSE)*AJ92+U92+V92+W92,IF(AI92=1,'Calc (ex-animal)'!$O$22*'Calc (ex-housing, ex-storage)'!F92/100/VLOOKUP($C$92,'DB animal categories'!$C$32:$AC$41,27,FALSE)*AJ92,IF(AI92=4,('Calc (ex-animal)'!$O$22+'Calc (ex-animal)'!$N$22)*'Calc (ex-housing, ex-storage)'!F92/100*VLOOKUP(D92,'DB technologies'!$N$40:$Y$51,11,FALSE)/100/VLOOKUP($C$92,'DB animal categories'!$C$32:$AC$41,27,FALSE)*AJ92,0))))</f>
        <v/>
      </c>
      <c r="AR92" s="180" t="str">
        <f>IF(D92="","",IF(AI92=2,('Calc (ex-animal)'!$R$22*'Calc (ex-housing, ex-storage)'!F92/100+'Calc (ex-animal)'!$Q$22*'Calc (ex-housing, ex-storage)'!F92/100)/VLOOKUP($C$92,'DB animal categories'!$C$32:$AC$41,27,FALSE)*AJ92+Y92+Z92+AA92,IF(AI92=1,'Calc (ex-animal)'!$R$22*'Calc (ex-housing, ex-storage)'!F92/100/VLOOKUP($C$92,'DB animal categories'!$C$32:$AC$41,27,FALSE)*AJ92,IF(AI92=4,('Calc (ex-animal)'!$R$22+'Calc (ex-animal)'!$Q$22)*'Calc (ex-housing, ex-storage)'!F92/100*VLOOKUP(D92,'DB technologies'!$N$40:$Y$51,11,FALSE)/100/VLOOKUP($C$92,'DB animal categories'!$C$32:$AC$41,27,FALSE)*AJ92,0))))</f>
        <v/>
      </c>
      <c r="AS92" s="179" t="str">
        <f>IF(D92="","",VLOOKUP(D92,'DB technologies'!$N$40:$Y$51,10,FALSE))</f>
        <v/>
      </c>
      <c r="AT92" s="453" t="str">
        <f>IF(AS92="","",AU92+AV92)</f>
        <v/>
      </c>
      <c r="AU92" s="453" t="str">
        <f>IF(D92="","",IF(AS92=2,0,IF(AS92=1,'Calc (ex-animal)'!$G$22*'DB additional information '!$K$7/100*(1-VLOOKUP(D92,'DB technologies'!$N$40:$Y$51,8,FALSE)/100)*'Calc (ex-housing, ex-storage)'!F92/100/VLOOKUP($C$92,'DB animal categories'!$C$32:$AC$41,27,FALSE)*AJ92+I92+J92+K92,IF(AS92=5,(('Calc (ex-animal)'!$G$22*'DB additional information '!$K$7/100+'Calc (ex-animal)'!$H$22*'DB additional information '!$L$7/100))*(1-VLOOKUP(D92,'DB technologies'!$N$40:$Y$51,9,FALSE)/100)*'Calc (ex-housing, ex-storage)'!F92/100/VLOOKUP($C$92,'DB animal categories'!$C$32:$AC$41,27,FALSE)*AJ92+I92+J92+K92,IF(AS92=3,('Calc (ex-animal)'!$G$22*'DB additional information '!$K$7/100+'Calc (ex-animal)'!$H$22*'DB additional information '!$L$7/100)*(1-VLOOKUP(D92,'DB technologies'!$N$40:$Y$51,9,FALSE)/100)*'Calc (ex-housing, ex-storage)'!F92/100/VLOOKUP($C$92,'DB animal categories'!$C$32:$AC$41,27,FALSE)*AJ92+I92+J92+K92,IF(AS92=4,('Calc (ex-animal)'!$G$22*'DB additional information '!$K$7/100+'Calc (ex-animal)'!$H$22*'DB additional information '!$L$7/100)*(1-VLOOKUP(D92,'DB technologies'!$N$40:$Y$51,9,FALSE)/100)*'Calc (ex-housing, ex-storage)'!F92/100*VLOOKUP(D92,'DB technologies'!$N$40:$Y$51,12,FALSE)/100/VLOOKUP($C$92,'DB animal categories'!$C$32:$AC$41,27,FALSE)*AJ92+I92+J92+K92,0))))))</f>
        <v/>
      </c>
      <c r="AV92" s="453" t="str">
        <f>IF(D92="","",IF(AS92=2,0,IF(AS92=1,'Calc (ex-animal)'!$G$22*(1-'DB additional information '!$K$7/100)*(1-VLOOKUP(D92,'DB technologies'!$N$40:$Y$51,8,FALSE)/100)*'Calc (ex-housing, ex-storage)'!F92/100/VLOOKUP($C$92,'DB animal categories'!$C$32:$AC$41,27,FALSE)*AJ92+M92+N92+O92,IF(AS92=5,('Calc (ex-animal)'!$G$22*(1-'DB additional information '!$K$7/100)+'Calc (ex-animal)'!$H$22*(1-'DB additional information '!$L$7/100))*(1-VLOOKUP(D92,'DB technologies'!$N$40:$Y$51,8,FALSE)/100)*'Calc (ex-housing, ex-storage)'!F92/100/VLOOKUP($C$92,'DB animal categories'!$C$32:$AC$41,27,FALSE)*AJ92+M92+N92+O92,IF(AS92=3,('Calc (ex-animal)'!$G$22*(1-'DB additional information '!$K$7/100)+'Calc (ex-animal)'!$H$22*(1-'DB additional information '!$L$7/100))*(1-VLOOKUP(D92,'DB technologies'!$N$40:$Y$51,8,FALSE)/100)*'Calc (ex-housing, ex-storage)'!F92/100/VLOOKUP($C$92,'DB animal categories'!$C$32:$AC$41,27,FALSE)*AJ92+M92+N92+O92,IF(AS92=4,('Calc (ex-animal)'!$G$22*(1-'DB additional information '!$K$7/100)+'Calc (ex-animal)'!$H$22*(1-'DB additional information '!$L$7/100))*(1-VLOOKUP(D92,'DB technologies'!$N$40:$Y$51,8,FALSE)/100)*'Calc (ex-housing, ex-storage)'!F92/100*VLOOKUP(D92,'DB technologies'!$N$40:$Y$51,12,FALSE)/100/VLOOKUP($C$92,'DB animal categories'!$C$32:$AC$41,27,FALSE)*AJ92+M92+N92+O92,0))))))</f>
        <v/>
      </c>
      <c r="AW92" s="453" t="str">
        <f>IF(AS92="","",IF(AU92=0,0,AU92/AT92*100))</f>
        <v/>
      </c>
      <c r="AX92" s="180" t="str">
        <f>IF(D92="","",IF(AS92=2,0,IF(AS92=1,'Calc (ex-animal)'!$K$22*'Calc (ex-housing, ex-storage)'!F92/100/VLOOKUP($C$92,'DB animal categories'!$C$32:$AC$41,27,FALSE)*AJ92+Q92+R92+S92,IF(AS92=5,('Calc (ex-animal)'!$K$22+'Calc (ex-animal)'!$L$22)*'Calc (ex-housing, ex-storage)'!F92/100/VLOOKUP($C$92,'DB animal categories'!$C$32:$AC$41,27,FALSE)*AJ92+Q92+R92+S92-'Calc (ex-housing, ex-storage)'!AC92,IF(AS92=3,('Calc (ex-animal)'!$K$22+'Calc (ex-animal)'!$L$22)*'Calc (ex-housing, ex-storage)'!F92/100/VLOOKUP($C$92,'DB animal categories'!$C$32:$AC$41,27,FALSE)*AJ92+Q92+R92+S92-'Calc (ex-housing, ex-storage)'!AC92-AD92-AE92,IF(AI92=4,('Calc (ex-animal)'!$K$22+'Calc (ex-animal)'!$L$22)*'Calc (ex-housing, ex-storage)'!F92/100*VLOOKUP(D92,'DB technologies'!$N$40:$Y$51,12,FALSE)/100/VLOOKUP($C$92,'DB animal categories'!$C$32:$AC$41,27,FALSE)*AJ92+Q92+R92+S92-(VLOOKUP(D92,'DB technologies'!$N$40:$Y$51,12,FALSE)/100*AC92)-AD92-AE92,0))))))</f>
        <v/>
      </c>
      <c r="AY92" s="180" t="str">
        <f>IF(D92="","",IF(AS92=2,0,IF(AS92=1,'Calc (ex-animal)'!$N$22*'Calc (ex-housing, ex-storage)'!F92/100/VLOOKUP($C$92,'DB animal categories'!$C$32:$AC$41,27,FALSE)*AJ92+U92+V92+W92,IF(AS92=5,('Calc (ex-animal)'!$N$22+'Calc (ex-animal)'!$O$22)*'Calc (ex-housing, ex-storage)'!F92/100/VLOOKUP($C$92,'DB animal categories'!$C$32:$AC$41,27,FALSE)*AJ92+U92+V92+W92,IF(AS92=3,('Calc (ex-animal)'!$N$22+'Calc (ex-animal)'!$O$22)*'Calc (ex-housing, ex-storage)'!F92/100/VLOOKUP($C$92,'DB animal categories'!$C$32:$AC$41,27,FALSE)*AJ92+U92+V92+W92,IF(AS92=4,('Calc (ex-animal)'!$N$22+'Calc (ex-animal)'!$O$22)*'Calc (ex-housing, ex-storage)'!F92/100*VLOOKUP(D92,'DB technologies'!$N$40:$Y$51,12,FALSE)/100/VLOOKUP($C$92,'DB animal categories'!$C$32:$AC$41,27,FALSE)*AJ92+U92+V92+W92,0))))))</f>
        <v/>
      </c>
      <c r="AZ92" s="180" t="str">
        <f>IF(D92="","",IF(AS92=2,0,IF(AS92=1,'Calc (ex-animal)'!$Q$22*'Calc (ex-housing, ex-storage)'!F92/100/VLOOKUP($C$92,'DB animal categories'!$C$32:$AC$41,27,FALSE)*AJ92+Y92+Z92+AA92,IF(AS92=5,('Calc (ex-animal)'!$Q$22+'Calc (ex-animal)'!$R$22)*'Calc (ex-housing, ex-storage)'!F92/100/VLOOKUP($C$92,'DB animal categories'!$C$32:$AC$41,27,FALSE)*AJ92+Y92+Z92+AA92,IF(AS92=3,('Calc (ex-animal)'!$Q$22+'Calc (ex-animal)'!$R$22)*'Calc (ex-housing, ex-storage)'!F92/100/VLOOKUP($C$92,'DB animal categories'!$C$32:$AC$41,27,FALSE)*AJ92+Y92+Z92+AA92,IF(AS92=4,('Calc (ex-animal)'!$Q$22+'Calc (ex-animal)'!$R$22)*'Calc (ex-housing, ex-storage)'!F92/100*VLOOKUP(D92,'DB technologies'!$N$40:$Y$51,12,FALSE)/100/VLOOKUP($C$92,'DB animal categories'!$C$32:$AC$41,27,FALSE)*AJ92+Y92+Z92+AA92,0))))))</f>
        <v/>
      </c>
      <c r="BA92" s="506"/>
      <c r="BB92" s="506"/>
      <c r="BC92" s="506"/>
      <c r="BG92" s="1357"/>
      <c r="BH92" s="1361"/>
      <c r="BI92" s="598" t="str">
        <f>IF(BG92="","",$BA$90*BH92/100-($BB$90*BH92/100*VLOOKUP(BG92,'DB technologies'!$AC$16:$AT$20,5,FALSE)/100)+(VLOOKUP(BG92,'DB technologies'!$AC$16:$AT$20,12,FALSE)*$BA$90*BH92/100))</f>
        <v/>
      </c>
      <c r="BJ92" s="551">
        <f>IF(BI92="",0,BI92*BK92/100)</f>
        <v>0</v>
      </c>
      <c r="BK92" s="561" t="str">
        <f>IF(BG92="","",IF($BA$90=0,0,($BB$90*BH92/100)/BI92*(1-(VLOOKUP(BG92,'DB technologies'!$AC$16:$AQ$20,5,FALSE))/100)*100))</f>
        <v/>
      </c>
      <c r="BL92" s="261" t="str">
        <f>IF(BG92="","",$BD$90*BH92/100-BO92-BP92-BQ92-BR92)</f>
        <v/>
      </c>
      <c r="BM92" s="261" t="str">
        <f>IF(BG92="","",$BE$90*BH92/100-BS92)</f>
        <v/>
      </c>
      <c r="BN92" s="261" t="str">
        <f>IF(BG92="","",$BF$90*BH92/100-BT92)</f>
        <v/>
      </c>
      <c r="BO92" s="261" t="str">
        <f>IF(BG92="","",$BD$90*BH92/100*VLOOKUP(BG92,'DB technologies'!$AC$16:$AF$20,2,FALSE)/100)</f>
        <v/>
      </c>
      <c r="BP92" s="261" t="str">
        <f>IF(BG92="","",$BD$90*BH92/100*VLOOKUP(BG92,'DB technologies'!$AC$16:$AN$20,3,FALSE)/100)</f>
        <v/>
      </c>
      <c r="BQ92" s="262" t="str">
        <f>IF(BG92="","",$BD$90*BH92/100*VLOOKUP(BG92,'DB technologies'!$AC$16:$AN$20,4,FALSE)/100)</f>
        <v/>
      </c>
      <c r="BR92" s="264" t="str">
        <f>IF(BG92="","",VLOOKUP(BG92,'DB technologies'!$AC$16:$AQ$20,13,FALSE)/100*$BD$90*BH92/100)</f>
        <v/>
      </c>
      <c r="BS92" s="261" t="str">
        <f>IF(BG92="","",VLOOKUP(BG92,'DB technologies'!$AC$16:$AQ$20,14,FALSE)/100*$BE$90*BH92/100)</f>
        <v/>
      </c>
      <c r="BT92" s="262" t="str">
        <f>IF(BG92="","",VLOOKUP(BG92,'DB technologies'!$AC$16:$AQ$20,15,FALSE)/100*$BF$90*BH92/100)</f>
        <v/>
      </c>
    </row>
    <row r="93" spans="1:72" ht="11.25" customHeight="1" x14ac:dyDescent="0.2">
      <c r="A93" s="684"/>
      <c r="B93" s="695"/>
      <c r="C93" s="255"/>
      <c r="D93" s="1357"/>
      <c r="E93" s="1358"/>
      <c r="F93" s="480" t="str">
        <f>IF('Calc (ex-animal)'!$F$9=1,"",IF($C$92=0,"",IF(D93="","",E93/'Calc (ex-animal)'!$E$22*100)))</f>
        <v/>
      </c>
      <c r="G93" s="485" t="str">
        <f>IF($C$92=0,"",IF('Calc (ex-animal)'!$F$8=1,"",IF(D93="","",SUM(H93:O93))))</f>
        <v/>
      </c>
      <c r="H93" s="423" t="str">
        <f>IF('Calc (ex-animal)'!$F$8=1,"",IF(D93="","",(((VLOOKUP($C$92,'Calc (ex-animal)'!$D$18:$Y$22,6,FALSE)-VLOOKUP($C$92,'Calc (ex-animal)'!$D$18:$Y$22,17,FALSE))*F93/100))*VLOOKUP($C$92,'Calc (ex-animal)'!$D$18:$Y$22,7,FALSE)/100*(1-VLOOKUP(D93,'DB technologies'!$N$40:$Y$51,9,FALSE)/100)))</f>
        <v/>
      </c>
      <c r="I93" s="423" t="str">
        <f>IF(D93="","",((VLOOKUP(D93,'DB technologies'!$N$40:$Y$51,2,FALSE)*VLOOKUP($C$92,'DB animal categories'!$C$32:$AC$41,27,FALSE)*E93/1000)/VLOOKUP($C$92,'DB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'!$S$6/100*(1-VLOOKUP(D93,'DB technologies'!$N$40:$Y$51,9,FALSE)/100)))</f>
        <v/>
      </c>
      <c r="J93" s="434" t="str">
        <f>IF(D93="","",((VLOOKUP(D93,'DB technologies'!$N$40:$Y$51,3,FALSE)*VLOOKUP($C$92,'DB animal categories'!$C$32:$AC$41,27,FALSE)*E93/1000)/VLOOKUP($C$92,'DB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'!$S$7/100*(1-VLOOKUP(D93,'DB technologies'!$N$40:$Y$51,9,FALSE)/100)))</f>
        <v/>
      </c>
      <c r="K93" s="434" t="str">
        <f>IF(D93="","",((VLOOKUP(D93,'DB technologies'!$N$40:$Y$51,4,FALSE)*E93*'DB additional information '!$S$8/100*(1-VLOOKUP(D93,'DB technologies'!$N$40:$Y$51,9,FALSE)/100))/VLOOKUP($C$92,'DB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L93" s="423" t="str">
        <f>IF('Calc (ex-animal)'!$F$8=1,"",IF(D93="","",(((VLOOKUP($C$92,'Calc (ex-animal)'!$D$18:$Y$22,6,FALSE)-VLOOKUP($C$92,'Calc (ex-animal)'!$D$18:$Y$22,17,FALSE))*F93/100))*(1-VLOOKUP($C$92,'Calc (ex-animal)'!$D$18:$Y$22,7,FALSE)/100)*(1-VLOOKUP(D93,'DB technologies'!$N$40:$V$51,8,FALSE)/100)))</f>
        <v/>
      </c>
      <c r="M93" s="434" t="str">
        <f>IF(D93="","",((VLOOKUP(D93,'DB technologies'!$N$40:$Y$51,2,FALSE)*VLOOKUP($C$92,'DB animal categories'!$C$32:$AC$41,27,FALSE)*E93/1000)/VLOOKUP($C$92,'DB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'!$S$6/100)*(1-VLOOKUP(D93,'DB technologies'!$N$40:$Y$51,9,FALSE)/100))</f>
        <v/>
      </c>
      <c r="N93" s="434" t="str">
        <f>IF(D93="","",((VLOOKUP(D93,'DB technologies'!$N$40:$Y$51,3,FALSE)*VLOOKUP($C$92,'DB animal categories'!$C$32:$AC$41,27,FALSE)*E93/1000)/VLOOKUP($C$92,'DB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'!$S$7/100)*(1-VLOOKUP(D93,'DB technologies'!$N$40:$Y$51,9,FALSE)/100))</f>
        <v/>
      </c>
      <c r="O93" s="423" t="str">
        <f>IF(D93="","",((VLOOKUP(D93,'DB technologies'!$N$40:$Y$51,4,FALSE)*E93*(1-'DB additional information '!$S$8/100)*(1-VLOOKUP(D93,'DB technologies'!$N$40:$Y$51,8,FALSE)/100))/VLOOKUP($C$92,'DB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P93" s="438" t="str">
        <f>IF(G93=0,0,IF(E93="","",IF(F93="","",IF($C$92=0,"",IF(D93="","",SUM(H93:K93)/G93*100)))))</f>
        <v/>
      </c>
      <c r="Q93" s="416" t="str">
        <f>IF(D93="","",(VLOOKUP(D93,'DB technologies'!$N$40:$Y$51,2,FALSE)*'DB additional information '!$S$6/100*'DB additional information '!$T$6*VLOOKUP($C$92,'DB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R93" s="416" t="str">
        <f>IF(D93="","",(VLOOKUP(D93,'DB technologies'!$N$40:$Y$51,3,FALSE)*'DB additional information '!$S$7/100*'DB additional information '!$T$7*VLOOKUP($C$92,'DB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S93" s="491" t="str">
        <f>IF(D93="","",(VLOOKUP(D93,'DB technologies'!$N$40:$Y$51,4,FALSE)*('DB additional information '!$S$8/100*'DB additional information '!$T$8*E93/1000/1000)))</f>
        <v/>
      </c>
      <c r="T93" s="264" t="str">
        <f>IF($C$92=0,"",IF('Calc (ex-animal)'!$F$9=1,"",IF(D93="","",((VLOOKUP($C$92,'Calc (ex-animal)'!$D$18:$Y$22,10,FALSE)-VLOOKUP($C$92,'Calc (ex-animal)'!$D$18:$Y$22,18,FALSE))*F93/100+Q93+R93+S93)-AC93-AD93-AE93)))</f>
        <v/>
      </c>
      <c r="U93" s="422" t="str">
        <f>IF(D93="","",(VLOOKUP(D93,'DB technologies'!$N$40:$Y$51,2,FALSE)*'DB additional information '!$S$6/100*'DB additional information '!$U$6*VLOOKUP($C$92,'DB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V93" s="418" t="str">
        <f>IF(D93="","",(VLOOKUP(D93,'DB technologies'!$N$40:$Y$51,3,FALSE)*'DB additional information '!$S$7/100*'DB additional information '!$U$7*VLOOKUP($C$92,'DB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W93" s="417" t="str">
        <f>IF(D93="","",(VLOOKUP(D93,'DB technologies'!$N$40:$Y$51,4,FALSE)*('DB additional information '!$S$8/100*'DB additional information '!$U$8*E93/1000/1000)))</f>
        <v/>
      </c>
      <c r="X93" s="261" t="str">
        <f>IF($C$92=0,"",IF('Calc (ex-animal)'!$F$9=1,"",IF(D93="","",((VLOOKUP($C$92,'Calc (ex-animal)'!$D$18:$Y$22,13,FALSE)-VLOOKUP($C$92,'Calc (ex-animal)'!$D$18:$Y$22,19,FALSE))*F93/100+U93+V93+W93))))</f>
        <v/>
      </c>
      <c r="Y93" s="418" t="str">
        <f>IF(D93="","",(VLOOKUP(D93,'DB technologies'!$N$40:$Y$51,2,FALSE)*'DB additional information '!$S$6/100*'DB additional information '!$V$6*VLOOKUP($C$92,'DB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Z93" s="418" t="str">
        <f>IF(D93="","",(VLOOKUP(D93,'DB technologies'!$N$40:$Y$51,3,FALSE)*'DB additional information '!$S$7/100*'DB additional information '!$V$7*VLOOKUP($C$92,'DB animal categories'!$C$32:$AC$41,27,FALSE)*E93/1000/1000)/VLOOKUP($C$92,'DB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AA93" s="418" t="str">
        <f>IF(D93="","",(VLOOKUP(D93,'DB technologies'!$N$40:$Y$51,4,FALSE)*('DB additional information '!$S$8/100*'DB additional information '!$V$8*E93/1000/1000)))</f>
        <v/>
      </c>
      <c r="AB93" s="261" t="str">
        <f>IF($C$92=0,"",IF('Calc (ex-animal)'!$F$8=1,"",IF(D93="","",((VLOOKUP($C$92,'Calc (ex-animal)'!$D$18:$Y$22,16,FALSE)-VLOOKUP($C$92,'Calc (ex-animal)'!$D$18:$Y$22,20,FALSE))*F93/100+Y93+Z93+AA93))))</f>
        <v/>
      </c>
      <c r="AC93" s="261" t="str">
        <f>IF($C$92=0,"",IF('Calc (ex-animal)'!$F$8=1,"",IF(D93="","",VLOOKUP($C$92,'Calc (ex-animal)'!$D$18:$Y$22,9,FALSE)/VLOOKUP($C$92,'DB animal categories'!$C$32:$AC$41,27,FALSE)*(VLOOKUP($C$92,'DB animal categories'!$C$32:$AC$41,27,FALSE)-VLOOKUP($C$92,'DB animal categories'!$C$32:$AC$41,25,FALSE)*VLOOKUP($C$92,'DB animal categories'!$C$32:$AC$41,26,FALSE)/24)*F93/100*VLOOKUP(D93,'DB technologies'!$N$40:$R$51,5,FALSE)/100)))</f>
        <v/>
      </c>
      <c r="AD93" s="261" t="str">
        <f>IF($C$92=0,"",IF('Calc (ex-animal)'!$F$8=1,"",IF(D93="","",VLOOKUP($C$92,'Calc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categories'!$C$32:$AC$41,26,FALSE)/24)*F93/100*VLOOKUP(D93,'DB technologies'!$N$40:$Y$51,6,FALSE)/100)))</f>
        <v/>
      </c>
      <c r="AE93" s="262" t="str">
        <f>IF($C$92=0,"",IF('Calc (ex-animal)'!$F$8=1,"",IF(D93="","",VLOOKUP($C$92,'Calc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categories'!$C$32:$AC$41,26,FALSE)/24)*F93/100*VLOOKUP(D93,'DB technologies'!$N$40:$Y$51,7,FALSE)/100)))</f>
        <v/>
      </c>
      <c r="AG93" s="698"/>
      <c r="AH93" s="695"/>
      <c r="AI93" s="181" t="str">
        <f>IF(D93="","",VLOOKUP(D93,'DB technologies'!$N$40:$Y$51,10,FALSE))</f>
        <v/>
      </c>
      <c r="AJ93" s="449" t="e">
        <f>VLOOKUP($C$92,'DB animal categories'!$C$32:$AN$41,27,FALSE)-VLOOKUP($C$92,'DB animal categories'!$C$32:$AN$41,26,FALSE)*VLOOKUP($C$92,'DB animal categories'!$C$32:$AN$41,25,FALSE)/24</f>
        <v>#N/A</v>
      </c>
      <c r="AK93" s="442" t="str">
        <f>IF(AI93="","",AL93+AM93)</f>
        <v/>
      </c>
      <c r="AL93" s="442" t="str">
        <f>IF(D93="","",IF(AI93=2,(('Calc (ex-animal)'!$G$22*'DB additional information '!$K$7/100*(1-VLOOKUP(D93,'DB technologies'!$N$40:$Y$51,9,FALSE)/100)*'Calc (ex-housing, ex-storage)'!F93/100+'Calc (ex-animal)'!$H$22*'DB additional information '!$L$7/100*(1-VLOOKUP(D93,'DB technologies'!$N$40:$Y$51,9,FALSE)/100)*'Calc (ex-housing, ex-storage)'!F93/100))/VLOOKUP($C$92,'DB animal categories'!$C$32:$AC$41,27,FALSE)*AJ93+I93+J93+K93,IF(AI93=1,('Calc (ex-animal)'!$H$22*'DB additional information '!$L$7/100*(1-VLOOKUP(D93,'DB technologies'!$N$40:$Y$51,9,FALSE)/100)*'Calc (ex-housing, ex-storage)'!F93/100)/VLOOKUP($C$92,'DB animal categories'!$C$32:$AC$41,27,FALSE)*AJ93,IF(AI93=4,('Calc (ex-animal)'!$G$22*'DB additional information '!$K$7/100+'Calc (ex-animal)'!$H$22*'DB additional information '!$L$7/100)*(1-VLOOKUP(D93,'DB technologies'!$N$40:$Y$51,9,FALSE)/100)*'Calc (ex-housing, ex-storage)'!F93/100*VLOOKUP(D93,'DB technologies'!$N$40:$Y$51,11,FALSE)/100/VLOOKUP($C$92,'DB animal categories'!$C$32:$AC$41,27,FALSE)*AJ93,0))))</f>
        <v/>
      </c>
      <c r="AM93" s="442" t="str">
        <f>IF(D93="","",IF(AI93=2,(('Calc (ex-animal)'!$G$22*(1-'DB additional information '!$K$7/100)*(1-VLOOKUP(D93,'DB technologies'!$N$40:$Y$51,8,FALSE)/100)*'Calc (ex-housing, ex-storage)'!F93/100+'Calc (ex-animal)'!$H$22*(1-'DB additional information '!$L$7/100)*(1-VLOOKUP(D93,'DB technologies'!$N$40:$Y$51,8,FALSE)/100)*'Calc (ex-housing, ex-storage)'!F93/100))/VLOOKUP($C$92,'DB animal categories'!$C$32:$AC$41,27,FALSE)*AJ93+M93+N93+O93,IF(AI93=1,('Calc (ex-animal)'!$H$22*(1-'DB additional information '!$L$7/100)*(1-VLOOKUP(D93,'DB technologies'!$N$40:$Y$51,8,FALSE)/100)*'Calc (ex-housing, ex-storage)'!F93/100)/VLOOKUP($C$92,'DB animal categories'!$C$32:$AC$41,27,FALSE)*AJ93,IF(AI93=4,('Calc (ex-animal)'!$G$22*(1-'DB additional information '!$K$7/100)+'Calc (ex-animal)'!$H$22*(1-'DB additional information '!$L$7/100))*(1-VLOOKUP(D93,'DB technologies'!$N$40:$Y$51,8,FALSE)/100)*'Calc (ex-housing, ex-storage)'!F93/100*VLOOKUP(D93,'DB technologies'!$N$40:$Y$51,11,FALSE)/100/VLOOKUP($C$92,'DB animal categories'!$C$32:$AC$41,27,FALSE)*AJ93,0))))</f>
        <v/>
      </c>
      <c r="AN93" s="442" t="str">
        <f>IF(AI93="","",IF(AL93=0,0,AL93/AK93*100))</f>
        <v/>
      </c>
      <c r="AO93" s="182" t="str">
        <f>IF(D93="","",IF(AI93=2,(('Calc (ex-animal)'!$L$22*'Calc (ex-housing, ex-storage)'!F93/100+'Calc (ex-animal)'!$K$22*'Calc (ex-housing, ex-storage)'!F93/100))/VLOOKUP($C$92,'DB animal categories'!$C$32:$AC$41,27,FALSE)*AJ93+Q93+R93+S93-AC93,IF(AI93=1,('Calc (ex-animal)'!$L$22*'Calc (ex-housing, ex-storage)'!F93/100)/VLOOKUP($C$92,'DB animal categories'!$C$32:$AC$41,27,FALSE)*AJ93-'Calc (ex-housing, ex-storage)'!AC93,IF(AI93=4,('Calc (ex-animal)'!$L$22+'Calc (ex-animal)'!$K$22)*'Calc (ex-housing, ex-storage)'!F93/100*VLOOKUP(D93,'DB technologies'!$N$40:$Y$51,11,FALSE)/100/VLOOKUP($C$92,'DB animal categories'!$C$32:$AC$41,27,FALSE)*AJ93-AC93*VLOOKUP(D93,'DB technologies'!$N$40:$Y$51,11,FALSE)/100,0))))</f>
        <v/>
      </c>
      <c r="AP93" s="182" t="str">
        <f>IF(D93="","",IF(AO93&lt;-0.01,0,IF(AI93=2,(('Calc (ex-animal)'!$L$22*'Calc (ex-housing, ex-storage)'!F93/100+'Calc (ex-animal)'!$K$22*'Calc (ex-housing, ex-storage)'!F93/100))/VLOOKUP($C$92,'DB animal categories'!$C$32:$AC$41,27,FALSE)*AJ93+Q93+R93+S93-AC93,IF(AI93=1,('Calc (ex-animal)'!$L$22*'Calc (ex-housing, ex-storage)'!F93/100)/VLOOKUP($C$92,'DB animal categories'!$C$32:$AC$41,27,FALSE)*AJ93-'Calc (ex-housing, ex-storage)'!AC93,IF(AI93=4,('Calc (ex-animal)'!$L$22+'Calc (ex-animal)'!$K$22)*'Calc (ex-housing, ex-storage)'!F93/100*VLOOKUP(D93,'DB technologies'!$N$40:$Y$51,11,FALSE)/100/VLOOKUP($C$92,'DB animal categories'!$C$32:$AC$41,27,FALSE)*AJ93-AC93*VLOOKUP(D93,'DB technologies'!$N$40:$Y$51,11,FALSE)/100,0)))))</f>
        <v/>
      </c>
      <c r="AQ93" s="182" t="str">
        <f>IF(D93="","",IF(AI93=2,('Calc (ex-animal)'!$O$22*'Calc (ex-housing, ex-storage)'!F93/100+'Calc (ex-animal)'!$N$22*'Calc (ex-housing, ex-storage)'!F93/100)/VLOOKUP($C$92,'DB animal categories'!$C$32:$AC$41,27,FALSE)*AJ93+U93+V93+W93,IF(AI93=1,'Calc (ex-animal)'!$O$22*'Calc (ex-housing, ex-storage)'!F93/100/VLOOKUP($C$92,'DB animal categories'!$C$32:$AC$41,27,FALSE)*AJ93,IF(AI93=4,('Calc (ex-animal)'!$O$22+'Calc (ex-animal)'!$N$22)*'Calc (ex-housing, ex-storage)'!F93/100*VLOOKUP(D93,'DB technologies'!$N$40:$Y$51,11,FALSE)/100/VLOOKUP($C$92,'DB animal categories'!$C$32:$AC$41,27,FALSE)*AJ93,0))))</f>
        <v/>
      </c>
      <c r="AR93" s="182" t="str">
        <f>IF(D93="","",IF(AI93=2,('Calc (ex-animal)'!$R$22*'Calc (ex-housing, ex-storage)'!F93/100+'Calc (ex-animal)'!$Q$22*'Calc (ex-housing, ex-storage)'!F93/100)/VLOOKUP($C$92,'DB animal categories'!$C$32:$AC$41,27,FALSE)*AJ93+Y93+Z93+AA93,IF(AI93=1,'Calc (ex-animal)'!$R$22*'Calc (ex-housing, ex-storage)'!F93/100/VLOOKUP($C$92,'DB animal categories'!$C$32:$AC$41,27,FALSE)*AJ93,IF(AI93=4,('Calc (ex-animal)'!$R$22+'Calc (ex-animal)'!$Q$22)*'Calc (ex-housing, ex-storage)'!F93/100*VLOOKUP(D93,'DB technologies'!$N$40:$Y$51,11,FALSE)/100/VLOOKUP($C$92,'DB animal categories'!$C$32:$AC$41,27,FALSE)*AJ93,0))))</f>
        <v/>
      </c>
      <c r="AS93" s="181" t="str">
        <f>IF(D93="","",VLOOKUP(D93,'DB technologies'!$N$40:$Y$51,10,FALSE))</f>
        <v/>
      </c>
      <c r="AT93" s="442" t="str">
        <f>IF(AS93="","",AU93+AV93)</f>
        <v/>
      </c>
      <c r="AU93" s="442" t="str">
        <f>IF(D93="","",IF(AS93=2,0,IF(AS93=1,'Calc (ex-animal)'!$G$22*'DB additional information '!$K$7/100*(1-VLOOKUP(D93,'DB technologies'!$N$40:$Y$51,8,FALSE)/100)*'Calc (ex-housing, ex-storage)'!F93/100/VLOOKUP($C$92,'DB animal categories'!$C$32:$AC$41,27,FALSE)*AJ93+I93+J93+K93,IF(AS93=5,(('Calc (ex-animal)'!$G$22*'DB additional information '!$K$7/100+'Calc (ex-animal)'!$H$22*'DB additional information '!$L$7/100))*(1-VLOOKUP(D93,'DB technologies'!$N$40:$Y$51,9,FALSE)/100)*'Calc (ex-housing, ex-storage)'!F93/100/VLOOKUP($C$92,'DB animal categories'!$C$32:$AC$41,27,FALSE)*AJ93+I93+J93+K93,IF(AS93=3,('Calc (ex-animal)'!$G$22*'DB additional information '!$K$7/100+'Calc (ex-animal)'!$H$22*'DB additional information '!$L$7/100)*(1-VLOOKUP(D93,'DB technologies'!$N$40:$Y$51,9,FALSE)/100)*'Calc (ex-housing, ex-storage)'!F93/100/VLOOKUP($C$92,'DB animal categories'!$C$32:$AC$41,27,FALSE)*AJ93+I93+J93+K93,IF(AS93=4,('Calc (ex-animal)'!$G$22*'DB additional information '!$K$7/100+'Calc (ex-animal)'!$H$22*'DB additional information '!$L$7/100)*(1-VLOOKUP(D93,'DB technologies'!$N$40:$Y$51,9,FALSE)/100)*'Calc (ex-housing, ex-storage)'!F93/100*VLOOKUP(D93,'DB technologies'!$N$40:$Y$51,12,FALSE)/100/VLOOKUP($C$92,'DB animal categories'!$C$32:$AC$41,27,FALSE)*AJ93+I93+J93+K93,0))))))</f>
        <v/>
      </c>
      <c r="AV93" s="442" t="str">
        <f>IF(D93="","",IF(AS93=2,0,IF(AS93=1,'Calc (ex-animal)'!$G$22*(1-'DB additional information '!$K$7/100)*(1-VLOOKUP(D93,'DB technologies'!$N$40:$Y$51,8,FALSE)/100)*'Calc (ex-housing, ex-storage)'!F93/100/VLOOKUP($C$92,'DB animal categories'!$C$32:$AC$41,27,FALSE)*AJ93+M93+N93+O93,IF(AS93=5,('Calc (ex-animal)'!$G$22*(1-'DB additional information '!$K$7/100)+'Calc (ex-animal)'!$H$22*(1-'DB additional information '!$L$7/100))*(1-VLOOKUP(D93,'DB technologies'!$N$40:$Y$51,8,FALSE)/100)*'Calc (ex-housing, ex-storage)'!F93/100/VLOOKUP($C$92,'DB animal categories'!$C$32:$AC$41,27,FALSE)*AJ93+M93+N93+O93,IF(AS93=3,('Calc (ex-animal)'!$G$22*(1-'DB additional information '!$K$7/100)+'Calc (ex-animal)'!$H$22*(1-'DB additional information '!$L$7/100))*(1-VLOOKUP(D93,'DB technologies'!$N$40:$Y$51,8,FALSE)/100)*'Calc (ex-housing, ex-storage)'!F93/100/VLOOKUP($C$92,'DB animal categories'!$C$32:$AC$41,27,FALSE)*AJ93+M93+N93+O93,IF(AS93=4,('Calc (ex-animal)'!$G$22*(1-'DB additional information '!$K$7/100)+'Calc (ex-animal)'!$H$22*(1-'DB additional information '!$L$7/100))*(1-VLOOKUP(D93,'DB technologies'!$N$40:$Y$51,8,FALSE)/100)*'Calc (ex-housing, ex-storage)'!F93/100*VLOOKUP(D93,'DB technologies'!$N$40:$Y$51,12,FALSE)/100/VLOOKUP($C$92,'DB animal categories'!$C$32:$AC$41,27,FALSE)*AJ93+M93+N93+O93,0))))))</f>
        <v/>
      </c>
      <c r="AW93" s="442" t="str">
        <f>IF(AS93="","",IF(AU93=0,0,AU93/AT93*100))</f>
        <v/>
      </c>
      <c r="AX93" s="182" t="str">
        <f>IF(D93="","",IF(AS93=2,0,IF(AS93=1,'Calc (ex-animal)'!$K$22*'Calc (ex-housing, ex-storage)'!F93/100/VLOOKUP($C$92,'DB animal categories'!$C$32:$AC$41,27,FALSE)*AJ93+Q93+R93+S93,IF(AS93=5,('Calc (ex-animal)'!$K$22+'Calc (ex-animal)'!$L$22)*'Calc (ex-housing, ex-storage)'!F93/100/VLOOKUP($C$92,'DB animal categories'!$C$32:$AC$41,27,FALSE)*AJ93+Q93+R93+S93-'Calc (ex-housing, ex-storage)'!AC93,IF(AS93=3,('Calc (ex-animal)'!$K$22+'Calc (ex-animal)'!$L$22)*'Calc (ex-housing, ex-storage)'!F93/100/VLOOKUP($C$92,'DB animal categories'!$C$32:$AC$41,27,FALSE)*AJ93+Q93+R93+S93-'Calc (ex-housing, ex-storage)'!AC93-AD93-AE93,IF(AI93=4,('Calc (ex-animal)'!$K$22+'Calc (ex-animal)'!$L$22)*'Calc (ex-housing, ex-storage)'!F93/100*VLOOKUP(D93,'DB technologies'!$N$40:$Y$51,12,FALSE)/100/VLOOKUP($C$92,'DB animal categories'!$C$32:$AC$41,27,FALSE)*AJ93+Q93+R93+S93-(VLOOKUP(D93,'DB technologies'!$N$40:$Y$51,12,FALSE)/100*AC93)-AD93-AE93,0))))))</f>
        <v/>
      </c>
      <c r="AY93" s="182" t="str">
        <f>IF(D93="","",IF(AS93=2,0,IF(AS93=1,'Calc (ex-animal)'!$N$22*'Calc (ex-housing, ex-storage)'!F93/100/VLOOKUP($C$92,'DB animal categories'!$C$32:$AC$41,27,FALSE)*AJ93+U93+V93+W93,IF(AS93=5,('Calc (ex-animal)'!$N$22+'Calc (ex-animal)'!$O$22)*'Calc (ex-housing, ex-storage)'!F93/100/VLOOKUP($C$92,'DB animal categories'!$C$32:$AC$41,27,FALSE)*AJ93+U93+V93+W93,IF(AS93=3,('Calc (ex-animal)'!$N$22+'Calc (ex-animal)'!$O$22)*'Calc (ex-housing, ex-storage)'!F93/100/VLOOKUP($C$92,'DB animal categories'!$C$32:$AC$41,27,FALSE)*AJ93+U93+V93+W93,IF(AS93=4,('Calc (ex-animal)'!$N$22+'Calc (ex-animal)'!$O$22)*'Calc (ex-housing, ex-storage)'!F93/100*VLOOKUP(D93,'DB technologies'!$N$40:$Y$51,12,FALSE)/100/VLOOKUP($C$92,'DB animal categories'!$C$32:$AC$41,27,FALSE)*AJ93+U93+V93+W93,0))))))</f>
        <v/>
      </c>
      <c r="AZ93" s="182" t="str">
        <f>IF(D93="","",IF(AS93=2,0,IF(AS93=1,'Calc (ex-animal)'!$Q$22*'Calc (ex-housing, ex-storage)'!F93/100/VLOOKUP($C$92,'DB animal categories'!$C$32:$AC$41,27,FALSE)*AJ93+Y93+Z93+AA93,IF(AS93=5,('Calc (ex-animal)'!$Q$22+'Calc (ex-animal)'!$R$22)*'Calc (ex-housing, ex-storage)'!F93/100/VLOOKUP($C$92,'DB animal categories'!$C$32:$AC$41,27,FALSE)*AJ93+Y93+Z93+AA93,IF(AS93=3,('Calc (ex-animal)'!$Q$22+'Calc (ex-animal)'!$R$22)*'Calc (ex-housing, ex-storage)'!F93/100/VLOOKUP($C$92,'DB animal categories'!$C$32:$AC$41,27,FALSE)*AJ93+Y93+Z93+AA93,IF(AS93=4,('Calc (ex-animal)'!$Q$22+'Calc (ex-animal)'!$R$22)*'Calc (ex-housing, ex-storage)'!F93/100*VLOOKUP(D93,'DB technologies'!$N$40:$Y$51,12,FALSE)/100/VLOOKUP($C$92,'DB animal categories'!$C$32:$AC$41,27,FALSE)*AJ93+Y93+Z93+AA93,0))))))</f>
        <v/>
      </c>
      <c r="BA93" s="506"/>
      <c r="BB93" s="506"/>
      <c r="BC93" s="506"/>
      <c r="BE93" s="111"/>
      <c r="BG93" s="1357"/>
      <c r="BH93" s="1361"/>
      <c r="BI93" s="598" t="str">
        <f>IF(BG93="","",$BA$90*BH93/100-($BB$90*BH93/100*VLOOKUP(BG93,'DB technologies'!$AC$16:$AT$20,5,FALSE)/100)+(VLOOKUP(BG93,'DB technologies'!$AC$16:$AT$20,12,FALSE)*$BA$90*BH93/100))</f>
        <v/>
      </c>
      <c r="BJ93" s="551">
        <f>IF(BI93="",0,BI93*BK93/100)</f>
        <v>0</v>
      </c>
      <c r="BK93" s="561" t="str">
        <f>IF(BG93="","",IF($BA$90=0,0,($BB$90*BH93/100)/BI93*(1-(VLOOKUP(BG93,'DB technologies'!$AC$16:$AQ$20,5,FALSE))/100)*100))</f>
        <v/>
      </c>
      <c r="BL93" s="261" t="str">
        <f>IF(BG93="","",$BD$90*BH93/100-BO93-BP93-BQ93-BR93)</f>
        <v/>
      </c>
      <c r="BM93" s="261" t="str">
        <f>IF(BG93="","",$BE$90*BH93/100-BS93)</f>
        <v/>
      </c>
      <c r="BN93" s="261" t="str">
        <f>IF(BG93="","",$BF$90*BH93/100-BT93)</f>
        <v/>
      </c>
      <c r="BO93" s="261" t="str">
        <f>IF(BG93="","",$BD$90*BH93/100*VLOOKUP(BG93,'DB technologies'!$AC$16:$AF$20,2,FALSE)/100)</f>
        <v/>
      </c>
      <c r="BP93" s="261" t="str">
        <f>IF(BG93="","",$BD$90*BH93/100*VLOOKUP(BG93,'DB technologies'!$AC$16:$AN$20,3,FALSE)/100)</f>
        <v/>
      </c>
      <c r="BQ93" s="262" t="str">
        <f>IF(BG93="","",$BD$90*BH93/100*VLOOKUP(BG93,'DB technologies'!$AC$16:$AN$20,4,FALSE)/100)</f>
        <v/>
      </c>
      <c r="BR93" s="264" t="str">
        <f>IF(BG93="","",VLOOKUP(BG93,'DB technologies'!$AC$16:$AQ$20,13,FALSE)/100*$BD$90*BH93/100)</f>
        <v/>
      </c>
      <c r="BS93" s="261" t="str">
        <f>IF(BG93="","",VLOOKUP(BG93,'DB technologies'!$AC$16:$AQ$20,14,FALSE)/100*$BE$90*BH93/100)</f>
        <v/>
      </c>
      <c r="BT93" s="262" t="str">
        <f>IF(BG93="","",VLOOKUP(BG93,'DB technologies'!$AC$16:$AQ$20,15,FALSE)/100*$BF$90*BH93/100)</f>
        <v/>
      </c>
    </row>
    <row r="94" spans="1:72" ht="11.25" customHeight="1" thickBot="1" x14ac:dyDescent="0.25">
      <c r="A94" s="684"/>
      <c r="B94" s="695"/>
      <c r="C94" s="255"/>
      <c r="D94" s="1357"/>
      <c r="E94" s="1358"/>
      <c r="F94" s="480" t="str">
        <f>IF('Calc (ex-animal)'!$F$9=1,"",IF($C$92=0,"",IF(D94="","",E94/'Calc (ex-animal)'!$E$22*100)))</f>
        <v/>
      </c>
      <c r="G94" s="485" t="str">
        <f>IF($C$92=0,"",IF('Calc (ex-animal)'!$F$8=1,"",IF(D94="","",SUM(H94:O94))))</f>
        <v/>
      </c>
      <c r="H94" s="423" t="str">
        <f>IF('Calc (ex-animal)'!$F$8=1,"",IF(D94="","",(((VLOOKUP($C$92,'Calc (ex-animal)'!$D$18:$Y$22,6,FALSE)-VLOOKUP($C$92,'Calc (ex-animal)'!$D$18:$Y$22,17,FALSE))*F94/100))*VLOOKUP($C$92,'Calc (ex-animal)'!$D$18:$Y$22,7,FALSE)/100*(1-VLOOKUP(D94,'DB technologies'!$N$40:$Y$51,9,FALSE)/100)))</f>
        <v/>
      </c>
      <c r="I94" s="423" t="str">
        <f>IF(D94="","",((VLOOKUP(D94,'DB technologies'!$N$40:$Y$51,2,FALSE)*VLOOKUP($C$92,'DB animal categories'!$C$32:$AC$41,27,FALSE)*E94/1000)/VLOOKUP($C$92,'DB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'!$S$6/100*(1-VLOOKUP(D94,'DB technologies'!$N$40:$Y$51,9,FALSE)/100)))</f>
        <v/>
      </c>
      <c r="J94" s="434" t="str">
        <f>IF(D94="","",((VLOOKUP(D94,'DB technologies'!$N$40:$Y$51,3,FALSE)*VLOOKUP($C$92,'DB animal categories'!$C$32:$AC$41,27,FALSE)*E94/1000)/VLOOKUP($C$92,'DB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'!$S$7/100*(1-VLOOKUP(D94,'DB technologies'!$N$40:$Y$51,9,FALSE)/100)))</f>
        <v/>
      </c>
      <c r="K94" s="434" t="str">
        <f>IF(D94="","",((VLOOKUP(D94,'DB technologies'!$N$40:$Y$51,4,FALSE)*E94*'DB additional information '!$S$8/100*(1-VLOOKUP(D94,'DB technologies'!$N$40:$Y$51,9,FALSE)/100))/VLOOKUP($C$92,'DB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L94" s="423" t="str">
        <f>IF('Calc (ex-animal)'!$F$8=1,"",IF(D94="","",(((VLOOKUP($C$92,'Calc (ex-animal)'!$D$18:$Y$22,6,FALSE)-VLOOKUP($C$92,'Calc (ex-animal)'!$D$18:$Y$22,17,FALSE))*F94/100))*(1-VLOOKUP($C$92,'Calc (ex-animal)'!$D$18:$Y$22,7,FALSE)/100)*(1-VLOOKUP(D94,'DB technologies'!$N$40:$V$51,8,FALSE)/100)))</f>
        <v/>
      </c>
      <c r="M94" s="434" t="str">
        <f>IF(D94="","",((VLOOKUP(D94,'DB technologies'!$N$40:$Y$51,2,FALSE)*VLOOKUP($C$92,'DB animal categories'!$C$32:$AC$41,27,FALSE)*E94/1000)/VLOOKUP($C$92,'DB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'!$S$6/100)*(1-VLOOKUP(D94,'DB technologies'!$N$40:$Y$51,9,FALSE)/100))</f>
        <v/>
      </c>
      <c r="N94" s="434" t="str">
        <f>IF(D94="","",((VLOOKUP(D94,'DB technologies'!$N$40:$Y$51,3,FALSE)*VLOOKUP($C$92,'DB animal categories'!$C$32:$AC$41,27,FALSE)*E94/1000)/VLOOKUP($C$92,'DB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'!$S$7/100)*(1-VLOOKUP(D94,'DB technologies'!$N$40:$Y$51,9,FALSE)/100))</f>
        <v/>
      </c>
      <c r="O94" s="423" t="str">
        <f>IF(D94="","",((VLOOKUP(D94,'DB technologies'!$N$40:$Y$51,4,FALSE)*E94*(1-'DB additional information '!$S$8/100)*(1-VLOOKUP(D94,'DB technologies'!$N$40:$Y$51,8,FALSE)/100))/VLOOKUP($C$92,'DB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P94" s="438" t="str">
        <f>IF(G94=0,0,IF(E94="","",IF(F94="","",IF($C$92=0,"",IF(D94="","",SUM(H94:K94)/G94*100)))))</f>
        <v/>
      </c>
      <c r="Q94" s="416" t="str">
        <f>IF(D94="","",(VLOOKUP(D94,'DB technologies'!$N$40:$Y$51,2,FALSE)*'DB additional information '!$S$6/100*'DB additional information '!$T$6*VLOOKUP($C$92,'DB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R94" s="416" t="str">
        <f>IF(D94="","",(VLOOKUP(D94,'DB technologies'!$N$40:$Y$51,3,FALSE)*'DB additional information '!$S$7/100*'DB additional information '!$T$7*VLOOKUP($C$92,'DB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S94" s="491" t="str">
        <f>IF(D94="","",(VLOOKUP(D94,'DB technologies'!$N$40:$Y$51,4,FALSE)*('DB additional information '!$S$8/100*'DB additional information '!$T$8*E94/1000/1000)))</f>
        <v/>
      </c>
      <c r="T94" s="264" t="str">
        <f>IF($C$92=0,"",IF('Calc (ex-animal)'!$F$9=1,"",IF(D94="","",((VLOOKUP($C$92,'Calc (ex-animal)'!$D$18:$Y$22,10,FALSE)-VLOOKUP($C$92,'Calc (ex-animal)'!$D$18:$Y$22,18,FALSE))*F94/100+Q94+R94+S94)-AC94-AD94-AE94)))</f>
        <v/>
      </c>
      <c r="U94" s="422" t="str">
        <f>IF(D94="","",(VLOOKUP(D94,'DB technologies'!$N$40:$Y$51,2,FALSE)*'DB additional information '!$S$6/100*'DB additional information '!$U$6*VLOOKUP($C$92,'DB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V94" s="418" t="str">
        <f>IF(D94="","",(VLOOKUP(D94,'DB technologies'!$N$40:$Y$51,3,FALSE)*'DB additional information '!$S$7/100*'DB additional information '!$U$7*VLOOKUP($C$92,'DB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W94" s="417" t="str">
        <f>IF(D94="","",(VLOOKUP(D94,'DB technologies'!$N$40:$Y$51,4,FALSE)*('DB additional information '!$S$8/100*'DB additional information '!$U$8*E94/1000/1000)))</f>
        <v/>
      </c>
      <c r="X94" s="261" t="str">
        <f>IF($C$92=0,"",IF('Calc (ex-animal)'!$F$9=1,"",IF(D94="","",((VLOOKUP($C$92,'Calc (ex-animal)'!$D$18:$Y$22,13,FALSE)-VLOOKUP($C$92,'Calc (ex-animal)'!$D$18:$Y$22,19,FALSE))*F94/100+U94+V94+W94))))</f>
        <v/>
      </c>
      <c r="Y94" s="418" t="str">
        <f>IF(D94="","",(VLOOKUP(D94,'DB technologies'!$N$40:$Y$51,2,FALSE)*'DB additional information '!$S$6/100*'DB additional information '!$V$6*VLOOKUP($C$92,'DB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Z94" s="418" t="str">
        <f>IF(D94="","",(VLOOKUP(D94,'DB technologies'!$N$40:$Y$51,3,FALSE)*'DB additional information '!$S$7/100*'DB additional information '!$V$7*VLOOKUP($C$92,'DB animal categories'!$C$32:$AC$41,27,FALSE)*E94/1000/1000)/VLOOKUP($C$92,'DB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AA94" s="418" t="str">
        <f>IF(D94="","",(VLOOKUP(D94,'DB technologies'!$N$40:$Y$51,4,FALSE)*('DB additional information '!$S$8/100*'DB additional information '!$V$8*E94/1000/1000)))</f>
        <v/>
      </c>
      <c r="AB94" s="261" t="str">
        <f>IF($C$92=0,"",IF('Calc (ex-animal)'!$F$8=1,"",IF(D94="","",((VLOOKUP($C$92,'Calc (ex-animal)'!$D$18:$Y$22,16,FALSE)-VLOOKUP($C$92,'Calc (ex-animal)'!$D$18:$Y$22,20,FALSE))*F94/100+Y94+Z94+AA94))))</f>
        <v/>
      </c>
      <c r="AC94" s="261" t="str">
        <f>IF($C$92=0,"",IF('Calc (ex-animal)'!$F$8=1,"",IF(D94="","",VLOOKUP($C$92,'Calc (ex-animal)'!$D$18:$Y$22,9,FALSE)/VLOOKUP($C$92,'DB animal categories'!$C$32:$AC$41,27,FALSE)*(VLOOKUP($C$92,'DB animal categories'!$C$32:$AC$41,27,FALSE)-VLOOKUP($C$92,'DB animal categories'!$C$32:$AC$41,25,FALSE)*VLOOKUP($C$92,'DB animal categories'!$C$32:$AC$41,26,FALSE)/24)*F94/100*VLOOKUP(D94,'DB technologies'!$N$40:$R$51,5,FALSE)/100)))</f>
        <v/>
      </c>
      <c r="AD94" s="261" t="str">
        <f>IF($C$92=0,"",IF('Calc (ex-animal)'!$F$8=1,"",IF(D94="","",VLOOKUP($C$92,'Calc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categories'!$C$32:$AC$41,26,FALSE)/24)*F94/100*VLOOKUP(D94,'DB technologies'!$N$40:$Y$51,6,FALSE)/100)))</f>
        <v/>
      </c>
      <c r="AE94" s="262" t="str">
        <f>IF($C$92=0,"",IF('Calc (ex-animal)'!$F$8=1,"",IF(D94="","",VLOOKUP($C$92,'Calc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categories'!$C$32:$AC$41,26,FALSE)/24)*F94/100*VLOOKUP(D94,'DB technologies'!$N$40:$Y$51,7,FALSE)/100)))</f>
        <v/>
      </c>
      <c r="AG94" s="698"/>
      <c r="AH94" s="695"/>
      <c r="AI94" s="181" t="str">
        <f>IF(D94="","",VLOOKUP(D94,'DB technologies'!$N$40:$Y$51,10,FALSE))</f>
        <v/>
      </c>
      <c r="AJ94" s="449" t="e">
        <f>VLOOKUP($C$92,'DB animal categories'!$C$32:$AN$41,27,FALSE)-VLOOKUP($C$92,'DB animal categories'!$C$32:$AN$41,26,FALSE)*VLOOKUP($C$92,'DB animal categories'!$C$32:$AN$41,25,FALSE)/24</f>
        <v>#N/A</v>
      </c>
      <c r="AK94" s="442" t="str">
        <f>IF(AI94="","",AL94+AM94)</f>
        <v/>
      </c>
      <c r="AL94" s="442" t="str">
        <f>IF(D94="","",IF(AI94=2,(('Calc (ex-animal)'!$G$22*'DB additional information '!$K$7/100*(1-VLOOKUP(D94,'DB technologies'!$N$40:$Y$51,9,FALSE)/100)*'Calc (ex-housing, ex-storage)'!F94/100+'Calc (ex-animal)'!$H$22*'DB additional information '!$L$7/100*(1-VLOOKUP(D94,'DB technologies'!$N$40:$Y$51,9,FALSE)/100)*'Calc (ex-housing, ex-storage)'!F94/100))/VLOOKUP($C$92,'DB animal categories'!$C$32:$AC$41,27,FALSE)*AJ94+I94+J94+K94,IF(AI94=1,('Calc (ex-animal)'!$H$22*'DB additional information '!$L$7/100*(1-VLOOKUP(D94,'DB technologies'!$N$40:$Y$51,9,FALSE)/100)*'Calc (ex-housing, ex-storage)'!F94/100)/VLOOKUP($C$92,'DB animal categories'!$C$32:$AC$41,27,FALSE)*AJ94,IF(AI94=4,('Calc (ex-animal)'!$G$22*'DB additional information '!$K$7/100+'Calc (ex-animal)'!$H$22*'DB additional information '!$L$7/100)*(1-VLOOKUP(D94,'DB technologies'!$N$40:$Y$51,9,FALSE)/100)*'Calc (ex-housing, ex-storage)'!F94/100*VLOOKUP(D94,'DB technologies'!$N$40:$Y$51,11,FALSE)/100/VLOOKUP($C$92,'DB animal categories'!$C$32:$AC$41,27,FALSE)*AJ94,0))))</f>
        <v/>
      </c>
      <c r="AM94" s="442" t="str">
        <f>IF(D94="","",IF(AI94=2,(('Calc (ex-animal)'!$G$22*(1-'DB additional information '!$K$7/100)*(1-VLOOKUP(D94,'DB technologies'!$N$40:$Y$51,8,FALSE)/100)*'Calc (ex-housing, ex-storage)'!F94/100+'Calc (ex-animal)'!$H$22*(1-'DB additional information '!$L$7/100)*(1-VLOOKUP(D94,'DB technologies'!$N$40:$Y$51,8,FALSE)/100)*'Calc (ex-housing, ex-storage)'!F94/100))/VLOOKUP($C$92,'DB animal categories'!$C$32:$AC$41,27,FALSE)*AJ94+M94+N94+O94,IF(AI94=1,('Calc (ex-animal)'!$H$22*(1-'DB additional information '!$L$7/100)*(1-VLOOKUP(D94,'DB technologies'!$N$40:$Y$51,8,FALSE)/100)*'Calc (ex-housing, ex-storage)'!F94/100)/VLOOKUP($C$92,'DB animal categories'!$C$32:$AC$41,27,FALSE)*AJ94,IF(AI94=4,('Calc (ex-animal)'!$G$22*(1-'DB additional information '!$K$7/100)+'Calc (ex-animal)'!$H$22*(1-'DB additional information '!$L$7/100))*(1-VLOOKUP(D94,'DB technologies'!$N$40:$Y$51,8,FALSE)/100)*'Calc (ex-housing, ex-storage)'!F94/100*VLOOKUP(D94,'DB technologies'!$N$40:$Y$51,11,FALSE)/100/VLOOKUP($C$92,'DB animal categories'!$C$32:$AC$41,27,FALSE)*AJ94,0))))</f>
        <v/>
      </c>
      <c r="AN94" s="442" t="str">
        <f>IF(AI94="","",IF(AL94=0,0,AL94/AK94*100))</f>
        <v/>
      </c>
      <c r="AO94" s="182" t="str">
        <f>IF(D94="","",IF(AI94=2,(('Calc (ex-animal)'!$L$22*'Calc (ex-housing, ex-storage)'!F94/100+'Calc (ex-animal)'!$K$22*'Calc (ex-housing, ex-storage)'!F94/100))/VLOOKUP($C$92,'DB animal categories'!$C$32:$AC$41,27,FALSE)*AJ94+Q94+R94+S94-AC94,IF(AI94=1,('Calc (ex-animal)'!$L$22*'Calc (ex-housing, ex-storage)'!F94/100)/VLOOKUP($C$92,'DB animal categories'!$C$32:$AC$41,27,FALSE)*AJ94-'Calc (ex-housing, ex-storage)'!AC94,IF(AI94=4,('Calc (ex-animal)'!$L$22+'Calc (ex-animal)'!$K$22)*'Calc (ex-housing, ex-storage)'!F94/100*VLOOKUP(D94,'DB technologies'!$N$40:$Y$51,11,FALSE)/100/VLOOKUP($C$92,'DB animal categories'!$C$32:$AC$41,27,FALSE)*AJ94-AC94*VLOOKUP(D94,'DB technologies'!$N$40:$Y$51,11,FALSE)/100,0))))</f>
        <v/>
      </c>
      <c r="AP94" s="182" t="str">
        <f>IF(D94="","",IF(AO94&lt;-0.01,0,IF(AI94=2,(('Calc (ex-animal)'!$L$22*'Calc (ex-housing, ex-storage)'!F94/100+'Calc (ex-animal)'!$K$22*'Calc (ex-housing, ex-storage)'!F94/100))/VLOOKUP($C$92,'DB animal categories'!$C$32:$AC$41,27,FALSE)*AJ94+Q94+R94+S94-AC94,IF(AI94=1,('Calc (ex-animal)'!$L$22*'Calc (ex-housing, ex-storage)'!F94/100)/VLOOKUP($C$92,'DB animal categories'!$C$32:$AC$41,27,FALSE)*AJ94-'Calc (ex-housing, ex-storage)'!AC94,IF(AI94=4,('Calc (ex-animal)'!$L$22+'Calc (ex-animal)'!$K$22)*'Calc (ex-housing, ex-storage)'!F94/100*VLOOKUP(D94,'DB technologies'!$N$40:$Y$51,11,FALSE)/100/VLOOKUP($C$92,'DB animal categories'!$C$32:$AC$41,27,FALSE)*AJ94-AC94*VLOOKUP(D94,'DB technologies'!$N$40:$Y$51,11,FALSE)/100,0)))))</f>
        <v/>
      </c>
      <c r="AQ94" s="182" t="str">
        <f>IF(D94="","",IF(AI94=2,('Calc (ex-animal)'!$O$22*'Calc (ex-housing, ex-storage)'!F94/100+'Calc (ex-animal)'!$N$22*'Calc (ex-housing, ex-storage)'!F94/100)/VLOOKUP($C$92,'DB animal categories'!$C$32:$AC$41,27,FALSE)*AJ94+U94+V94+W94,IF(AI94=1,'Calc (ex-animal)'!$O$22*'Calc (ex-housing, ex-storage)'!F94/100/VLOOKUP($C$92,'DB animal categories'!$C$32:$AC$41,27,FALSE)*AJ94,IF(AI94=4,('Calc (ex-animal)'!$O$22+'Calc (ex-animal)'!$N$22)*'Calc (ex-housing, ex-storage)'!F94/100*VLOOKUP(D94,'DB technologies'!$N$40:$Y$51,11,FALSE)/100/VLOOKUP($C$92,'DB animal categories'!$C$32:$AC$41,27,FALSE)*AJ94,0))))</f>
        <v/>
      </c>
      <c r="AR94" s="182" t="str">
        <f>IF(D94="","",IF(AI94=2,('Calc (ex-animal)'!$R$22*'Calc (ex-housing, ex-storage)'!F94/100+'Calc (ex-animal)'!$Q$22*'Calc (ex-housing, ex-storage)'!F94/100)/VLOOKUP($C$92,'DB animal categories'!$C$32:$AC$41,27,FALSE)*AJ94+Y94+Z94+AA94,IF(AI94=1,'Calc (ex-animal)'!$R$22*'Calc (ex-housing, ex-storage)'!F94/100/VLOOKUP($C$92,'DB animal categories'!$C$32:$AC$41,27,FALSE)*AJ94,IF(AI94=4,('Calc (ex-animal)'!$R$22+'Calc (ex-animal)'!$Q$22)*'Calc (ex-housing, ex-storage)'!F94/100*VLOOKUP(D94,'DB technologies'!$N$40:$Y$51,11,FALSE)/100/VLOOKUP($C$92,'DB animal categories'!$C$32:$AC$41,27,FALSE)*AJ94,0))))</f>
        <v/>
      </c>
      <c r="AS94" s="181" t="str">
        <f>IF(D94="","",VLOOKUP(D94,'DB technologies'!$N$40:$Y$51,10,FALSE))</f>
        <v/>
      </c>
      <c r="AT94" s="442" t="str">
        <f>IF(AS94="","",AU94+AV94)</f>
        <v/>
      </c>
      <c r="AU94" s="442" t="str">
        <f>IF(D94="","",IF(AS94=2,0,IF(AS94=1,'Calc (ex-animal)'!$G$22*'DB additional information '!$K$7/100*(1-VLOOKUP(D94,'DB technologies'!$N$40:$Y$51,8,FALSE)/100)*'Calc (ex-housing, ex-storage)'!F94/100/VLOOKUP($C$92,'DB animal categories'!$C$32:$AC$41,27,FALSE)*AJ94+I94+J94+K94,IF(AS94=5,(('Calc (ex-animal)'!$G$22*'DB additional information '!$K$7/100+'Calc (ex-animal)'!$H$22*'DB additional information '!$L$7/100))*(1-VLOOKUP(D94,'DB technologies'!$N$40:$Y$51,9,FALSE)/100)*'Calc (ex-housing, ex-storage)'!F94/100/VLOOKUP($C$92,'DB animal categories'!$C$32:$AC$41,27,FALSE)*AJ94+I94+J94+K94,IF(AS94=3,('Calc (ex-animal)'!$G$22*'DB additional information '!$K$7/100+'Calc (ex-animal)'!$H$22*'DB additional information '!$L$7/100)*(1-VLOOKUP(D94,'DB technologies'!$N$40:$Y$51,9,FALSE)/100)*'Calc (ex-housing, ex-storage)'!F94/100/VLOOKUP($C$92,'DB animal categories'!$C$32:$AC$41,27,FALSE)*AJ94+I94+J94+K94,IF(AS94=4,('Calc (ex-animal)'!$G$22*'DB additional information '!$K$7/100+'Calc (ex-animal)'!$H$22*'DB additional information '!$L$7/100)*(1-VLOOKUP(D94,'DB technologies'!$N$40:$Y$51,9,FALSE)/100)*'Calc (ex-housing, ex-storage)'!F94/100*VLOOKUP(D94,'DB technologies'!$N$40:$Y$51,12,FALSE)/100/VLOOKUP($C$92,'DB animal categories'!$C$32:$AC$41,27,FALSE)*AJ94+I94+J94+K94,0))))))</f>
        <v/>
      </c>
      <c r="AV94" s="442" t="str">
        <f>IF(D94="","",IF(AS94=2,0,IF(AS94=1,'Calc (ex-animal)'!$G$22*(1-'DB additional information '!$K$7/100)*(1-VLOOKUP(D94,'DB technologies'!$N$40:$Y$51,8,FALSE)/100)*'Calc (ex-housing, ex-storage)'!F94/100/VLOOKUP($C$92,'DB animal categories'!$C$32:$AC$41,27,FALSE)*AJ94+M94+N94+O94,IF(AS94=5,('Calc (ex-animal)'!$G$22*(1-'DB additional information '!$K$7/100)+'Calc (ex-animal)'!$H$22*(1-'DB additional information '!$L$7/100))*(1-VLOOKUP(D94,'DB technologies'!$N$40:$Y$51,8,FALSE)/100)*'Calc (ex-housing, ex-storage)'!F94/100/VLOOKUP($C$92,'DB animal categories'!$C$32:$AC$41,27,FALSE)*AJ94+M94+N94+O94,IF(AS94=3,('Calc (ex-animal)'!$G$22*(1-'DB additional information '!$K$7/100)+'Calc (ex-animal)'!$H$22*(1-'DB additional information '!$L$7/100))*(1-VLOOKUP(D94,'DB technologies'!$N$40:$Y$51,8,FALSE)/100)*'Calc (ex-housing, ex-storage)'!F94/100/VLOOKUP($C$92,'DB animal categories'!$C$32:$AC$41,27,FALSE)*AJ94+M94+N94+O94,IF(AS94=4,('Calc (ex-animal)'!$G$22*(1-'DB additional information '!$K$7/100)+'Calc (ex-animal)'!$H$22*(1-'DB additional information '!$L$7/100))*(1-VLOOKUP(D94,'DB technologies'!$N$40:$Y$51,8,FALSE)/100)*'Calc (ex-housing, ex-storage)'!F94/100*VLOOKUP(D94,'DB technologies'!$N$40:$Y$51,12,FALSE)/100/VLOOKUP($C$92,'DB animal categories'!$C$32:$AC$41,27,FALSE)*AJ94+M94+N94+O94,0))))))</f>
        <v/>
      </c>
      <c r="AW94" s="442" t="str">
        <f>IF(AS94="","",IF(AU94=0,0,AU94/AT94*100))</f>
        <v/>
      </c>
      <c r="AX94" s="182" t="str">
        <f>IF(D94="","",IF(AS94=2,0,IF(AS94=1,'Calc (ex-animal)'!$K$22*'Calc (ex-housing, ex-storage)'!F94/100/VLOOKUP($C$92,'DB animal categories'!$C$32:$AC$41,27,FALSE)*AJ94+Q94+R94+S94,IF(AS94=5,('Calc (ex-animal)'!$K$22+'Calc (ex-animal)'!$L$22)*'Calc (ex-housing, ex-storage)'!F94/100/VLOOKUP($C$92,'DB animal categories'!$C$32:$AC$41,27,FALSE)*AJ94+Q94+R94+S94-'Calc (ex-housing, ex-storage)'!AC94,IF(AS94=3,('Calc (ex-animal)'!$K$22+'Calc (ex-animal)'!$L$22)*'Calc (ex-housing, ex-storage)'!F94/100/VLOOKUP($C$92,'DB animal categories'!$C$32:$AC$41,27,FALSE)*AJ94+Q94+R94+S94-'Calc (ex-housing, ex-storage)'!AC94-AD94-AE94,IF(AI94=4,('Calc (ex-animal)'!$K$22+'Calc (ex-animal)'!$L$22)*'Calc (ex-housing, ex-storage)'!F94/100*VLOOKUP(D94,'DB technologies'!$N$40:$Y$51,12,FALSE)/100/VLOOKUP($C$92,'DB animal categories'!$C$32:$AC$41,27,FALSE)*AJ94+Q94+R94+S94-(VLOOKUP(D94,'DB technologies'!$N$40:$Y$51,12,FALSE)/100*AC94)-AD94-AE94,0))))))</f>
        <v/>
      </c>
      <c r="AY94" s="182" t="str">
        <f>IF(D94="","",IF(AS94=2,0,IF(AS94=1,'Calc (ex-animal)'!$N$22*'Calc (ex-housing, ex-storage)'!F94/100/VLOOKUP($C$92,'DB animal categories'!$C$32:$AC$41,27,FALSE)*AJ94+U94+V94+W94,IF(AS94=5,('Calc (ex-animal)'!$N$22+'Calc (ex-animal)'!$O$22)*'Calc (ex-housing, ex-storage)'!F94/100/VLOOKUP($C$92,'DB animal categories'!$C$32:$AC$41,27,FALSE)*AJ94+U94+V94+W94,IF(AS94=3,('Calc (ex-animal)'!$N$22+'Calc (ex-animal)'!$O$22)*'Calc (ex-housing, ex-storage)'!F94/100/VLOOKUP($C$92,'DB animal categories'!$C$32:$AC$41,27,FALSE)*AJ94+U94+V94+W94,IF(AS94=4,('Calc (ex-animal)'!$N$22+'Calc (ex-animal)'!$O$22)*'Calc (ex-housing, ex-storage)'!F94/100*VLOOKUP(D94,'DB technologies'!$N$40:$Y$51,12,FALSE)/100/VLOOKUP($C$92,'DB animal categories'!$C$32:$AC$41,27,FALSE)*AJ94+U94+V94+W94,0))))))</f>
        <v/>
      </c>
      <c r="AZ94" s="182" t="str">
        <f>IF(D94="","",IF(AS94=2,0,IF(AS94=1,'Calc (ex-animal)'!$Q$22*'Calc (ex-housing, ex-storage)'!F94/100/VLOOKUP($C$92,'DB animal categories'!$C$32:$AC$41,27,FALSE)*AJ94+Y94+Z94+AA94,IF(AS94=5,('Calc (ex-animal)'!$Q$22+'Calc (ex-animal)'!$R$22)*'Calc (ex-housing, ex-storage)'!F94/100/VLOOKUP($C$92,'DB animal categories'!$C$32:$AC$41,27,FALSE)*AJ94+Y94+Z94+AA94,IF(AS94=3,('Calc (ex-animal)'!$Q$22+'Calc (ex-animal)'!$R$22)*'Calc (ex-housing, ex-storage)'!F94/100/VLOOKUP($C$92,'DB animal categories'!$C$32:$AC$41,27,FALSE)*AJ94+Y94+Z94+AA94,IF(AS94=4,('Calc (ex-animal)'!$Q$22+'Calc (ex-animal)'!$R$22)*'Calc (ex-housing, ex-storage)'!F94/100*VLOOKUP(D94,'DB technologies'!$N$40:$Y$51,12,FALSE)/100/VLOOKUP($C$92,'DB animal categories'!$C$32:$AC$41,27,FALSE)*AJ94+Y94+Z94+AA94,0))))))</f>
        <v/>
      </c>
      <c r="BA94" s="506"/>
      <c r="BB94" s="506"/>
      <c r="BC94" s="506"/>
      <c r="BG94" s="1359"/>
      <c r="BH94" s="1362"/>
      <c r="BI94" s="600" t="str">
        <f>IF(BG94="","",$BA$90*BH94/100-($BB$90*BH94/100*VLOOKUP(BG94,'DB technologies'!$AC$16:$AT$20,5,FALSE)/100)+(VLOOKUP(BG94,'DB technologies'!$AC$16:$AT$20,12,FALSE)*$BA$90*BH94/100))</f>
        <v/>
      </c>
      <c r="BJ94" s="551">
        <f>IF(BI94="",0,BI94*BK94/100)</f>
        <v>0</v>
      </c>
      <c r="BK94" s="509" t="str">
        <f>IF(BG94="","",IF($BA$90=0,0,($BB$90*BH94/100)/BI94*(1-(VLOOKUP(BG94,'DB technologies'!$AC$16:$AQ$20,5,FALSE))/100)*100))</f>
        <v/>
      </c>
      <c r="BL94" s="267" t="str">
        <f>IF(BG94="","",$BD$90*BH94/100-BO94-BP94-BQ94-BR94)</f>
        <v/>
      </c>
      <c r="BM94" s="267" t="str">
        <f>IF(BG94="","",$BE$90*BH94/100-BS94)</f>
        <v/>
      </c>
      <c r="BN94" s="267" t="str">
        <f>IF(BG94="","",$BF$90*BH94/100-BT94)</f>
        <v/>
      </c>
      <c r="BO94" s="267" t="str">
        <f>IF(BG94="","",$BD$90*BH94/100*VLOOKUP(BG94,'DB technologies'!$AC$16:$AF$20,2,FALSE)/100)</f>
        <v/>
      </c>
      <c r="BP94" s="267" t="str">
        <f>IF(BG94="","",$BD$90*BH94/100*VLOOKUP(BG94,'DB technologies'!$AC$16:$AN$20,3,FALSE)/100)</f>
        <v/>
      </c>
      <c r="BQ94" s="268" t="str">
        <f>IF(BG94="","",$BD$90*BH94/100*VLOOKUP(BG94,'DB technologies'!$AC$16:$AN$20,4,FALSE)/100)</f>
        <v/>
      </c>
      <c r="BR94" s="266" t="str">
        <f>IF(BG94="","",VLOOKUP(BG94,'DB technologies'!$AC$16:$AQ$20,13,FALSE)/100*$BD$90*BH94/100)</f>
        <v/>
      </c>
      <c r="BS94" s="267" t="str">
        <f>IF(BG94="","",VLOOKUP(BG94,'DB technologies'!$AC$16:$AQ$20,14,FALSE)/100*$BE$90*BH94/100)</f>
        <v/>
      </c>
      <c r="BT94" s="268" t="str">
        <f>IF(BG94="","",VLOOKUP(BG94,'DB technologies'!$AC$16:$AQ$20,15,FALSE)/100*$BF$90*BH94/100)</f>
        <v/>
      </c>
    </row>
    <row r="95" spans="1:72" ht="11.25" customHeight="1" thickBot="1" x14ac:dyDescent="0.25">
      <c r="A95" s="684"/>
      <c r="B95" s="695"/>
      <c r="C95" s="255"/>
      <c r="D95" s="1357"/>
      <c r="E95" s="1358"/>
      <c r="F95" s="480" t="str">
        <f>IF('Calc (ex-animal)'!$F$9=1,"",IF($C$92=0,"",IF(D95="","",E95/'Calc (ex-animal)'!$E$22*100)))</f>
        <v/>
      </c>
      <c r="G95" s="485" t="str">
        <f>IF($C$92=0,"",IF('Calc (ex-animal)'!$F$8=1,"",IF(D95="","",SUM(H95:O95))))</f>
        <v/>
      </c>
      <c r="H95" s="423" t="str">
        <f>IF('Calc (ex-animal)'!$F$8=1,"",IF(D95="","",(((VLOOKUP($C$92,'Calc (ex-animal)'!$D$18:$Y$22,6,FALSE)-VLOOKUP($C$92,'Calc (ex-animal)'!$D$18:$Y$22,17,FALSE))*F95/100))*VLOOKUP($C$92,'Calc (ex-animal)'!$D$18:$Y$22,7,FALSE)/100*(1-VLOOKUP(D95,'DB technologies'!$N$40:$Y$51,9,FALSE)/100)))</f>
        <v/>
      </c>
      <c r="I95" s="423" t="str">
        <f>IF(D95="","",((VLOOKUP(D95,'DB technologies'!$N$40:$Y$51,2,FALSE)*VLOOKUP($C$92,'DB animal categories'!$C$32:$AC$41,27,FALSE)*E95/1000)/VLOOKUP($C$92,'DB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'!$S$6/100*(1-VLOOKUP(D95,'DB technologies'!$N$40:$Y$51,9,FALSE)/100)))</f>
        <v/>
      </c>
      <c r="J95" s="434" t="str">
        <f>IF(D95="","",((VLOOKUP(D95,'DB technologies'!$N$40:$Y$51,3,FALSE)*VLOOKUP($C$92,'DB animal categories'!$C$32:$AC$41,27,FALSE)*E95/1000)/VLOOKUP($C$92,'DB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'!$S$7/100*(1-VLOOKUP(D95,'DB technologies'!$N$40:$Y$51,9,FALSE)/100)))</f>
        <v/>
      </c>
      <c r="K95" s="434" t="str">
        <f>IF(D95="","",((VLOOKUP(D95,'DB technologies'!$N$40:$Y$51,4,FALSE)*E95*'DB additional information '!$S$8/100*(1-VLOOKUP(D95,'DB technologies'!$N$40:$Y$51,9,FALSE)/100))/VLOOKUP($C$92,'DB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L95" s="423" t="str">
        <f>IF('Calc (ex-animal)'!$F$8=1,"",IF(D95="","",(((VLOOKUP($C$92,'Calc (ex-animal)'!$D$18:$Y$22,6,FALSE)-VLOOKUP($C$92,'Calc (ex-animal)'!$D$18:$Y$22,17,FALSE))*F95/100))*(1-VLOOKUP($C$92,'Calc (ex-animal)'!$D$18:$Y$22,7,FALSE)/100)*(1-VLOOKUP(D95,'DB technologies'!$N$40:$V$51,8,FALSE)/100)))</f>
        <v/>
      </c>
      <c r="M95" s="434" t="str">
        <f>IF(D95="","",((VLOOKUP(D95,'DB technologies'!$N$40:$Y$51,2,FALSE)*VLOOKUP($C$92,'DB animal categories'!$C$32:$AC$41,27,FALSE)*E95/1000)/VLOOKUP($C$92,'DB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'!$S$6/100)*(1-VLOOKUP(D95,'DB technologies'!$N$40:$Y$51,9,FALSE)/100))</f>
        <v/>
      </c>
      <c r="N95" s="434" t="str">
        <f>IF(D95="","",((VLOOKUP(D95,'DB technologies'!$N$40:$Y$51,3,FALSE)*VLOOKUP($C$92,'DB animal categories'!$C$32:$AC$41,27,FALSE)*E95/1000)/VLOOKUP($C$92,'DB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'!$S$7/100)*(1-VLOOKUP(D95,'DB technologies'!$N$40:$Y$51,9,FALSE)/100))</f>
        <v/>
      </c>
      <c r="O95" s="423" t="str">
        <f>IF(D95="","",((VLOOKUP(D95,'DB technologies'!$N$40:$Y$51,4,FALSE)*E95*(1-'DB additional information '!$S$8/100)*(1-VLOOKUP(D95,'DB technologies'!$N$40:$Y$51,8,FALSE)/100))/VLOOKUP($C$92,'DB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P95" s="438" t="str">
        <f>IF(G95=0,0,IF(E95="","",IF(F95="","",IF($C$92=0,"",IF(D95="","",SUM(H95:K95)/G95*100)))))</f>
        <v/>
      </c>
      <c r="Q95" s="416" t="str">
        <f>IF(D95="","",(VLOOKUP(D95,'DB technologies'!$N$40:$Y$51,2,FALSE)*'DB additional information '!$S$6/100*'DB additional information '!$T$6*VLOOKUP($C$92,'DB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R95" s="416" t="str">
        <f>IF(D95="","",(VLOOKUP(D95,'DB technologies'!$N$40:$Y$51,3,FALSE)*'DB additional information '!$S$7/100*'DB additional information '!$T$7*VLOOKUP($C$92,'DB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S95" s="491" t="str">
        <f>IF(D95="","",(VLOOKUP(D95,'DB technologies'!$N$40:$Y$51,4,FALSE)*('DB additional information '!$S$8/100*'DB additional information '!$T$8*E95/1000/1000)))</f>
        <v/>
      </c>
      <c r="T95" s="264" t="str">
        <f>IF($C$92=0,"",IF('Calc (ex-animal)'!$F$9=1,"",IF(D95="","",((VLOOKUP($C$92,'Calc (ex-animal)'!$D$18:$Y$22,10,FALSE)-VLOOKUP($C$92,'Calc (ex-animal)'!$D$18:$Y$22,18,FALSE))*F95/100+Q95+R95+S95)-AC95-AD95-AE95)))</f>
        <v/>
      </c>
      <c r="U95" s="422" t="str">
        <f>IF(D95="","",(VLOOKUP(D95,'DB technologies'!$N$40:$Y$51,2,FALSE)*'DB additional information '!$S$6/100*'DB additional information '!$U$6*VLOOKUP($C$92,'DB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V95" s="418" t="str">
        <f>IF(D95="","",(VLOOKUP(D95,'DB technologies'!$N$40:$Y$51,3,FALSE)*'DB additional information '!$S$7/100*'DB additional information '!$U$7*VLOOKUP($C$92,'DB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W95" s="417" t="str">
        <f>IF(D95="","",(VLOOKUP(D95,'DB technologies'!$N$40:$Y$51,4,FALSE)*('DB additional information '!$S$8/100*'DB additional information '!$U$8*E95/1000/1000)))</f>
        <v/>
      </c>
      <c r="X95" s="261" t="str">
        <f>IF($C$92=0,"",IF('Calc (ex-animal)'!$F$9=1,"",IF(D95="","",((VLOOKUP($C$92,'Calc (ex-animal)'!$D$18:$Y$22,13,FALSE)-VLOOKUP($C$92,'Calc (ex-animal)'!$D$18:$Y$22,19,FALSE))*F95/100+U95+V95+W95))))</f>
        <v/>
      </c>
      <c r="Y95" s="418" t="str">
        <f>IF(D95="","",(VLOOKUP(D95,'DB technologies'!$N$40:$Y$51,2,FALSE)*'DB additional information '!$S$6/100*'DB additional information '!$V$6*VLOOKUP($C$92,'DB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Z95" s="418" t="str">
        <f>IF(D95="","",(VLOOKUP(D95,'DB technologies'!$N$40:$Y$51,3,FALSE)*'DB additional information '!$S$7/100*'DB additional information '!$V$7*VLOOKUP($C$92,'DB animal categories'!$C$32:$AC$41,27,FALSE)*E95/1000/1000)/VLOOKUP($C$92,'DB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AA95" s="418" t="str">
        <f>IF(D95="","",(VLOOKUP(D95,'DB technologies'!$N$40:$Y$51,4,FALSE)*('DB additional information '!$S$8/100*'DB additional information '!$V$8*E95/1000/1000)))</f>
        <v/>
      </c>
      <c r="AB95" s="261" t="str">
        <f>IF($C$92=0,"",IF('Calc (ex-animal)'!$F$8=1,"",IF(D95="","",((VLOOKUP($C$92,'Calc (ex-animal)'!$D$18:$Y$22,16,FALSE)-VLOOKUP($C$92,'Calc (ex-animal)'!$D$18:$Y$22,20,FALSE))*F95/100+Y95+Z95+AA95))))</f>
        <v/>
      </c>
      <c r="AC95" s="261" t="str">
        <f>IF($C$92=0,"",IF('Calc (ex-animal)'!$F$8=1,"",IF(D95="","",VLOOKUP($C$92,'Calc (ex-animal)'!$D$18:$Y$22,9,FALSE)/VLOOKUP($C$92,'DB animal categories'!$C$32:$AC$41,27,FALSE)*(VLOOKUP($C$92,'DB animal categories'!$C$32:$AC$41,27,FALSE)-VLOOKUP($C$92,'DB animal categories'!$C$32:$AC$41,25,FALSE)*VLOOKUP($C$92,'DB animal categories'!$C$32:$AC$41,26,FALSE)/24)*F95/100*VLOOKUP(D95,'DB technologies'!$N$40:$R$51,5,FALSE)/100)))</f>
        <v/>
      </c>
      <c r="AD95" s="261" t="str">
        <f>IF($C$92=0,"",IF('Calc (ex-animal)'!$F$8=1,"",IF(D95="","",VLOOKUP($C$92,'Calc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categories'!$C$32:$AC$41,26,FALSE)/24)*F95/100*VLOOKUP(D95,'DB technologies'!$N$40:$Y$51,6,FALSE)/100)))</f>
        <v/>
      </c>
      <c r="AE95" s="262" t="str">
        <f>IF($C$92=0,"",IF('Calc (ex-animal)'!$F$8=1,"",IF(D95="","",VLOOKUP($C$92,'Calc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categories'!$C$32:$AC$41,26,FALSE)/24)*F95/100*VLOOKUP(D95,'DB technologies'!$N$40:$Y$51,7,FALSE)/100)))</f>
        <v/>
      </c>
      <c r="AG95" s="698"/>
      <c r="AH95" s="696"/>
      <c r="AI95" s="181" t="str">
        <f>IF(D95="","",VLOOKUP(D95,'DB technologies'!$N$40:$Y$51,10,FALSE))</f>
        <v/>
      </c>
      <c r="AJ95" s="449" t="e">
        <f>VLOOKUP($C$92,'DB animal categories'!$C$32:$AN$41,27,FALSE)-VLOOKUP($C$92,'DB animal categories'!$C$32:$AN$41,26,FALSE)*VLOOKUP($C$92,'DB animal categories'!$C$32:$AN$41,25,FALSE)/24</f>
        <v>#N/A</v>
      </c>
      <c r="AK95" s="442" t="str">
        <f>IF(AI95="","",AL95+AM95)</f>
        <v/>
      </c>
      <c r="AL95" s="442" t="str">
        <f>IF(D95="","",IF(AI95=2,(('Calc (ex-animal)'!$G$22*'DB additional information '!$K$7/100*(1-VLOOKUP(D95,'DB technologies'!$N$40:$Y$51,9,FALSE)/100)*'Calc (ex-housing, ex-storage)'!F95/100+'Calc (ex-animal)'!$H$22*'DB additional information '!$L$7/100*(1-VLOOKUP(D95,'DB technologies'!$N$40:$Y$51,9,FALSE)/100)*'Calc (ex-housing, ex-storage)'!F95/100))/VLOOKUP($C$92,'DB animal categories'!$C$32:$AC$41,27,FALSE)*AJ95+I95+J95+K95,IF(AI95=1,('Calc (ex-animal)'!$H$22*'DB additional information '!$L$7/100*(1-VLOOKUP(D95,'DB technologies'!$N$40:$Y$51,9,FALSE)/100)*'Calc (ex-housing, ex-storage)'!F95/100)/VLOOKUP($C$92,'DB animal categories'!$C$32:$AC$41,27,FALSE)*AJ95,IF(AI95=4,('Calc (ex-animal)'!$G$22*'DB additional information '!$K$7/100+'Calc (ex-animal)'!$H$22*'DB additional information '!$L$7/100)*(1-VLOOKUP(D95,'DB technologies'!$N$40:$Y$51,9,FALSE)/100)*'Calc (ex-housing, ex-storage)'!F95/100*VLOOKUP(D95,'DB technologies'!$N$40:$Y$51,11,FALSE)/100/VLOOKUP($C$92,'DB animal categories'!$C$32:$AC$41,27,FALSE)*AJ95,0))))</f>
        <v/>
      </c>
      <c r="AM95" s="442" t="str">
        <f>IF(D95="","",IF(AI95=2,(('Calc (ex-animal)'!$G$22*(1-'DB additional information '!$K$7/100)*(1-VLOOKUP(D95,'DB technologies'!$N$40:$Y$51,8,FALSE)/100)*'Calc (ex-housing, ex-storage)'!F95/100+'Calc (ex-animal)'!$H$22*(1-'DB additional information '!$L$7/100)*(1-VLOOKUP(D95,'DB technologies'!$N$40:$Y$51,8,FALSE)/100)*'Calc (ex-housing, ex-storage)'!F95/100))/VLOOKUP($C$92,'DB animal categories'!$C$32:$AC$41,27,FALSE)*AJ95+M95+N95+O95,IF(AI95=1,('Calc (ex-animal)'!$H$22*(1-'DB additional information '!$L$7/100)*(1-VLOOKUP(D95,'DB technologies'!$N$40:$Y$51,8,FALSE)/100)*'Calc (ex-housing, ex-storage)'!F95/100)/VLOOKUP($C$92,'DB animal categories'!$C$32:$AC$41,27,FALSE)*AJ95,IF(AI95=4,('Calc (ex-animal)'!$G$22*(1-'DB additional information '!$K$7/100)+'Calc (ex-animal)'!$H$22*(1-'DB additional information '!$L$7/100))*(1-VLOOKUP(D95,'DB technologies'!$N$40:$Y$51,8,FALSE)/100)*'Calc (ex-housing, ex-storage)'!F95/100*VLOOKUP(D95,'DB technologies'!$N$40:$Y$51,11,FALSE)/100/VLOOKUP($C$92,'DB animal categories'!$C$32:$AC$41,27,FALSE)*AJ95,0))))</f>
        <v/>
      </c>
      <c r="AN95" s="442" t="str">
        <f>IF(AI95="","",IF(AL95=0,0,AL95/AK95*100))</f>
        <v/>
      </c>
      <c r="AO95" s="182" t="str">
        <f>IF(D95="","",IF(AI95=2,(('Calc (ex-animal)'!$L$22*'Calc (ex-housing, ex-storage)'!F95/100+'Calc (ex-animal)'!$K$22*'Calc (ex-housing, ex-storage)'!F95/100))/VLOOKUP($C$92,'DB animal categories'!$C$32:$AC$41,27,FALSE)*AJ95+Q95+R95+S95-AC95,IF(AI95=1,('Calc (ex-animal)'!$L$22*'Calc (ex-housing, ex-storage)'!F95/100)/VLOOKUP($C$92,'DB animal categories'!$C$32:$AC$41,27,FALSE)*AJ95-'Calc (ex-housing, ex-storage)'!AC95,IF(AI95=4,('Calc (ex-animal)'!$L$22+'Calc (ex-animal)'!$K$22)*'Calc (ex-housing, ex-storage)'!F95/100*VLOOKUP(D95,'DB technologies'!$N$40:$Y$51,11,FALSE)/100/VLOOKUP($C$92,'DB animal categories'!$C$32:$AC$41,27,FALSE)*AJ95-AC95*VLOOKUP(D95,'DB technologies'!$N$40:$Y$51,11,FALSE)/100,0))))</f>
        <v/>
      </c>
      <c r="AP95" s="182" t="str">
        <f>IF(D95="","",IF(AO95&lt;-0.01,0,IF(AI95=2,(('Calc (ex-animal)'!$L$22*'Calc (ex-housing, ex-storage)'!F95/100+'Calc (ex-animal)'!$K$22*'Calc (ex-housing, ex-storage)'!F95/100))/VLOOKUP($C$92,'DB animal categories'!$C$32:$AC$41,27,FALSE)*AJ95+Q95+R95+S95-AC95,IF(AI95=1,('Calc (ex-animal)'!$L$22*'Calc (ex-housing, ex-storage)'!F95/100)/VLOOKUP($C$92,'DB animal categories'!$C$32:$AC$41,27,FALSE)*AJ95-'Calc (ex-housing, ex-storage)'!AC95,IF(AI95=4,('Calc (ex-animal)'!$L$22+'Calc (ex-animal)'!$K$22)*'Calc (ex-housing, ex-storage)'!F95/100*VLOOKUP(D95,'DB technologies'!$N$40:$Y$51,11,FALSE)/100/VLOOKUP($C$92,'DB animal categories'!$C$32:$AC$41,27,FALSE)*AJ95-AC95*VLOOKUP(D95,'DB technologies'!$N$40:$Y$51,11,FALSE)/100,0)))))</f>
        <v/>
      </c>
      <c r="AQ95" s="182" t="str">
        <f>IF(D95="","",IF(AI95=2,('Calc (ex-animal)'!$O$22*'Calc (ex-housing, ex-storage)'!F95/100+'Calc (ex-animal)'!$N$22*'Calc (ex-housing, ex-storage)'!F95/100)/VLOOKUP($C$92,'DB animal categories'!$C$32:$AC$41,27,FALSE)*AJ95+U95+V95+W95,IF(AI95=1,'Calc (ex-animal)'!$O$22*'Calc (ex-housing, ex-storage)'!F95/100/VLOOKUP($C$92,'DB animal categories'!$C$32:$AC$41,27,FALSE)*AJ95,IF(AI95=4,('Calc (ex-animal)'!$O$22+'Calc (ex-animal)'!$N$22)*'Calc (ex-housing, ex-storage)'!F95/100*VLOOKUP(D95,'DB technologies'!$N$40:$Y$51,11,FALSE)/100/VLOOKUP($C$92,'DB animal categories'!$C$32:$AC$41,27,FALSE)*AJ95,0))))</f>
        <v/>
      </c>
      <c r="AR95" s="182" t="str">
        <f>IF(D95="","",IF(AI95=2,('Calc (ex-animal)'!$R$22*'Calc (ex-housing, ex-storage)'!F95/100+'Calc (ex-animal)'!$Q$22*'Calc (ex-housing, ex-storage)'!F95/100)/VLOOKUP($C$92,'DB animal categories'!$C$32:$AC$41,27,FALSE)*AJ95+Y95+Z95+AA95,IF(AI95=1,'Calc (ex-animal)'!$R$22*'Calc (ex-housing, ex-storage)'!F95/100/VLOOKUP($C$92,'DB animal categories'!$C$32:$AC$41,27,FALSE)*AJ95,IF(AI95=4,('Calc (ex-animal)'!$R$22+'Calc (ex-animal)'!$Q$22)*'Calc (ex-housing, ex-storage)'!F95/100*VLOOKUP(D95,'DB technologies'!$N$40:$Y$51,11,FALSE)/100/VLOOKUP($C$92,'DB animal categories'!$C$32:$AC$41,27,FALSE)*AJ95,0))))</f>
        <v/>
      </c>
      <c r="AS95" s="181" t="str">
        <f>IF(D95="","",VLOOKUP(D95,'DB technologies'!$N$40:$Y$51,10,FALSE))</f>
        <v/>
      </c>
      <c r="AT95" s="442" t="str">
        <f>IF(AS95="","",AU95+AV95)</f>
        <v/>
      </c>
      <c r="AU95" s="442" t="str">
        <f>IF(D95="","",IF(AS95=2,0,IF(AS95=1,'Calc (ex-animal)'!$G$22*'DB additional information '!$K$7/100*(1-VLOOKUP(D95,'DB technologies'!$N$40:$Y$51,8,FALSE)/100)*'Calc (ex-housing, ex-storage)'!F95/100/VLOOKUP($C$92,'DB animal categories'!$C$32:$AC$41,27,FALSE)*AJ95+I95+J95+K95,IF(AS95=5,(('Calc (ex-animal)'!$G$22*'DB additional information '!$K$7/100+'Calc (ex-animal)'!$H$22*'DB additional information '!$L$7/100))*(1-VLOOKUP(D95,'DB technologies'!$N$40:$Y$51,9,FALSE)/100)*'Calc (ex-housing, ex-storage)'!F95/100/VLOOKUP($C$92,'DB animal categories'!$C$32:$AC$41,27,FALSE)*AJ95+I95+J95+K95,IF(AS95=3,('Calc (ex-animal)'!$G$22*'DB additional information '!$K$7/100+'Calc (ex-animal)'!$H$22*'DB additional information '!$L$7/100)*(1-VLOOKUP(D95,'DB technologies'!$N$40:$Y$51,9,FALSE)/100)*'Calc (ex-housing, ex-storage)'!F95/100/VLOOKUP($C$92,'DB animal categories'!$C$32:$AC$41,27,FALSE)*AJ95+I95+J95+K95,IF(AS95=4,('Calc (ex-animal)'!$G$22*'DB additional information '!$K$7/100+'Calc (ex-animal)'!$H$22*'DB additional information '!$L$7/100)*(1-VLOOKUP(D95,'DB technologies'!$N$40:$Y$51,9,FALSE)/100)*'Calc (ex-housing, ex-storage)'!F95/100*VLOOKUP(D95,'DB technologies'!$N$40:$Y$51,12,FALSE)/100/VLOOKUP($C$92,'DB animal categories'!$C$32:$AC$41,27,FALSE)*AJ95+I95+J95+K95,0))))))</f>
        <v/>
      </c>
      <c r="AV95" s="442" t="str">
        <f>IF(D95="","",IF(AS95=2,0,IF(AS95=1,'Calc (ex-animal)'!$G$22*(1-'DB additional information '!$K$7/100)*(1-VLOOKUP(D95,'DB technologies'!$N$40:$Y$51,8,FALSE)/100)*'Calc (ex-housing, ex-storage)'!F95/100/VLOOKUP($C$92,'DB animal categories'!$C$32:$AC$41,27,FALSE)*AJ95+M95+N95+O95,IF(AS95=5,('Calc (ex-animal)'!$G$22*(1-'DB additional information '!$K$7/100)+'Calc (ex-animal)'!$H$22*(1-'DB additional information '!$L$7/100))*(1-VLOOKUP(D95,'DB technologies'!$N$40:$Y$51,8,FALSE)/100)*'Calc (ex-housing, ex-storage)'!F95/100/VLOOKUP($C$92,'DB animal categories'!$C$32:$AC$41,27,FALSE)*AJ95+M95+N95+O95,IF(AS95=3,('Calc (ex-animal)'!$G$22*(1-'DB additional information '!$K$7/100)+'Calc (ex-animal)'!$H$22*(1-'DB additional information '!$L$7/100))*(1-VLOOKUP(D95,'DB technologies'!$N$40:$Y$51,8,FALSE)/100)*'Calc (ex-housing, ex-storage)'!F95/100/VLOOKUP($C$92,'DB animal categories'!$C$32:$AC$41,27,FALSE)*AJ95+M95+N95+O95,IF(AS95=4,('Calc (ex-animal)'!$G$22*(1-'DB additional information '!$K$7/100)+'Calc (ex-animal)'!$H$22*(1-'DB additional information '!$L$7/100))*(1-VLOOKUP(D95,'DB technologies'!$N$40:$Y$51,8,FALSE)/100)*'Calc (ex-housing, ex-storage)'!F95/100*VLOOKUP(D95,'DB technologies'!$N$40:$Y$51,12,FALSE)/100/VLOOKUP($C$92,'DB animal categories'!$C$32:$AC$41,27,FALSE)*AJ95+M95+N95+O95,0))))))</f>
        <v/>
      </c>
      <c r="AW95" s="442" t="str">
        <f>IF(AS95="","",IF(AU95=0,0,AU95/AT95*100))</f>
        <v/>
      </c>
      <c r="AX95" s="182" t="str">
        <f>IF(D95="","",IF(AS95=2,0,IF(AS95=1,'Calc (ex-animal)'!$K$22*'Calc (ex-housing, ex-storage)'!F95/100/VLOOKUP($C$92,'DB animal categories'!$C$32:$AC$41,27,FALSE)*AJ95+Q95+R95+S95,IF(AS95=5,('Calc (ex-animal)'!$K$22+'Calc (ex-animal)'!$L$22)*'Calc (ex-housing, ex-storage)'!F95/100/VLOOKUP($C$92,'DB animal categories'!$C$32:$AC$41,27,FALSE)*AJ95+Q95+R95+S95-'Calc (ex-housing, ex-storage)'!AC95,IF(AS95=3,('Calc (ex-animal)'!$K$22+'Calc (ex-animal)'!$L$22)*'Calc (ex-housing, ex-storage)'!F95/100/VLOOKUP($C$92,'DB animal categories'!$C$32:$AC$41,27,FALSE)*AJ95+Q95+R95+S95-'Calc (ex-housing, ex-storage)'!AC95-AD95-AE95,IF(AI95=4,('Calc (ex-animal)'!$K$22+'Calc (ex-animal)'!$L$22)*'Calc (ex-housing, ex-storage)'!F95/100*VLOOKUP(D95,'DB technologies'!$N$40:$Y$51,12,FALSE)/100/VLOOKUP($C$92,'DB animal categories'!$C$32:$AC$41,27,FALSE)*AJ95+Q95+R95+S95-(VLOOKUP(D95,'DB technologies'!$N$40:$Y$51,12,FALSE)/100*AC95)-AD95-AE95,0))))))</f>
        <v/>
      </c>
      <c r="AY95" s="182" t="str">
        <f>IF(D95="","",IF(AS95=2,0,IF(AS95=1,'Calc (ex-animal)'!$N$22*'Calc (ex-housing, ex-storage)'!F95/100/VLOOKUP($C$92,'DB animal categories'!$C$32:$AC$41,27,FALSE)*AJ95+U95+V95+W95,IF(AS95=5,('Calc (ex-animal)'!$N$22+'Calc (ex-animal)'!$O$22)*'Calc (ex-housing, ex-storage)'!F95/100/VLOOKUP($C$92,'DB animal categories'!$C$32:$AC$41,27,FALSE)*AJ95+U95+V95+W95,IF(AS95=3,('Calc (ex-animal)'!$N$22+'Calc (ex-animal)'!$O$22)*'Calc (ex-housing, ex-storage)'!F95/100/VLOOKUP($C$92,'DB animal categories'!$C$32:$AC$41,27,FALSE)*AJ95+U95+V95+W95,IF(AS95=4,('Calc (ex-animal)'!$N$22+'Calc (ex-animal)'!$O$22)*'Calc (ex-housing, ex-storage)'!F95/100*VLOOKUP(D95,'DB technologies'!$N$40:$Y$51,12,FALSE)/100/VLOOKUP($C$92,'DB animal categories'!$C$32:$AC$41,27,FALSE)*AJ95+U95+V95+W95,0))))))</f>
        <v/>
      </c>
      <c r="AZ95" s="182" t="str">
        <f>IF(D95="","",IF(AS95=2,0,IF(AS95=1,'Calc (ex-animal)'!$Q$22*'Calc (ex-housing, ex-storage)'!F95/100/VLOOKUP($C$92,'DB animal categories'!$C$32:$AC$41,27,FALSE)*AJ95+Y95+Z95+AA95,IF(AS95=5,('Calc (ex-animal)'!$Q$22+'Calc (ex-animal)'!$R$22)*'Calc (ex-housing, ex-storage)'!F95/100/VLOOKUP($C$92,'DB animal categories'!$C$32:$AC$41,27,FALSE)*AJ95+Y95+Z95+AA95,IF(AS95=3,('Calc (ex-animal)'!$Q$22+'Calc (ex-animal)'!$R$22)*'Calc (ex-housing, ex-storage)'!F95/100/VLOOKUP($C$92,'DB animal categories'!$C$32:$AC$41,27,FALSE)*AJ95+Y95+Z95+AA95,IF(AS95=4,('Calc (ex-animal)'!$Q$22+'Calc (ex-animal)'!$R$22)*'Calc (ex-housing, ex-storage)'!F95/100*VLOOKUP(D95,'DB technologies'!$N$40:$Y$51,12,FALSE)/100/VLOOKUP($C$92,'DB animal categories'!$C$32:$AC$41,27,FALSE)*AJ95+Y95+Z95+AA95,0))))))</f>
        <v/>
      </c>
      <c r="BA95" s="506"/>
      <c r="BB95" s="506"/>
      <c r="BC95" s="506"/>
      <c r="BG95" s="574" t="s">
        <v>58</v>
      </c>
      <c r="BH95" s="315">
        <f>IF(SUM(BH90:BH94) &gt;100,"ERROR, SUM&gt;100%",SUM(BH90:BH94))</f>
        <v>0</v>
      </c>
      <c r="BI95" s="601">
        <f>SUM(BI90:BI94)</f>
        <v>0</v>
      </c>
      <c r="BJ95" s="593">
        <f>SUM(BJ90:BJ94)</f>
        <v>0</v>
      </c>
      <c r="BK95" s="597">
        <f>IF(BI95=0,0,BJ95/BI95*100)</f>
        <v>0</v>
      </c>
      <c r="BL95" s="307">
        <f t="shared" ref="BL95:BT95" si="14">SUM(BL90:BL94)</f>
        <v>0</v>
      </c>
      <c r="BM95" s="307">
        <f t="shared" si="14"/>
        <v>0</v>
      </c>
      <c r="BN95" s="307">
        <f t="shared" si="14"/>
        <v>0</v>
      </c>
      <c r="BO95" s="307">
        <f t="shared" si="14"/>
        <v>0</v>
      </c>
      <c r="BP95" s="307">
        <f t="shared" si="14"/>
        <v>0</v>
      </c>
      <c r="BQ95" s="308">
        <f t="shared" si="14"/>
        <v>0</v>
      </c>
      <c r="BR95" s="309">
        <f t="shared" si="14"/>
        <v>0</v>
      </c>
      <c r="BS95" s="307">
        <f t="shared" si="14"/>
        <v>0</v>
      </c>
      <c r="BT95" s="308">
        <f t="shared" si="14"/>
        <v>0</v>
      </c>
    </row>
    <row r="96" spans="1:72" ht="12" customHeight="1" thickBot="1" x14ac:dyDescent="0.25">
      <c r="A96" s="684"/>
      <c r="B96" s="695"/>
      <c r="C96" s="255"/>
      <c r="D96" s="1359"/>
      <c r="E96" s="1360"/>
      <c r="F96" s="481" t="str">
        <f>IF('Calc (ex-animal)'!$F$9=1,"",IF($C$92=0,"",IF(D96="","",E96/'Calc (ex-animal)'!$E$22*100)))</f>
        <v/>
      </c>
      <c r="G96" s="483" t="str">
        <f>IF($C$92=0,"",IF('Calc (ex-animal)'!$F$8=1,"",IF(D96="","",SUM(H96:O96))))</f>
        <v/>
      </c>
      <c r="H96" s="445" t="str">
        <f>IF('Calc (ex-animal)'!$F$8=1,"",IF(D96="","",(((VLOOKUP($C$92,'Calc (ex-animal)'!$D$18:$Y$22,6,FALSE)-VLOOKUP($C$92,'Calc (ex-animal)'!$D$18:$Y$22,17,FALSE))*F96/100))*VLOOKUP($C$92,'Calc (ex-animal)'!$D$18:$Y$22,7,FALSE)/100*(1-VLOOKUP(D96,'DB technologies'!$N$40:$Y$51,9,FALSE)/100)))</f>
        <v/>
      </c>
      <c r="I96" s="445" t="str">
        <f>IF(D96="","",((VLOOKUP(D96,'DB technologies'!$N$40:$Y$51,2,FALSE)*VLOOKUP($C$92,'DB animal categories'!$C$32:$AC$41,27,FALSE)*E96/1000)/VLOOKUP($C$92,'DB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'!$S$6/100*(1-VLOOKUP(D96,'DB technologies'!$N$40:$Y$51,9,FALSE)/100)))</f>
        <v/>
      </c>
      <c r="J96" s="446" t="str">
        <f>IF(D96="","",((VLOOKUP(D96,'DB technologies'!$N$40:$Y$51,3,FALSE)*VLOOKUP($C$92,'DB animal categories'!$C$32:$AC$41,27,FALSE)*E96/1000)/VLOOKUP($C$92,'DB animal categories'!$C$32:$AC$41,27,FALSE)*(VLOOKUP($C$92,'DB animal categories'!$C$32:$AC$41,27,FALSE)-(VLOOKUP($C$92,'DB animal categories'!$C$32:$AC$41,25,FALSE)*VLOOKUP($C$92,'DB animal categories'!$C$32:$AC$41,26,FALSE)/24))*'DB additional information '!$S$7/100*(1-VLOOKUP(D96,'DB technologies'!$N$40:$Y$51,9,FALSE)/100)))</f>
        <v/>
      </c>
      <c r="K96" s="446" t="str">
        <f>IF(D96="","",((VLOOKUP(D96,'DB technologies'!$N$40:$Y$51,4,FALSE)*E96*'DB additional information '!$S$8/100*(1-VLOOKUP(D96,'DB technologies'!$N$40:$Y$51,9,FALSE)/100))/VLOOKUP($C$92,'DB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L96" s="445" t="str">
        <f>IF('Calc (ex-animal)'!$F$8=1,"",IF(D96="","",(((VLOOKUP($C$92,'Calc (ex-animal)'!$D$18:$Y$22,6,FALSE)-VLOOKUP($C$92,'Calc (ex-animal)'!$D$18:$Y$22,17,FALSE))*F96/100))*(1-VLOOKUP($C$92,'Calc (ex-animal)'!$D$18:$Y$22,7,FALSE)/100)*(1-VLOOKUP(D96,'DB technologies'!$N$40:$V$51,8,FALSE)/100)))</f>
        <v/>
      </c>
      <c r="M96" s="446" t="str">
        <f>IF(D96="","",((VLOOKUP(D96,'DB technologies'!$N$40:$Y$51,2,FALSE)*VLOOKUP($C$92,'DB animal categories'!$C$32:$AC$41,27,FALSE)*E96/1000)/VLOOKUP($C$92,'DB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'!$S$6/100)*(1-VLOOKUP(D96,'DB technologies'!$N$40:$Y$51,9,FALSE)/100))</f>
        <v/>
      </c>
      <c r="N96" s="446" t="str">
        <f>IF(D96="","",((VLOOKUP(D96,'DB technologies'!$N$40:$Y$51,3,FALSE)*VLOOKUP($C$92,'DB animal categories'!$C$32:$AC$41,27,FALSE)*E96/1000)/VLOOKUP($C$92,'DB animal categories'!$C$32:$AC$41,27,FALSE)*(VLOOKUP($C$92,'DB animal categories'!$C$32:$AC$41,27,FALSE)-VLOOKUP($C$92,'DB animal categories'!$C$32:$AC$41,25,FALSE)*VLOOKUP($C$92,'DB animal categories'!$C$32:$AC$41,26,FALSE)/24))*(1-'DB additional information '!$S$7/100)*(1-VLOOKUP(D96,'DB technologies'!$N$40:$Y$51,9,FALSE)/100))</f>
        <v/>
      </c>
      <c r="O96" s="445" t="str">
        <f>IF(D96="","",((VLOOKUP(D96,'DB technologies'!$N$40:$Y$51,4,FALSE)*E96*(1-'DB additional information '!$S$8/100)*(1-VLOOKUP(D96,'DB technologies'!$N$40:$Y$51,8,FALSE)/100))/VLOOKUP($C$92,'DB animal categories'!$C$32:$AC$41,27,FALSE)*(VLOOKUP($C$92,'DB animal categories'!$C$32:$AC$41,27,FALSE)-VLOOKUP($C$92,'DB animal categories'!$C$32:$AC$41,25,FALSE)*VLOOKUP($C$92,'DB animal categories'!$C$32:$AC$41,26,FALSE)/24)))</f>
        <v/>
      </c>
      <c r="P96" s="444" t="str">
        <f>IF(G96=0,0,IF(E96="","",IF(F96="","",IF($C$92=0,"",IF(D96="","",SUM(H96:K96)/G96*100)))))</f>
        <v/>
      </c>
      <c r="Q96" s="476" t="str">
        <f>IF(D96="","",(VLOOKUP(D96,'DB technologies'!$N$40:$Y$51,2,FALSE)*'DB additional information '!$S$6/100*'DB additional information '!$T$6*VLOOKUP($C$92,'DB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R96" s="476" t="str">
        <f>IF(D96="","",(VLOOKUP(D96,'DB technologies'!$N$40:$Y$51,3,FALSE)*'DB additional information '!$S$7/100*'DB additional information '!$T$7*VLOOKUP($C$92,'DB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S96" s="494" t="str">
        <f>IF(D96="","",(VLOOKUP(D96,'DB technologies'!$N$40:$Y$51,4,FALSE)*('DB additional information '!$S$8/100*'DB additional information '!$T$8*E96/1000/1000)))</f>
        <v/>
      </c>
      <c r="T96" s="266" t="str">
        <f>IF($C$92=0,"",IF('Calc (ex-animal)'!$F$9=1,"",IF(D96="","",((VLOOKUP($C$92,'Calc (ex-animal)'!$D$18:$Y$22,10,FALSE)-VLOOKUP($C$92,'Calc (ex-animal)'!$D$18:$Y$22,18,FALSE))*F96/100+Q96+R96+S96)-AC96-AD96-AE96)))</f>
        <v/>
      </c>
      <c r="U96" s="477" t="str">
        <f>IF(D96="","",(VLOOKUP(D96,'DB technologies'!$N$40:$Y$51,2,FALSE)*'DB additional information '!$S$6/100*'DB additional information '!$U$6*VLOOKUP($C$92,'DB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V96" s="433" t="str">
        <f>IF(D96="","",(VLOOKUP(D96,'DB technologies'!$N$40:$Y$51,3,FALSE)*'DB additional information '!$S$7/100*'DB additional information '!$U$7*VLOOKUP($C$92,'DB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W96" s="475" t="str">
        <f>IF(D96="","",(VLOOKUP(D96,'DB technologies'!$N$40:$Y$51,4,FALSE)*('DB additional information '!$S$8/100*'DB additional information '!$U$8*E96/1000/1000)))</f>
        <v/>
      </c>
      <c r="X96" s="267" t="str">
        <f>IF($C$92=0,"",IF('Calc (ex-animal)'!$F$9=1,"",IF(D96="","",((VLOOKUP($C$92,'Calc (ex-animal)'!$D$18:$Y$22,13,FALSE)-VLOOKUP($C$92,'Calc (ex-animal)'!$D$18:$Y$22,19,FALSE))*F96/100+U96+V96+W96))))</f>
        <v/>
      </c>
      <c r="Y96" s="433" t="str">
        <f>IF(D96="","",(VLOOKUP(D96,'DB technologies'!$N$40:$Y$51,2,FALSE)*'DB additional information '!$S$6/100*'DB additional information '!$V$6*VLOOKUP($C$92,'DB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Z96" s="433" t="str">
        <f>IF(D96="","",(VLOOKUP(D96,'DB technologies'!$N$40:$Y$51,3,FALSE)*'DB additional information '!$S$7/100*'DB additional information '!$V$7*VLOOKUP($C$92,'DB animal categories'!$C$32:$AC$41,27,FALSE)*E96/1000/1000)/VLOOKUP($C$92,'DB animal categories'!$C$32:$AC$41,27,FALSE)*(VLOOKUP($C$92,'DB animal categories'!$C$32:$AC$41,27,FALSE)-VLOOKUP($C$92,'DB animal categories'!$C$32:$AC$41,25,FALSE)*VLOOKUP($C$92,'DB animal categories'!$C$32:$AC$41,26,FALSE)/24))</f>
        <v/>
      </c>
      <c r="AA96" s="433" t="str">
        <f>IF(D96="","",(VLOOKUP(D96,'DB technologies'!$N$40:$Y$51,4,FALSE)*('DB additional information '!$S$8/100*'DB additional information '!$V$8*E96/1000/1000)))</f>
        <v/>
      </c>
      <c r="AB96" s="267" t="str">
        <f>IF($C$92=0,"",IF('Calc (ex-animal)'!$F$8=1,"",IF(D96="","",((VLOOKUP($C$92,'Calc (ex-animal)'!$D$18:$Y$22,16,FALSE)-VLOOKUP($C$92,'Calc (ex-animal)'!$D$18:$Y$22,20,FALSE))*F96/100+Y96+Z96+AA96))))</f>
        <v/>
      </c>
      <c r="AC96" s="267" t="str">
        <f>IF($C$92=0,"",IF('Calc (ex-animal)'!$F$8=1,"",IF(D96="","",VLOOKUP($C$92,'Calc (ex-animal)'!$D$18:$Y$22,9,FALSE)/VLOOKUP($C$92,'DB animal categories'!$C$32:$AC$41,27,FALSE)*(VLOOKUP($C$92,'DB animal categories'!$C$32:$AC$41,27,FALSE)-VLOOKUP($C$92,'DB animal categories'!$C$32:$AC$41,25,FALSE)*VLOOKUP($C$92,'DB animal categories'!$C$32:$AC$41,26,FALSE)/24)*F96/100*VLOOKUP(D96,'DB technologies'!$N$40:$R$51,5,FALSE)/100)))</f>
        <v/>
      </c>
      <c r="AD96" s="267" t="str">
        <f>IF($C$92=0,"",IF('Calc (ex-animal)'!$F$8=1,"",IF(D96="","",VLOOKUP($C$92,'Calc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categories'!$C$32:$AC$41,26,FALSE)/24)*F96/100*VLOOKUP(D96,'DB technologies'!$N$40:$Y$51,6,FALSE)/100)))</f>
        <v/>
      </c>
      <c r="AE96" s="268" t="str">
        <f>IF($C$92=0,"",IF('Calc (ex-animal)'!$F$8=1,"",IF(D96="","",VLOOKUP($C$92,'Calc (ex-animal)'!$D$18:$Y$22,10,FALSE)/VLOOKUP($C$92,'DB animal categories'!$C$32:$AC$41,27,FALSE)*(VLOOKUP($C$92,'DB animal categories'!$C$32:$AC$41,27,FALSE)-VLOOKUP($C$92,'DB animal categories'!$C$32:$AC$41,25,FALSE)*VLOOKUP($C$92,'DB animal categories'!$C$32:$AC$41,26,FALSE)/24)*F96/100*VLOOKUP(D96,'DB technologies'!$N$40:$Y$51,7,FALSE)/100)))</f>
        <v/>
      </c>
      <c r="AG96" s="698"/>
      <c r="AH96" s="694" t="s">
        <v>130</v>
      </c>
      <c r="AI96" s="183" t="str">
        <f>IF(D96="","",VLOOKUP(D96,'DB technologies'!$N$40:$Y$51,10,FALSE))</f>
        <v/>
      </c>
      <c r="AJ96" s="451" t="e">
        <f>VLOOKUP($C$92,'DB animal categories'!$C$32:$AN$41,27,FALSE)-VLOOKUP($C$92,'DB animal categories'!$C$32:$AN$41,26,FALSE)*VLOOKUP($C$92,'DB animal categories'!$C$32:$AN$41,25,FALSE)/24</f>
        <v>#N/A</v>
      </c>
      <c r="AK96" s="452" t="str">
        <f>IF(AI96="","",AL96+AM96)</f>
        <v/>
      </c>
      <c r="AL96" s="452" t="str">
        <f>IF(D96="","",IF(AI96=2,(('Calc (ex-animal)'!$G$22*'DB additional information '!$K$7/100*(1-VLOOKUP(D96,'DB technologies'!$N$40:$Y$51,9,FALSE)/100)*'Calc (ex-housing, ex-storage)'!F96/100+'Calc (ex-animal)'!$H$22*'DB additional information '!$L$7/100*(1-VLOOKUP(D96,'DB technologies'!$N$40:$Y$51,9,FALSE)/100)*'Calc (ex-housing, ex-storage)'!F96/100))/VLOOKUP($C$92,'DB animal categories'!$C$32:$AC$41,27,FALSE)*AJ96+I96+J96+K96,IF(AI96=1,('Calc (ex-animal)'!$H$22*'DB additional information '!$L$7/100*(1-VLOOKUP(D96,'DB technologies'!$N$40:$Y$51,9,FALSE)/100)*'Calc (ex-housing, ex-storage)'!F96/100)/VLOOKUP($C$92,'DB animal categories'!$C$32:$AC$41,27,FALSE)*AJ96,IF(AI96=4,('Calc (ex-animal)'!$G$22*'DB additional information '!$K$7/100+'Calc (ex-animal)'!$H$22*'DB additional information '!$L$7/100)*(1-VLOOKUP(D96,'DB technologies'!$N$40:$Y$51,9,FALSE)/100)*'Calc (ex-housing, ex-storage)'!F96/100*VLOOKUP(D96,'DB technologies'!$N$40:$Y$51,11,FALSE)/100/VLOOKUP($C$92,'DB animal categories'!$C$32:$AC$41,27,FALSE)*AJ96,0))))</f>
        <v/>
      </c>
      <c r="AM96" s="452" t="str">
        <f>IF(D96="","",IF(AI96=2,(('Calc (ex-animal)'!$G$22*(1-'DB additional information '!$K$7/100)*(1-VLOOKUP(D96,'DB technologies'!$N$40:$Y$51,8,FALSE)/100)*'Calc (ex-housing, ex-storage)'!F96/100+'Calc (ex-animal)'!$H$22*(1-'DB additional information '!$L$7/100)*(1-VLOOKUP(D96,'DB technologies'!$N$40:$Y$51,8,FALSE)/100)*'Calc (ex-housing, ex-storage)'!F96/100))/VLOOKUP($C$92,'DB animal categories'!$C$32:$AC$41,27,FALSE)*AJ96+M96+N96+O96,IF(AI96=1,('Calc (ex-animal)'!$H$22*(1-'DB additional information '!$L$7/100)*(1-VLOOKUP(D96,'DB technologies'!$N$40:$Y$51,8,FALSE)/100)*'Calc (ex-housing, ex-storage)'!F96/100)/VLOOKUP($C$92,'DB animal categories'!$C$32:$AC$41,27,FALSE)*AJ96,IF(AI96=4,('Calc (ex-animal)'!$G$22*(1-'DB additional information '!$K$7/100)+'Calc (ex-animal)'!$H$22*(1-'DB additional information '!$L$7/100))*(1-VLOOKUP(D96,'DB technologies'!$N$40:$Y$51,8,FALSE)/100)*'Calc (ex-housing, ex-storage)'!F96/100*VLOOKUP(D96,'DB technologies'!$N$40:$Y$51,11,FALSE)/100/VLOOKUP($C$92,'DB animal categories'!$C$32:$AC$41,27,FALSE)*AJ96,0))))</f>
        <v/>
      </c>
      <c r="AN96" s="452" t="str">
        <f>IF(AI96="","",IF(AL96=0,0,AL96/AK96*100))</f>
        <v/>
      </c>
      <c r="AO96" s="184" t="str">
        <f>IF(D96="","",IF(AI96=2,(('Calc (ex-animal)'!$L$22*'Calc (ex-housing, ex-storage)'!F96/100+'Calc (ex-animal)'!$K$22*'Calc (ex-housing, ex-storage)'!F96/100))/VLOOKUP($C$92,'DB animal categories'!$C$32:$AC$41,27,FALSE)*AJ96+Q96+R96+S96-AC96,IF(AI96=1,('Calc (ex-animal)'!$L$22*'Calc (ex-housing, ex-storage)'!F96/100)/VLOOKUP($C$92,'DB animal categories'!$C$32:$AC$41,27,FALSE)*AJ96-'Calc (ex-housing, ex-storage)'!AC96,IF(AI96=4,('Calc (ex-animal)'!$L$22+'Calc (ex-animal)'!$K$22)*'Calc (ex-housing, ex-storage)'!F96/100*VLOOKUP(D96,'DB technologies'!$N$40:$Y$51,11,FALSE)/100/VLOOKUP($C$92,'DB animal categories'!$C$32:$AC$41,27,FALSE)*AJ96-AC96*VLOOKUP(D96,'DB technologies'!$N$40:$Y$51,11,FALSE)/100,0))))</f>
        <v/>
      </c>
      <c r="AP96" s="184" t="str">
        <f>IF(D96="","",IF(AO96&lt;-0.01,0,IF(AI96=2,(('Calc (ex-animal)'!$L$22*'Calc (ex-housing, ex-storage)'!F96/100+'Calc (ex-animal)'!$K$22*'Calc (ex-housing, ex-storage)'!F96/100))/VLOOKUP($C$92,'DB animal categories'!$C$32:$AC$41,27,FALSE)*AJ96+Q96+R96+S96-AC96,IF(AI96=1,('Calc (ex-animal)'!$L$22*'Calc (ex-housing, ex-storage)'!F96/100)/VLOOKUP($C$92,'DB animal categories'!$C$32:$AC$41,27,FALSE)*AJ96-'Calc (ex-housing, ex-storage)'!AC96,IF(AI96=4,('Calc (ex-animal)'!$L$22+'Calc (ex-animal)'!$K$22)*'Calc (ex-housing, ex-storage)'!F96/100*VLOOKUP(D96,'DB technologies'!$N$40:$Y$51,11,FALSE)/100/VLOOKUP($C$92,'DB animal categories'!$C$32:$AC$41,27,FALSE)*AJ96-AC96*VLOOKUP(D96,'DB technologies'!$N$40:$Y$51,11,FALSE)/100,0)))))</f>
        <v/>
      </c>
      <c r="AQ96" s="184" t="str">
        <f>IF(D96="","",IF(AI96=2,('Calc (ex-animal)'!$O$22*'Calc (ex-housing, ex-storage)'!F96/100+'Calc (ex-animal)'!$N$22*'Calc (ex-housing, ex-storage)'!F96/100)/VLOOKUP($C$92,'DB animal categories'!$C$32:$AC$41,27,FALSE)*AJ96+U96+V96+W96,IF(AI96=1,'Calc (ex-animal)'!$O$22*'Calc (ex-housing, ex-storage)'!F96/100/VLOOKUP($C$92,'DB animal categories'!$C$32:$AC$41,27,FALSE)*AJ96,IF(AI96=4,('Calc (ex-animal)'!$O$22+'Calc (ex-animal)'!$N$22)*'Calc (ex-housing, ex-storage)'!F96/100*VLOOKUP(D96,'DB technologies'!$N$40:$Y$51,11,FALSE)/100/VLOOKUP($C$92,'DB animal categories'!$C$32:$AC$41,27,FALSE)*AJ96,0))))</f>
        <v/>
      </c>
      <c r="AR96" s="184" t="str">
        <f>IF(D96="","",IF(AI96=2,('Calc (ex-animal)'!$R$22*'Calc (ex-housing, ex-storage)'!F96/100+'Calc (ex-animal)'!$Q$22*'Calc (ex-housing, ex-storage)'!F96/100)/VLOOKUP($C$92,'DB animal categories'!$C$32:$AC$41,27,FALSE)*AJ96+Y96+Z96+AA96,IF(AI96=1,'Calc (ex-animal)'!$R$22*'Calc (ex-housing, ex-storage)'!F96/100/VLOOKUP($C$92,'DB animal categories'!$C$32:$AC$41,27,FALSE)*AJ96,IF(AI96=4,('Calc (ex-animal)'!$R$22+'Calc (ex-animal)'!$Q$22)*'Calc (ex-housing, ex-storage)'!F96/100*VLOOKUP(D96,'DB technologies'!$N$40:$Y$51,11,FALSE)/100/VLOOKUP($C$92,'DB animal categories'!$C$32:$AC$41,27,FALSE)*AJ96,0))))</f>
        <v/>
      </c>
      <c r="AS96" s="183" t="str">
        <f>IF(D96="","",VLOOKUP(D96,'DB technologies'!$N$40:$Y$51,10,FALSE))</f>
        <v/>
      </c>
      <c r="AT96" s="452" t="str">
        <f>IF(AS96="","",AU96+AV96)</f>
        <v/>
      </c>
      <c r="AU96" s="452" t="str">
        <f>IF(D96="","",IF(AS96=2,0,IF(AS96=1,'Calc (ex-animal)'!$G$22*'DB additional information '!$K$7/100*(1-VLOOKUP(D96,'DB technologies'!$N$40:$Y$51,8,FALSE)/100)*'Calc (ex-housing, ex-storage)'!F96/100/VLOOKUP($C$92,'DB animal categories'!$C$32:$AC$41,27,FALSE)*AJ96+I96+J96+K96,IF(AS96=5,(('Calc (ex-animal)'!$G$22*'DB additional information '!$K$7/100+'Calc (ex-animal)'!$H$22*'DB additional information '!$L$7/100))*(1-VLOOKUP(D96,'DB technologies'!$N$40:$Y$51,9,FALSE)/100)*'Calc (ex-housing, ex-storage)'!F96/100/VLOOKUP($C$92,'DB animal categories'!$C$32:$AC$41,27,FALSE)*AJ96+I96+J96+K96,IF(AS96=3,('Calc (ex-animal)'!$G$22*'DB additional information '!$K$7/100+'Calc (ex-animal)'!$H$22*'DB additional information '!$L$7/100)*(1-VLOOKUP(D96,'DB technologies'!$N$40:$Y$51,9,FALSE)/100)*'Calc (ex-housing, ex-storage)'!F96/100/VLOOKUP($C$92,'DB animal categories'!$C$32:$AC$41,27,FALSE)*AJ96+I96+J96+K96,IF(AS96=4,('Calc (ex-animal)'!$G$22*'DB additional information '!$K$7/100+'Calc (ex-animal)'!$H$22*'DB additional information '!$L$7/100)*(1-VLOOKUP(D96,'DB technologies'!$N$40:$Y$51,9,FALSE)/100)*'Calc (ex-housing, ex-storage)'!F96/100*VLOOKUP(D96,'DB technologies'!$N$40:$Y$51,12,FALSE)/100/VLOOKUP($C$92,'DB animal categories'!$C$32:$AC$41,27,FALSE)*AJ96+I96+J96+K96,0))))))</f>
        <v/>
      </c>
      <c r="AV96" s="452" t="str">
        <f>IF(D96="","",IF(AS96=2,0,IF(AS96=1,'Calc (ex-animal)'!$G$22*(1-'DB additional information '!$K$7/100)*(1-VLOOKUP(D96,'DB technologies'!$N$40:$Y$51,8,FALSE)/100)*'Calc (ex-housing, ex-storage)'!F96/100/VLOOKUP($C$92,'DB animal categories'!$C$32:$AC$41,27,FALSE)*AJ96+M96+N96+O96,IF(AS96=5,('Calc (ex-animal)'!$G$22*(1-'DB additional information '!$K$7/100)+'Calc (ex-animal)'!$H$22*(1-'DB additional information '!$L$7/100))*(1-VLOOKUP(D96,'DB technologies'!$N$40:$Y$51,8,FALSE)/100)*'Calc (ex-housing, ex-storage)'!F96/100/VLOOKUP($C$92,'DB animal categories'!$C$32:$AC$41,27,FALSE)*AJ96+M96+N96+O96,IF(AS96=3,('Calc (ex-animal)'!$G$22*(1-'DB additional information '!$K$7/100)+'Calc (ex-animal)'!$H$22*(1-'DB additional information '!$L$7/100))*(1-VLOOKUP(D96,'DB technologies'!$N$40:$Y$51,8,FALSE)/100)*'Calc (ex-housing, ex-storage)'!F96/100/VLOOKUP($C$92,'DB animal categories'!$C$32:$AC$41,27,FALSE)*AJ96+M96+N96+O96,IF(AS96=4,('Calc (ex-animal)'!$G$22*(1-'DB additional information '!$K$7/100)+'Calc (ex-animal)'!$H$22*(1-'DB additional information '!$L$7/100))*(1-VLOOKUP(D96,'DB technologies'!$N$40:$Y$51,8,FALSE)/100)*'Calc (ex-housing, ex-storage)'!F96/100*VLOOKUP(D96,'DB technologies'!$N$40:$Y$51,12,FALSE)/100/VLOOKUP($C$92,'DB animal categories'!$C$32:$AC$41,27,FALSE)*AJ96+M96+N96+O96,0))))))</f>
        <v/>
      </c>
      <c r="AW96" s="452" t="str">
        <f>IF(AS96="","",IF(AU96=0,0,AU96/AT96*100))</f>
        <v/>
      </c>
      <c r="AX96" s="184" t="str">
        <f>IF(D96="","",IF(AS96=2,0,IF(AS96=1,'Calc (ex-animal)'!$K$22*'Calc (ex-housing, ex-storage)'!F96/100/VLOOKUP($C$92,'DB animal categories'!$C$32:$AC$41,27,FALSE)*AJ96+Q96+R96+S96,IF(AS96=5,('Calc (ex-animal)'!$K$22+'Calc (ex-animal)'!$L$22)*'Calc (ex-housing, ex-storage)'!F96/100/VLOOKUP($C$92,'DB animal categories'!$C$32:$AC$41,27,FALSE)*AJ96+Q96+R96+S96-'Calc (ex-housing, ex-storage)'!AC96,IF(AS96=3,('Calc (ex-animal)'!$K$22+'Calc (ex-animal)'!$L$22)*'Calc (ex-housing, ex-storage)'!F96/100/VLOOKUP($C$92,'DB animal categories'!$C$32:$AC$41,27,FALSE)*AJ96+Q96+R96+S96-'Calc (ex-housing, ex-storage)'!AC96-AD96-AE96,IF(AI96=4,('Calc (ex-animal)'!$K$22+'Calc (ex-animal)'!$L$22)*'Calc (ex-housing, ex-storage)'!F96/100*VLOOKUP(D96,'DB technologies'!$N$40:$Y$51,12,FALSE)/100/VLOOKUP($C$92,'DB animal categories'!$C$32:$AC$41,27,FALSE)*AJ96+Q96+R96+S96-(VLOOKUP(D96,'DB technologies'!$N$40:$Y$51,12,FALSE)/100*AC96)-AD96-AE96,0))))))</f>
        <v/>
      </c>
      <c r="AY96" s="184" t="str">
        <f>IF(D96="","",IF(AS96=2,0,IF(AS96=1,'Calc (ex-animal)'!$N$22*'Calc (ex-housing, ex-storage)'!F96/100/VLOOKUP($C$92,'DB animal categories'!$C$32:$AC$41,27,FALSE)*AJ96+U96+V96+W96,IF(AS96=5,('Calc (ex-animal)'!$N$22+'Calc (ex-animal)'!$O$22)*'Calc (ex-housing, ex-storage)'!F96/100/VLOOKUP($C$92,'DB animal categories'!$C$32:$AC$41,27,FALSE)*AJ96+U96+V96+W96,IF(AS96=3,('Calc (ex-animal)'!$N$22+'Calc (ex-animal)'!$O$22)*'Calc (ex-housing, ex-storage)'!F96/100/VLOOKUP($C$92,'DB animal categories'!$C$32:$AC$41,27,FALSE)*AJ96+U96+V96+W96,IF(AS96=4,('Calc (ex-animal)'!$N$22+'Calc (ex-animal)'!$O$22)*'Calc (ex-housing, ex-storage)'!F96/100*VLOOKUP(D96,'DB technologies'!$N$40:$Y$51,12,FALSE)/100/VLOOKUP($C$92,'DB animal categories'!$C$32:$AC$41,27,FALSE)*AJ96+U96+V96+W96,0))))))</f>
        <v/>
      </c>
      <c r="AZ96" s="184" t="str">
        <f>IF(D96="","",IF(AS96=2,0,IF(AS96=1,'Calc (ex-animal)'!$Q$22*'Calc (ex-housing, ex-storage)'!F96/100/VLOOKUP($C$92,'DB animal categories'!$C$32:$AC$41,27,FALSE)*AJ96+Y96+Z96+AA96,IF(AS96=5,('Calc (ex-animal)'!$Q$22+'Calc (ex-animal)'!$R$22)*'Calc (ex-housing, ex-storage)'!F96/100/VLOOKUP($C$92,'DB animal categories'!$C$32:$AC$41,27,FALSE)*AJ96+Y96+Z96+AA96,IF(AS96=3,('Calc (ex-animal)'!$Q$22+'Calc (ex-animal)'!$R$22)*'Calc (ex-housing, ex-storage)'!F96/100/VLOOKUP($C$92,'DB animal categories'!$C$32:$AC$41,27,FALSE)*AJ96+Y96+Z96+AA96,IF(AS96=4,('Calc (ex-animal)'!$Q$22+'Calc (ex-animal)'!$R$22)*'Calc (ex-housing, ex-storage)'!F96/100*VLOOKUP(D96,'DB technologies'!$N$40:$Y$51,12,FALSE)/100/VLOOKUP($C$92,'DB animal categories'!$C$32:$AC$41,27,FALSE)*AJ96+Y96+Z96+AA96,0))))))</f>
        <v/>
      </c>
      <c r="BA96" s="98">
        <f>(SUMIF(AS547:AS575,3,AT547:AT575)+SUMIF(AS547:AS575,4,AT547:AT575))*(1-('DB technologies'!AR21/100))</f>
        <v>0</v>
      </c>
      <c r="BB96" s="98">
        <f>(SUMIF(AS547:AS575,3,AU547:AU575)+SUMIF(AS547:AS575,4,AU547:AU575))*(1-('DB technologies'!AR21/100))</f>
        <v>0</v>
      </c>
      <c r="BC96" s="506" t="e">
        <f>BB96/BA96*100</f>
        <v>#DIV/0!</v>
      </c>
      <c r="BD96" s="98">
        <f>(SUMIF(AS547:AS575,3,AX547:AX575)+SUMIF(AS547:AS575,4,AX547:AX575))*(1-('DB technologies'!AR21/100))</f>
        <v>0</v>
      </c>
      <c r="BE96" s="98">
        <f>(SUMIF(AS547:AS575,3,AY547:AY575)+SUMIF(AS547:AS575,4,AY547:AY575))*(1-('DB technologies'!AR21/100))</f>
        <v>0</v>
      </c>
      <c r="BF96" s="98">
        <f>(SUMIF(AS547:AS575,3,AZ547:AZ575)+SUMIF(AS547:AS575,4,AZ547:AZ575))*(1-('DB technologies'!AR21/100))</f>
        <v>0</v>
      </c>
      <c r="BG96" s="1355"/>
      <c r="BH96" s="1363"/>
      <c r="BI96" s="599" t="str">
        <f>IF(BG96="","",$BA$96*BH96/100-($BB$96*BH96/100*VLOOKUP(BG96,'DB technologies'!$AC$21:$AT$25,5,FALSE)/100)+(VLOOKUP(BG96,'DB technologies'!$AC$21:$AT$25,12,FALSE)*$BA$96*BH96/100))</f>
        <v/>
      </c>
      <c r="BJ96" s="551">
        <f>IF(BI96="",0,BI96*BK96/100)</f>
        <v>0</v>
      </c>
      <c r="BK96" s="560" t="str">
        <f>IF(BG96="","",IF($BA$96=0,0,($BB$96*BH96/100)/BI96*(1-(VLOOKUP(BG96,'DB technologies'!$AC$21:$AQ$25,5,FALSE))/100)*100))</f>
        <v/>
      </c>
      <c r="BL96" s="259" t="str">
        <f>IF(BG96="","",$BD$96*(1-VLOOKUP(BG96,'DB technologies'!$AC$21:$AS$25,12,FALSE)/100)*BH96/100-BO96-BP96-BQ96-BR96)</f>
        <v/>
      </c>
      <c r="BM96" s="259" t="str">
        <f>IF(BG96="","",$BE$96*(1-VLOOKUP(BG96,'DB technologies'!$AC$21:$AS$25,12,FALSE)/100)*BH96/100-BS96)</f>
        <v/>
      </c>
      <c r="BN96" s="259" t="str">
        <f>IF(BG96="","",$BF$96*(1-VLOOKUP(BG96,'DB technologies'!$AC$21:$AS$25,12,FALSE)/100)*BH96/100-BT96)</f>
        <v/>
      </c>
      <c r="BO96" s="259" t="str">
        <f>IF(BG96="","",$BD$96*BH96/100*VLOOKUP(BG96,'DB technologies'!$AC$21:$AF$25,2,FALSE)/100)</f>
        <v/>
      </c>
      <c r="BP96" s="259" t="str">
        <f>IF(BG96="","",$BD$96*BH96/100*VLOOKUP(BG96,'DB technologies'!$AC$21:$AN$25,3,FALSE)/100)</f>
        <v/>
      </c>
      <c r="BQ96" s="260" t="str">
        <f>IF(BG96="","",$BD$96*BH96/100*VLOOKUP(BG96,'DB technologies'!$AC$21:$AN$25,4,FALSE)/100)</f>
        <v/>
      </c>
      <c r="BR96" s="263" t="str">
        <f>IF(BG96="","",VLOOKUP(BG96,'DB technologies'!$AC$21:$AQ$25,13,FALSE)/100*$BD$96*BH96/100)</f>
        <v/>
      </c>
      <c r="BS96" s="259" t="str">
        <f>IF(BG96="","",VLOOKUP(BG96,'DB technologies'!$AC$21:$AQ$25,14,FALSE)/100*$BE$96*BH96/100)</f>
        <v/>
      </c>
      <c r="BT96" s="260" t="str">
        <f>IF(BG96="","",VLOOKUP(BG96,'DB technologies'!$AC$21:$AQ$25,15,FALSE)/100*$BF$96*BH96/100)</f>
        <v/>
      </c>
    </row>
    <row r="97" spans="1:72" ht="12" customHeight="1" thickBot="1" x14ac:dyDescent="0.25">
      <c r="A97" s="684"/>
      <c r="B97" s="696"/>
      <c r="C97" s="256"/>
      <c r="D97" s="269" t="s">
        <v>58</v>
      </c>
      <c r="E97" s="270">
        <f>IF(F97&lt;=100,SUM(E92:E96),"ERROR")</f>
        <v>0</v>
      </c>
      <c r="F97" s="284">
        <f>IF(SUM(F92:F96) &lt;=100,SUM(F92:F96),"ERROR, SUM&gt;100%")</f>
        <v>0</v>
      </c>
      <c r="G97" s="492">
        <f>IF('Calc (ex-animal)'!$F$9=1,"",SUM(G92:G96))</f>
        <v>0</v>
      </c>
      <c r="H97" s="433">
        <f>IF('Calc (ex-animal)'!$F$8=1,"",SUM(H92:H96))</f>
        <v>0</v>
      </c>
      <c r="I97" s="433">
        <f>IF('Calc (ex-animal)'!$F$8=1,"",SUM(I92:I96))</f>
        <v>0</v>
      </c>
      <c r="J97" s="433">
        <f>IF('Calc (ex-animal)'!$F$8=1,"",SUM(J92:J96))</f>
        <v>0</v>
      </c>
      <c r="K97" s="433">
        <f>IF('Calc (ex-animal)'!$F$8=1,"",SUM(K92:K96))</f>
        <v>0</v>
      </c>
      <c r="L97" s="433">
        <f>IF('Calc (ex-animal)'!$F$8=1,"",SUM(L92:L96))</f>
        <v>0</v>
      </c>
      <c r="M97" s="470"/>
      <c r="N97" s="470"/>
      <c r="O97" s="470"/>
      <c r="P97" s="478">
        <f>IF(G97=0,0,IF('Calc (ex-animal)'!$F$9=1,"",IF(D97="","",SUM(H97:K97)/G97*100)))</f>
        <v>0</v>
      </c>
      <c r="Q97" s="271"/>
      <c r="R97" s="271"/>
      <c r="S97" s="271"/>
      <c r="T97" s="278">
        <f>IF('Calc (ex-animal)'!$F$22=1,"",SUM(T92:T96))</f>
        <v>0</v>
      </c>
      <c r="U97" s="279"/>
      <c r="V97" s="279"/>
      <c r="W97" s="279"/>
      <c r="X97" s="279">
        <f>IF('Calc (ex-animal)'!$F$22=1,"",SUM(X92:X96))</f>
        <v>0</v>
      </c>
      <c r="Y97" s="279"/>
      <c r="Z97" s="279"/>
      <c r="AA97" s="279"/>
      <c r="AB97" s="279">
        <f>IF('Calc (ex-animal)'!$F$22=1,"",SUM(AB92:AB96))</f>
        <v>0</v>
      </c>
      <c r="AC97" s="279">
        <f>IF('Calc (ex-animal)'!$F$22=1,"",SUM(AC92:AC96))</f>
        <v>0</v>
      </c>
      <c r="AD97" s="279">
        <f>IF('Calc (ex-animal)'!$F$22=1,"",SUM(AD92:AD96))</f>
        <v>0</v>
      </c>
      <c r="AE97" s="280">
        <f>IF('Calc (ex-animal)'!$F$22=1,"",SUM(AE92:AE96))</f>
        <v>0</v>
      </c>
      <c r="AG97" s="698"/>
      <c r="AH97" s="695"/>
      <c r="BG97" s="1357"/>
      <c r="BH97" s="1361"/>
      <c r="BI97" s="598" t="str">
        <f>IF(BG97="","",$BA$96*BH97/100-($BB$96*BH97/100*VLOOKUP(BG97,'DB technologies'!$AC$21:$AT$25,5,FALSE)/100)+(VLOOKUP(BG97,'DB technologies'!$AC$21:$AT$25,12,FALSE)*$BA$96*BH97/100))</f>
        <v/>
      </c>
      <c r="BJ97" s="551">
        <f>IF(BI97="",0,BI97*BK97/100)</f>
        <v>0</v>
      </c>
      <c r="BK97" s="561" t="str">
        <f>IF(BG97="","",IF($BA$96=0,0,($BB$96*BH97/100)/BI97*(1-(VLOOKUP(BG97,'DB technologies'!$AC$21:$AQ$25,5,FALSE))/100)*100))</f>
        <v/>
      </c>
      <c r="BL97" s="261" t="str">
        <f>IF(BG97="","",$BD$96*(1-VLOOKUP(BG97,'DB technologies'!$AC$21:$AS$25,12,FALSE)/100)*BH97/100-BO97-BP97-BQ97-BR97)</f>
        <v/>
      </c>
      <c r="BM97" s="261" t="str">
        <f>IF(BG97="","",$BE$96*(1-VLOOKUP(BG97,'DB technologies'!$AC$21:$AS$25,12,FALSE)/100)*BH97/100-BS97)</f>
        <v/>
      </c>
      <c r="BN97" s="261" t="str">
        <f>IF(BG97="","",$BF$96*(1-VLOOKUP(BG97,'DB technologies'!$AC$21:$AS$25,12,FALSE)/100)*BH97/100-BT97)</f>
        <v/>
      </c>
      <c r="BO97" s="261" t="str">
        <f>IF(BG97="","",$BD$96*BH97/100*VLOOKUP(BG97,'DB technologies'!$AC$21:$AF$25,2,FALSE)/100)</f>
        <v/>
      </c>
      <c r="BP97" s="261" t="str">
        <f>IF(BG97="","",$BD$96*BH97/100*VLOOKUP(BG97,'DB technologies'!$AC$21:$AN$25,3,FALSE)/100)</f>
        <v/>
      </c>
      <c r="BQ97" s="262" t="str">
        <f>IF(BG97="","",$BD$96*BH97/100*VLOOKUP(BG97,'DB technologies'!$AC$21:$AN$25,4,FALSE)/100)</f>
        <v/>
      </c>
      <c r="BR97" s="264" t="str">
        <f>IF(BG97="","",VLOOKUP(BG97,'DB technologies'!$AC$21:$AQ$25,13,FALSE)/100*$BD$96*BH97/100)</f>
        <v/>
      </c>
      <c r="BS97" s="261" t="str">
        <f>IF(BG97="","",VLOOKUP(BG97,'DB technologies'!$AC$21:$AQ$25,14,FALSE)/100*$BE$96*BH97/100)</f>
        <v/>
      </c>
      <c r="BT97" s="262" t="str">
        <f>IF(BG97="","",VLOOKUP(BG97,'DB technologies'!$AC$21:$AQ$25,15,FALSE)/100*$BF$96*BH97/100)</f>
        <v/>
      </c>
    </row>
    <row r="98" spans="1:72" ht="11.25" customHeight="1" x14ac:dyDescent="0.2">
      <c r="A98" s="684"/>
      <c r="B98" s="694" t="s">
        <v>62</v>
      </c>
      <c r="C98" s="254">
        <f>'Calc (ex-animal)'!D23</f>
        <v>0</v>
      </c>
      <c r="D98" s="1355"/>
      <c r="E98" s="1356"/>
      <c r="F98" s="503" t="str">
        <f>IF('Calc (ex-animal)'!$F$9=1,"",IF($C$98=0,"",IF(D98="","",E98/'Calc (ex-animal)'!$E$23*100)))</f>
        <v/>
      </c>
      <c r="G98" s="484" t="str">
        <f>IF($C$98=0,"",IF('Calc (ex-animal)'!$F$8=1,"",IF(D98="","",SUM(H98:O98))))</f>
        <v/>
      </c>
      <c r="H98" s="471" t="str">
        <f>IF('Calc (ex-animal)'!$F$8=1,"",IF(D98="","",(((VLOOKUP($C$98,'Calc (ex-animal)'!$D$23:$Y$27,6,FALSE)-VLOOKUP($C$98,'Calc (ex-animal)'!$D$23:$Y$27,17,FALSE))*F98/100))*VLOOKUP($C$98,'Calc (ex-animal)'!$D$23:$Y$27,7,FALSE)/100*(1-VLOOKUP(D98,'DB technologies'!$N$53:$Y$64,9,FALSE)/100)))</f>
        <v/>
      </c>
      <c r="I98" s="471" t="str">
        <f>IF(D98="","",((VLOOKUP(D98,'DB technologies'!$N$53:$Y$64,2,FALSE)*VLOOKUP($C$98,'DB animal categories'!$C$42:$AC$51,27,FALSE)*E98/1000)/VLOOKUP($C$98,'DB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'!$S$6/100*(1-VLOOKUP(D98,'DB technologies'!$N$53:$Y$64,9,FALSE)/100)))</f>
        <v/>
      </c>
      <c r="J98" s="472" t="str">
        <f>IF(D98="","",((VLOOKUP(D98,'DB technologies'!$N$53:$Y$64,3,FALSE)*VLOOKUP($C$98,'DB animal categories'!$C$42:$AC$51,27,FALSE)*E98/1000)/VLOOKUP($C$98,'DB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'!$S$7/100*(1-VLOOKUP(D98,'DB technologies'!$N$53:$Y$64,9,FALSE)/100)))</f>
        <v/>
      </c>
      <c r="K98" s="472" t="str">
        <f>IF(D98="","",((VLOOKUP(D98,'DB technologies'!$N$53:$Y$64,4,FALSE)*E98*'DB additional information '!$S$8/100*(1-VLOOKUP(D98,'DB technologies'!$N$53:$Y$64,9,FALSE)/100))/VLOOKUP($C$98,'DB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L98" s="471" t="str">
        <f>IF('Calc (ex-animal)'!$F$8=1,"",IF(D98="","",(((VLOOKUP($C$98,'Calc (ex-animal)'!$D$23:$Y$27,6,FALSE)-VLOOKUP($C$98,'Calc (ex-animal)'!$D$23:$Y$27,17,FALSE))*F98/100))*(1-VLOOKUP($C$98,'Calc (ex-animal)'!$D$23:$Y$27,7,FALSE)/100)*(1-VLOOKUP(D98,'DB technologies'!$N$53:$V$64,8,FALSE)/100)))</f>
        <v/>
      </c>
      <c r="M98" s="472" t="str">
        <f>IF(D98="","",((VLOOKUP(D98,'DB technologies'!$N$53:$Y$64,2,FALSE)*VLOOKUP($C$98,'DB animal categories'!$C$42:$AC$51,27,FALSE)*E98/1000)/VLOOKUP($C$98,'DB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'!$S$6/100)*(1-VLOOKUP(D98,'DB technologies'!$N$53:$Y$64,9,FALSE)/100))</f>
        <v/>
      </c>
      <c r="N98" s="472" t="str">
        <f>IF(D98="","",((VLOOKUP(D98,'DB technologies'!$N$53:$Y$64,3,FALSE)*VLOOKUP($C$98,'DB animal categories'!$C$42:$AC$51,27,FALSE)*E98/1000)/VLOOKUP($C$98,'DB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'!$S$7/100)*(1-VLOOKUP(D98,'DB technologies'!$N$53:$Y$64,9,FALSE)/100))</f>
        <v/>
      </c>
      <c r="O98" s="471" t="str">
        <f>IF(D98="","",((VLOOKUP(D98,'DB technologies'!$N$53:$Y$64,4,FALSE)*E98*(1-'DB additional information '!$S$8/100)*(1-VLOOKUP(D98,'DB technologies'!$N$53:$Y$64,8,FALSE)/100))/VLOOKUP($C$98,'DB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P98" s="443" t="str">
        <f>IF(G98=0,0,IF(E98="","",IF(F98="","",IF($C$98=0,"",IF(D98="","",SUM(H98:K98)/G98*100)))))</f>
        <v/>
      </c>
      <c r="Q98" s="473" t="str">
        <f>IF(D98="","",(VLOOKUP(D98,'DB technologies'!$N$53:$Y$64,2,FALSE)*'DB additional information '!$S$6/100*'DB additional information '!$T$6*VLOOKUP($C$98,'DB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R98" s="473" t="str">
        <f>IF(D98="","",(VLOOKUP(D98,'DB technologies'!$N$53:$Y$64,3,FALSE)*'DB additional information '!$S$7/100*'DB additional information '!$T$7*VLOOKUP($C$98,'DB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S98" s="490" t="str">
        <f>IF(D98="","",(VLOOKUP(D98,'DB technologies'!$N$53:$Y$64,4,FALSE)*('DB additional information '!$S$8/100*'DB additional information '!$T$8*E98/1000/1000)))</f>
        <v/>
      </c>
      <c r="T98" s="263" t="str">
        <f>IF($C$98=0,"",IF('Calc (ex-animal)'!$F$9=1,"",IF(D98="","",((VLOOKUP($C$98,'Calc (ex-animal)'!$D$23:$Y$27,10,FALSE)-VLOOKUP($C$98,'Calc (ex-animal)'!$D$23:$Y$27,18,FALSE))*F98/100+Q98+R98+S98)-AC98-AD98-AE98)))</f>
        <v/>
      </c>
      <c r="U98" s="474" t="str">
        <f>IF(D98="","",(VLOOKUP(D98,'DB technologies'!$N$53:$Y$64,2,FALSE)*'DB additional information '!$S$6/100*'DB additional information '!$U$6*VLOOKUP($C$98,'DB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V98" s="420" t="str">
        <f>IF(D98="","",(VLOOKUP(D98,'DB technologies'!$N$53:$Y$64,3,FALSE)*'DB additional information '!$S$7/100*'DB additional information '!$U$7*VLOOKUP($C$98,'DB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W98" s="415" t="str">
        <f>IF(D98="","",(VLOOKUP(D98,'DB technologies'!$N$53:$Y$64,4,FALSE)*('DB additional information '!$S$8/100*'DB additional information '!$U$8*E98/1000/1000)))</f>
        <v/>
      </c>
      <c r="X98" s="259" t="str">
        <f>IF($C$98=0,"",IF('Calc (ex-animal)'!$F$9=1,"",IF(D98="","",((VLOOKUP($C$98,'Calc (ex-animal)'!$D$23:$Y$27,13,FALSE)-VLOOKUP($C$98,'Calc (ex-animal)'!$D$23:$Y$27,19,FALSE))*F98/100+U98+V98+W98))))</f>
        <v/>
      </c>
      <c r="Y98" s="420" t="str">
        <f>IF(D98="","",(VLOOKUP(D98,'DB technologies'!$N$53:$Y$64,2,FALSE)*'DB additional information '!$S$6/100*'DB additional information '!$V$6*VLOOKUP($C$98,'DB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Z98" s="420" t="str">
        <f>IF(D98="","",(VLOOKUP(D98,'DB technologies'!$N$53:$Y$64,3,FALSE)*'DB additional information '!$S$7/100*'DB additional information '!$V$7*VLOOKUP($C$98,'DB animal categories'!$C$42:$AC$51,27,FALSE)*E98/1000/1000)/VLOOKUP($C$98,'DB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AA98" s="420" t="str">
        <f>IF(D98="","",(VLOOKUP(D98,'DB technologies'!$N$53:$Y$64,4,FALSE)*('DB additional information '!$S$8/100*'DB additional information '!$V$8*E98/1000/1000)))</f>
        <v/>
      </c>
      <c r="AB98" s="259" t="str">
        <f>IF($C$98=0,"",IF('Calc (ex-animal)'!$F$8=1,"",IF(D98="","",((VLOOKUP($C$98,'Calc (ex-animal)'!$D$23:$Y$27,16,FALSE)-VLOOKUP($C$98,'Calc (ex-animal)'!$D$23:$Y$27,20,FALSE))*F98/100+Y98+Z98+AA98))))</f>
        <v/>
      </c>
      <c r="AC98" s="259" t="str">
        <f>IF($C$98=0,"",IF('Calc (ex-animal)'!$F$8=1,"",IF(D98="","",VLOOKUP($C$98,'Calc (ex-animal)'!$D$23:$Y$27,9,FALSE)/VLOOKUP($C$98,'DB animal categories'!$C$42:$AC$51,27,FALSE)*(VLOOKUP($C$98,'DB animal categories'!$C$42:$AC$51,27,FALSE)-VLOOKUP($C$98,'DB animal categories'!$C$42:$AC$51,25,FALSE)*VLOOKUP($C$98,'DB animal categories'!$C$42:$AC$51,26,FALSE)/24)*F98/100*VLOOKUP(D98,'DB technologies'!$N$53:$R$64,5,FALSE)/100)))</f>
        <v/>
      </c>
      <c r="AD98" s="259" t="str">
        <f>IF($C$98=0,"",IF('Calc (ex-animal)'!$F$8=1,"",IF(D98="","",VLOOKUP($C$98,'Calc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categories'!$C$42:$AC$51,26,FALSE)/24)*F98/100*VLOOKUP(D98,'DB technologies'!$N$53:$Y$64,6,FALSE)/100)))</f>
        <v/>
      </c>
      <c r="AE98" s="260" t="str">
        <f>IF($C$98=0,"",IF('Calc (ex-animal)'!$F$8=1,"",IF(D98="","",VLOOKUP($C$98,'Calc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categories'!$C$42:$AC$51,26,FALSE)/24)*F98/100*VLOOKUP(D98,'DB technologies'!$N$53:$Y$64,7,FALSE)/100)))</f>
        <v/>
      </c>
      <c r="AG98" s="698"/>
      <c r="AH98" s="695"/>
      <c r="AI98" s="179" t="str">
        <f>IF(D98="","",VLOOKUP(D98,'DB technologies'!$N$53:$Y$64,10,FALSE))</f>
        <v/>
      </c>
      <c r="AJ98" s="482" t="e">
        <f>VLOOKUP($C$98,'DB animal categories'!$C$42:$AN$51,27,FALSE)-VLOOKUP($C$98,'DB animal categories'!$C$42:$AN$51,26,FALSE)*VLOOKUP($C$98,'DB animal categories'!$C$42:$AN$51,25,FALSE)/24</f>
        <v>#N/A</v>
      </c>
      <c r="AK98" s="453" t="str">
        <f>IF(AI98="","",AL98+AM98)</f>
        <v/>
      </c>
      <c r="AL98" s="453" t="str">
        <f>IF(D98="","",IF(AI98=2,(('Calc (ex-animal)'!$G$23*'DB additional information '!$K$8/100*(1-VLOOKUP(D98,'DB technologies'!$N$53:$Y$64,9,FALSE)/100)*'Calc (ex-housing, ex-storage)'!F98/100+'Calc (ex-animal)'!$H$23*'DB additional information '!$L$8/100*(1-VLOOKUP(D98,'DB technologies'!$N$53:$Y$64,9,FALSE)/100)*'Calc (ex-housing, ex-storage)'!F98/100))/VLOOKUP($C$98,'DB animal categories'!$C$42:$AC$51,27,FALSE)*AJ98+I98+J98+K98,IF(AI98=1,('Calc (ex-animal)'!$H$23*'DB additional information '!$L$8/100*(1-VLOOKUP(D98,'DB technologies'!$N$53:$Y$64,9,FALSE)/100)*'Calc (ex-housing, ex-storage)'!F98/100)/VLOOKUP($C$98,'DB animal categories'!$C$42:$AC$51,27,FALSE)*AJ98,IF(AI98=4,('Calc (ex-animal)'!$G$23*'DB additional information '!$K$8/100+'Calc (ex-animal)'!$H$23*'DB additional information '!$L$8/100)*(1-VLOOKUP(D98,'DB technologies'!$N$53:$Y$64,9,FALSE)/100)*'Calc (ex-housing, ex-storage)'!F98/100*VLOOKUP(D98,'DB technologies'!$N$53:$Y$64,11,FALSE)/100/VLOOKUP($C$98,'DB animal categories'!$C$42:$AC$51,27,FALSE)*AJ98,0))))</f>
        <v/>
      </c>
      <c r="AM98" s="453" t="str">
        <f>IF(D98="","",IF(AI98=2,(('Calc (ex-animal)'!$G$23*(1-'DB additional information '!$K$8/100)*(1-VLOOKUP(D98,'DB technologies'!$N$53:$Y$64,8,FALSE)/100)*'Calc (ex-housing, ex-storage)'!F98/100+'Calc (ex-animal)'!$H$23*(1-'DB additional information '!$L$8/100)*(1-VLOOKUP(D98,'DB technologies'!$N$53:$Y$64,8,FALSE)/100)*'Calc (ex-housing, ex-storage)'!F98/100))/VLOOKUP($C$98,'DB animal categories'!$C$42:$AC$51,27,FALSE)*AJ98+M98+N98+O98,IF(AI98=1,('Calc (ex-animal)'!$H$23*(1-'DB additional information '!$L$8/100)*(1-VLOOKUP(D98,'DB technologies'!$N$53:$Y$64,8,FALSE)/100)*'Calc (ex-housing, ex-storage)'!F98/100)/VLOOKUP($C$98,'DB animal categories'!$C$42:$AC$51,27,FALSE)*AJ98,IF(AI98=4,('Calc (ex-animal)'!$G$23*(1-'DB additional information '!$K$8/100)+'Calc (ex-animal)'!$H$23*(1-'DB additional information '!$L$8/100))*(1-VLOOKUP(D98,'DB technologies'!$N$53:$Y$64,8,FALSE)/100)*'Calc (ex-housing, ex-storage)'!F98/100*VLOOKUP(D98,'DB technologies'!$N$53:$Y$64,11,FALSE)/100/VLOOKUP($C$98,'DB animal categories'!$C$42:$AC$51,27,FALSE)*AJ98,0))))</f>
        <v/>
      </c>
      <c r="AN98" s="453" t="str">
        <f>IF(AI98="","",IF(AL98=0,0,AL98/AK98*100))</f>
        <v/>
      </c>
      <c r="AO98" s="180" t="str">
        <f>IF(D98="","",IF(AI98=2,(('Calc (ex-animal)'!$L$23*'Calc (ex-housing, ex-storage)'!F98/100+'Calc (ex-animal)'!$K$23*'Calc (ex-housing, ex-storage)'!F98/100))/VLOOKUP($C$98,'DB animal categories'!$C$42:$AC$51,27,FALSE)*AJ98+Q98+R98+S98-AC98,IF(AI98=1,('Calc (ex-animal)'!$L$23*'Calc (ex-housing, ex-storage)'!F98/100)/VLOOKUP($C$98,'DB animal categories'!$C$42:$AC$51,27,FALSE)*AJ98-'Calc (ex-housing, ex-storage)'!AC98,IF(AI98=4,('Calc (ex-animal)'!$L$23+'Calc (ex-animal)'!$K$23)*'Calc (ex-housing, ex-storage)'!F98/100*VLOOKUP(D98,'DB technologies'!$N$53:$Y$64,11,FALSE)/100/VLOOKUP($C$98,'DB animal categories'!$C$42:$AC$51,27,FALSE)*AJ98-AC98*VLOOKUP(D98,'DB technologies'!$N$53:$Y$64,11,FALSE)/100,0))))</f>
        <v/>
      </c>
      <c r="AP98" s="180" t="str">
        <f>IF(D98="","",IF(AO98&lt;-0.01,0,IF(AI98=2,(('Calc (ex-animal)'!$L$23*'Calc (ex-housing, ex-storage)'!F98/100+'Calc (ex-animal)'!$K$23*'Calc (ex-housing, ex-storage)'!F98/100))/VLOOKUP($C$98,'DB animal categories'!$C$42:$AC$51,27,FALSE)*AJ98+Q98+R98+S98-AC98,IF(AI98=1,('Calc (ex-animal)'!$L$23*'Calc (ex-housing, ex-storage)'!F98/100)/VLOOKUP($C$98,'DB animal categories'!$C$42:$AC$51,27,FALSE)*AJ98-'Calc (ex-housing, ex-storage)'!AC98,IF(AI98=4,('Calc (ex-animal)'!$L$23+'Calc (ex-animal)'!$K$23)*'Calc (ex-housing, ex-storage)'!F98/100*VLOOKUP(D98,'DB technologies'!$N$53:$Y$64,11,FALSE)/100/VLOOKUP($C$98,'DB animal categories'!$C$42:$AC$51,27,FALSE)*AJ98-AC98*VLOOKUP(D98,'DB technologies'!$N$53:$Y$64,11,FALSE)/100,0)))))</f>
        <v/>
      </c>
      <c r="AQ98" s="180" t="str">
        <f>IF(D98="","",IF(AI98=2,('Calc (ex-animal)'!$O$23*'Calc (ex-housing, ex-storage)'!F98/100+'Calc (ex-animal)'!$N$23*'Calc (ex-housing, ex-storage)'!F98/100)/VLOOKUP($C$98,'DB animal categories'!$C$42:$AC$51,27,FALSE)*AJ98+U98+V98+W98,IF(AI98=1,'Calc (ex-animal)'!$O$23*'Calc (ex-housing, ex-storage)'!F98/100/VLOOKUP($C$98,'DB animal categories'!$C$42:$AC$51,27,FALSE)*AJ98,IF(AI98=4,('Calc (ex-animal)'!$O$23+'Calc (ex-animal)'!$N$23)*'Calc (ex-housing, ex-storage)'!F98/100*VLOOKUP(D98,'DB technologies'!$N$53:$Y$64,11,FALSE)/100/VLOOKUP($C$98,'DB animal categories'!$C$42:$AC$51,27,FALSE)*AJ98,0))))</f>
        <v/>
      </c>
      <c r="AR98" s="180" t="str">
        <f>IF(D98="","",IF(AI98=2,('Calc (ex-animal)'!$R$23*'Calc (ex-housing, ex-storage)'!F98/100+'Calc (ex-animal)'!$Q$23*'Calc (ex-housing, ex-storage)'!F98/100)/VLOOKUP($C$98,'DB animal categories'!$C$42:$AC$51,27,FALSE)*AJ98+Y98+Z98+AA98,IF(AI98=1,'Calc (ex-animal)'!$R$23*'Calc (ex-housing, ex-storage)'!F98/100/VLOOKUP($C$98,'DB animal categories'!$C$42:$AC$51,27,FALSE)*AJ98,IF(AI98=4,('Calc (ex-animal)'!$R$23+'Calc (ex-animal)'!$Q$23)*'Calc (ex-housing, ex-storage)'!F98/100*VLOOKUP(D98,'DB technologies'!$N$53:$Y$64,11,FALSE)/100/VLOOKUP($C$98,'DB animal categories'!$C$42:$AC$51,27,FALSE)*AJ98,0))))</f>
        <v/>
      </c>
      <c r="AS98" s="179" t="str">
        <f>IF(D98="","",VLOOKUP(D98,'DB technologies'!$N$53:$Y$64,10,FALSE))</f>
        <v/>
      </c>
      <c r="AT98" s="453" t="str">
        <f>IF(AS98="","",AU98+AV98)</f>
        <v/>
      </c>
      <c r="AU98" s="453" t="str">
        <f>IF(D98="","",IF(AS98=2,0,IF(AS98=1,'Calc (ex-animal)'!$G$23*'DB additional information '!$K$8/100*(1-VLOOKUP(D98,'DB technologies'!$N$53:$Y$64,8,FALSE)/100)*'Calc (ex-housing, ex-storage)'!F98/100/VLOOKUP($C$98,'DB animal categories'!$C$42:$AC$51,27,FALSE)*AJ98+I98+J98+K98,IF(AS98=5,(('Calc (ex-animal)'!$G$23*'DB additional information '!$K$8/100+'Calc (ex-animal)'!$H$23*'DB additional information '!$L$8/100))*(1-VLOOKUP(D98,'DB technologies'!$N$53:$Y$64,9,FALSE)/100)*'Calc (ex-housing, ex-storage)'!F98/100/VLOOKUP($C$98,'DB animal categories'!$C$42:$AC$51,27,FALSE)*AJ98+I98+J98+K98,IF(AS98=3,('Calc (ex-animal)'!$G$23*'DB additional information '!$K$8/100+'Calc (ex-animal)'!$H$23*'DB additional information '!$L$8/100)*(1-VLOOKUP(D98,'DB technologies'!$N$53:$Y$64,9,FALSE)/100)*'Calc (ex-housing, ex-storage)'!F98/100/VLOOKUP($C$98,'DB animal categories'!$C$42:$AC$51,27,FALSE)*AJ98+I98+J98+K98,IF(AS98=4,('Calc (ex-animal)'!$G$23*'DB additional information '!$K$8/100+'Calc (ex-animal)'!$H$23*'DB additional information '!$L$8/100)*(1-VLOOKUP(D98,'DB technologies'!$N$53:$Y$64,9,FALSE)/100)*'Calc (ex-housing, ex-storage)'!F98/100*VLOOKUP(D98,'DB technologies'!$N$53:$Y$64,12,FALSE)/100/VLOOKUP($C$98,'DB animal categories'!$C$42:$AC$51,27,FALSE)*AJ98+I98+J98+K98,0))))))</f>
        <v/>
      </c>
      <c r="AV98" s="453" t="str">
        <f>IF(D98="","",IF(AS98=2,0,IF(AS98=1,'Calc (ex-animal)'!$G$23*(1-'DB additional information '!$K$8/100)*(1-VLOOKUP(D98,'DB technologies'!$N$53:$Y$64,8,FALSE)/100)*'Calc (ex-housing, ex-storage)'!F98/100/VLOOKUP($C$98,'DB animal categories'!$C$42:$AC$51,27,FALSE)*AJ98+M98+N98+O98,IF(AS98=5,('Calc (ex-animal)'!$G$23*(1-'DB additional information '!$K$8/100)+'Calc (ex-animal)'!$H$23*(1-'DB additional information '!$L$8/100))*(1-VLOOKUP(D98,'DB technologies'!$N$53:$Y$64,8,FALSE)/100)*'Calc (ex-housing, ex-storage)'!F98/100/VLOOKUP($C$98,'DB animal categories'!$C$42:$AC$51,27,FALSE)*AJ98+M98+N98+O98,IF(AS98=3,('Calc (ex-animal)'!$G$23*(1-'DB additional information '!$K$8/100)+'Calc (ex-animal)'!$H$23*(1-'DB additional information '!$L$8/100))*(1-VLOOKUP(D98,'DB technologies'!$N$53:$Y$64,8,FALSE)/100)*'Calc (ex-housing, ex-storage)'!F98/100/VLOOKUP($C$98,'DB animal categories'!$C$42:$AC$51,27,FALSE)*AJ98+M98+N98+O98,IF(AS98=4,('Calc (ex-animal)'!$G$23*(1-'DB additional information '!$K$8/100)+'Calc (ex-animal)'!$H$23*(1-'DB additional information '!$L$8/100))*(1-VLOOKUP(D98,'DB technologies'!$N$53:$Y$64,8,FALSE)/100)*'Calc (ex-housing, ex-storage)'!F98/100*VLOOKUP(D98,'DB technologies'!$N$53:$Y$64,12,FALSE)/100/VLOOKUP($C$98,'DB animal categories'!$C$42:$AC$51,27,FALSE)*AJ98+M98+N98+O98,0))))))</f>
        <v/>
      </c>
      <c r="AW98" s="453" t="str">
        <f>IF(AS98="","",IF(AU98=0,0,AU98/AT98*100))</f>
        <v/>
      </c>
      <c r="AX98" s="180" t="str">
        <f>IF(D98="","",IF(AS98=2,0,IF(AS98=1,'Calc (ex-animal)'!$K$23*'Calc (ex-housing, ex-storage)'!F98/100/VLOOKUP($C$98,'DB animal categories'!$C$42:$AC$51,27,FALSE)*AJ98+Q98+R98+S98,IF(AS98=5,('Calc (ex-animal)'!$K$23+'Calc (ex-animal)'!$L$23)*'Calc (ex-housing, ex-storage)'!F98/100/VLOOKUP($C$98,'DB animal categories'!$C$42:$AC$51,27,FALSE)*AJ98+Q98+R98+S98-'Calc (ex-housing, ex-storage)'!AC98,IF(AS98=3,('Calc (ex-animal)'!$K$23+'Calc (ex-animal)'!$L$23)*'Calc (ex-housing, ex-storage)'!F98/100/VLOOKUP($C$98,'DB animal categories'!$C$42:$AC$51,27,FALSE)*AJ98+Q98+R98+S98-'Calc (ex-housing, ex-storage)'!AC98-AD98-AE98,IF(AI98=4,('Calc (ex-animal)'!$K$23+'Calc (ex-animal)'!$L$23)*'Calc (ex-housing, ex-storage)'!F98/100*VLOOKUP(D98,'DB technologies'!$N$53:$Y$64,12,FALSE)/100/VLOOKUP($C$98,'DB animal categories'!$C$42:$AC$51,27,FALSE)*AJ98+Q98+R98+S98-(VLOOKUP(D98,'DB technologies'!$N$53:$Y$64,12,FALSE)/100*AC98)-AD98-AE98,0))))))</f>
        <v/>
      </c>
      <c r="AY98" s="180" t="str">
        <f>IF(D98="","",IF(AS98=2,0,IF(AS98=1,'Calc (ex-animal)'!$N$23*'Calc (ex-housing, ex-storage)'!F98/100/VLOOKUP($C$98,'DB animal categories'!$C$42:$AC$51,27,FALSE)*AJ98+U98+V98+W98,IF(AS98=5,('Calc (ex-animal)'!$N$23+'Calc (ex-animal)'!$O$23)*'Calc (ex-housing, ex-storage)'!F98/100/VLOOKUP($C$98,'DB animal categories'!$C$42:$AC$51,27,FALSE)*AJ98+U98+V98+W98,IF(AS98=3,('Calc (ex-animal)'!$N$23+'Calc (ex-animal)'!$O$23)*'Calc (ex-housing, ex-storage)'!F98/100/VLOOKUP($C$98,'DB animal categories'!$C$42:$AC$51,27,FALSE)*AJ98+U98+V98+W98,IF(AS98=4,('Calc (ex-animal)'!$N$23+'Calc (ex-animal)'!$O$23)*'Calc (ex-housing, ex-storage)'!F98/100*VLOOKUP(D98,'DB technologies'!$N$53:$Y$64,12,FALSE)/100/VLOOKUP($C$98,'DB animal categories'!$C$42:$AC$51,27,FALSE)*AJ98+U98+V98+W98,0))))))</f>
        <v/>
      </c>
      <c r="AZ98" s="180" t="str">
        <f>IF(D98="","",IF(AS98=2,0,IF(AS98=1,'Calc (ex-animal)'!$Q$23*'Calc (ex-housing, ex-storage)'!F98/100/VLOOKUP($C$98,'DB animal categories'!$C$42:$AC$51,27,FALSE)*AJ98+Y98+Z98+AA98,IF(AS98=5,('Calc (ex-animal)'!$Q$23+'Calc (ex-animal)'!$R$23)*'Calc (ex-housing, ex-storage)'!F98/100/VLOOKUP($C$98,'DB animal categories'!$C$42:$AC$51,27,FALSE)*AJ98+Y98+Z98+AA98,IF(AS98=3,('Calc (ex-animal)'!$Q$23+'Calc (ex-animal)'!$R$23)*'Calc (ex-housing, ex-storage)'!F98/100/VLOOKUP($C$98,'DB animal categories'!$C$42:$AC$51,27,FALSE)*AJ98+Y98+Z98+AA98,IF(AS98=4,('Calc (ex-animal)'!$Q$23+'Calc (ex-animal)'!$R$23)*'Calc (ex-housing, ex-storage)'!F98/100*VLOOKUP(D98,'DB technologies'!$N$53:$Y$64,12,FALSE)/100/VLOOKUP($C$98,'DB animal categories'!$C$42:$AC$51,27,FALSE)*AJ98+Y98+Z98+AA98,0))))))</f>
        <v/>
      </c>
      <c r="BA98" s="506"/>
      <c r="BB98" s="506"/>
      <c r="BC98" s="506"/>
      <c r="BG98" s="1357"/>
      <c r="BH98" s="1361"/>
      <c r="BI98" s="598" t="str">
        <f>IF(BG98="","",$BA$96*BH98/100-($BB$96*BH98/100*VLOOKUP(BG98,'DB technologies'!$AC$21:$AT$25,5,FALSE)/100)+(VLOOKUP(BG98,'DB technologies'!$AC$21:$AT$25,12,FALSE)*$BA$96*BH98/100))</f>
        <v/>
      </c>
      <c r="BJ98" s="551">
        <f>IF(BI98="",0,BI98*BK98/100)</f>
        <v>0</v>
      </c>
      <c r="BK98" s="561" t="str">
        <f>IF(BG98="","",IF($BA$96=0,0,($BB$96*BH98/100)/BI98*(1-(VLOOKUP(BG98,'DB technologies'!$AC$21:$AQ$25,5,FALSE))/100)*100))</f>
        <v/>
      </c>
      <c r="BL98" s="261" t="str">
        <f>IF(BG98="","",$BD$96*(1-VLOOKUP(BG98,'DB technologies'!$AC$21:$AS$25,12,FALSE)/100)*BH98/100-BO98-BP98-BQ98-BR98)</f>
        <v/>
      </c>
      <c r="BM98" s="261" t="str">
        <f>IF(BG98="","",$BE$96*(1-VLOOKUP(BG98,'DB technologies'!$AC$21:$AS$25,12,FALSE)/100)*BH98/100-BS98)</f>
        <v/>
      </c>
      <c r="BN98" s="261" t="str">
        <f>IF(BG98="","",$BF$96*(1-VLOOKUP(BG98,'DB technologies'!$AC$21:$AS$25,12,FALSE)/100)*BH98/100-BT98)</f>
        <v/>
      </c>
      <c r="BO98" s="261" t="str">
        <f>IF(BG98="","",$BD$96*BH98/100*VLOOKUP(BG98,'DB technologies'!$AC$21:$AF$25,2,FALSE)/100)</f>
        <v/>
      </c>
      <c r="BP98" s="261" t="str">
        <f>IF(BG98="","",$BD$96*BH98/100*VLOOKUP(BG98,'DB technologies'!$AC$21:$AN$25,3,FALSE)/100)</f>
        <v/>
      </c>
      <c r="BQ98" s="262" t="str">
        <f>IF(BG98="","",$BD$96*BH98/100*VLOOKUP(BG98,'DB technologies'!$AC$21:$AN$25,4,FALSE)/100)</f>
        <v/>
      </c>
      <c r="BR98" s="264" t="str">
        <f>IF(BG98="","",VLOOKUP(BG98,'DB technologies'!$AC$21:$AQ$25,13,FALSE)/100*$BD$96*BH98/100)</f>
        <v/>
      </c>
      <c r="BS98" s="261" t="str">
        <f>IF(BG98="","",VLOOKUP(BG98,'DB technologies'!$AC$21:$AQ$25,14,FALSE)/100*$BE$96*BH98/100)</f>
        <v/>
      </c>
      <c r="BT98" s="262" t="str">
        <f>IF(BG98="","",VLOOKUP(BG98,'DB technologies'!$AC$21:$AQ$25,15,FALSE)/100*$BF$96*BH98/100)</f>
        <v/>
      </c>
    </row>
    <row r="99" spans="1:72" ht="11.25" customHeight="1" x14ac:dyDescent="0.2">
      <c r="A99" s="684"/>
      <c r="B99" s="695"/>
      <c r="C99" s="255"/>
      <c r="D99" s="1357"/>
      <c r="E99" s="1358"/>
      <c r="F99" s="501" t="str">
        <f>IF('Calc (ex-animal)'!$F$9=1,"",IF($C$98=0,"",IF(D99="","",E99/'Calc (ex-animal)'!$E$23*100)))</f>
        <v/>
      </c>
      <c r="G99" s="485" t="str">
        <f>IF($C$98=0,"",IF('Calc (ex-animal)'!$F$8=1,"",IF(D99="","",SUM(H99:O99))))</f>
        <v/>
      </c>
      <c r="H99" s="423" t="str">
        <f>IF('Calc (ex-animal)'!$F$8=1,"",IF(D99="","",(((VLOOKUP($C$98,'Calc (ex-animal)'!$D$23:$Y$27,6,FALSE)-VLOOKUP($C$98,'Calc (ex-animal)'!$D$23:$Y$27,17,FALSE))*F99/100))*VLOOKUP($C$98,'Calc (ex-animal)'!$D$23:$Y$27,7,FALSE)/100*(1-VLOOKUP(D99,'DB technologies'!$N$53:$Y$64,9,FALSE)/100)))</f>
        <v/>
      </c>
      <c r="I99" s="423" t="str">
        <f>IF(D99="","",((VLOOKUP(D99,'DB technologies'!$N$53:$Y$64,2,FALSE)*VLOOKUP($C$98,'DB animal categories'!$C$42:$AC$51,27,FALSE)*E99/1000)/VLOOKUP($C$98,'DB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'!$S$6/100*(1-VLOOKUP(D99,'DB technologies'!$N$53:$Y$64,9,FALSE)/100)))</f>
        <v/>
      </c>
      <c r="J99" s="434" t="str">
        <f>IF(D99="","",((VLOOKUP(D99,'DB technologies'!$N$53:$Y$64,3,FALSE)*VLOOKUP($C$98,'DB animal categories'!$C$42:$AC$51,27,FALSE)*E99/1000)/VLOOKUP($C$98,'DB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'!$S$7/100*(1-VLOOKUP(D99,'DB technologies'!$N$53:$Y$64,9,FALSE)/100)))</f>
        <v/>
      </c>
      <c r="K99" s="434" t="str">
        <f>IF(D99="","",((VLOOKUP(D99,'DB technologies'!$N$53:$Y$64,4,FALSE)*E99*'DB additional information '!$S$8/100*(1-VLOOKUP(D99,'DB technologies'!$N$53:$Y$64,9,FALSE)/100))/VLOOKUP($C$98,'DB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L99" s="423" t="str">
        <f>IF('Calc (ex-animal)'!$F$8=1,"",IF(D99="","",(((VLOOKUP($C$98,'Calc (ex-animal)'!$D$23:$Y$27,6,FALSE)-VLOOKUP($C$98,'Calc (ex-animal)'!$D$23:$Y$27,17,FALSE))*F99/100))*(1-VLOOKUP($C$98,'Calc (ex-animal)'!$D$23:$Y$27,7,FALSE)/100)*(1-VLOOKUP(D99,'DB technologies'!$N$53:$V$64,8,FALSE)/100)))</f>
        <v/>
      </c>
      <c r="M99" s="434" t="str">
        <f>IF(D99="","",((VLOOKUP(D99,'DB technologies'!$N$53:$Y$64,2,FALSE)*VLOOKUP($C$98,'DB animal categories'!$C$42:$AC$51,27,FALSE)*E99/1000)/VLOOKUP($C$98,'DB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'!$S$6/100)*(1-VLOOKUP(D99,'DB technologies'!$N$53:$Y$64,9,FALSE)/100))</f>
        <v/>
      </c>
      <c r="N99" s="434" t="str">
        <f>IF(D99="","",((VLOOKUP(D99,'DB technologies'!$N$53:$Y$64,3,FALSE)*VLOOKUP($C$98,'DB animal categories'!$C$42:$AC$51,27,FALSE)*E99/1000)/VLOOKUP($C$98,'DB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'!$S$7/100)*(1-VLOOKUP(D99,'DB technologies'!$N$53:$Y$64,9,FALSE)/100))</f>
        <v/>
      </c>
      <c r="O99" s="423" t="str">
        <f>IF(D99="","",((VLOOKUP(D99,'DB technologies'!$N$53:$Y$64,4,FALSE)*E99*(1-'DB additional information '!$S$8/100)*(1-VLOOKUP(D99,'DB technologies'!$N$53:$Y$64,8,FALSE)/100))/VLOOKUP($C$98,'DB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P99" s="438" t="str">
        <f>IF(G99=0,0,IF(E99="","",IF(F99="","",IF($C$98=0,"",IF(D99="","",SUM(H99:K99)/G99*100)))))</f>
        <v/>
      </c>
      <c r="Q99" s="416" t="str">
        <f>IF(D99="","",(VLOOKUP(D99,'DB technologies'!$N$53:$Y$64,2,FALSE)*'DB additional information '!$S$6/100*'DB additional information '!$T$6*VLOOKUP($C$98,'DB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R99" s="416" t="str">
        <f>IF(D99="","",(VLOOKUP(D99,'DB technologies'!$N$53:$Y$64,3,FALSE)*'DB additional information '!$S$7/100*'DB additional information '!$T$7*VLOOKUP($C$98,'DB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S99" s="491" t="str">
        <f>IF(D99="","",(VLOOKUP(D99,'DB technologies'!$N$53:$Y$64,4,FALSE)*('DB additional information '!$S$8/100*'DB additional information '!$T$8*E99/1000/1000)))</f>
        <v/>
      </c>
      <c r="T99" s="264" t="str">
        <f>IF($C$98=0,"",IF('Calc (ex-animal)'!$F$9=1,"",IF(D99="","",((VLOOKUP($C$98,'Calc (ex-animal)'!$D$23:$Y$27,10,FALSE)-VLOOKUP($C$98,'Calc (ex-animal)'!$D$23:$Y$27,18,FALSE))*F99/100+Q99+R99+S99)-AC99-AD99-AE99)))</f>
        <v/>
      </c>
      <c r="U99" s="422" t="str">
        <f>IF(D99="","",(VLOOKUP(D99,'DB technologies'!$N$53:$Y$64,2,FALSE)*'DB additional information '!$S$6/100*'DB additional information '!$U$6*VLOOKUP($C$98,'DB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V99" s="418" t="str">
        <f>IF(D99="","",(VLOOKUP(D99,'DB technologies'!$N$53:$Y$64,3,FALSE)*'DB additional information '!$S$7/100*'DB additional information '!$U$7*VLOOKUP($C$98,'DB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W99" s="417" t="str">
        <f>IF(D99="","",(VLOOKUP(D99,'DB technologies'!$N$53:$Y$64,4,FALSE)*('DB additional information '!$S$8/100*'DB additional information '!$U$8*E99/1000/1000)))</f>
        <v/>
      </c>
      <c r="X99" s="261" t="str">
        <f>IF($C$98=0,"",IF('Calc (ex-animal)'!$F$9=1,"",IF(D99="","",((VLOOKUP($C$98,'Calc (ex-animal)'!$D$23:$Y$27,13,FALSE)-VLOOKUP($C$98,'Calc (ex-animal)'!$D$23:$Y$27,19,FALSE))*F99/100+U99+V99+W99))))</f>
        <v/>
      </c>
      <c r="Y99" s="418" t="str">
        <f>IF(D99="","",(VLOOKUP(D99,'DB technologies'!$N$53:$Y$64,2,FALSE)*'DB additional information '!$S$6/100*'DB additional information '!$V$6*VLOOKUP($C$98,'DB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Z99" s="418" t="str">
        <f>IF(D99="","",(VLOOKUP(D99,'DB technologies'!$N$53:$Y$64,3,FALSE)*'DB additional information '!$S$7/100*'DB additional information '!$V$7*VLOOKUP($C$98,'DB animal categories'!$C$42:$AC$51,27,FALSE)*E99/1000/1000)/VLOOKUP($C$98,'DB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AA99" s="418" t="str">
        <f>IF(D99="","",(VLOOKUP(D99,'DB technologies'!$N$53:$Y$64,4,FALSE)*('DB additional information '!$S$8/100*'DB additional information '!$V$8*E99/1000/1000)))</f>
        <v/>
      </c>
      <c r="AB99" s="261" t="str">
        <f>IF($C$98=0,"",IF('Calc (ex-animal)'!$F$8=1,"",IF(D99="","",((VLOOKUP($C$98,'Calc (ex-animal)'!$D$23:$Y$27,16,FALSE)-VLOOKUP($C$98,'Calc (ex-animal)'!$D$23:$Y$27,20,FALSE))*F99/100+Y99+Z99+AA99))))</f>
        <v/>
      </c>
      <c r="AC99" s="261" t="str">
        <f>IF($C$98=0,"",IF('Calc (ex-animal)'!$F$8=1,"",IF(D99="","",VLOOKUP($C$98,'Calc (ex-animal)'!$D$23:$Y$27,9,FALSE)/VLOOKUP($C$98,'DB animal categories'!$C$42:$AC$51,27,FALSE)*(VLOOKUP($C$98,'DB animal categories'!$C$42:$AC$51,27,FALSE)-VLOOKUP($C$98,'DB animal categories'!$C$42:$AC$51,25,FALSE)*VLOOKUP($C$98,'DB animal categories'!$C$42:$AC$51,26,FALSE)/24)*F99/100*VLOOKUP(D99,'DB technologies'!$N$53:$R$64,5,FALSE)/100)))</f>
        <v/>
      </c>
      <c r="AD99" s="261" t="str">
        <f>IF($C$98=0,"",IF('Calc (ex-animal)'!$F$8=1,"",IF(D99="","",VLOOKUP($C$98,'Calc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categories'!$C$42:$AC$51,26,FALSE)/24)*F99/100*VLOOKUP(D99,'DB technologies'!$N$53:$Y$64,6,FALSE)/100)))</f>
        <v/>
      </c>
      <c r="AE99" s="262" t="str">
        <f>IF($C$98=0,"",IF('Calc (ex-animal)'!$F$8=1,"",IF(D99="","",VLOOKUP($C$98,'Calc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categories'!$C$42:$AC$51,26,FALSE)/24)*F99/100*VLOOKUP(D99,'DB technologies'!$N$53:$Y$64,7,FALSE)/100)))</f>
        <v/>
      </c>
      <c r="AG99" s="698"/>
      <c r="AH99" s="695"/>
      <c r="AI99" s="181" t="str">
        <f>IF(D99="","",VLOOKUP(D99,'DB technologies'!$N$53:$Y$64,10,FALSE))</f>
        <v/>
      </c>
      <c r="AJ99" s="449" t="e">
        <f>VLOOKUP($C$98,'DB animal categories'!$C$42:$AN$51,27,FALSE)-VLOOKUP($C$98,'DB animal categories'!$C$42:$AN$51,26,FALSE)*VLOOKUP($C$98,'DB animal categories'!$C$42:$AN$51,25,FALSE)/24</f>
        <v>#N/A</v>
      </c>
      <c r="AK99" s="442" t="str">
        <f>IF(AI99="","",AL99+AM99)</f>
        <v/>
      </c>
      <c r="AL99" s="442" t="str">
        <f>IF(D99="","",IF(AI99=2,(('Calc (ex-animal)'!$G$23*'DB additional information '!$K$8/100*(1-VLOOKUP(D99,'DB technologies'!$N$53:$Y$64,9,FALSE)/100)*'Calc (ex-housing, ex-storage)'!F99/100+'Calc (ex-animal)'!$H$23*'DB additional information '!$L$8/100*(1-VLOOKUP(D99,'DB technologies'!$N$53:$Y$64,9,FALSE)/100)*'Calc (ex-housing, ex-storage)'!F99/100))/VLOOKUP($C$98,'DB animal categories'!$C$42:$AC$51,27,FALSE)*AJ99+I99+J99+K99,IF(AI99=1,('Calc (ex-animal)'!$H$23*'DB additional information '!$L$8/100*(1-VLOOKUP(D99,'DB technologies'!$N$53:$Y$64,9,FALSE)/100)*'Calc (ex-housing, ex-storage)'!F99/100)/VLOOKUP($C$98,'DB animal categories'!$C$42:$AC$51,27,FALSE)*AJ99,IF(AI99=4,('Calc (ex-animal)'!$G$23*'DB additional information '!$K$8/100+'Calc (ex-animal)'!$H$23*'DB additional information '!$L$8/100)*(1-VLOOKUP(D99,'DB technologies'!$N$53:$Y$64,9,FALSE)/100)*'Calc (ex-housing, ex-storage)'!F99/100*VLOOKUP(D99,'DB technologies'!$N$53:$Y$64,11,FALSE)/100/VLOOKUP($C$98,'DB animal categories'!$C$42:$AC$51,27,FALSE)*AJ99,0))))</f>
        <v/>
      </c>
      <c r="AM99" s="442" t="str">
        <f>IF(D99="","",IF(AI99=2,(('Calc (ex-animal)'!$G$23*(1-'DB additional information '!$K$8/100)*(1-VLOOKUP(D99,'DB technologies'!$N$53:$Y$64,8,FALSE)/100)*'Calc (ex-housing, ex-storage)'!F99/100+'Calc (ex-animal)'!$H$23*(1-'DB additional information '!$L$8/100)*(1-VLOOKUP(D99,'DB technologies'!$N$53:$Y$64,8,FALSE)/100)*'Calc (ex-housing, ex-storage)'!F99/100))/VLOOKUP($C$98,'DB animal categories'!$C$42:$AC$51,27,FALSE)*AJ99+M99+N99+O99,IF(AI99=1,('Calc (ex-animal)'!$H$23*(1-'DB additional information '!$L$8/100)*(1-VLOOKUP(D99,'DB technologies'!$N$53:$Y$64,8,FALSE)/100)*'Calc (ex-housing, ex-storage)'!F99/100)/VLOOKUP($C$98,'DB animal categories'!$C$42:$AC$51,27,FALSE)*AJ99,IF(AI99=4,('Calc (ex-animal)'!$G$23*(1-'DB additional information '!$K$8/100)+'Calc (ex-animal)'!$H$23*(1-'DB additional information '!$L$8/100))*(1-VLOOKUP(D99,'DB technologies'!$N$53:$Y$64,8,FALSE)/100)*'Calc (ex-housing, ex-storage)'!F99/100*VLOOKUP(D99,'DB technologies'!$N$53:$Y$64,11,FALSE)/100/VLOOKUP($C$98,'DB animal categories'!$C$42:$AC$51,27,FALSE)*AJ99,0))))</f>
        <v/>
      </c>
      <c r="AN99" s="442" t="str">
        <f>IF(AI99="","",IF(AL99=0,0,AL99/AK99*100))</f>
        <v/>
      </c>
      <c r="AO99" s="182" t="str">
        <f>IF(D99="","",IF(AI99=2,(('Calc (ex-animal)'!$L$23*'Calc (ex-housing, ex-storage)'!F99/100+'Calc (ex-animal)'!$K$23*'Calc (ex-housing, ex-storage)'!F99/100))/VLOOKUP($C$98,'DB animal categories'!$C$42:$AC$51,27,FALSE)*AJ99+Q99+R99+S99-AC99,IF(AI99=1,('Calc (ex-animal)'!$L$23*'Calc (ex-housing, ex-storage)'!F99/100)/VLOOKUP($C$98,'DB animal categories'!$C$42:$AC$51,27,FALSE)*AJ99-'Calc (ex-housing, ex-storage)'!AC99,IF(AI99=4,('Calc (ex-animal)'!$L$23+'Calc (ex-animal)'!$K$23)*'Calc (ex-housing, ex-storage)'!F99/100*VLOOKUP(D99,'DB technologies'!$N$53:$Y$64,11,FALSE)/100/VLOOKUP($C$98,'DB animal categories'!$C$42:$AC$51,27,FALSE)*AJ99-AC99*VLOOKUP(D99,'DB technologies'!$N$53:$Y$64,11,FALSE)/100,0))))</f>
        <v/>
      </c>
      <c r="AP99" s="182" t="str">
        <f>IF(D99="","",IF(AO99&lt;-0.01,0,IF(AI99=2,(('Calc (ex-animal)'!$L$23*'Calc (ex-housing, ex-storage)'!F99/100+'Calc (ex-animal)'!$K$23*'Calc (ex-housing, ex-storage)'!F99/100))/VLOOKUP($C$98,'DB animal categories'!$C$42:$AC$51,27,FALSE)*AJ99+Q99+R99+S99-AC99,IF(AI99=1,('Calc (ex-animal)'!$L$23*'Calc (ex-housing, ex-storage)'!F99/100)/VLOOKUP($C$98,'DB animal categories'!$C$42:$AC$51,27,FALSE)*AJ99-'Calc (ex-housing, ex-storage)'!AC99,IF(AI99=4,('Calc (ex-animal)'!$L$23+'Calc (ex-animal)'!$K$23)*'Calc (ex-housing, ex-storage)'!F99/100*VLOOKUP(D99,'DB technologies'!$N$53:$Y$64,11,FALSE)/100/VLOOKUP($C$98,'DB animal categories'!$C$42:$AC$51,27,FALSE)*AJ99-AC99*VLOOKUP(D99,'DB technologies'!$N$53:$Y$64,11,FALSE)/100,0)))))</f>
        <v/>
      </c>
      <c r="AQ99" s="182" t="str">
        <f>IF(D99="","",IF(AI99=2,('Calc (ex-animal)'!$O$23*'Calc (ex-housing, ex-storage)'!F99/100+'Calc (ex-animal)'!$N$23*'Calc (ex-housing, ex-storage)'!F99/100)/VLOOKUP($C$98,'DB animal categories'!$C$42:$AC$51,27,FALSE)*AJ99+U99+V99+W99,IF(AI99=1,'Calc (ex-animal)'!$O$23*'Calc (ex-housing, ex-storage)'!F99/100/VLOOKUP($C$98,'DB animal categories'!$C$42:$AC$51,27,FALSE)*AJ99,IF(AI99=4,('Calc (ex-animal)'!$O$23+'Calc (ex-animal)'!$N$23)*'Calc (ex-housing, ex-storage)'!F99/100*VLOOKUP(D99,'DB technologies'!$N$53:$Y$64,11,FALSE)/100/VLOOKUP($C$98,'DB animal categories'!$C$42:$AC$51,27,FALSE)*AJ99,0))))</f>
        <v/>
      </c>
      <c r="AR99" s="182" t="str">
        <f>IF(D99="","",IF(AI99=2,('Calc (ex-animal)'!$R$23*'Calc (ex-housing, ex-storage)'!F99/100+'Calc (ex-animal)'!$Q$23*'Calc (ex-housing, ex-storage)'!F99/100)/VLOOKUP($C$98,'DB animal categories'!$C$42:$AC$51,27,FALSE)*AJ99+Y99+Z99+AA99,IF(AI99=1,'Calc (ex-animal)'!$R$23*'Calc (ex-housing, ex-storage)'!F99/100/VLOOKUP($C$98,'DB animal categories'!$C$42:$AC$51,27,FALSE)*AJ99,IF(AI99=4,('Calc (ex-animal)'!$R$23+'Calc (ex-animal)'!$Q$23)*'Calc (ex-housing, ex-storage)'!F99/100*VLOOKUP(D99,'DB technologies'!$N$53:$Y$64,11,FALSE)/100/VLOOKUP($C$98,'DB animal categories'!$C$42:$AC$51,27,FALSE)*AJ99,0))))</f>
        <v/>
      </c>
      <c r="AS99" s="181" t="str">
        <f>IF(D99="","",VLOOKUP(D99,'DB technologies'!$N$53:$Y$64,10,FALSE))</f>
        <v/>
      </c>
      <c r="AT99" s="442" t="str">
        <f>IF(AS99="","",AU99+AV99)</f>
        <v/>
      </c>
      <c r="AU99" s="442" t="str">
        <f>IF(D99="","",IF(AS99=2,0,IF(AS99=1,'Calc (ex-animal)'!$G$23*'DB additional information '!$K$8/100*(1-VLOOKUP(D99,'DB technologies'!$N$53:$Y$64,8,FALSE)/100)*'Calc (ex-housing, ex-storage)'!F99/100/VLOOKUP($C$98,'DB animal categories'!$C$42:$AC$51,27,FALSE)*AJ99+I99+J99+K99,IF(AS99=5,(('Calc (ex-animal)'!$G$23*'DB additional information '!$K$8/100+'Calc (ex-animal)'!$H$23*'DB additional information '!$L$8/100))*(1-VLOOKUP(D99,'DB technologies'!$N$53:$Y$64,9,FALSE)/100)*'Calc (ex-housing, ex-storage)'!F99/100/VLOOKUP($C$98,'DB animal categories'!$C$42:$AC$51,27,FALSE)*AJ99+I99+J99+K99,IF(AS99=3,('Calc (ex-animal)'!$G$23*'DB additional information '!$K$8/100+'Calc (ex-animal)'!$H$23*'DB additional information '!$L$8/100)*(1-VLOOKUP(D99,'DB technologies'!$N$53:$Y$64,9,FALSE)/100)*'Calc (ex-housing, ex-storage)'!F99/100/VLOOKUP($C$98,'DB animal categories'!$C$42:$AC$51,27,FALSE)*AJ99+I99+J99+K99,IF(AS99=4,('Calc (ex-animal)'!$G$23*'DB additional information '!$K$8/100+'Calc (ex-animal)'!$H$23*'DB additional information '!$L$8/100)*(1-VLOOKUP(D99,'DB technologies'!$N$53:$Y$64,9,FALSE)/100)*'Calc (ex-housing, ex-storage)'!F99/100*VLOOKUP(D99,'DB technologies'!$N$53:$Y$64,12,FALSE)/100/VLOOKUP($C$98,'DB animal categories'!$C$42:$AC$51,27,FALSE)*AJ99+I99+J99+K99,0))))))</f>
        <v/>
      </c>
      <c r="AV99" s="442" t="str">
        <f>IF(D99="","",IF(AS99=2,0,IF(AS99=1,'Calc (ex-animal)'!$G$23*(1-'DB additional information '!$K$8/100)*(1-VLOOKUP(D99,'DB technologies'!$N$53:$Y$64,8,FALSE)/100)*'Calc (ex-housing, ex-storage)'!F99/100/VLOOKUP($C$98,'DB animal categories'!$C$42:$AC$51,27,FALSE)*AJ99+M99+N99+O99,IF(AS99=5,('Calc (ex-animal)'!$G$23*(1-'DB additional information '!$K$8/100)+'Calc (ex-animal)'!$H$23*(1-'DB additional information '!$L$8/100))*(1-VLOOKUP(D99,'DB technologies'!$N$53:$Y$64,8,FALSE)/100)*'Calc (ex-housing, ex-storage)'!F99/100/VLOOKUP($C$98,'DB animal categories'!$C$42:$AC$51,27,FALSE)*AJ99+M99+N99+O99,IF(AS99=3,('Calc (ex-animal)'!$G$23*(1-'DB additional information '!$K$8/100)+'Calc (ex-animal)'!$H$23*(1-'DB additional information '!$L$8/100))*(1-VLOOKUP(D99,'DB technologies'!$N$53:$Y$64,8,FALSE)/100)*'Calc (ex-housing, ex-storage)'!F99/100/VLOOKUP($C$98,'DB animal categories'!$C$42:$AC$51,27,FALSE)*AJ99+M99+N99+O99,IF(AS99=4,('Calc (ex-animal)'!$G$23*(1-'DB additional information '!$K$8/100)+'Calc (ex-animal)'!$H$23*(1-'DB additional information '!$L$8/100))*(1-VLOOKUP(D99,'DB technologies'!$N$53:$Y$64,8,FALSE)/100)*'Calc (ex-housing, ex-storage)'!F99/100*VLOOKUP(D99,'DB technologies'!$N$53:$Y$64,12,FALSE)/100/VLOOKUP($C$98,'DB animal categories'!$C$42:$AC$51,27,FALSE)*AJ99+M99+N99+O99,0))))))</f>
        <v/>
      </c>
      <c r="AW99" s="442" t="str">
        <f>IF(AS99="","",IF(AU99=0,0,AU99/AT99*100))</f>
        <v/>
      </c>
      <c r="AX99" s="182" t="str">
        <f>IF(D99="","",IF(AS99=2,0,IF(AS99=1,'Calc (ex-animal)'!$K$23*'Calc (ex-housing, ex-storage)'!F99/100/VLOOKUP($C$98,'DB animal categories'!$C$42:$AC$51,27,FALSE)*AJ99+Q99+R99+S99,IF(AS99=5,('Calc (ex-animal)'!$K$23+'Calc (ex-animal)'!$L$23)*'Calc (ex-housing, ex-storage)'!F99/100/VLOOKUP($C$98,'DB animal categories'!$C$42:$AC$51,27,FALSE)*AJ99+Q99+R99+S99-'Calc (ex-housing, ex-storage)'!AC99,IF(AS99=3,('Calc (ex-animal)'!$K$23+'Calc (ex-animal)'!$L$23)*'Calc (ex-housing, ex-storage)'!F99/100/VLOOKUP($C$98,'DB animal categories'!$C$42:$AC$51,27,FALSE)*AJ99+Q99+R99+S99-'Calc (ex-housing, ex-storage)'!AC99-AD99-AE99,IF(AI99=4,('Calc (ex-animal)'!$K$23+'Calc (ex-animal)'!$L$23)*'Calc (ex-housing, ex-storage)'!F99/100*VLOOKUP(D99,'DB technologies'!$N$53:$Y$64,12,FALSE)/100/VLOOKUP($C$98,'DB animal categories'!$C$42:$AC$51,27,FALSE)*AJ99+Q99+R99+S99-(VLOOKUP(D99,'DB technologies'!$N$53:$Y$64,12,FALSE)/100*AC99)-AD99-AE99,0))))))</f>
        <v/>
      </c>
      <c r="AY99" s="182" t="str">
        <f>IF(D99="","",IF(AS99=2,0,IF(AS99=1,'Calc (ex-animal)'!$N$23*'Calc (ex-housing, ex-storage)'!F99/100/VLOOKUP($C$98,'DB animal categories'!$C$42:$AC$51,27,FALSE)*AJ99+U99+V99+W99,IF(AS99=5,('Calc (ex-animal)'!$N$23+'Calc (ex-animal)'!$O$23)*'Calc (ex-housing, ex-storage)'!F99/100/VLOOKUP($C$98,'DB animal categories'!$C$42:$AC$51,27,FALSE)*AJ99+U99+V99+W99,IF(AS99=3,('Calc (ex-animal)'!$N$23+'Calc (ex-animal)'!$O$23)*'Calc (ex-housing, ex-storage)'!F99/100/VLOOKUP($C$98,'DB animal categories'!$C$42:$AC$51,27,FALSE)*AJ99+U99+V99+W99,IF(AS99=4,('Calc (ex-animal)'!$N$23+'Calc (ex-animal)'!$O$23)*'Calc (ex-housing, ex-storage)'!F99/100*VLOOKUP(D99,'DB technologies'!$N$53:$Y$64,12,FALSE)/100/VLOOKUP($C$98,'DB animal categories'!$C$42:$AC$51,27,FALSE)*AJ99+U99+V99+W99,0))))))</f>
        <v/>
      </c>
      <c r="AZ99" s="182" t="str">
        <f>IF(D99="","",IF(AS99=2,0,IF(AS99=1,'Calc (ex-animal)'!$Q$23*'Calc (ex-housing, ex-storage)'!F99/100/VLOOKUP($C$98,'DB animal categories'!$C$42:$AC$51,27,FALSE)*AJ99+Y99+Z99+AA99,IF(AS99=5,('Calc (ex-animal)'!$Q$23+'Calc (ex-animal)'!$R$23)*'Calc (ex-housing, ex-storage)'!F99/100/VLOOKUP($C$98,'DB animal categories'!$C$42:$AC$51,27,FALSE)*AJ99+Y99+Z99+AA99,IF(AS99=3,('Calc (ex-animal)'!$Q$23+'Calc (ex-animal)'!$R$23)*'Calc (ex-housing, ex-storage)'!F99/100/VLOOKUP($C$98,'DB animal categories'!$C$42:$AC$51,27,FALSE)*AJ99+Y99+Z99+AA99,IF(AS99=4,('Calc (ex-animal)'!$Q$23+'Calc (ex-animal)'!$R$23)*'Calc (ex-housing, ex-storage)'!F99/100*VLOOKUP(D99,'DB technologies'!$N$53:$Y$64,12,FALSE)/100/VLOOKUP($C$98,'DB animal categories'!$C$42:$AC$51,27,FALSE)*AJ99+Y99+Z99+AA99,0))))))</f>
        <v/>
      </c>
      <c r="BA99" s="506"/>
      <c r="BB99" s="506"/>
      <c r="BC99" s="506"/>
      <c r="BG99" s="1357"/>
      <c r="BH99" s="1361"/>
      <c r="BI99" s="598" t="str">
        <f>IF(BG99="","",$BA$96*BH99/100-($BB$96*BH99/100*VLOOKUP(BG99,'DB technologies'!$AC$21:$AT$25,5,FALSE)/100)+(VLOOKUP(BG99,'DB technologies'!$AC$21:$AT$25,12,FALSE)*$BA$96*BH99/100))</f>
        <v/>
      </c>
      <c r="BJ99" s="551">
        <f>IF(BI99="",0,BI99*BK99/100)</f>
        <v>0</v>
      </c>
      <c r="BK99" s="561" t="str">
        <f>IF(BG99="","",IF($BA$96=0,0,($BB$96*BH99/100)/BI99*(1-(VLOOKUP(BG99,'DB technologies'!$AC$21:$AQ$25,5,FALSE))/100)*100))</f>
        <v/>
      </c>
      <c r="BL99" s="261" t="str">
        <f>IF(BG99="","",$BD$96*(1-VLOOKUP(BG99,'DB technologies'!$AC$21:$AS$25,12,FALSE)/100)*BH99/100-BO99-BP99-BQ99-BR99)</f>
        <v/>
      </c>
      <c r="BM99" s="261" t="str">
        <f>IF(BG99="","",$BE$96*(1-VLOOKUP(BG99,'DB technologies'!$AC$21:$AS$25,12,FALSE)/100)*BH99/100-BS99)</f>
        <v/>
      </c>
      <c r="BN99" s="261" t="str">
        <f>IF(BG99="","",$BF$96*(1-VLOOKUP(BG99,'DB technologies'!$AC$21:$AS$25,12,FALSE)/100)*BH99/100-BT99)</f>
        <v/>
      </c>
      <c r="BO99" s="261" t="str">
        <f>IF(BG99="","",$BD$96*BH99/100*VLOOKUP(BG99,'DB technologies'!$AC$21:$AF$25,2,FALSE)/100)</f>
        <v/>
      </c>
      <c r="BP99" s="261" t="str">
        <f>IF(BG99="","",$BD$96*BH99/100*VLOOKUP(BG99,'DB technologies'!$AC$21:$AN$25,3,FALSE)/100)</f>
        <v/>
      </c>
      <c r="BQ99" s="262" t="str">
        <f>IF(BG99="","",$BD$96*BH99/100*VLOOKUP(BG99,'DB technologies'!$AC$21:$AN$25,4,FALSE)/100)</f>
        <v/>
      </c>
      <c r="BR99" s="264" t="str">
        <f>IF(BG99="","",VLOOKUP(BG99,'DB technologies'!$AC$21:$AQ$25,13,FALSE)/100*$BD$96*BH99/100)</f>
        <v/>
      </c>
      <c r="BS99" s="261" t="str">
        <f>IF(BG99="","",VLOOKUP(BG99,'DB technologies'!$AC$21:$AQ$25,14,FALSE)/100*$BE$96*BH99/100)</f>
        <v/>
      </c>
      <c r="BT99" s="262" t="str">
        <f>IF(BG99="","",VLOOKUP(BG99,'DB technologies'!$AC$21:$AQ$25,15,FALSE)/100*$BF$96*BH99/100)</f>
        <v/>
      </c>
    </row>
    <row r="100" spans="1:72" ht="11.25" customHeight="1" thickBot="1" x14ac:dyDescent="0.25">
      <c r="A100" s="684"/>
      <c r="B100" s="695"/>
      <c r="C100" s="255"/>
      <c r="D100" s="1357"/>
      <c r="E100" s="1358"/>
      <c r="F100" s="501" t="str">
        <f>IF('Calc (ex-animal)'!$F$9=1,"",IF($C$98=0,"",IF(D100="","",E100/'Calc (ex-animal)'!$E$23*100)))</f>
        <v/>
      </c>
      <c r="G100" s="485" t="str">
        <f>IF($C$98=0,"",IF('Calc (ex-animal)'!$F$8=1,"",IF(D100="","",SUM(H100:O100))))</f>
        <v/>
      </c>
      <c r="H100" s="423" t="str">
        <f>IF('Calc (ex-animal)'!$F$8=1,"",IF(D100="","",(((VLOOKUP($C$98,'Calc (ex-animal)'!$D$23:$Y$27,6,FALSE)-VLOOKUP($C$98,'Calc (ex-animal)'!$D$23:$Y$27,17,FALSE))*F100/100))*VLOOKUP($C$98,'Calc (ex-animal)'!$D$23:$Y$27,7,FALSE)/100*(1-VLOOKUP(D100,'DB technologies'!$N$53:$Y$64,9,FALSE)/100)))</f>
        <v/>
      </c>
      <c r="I100" s="423" t="str">
        <f>IF(D100="","",((VLOOKUP(D100,'DB technologies'!$N$53:$Y$64,2,FALSE)*VLOOKUP($C$98,'DB animal categories'!$C$42:$AC$51,27,FALSE)*E100/1000)/VLOOKUP($C$98,'DB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'!$S$6/100*(1-VLOOKUP(D100,'DB technologies'!$N$53:$Y$64,9,FALSE)/100)))</f>
        <v/>
      </c>
      <c r="J100" s="434" t="str">
        <f>IF(D100="","",((VLOOKUP(D100,'DB technologies'!$N$53:$Y$64,3,FALSE)*VLOOKUP($C$98,'DB animal categories'!$C$42:$AC$51,27,FALSE)*E100/1000)/VLOOKUP($C$98,'DB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'!$S$7/100*(1-VLOOKUP(D100,'DB technologies'!$N$53:$Y$64,9,FALSE)/100)))</f>
        <v/>
      </c>
      <c r="K100" s="434" t="str">
        <f>IF(D100="","",((VLOOKUP(D100,'DB technologies'!$N$53:$Y$64,4,FALSE)*E100*'DB additional information '!$S$8/100*(1-VLOOKUP(D100,'DB technologies'!$N$53:$Y$64,9,FALSE)/100))/VLOOKUP($C$98,'DB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L100" s="423" t="str">
        <f>IF('Calc (ex-animal)'!$F$8=1,"",IF(D100="","",(((VLOOKUP($C$98,'Calc (ex-animal)'!$D$23:$Y$27,6,FALSE)-VLOOKUP($C$98,'Calc (ex-animal)'!$D$23:$Y$27,17,FALSE))*F100/100))*(1-VLOOKUP($C$98,'Calc (ex-animal)'!$D$23:$Y$27,7,FALSE)/100)*(1-VLOOKUP(D100,'DB technologies'!$N$53:$V$64,8,FALSE)/100)))</f>
        <v/>
      </c>
      <c r="M100" s="434" t="str">
        <f>IF(D100="","",((VLOOKUP(D100,'DB technologies'!$N$53:$Y$64,2,FALSE)*VLOOKUP($C$98,'DB animal categories'!$C$42:$AC$51,27,FALSE)*E100/1000)/VLOOKUP($C$98,'DB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'!$S$6/100)*(1-VLOOKUP(D100,'DB technologies'!$N$53:$Y$64,9,FALSE)/100))</f>
        <v/>
      </c>
      <c r="N100" s="434" t="str">
        <f>IF(D100="","",((VLOOKUP(D100,'DB technologies'!$N$53:$Y$64,3,FALSE)*VLOOKUP($C$98,'DB animal categories'!$C$42:$AC$51,27,FALSE)*E100/1000)/VLOOKUP($C$98,'DB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'!$S$7/100)*(1-VLOOKUP(D100,'DB technologies'!$N$53:$Y$64,9,FALSE)/100))</f>
        <v/>
      </c>
      <c r="O100" s="423" t="str">
        <f>IF(D100="","",((VLOOKUP(D100,'DB technologies'!$N$53:$Y$64,4,FALSE)*E100*(1-'DB additional information '!$S$8/100)*(1-VLOOKUP(D100,'DB technologies'!$N$53:$Y$64,8,FALSE)/100))/VLOOKUP($C$98,'DB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P100" s="438" t="str">
        <f>IF(G100=0,0,IF(E100="","",IF(F100="","",IF($C$98=0,"",IF(D100="","",SUM(H100:K100)/G100*100)))))</f>
        <v/>
      </c>
      <c r="Q100" s="416" t="str">
        <f>IF(D100="","",(VLOOKUP(D100,'DB technologies'!$N$53:$Y$64,2,FALSE)*'DB additional information '!$S$6/100*'DB additional information '!$T$6*VLOOKUP($C$98,'DB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R100" s="416" t="str">
        <f>IF(D100="","",(VLOOKUP(D100,'DB technologies'!$N$53:$Y$64,3,FALSE)*'DB additional information '!$S$7/100*'DB additional information '!$T$7*VLOOKUP($C$98,'DB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S100" s="491" t="str">
        <f>IF(D100="","",(VLOOKUP(D100,'DB technologies'!$N$53:$Y$64,4,FALSE)*('DB additional information '!$S$8/100*'DB additional information '!$T$8*E100/1000/1000)))</f>
        <v/>
      </c>
      <c r="T100" s="264" t="str">
        <f>IF($C$98=0,"",IF('Calc (ex-animal)'!$F$9=1,"",IF(D100="","",((VLOOKUP($C$98,'Calc (ex-animal)'!$D$23:$Y$27,10,FALSE)-VLOOKUP($C$98,'Calc (ex-animal)'!$D$23:$Y$27,18,FALSE))*F100/100+Q100+R100+S100)-AC100-AD100-AE100)))</f>
        <v/>
      </c>
      <c r="U100" s="422" t="str">
        <f>IF(D100="","",(VLOOKUP(D100,'DB technologies'!$N$53:$Y$64,2,FALSE)*'DB additional information '!$S$6/100*'DB additional information '!$U$6*VLOOKUP($C$98,'DB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V100" s="418" t="str">
        <f>IF(D100="","",(VLOOKUP(D100,'DB technologies'!$N$53:$Y$64,3,FALSE)*'DB additional information '!$S$7/100*'DB additional information '!$U$7*VLOOKUP($C$98,'DB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W100" s="417" t="str">
        <f>IF(D100="","",(VLOOKUP(D100,'DB technologies'!$N$53:$Y$64,4,FALSE)*('DB additional information '!$S$8/100*'DB additional information '!$U$8*E100/1000/1000)))</f>
        <v/>
      </c>
      <c r="X100" s="261" t="str">
        <f>IF($C$98=0,"",IF('Calc (ex-animal)'!$F$9=1,"",IF(D100="","",((VLOOKUP($C$98,'Calc (ex-animal)'!$D$23:$Y$27,13,FALSE)-VLOOKUP($C$98,'Calc (ex-animal)'!$D$23:$Y$27,19,FALSE))*F100/100+U100+V100+W100))))</f>
        <v/>
      </c>
      <c r="Y100" s="418" t="str">
        <f>IF(D100="","",(VLOOKUP(D100,'DB technologies'!$N$53:$Y$64,2,FALSE)*'DB additional information '!$S$6/100*'DB additional information '!$V$6*VLOOKUP($C$98,'DB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Z100" s="418" t="str">
        <f>IF(D100="","",(VLOOKUP(D100,'DB technologies'!$N$53:$Y$64,3,FALSE)*'DB additional information '!$S$7/100*'DB additional information '!$V$7*VLOOKUP($C$98,'DB animal categories'!$C$42:$AC$51,27,FALSE)*E100/1000/1000)/VLOOKUP($C$98,'DB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AA100" s="418" t="str">
        <f>IF(D100="","",(VLOOKUP(D100,'DB technologies'!$N$53:$Y$64,4,FALSE)*('DB additional information '!$S$8/100*'DB additional information '!$V$8*E100/1000/1000)))</f>
        <v/>
      </c>
      <c r="AB100" s="261" t="str">
        <f>IF($C$98=0,"",IF('Calc (ex-animal)'!$F$8=1,"",IF(D100="","",((VLOOKUP($C$98,'Calc (ex-animal)'!$D$23:$Y$27,16,FALSE)-VLOOKUP($C$98,'Calc (ex-animal)'!$D$23:$Y$27,20,FALSE))*F100/100+Y100+Z100+AA100))))</f>
        <v/>
      </c>
      <c r="AC100" s="261" t="str">
        <f>IF($C$98=0,"",IF('Calc (ex-animal)'!$F$8=1,"",IF(D100="","",VLOOKUP($C$98,'Calc (ex-animal)'!$D$23:$Y$27,9,FALSE)/VLOOKUP($C$98,'DB animal categories'!$C$42:$AC$51,27,FALSE)*(VLOOKUP($C$98,'DB animal categories'!$C$42:$AC$51,27,FALSE)-VLOOKUP($C$98,'DB animal categories'!$C$42:$AC$51,25,FALSE)*VLOOKUP($C$98,'DB animal categories'!$C$42:$AC$51,26,FALSE)/24)*F100/100*VLOOKUP(D100,'DB technologies'!$N$53:$R$64,5,FALSE)/100)))</f>
        <v/>
      </c>
      <c r="AD100" s="261" t="str">
        <f>IF($C$98=0,"",IF('Calc (ex-animal)'!$F$8=1,"",IF(D100="","",VLOOKUP($C$98,'Calc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categories'!$C$42:$AC$51,26,FALSE)/24)*F100/100*VLOOKUP(D100,'DB technologies'!$N$53:$Y$64,6,FALSE)/100)))</f>
        <v/>
      </c>
      <c r="AE100" s="262" t="str">
        <f>IF($C$98=0,"",IF('Calc (ex-animal)'!$F$8=1,"",IF(D100="","",VLOOKUP($C$98,'Calc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categories'!$C$42:$AC$51,26,FALSE)/24)*F100/100*VLOOKUP(D100,'DB technologies'!$N$53:$Y$64,7,FALSE)/100)))</f>
        <v/>
      </c>
      <c r="AG100" s="698"/>
      <c r="AH100" s="695"/>
      <c r="AI100" s="181" t="str">
        <f>IF(D100="","",VLOOKUP(D100,'DB technologies'!$N$53:$Y$64,10,FALSE))</f>
        <v/>
      </c>
      <c r="AJ100" s="449" t="e">
        <f>VLOOKUP($C$98,'DB animal categories'!$C$42:$AN$51,27,FALSE)-VLOOKUP($C$98,'DB animal categories'!$C$42:$AN$51,26,FALSE)*VLOOKUP($C$98,'DB animal categories'!$C$42:$AN$51,25,FALSE)/24</f>
        <v>#N/A</v>
      </c>
      <c r="AK100" s="442" t="str">
        <f>IF(AI100="","",AL100+AM100)</f>
        <v/>
      </c>
      <c r="AL100" s="442" t="str">
        <f>IF(D100="","",IF(AI100=2,(('Calc (ex-animal)'!$G$23*'DB additional information '!$K$8/100*(1-VLOOKUP(D100,'DB technologies'!$N$53:$Y$64,9,FALSE)/100)*'Calc (ex-housing, ex-storage)'!F100/100+'Calc (ex-animal)'!$H$23*'DB additional information '!$L$8/100*(1-VLOOKUP(D100,'DB technologies'!$N$53:$Y$64,9,FALSE)/100)*'Calc (ex-housing, ex-storage)'!F100/100))/VLOOKUP($C$98,'DB animal categories'!$C$42:$AC$51,27,FALSE)*AJ100+I100+J100+K100,IF(AI100=1,('Calc (ex-animal)'!$H$23*'DB additional information '!$L$8/100*(1-VLOOKUP(D100,'DB technologies'!$N$53:$Y$64,9,FALSE)/100)*'Calc (ex-housing, ex-storage)'!F100/100)/VLOOKUP($C$98,'DB animal categories'!$C$42:$AC$51,27,FALSE)*AJ100,IF(AI100=4,('Calc (ex-animal)'!$G$23*'DB additional information '!$K$8/100+'Calc (ex-animal)'!$H$23*'DB additional information '!$L$8/100)*(1-VLOOKUP(D100,'DB technologies'!$N$53:$Y$64,9,FALSE)/100)*'Calc (ex-housing, ex-storage)'!F100/100*VLOOKUP(D100,'DB technologies'!$N$53:$Y$64,11,FALSE)/100/VLOOKUP($C$98,'DB animal categories'!$C$42:$AC$51,27,FALSE)*AJ100,0))))</f>
        <v/>
      </c>
      <c r="AM100" s="442" t="str">
        <f>IF(D100="","",IF(AI100=2,(('Calc (ex-animal)'!$G$23*(1-'DB additional information '!$K$8/100)*(1-VLOOKUP(D100,'DB technologies'!$N$53:$Y$64,8,FALSE)/100)*'Calc (ex-housing, ex-storage)'!F100/100+'Calc (ex-animal)'!$H$23*(1-'DB additional information '!$L$8/100)*(1-VLOOKUP(D100,'DB technologies'!$N$53:$Y$64,8,FALSE)/100)*'Calc (ex-housing, ex-storage)'!F100/100))/VLOOKUP($C$98,'DB animal categories'!$C$42:$AC$51,27,FALSE)*AJ100+M100+N100+O100,IF(AI100=1,('Calc (ex-animal)'!$H$23*(1-'DB additional information '!$L$8/100)*(1-VLOOKUP(D100,'DB technologies'!$N$53:$Y$64,8,FALSE)/100)*'Calc (ex-housing, ex-storage)'!F100/100)/VLOOKUP($C$98,'DB animal categories'!$C$42:$AC$51,27,FALSE)*AJ100,IF(AI100=4,('Calc (ex-animal)'!$G$23*(1-'DB additional information '!$K$8/100)+'Calc (ex-animal)'!$H$23*(1-'DB additional information '!$L$8/100))*(1-VLOOKUP(D100,'DB technologies'!$N$53:$Y$64,8,FALSE)/100)*'Calc (ex-housing, ex-storage)'!F100/100*VLOOKUP(D100,'DB technologies'!$N$53:$Y$64,11,FALSE)/100/VLOOKUP($C$98,'DB animal categories'!$C$42:$AC$51,27,FALSE)*AJ100,0))))</f>
        <v/>
      </c>
      <c r="AN100" s="442" t="str">
        <f>IF(AI100="","",IF(AL100=0,0,AL100/AK100*100))</f>
        <v/>
      </c>
      <c r="AO100" s="182" t="str">
        <f>IF(D100="","",IF(AI100=2,(('Calc (ex-animal)'!$L$23*'Calc (ex-housing, ex-storage)'!F100/100+'Calc (ex-animal)'!$K$23*'Calc (ex-housing, ex-storage)'!F100/100))/VLOOKUP($C$98,'DB animal categories'!$C$42:$AC$51,27,FALSE)*AJ100+Q100+R100+S100-AC100,IF(AI100=1,('Calc (ex-animal)'!$L$23*'Calc (ex-housing, ex-storage)'!F100/100)/VLOOKUP($C$98,'DB animal categories'!$C$42:$AC$51,27,FALSE)*AJ100-'Calc (ex-housing, ex-storage)'!AC100,IF(AI100=4,('Calc (ex-animal)'!$L$23+'Calc (ex-animal)'!$K$23)*'Calc (ex-housing, ex-storage)'!F100/100*VLOOKUP(D100,'DB technologies'!$N$53:$Y$64,11,FALSE)/100/VLOOKUP($C$98,'DB animal categories'!$C$42:$AC$51,27,FALSE)*AJ100-AC100*VLOOKUP(D100,'DB technologies'!$N$53:$Y$64,11,FALSE)/100,0))))</f>
        <v/>
      </c>
      <c r="AP100" s="182" t="str">
        <f>IF(D100="","",IF(AO100&lt;-0.01,0,IF(AI100=2,(('Calc (ex-animal)'!$L$23*'Calc (ex-housing, ex-storage)'!F100/100+'Calc (ex-animal)'!$K$23*'Calc (ex-housing, ex-storage)'!F100/100))/VLOOKUP($C$98,'DB animal categories'!$C$42:$AC$51,27,FALSE)*AJ100+Q100+R100+S100-AC100,IF(AI100=1,('Calc (ex-animal)'!$L$23*'Calc (ex-housing, ex-storage)'!F100/100)/VLOOKUP($C$98,'DB animal categories'!$C$42:$AC$51,27,FALSE)*AJ100-'Calc (ex-housing, ex-storage)'!AC100,IF(AI100=4,('Calc (ex-animal)'!$L$23+'Calc (ex-animal)'!$K$23)*'Calc (ex-housing, ex-storage)'!F100/100*VLOOKUP(D100,'DB technologies'!$N$53:$Y$64,11,FALSE)/100/VLOOKUP($C$98,'DB animal categories'!$C$42:$AC$51,27,FALSE)*AJ100-AC100*VLOOKUP(D100,'DB technologies'!$N$53:$Y$64,11,FALSE)/100,0)))))</f>
        <v/>
      </c>
      <c r="AQ100" s="182" t="str">
        <f>IF(D100="","",IF(AI100=2,('Calc (ex-animal)'!$O$23*'Calc (ex-housing, ex-storage)'!F100/100+'Calc (ex-animal)'!$N$23*'Calc (ex-housing, ex-storage)'!F100/100)/VLOOKUP($C$98,'DB animal categories'!$C$42:$AC$51,27,FALSE)*AJ100+U100+V100+W100,IF(AI100=1,'Calc (ex-animal)'!$O$23*'Calc (ex-housing, ex-storage)'!F100/100/VLOOKUP($C$98,'DB animal categories'!$C$42:$AC$51,27,FALSE)*AJ100,IF(AI100=4,('Calc (ex-animal)'!$O$23+'Calc (ex-animal)'!$N$23)*'Calc (ex-housing, ex-storage)'!F100/100*VLOOKUP(D100,'DB technologies'!$N$53:$Y$64,11,FALSE)/100/VLOOKUP($C$98,'DB animal categories'!$C$42:$AC$51,27,FALSE)*AJ100,0))))</f>
        <v/>
      </c>
      <c r="AR100" s="182" t="str">
        <f>IF(D100="","",IF(AI100=2,('Calc (ex-animal)'!$R$23*'Calc (ex-housing, ex-storage)'!F100/100+'Calc (ex-animal)'!$Q$23*'Calc (ex-housing, ex-storage)'!F100/100)/VLOOKUP($C$98,'DB animal categories'!$C$42:$AC$51,27,FALSE)*AJ100+Y100+Z100+AA100,IF(AI100=1,'Calc (ex-animal)'!$R$23*'Calc (ex-housing, ex-storage)'!F100/100/VLOOKUP($C$98,'DB animal categories'!$C$42:$AC$51,27,FALSE)*AJ100,IF(AI100=4,('Calc (ex-animal)'!$R$23+'Calc (ex-animal)'!$Q$23)*'Calc (ex-housing, ex-storage)'!F100/100*VLOOKUP(D100,'DB technologies'!$N$53:$Y$64,11,FALSE)/100/VLOOKUP($C$98,'DB animal categories'!$C$42:$AC$51,27,FALSE)*AJ100,0))))</f>
        <v/>
      </c>
      <c r="AS100" s="181" t="str">
        <f>IF(D100="","",VLOOKUP(D100,'DB technologies'!$N$53:$Y$64,10,FALSE))</f>
        <v/>
      </c>
      <c r="AT100" s="442" t="str">
        <f>IF(AS100="","",AU100+AV100)</f>
        <v/>
      </c>
      <c r="AU100" s="442" t="str">
        <f>IF(D100="","",IF(AS100=2,0,IF(AS100=1,'Calc (ex-animal)'!$G$23*'DB additional information '!$K$8/100*(1-VLOOKUP(D100,'DB technologies'!$N$53:$Y$64,8,FALSE)/100)*'Calc (ex-housing, ex-storage)'!F100/100/VLOOKUP($C$98,'DB animal categories'!$C$42:$AC$51,27,FALSE)*AJ100+I100+J100+K100,IF(AS100=5,(('Calc (ex-animal)'!$G$23*'DB additional information '!$K$8/100+'Calc (ex-animal)'!$H$23*'DB additional information '!$L$8/100))*(1-VLOOKUP(D100,'DB technologies'!$N$53:$Y$64,9,FALSE)/100)*'Calc (ex-housing, ex-storage)'!F100/100/VLOOKUP($C$98,'DB animal categories'!$C$42:$AC$51,27,FALSE)*AJ100+I100+J100+K100,IF(AS100=3,('Calc (ex-animal)'!$G$23*'DB additional information '!$K$8/100+'Calc (ex-animal)'!$H$23*'DB additional information '!$L$8/100)*(1-VLOOKUP(D100,'DB technologies'!$N$53:$Y$64,9,FALSE)/100)*'Calc (ex-housing, ex-storage)'!F100/100/VLOOKUP($C$98,'DB animal categories'!$C$42:$AC$51,27,FALSE)*AJ100+I100+J100+K100,IF(AS100=4,('Calc (ex-animal)'!$G$23*'DB additional information '!$K$8/100+'Calc (ex-animal)'!$H$23*'DB additional information '!$L$8/100)*(1-VLOOKUP(D100,'DB technologies'!$N$53:$Y$64,9,FALSE)/100)*'Calc (ex-housing, ex-storage)'!F100/100*VLOOKUP(D100,'DB technologies'!$N$53:$Y$64,12,FALSE)/100/VLOOKUP($C$98,'DB animal categories'!$C$42:$AC$51,27,FALSE)*AJ100+I100+J100+K100,0))))))</f>
        <v/>
      </c>
      <c r="AV100" s="442" t="str">
        <f>IF(D100="","",IF(AS100=2,0,IF(AS100=1,'Calc (ex-animal)'!$G$23*(1-'DB additional information '!$K$8/100)*(1-VLOOKUP(D100,'DB technologies'!$N$53:$Y$64,8,FALSE)/100)*'Calc (ex-housing, ex-storage)'!F100/100/VLOOKUP($C$98,'DB animal categories'!$C$42:$AC$51,27,FALSE)*AJ100+M100+N100+O100,IF(AS100=5,('Calc (ex-animal)'!$G$23*(1-'DB additional information '!$K$8/100)+'Calc (ex-animal)'!$H$23*(1-'DB additional information '!$L$8/100))*(1-VLOOKUP(D100,'DB technologies'!$N$53:$Y$64,8,FALSE)/100)*'Calc (ex-housing, ex-storage)'!F100/100/VLOOKUP($C$98,'DB animal categories'!$C$42:$AC$51,27,FALSE)*AJ100+M100+N100+O100,IF(AS100=3,('Calc (ex-animal)'!$G$23*(1-'DB additional information '!$K$8/100)+'Calc (ex-animal)'!$H$23*(1-'DB additional information '!$L$8/100))*(1-VLOOKUP(D100,'DB technologies'!$N$53:$Y$64,8,FALSE)/100)*'Calc (ex-housing, ex-storage)'!F100/100/VLOOKUP($C$98,'DB animal categories'!$C$42:$AC$51,27,FALSE)*AJ100+M100+N100+O100,IF(AS100=4,('Calc (ex-animal)'!$G$23*(1-'DB additional information '!$K$8/100)+'Calc (ex-animal)'!$H$23*(1-'DB additional information '!$L$8/100))*(1-VLOOKUP(D100,'DB technologies'!$N$53:$Y$64,8,FALSE)/100)*'Calc (ex-housing, ex-storage)'!F100/100*VLOOKUP(D100,'DB technologies'!$N$53:$Y$64,12,FALSE)/100/VLOOKUP($C$98,'DB animal categories'!$C$42:$AC$51,27,FALSE)*AJ100+M100+N100+O100,0))))))</f>
        <v/>
      </c>
      <c r="AW100" s="442" t="str">
        <f>IF(AS100="","",IF(AU100=0,0,AU100/AT100*100))</f>
        <v/>
      </c>
      <c r="AX100" s="182" t="str">
        <f>IF(D100="","",IF(AS100=2,0,IF(AS100=1,'Calc (ex-animal)'!$K$23*'Calc (ex-housing, ex-storage)'!F100/100/VLOOKUP($C$98,'DB animal categories'!$C$42:$AC$51,27,FALSE)*AJ100+Q100+R100+S100,IF(AS100=5,('Calc (ex-animal)'!$K$23+'Calc (ex-animal)'!$L$23)*'Calc (ex-housing, ex-storage)'!F100/100/VLOOKUP($C$98,'DB animal categories'!$C$42:$AC$51,27,FALSE)*AJ100+Q100+R100+S100-'Calc (ex-housing, ex-storage)'!AC100,IF(AS100=3,('Calc (ex-animal)'!$K$23+'Calc (ex-animal)'!$L$23)*'Calc (ex-housing, ex-storage)'!F100/100/VLOOKUP($C$98,'DB animal categories'!$C$42:$AC$51,27,FALSE)*AJ100+Q100+R100+S100-'Calc (ex-housing, ex-storage)'!AC100-AD100-AE100,IF(AI100=4,('Calc (ex-animal)'!$K$23+'Calc (ex-animal)'!$L$23)*'Calc (ex-housing, ex-storage)'!F100/100*VLOOKUP(D100,'DB technologies'!$N$53:$Y$64,12,FALSE)/100/VLOOKUP($C$98,'DB animal categories'!$C$42:$AC$51,27,FALSE)*AJ100+Q100+R100+S100-(VLOOKUP(D100,'DB technologies'!$N$53:$Y$64,12,FALSE)/100*AC100)-AD100-AE100,0))))))</f>
        <v/>
      </c>
      <c r="AY100" s="182" t="str">
        <f>IF(D100="","",IF(AS100=2,0,IF(AS100=1,'Calc (ex-animal)'!$N$23*'Calc (ex-housing, ex-storage)'!F100/100/VLOOKUP($C$98,'DB animal categories'!$C$42:$AC$51,27,FALSE)*AJ100+U100+V100+W100,IF(AS100=5,('Calc (ex-animal)'!$N$23+'Calc (ex-animal)'!$O$23)*'Calc (ex-housing, ex-storage)'!F100/100/VLOOKUP($C$98,'DB animal categories'!$C$42:$AC$51,27,FALSE)*AJ100+U100+V100+W100,IF(AS100=3,('Calc (ex-animal)'!$N$23+'Calc (ex-animal)'!$O$23)*'Calc (ex-housing, ex-storage)'!F100/100/VLOOKUP($C$98,'DB animal categories'!$C$42:$AC$51,27,FALSE)*AJ100+U100+V100+W100,IF(AS100=4,('Calc (ex-animal)'!$N$23+'Calc (ex-animal)'!$O$23)*'Calc (ex-housing, ex-storage)'!F100/100*VLOOKUP(D100,'DB technologies'!$N$53:$Y$64,12,FALSE)/100/VLOOKUP($C$98,'DB animal categories'!$C$42:$AC$51,27,FALSE)*AJ100+U100+V100+W100,0))))))</f>
        <v/>
      </c>
      <c r="AZ100" s="182" t="str">
        <f>IF(D100="","",IF(AS100=2,0,IF(AS100=1,'Calc (ex-animal)'!$Q$23*'Calc (ex-housing, ex-storage)'!F100/100/VLOOKUP($C$98,'DB animal categories'!$C$42:$AC$51,27,FALSE)*AJ100+Y100+Z100+AA100,IF(AS100=5,('Calc (ex-animal)'!$Q$23+'Calc (ex-animal)'!$R$23)*'Calc (ex-housing, ex-storage)'!F100/100/VLOOKUP($C$98,'DB animal categories'!$C$42:$AC$51,27,FALSE)*AJ100+Y100+Z100+AA100,IF(AS100=3,('Calc (ex-animal)'!$Q$23+'Calc (ex-animal)'!$R$23)*'Calc (ex-housing, ex-storage)'!F100/100/VLOOKUP($C$98,'DB animal categories'!$C$42:$AC$51,27,FALSE)*AJ100+Y100+Z100+AA100,IF(AS100=4,('Calc (ex-animal)'!$Q$23+'Calc (ex-animal)'!$R$23)*'Calc (ex-housing, ex-storage)'!F100/100*VLOOKUP(D100,'DB technologies'!$N$53:$Y$64,12,FALSE)/100/VLOOKUP($C$98,'DB animal categories'!$C$42:$AC$51,27,FALSE)*AJ100+Y100+Z100+AA100,0))))))</f>
        <v/>
      </c>
      <c r="BA100" s="506"/>
      <c r="BB100" s="506"/>
      <c r="BC100" s="506"/>
      <c r="BG100" s="1359"/>
      <c r="BH100" s="1362"/>
      <c r="BI100" s="600" t="str">
        <f>IF(BG100="","",$BA$96*BH100/100-($BB$96*BH100/100*VLOOKUP(BG100,'DB technologies'!$AC$21:$AT$25,5,FALSE)/100)+(VLOOKUP(BG100,'DB technologies'!$AC$21:$AT$25,12,FALSE)*$BA$96*BH100/100))</f>
        <v/>
      </c>
      <c r="BJ100" s="551">
        <f>IF(BI100="",0,BI100*BK100/100)</f>
        <v>0</v>
      </c>
      <c r="BK100" s="509" t="str">
        <f>IF(BG100="","",IF($BA$96=0,0,($BB$96*BH100/100)/BI100*(1-(VLOOKUP(BG100,'DB technologies'!$AC$21:$AQ$25,5,FALSE))/100)*100))</f>
        <v/>
      </c>
      <c r="BL100" s="267" t="str">
        <f>IF(BG100="","",$BD$96*(1-VLOOKUP(BG100,'DB technologies'!$AC$21:$AS$25,12,FALSE)/100)*BH100/100-BO100-BP100-BQ100-BR100)</f>
        <v/>
      </c>
      <c r="BM100" s="267" t="str">
        <f>IF(BG100="","",$BE$96*(1-VLOOKUP(BG100,'DB technologies'!$AC$21:$AS$25,12,FALSE)/100)*BH100/100-BS100)</f>
        <v/>
      </c>
      <c r="BN100" s="267" t="str">
        <f>IF(BG100="","",$BF$96*(1-VLOOKUP(BG100,'DB technologies'!$AC$21:$AS$25,12,FALSE)/100)*BH100/100-BT100)</f>
        <v/>
      </c>
      <c r="BO100" s="267" t="str">
        <f>IF(BG100="","",$BD$96*BH100/100*VLOOKUP(BG100,'DB technologies'!$AC$21:$AF$25,2,FALSE)/100)</f>
        <v/>
      </c>
      <c r="BP100" s="267" t="str">
        <f>IF(BG100="","",$BD$96*BH100/100*VLOOKUP(BG100,'DB technologies'!$AC$21:$AN$25,3,FALSE)/100)</f>
        <v/>
      </c>
      <c r="BQ100" s="268" t="str">
        <f>IF(BG100="","",$BD$96*BH100/100*VLOOKUP(BG100,'DB technologies'!$AC$21:$AN$25,4,FALSE)/100)</f>
        <v/>
      </c>
      <c r="BR100" s="266" t="str">
        <f>IF(BG100="","",VLOOKUP(BG100,'DB technologies'!$AC$21:$AQ$25,13,FALSE)/100*$BD$96*BH100/100)</f>
        <v/>
      </c>
      <c r="BS100" s="267" t="str">
        <f>IF(BG100="","",VLOOKUP(BG100,'DB technologies'!$AC$21:$AQ$25,14,FALSE)/100*$BE$96*BH100/100)</f>
        <v/>
      </c>
      <c r="BT100" s="268" t="str">
        <f>IF(BG100="","",VLOOKUP(BG100,'DB technologies'!$AC$21:$AQ$25,15,FALSE)/100*$BF$96*BH100/100)</f>
        <v/>
      </c>
    </row>
    <row r="101" spans="1:72" ht="11.25" customHeight="1" thickBot="1" x14ac:dyDescent="0.25">
      <c r="A101" s="684"/>
      <c r="B101" s="695"/>
      <c r="C101" s="255"/>
      <c r="D101" s="1357"/>
      <c r="E101" s="1358"/>
      <c r="F101" s="501" t="str">
        <f>IF('Calc (ex-animal)'!$F$9=1,"",IF($C$98=0,"",IF(D101="","",E101/'Calc (ex-animal)'!$E$23*100)))</f>
        <v/>
      </c>
      <c r="G101" s="485" t="str">
        <f>IF($C$98=0,"",IF('Calc (ex-animal)'!$F$8=1,"",IF(D101="","",SUM(H101:O101))))</f>
        <v/>
      </c>
      <c r="H101" s="423" t="str">
        <f>IF('Calc (ex-animal)'!$F$8=1,"",IF(D101="","",(((VLOOKUP($C$98,'Calc (ex-animal)'!$D$23:$Y$27,6,FALSE)-VLOOKUP($C$98,'Calc (ex-animal)'!$D$23:$Y$27,17,FALSE))*F101/100))*VLOOKUP($C$98,'Calc (ex-animal)'!$D$23:$Y$27,7,FALSE)/100*(1-VLOOKUP(D101,'DB technologies'!$N$53:$Y$64,9,FALSE)/100)))</f>
        <v/>
      </c>
      <c r="I101" s="423" t="str">
        <f>IF(D101="","",((VLOOKUP(D101,'DB technologies'!$N$53:$Y$64,2,FALSE)*VLOOKUP($C$98,'DB animal categories'!$C$42:$AC$51,27,FALSE)*E101/1000)/VLOOKUP($C$98,'DB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'!$S$6/100*(1-VLOOKUP(D101,'DB technologies'!$N$53:$Y$64,9,FALSE)/100)))</f>
        <v/>
      </c>
      <c r="J101" s="434" t="str">
        <f>IF(D101="","",((VLOOKUP(D101,'DB technologies'!$N$53:$Y$64,3,FALSE)*VLOOKUP($C$98,'DB animal categories'!$C$42:$AC$51,27,FALSE)*E101/1000)/VLOOKUP($C$98,'DB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'!$S$7/100*(1-VLOOKUP(D101,'DB technologies'!$N$53:$Y$64,9,FALSE)/100)))</f>
        <v/>
      </c>
      <c r="K101" s="434" t="str">
        <f>IF(D101="","",((VLOOKUP(D101,'DB technologies'!$N$53:$Y$64,4,FALSE)*E101*'DB additional information '!$S$8/100*(1-VLOOKUP(D101,'DB technologies'!$N$53:$Y$64,9,FALSE)/100))/VLOOKUP($C$98,'DB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L101" s="423" t="str">
        <f>IF('Calc (ex-animal)'!$F$8=1,"",IF(D101="","",(((VLOOKUP($C$98,'Calc (ex-animal)'!$D$23:$Y$27,6,FALSE)-VLOOKUP($C$98,'Calc (ex-animal)'!$D$23:$Y$27,17,FALSE))*F101/100))*(1-VLOOKUP($C$98,'Calc (ex-animal)'!$D$23:$Y$27,7,FALSE)/100)*(1-VLOOKUP(D101,'DB technologies'!$N$53:$V$64,8,FALSE)/100)))</f>
        <v/>
      </c>
      <c r="M101" s="434" t="str">
        <f>IF(D101="","",((VLOOKUP(D101,'DB technologies'!$N$53:$Y$64,2,FALSE)*VLOOKUP($C$98,'DB animal categories'!$C$42:$AC$51,27,FALSE)*E101/1000)/VLOOKUP($C$98,'DB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'!$S$6/100)*(1-VLOOKUP(D101,'DB technologies'!$N$53:$Y$64,9,FALSE)/100))</f>
        <v/>
      </c>
      <c r="N101" s="434" t="str">
        <f>IF(D101="","",((VLOOKUP(D101,'DB technologies'!$N$53:$Y$64,3,FALSE)*VLOOKUP($C$98,'DB animal categories'!$C$42:$AC$51,27,FALSE)*E101/1000)/VLOOKUP($C$98,'DB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'!$S$7/100)*(1-VLOOKUP(D101,'DB technologies'!$N$53:$Y$64,9,FALSE)/100))</f>
        <v/>
      </c>
      <c r="O101" s="423" t="str">
        <f>IF(D101="","",((VLOOKUP(D101,'DB technologies'!$N$53:$Y$64,4,FALSE)*E101*(1-'DB additional information '!$S$8/100)*(1-VLOOKUP(D101,'DB technologies'!$N$53:$Y$64,8,FALSE)/100))/VLOOKUP($C$98,'DB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P101" s="438" t="str">
        <f>IF(G101=0,0,IF(E101="","",IF(F101="","",IF($C$98=0,"",IF(D101="","",SUM(H101:K101)/G101*100)))))</f>
        <v/>
      </c>
      <c r="Q101" s="416" t="str">
        <f>IF(D101="","",(VLOOKUP(D101,'DB technologies'!$N$53:$Y$64,2,FALSE)*'DB additional information '!$S$6/100*'DB additional information '!$T$6*VLOOKUP($C$98,'DB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R101" s="416" t="str">
        <f>IF(D101="","",(VLOOKUP(D101,'DB technologies'!$N$53:$Y$64,3,FALSE)*'DB additional information '!$S$7/100*'DB additional information '!$T$7*VLOOKUP($C$98,'DB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S101" s="491" t="str">
        <f>IF(D101="","",(VLOOKUP(D101,'DB technologies'!$N$53:$Y$64,4,FALSE)*('DB additional information '!$S$8/100*'DB additional information '!$T$8*E101/1000/1000)))</f>
        <v/>
      </c>
      <c r="T101" s="264" t="str">
        <f>IF($C$98=0,"",IF('Calc (ex-animal)'!$F$9=1,"",IF(D101="","",((VLOOKUP($C$98,'Calc (ex-animal)'!$D$23:$Y$27,10,FALSE)-VLOOKUP($C$98,'Calc (ex-animal)'!$D$23:$Y$27,18,FALSE))*F101/100+Q101+R101+S101)-AC101-AD101-AE101)))</f>
        <v/>
      </c>
      <c r="U101" s="422" t="str">
        <f>IF(D101="","",(VLOOKUP(D101,'DB technologies'!$N$53:$Y$64,2,FALSE)*'DB additional information '!$S$6/100*'DB additional information '!$U$6*VLOOKUP($C$98,'DB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V101" s="418" t="str">
        <f>IF(D101="","",(VLOOKUP(D101,'DB technologies'!$N$53:$Y$64,3,FALSE)*'DB additional information '!$S$7/100*'DB additional information '!$U$7*VLOOKUP($C$98,'DB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W101" s="417" t="str">
        <f>IF(D101="","",(VLOOKUP(D101,'DB technologies'!$N$53:$Y$64,4,FALSE)*('DB additional information '!$S$8/100*'DB additional information '!$U$8*E101/1000/1000)))</f>
        <v/>
      </c>
      <c r="X101" s="261" t="str">
        <f>IF($C$98=0,"",IF('Calc (ex-animal)'!$F$9=1,"",IF(D101="","",((VLOOKUP($C$98,'Calc (ex-animal)'!$D$23:$Y$27,13,FALSE)-VLOOKUP($C$98,'Calc (ex-animal)'!$D$23:$Y$27,19,FALSE))*F101/100+U101+V101+W101))))</f>
        <v/>
      </c>
      <c r="Y101" s="418" t="str">
        <f>IF(D101="","",(VLOOKUP(D101,'DB technologies'!$N$53:$Y$64,2,FALSE)*'DB additional information '!$S$6/100*'DB additional information '!$V$6*VLOOKUP($C$98,'DB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Z101" s="418" t="str">
        <f>IF(D101="","",(VLOOKUP(D101,'DB technologies'!$N$53:$Y$64,3,FALSE)*'DB additional information '!$S$7/100*'DB additional information '!$V$7*VLOOKUP($C$98,'DB animal categories'!$C$42:$AC$51,27,FALSE)*E101/1000/1000)/VLOOKUP($C$98,'DB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AA101" s="418" t="str">
        <f>IF(D101="","",(VLOOKUP(D101,'DB technologies'!$N$53:$Y$64,4,FALSE)*('DB additional information '!$S$8/100*'DB additional information '!$V$8*E101/1000/1000)))</f>
        <v/>
      </c>
      <c r="AB101" s="261" t="str">
        <f>IF($C$98=0,"",IF('Calc (ex-animal)'!$F$8=1,"",IF(D101="","",((VLOOKUP($C$98,'Calc (ex-animal)'!$D$23:$Y$27,16,FALSE)-VLOOKUP($C$98,'Calc (ex-animal)'!$D$23:$Y$27,20,FALSE))*F101/100+Y101+Z101+AA101))))</f>
        <v/>
      </c>
      <c r="AC101" s="261" t="str">
        <f>IF($C$98=0,"",IF('Calc (ex-animal)'!$F$8=1,"",IF(D101="","",VLOOKUP($C$98,'Calc (ex-animal)'!$D$23:$Y$27,9,FALSE)/VLOOKUP($C$98,'DB animal categories'!$C$42:$AC$51,27,FALSE)*(VLOOKUP($C$98,'DB animal categories'!$C$42:$AC$51,27,FALSE)-VLOOKUP($C$98,'DB animal categories'!$C$42:$AC$51,25,FALSE)*VLOOKUP($C$98,'DB animal categories'!$C$42:$AC$51,26,FALSE)/24)*F101/100*VLOOKUP(D101,'DB technologies'!$N$53:$R$64,5,FALSE)/100)))</f>
        <v/>
      </c>
      <c r="AD101" s="261" t="str">
        <f>IF($C$98=0,"",IF('Calc (ex-animal)'!$F$8=1,"",IF(D101="","",VLOOKUP($C$98,'Calc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categories'!$C$42:$AC$51,26,FALSE)/24)*F101/100*VLOOKUP(D101,'DB technologies'!$N$53:$Y$64,6,FALSE)/100)))</f>
        <v/>
      </c>
      <c r="AE101" s="262" t="str">
        <f>IF($C$98=0,"",IF('Calc (ex-animal)'!$F$8=1,"",IF(D101="","",VLOOKUP($C$98,'Calc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categories'!$C$42:$AC$51,26,FALSE)/24)*F101/100*VLOOKUP(D101,'DB technologies'!$N$53:$Y$64,7,FALSE)/100)))</f>
        <v/>
      </c>
      <c r="AG101" s="699"/>
      <c r="AH101" s="696"/>
      <c r="AI101" s="181" t="str">
        <f>IF(D101="","",VLOOKUP(D101,'DB technologies'!$N$53:$Y$64,10,FALSE))</f>
        <v/>
      </c>
      <c r="AJ101" s="449" t="e">
        <f>VLOOKUP($C$98,'DB animal categories'!$C$42:$AN$51,27,FALSE)-VLOOKUP($C$98,'DB animal categories'!$C$42:$AN$51,26,FALSE)*VLOOKUP($C$98,'DB animal categories'!$C$42:$AN$51,25,FALSE)/24</f>
        <v>#N/A</v>
      </c>
      <c r="AK101" s="442" t="str">
        <f>IF(AI101="","",AL101+AM101)</f>
        <v/>
      </c>
      <c r="AL101" s="442" t="str">
        <f>IF(D101="","",IF(AI101=2,(('Calc (ex-animal)'!$G$23*'DB additional information '!$K$8/100*(1-VLOOKUP(D101,'DB technologies'!$N$53:$Y$64,9,FALSE)/100)*'Calc (ex-housing, ex-storage)'!F101/100+'Calc (ex-animal)'!$H$23*'DB additional information '!$L$8/100*(1-VLOOKUP(D101,'DB technologies'!$N$53:$Y$64,9,FALSE)/100)*'Calc (ex-housing, ex-storage)'!F101/100))/VLOOKUP($C$98,'DB animal categories'!$C$42:$AC$51,27,FALSE)*AJ101+I101+J101+K101,IF(AI101=1,('Calc (ex-animal)'!$H$23*'DB additional information '!$L$8/100*(1-VLOOKUP(D101,'DB technologies'!$N$53:$Y$64,9,FALSE)/100)*'Calc (ex-housing, ex-storage)'!F101/100)/VLOOKUP($C$98,'DB animal categories'!$C$42:$AC$51,27,FALSE)*AJ101,IF(AI101=4,('Calc (ex-animal)'!$G$23*'DB additional information '!$K$8/100+'Calc (ex-animal)'!$H$23*'DB additional information '!$L$8/100)*(1-VLOOKUP(D101,'DB technologies'!$N$53:$Y$64,9,FALSE)/100)*'Calc (ex-housing, ex-storage)'!F101/100*VLOOKUP(D101,'DB technologies'!$N$53:$Y$64,11,FALSE)/100/VLOOKUP($C$98,'DB animal categories'!$C$42:$AC$51,27,FALSE)*AJ101,0))))</f>
        <v/>
      </c>
      <c r="AM101" s="442" t="str">
        <f>IF(D101="","",IF(AI101=2,(('Calc (ex-animal)'!$G$23*(1-'DB additional information '!$K$8/100)*(1-VLOOKUP(D101,'DB technologies'!$N$53:$Y$64,8,FALSE)/100)*'Calc (ex-housing, ex-storage)'!F101/100+'Calc (ex-animal)'!$H$23*(1-'DB additional information '!$L$8/100)*(1-VLOOKUP(D101,'DB technologies'!$N$53:$Y$64,8,FALSE)/100)*'Calc (ex-housing, ex-storage)'!F101/100))/VLOOKUP($C$98,'DB animal categories'!$C$42:$AC$51,27,FALSE)*AJ101+M101+N101+O101,IF(AI101=1,('Calc (ex-animal)'!$H$23*(1-'DB additional information '!$L$8/100)*(1-VLOOKUP(D101,'DB technologies'!$N$53:$Y$64,8,FALSE)/100)*'Calc (ex-housing, ex-storage)'!F101/100)/VLOOKUP($C$98,'DB animal categories'!$C$42:$AC$51,27,FALSE)*AJ101,IF(AI101=4,('Calc (ex-animal)'!$G$23*(1-'DB additional information '!$K$8/100)+'Calc (ex-animal)'!$H$23*(1-'DB additional information '!$L$8/100))*(1-VLOOKUP(D101,'DB technologies'!$N$53:$Y$64,8,FALSE)/100)*'Calc (ex-housing, ex-storage)'!F101/100*VLOOKUP(D101,'DB technologies'!$N$53:$Y$64,11,FALSE)/100/VLOOKUP($C$98,'DB animal categories'!$C$42:$AC$51,27,FALSE)*AJ101,0))))</f>
        <v/>
      </c>
      <c r="AN101" s="442" t="str">
        <f>IF(AI101="","",IF(AL101=0,0,AL101/AK101*100))</f>
        <v/>
      </c>
      <c r="AO101" s="182" t="str">
        <f>IF(D101="","",IF(AI101=2,(('Calc (ex-animal)'!$L$23*'Calc (ex-housing, ex-storage)'!F101/100+'Calc (ex-animal)'!$K$23*'Calc (ex-housing, ex-storage)'!F101/100))/VLOOKUP($C$98,'DB animal categories'!$C$42:$AC$51,27,FALSE)*AJ101+Q101+R101+S101-AC101,IF(AI101=1,('Calc (ex-animal)'!$L$23*'Calc (ex-housing, ex-storage)'!F101/100)/VLOOKUP($C$98,'DB animal categories'!$C$42:$AC$51,27,FALSE)*AJ101-'Calc (ex-housing, ex-storage)'!AC101,IF(AI101=4,('Calc (ex-animal)'!$L$23+'Calc (ex-animal)'!$K$23)*'Calc (ex-housing, ex-storage)'!F101/100*VLOOKUP(D101,'DB technologies'!$N$53:$Y$64,11,FALSE)/100/VLOOKUP($C$98,'DB animal categories'!$C$42:$AC$51,27,FALSE)*AJ101-AC101*VLOOKUP(D101,'DB technologies'!$N$53:$Y$64,11,FALSE)/100,0))))</f>
        <v/>
      </c>
      <c r="AP101" s="182" t="str">
        <f>IF(D101="","",IF(AO101&lt;-0.01,0,IF(AI101=2,(('Calc (ex-animal)'!$L$23*'Calc (ex-housing, ex-storage)'!F101/100+'Calc (ex-animal)'!$K$23*'Calc (ex-housing, ex-storage)'!F101/100))/VLOOKUP($C$98,'DB animal categories'!$C$42:$AC$51,27,FALSE)*AJ101+Q101+R101+S101-AC101,IF(AI101=1,('Calc (ex-animal)'!$L$23*'Calc (ex-housing, ex-storage)'!F101/100)/VLOOKUP($C$98,'DB animal categories'!$C$42:$AC$51,27,FALSE)*AJ101-'Calc (ex-housing, ex-storage)'!AC101,IF(AI101=4,('Calc (ex-animal)'!$L$23+'Calc (ex-animal)'!$K$23)*'Calc (ex-housing, ex-storage)'!F101/100*VLOOKUP(D101,'DB technologies'!$N$53:$Y$64,11,FALSE)/100/VLOOKUP($C$98,'DB animal categories'!$C$42:$AC$51,27,FALSE)*AJ101-AC101*VLOOKUP(D101,'DB technologies'!$N$53:$Y$64,11,FALSE)/100,0)))))</f>
        <v/>
      </c>
      <c r="AQ101" s="182" t="str">
        <f>IF(D101="","",IF(AI101=2,('Calc (ex-animal)'!$O$23*'Calc (ex-housing, ex-storage)'!F101/100+'Calc (ex-animal)'!$N$23*'Calc (ex-housing, ex-storage)'!F101/100)/VLOOKUP($C$98,'DB animal categories'!$C$42:$AC$51,27,FALSE)*AJ101+U101+V101+W101,IF(AI101=1,'Calc (ex-animal)'!$O$23*'Calc (ex-housing, ex-storage)'!F101/100/VLOOKUP($C$98,'DB animal categories'!$C$42:$AC$51,27,FALSE)*AJ101,IF(AI101=4,('Calc (ex-animal)'!$O$23+'Calc (ex-animal)'!$N$23)*'Calc (ex-housing, ex-storage)'!F101/100*VLOOKUP(D101,'DB technologies'!$N$53:$Y$64,11,FALSE)/100/VLOOKUP($C$98,'DB animal categories'!$C$42:$AC$51,27,FALSE)*AJ101,0))))</f>
        <v/>
      </c>
      <c r="AR101" s="182" t="str">
        <f>IF(D101="","",IF(AI101=2,('Calc (ex-animal)'!$R$23*'Calc (ex-housing, ex-storage)'!F101/100+'Calc (ex-animal)'!$Q$23*'Calc (ex-housing, ex-storage)'!F101/100)/VLOOKUP($C$98,'DB animal categories'!$C$42:$AC$51,27,FALSE)*AJ101+Y101+Z101+AA101,IF(AI101=1,'Calc (ex-animal)'!$R$23*'Calc (ex-housing, ex-storage)'!F101/100/VLOOKUP($C$98,'DB animal categories'!$C$42:$AC$51,27,FALSE)*AJ101,IF(AI101=4,('Calc (ex-animal)'!$R$23+'Calc (ex-animal)'!$Q$23)*'Calc (ex-housing, ex-storage)'!F101/100*VLOOKUP(D101,'DB technologies'!$N$53:$Y$64,11,FALSE)/100/VLOOKUP($C$98,'DB animal categories'!$C$42:$AC$51,27,FALSE)*AJ101,0))))</f>
        <v/>
      </c>
      <c r="AS101" s="181" t="str">
        <f>IF(D101="","",VLOOKUP(D101,'DB technologies'!$N$53:$Y$64,10,FALSE))</f>
        <v/>
      </c>
      <c r="AT101" s="442" t="str">
        <f>IF(AS101="","",AU101+AV101)</f>
        <v/>
      </c>
      <c r="AU101" s="442" t="str">
        <f>IF(D101="","",IF(AS101=2,0,IF(AS101=1,'Calc (ex-animal)'!$G$23*'DB additional information '!$K$8/100*(1-VLOOKUP(D101,'DB technologies'!$N$53:$Y$64,8,FALSE)/100)*'Calc (ex-housing, ex-storage)'!F101/100/VLOOKUP($C$98,'DB animal categories'!$C$42:$AC$51,27,FALSE)*AJ101+I101+J101+K101,IF(AS101=5,(('Calc (ex-animal)'!$G$23*'DB additional information '!$K$8/100+'Calc (ex-animal)'!$H$23*'DB additional information '!$L$8/100))*(1-VLOOKUP(D101,'DB technologies'!$N$53:$Y$64,9,FALSE)/100)*'Calc (ex-housing, ex-storage)'!F101/100/VLOOKUP($C$98,'DB animal categories'!$C$42:$AC$51,27,FALSE)*AJ101+I101+J101+K101,IF(AS101=3,('Calc (ex-animal)'!$G$23*'DB additional information '!$K$8/100+'Calc (ex-animal)'!$H$23*'DB additional information '!$L$8/100)*(1-VLOOKUP(D101,'DB technologies'!$N$53:$Y$64,9,FALSE)/100)*'Calc (ex-housing, ex-storage)'!F101/100/VLOOKUP($C$98,'DB animal categories'!$C$42:$AC$51,27,FALSE)*AJ101+I101+J101+K101,IF(AS101=4,('Calc (ex-animal)'!$G$23*'DB additional information '!$K$8/100+'Calc (ex-animal)'!$H$23*'DB additional information '!$L$8/100)*(1-VLOOKUP(D101,'DB technologies'!$N$53:$Y$64,9,FALSE)/100)*'Calc (ex-housing, ex-storage)'!F101/100*VLOOKUP(D101,'DB technologies'!$N$53:$Y$64,12,FALSE)/100/VLOOKUP($C$98,'DB animal categories'!$C$42:$AC$51,27,FALSE)*AJ101+I101+J101+K101,0))))))</f>
        <v/>
      </c>
      <c r="AV101" s="442" t="str">
        <f>IF(D101="","",IF(AS101=2,0,IF(AS101=1,'Calc (ex-animal)'!$G$23*(1-'DB additional information '!$K$8/100)*(1-VLOOKUP(D101,'DB technologies'!$N$53:$Y$64,8,FALSE)/100)*'Calc (ex-housing, ex-storage)'!F101/100/VLOOKUP($C$98,'DB animal categories'!$C$42:$AC$51,27,FALSE)*AJ101+M101+N101+O101,IF(AS101=5,('Calc (ex-animal)'!$G$23*(1-'DB additional information '!$K$8/100)+'Calc (ex-animal)'!$H$23*(1-'DB additional information '!$L$8/100))*(1-VLOOKUP(D101,'DB technologies'!$N$53:$Y$64,8,FALSE)/100)*'Calc (ex-housing, ex-storage)'!F101/100/VLOOKUP($C$98,'DB animal categories'!$C$42:$AC$51,27,FALSE)*AJ101+M101+N101+O101,IF(AS101=3,('Calc (ex-animal)'!$G$23*(1-'DB additional information '!$K$8/100)+'Calc (ex-animal)'!$H$23*(1-'DB additional information '!$L$8/100))*(1-VLOOKUP(D101,'DB technologies'!$N$53:$Y$64,8,FALSE)/100)*'Calc (ex-housing, ex-storage)'!F101/100/VLOOKUP($C$98,'DB animal categories'!$C$42:$AC$51,27,FALSE)*AJ101+M101+N101+O101,IF(AS101=4,('Calc (ex-animal)'!$G$23*(1-'DB additional information '!$K$8/100)+'Calc (ex-animal)'!$H$23*(1-'DB additional information '!$L$8/100))*(1-VLOOKUP(D101,'DB technologies'!$N$53:$Y$64,8,FALSE)/100)*'Calc (ex-housing, ex-storage)'!F101/100*VLOOKUP(D101,'DB technologies'!$N$53:$Y$64,12,FALSE)/100/VLOOKUP($C$98,'DB animal categories'!$C$42:$AC$51,27,FALSE)*AJ101+M101+N101+O101,0))))))</f>
        <v/>
      </c>
      <c r="AW101" s="442" t="str">
        <f>IF(AS101="","",IF(AU101=0,0,AU101/AT101*100))</f>
        <v/>
      </c>
      <c r="AX101" s="182" t="str">
        <f>IF(D101="","",IF(AS101=2,0,IF(AS101=1,'Calc (ex-animal)'!$K$23*'Calc (ex-housing, ex-storage)'!F101/100/VLOOKUP($C$98,'DB animal categories'!$C$42:$AC$51,27,FALSE)*AJ101+Q101+R101+S101,IF(AS101=5,('Calc (ex-animal)'!$K$23+'Calc (ex-animal)'!$L$23)*'Calc (ex-housing, ex-storage)'!F101/100/VLOOKUP($C$98,'DB animal categories'!$C$42:$AC$51,27,FALSE)*AJ101+Q101+R101+S101-'Calc (ex-housing, ex-storage)'!AC101,IF(AS101=3,('Calc (ex-animal)'!$K$23+'Calc (ex-animal)'!$L$23)*'Calc (ex-housing, ex-storage)'!F101/100/VLOOKUP($C$98,'DB animal categories'!$C$42:$AC$51,27,FALSE)*AJ101+Q101+R101+S101-'Calc (ex-housing, ex-storage)'!AC101-AD101-AE101,IF(AI101=4,('Calc (ex-animal)'!$K$23+'Calc (ex-animal)'!$L$23)*'Calc (ex-housing, ex-storage)'!F101/100*VLOOKUP(D101,'DB technologies'!$N$53:$Y$64,12,FALSE)/100/VLOOKUP($C$98,'DB animal categories'!$C$42:$AC$51,27,FALSE)*AJ101+Q101+R101+S101-(VLOOKUP(D101,'DB technologies'!$N$53:$Y$64,12,FALSE)/100*AC101)-AD101-AE101,0))))))</f>
        <v/>
      </c>
      <c r="AY101" s="182" t="str">
        <f>IF(D101="","",IF(AS101=2,0,IF(AS101=1,'Calc (ex-animal)'!$N$23*'Calc (ex-housing, ex-storage)'!F101/100/VLOOKUP($C$98,'DB animal categories'!$C$42:$AC$51,27,FALSE)*AJ101+U101+V101+W101,IF(AS101=5,('Calc (ex-animal)'!$N$23+'Calc (ex-animal)'!$O$23)*'Calc (ex-housing, ex-storage)'!F101/100/VLOOKUP($C$98,'DB animal categories'!$C$42:$AC$51,27,FALSE)*AJ101+U101+V101+W101,IF(AS101=3,('Calc (ex-animal)'!$N$23+'Calc (ex-animal)'!$O$23)*'Calc (ex-housing, ex-storage)'!F101/100/VLOOKUP($C$98,'DB animal categories'!$C$42:$AC$51,27,FALSE)*AJ101+U101+V101+W101,IF(AS101=4,('Calc (ex-animal)'!$N$23+'Calc (ex-animal)'!$O$23)*'Calc (ex-housing, ex-storage)'!F101/100*VLOOKUP(D101,'DB technologies'!$N$53:$Y$64,12,FALSE)/100/VLOOKUP($C$98,'DB animal categories'!$C$42:$AC$51,27,FALSE)*AJ101+U101+V101+W101,0))))))</f>
        <v/>
      </c>
      <c r="AZ101" s="182" t="str">
        <f>IF(D101="","",IF(AS101=2,0,IF(AS101=1,'Calc (ex-animal)'!$Q$23*'Calc (ex-housing, ex-storage)'!F101/100/VLOOKUP($C$98,'DB animal categories'!$C$42:$AC$51,27,FALSE)*AJ101+Y101+Z101+AA101,IF(AS101=5,('Calc (ex-animal)'!$Q$23+'Calc (ex-animal)'!$R$23)*'Calc (ex-housing, ex-storage)'!F101/100/VLOOKUP($C$98,'DB animal categories'!$C$42:$AC$51,27,FALSE)*AJ101+Y101+Z101+AA101,IF(AS101=3,('Calc (ex-animal)'!$Q$23+'Calc (ex-animal)'!$R$23)*'Calc (ex-housing, ex-storage)'!F101/100/VLOOKUP($C$98,'DB animal categories'!$C$42:$AC$51,27,FALSE)*AJ101+Y101+Z101+AA101,IF(AS101=4,('Calc (ex-animal)'!$Q$23+'Calc (ex-animal)'!$R$23)*'Calc (ex-housing, ex-storage)'!F101/100*VLOOKUP(D101,'DB technologies'!$N$53:$Y$64,12,FALSE)/100/VLOOKUP($C$98,'DB animal categories'!$C$42:$AC$51,27,FALSE)*AJ101+Y101+Z101+AA101,0))))))</f>
        <v/>
      </c>
      <c r="BA101" s="506"/>
      <c r="BB101" s="506"/>
      <c r="BC101" s="506"/>
      <c r="BG101" s="556" t="s">
        <v>58</v>
      </c>
      <c r="BH101" s="315">
        <f>IF(SUM(BH96:BH100) &gt;100,"ERROR, SUM&gt;100%",SUM(BH96:BH100))</f>
        <v>0</v>
      </c>
      <c r="BI101" s="601">
        <f>SUM(BI96:BI100)</f>
        <v>0</v>
      </c>
      <c r="BJ101" s="593">
        <f>SUM(BJ96:BJ100)</f>
        <v>0</v>
      </c>
      <c r="BK101" s="597">
        <f>IF(BI101=0,0,BJ101/BI101*100)</f>
        <v>0</v>
      </c>
      <c r="BL101" s="307">
        <f t="shared" ref="BL101:BQ101" si="15">SUM(BL96:BL100)</f>
        <v>0</v>
      </c>
      <c r="BM101" s="307">
        <f t="shared" si="15"/>
        <v>0</v>
      </c>
      <c r="BN101" s="307">
        <f t="shared" si="15"/>
        <v>0</v>
      </c>
      <c r="BO101" s="307">
        <f t="shared" si="15"/>
        <v>0</v>
      </c>
      <c r="BP101" s="307">
        <f>SUM(BP96:BP100)</f>
        <v>0</v>
      </c>
      <c r="BQ101" s="308">
        <f t="shared" si="15"/>
        <v>0</v>
      </c>
      <c r="BR101" s="309">
        <f>SUM(BR96:BR100)</f>
        <v>0</v>
      </c>
      <c r="BS101" s="307">
        <f>SUM(BS96:BS100)</f>
        <v>0</v>
      </c>
      <c r="BT101" s="308">
        <f>SUM(BT96:BT100)</f>
        <v>0</v>
      </c>
    </row>
    <row r="102" spans="1:72" ht="11.25" customHeight="1" thickBot="1" x14ac:dyDescent="0.25">
      <c r="A102" s="684"/>
      <c r="B102" s="695"/>
      <c r="C102" s="255"/>
      <c r="D102" s="1359"/>
      <c r="E102" s="1360"/>
      <c r="F102" s="502" t="str">
        <f>IF('Calc (ex-animal)'!$F$9=1,"",IF($C$98=0,"",IF(D102="","",E102/'Calc (ex-animal)'!$E$23*100)))</f>
        <v/>
      </c>
      <c r="G102" s="483" t="str">
        <f>IF($C$98=0,"",IF('Calc (ex-animal)'!$F$8=1,"",IF(D102="","",SUM(H102:O102))))</f>
        <v/>
      </c>
      <c r="H102" s="445" t="str">
        <f>IF('Calc (ex-animal)'!$F$8=1,"",IF(D102="","",(((VLOOKUP($C$98,'Calc (ex-animal)'!$D$23:$Y$27,6,FALSE)-VLOOKUP($C$98,'Calc (ex-animal)'!$D$23:$Y$27,17,FALSE))*F102/100))*VLOOKUP($C$98,'Calc (ex-animal)'!$D$23:$Y$27,7,FALSE)/100*(1-VLOOKUP(D102,'DB technologies'!$N$53:$Y$64,9,FALSE)/100)))</f>
        <v/>
      </c>
      <c r="I102" s="445" t="str">
        <f>IF(D102="","",((VLOOKUP(D102,'DB technologies'!$N$53:$Y$64,2,FALSE)*VLOOKUP($C$98,'DB animal categories'!$C$42:$AC$51,27,FALSE)*E102/1000)/VLOOKUP($C$98,'DB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'!$S$6/100*(1-VLOOKUP(D102,'DB technologies'!$N$53:$Y$64,9,FALSE)/100)))</f>
        <v/>
      </c>
      <c r="J102" s="446" t="str">
        <f>IF(D102="","",((VLOOKUP(D102,'DB technologies'!$N$53:$Y$64,3,FALSE)*VLOOKUP($C$98,'DB animal categories'!$C$42:$AC$51,27,FALSE)*E102/1000)/VLOOKUP($C$98,'DB animal categories'!$C$42:$AC$51,27,FALSE)*(VLOOKUP($C$98,'DB animal categories'!$C$42:$AC$51,27,FALSE)-(VLOOKUP($C$98,'DB animal categories'!$C$42:$AC$51,25,FALSE)*VLOOKUP($C$98,'DB animal categories'!$C$42:$AC$51,26,FALSE)/24))*'DB additional information '!$S$7/100*(1-VLOOKUP(D102,'DB technologies'!$N$53:$Y$64,9,FALSE)/100)))</f>
        <v/>
      </c>
      <c r="K102" s="446" t="str">
        <f>IF(D102="","",((VLOOKUP(D102,'DB technologies'!$N$53:$Y$64,4,FALSE)*E102*'DB additional information '!$S$8/100*(1-VLOOKUP(D102,'DB technologies'!$N$53:$Y$64,9,FALSE)/100))/VLOOKUP($C$98,'DB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L102" s="445" t="str">
        <f>IF('Calc (ex-animal)'!$F$8=1,"",IF(D102="","",(((VLOOKUP($C$98,'Calc (ex-animal)'!$D$23:$Y$27,6,FALSE)-VLOOKUP($C$98,'Calc (ex-animal)'!$D$23:$Y$27,17,FALSE))*F102/100))*(1-VLOOKUP($C$98,'Calc (ex-animal)'!$D$23:$Y$27,7,FALSE)/100)*(1-VLOOKUP(D102,'DB technologies'!$N$53:$V$64,8,FALSE)/100)))</f>
        <v/>
      </c>
      <c r="M102" s="446" t="str">
        <f>IF(D102="","",((VLOOKUP(D102,'DB technologies'!$N$53:$Y$64,2,FALSE)*VLOOKUP($C$98,'DB animal categories'!$C$42:$AC$51,27,FALSE)*E102/1000)/VLOOKUP($C$98,'DB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'!$S$6/100)*(1-VLOOKUP(D102,'DB technologies'!$N$53:$Y$64,9,FALSE)/100))</f>
        <v/>
      </c>
      <c r="N102" s="446" t="str">
        <f>IF(D102="","",((VLOOKUP(D102,'DB technologies'!$N$53:$Y$64,3,FALSE)*VLOOKUP($C$98,'DB animal categories'!$C$42:$AC$51,27,FALSE)*E102/1000)/VLOOKUP($C$98,'DB animal categories'!$C$42:$AC$51,27,FALSE)*(VLOOKUP($C$98,'DB animal categories'!$C$42:$AC$51,27,FALSE)-VLOOKUP($C$98,'DB animal categories'!$C$42:$AC$51,25,FALSE)*VLOOKUP($C$98,'DB animal categories'!$C$42:$AC$51,26,FALSE)/24))*(1-'DB additional information '!$S$7/100)*(1-VLOOKUP(D102,'DB technologies'!$N$53:$Y$64,9,FALSE)/100))</f>
        <v/>
      </c>
      <c r="O102" s="445" t="str">
        <f>IF(D102="","",((VLOOKUP(D102,'DB technologies'!$N$53:$Y$64,4,FALSE)*E102*(1-'DB additional information '!$S$8/100)*(1-VLOOKUP(D102,'DB technologies'!$N$53:$Y$64,8,FALSE)/100))/VLOOKUP($C$98,'DB animal categories'!$C$42:$AC$51,27,FALSE)*(VLOOKUP($C$98,'DB animal categories'!$C$42:$AC$51,27,FALSE)-VLOOKUP($C$98,'DB animal categories'!$C$42:$AC$51,25,FALSE)*VLOOKUP($C$98,'DB animal categories'!$C$42:$AC$51,26,FALSE)/24)))</f>
        <v/>
      </c>
      <c r="P102" s="444" t="str">
        <f>IF(G102=0,0,IF(E102="","",IF(F102="","",IF($C$98=0,"",IF(D102="","",SUM(H102:K102)/G102*100)))))</f>
        <v/>
      </c>
      <c r="Q102" s="476" t="str">
        <f>IF(D102="","",(VLOOKUP(D102,'DB technologies'!$N$53:$Y$64,2,FALSE)*'DB additional information '!$S$6/100*'DB additional information '!$T$6*VLOOKUP($C$98,'DB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R102" s="476" t="str">
        <f>IF(D102="","",(VLOOKUP(D102,'DB technologies'!$N$53:$Y$64,3,FALSE)*'DB additional information '!$S$7/100*'DB additional information '!$T$7*VLOOKUP($C$98,'DB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S102" s="494" t="str">
        <f>IF(D102="","",(VLOOKUP(D102,'DB technologies'!$N$53:$Y$64,4,FALSE)*('DB additional information '!$S$8/100*'DB additional information '!$T$8*E102/1000/1000)))</f>
        <v/>
      </c>
      <c r="T102" s="266" t="str">
        <f>IF($C$98=0,"",IF('Calc (ex-animal)'!$F$9=1,"",IF(D102="","",((VLOOKUP($C$98,'Calc (ex-animal)'!$D$23:$Y$27,10,FALSE)-VLOOKUP($C$98,'Calc (ex-animal)'!$D$23:$Y$27,18,FALSE))*F102/100+Q102+R102+S102)-AC102-AD102-AE102)))</f>
        <v/>
      </c>
      <c r="U102" s="477" t="str">
        <f>IF(D102="","",(VLOOKUP(D102,'DB technologies'!$N$53:$Y$64,2,FALSE)*'DB additional information '!$S$6/100*'DB additional information '!$U$6*VLOOKUP($C$98,'DB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V102" s="433" t="str">
        <f>IF(D102="","",(VLOOKUP(D102,'DB technologies'!$N$53:$Y$64,3,FALSE)*'DB additional information '!$S$7/100*'DB additional information '!$U$7*VLOOKUP($C$98,'DB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W102" s="475" t="str">
        <f>IF(D102="","",(VLOOKUP(D102,'DB technologies'!$N$53:$Y$64,4,FALSE)*('DB additional information '!$S$8/100*'DB additional information '!$U$8*E102/1000/1000)))</f>
        <v/>
      </c>
      <c r="X102" s="267" t="str">
        <f>IF($C$98=0,"",IF('Calc (ex-animal)'!$F$9=1,"",IF(D102="","",((VLOOKUP($C$98,'Calc (ex-animal)'!$D$23:$Y$27,13,FALSE)-VLOOKUP($C$98,'Calc (ex-animal)'!$D$23:$Y$27,19,FALSE))*F102/100+U102+V102+W102))))</f>
        <v/>
      </c>
      <c r="Y102" s="433" t="str">
        <f>IF(D102="","",(VLOOKUP(D102,'DB technologies'!$N$53:$Y$64,2,FALSE)*'DB additional information '!$S$6/100*'DB additional information '!$V$6*VLOOKUP($C$98,'DB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Z102" s="433" t="str">
        <f>IF(D102="","",(VLOOKUP(D102,'DB technologies'!$N$53:$Y$64,3,FALSE)*'DB additional information '!$S$7/100*'DB additional information '!$V$7*VLOOKUP($C$98,'DB animal categories'!$C$42:$AC$51,27,FALSE)*E102/1000/1000)/VLOOKUP($C$98,'DB animal categories'!$C$42:$AC$51,27,FALSE)*(VLOOKUP($C$98,'DB animal categories'!$C$42:$AC$51,27,FALSE)-VLOOKUP($C$98,'DB animal categories'!$C$42:$AC$51,25,FALSE)*VLOOKUP($C$98,'DB animal categories'!$C$42:$AC$51,26,FALSE)/24))</f>
        <v/>
      </c>
      <c r="AA102" s="433" t="str">
        <f>IF(D102="","",(VLOOKUP(D102,'DB technologies'!$N$53:$Y$64,4,FALSE)*('DB additional information '!$S$8/100*'DB additional information '!$V$8*E102/1000/1000)))</f>
        <v/>
      </c>
      <c r="AB102" s="267" t="str">
        <f>IF($C$98=0,"",IF('Calc (ex-animal)'!$F$8=1,"",IF(D102="","",((VLOOKUP($C$98,'Calc (ex-animal)'!$D$23:$Y$27,16,FALSE)-VLOOKUP($C$98,'Calc (ex-animal)'!$D$23:$Y$27,20,FALSE))*F102/100+Y102+Z102+AA102))))</f>
        <v/>
      </c>
      <c r="AC102" s="267" t="str">
        <f>IF($C$98=0,"",IF('Calc (ex-animal)'!$F$8=1,"",IF(D102="","",VLOOKUP($C$98,'Calc (ex-animal)'!$D$23:$Y$27,9,FALSE)/VLOOKUP($C$98,'DB animal categories'!$C$42:$AC$51,27,FALSE)*(VLOOKUP($C$98,'DB animal categories'!$C$42:$AC$51,27,FALSE)-VLOOKUP($C$98,'DB animal categories'!$C$42:$AC$51,25,FALSE)*VLOOKUP($C$98,'DB animal categories'!$C$42:$AC$51,26,FALSE)/24)*F102/100*VLOOKUP(D102,'DB technologies'!$N$53:$R$64,5,FALSE)/100)))</f>
        <v/>
      </c>
      <c r="AD102" s="267" t="str">
        <f>IF($C$98=0,"",IF('Calc (ex-animal)'!$F$8=1,"",IF(D102="","",VLOOKUP($C$98,'Calc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categories'!$C$42:$AC$51,26,FALSE)/24)*F102/100*VLOOKUP(D102,'DB technologies'!$N$53:$Y$64,6,FALSE)/100)))</f>
        <v/>
      </c>
      <c r="AE102" s="268" t="str">
        <f>IF($C$98=0,"",IF('Calc (ex-animal)'!$F$8=1,"",IF(D102="","",VLOOKUP($C$98,'Calc (ex-animal)'!$D$23:$Y$27,10,FALSE)/VLOOKUP($C$98,'DB animal categories'!$C$42:$AC$51,27,FALSE)*(VLOOKUP($C$98,'DB animal categories'!$C$42:$AC$51,27,FALSE)-VLOOKUP($C$98,'DB animal categories'!$C$42:$AC$51,25,FALSE)*VLOOKUP($C$98,'DB animal categories'!$C$42:$AC$51,26,FALSE)/24)*F102/100*VLOOKUP(D102,'DB technologies'!$N$53:$Y$64,7,FALSE)/100)))</f>
        <v/>
      </c>
      <c r="AG102" s="73"/>
      <c r="AH102" s="73"/>
      <c r="AI102" s="183" t="str">
        <f>IF(D102="","",VLOOKUP(D102,'DB technologies'!$N$53:$Y$64,10,FALSE))</f>
        <v/>
      </c>
      <c r="AJ102" s="451" t="e">
        <f>VLOOKUP($C$98,'DB animal categories'!$C$42:$AN$51,27,FALSE)-VLOOKUP($C$98,'DB animal categories'!$C$42:$AN$51,26,FALSE)*VLOOKUP($C$98,'DB animal categories'!$C$42:$AN$51,25,FALSE)/24</f>
        <v>#N/A</v>
      </c>
      <c r="AK102" s="452" t="str">
        <f>IF(AI102="","",AL102+AM102)</f>
        <v/>
      </c>
      <c r="AL102" s="452" t="str">
        <f>IF(D102="","",IF(AI102=2,(('Calc (ex-animal)'!$G$23*'DB additional information '!$K$8/100*(1-VLOOKUP(D102,'DB technologies'!$N$53:$Y$64,9,FALSE)/100)*'Calc (ex-housing, ex-storage)'!F102/100+'Calc (ex-animal)'!$H$23*'DB additional information '!$L$8/100*(1-VLOOKUP(D102,'DB technologies'!$N$53:$Y$64,9,FALSE)/100)*'Calc (ex-housing, ex-storage)'!F102/100))/VLOOKUP($C$98,'DB animal categories'!$C$42:$AC$51,27,FALSE)*AJ102+I102+J102+K102,IF(AI102=1,('Calc (ex-animal)'!$H$23*'DB additional information '!$L$8/100*(1-VLOOKUP(D102,'DB technologies'!$N$53:$Y$64,9,FALSE)/100)*'Calc (ex-housing, ex-storage)'!F102/100)/VLOOKUP($C$98,'DB animal categories'!$C$42:$AC$51,27,FALSE)*AJ102,IF(AI102=4,('Calc (ex-animal)'!$G$23*'DB additional information '!$K$8/100+'Calc (ex-animal)'!$H$23*'DB additional information '!$L$8/100)*(1-VLOOKUP(D102,'DB technologies'!$N$53:$Y$64,9,FALSE)/100)*'Calc (ex-housing, ex-storage)'!F102/100*VLOOKUP(D102,'DB technologies'!$N$53:$Y$64,11,FALSE)/100/VLOOKUP($C$98,'DB animal categories'!$C$42:$AC$51,27,FALSE)*AJ102,0))))</f>
        <v/>
      </c>
      <c r="AM102" s="452" t="str">
        <f>IF(D102="","",IF(AI102=2,(('Calc (ex-animal)'!$G$23*(1-'DB additional information '!$K$8/100)*(1-VLOOKUP(D102,'DB technologies'!$N$53:$Y$64,8,FALSE)/100)*'Calc (ex-housing, ex-storage)'!F102/100+'Calc (ex-animal)'!$H$23*(1-'DB additional information '!$L$8/100)*(1-VLOOKUP(D102,'DB technologies'!$N$53:$Y$64,8,FALSE)/100)*'Calc (ex-housing, ex-storage)'!F102/100))/VLOOKUP($C$98,'DB animal categories'!$C$42:$AC$51,27,FALSE)*AJ102+M102+N102+O102,IF(AI102=1,('Calc (ex-animal)'!$H$23*(1-'DB additional information '!$L$8/100)*(1-VLOOKUP(D102,'DB technologies'!$N$53:$Y$64,8,FALSE)/100)*'Calc (ex-housing, ex-storage)'!F102/100)/VLOOKUP($C$98,'DB animal categories'!$C$42:$AC$51,27,FALSE)*AJ102,IF(AI102=4,('Calc (ex-animal)'!$G$23*(1-'DB additional information '!$K$8/100)+'Calc (ex-animal)'!$H$23*(1-'DB additional information '!$L$8/100))*(1-VLOOKUP(D102,'DB technologies'!$N$53:$Y$64,8,FALSE)/100)*'Calc (ex-housing, ex-storage)'!F102/100*VLOOKUP(D102,'DB technologies'!$N$53:$Y$64,11,FALSE)/100/VLOOKUP($C$98,'DB animal categories'!$C$42:$AC$51,27,FALSE)*AJ102,0))))</f>
        <v/>
      </c>
      <c r="AN102" s="452" t="str">
        <f>IF(AI102="","",IF(AL102=0,0,AL102/AK102*100))</f>
        <v/>
      </c>
      <c r="AO102" s="184" t="str">
        <f>IF(D102="","",IF(AI102=2,(('Calc (ex-animal)'!$L$23*'Calc (ex-housing, ex-storage)'!F102/100+'Calc (ex-animal)'!$K$23*'Calc (ex-housing, ex-storage)'!F102/100))/VLOOKUP($C$98,'DB animal categories'!$C$42:$AC$51,27,FALSE)*AJ102+Q102+R102+S102-AC102,IF(AI102=1,('Calc (ex-animal)'!$L$23*'Calc (ex-housing, ex-storage)'!F102/100)/VLOOKUP($C$98,'DB animal categories'!$C$42:$AC$51,27,FALSE)*AJ102-'Calc (ex-housing, ex-storage)'!AC102,IF(AI102=4,('Calc (ex-animal)'!$L$23+'Calc (ex-animal)'!$K$23)*'Calc (ex-housing, ex-storage)'!F102/100*VLOOKUP(D102,'DB technologies'!$N$53:$Y$64,11,FALSE)/100/VLOOKUP($C$98,'DB animal categories'!$C$42:$AC$51,27,FALSE)*AJ102-AC102*VLOOKUP(D102,'DB technologies'!$N$53:$Y$64,11,FALSE)/100,0))))</f>
        <v/>
      </c>
      <c r="AP102" s="184" t="str">
        <f>IF(D102="","",IF(AO102&lt;-0.01,0,IF(AI102=2,(('Calc (ex-animal)'!$L$23*'Calc (ex-housing, ex-storage)'!F102/100+'Calc (ex-animal)'!$K$23*'Calc (ex-housing, ex-storage)'!F102/100))/VLOOKUP($C$98,'DB animal categories'!$C$42:$AC$51,27,FALSE)*AJ102+Q102+R102+S102-AC102,IF(AI102=1,('Calc (ex-animal)'!$L$23*'Calc (ex-housing, ex-storage)'!F102/100)/VLOOKUP($C$98,'DB animal categories'!$C$42:$AC$51,27,FALSE)*AJ102-'Calc (ex-housing, ex-storage)'!AC102,IF(AI102=4,('Calc (ex-animal)'!$L$23+'Calc (ex-animal)'!$K$23)*'Calc (ex-housing, ex-storage)'!F102/100*VLOOKUP(D102,'DB technologies'!$N$53:$Y$64,11,FALSE)/100/VLOOKUP($C$98,'DB animal categories'!$C$42:$AC$51,27,FALSE)*AJ102-AC102*VLOOKUP(D102,'DB technologies'!$N$53:$Y$64,11,FALSE)/100,0)))))</f>
        <v/>
      </c>
      <c r="AQ102" s="184" t="str">
        <f>IF(D102="","",IF(AI102=2,('Calc (ex-animal)'!$O$23*'Calc (ex-housing, ex-storage)'!F102/100+'Calc (ex-animal)'!$N$23*'Calc (ex-housing, ex-storage)'!F102/100)/VLOOKUP($C$98,'DB animal categories'!$C$42:$AC$51,27,FALSE)*AJ102+U102+V102+W102,IF(AI102=1,'Calc (ex-animal)'!$O$23*'Calc (ex-housing, ex-storage)'!F102/100/VLOOKUP($C$98,'DB animal categories'!$C$42:$AC$51,27,FALSE)*AJ102,IF(AI102=4,('Calc (ex-animal)'!$O$23+'Calc (ex-animal)'!$N$23)*'Calc (ex-housing, ex-storage)'!F102/100*VLOOKUP(D102,'DB technologies'!$N$53:$Y$64,11,FALSE)/100/VLOOKUP($C$98,'DB animal categories'!$C$42:$AC$51,27,FALSE)*AJ102,0))))</f>
        <v/>
      </c>
      <c r="AR102" s="184" t="str">
        <f>IF(D102="","",IF(AI102=2,('Calc (ex-animal)'!$R$23*'Calc (ex-housing, ex-storage)'!F102/100+'Calc (ex-animal)'!$Q$23*'Calc (ex-housing, ex-storage)'!F102/100)/VLOOKUP($C$98,'DB animal categories'!$C$42:$AC$51,27,FALSE)*AJ102+Y102+Z102+AA102,IF(AI102=1,'Calc (ex-animal)'!$R$23*'Calc (ex-housing, ex-storage)'!F102/100/VLOOKUP($C$98,'DB animal categories'!$C$42:$AC$51,27,FALSE)*AJ102,IF(AI102=4,('Calc (ex-animal)'!$R$23+'Calc (ex-animal)'!$Q$23)*'Calc (ex-housing, ex-storage)'!F102/100*VLOOKUP(D102,'DB technologies'!$N$53:$Y$64,11,FALSE)/100/VLOOKUP($C$98,'DB animal categories'!$C$42:$AC$51,27,FALSE)*AJ102,0))))</f>
        <v/>
      </c>
      <c r="AS102" s="183" t="str">
        <f>IF(D102="","",VLOOKUP(D102,'DB technologies'!$N$53:$Y$64,10,FALSE))</f>
        <v/>
      </c>
      <c r="AT102" s="452" t="str">
        <f>IF(AS102="","",AU102+AV102)</f>
        <v/>
      </c>
      <c r="AU102" s="452" t="str">
        <f>IF(D102="","",IF(AS102=2,0,IF(AS102=1,'Calc (ex-animal)'!$G$23*'DB additional information '!$K$8/100*(1-VLOOKUP(D102,'DB technologies'!$N$53:$Y$64,8,FALSE)/100)*'Calc (ex-housing, ex-storage)'!F102/100/VLOOKUP($C$98,'DB animal categories'!$C$42:$AC$51,27,FALSE)*AJ102+I102+J102+K102,IF(AS102=5,(('Calc (ex-animal)'!$G$23*'DB additional information '!$K$8/100+'Calc (ex-animal)'!$H$23*'DB additional information '!$L$8/100))*(1-VLOOKUP(D102,'DB technologies'!$N$53:$Y$64,9,FALSE)/100)*'Calc (ex-housing, ex-storage)'!F102/100/VLOOKUP($C$98,'DB animal categories'!$C$42:$AC$51,27,FALSE)*AJ102+I102+J102+K102,IF(AS102=3,('Calc (ex-animal)'!$G$23*'DB additional information '!$K$8/100+'Calc (ex-animal)'!$H$23*'DB additional information '!$L$8/100)*(1-VLOOKUP(D102,'DB technologies'!$N$53:$Y$64,9,FALSE)/100)*'Calc (ex-housing, ex-storage)'!F102/100/VLOOKUP($C$98,'DB animal categories'!$C$42:$AC$51,27,FALSE)*AJ102+I102+J102+K102,IF(AS102=4,('Calc (ex-animal)'!$G$23*'DB additional information '!$K$8/100+'Calc (ex-animal)'!$H$23*'DB additional information '!$L$8/100)*(1-VLOOKUP(D102,'DB technologies'!$N$53:$Y$64,9,FALSE)/100)*'Calc (ex-housing, ex-storage)'!F102/100*VLOOKUP(D102,'DB technologies'!$N$53:$Y$64,12,FALSE)/100/VLOOKUP($C$98,'DB animal categories'!$C$42:$AC$51,27,FALSE)*AJ102+I102+J102+K102,0))))))</f>
        <v/>
      </c>
      <c r="AV102" s="452" t="str">
        <f>IF(D102="","",IF(AS102=2,0,IF(AS102=1,'Calc (ex-animal)'!$G$23*(1-'DB additional information '!$K$8/100)*(1-VLOOKUP(D102,'DB technologies'!$N$53:$Y$64,8,FALSE)/100)*'Calc (ex-housing, ex-storage)'!F102/100/VLOOKUP($C$98,'DB animal categories'!$C$42:$AC$51,27,FALSE)*AJ102+M102+N102+O102,IF(AS102=5,('Calc (ex-animal)'!$G$23*(1-'DB additional information '!$K$8/100)+'Calc (ex-animal)'!$H$23*(1-'DB additional information '!$L$8/100))*(1-VLOOKUP(D102,'DB technologies'!$N$53:$Y$64,8,FALSE)/100)*'Calc (ex-housing, ex-storage)'!F102/100/VLOOKUP($C$98,'DB animal categories'!$C$42:$AC$51,27,FALSE)*AJ102+M102+N102+O102,IF(AS102=3,('Calc (ex-animal)'!$G$23*(1-'DB additional information '!$K$8/100)+'Calc (ex-animal)'!$H$23*(1-'DB additional information '!$L$8/100))*(1-VLOOKUP(D102,'DB technologies'!$N$53:$Y$64,8,FALSE)/100)*'Calc (ex-housing, ex-storage)'!F102/100/VLOOKUP($C$98,'DB animal categories'!$C$42:$AC$51,27,FALSE)*AJ102+M102+N102+O102,IF(AS102=4,('Calc (ex-animal)'!$G$23*(1-'DB additional information '!$K$8/100)+'Calc (ex-animal)'!$H$23*(1-'DB additional information '!$L$8/100))*(1-VLOOKUP(D102,'DB technologies'!$N$53:$Y$64,8,FALSE)/100)*'Calc (ex-housing, ex-storage)'!F102/100*VLOOKUP(D102,'DB technologies'!$N$53:$Y$64,12,FALSE)/100/VLOOKUP($C$98,'DB animal categories'!$C$42:$AC$51,27,FALSE)*AJ102+M102+N102+O102,0))))))</f>
        <v/>
      </c>
      <c r="AW102" s="452" t="str">
        <f>IF(AS102="","",IF(AU102=0,0,AU102/AT102*100))</f>
        <v/>
      </c>
      <c r="AX102" s="184" t="str">
        <f>IF(D102="","",IF(AS102=2,0,IF(AS102=1,'Calc (ex-animal)'!$K$23*'Calc (ex-housing, ex-storage)'!F102/100/VLOOKUP($C$98,'DB animal categories'!$C$42:$AC$51,27,FALSE)*AJ102+Q102+R102+S102,IF(AS102=5,('Calc (ex-animal)'!$K$23+'Calc (ex-animal)'!$L$23)*'Calc (ex-housing, ex-storage)'!F102/100/VLOOKUP($C$98,'DB animal categories'!$C$42:$AC$51,27,FALSE)*AJ102+Q102+R102+S102-'Calc (ex-housing, ex-storage)'!AC102,IF(AS102=3,('Calc (ex-animal)'!$K$23+'Calc (ex-animal)'!$L$23)*'Calc (ex-housing, ex-storage)'!F102/100/VLOOKUP($C$98,'DB animal categories'!$C$42:$AC$51,27,FALSE)*AJ102+Q102+R102+S102-'Calc (ex-housing, ex-storage)'!AC102-AD102-AE102,IF(AI102=4,('Calc (ex-animal)'!$K$23+'Calc (ex-animal)'!$L$23)*'Calc (ex-housing, ex-storage)'!F102/100*VLOOKUP(D102,'DB technologies'!$N$53:$Y$64,12,FALSE)/100/VLOOKUP($C$98,'DB animal categories'!$C$42:$AC$51,27,FALSE)*AJ102+Q102+R102+S102-(VLOOKUP(D102,'DB technologies'!$N$53:$Y$64,12,FALSE)/100*AC102)-AD102-AE102,0))))))</f>
        <v/>
      </c>
      <c r="AY102" s="184" t="str">
        <f>IF(D102="","",IF(AS102=2,0,IF(AS102=1,'Calc (ex-animal)'!$N$23*'Calc (ex-housing, ex-storage)'!F102/100/VLOOKUP($C$98,'DB animal categories'!$C$42:$AC$51,27,FALSE)*AJ102+U102+V102+W102,IF(AS102=5,('Calc (ex-animal)'!$N$23+'Calc (ex-animal)'!$O$23)*'Calc (ex-housing, ex-storage)'!F102/100/VLOOKUP($C$98,'DB animal categories'!$C$42:$AC$51,27,FALSE)*AJ102+U102+V102+W102,IF(AS102=3,('Calc (ex-animal)'!$N$23+'Calc (ex-animal)'!$O$23)*'Calc (ex-housing, ex-storage)'!F102/100/VLOOKUP($C$98,'DB animal categories'!$C$42:$AC$51,27,FALSE)*AJ102+U102+V102+W102,IF(AS102=4,('Calc (ex-animal)'!$N$23+'Calc (ex-animal)'!$O$23)*'Calc (ex-housing, ex-storage)'!F102/100*VLOOKUP(D102,'DB technologies'!$N$53:$Y$64,12,FALSE)/100/VLOOKUP($C$98,'DB animal categories'!$C$42:$AC$51,27,FALSE)*AJ102+U102+V102+W102,0))))))</f>
        <v/>
      </c>
      <c r="AZ102" s="184" t="str">
        <f>IF(D102="","",IF(AS102=2,0,IF(AS102=1,'Calc (ex-animal)'!$Q$23*'Calc (ex-housing, ex-storage)'!F102/100/VLOOKUP($C$98,'DB animal categories'!$C$42:$AC$51,27,FALSE)*AJ102+Y102+Z102+AA102,IF(AS102=5,('Calc (ex-animal)'!$Q$23+'Calc (ex-animal)'!$R$23)*'Calc (ex-housing, ex-storage)'!F102/100/VLOOKUP($C$98,'DB animal categories'!$C$42:$AC$51,27,FALSE)*AJ102+Y102+Z102+AA102,IF(AS102=3,('Calc (ex-animal)'!$Q$23+'Calc (ex-animal)'!$R$23)*'Calc (ex-housing, ex-storage)'!F102/100/VLOOKUP($C$98,'DB animal categories'!$C$42:$AC$51,27,FALSE)*AJ102+Y102+Z102+AA102,IF(AS102=4,('Calc (ex-animal)'!$Q$23+'Calc (ex-animal)'!$R$23)*'Calc (ex-housing, ex-storage)'!F102/100*VLOOKUP(D102,'DB technologies'!$N$53:$Y$64,12,FALSE)/100/VLOOKUP($C$98,'DB animal categories'!$C$42:$AC$51,27,FALSE)*AJ102+Y102+Z102+AA102,0))))))</f>
        <v/>
      </c>
      <c r="BA102" s="506"/>
      <c r="BB102" s="506"/>
      <c r="BC102" s="506"/>
      <c r="BD102" s="73"/>
      <c r="BE102" s="73"/>
      <c r="BF102" s="73"/>
      <c r="BG102" s="73"/>
      <c r="BH102" s="73"/>
      <c r="BI102" s="73"/>
      <c r="BJ102" s="450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</row>
    <row r="103" spans="1:72" ht="11.25" customHeight="1" thickBot="1" x14ac:dyDescent="0.25">
      <c r="A103" s="684"/>
      <c r="B103" s="695"/>
      <c r="C103" s="252"/>
      <c r="D103" s="269" t="s">
        <v>58</v>
      </c>
      <c r="E103" s="270">
        <f>IF(F103&lt;=100,SUM(E98:E102),"ERROR")</f>
        <v>0</v>
      </c>
      <c r="F103" s="284">
        <f>IF(SUM(F98:F102) &lt;=100,SUM(F98:F102),"ERROR, SUM&gt;100%")</f>
        <v>0</v>
      </c>
      <c r="G103" s="492">
        <f>IF('Calc (ex-animal)'!$F$9=1,"",SUM(G98:G102))</f>
        <v>0</v>
      </c>
      <c r="H103" s="433">
        <f>IF('Calc (ex-animal)'!$F$8=1,"",SUM(H98:H102))</f>
        <v>0</v>
      </c>
      <c r="I103" s="433">
        <f>IF('Calc (ex-animal)'!$F$8=1,"",SUM(I98:I102))</f>
        <v>0</v>
      </c>
      <c r="J103" s="433">
        <f>IF('Calc (ex-animal)'!$F$8=1,"",SUM(J98:J102))</f>
        <v>0</v>
      </c>
      <c r="K103" s="433">
        <f>IF('Calc (ex-animal)'!$F$8=1,"",SUM(K98:K102))</f>
        <v>0</v>
      </c>
      <c r="L103" s="433">
        <f>IF('Calc (ex-animal)'!$F$8=1,"",SUM(L98:L102))</f>
        <v>0</v>
      </c>
      <c r="M103" s="470"/>
      <c r="N103" s="470"/>
      <c r="O103" s="470"/>
      <c r="P103" s="478">
        <f>IF(G103=0,0,IF('Calc (ex-animal)'!$F$9=1,"",IF(D103="","",SUM(H103:K103)/G103*100)))</f>
        <v>0</v>
      </c>
      <c r="Q103" s="271"/>
      <c r="R103" s="271"/>
      <c r="S103" s="271"/>
      <c r="T103" s="278">
        <f>IF('Calc (ex-animal)'!$F$23=1,"",SUM(T98:T102))</f>
        <v>0</v>
      </c>
      <c r="U103" s="279"/>
      <c r="V103" s="279"/>
      <c r="W103" s="279"/>
      <c r="X103" s="279">
        <f>IF('Calc (ex-animal)'!$F$23=1,"",SUM(X98:X102))</f>
        <v>0</v>
      </c>
      <c r="Y103" s="279"/>
      <c r="Z103" s="279"/>
      <c r="AA103" s="279"/>
      <c r="AB103" s="279">
        <f>IF('Calc (ex-animal)'!$F$23=1,"",SUM(AB98:AB102))</f>
        <v>0</v>
      </c>
      <c r="AC103" s="279">
        <f>IF('Calc (ex-animal)'!$F$23=1,"",SUM(AC98:AC102))</f>
        <v>0</v>
      </c>
      <c r="AD103" s="279">
        <f>IF('Calc (ex-animal)'!$F$23=1,"",SUM(AD98:AD102))</f>
        <v>0</v>
      </c>
      <c r="AE103" s="280">
        <f>IF('Calc (ex-animal)'!$F$23=1,"",SUM(AE98:AE102))</f>
        <v>0</v>
      </c>
      <c r="AG103" s="697" t="s">
        <v>210</v>
      </c>
      <c r="AH103" s="694" t="s">
        <v>129</v>
      </c>
      <c r="BA103" s="97">
        <f>SUM(AK577:AK605)</f>
        <v>0</v>
      </c>
      <c r="BB103" s="97">
        <f>SUM(AL577:AL605)</f>
        <v>0</v>
      </c>
      <c r="BC103" s="506" t="e">
        <f>BB103/BA103*100</f>
        <v>#DIV/0!</v>
      </c>
      <c r="BD103" s="97">
        <f>SUM(AP577:AP605)</f>
        <v>0</v>
      </c>
      <c r="BE103" s="97">
        <f>SUM(AQ577:AQ605)</f>
        <v>0</v>
      </c>
      <c r="BF103" s="97">
        <f>SUM(AR577:AR605)</f>
        <v>0</v>
      </c>
      <c r="BG103" s="1355"/>
      <c r="BH103" s="1363"/>
      <c r="BI103" s="599" t="str">
        <f>IF(BG103="","",$BA$103*BH103/100-($BB$103*BH103/100*VLOOKUP(BG103,'DB technologies'!$AC$59:$AT$63,5,FALSE)/100)+(VLOOKUP(BG103,'DB technologies'!$AC$59:$AT$63,12,FALSE)*$BA$103*BH103/100))</f>
        <v/>
      </c>
      <c r="BJ103" s="594">
        <f>IF(BI103="",0,BI103*BK103/100)</f>
        <v>0</v>
      </c>
      <c r="BK103" s="570" t="str">
        <f>IF(BG103="","",IF($BA$103=0,0,($BB$103*BH103/100)/BI103*(1-(VLOOKUP(BG103,'DB technologies'!$AC$59:$AQ$63,5,FALSE))/100)*100))</f>
        <v/>
      </c>
      <c r="BL103" s="259" t="str">
        <f>IF(BG103="","",$BD$103*BH103/100-BO103-BP103-BQ103)</f>
        <v/>
      </c>
      <c r="BM103" s="259" t="str">
        <f>IF(BG103="","",$BE$103*BH103/100)</f>
        <v/>
      </c>
      <c r="BN103" s="259" t="str">
        <f>IF(BG103="","",$BF$103*BH103/100)</f>
        <v/>
      </c>
      <c r="BO103" s="259" t="str">
        <f>IF(BG103="","",$BD$103*BH103/100*VLOOKUP(BG103,'DB technologies'!$AC$43:$AF$47,2,FALSE)/100)</f>
        <v/>
      </c>
      <c r="BP103" s="259" t="str">
        <f>IF(BG103="","",$BD$103*BH103/100*VLOOKUP(BG103,'DB technologies'!$AC$43:$AN$47,3,FALSE)/100)</f>
        <v/>
      </c>
      <c r="BQ103" s="260" t="str">
        <f>IF(BG103="","",$BD$103*BH103/100*VLOOKUP(BG103,'DB technologies'!$AC$43:$AN$47,4,FALSE)/100)</f>
        <v/>
      </c>
      <c r="BR103" s="114"/>
      <c r="BS103" s="114"/>
      <c r="BT103" s="115"/>
    </row>
    <row r="104" spans="1:72" ht="11.25" customHeight="1" x14ac:dyDescent="0.2">
      <c r="A104" s="684"/>
      <c r="B104" s="695"/>
      <c r="C104" s="250">
        <f>'Calc (ex-animal)'!D24</f>
        <v>0</v>
      </c>
      <c r="D104" s="1355"/>
      <c r="E104" s="1356"/>
      <c r="F104" s="479" t="str">
        <f>IF('Calc (ex-animal)'!$F$9=1,"",IF($C$104=0,"",IF(D104="","",E104/'Calc (ex-animal)'!$E$24*100)))</f>
        <v/>
      </c>
      <c r="G104" s="484" t="str">
        <f>IF($C$104=0,"",IF('Calc (ex-animal)'!$F$8=1,"",IF(D104="","",SUM(H104:O104))))</f>
        <v/>
      </c>
      <c r="H104" s="471" t="str">
        <f>IF('Calc (ex-animal)'!$F$8=1,"",IF(D104="","",(((VLOOKUP($C$104,'Calc (ex-animal)'!$D$23:$Y$27,6,FALSE)-VLOOKUP($C$104,'Calc (ex-animal)'!$D$23:$Y$27,17,FALSE))*F104/100))*VLOOKUP($C$104,'Calc (ex-animal)'!$D$23:$Y$27,7,FALSE)/100*(1-VLOOKUP(D104,'DB technologies'!$N$53:$Y$64,9,FALSE)/100)))</f>
        <v/>
      </c>
      <c r="I104" s="471" t="str">
        <f>IF(D104="","",((VLOOKUP(D104,'DB technologies'!$N$53:$Y$64,2,FALSE)*VLOOKUP($C$104,'DB animal categories'!$C$42:$AC$51,27,FALSE)*E104/1000)/VLOOKUP($C$104,'DB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'!$S$6/100*(1-VLOOKUP(D104,'DB technologies'!$N$53:$Y$64,9,FALSE)/100)))</f>
        <v/>
      </c>
      <c r="J104" s="472" t="str">
        <f>IF(D104="","",((VLOOKUP(D104,'DB technologies'!$N$53:$Y$64,3,FALSE)*VLOOKUP($C$104,'DB animal categories'!$C$42:$AC$51,27,FALSE)*E104/1000)/VLOOKUP($C$104,'DB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'!$S$7/100*(1-VLOOKUP(D104,'DB technologies'!$N$53:$Y$64,9,FALSE)/100)))</f>
        <v/>
      </c>
      <c r="K104" s="472" t="str">
        <f>IF(D104="","",((VLOOKUP(D104,'DB technologies'!$N$53:$Y$64,4,FALSE)*E104*'DB additional information '!$S$8/100*(1-VLOOKUP(D104,'DB technologies'!$N$53:$Y$64,9,FALSE)/100))/VLOOKUP($C$104,'DB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L104" s="471" t="str">
        <f>IF('Calc (ex-animal)'!$F$8=1,"",IF(D104="","",(((VLOOKUP($C$104,'Calc (ex-animal)'!$D$23:$Y$27,6,FALSE)-VLOOKUP($C$104,'Calc (ex-animal)'!$D$23:$Y$27,17,FALSE))*F104/100))*(1-VLOOKUP($C$104,'Calc (ex-animal)'!$D$23:$Y$27,7,FALSE)/100)*(1-VLOOKUP(D104,'DB technologies'!$N$53:$V$64,8,FALSE)/100)))</f>
        <v/>
      </c>
      <c r="M104" s="472" t="str">
        <f>IF(D104="","",((VLOOKUP(D104,'DB technologies'!$N$53:$Y$64,2,FALSE)*VLOOKUP($C$104,'DB animal categories'!$C$42:$AC$51,27,FALSE)*E104/1000)/VLOOKUP($C$104,'DB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'!$S$6/100)*(1-VLOOKUP(D104,'DB technologies'!$N$53:$Y$64,9,FALSE)/100))</f>
        <v/>
      </c>
      <c r="N104" s="472" t="str">
        <f>IF(D104="","",((VLOOKUP(D104,'DB technologies'!$N$53:$Y$64,3,FALSE)*VLOOKUP($C$104,'DB animal categories'!$C$42:$AC$51,27,FALSE)*E104/1000)/VLOOKUP($C$104,'DB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'!$S$7/100)*(1-VLOOKUP(D104,'DB technologies'!$N$53:$Y$64,9,FALSE)/100))</f>
        <v/>
      </c>
      <c r="O104" s="471" t="str">
        <f>IF(D104="","",((VLOOKUP(D104,'DB technologies'!$N$53:$Y$64,4,FALSE)*E104*(1-'DB additional information '!$S$8/100)*(1-VLOOKUP(D104,'DB technologies'!$N$53:$Y$64,8,FALSE)/100))/VLOOKUP($C$104,'DB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P104" s="443" t="str">
        <f>IF(G104=0,0,IF(E104="","",IF(F104="","",IF($C$104=0,"",IF(D104="","",SUM(H104:K104)/G104*100)))))</f>
        <v/>
      </c>
      <c r="Q104" s="473" t="str">
        <f>IF(D104="","",(VLOOKUP(D104,'DB technologies'!$N$53:$Y$64,2,FALSE)*'DB additional information '!$S$6/100*'DB additional information '!$T$6*VLOOKUP($C$104,'DB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R104" s="473" t="str">
        <f>IF(D104="","",(VLOOKUP(D104,'DB technologies'!$N$53:$Y$64,3,FALSE)*'DB additional information '!$S$7/100*'DB additional information '!$T$7*VLOOKUP($C$104,'DB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S104" s="490" t="str">
        <f>IF(D104="","",(VLOOKUP(D104,'DB technologies'!$N$53:$Y$64,4,FALSE)*('DB additional information '!$S$8/100*'DB additional information '!$T$8*E104/1000/1000)))</f>
        <v/>
      </c>
      <c r="T104" s="263" t="str">
        <f>IF($C$104=0,"",IF('Calc (ex-animal)'!$F$9=1,"",IF(D104="","",((VLOOKUP($C$104,'Calc (ex-animal)'!$D$23:$Y$27,10,FALSE)-VLOOKUP($C$104,'Calc (ex-animal)'!$D$23:$Y$27,18,FALSE))*F104/100+Q104+R104+S104)-AC104-AD104-AE104)))</f>
        <v/>
      </c>
      <c r="U104" s="474" t="str">
        <f>IF(D104="","",(VLOOKUP(D104,'DB technologies'!$N$53:$Y$64,2,FALSE)*'DB additional information '!$S$6/100*'DB additional information '!$U$6*VLOOKUP($C$104,'DB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V104" s="420" t="str">
        <f>IF(D104="","",(VLOOKUP(D104,'DB technologies'!$N$53:$Y$64,3,FALSE)*'DB additional information '!$S$7/100*'DB additional information '!$U$7*VLOOKUP($C$104,'DB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W104" s="415" t="str">
        <f>IF(D104="","",(VLOOKUP(D104,'DB technologies'!$N$53:$Y$64,4,FALSE)*('DB additional information '!$S$8/100*'DB additional information '!$U$8*E104/1000/1000)))</f>
        <v/>
      </c>
      <c r="X104" s="259" t="str">
        <f>IF($C$104=0,"",IF('Calc (ex-animal)'!$F$9=1,"",IF(D104="","",((VLOOKUP($C$104,'Calc (ex-animal)'!$D$23:$Y$27,13,FALSE)-VLOOKUP($C$104,'Calc (ex-animal)'!$D$23:$Y$27,19,FALSE))*F104/100+U104+V104+W104))))</f>
        <v/>
      </c>
      <c r="Y104" s="420" t="str">
        <f>IF(D104="","",(VLOOKUP(D104,'DB technologies'!$N$53:$Y$64,2,FALSE)*'DB additional information '!$S$6/100*'DB additional information '!$V$6*VLOOKUP($C$104,'DB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Z104" s="420" t="str">
        <f>IF(D104="","",(VLOOKUP(D104,'DB technologies'!$N$53:$Y$64,3,FALSE)*'DB additional information '!$S$7/100*'DB additional information '!$V$7*VLOOKUP($C$104,'DB animal categories'!$C$42:$AC$51,27,FALSE)*E104/1000/1000)/VLOOKUP($C$104,'DB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AA104" s="420" t="str">
        <f>IF(D104="","",(VLOOKUP(D104,'DB technologies'!$N$53:$Y$64,4,FALSE)*('DB additional information '!$S$8/100*'DB additional information '!$V$8*E104/1000/1000)))</f>
        <v/>
      </c>
      <c r="AB104" s="259" t="str">
        <f>IF($C$104=0,"",IF('Calc (ex-animal)'!$F$8=1,"",IF(D104="","",((VLOOKUP($C$104,'Calc (ex-animal)'!$D$23:$Y$27,16,FALSE)-VLOOKUP($C$104,'Calc (ex-animal)'!$D$23:$Y$27,20,FALSE))*F104/100+Y104+Z104+AA104))))</f>
        <v/>
      </c>
      <c r="AC104" s="259" t="str">
        <f>IF($C$104=0,"",IF('Calc (ex-animal)'!$F$8=1,"",IF(D104="","",VLOOKUP($C$104,'Calc (ex-animal)'!$D$23:$Y$27,9,FALSE)/VLOOKUP($C$104,'DB animal categories'!$C$42:$AC$51,27,FALSE)*(VLOOKUP($C$104,'DB animal categories'!$C$42:$AC$51,27,FALSE)-VLOOKUP($C$104,'DB animal categories'!$C$42:$AC$51,25,FALSE)*VLOOKUP($C$104,'DB animal categories'!$C$42:$AC$51,26,FALSE)/24)*F104/100*VLOOKUP(D104,'DB technologies'!$N$53:$R$64,5,FALSE)/100)))</f>
        <v/>
      </c>
      <c r="AD104" s="259" t="str">
        <f>IF($C$104=0,"",IF('Calc (ex-animal)'!$F$8=1,"",IF(D104="","",VLOOKUP($C$104,'Calc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categories'!$C$42:$AC$51,26,FALSE)/24)*F104/100*VLOOKUP(D104,'DB technologies'!$N$53:$Y$64,6,FALSE)/100)))</f>
        <v/>
      </c>
      <c r="AE104" s="260" t="str">
        <f>IF($C$104=0,"",IF('Calc (ex-animal)'!$F$8=1,"",IF(D104="","",VLOOKUP($C$104,'Calc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categories'!$C$42:$AC$51,26,FALSE)/24)*F104/100*VLOOKUP(D104,'DB technologies'!$N$53:$Y$64,7,FALSE)/100)))</f>
        <v/>
      </c>
      <c r="AG104" s="698"/>
      <c r="AH104" s="695"/>
      <c r="AI104" s="179" t="str">
        <f>IF(D104="","",VLOOKUP(D104,'DB technologies'!$N$53:$Y$64,10,FALSE))</f>
        <v/>
      </c>
      <c r="AJ104" s="482" t="e">
        <f>VLOOKUP($C$104,'DB animal categories'!$C$42:$AN$51,27,FALSE)-VLOOKUP($C$104,'DB animal categories'!$C$42:$AN$51,26,FALSE)*VLOOKUP($C$104,'DB animal categories'!$C$42:$AN$51,25,FALSE)/24</f>
        <v>#N/A</v>
      </c>
      <c r="AK104" s="453" t="str">
        <f>IF(AI104="","",AL104+AM104)</f>
        <v/>
      </c>
      <c r="AL104" s="453" t="str">
        <f>IF(D104="","",IF(AI104=2,(('Calc (ex-animal)'!$G$24*'DB additional information '!$K$8/100*(1-VLOOKUP(D104,'DB technologies'!$N$53:$Y$64,9,FALSE)/100)*'Calc (ex-housing, ex-storage)'!F104/100+'Calc (ex-animal)'!$H$24*'DB additional information '!$L$8/100*(1-VLOOKUP(D104,'DB technologies'!$N$53:$Y$64,9,FALSE)/100)*'Calc (ex-housing, ex-storage)'!F104/100))/VLOOKUP($C$104,'DB animal categories'!$C$42:$AC$51,27,FALSE)*AJ104+I104+J104+K104,IF(AI104=1,('Calc (ex-animal)'!$H$24*'DB additional information '!$L$8/100*(1-VLOOKUP(D104,'DB technologies'!$N$53:$Y$64,9,FALSE)/100)*'Calc (ex-housing, ex-storage)'!F104/100)/VLOOKUP($C$104,'DB animal categories'!$C$42:$AC$51,27,FALSE)*AJ104,IF(AI104=4,('Calc (ex-animal)'!$G$24*'DB additional information '!$K$8/100+'Calc (ex-animal)'!$H$24*'DB additional information '!$L$8/100)*(1-VLOOKUP(D104,'DB technologies'!$N$53:$Y$64,9,FALSE)/100)*'Calc (ex-housing, ex-storage)'!F104/100*VLOOKUP(D104,'DB technologies'!$N$53:$Y$64,11,FALSE)/100/VLOOKUP($C$104,'DB animal categories'!$C$42:$AC$51,27,FALSE)*AJ104,0))))</f>
        <v/>
      </c>
      <c r="AM104" s="453" t="str">
        <f>IF(D104="","",IF(AI104=2,(('Calc (ex-animal)'!$G$24*(1-'DB additional information '!$K$8/100)*(1-VLOOKUP(D104,'DB technologies'!$N$53:$Y$64,8,FALSE)/100)*'Calc (ex-housing, ex-storage)'!F104/100+'Calc (ex-animal)'!$H$24*(1-'DB additional information '!$L$8/100)*(1-VLOOKUP(D104,'DB technologies'!$N$53:$Y$64,8,FALSE)/100)*'Calc (ex-housing, ex-storage)'!F104/100))/VLOOKUP($C$104,'DB animal categories'!$C$42:$AC$51,27,FALSE)*AJ104+M104+N104+O104,IF(AI104=1,('Calc (ex-animal)'!$H$24*(1-'DB additional information '!$L$8/100)*(1-VLOOKUP(D104,'DB technologies'!$N$53:$Y$64,8,FALSE)/100)*'Calc (ex-housing, ex-storage)'!F104/100)/VLOOKUP($C$104,'DB animal categories'!$C$42:$AC$51,27,FALSE)*AJ104,IF(AI104=4,('Calc (ex-animal)'!$G$24*(1-'DB additional information '!$K$8/100)+'Calc (ex-animal)'!$H$24*(1-'DB additional information '!$L$8/100))*(1-VLOOKUP(D104,'DB technologies'!$N$53:$Y$64,8,FALSE)/100)*'Calc (ex-housing, ex-storage)'!F104/100*VLOOKUP(D104,'DB technologies'!$N$53:$Y$64,11,FALSE)/100/VLOOKUP($C$104,'DB animal categories'!$C$42:$AC$51,27,FALSE)*AJ104,0))))</f>
        <v/>
      </c>
      <c r="AN104" s="453" t="str">
        <f>IF(AI104="","",IF(AL104=0,0,AL104/AK104*100))</f>
        <v/>
      </c>
      <c r="AO104" s="180" t="str">
        <f>IF(D104="","",IF(AI104=2,(('Calc (ex-animal)'!$L$24*'Calc (ex-housing, ex-storage)'!F104/100+'Calc (ex-animal)'!$K$24*'Calc (ex-housing, ex-storage)'!F104/100))/VLOOKUP($C$104,'DB animal categories'!$C$42:$AC$51,27,FALSE)*AJ104+Q104+R104+S104-AC104,IF(AI104=1,('Calc (ex-animal)'!$L$24*'Calc (ex-housing, ex-storage)'!F104/100)/VLOOKUP($C$104,'DB animal categories'!$C$42:$AC$51,27,FALSE)*AJ104-'Calc (ex-housing, ex-storage)'!AC104,IF(AI104=4,('Calc (ex-animal)'!$L$24+'Calc (ex-animal)'!$K$24)*'Calc (ex-housing, ex-storage)'!F104/100*VLOOKUP(D104,'DB technologies'!$N$53:$Y$64,11,FALSE)/100/VLOOKUP($C$104,'DB animal categories'!$C$42:$AC$51,27,FALSE)*AJ104-AC104*VLOOKUP(D104,'DB technologies'!$N$53:$Y$64,11,FALSE)/100,0))))</f>
        <v/>
      </c>
      <c r="AP104" s="180" t="str">
        <f>IF(D104="","",IF(AO104&lt;-0.01,0,IF(AI104=2,(('Calc (ex-animal)'!$L$24*'Calc (ex-housing, ex-storage)'!F104/100+'Calc (ex-animal)'!$K$24*'Calc (ex-housing, ex-storage)'!F104/100))/VLOOKUP($C$104,'DB animal categories'!$C$42:$AC$51,27,FALSE)*AJ104+Q104+R104+S104-AC104,IF(AI104=1,('Calc (ex-animal)'!$L$24*'Calc (ex-housing, ex-storage)'!F104/100)/VLOOKUP($C$104,'DB animal categories'!$C$42:$AC$51,27,FALSE)*AJ104-'Calc (ex-housing, ex-storage)'!AC104,IF(AI104=4,('Calc (ex-animal)'!$L$24+'Calc (ex-animal)'!$K$24)*'Calc (ex-housing, ex-storage)'!F104/100*VLOOKUP(D104,'DB technologies'!$N$53:$Y$64,11,FALSE)/100/VLOOKUP($C$104,'DB animal categories'!$C$42:$AC$51,27,FALSE)*AJ104-AC104*VLOOKUP(D104,'DB technologies'!$N$53:$Y$64,11,FALSE)/100,0)))))</f>
        <v/>
      </c>
      <c r="AQ104" s="180" t="str">
        <f>IF(D104="","",IF(AI104=2,('Calc (ex-animal)'!$O$24*'Calc (ex-housing, ex-storage)'!F104/100+'Calc (ex-animal)'!$N$24*'Calc (ex-housing, ex-storage)'!F104/100)/VLOOKUP($C$104,'DB animal categories'!$C$42:$AC$51,27,FALSE)*AJ104+U104+V104+W104,IF(AI104=1,'Calc (ex-animal)'!$O$24*'Calc (ex-housing, ex-storage)'!F104/100/VLOOKUP($C$104,'DB animal categories'!$C$42:$AC$51,27,FALSE)*AJ104,IF(AI104=4,('Calc (ex-animal)'!$O$24+'Calc (ex-animal)'!$N$24)*'Calc (ex-housing, ex-storage)'!F104/100*VLOOKUP(D104,'DB technologies'!$N$53:$Y$64,11,FALSE)/100/VLOOKUP($C$104,'DB animal categories'!$C$42:$AC$51,27,FALSE)*AJ104,0))))</f>
        <v/>
      </c>
      <c r="AR104" s="180" t="str">
        <f>IF(D104="","",IF(AI104=2,('Calc (ex-animal)'!$R$24*'Calc (ex-housing, ex-storage)'!F104/100+'Calc (ex-animal)'!$Q$24*'Calc (ex-housing, ex-storage)'!F104/100)/VLOOKUP($C$104,'DB animal categories'!$C$42:$AC$51,27,FALSE)*AJ104+Y104+Z104+AA104,IF(AI104=1,'Calc (ex-animal)'!$R$24*'Calc (ex-housing, ex-storage)'!F104/100/VLOOKUP($C$104,'DB animal categories'!$C$42:$AC$51,27,FALSE)*AJ104,IF(AI104=4,('Calc (ex-animal)'!$R$24+'Calc (ex-animal)'!$Q$24)*'Calc (ex-housing, ex-storage)'!F104/100*VLOOKUP(D104,'DB technologies'!$N$53:$Y$64,11,FALSE)/100/VLOOKUP($C$104,'DB animal categories'!$C$42:$AC$51,27,FALSE)*AJ104,0))))</f>
        <v/>
      </c>
      <c r="AS104" s="179" t="str">
        <f>IF(D104="","",VLOOKUP(D104,'DB technologies'!$N$53:$Y$64,10,FALSE))</f>
        <v/>
      </c>
      <c r="AT104" s="453" t="str">
        <f>IF(AS104="","",AU104+AV104)</f>
        <v/>
      </c>
      <c r="AU104" s="453" t="str">
        <f>IF(D104="","",IF(AS104=2,0,IF(AS104=1,'Calc (ex-animal)'!$G$24*'DB additional information '!$K$8/100*(1-VLOOKUP(D104,'DB technologies'!$N$53:$Y$64,8,FALSE)/100)*'Calc (ex-housing, ex-storage)'!F104/100/VLOOKUP($C$104,'DB animal categories'!$C$42:$AC$51,27,FALSE)*AJ104+I104+J104+K104,IF(AS104=5,(('Calc (ex-animal)'!$G$24*'DB additional information '!$K$8/100+'Calc (ex-animal)'!$H$24*'DB additional information '!$L$8/100))*(1-VLOOKUP(D104,'DB technologies'!$N$53:$Y$64,9,FALSE)/100)*'Calc (ex-housing, ex-storage)'!F104/100/VLOOKUP($C$104,'DB animal categories'!$C$42:$AC$51,27,FALSE)*AJ104+I104+J104+K104,IF(AS104=3,('Calc (ex-animal)'!$G$24*'DB additional information '!$K$8/100+'Calc (ex-animal)'!$H$24*'DB additional information '!$L$8/100)*(1-VLOOKUP(D104,'DB technologies'!$N$53:$Y$64,9,FALSE)/100)*'Calc (ex-housing, ex-storage)'!F104/100/VLOOKUP($C$104,'DB animal categories'!$C$42:$AC$51,27,FALSE)*AJ104+I104+J104+K104,IF(AS104=4,('Calc (ex-animal)'!$G$24*'DB additional information '!$K$8/100+'Calc (ex-animal)'!$H$24*'DB additional information '!$L$8/100)*(1-VLOOKUP(D104,'DB technologies'!$N$53:$Y$64,9,FALSE)/100)*'Calc (ex-housing, ex-storage)'!F104/100*VLOOKUP(D104,'DB technologies'!$N$53:$Y$64,12,FALSE)/100/VLOOKUP($C$104,'DB animal categories'!$C$42:$AC$51,27,FALSE)*AJ104+I104+J104+K104,0))))))</f>
        <v/>
      </c>
      <c r="AV104" s="453" t="str">
        <f>IF(D104="","",IF(AS104=2,0,IF(AS104=1,'Calc (ex-animal)'!$G$24*(1-'DB additional information '!$K$8/100)*(1-VLOOKUP(D104,'DB technologies'!$N$53:$Y$64,8,FALSE)/100)*'Calc (ex-housing, ex-storage)'!F104/100/VLOOKUP($C$104,'DB animal categories'!$C$42:$AC$51,27,FALSE)*AJ104+M104+N104+O104,IF(AS104=5,('Calc (ex-animal)'!$G$24*(1-'DB additional information '!$K$8/100)+'Calc (ex-animal)'!$H$24*(1-'DB additional information '!$L$8/100))*(1-VLOOKUP(D104,'DB technologies'!$N$53:$Y$64,8,FALSE)/100)*'Calc (ex-housing, ex-storage)'!F104/100/VLOOKUP($C$104,'DB animal categories'!$C$42:$AC$51,27,FALSE)*AJ104+M104+N104+O104,IF(AS104=3,('Calc (ex-animal)'!$G$24*(1-'DB additional information '!$K$8/100)+'Calc (ex-animal)'!$H$24*(1-'DB additional information '!$L$8/100))*(1-VLOOKUP(D104,'DB technologies'!$N$53:$Y$64,8,FALSE)/100)*'Calc (ex-housing, ex-storage)'!F104/100/VLOOKUP($C$104,'DB animal categories'!$C$42:$AC$51,27,FALSE)*AJ104+M104+N104+O104,IF(AS104=4,('Calc (ex-animal)'!$G$24*(1-'DB additional information '!$K$8/100)+'Calc (ex-animal)'!$H$24*(1-'DB additional information '!$L$8/100))*(1-VLOOKUP(D104,'DB technologies'!$N$53:$Y$64,8,FALSE)/100)*'Calc (ex-housing, ex-storage)'!F104/100*VLOOKUP(D104,'DB technologies'!$N$53:$Y$64,12,FALSE)/100/VLOOKUP($C$104,'DB animal categories'!$C$42:$AC$51,27,FALSE)*AJ104+M104+N104+O104,0))))))</f>
        <v/>
      </c>
      <c r="AW104" s="453" t="str">
        <f>IF(AS104="","",IF(AU104=0,0,AU104/AT104*100))</f>
        <v/>
      </c>
      <c r="AX104" s="180" t="str">
        <f>IF(D104="","",IF(AS104=2,0,IF(AS104=1,'Calc (ex-animal)'!$K$24*'Calc (ex-housing, ex-storage)'!F104/100/VLOOKUP($C$104,'DB animal categories'!$C$42:$AC$51,27,FALSE)*AJ104+Q104+R104+S104,IF(AS104=5,('Calc (ex-animal)'!$K$24+'Calc (ex-animal)'!$L$24)*'Calc (ex-housing, ex-storage)'!F104/100/VLOOKUP($C$104,'DB animal categories'!$C$42:$AC$51,27,FALSE)*AJ104+Q104+R104+S104-'Calc (ex-housing, ex-storage)'!AC104,IF(AS104=3,('Calc (ex-animal)'!$K$24+'Calc (ex-animal)'!$L$24)*'Calc (ex-housing, ex-storage)'!F104/100/VLOOKUP($C$104,'DB animal categories'!$C$42:$AC$51,27,FALSE)*AJ104+Q104+R104+S104-'Calc (ex-housing, ex-storage)'!AC104-AD104-AE104,IF(AI104=4,('Calc (ex-animal)'!$K$24+'Calc (ex-animal)'!$L$24)*'Calc (ex-housing, ex-storage)'!F104/100*VLOOKUP(D104,'DB technologies'!$N$53:$Y$64,12,FALSE)/100/VLOOKUP($C$104,'DB animal categories'!$C$42:$AC$51,27,FALSE)*AJ104+Q104+R104+S104-(VLOOKUP(D104,'DB technologies'!$N$53:$Y$64,12,FALSE)/100*AC104)-AD104-AE104,0))))))</f>
        <v/>
      </c>
      <c r="AY104" s="180" t="str">
        <f>IF(D104="","",IF(AS104=2,0,IF(AS104=1,'Calc (ex-animal)'!$N$24*'Calc (ex-housing, ex-storage)'!F104/100/VLOOKUP($C$104,'DB animal categories'!$C$42:$AC$51,27,FALSE)*AJ104+U104+V104+W104,IF(AS104=5,('Calc (ex-animal)'!$N$24+'Calc (ex-animal)'!$O$24)*'Calc (ex-housing, ex-storage)'!F104/100/VLOOKUP($C$104,'DB animal categories'!$C$42:$AC$51,27,FALSE)*AJ104+U104+V104+W104,IF(AS104=3,('Calc (ex-animal)'!$N$24+'Calc (ex-animal)'!$O$24)*'Calc (ex-housing, ex-storage)'!F104/100/VLOOKUP($C$104,'DB animal categories'!$C$42:$AC$51,27,FALSE)*AJ104+U104+V104+W104,IF(AS104=4,('Calc (ex-animal)'!$N$24+'Calc (ex-animal)'!$O$24)*'Calc (ex-housing, ex-storage)'!F104/100*VLOOKUP(D104,'DB technologies'!$N$53:$Y$64,12,FALSE)/100/VLOOKUP($C$104,'DB animal categories'!$C$42:$AC$51,27,FALSE)*AJ104+U104+V104+W104,0))))))</f>
        <v/>
      </c>
      <c r="AZ104" s="180" t="str">
        <f>IF(D104="","",IF(AS104=2,0,IF(AS104=1,'Calc (ex-animal)'!$Q$24*'Calc (ex-housing, ex-storage)'!F104/100/VLOOKUP($C$104,'DB animal categories'!$C$42:$AC$51,27,FALSE)*AJ104+Y104+Z104+AA104,IF(AS104=5,('Calc (ex-animal)'!$Q$24+'Calc (ex-animal)'!$R$24)*'Calc (ex-housing, ex-storage)'!F104/100/VLOOKUP($C$104,'DB animal categories'!$C$42:$AC$51,27,FALSE)*AJ104+Y104+Z104+AA104,IF(AS104=3,('Calc (ex-animal)'!$Q$24+'Calc (ex-animal)'!$R$24)*'Calc (ex-housing, ex-storage)'!F104/100/VLOOKUP($C$104,'DB animal categories'!$C$42:$AC$51,27,FALSE)*AJ104+Y104+Z104+AA104,IF(AS104=4,('Calc (ex-animal)'!$Q$24+'Calc (ex-animal)'!$R$24)*'Calc (ex-housing, ex-storage)'!F104/100*VLOOKUP(D104,'DB technologies'!$N$53:$Y$64,12,FALSE)/100/VLOOKUP($C$104,'DB animal categories'!$C$42:$AC$51,27,FALSE)*AJ104+Y104+Z104+AA104,0))))))</f>
        <v/>
      </c>
      <c r="BA104" s="506"/>
      <c r="BB104" s="506"/>
      <c r="BC104" s="506"/>
      <c r="BG104" s="1357"/>
      <c r="BH104" s="1361"/>
      <c r="BI104" s="598" t="str">
        <f>IF(BG104="","",$BA$103*BH104/100-($BB$103*BH104/100*VLOOKUP(BG104,'DB technologies'!$AC$59:$AT$63,5,FALSE)/100)+(VLOOKUP(BG104,'DB technologies'!$AC$59:$AT$63,12,FALSE)*$BA$103*BH104/100))</f>
        <v/>
      </c>
      <c r="BJ104" s="551">
        <f>IF(BI104="",0,BI104*BK104/100)</f>
        <v>0</v>
      </c>
      <c r="BK104" s="571" t="str">
        <f>IF(BG104="","",IF($BA$103=0,0,($BB$103*BH104/100)/BI104*(1-(VLOOKUP(BG104,'DB technologies'!$AC$59:$AQ$63,5,FALSE))/100)*100))</f>
        <v/>
      </c>
      <c r="BL104" s="261" t="str">
        <f>IF(BG104="","",$BD$103*BH104/100-BO104-BP104-BQ104)</f>
        <v/>
      </c>
      <c r="BM104" s="261" t="str">
        <f>IF(BG104="","",$BE$103*BH104/100)</f>
        <v/>
      </c>
      <c r="BN104" s="261" t="str">
        <f>IF(BG104="","",$BF$103*BH104/100)</f>
        <v/>
      </c>
      <c r="BO104" s="261" t="str">
        <f>IF(BG104="","",$BD$103*BH104/100*VLOOKUP(BG104,'DB technologies'!$AC$43:$AF$47,2,FALSE)/100)</f>
        <v/>
      </c>
      <c r="BP104" s="261" t="str">
        <f>IF(BG104="","",$BD$103*BH104/100*VLOOKUP(BG104,'DB technologies'!$AC$43:$AN$47,3,FALSE)/100)</f>
        <v/>
      </c>
      <c r="BQ104" s="262" t="str">
        <f>IF(BG104="","",$BD$103*BH104/100*VLOOKUP(BG104,'DB technologies'!$AC$43:$AN$47,4,FALSE)/100)</f>
        <v/>
      </c>
      <c r="BR104" s="117"/>
      <c r="BS104" s="117"/>
      <c r="BT104" s="118"/>
    </row>
    <row r="105" spans="1:72" ht="11.25" customHeight="1" x14ac:dyDescent="0.2">
      <c r="A105" s="684"/>
      <c r="B105" s="695"/>
      <c r="C105" s="251"/>
      <c r="D105" s="1357"/>
      <c r="E105" s="1358"/>
      <c r="F105" s="480" t="str">
        <f>IF('Calc (ex-animal)'!$F$9=1,"",IF($C$104=0,"",IF(D105="","",E105/'Calc (ex-animal)'!$E$24*100)))</f>
        <v/>
      </c>
      <c r="G105" s="485" t="str">
        <f>IF($C$104=0,"",IF('Calc (ex-animal)'!$F$8=1,"",IF(D105="","",SUM(H105:O105))))</f>
        <v/>
      </c>
      <c r="H105" s="423" t="str">
        <f>IF('Calc (ex-animal)'!$F$8=1,"",IF(D105="","",(((VLOOKUP($C$104,'Calc (ex-animal)'!$D$23:$Y$27,6,FALSE)-VLOOKUP($C$104,'Calc (ex-animal)'!$D$23:$Y$27,17,FALSE))*F105/100))*VLOOKUP($C$104,'Calc (ex-animal)'!$D$23:$Y$27,7,FALSE)/100*(1-VLOOKUP(D105,'DB technologies'!$N$53:$Y$64,9,FALSE)/100)))</f>
        <v/>
      </c>
      <c r="I105" s="423" t="str">
        <f>IF(D105="","",((VLOOKUP(D105,'DB technologies'!$N$53:$Y$64,2,FALSE)*VLOOKUP($C$104,'DB animal categories'!$C$42:$AC$51,27,FALSE)*E105/1000)/VLOOKUP($C$104,'DB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'!$S$6/100*(1-VLOOKUP(D105,'DB technologies'!$N$53:$Y$64,9,FALSE)/100)))</f>
        <v/>
      </c>
      <c r="J105" s="434" t="str">
        <f>IF(D105="","",((VLOOKUP(D105,'DB technologies'!$N$53:$Y$64,3,FALSE)*VLOOKUP($C$104,'DB animal categories'!$C$42:$AC$51,27,FALSE)*E105/1000)/VLOOKUP($C$104,'DB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'!$S$7/100*(1-VLOOKUP(D105,'DB technologies'!$N$53:$Y$64,9,FALSE)/100)))</f>
        <v/>
      </c>
      <c r="K105" s="434" t="str">
        <f>IF(D105="","",((VLOOKUP(D105,'DB technologies'!$N$53:$Y$64,4,FALSE)*E105*'DB additional information '!$S$8/100*(1-VLOOKUP(D105,'DB technologies'!$N$53:$Y$64,9,FALSE)/100))/VLOOKUP($C$104,'DB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L105" s="423" t="str">
        <f>IF('Calc (ex-animal)'!$F$8=1,"",IF(D105="","",(((VLOOKUP($C$104,'Calc (ex-animal)'!$D$23:$Y$27,6,FALSE)-VLOOKUP($C$104,'Calc (ex-animal)'!$D$23:$Y$27,17,FALSE))*F105/100))*(1-VLOOKUP($C$104,'Calc (ex-animal)'!$D$23:$Y$27,7,FALSE)/100)*(1-VLOOKUP(D105,'DB technologies'!$N$53:$V$64,8,FALSE)/100)))</f>
        <v/>
      </c>
      <c r="M105" s="434" t="str">
        <f>IF(D105="","",((VLOOKUP(D105,'DB technologies'!$N$53:$Y$64,2,FALSE)*VLOOKUP($C$104,'DB animal categories'!$C$42:$AC$51,27,FALSE)*E105/1000)/VLOOKUP($C$104,'DB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'!$S$6/100)*(1-VLOOKUP(D105,'DB technologies'!$N$53:$Y$64,9,FALSE)/100))</f>
        <v/>
      </c>
      <c r="N105" s="434" t="str">
        <f>IF(D105="","",((VLOOKUP(D105,'DB technologies'!$N$53:$Y$64,3,FALSE)*VLOOKUP($C$104,'DB animal categories'!$C$42:$AC$51,27,FALSE)*E105/1000)/VLOOKUP($C$104,'DB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'!$S$7/100)*(1-VLOOKUP(D105,'DB technologies'!$N$53:$Y$64,9,FALSE)/100))</f>
        <v/>
      </c>
      <c r="O105" s="423" t="str">
        <f>IF(D105="","",((VLOOKUP(D105,'DB technologies'!$N$53:$Y$64,4,FALSE)*E105*(1-'DB additional information '!$S$8/100)*(1-VLOOKUP(D105,'DB technologies'!$N$53:$Y$64,8,FALSE)/100))/VLOOKUP($C$104,'DB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P105" s="438" t="str">
        <f>IF(G105=0,0,IF(E105="","",IF(F105="","",IF($C$104=0,"",IF(D105="","",SUM(H105:K105)/G105*100)))))</f>
        <v/>
      </c>
      <c r="Q105" s="416" t="str">
        <f>IF(D105="","",(VLOOKUP(D105,'DB technologies'!$N$53:$Y$64,2,FALSE)*'DB additional information '!$S$6/100*'DB additional information '!$T$6*VLOOKUP($C$104,'DB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R105" s="416" t="str">
        <f>IF(D105="","",(VLOOKUP(D105,'DB technologies'!$N$53:$Y$64,3,FALSE)*'DB additional information '!$S$7/100*'DB additional information '!$T$7*VLOOKUP($C$104,'DB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S105" s="491" t="str">
        <f>IF(D105="","",(VLOOKUP(D105,'DB technologies'!$N$53:$Y$64,4,FALSE)*('DB additional information '!$S$8/100*'DB additional information '!$T$8*E105/1000/1000)))</f>
        <v/>
      </c>
      <c r="T105" s="264" t="str">
        <f>IF($C$104=0,"",IF('Calc (ex-animal)'!$F$9=1,"",IF(D105="","",((VLOOKUP($C$104,'Calc (ex-animal)'!$D$23:$Y$27,10,FALSE)-VLOOKUP($C$104,'Calc (ex-animal)'!$D$23:$Y$27,18,FALSE))*F105/100+Q105+R105+S105)-AC105-AD105-AE105)))</f>
        <v/>
      </c>
      <c r="U105" s="422" t="str">
        <f>IF(D105="","",(VLOOKUP(D105,'DB technologies'!$N$53:$Y$64,2,FALSE)*'DB additional information '!$S$6/100*'DB additional information '!$U$6*VLOOKUP($C$104,'DB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V105" s="418" t="str">
        <f>IF(D105="","",(VLOOKUP(D105,'DB technologies'!$N$53:$Y$64,3,FALSE)*'DB additional information '!$S$7/100*'DB additional information '!$U$7*VLOOKUP($C$104,'DB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W105" s="417" t="str">
        <f>IF(D105="","",(VLOOKUP(D105,'DB technologies'!$N$53:$Y$64,4,FALSE)*('DB additional information '!$S$8/100*'DB additional information '!$U$8*E105/1000/1000)))</f>
        <v/>
      </c>
      <c r="X105" s="261" t="str">
        <f>IF($C$104=0,"",IF('Calc (ex-animal)'!$F$9=1,"",IF(D105="","",((VLOOKUP($C$104,'Calc (ex-animal)'!$D$23:$Y$27,13,FALSE)-VLOOKUP($C$104,'Calc (ex-animal)'!$D$23:$Y$27,19,FALSE))*F105/100+U105+V105+W105))))</f>
        <v/>
      </c>
      <c r="Y105" s="418" t="str">
        <f>IF(D105="","",(VLOOKUP(D105,'DB technologies'!$N$53:$Y$64,2,FALSE)*'DB additional information '!$S$6/100*'DB additional information '!$V$6*VLOOKUP($C$104,'DB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Z105" s="418" t="str">
        <f>IF(D105="","",(VLOOKUP(D105,'DB technologies'!$N$53:$Y$64,3,FALSE)*'DB additional information '!$S$7/100*'DB additional information '!$V$7*VLOOKUP($C$104,'DB animal categories'!$C$42:$AC$51,27,FALSE)*E105/1000/1000)/VLOOKUP($C$104,'DB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AA105" s="418" t="str">
        <f>IF(D105="","",(VLOOKUP(D105,'DB technologies'!$N$53:$Y$64,4,FALSE)*('DB additional information '!$S$8/100*'DB additional information '!$V$8*E105/1000/1000)))</f>
        <v/>
      </c>
      <c r="AB105" s="261" t="str">
        <f>IF($C$104=0,"",IF('Calc (ex-animal)'!$F$8=1,"",IF(D105="","",((VLOOKUP($C$104,'Calc (ex-animal)'!$D$23:$Y$27,16,FALSE)-VLOOKUP($C$104,'Calc (ex-animal)'!$D$23:$Y$27,20,FALSE))*F105/100+Y105+Z105+AA105))))</f>
        <v/>
      </c>
      <c r="AC105" s="261" t="str">
        <f>IF($C$104=0,"",IF('Calc (ex-animal)'!$F$8=1,"",IF(D105="","",VLOOKUP($C$104,'Calc (ex-animal)'!$D$23:$Y$27,9,FALSE)/VLOOKUP($C$104,'DB animal categories'!$C$42:$AC$51,27,FALSE)*(VLOOKUP($C$104,'DB animal categories'!$C$42:$AC$51,27,FALSE)-VLOOKUP($C$104,'DB animal categories'!$C$42:$AC$51,25,FALSE)*VLOOKUP($C$104,'DB animal categories'!$C$42:$AC$51,26,FALSE)/24)*F105/100*VLOOKUP(D105,'DB technologies'!$N$53:$R$64,5,FALSE)/100)))</f>
        <v/>
      </c>
      <c r="AD105" s="261" t="str">
        <f>IF($C$104=0,"",IF('Calc (ex-animal)'!$F$8=1,"",IF(D105="","",VLOOKUP($C$104,'Calc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categories'!$C$42:$AC$51,26,FALSE)/24)*F105/100*VLOOKUP(D105,'DB technologies'!$N$53:$Y$64,6,FALSE)/100)))</f>
        <v/>
      </c>
      <c r="AE105" s="262" t="str">
        <f>IF($C$104=0,"",IF('Calc (ex-animal)'!$F$8=1,"",IF(D105="","",VLOOKUP($C$104,'Calc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categories'!$C$42:$AC$51,26,FALSE)/24)*F105/100*VLOOKUP(D105,'DB technologies'!$N$53:$Y$64,7,FALSE)/100)))</f>
        <v/>
      </c>
      <c r="AG105" s="698"/>
      <c r="AH105" s="695"/>
      <c r="AI105" s="181" t="str">
        <f>IF(D105="","",VLOOKUP(D105,'DB technologies'!$N$53:$Y$64,10,FALSE))</f>
        <v/>
      </c>
      <c r="AJ105" s="449" t="e">
        <f>VLOOKUP($C$104,'DB animal categories'!$C$42:$AN$51,27,FALSE)-VLOOKUP($C$104,'DB animal categories'!$C$42:$AN$51,26,FALSE)*VLOOKUP($C$104,'DB animal categories'!$C$42:$AN$51,25,FALSE)/24</f>
        <v>#N/A</v>
      </c>
      <c r="AK105" s="442" t="str">
        <f>IF(AI105="","",AL105+AM105)</f>
        <v/>
      </c>
      <c r="AL105" s="442" t="str">
        <f>IF(D105="","",IF(AI105=2,(('Calc (ex-animal)'!$G$24*'DB additional information '!$K$8/100*(1-VLOOKUP(D105,'DB technologies'!$N$53:$Y$64,9,FALSE)/100)*'Calc (ex-housing, ex-storage)'!F105/100+'Calc (ex-animal)'!$H$24*'DB additional information '!$L$8/100*(1-VLOOKUP(D105,'DB technologies'!$N$53:$Y$64,9,FALSE)/100)*'Calc (ex-housing, ex-storage)'!F105/100))/VLOOKUP($C$104,'DB animal categories'!$C$42:$AC$51,27,FALSE)*AJ105+I105+J105+K105,IF(AI105=1,('Calc (ex-animal)'!$H$24*'DB additional information '!$L$8/100*(1-VLOOKUP(D105,'DB technologies'!$N$53:$Y$64,9,FALSE)/100)*'Calc (ex-housing, ex-storage)'!F105/100)/VLOOKUP($C$104,'DB animal categories'!$C$42:$AC$51,27,FALSE)*AJ105,IF(AI105=4,('Calc (ex-animal)'!$G$24*'DB additional information '!$K$8/100+'Calc (ex-animal)'!$H$24*'DB additional information '!$L$8/100)*(1-VLOOKUP(D105,'DB technologies'!$N$53:$Y$64,9,FALSE)/100)*'Calc (ex-housing, ex-storage)'!F105/100*VLOOKUP(D105,'DB technologies'!$N$53:$Y$64,11,FALSE)/100/VLOOKUP($C$104,'DB animal categories'!$C$42:$AC$51,27,FALSE)*AJ105,0))))</f>
        <v/>
      </c>
      <c r="AM105" s="442" t="str">
        <f>IF(D105="","",IF(AI105=2,(('Calc (ex-animal)'!$G$24*(1-'DB additional information '!$K$8/100)*(1-VLOOKUP(D105,'DB technologies'!$N$53:$Y$64,8,FALSE)/100)*'Calc (ex-housing, ex-storage)'!F105/100+'Calc (ex-animal)'!$H$24*(1-'DB additional information '!$L$8/100)*(1-VLOOKUP(D105,'DB technologies'!$N$53:$Y$64,8,FALSE)/100)*'Calc (ex-housing, ex-storage)'!F105/100))/VLOOKUP($C$104,'DB animal categories'!$C$42:$AC$51,27,FALSE)*AJ105+M105+N105+O105,IF(AI105=1,('Calc (ex-animal)'!$H$24*(1-'DB additional information '!$L$8/100)*(1-VLOOKUP(D105,'DB technologies'!$N$53:$Y$64,8,FALSE)/100)*'Calc (ex-housing, ex-storage)'!F105/100)/VLOOKUP($C$104,'DB animal categories'!$C$42:$AC$51,27,FALSE)*AJ105,IF(AI105=4,('Calc (ex-animal)'!$G$24*(1-'DB additional information '!$K$8/100)+'Calc (ex-animal)'!$H$24*(1-'DB additional information '!$L$8/100))*(1-VLOOKUP(D105,'DB technologies'!$N$53:$Y$64,8,FALSE)/100)*'Calc (ex-housing, ex-storage)'!F105/100*VLOOKUP(D105,'DB technologies'!$N$53:$Y$64,11,FALSE)/100/VLOOKUP($C$104,'DB animal categories'!$C$42:$AC$51,27,FALSE)*AJ105,0))))</f>
        <v/>
      </c>
      <c r="AN105" s="442" t="str">
        <f>IF(AI105="","",IF(AL105=0,0,AL105/AK105*100))</f>
        <v/>
      </c>
      <c r="AO105" s="182" t="str">
        <f>IF(D105="","",IF(AI105=2,(('Calc (ex-animal)'!$L$24*'Calc (ex-housing, ex-storage)'!F105/100+'Calc (ex-animal)'!$K$24*'Calc (ex-housing, ex-storage)'!F105/100))/VLOOKUP($C$104,'DB animal categories'!$C$42:$AC$51,27,FALSE)*AJ105+Q105+R105+S105-AC105,IF(AI105=1,('Calc (ex-animal)'!$L$24*'Calc (ex-housing, ex-storage)'!F105/100)/VLOOKUP($C$104,'DB animal categories'!$C$42:$AC$51,27,FALSE)*AJ105-'Calc (ex-housing, ex-storage)'!AC105,IF(AI105=4,('Calc (ex-animal)'!$L$24+'Calc (ex-animal)'!$K$24)*'Calc (ex-housing, ex-storage)'!F105/100*VLOOKUP(D105,'DB technologies'!$N$53:$Y$64,11,FALSE)/100/VLOOKUP($C$104,'DB animal categories'!$C$42:$AC$51,27,FALSE)*AJ105-AC105*VLOOKUP(D105,'DB technologies'!$N$53:$Y$64,11,FALSE)/100,0))))</f>
        <v/>
      </c>
      <c r="AP105" s="182" t="str">
        <f>IF(D105="","",IF(AO105&lt;-0.01,0,IF(AI105=2,(('Calc (ex-animal)'!$L$24*'Calc (ex-housing, ex-storage)'!F105/100+'Calc (ex-animal)'!$K$24*'Calc (ex-housing, ex-storage)'!F105/100))/VLOOKUP($C$104,'DB animal categories'!$C$42:$AC$51,27,FALSE)*AJ105+Q105+R105+S105-AC105,IF(AI105=1,('Calc (ex-animal)'!$L$24*'Calc (ex-housing, ex-storage)'!F105/100)/VLOOKUP($C$104,'DB animal categories'!$C$42:$AC$51,27,FALSE)*AJ105-'Calc (ex-housing, ex-storage)'!AC105,IF(AI105=4,('Calc (ex-animal)'!$L$24+'Calc (ex-animal)'!$K$24)*'Calc (ex-housing, ex-storage)'!F105/100*VLOOKUP(D105,'DB technologies'!$N$53:$Y$64,11,FALSE)/100/VLOOKUP($C$104,'DB animal categories'!$C$42:$AC$51,27,FALSE)*AJ105-AC105*VLOOKUP(D105,'DB technologies'!$N$53:$Y$64,11,FALSE)/100,0)))))</f>
        <v/>
      </c>
      <c r="AQ105" s="182" t="str">
        <f>IF(D105="","",IF(AI105=2,('Calc (ex-animal)'!$O$24*'Calc (ex-housing, ex-storage)'!F105/100+'Calc (ex-animal)'!$N$24*'Calc (ex-housing, ex-storage)'!F105/100)/VLOOKUP($C$104,'DB animal categories'!$C$42:$AC$51,27,FALSE)*AJ105+U105+V105+W105,IF(AI105=1,'Calc (ex-animal)'!$O$24*'Calc (ex-housing, ex-storage)'!F105/100/VLOOKUP($C$104,'DB animal categories'!$C$42:$AC$51,27,FALSE)*AJ105,IF(AI105=4,('Calc (ex-animal)'!$O$24+'Calc (ex-animal)'!$N$24)*'Calc (ex-housing, ex-storage)'!F105/100*VLOOKUP(D105,'DB technologies'!$N$53:$Y$64,11,FALSE)/100/VLOOKUP($C$104,'DB animal categories'!$C$42:$AC$51,27,FALSE)*AJ105,0))))</f>
        <v/>
      </c>
      <c r="AR105" s="182" t="str">
        <f>IF(D105="","",IF(AI105=2,('Calc (ex-animal)'!$R$24*'Calc (ex-housing, ex-storage)'!F105/100+'Calc (ex-animal)'!$Q$24*'Calc (ex-housing, ex-storage)'!F105/100)/VLOOKUP($C$104,'DB animal categories'!$C$42:$AC$51,27,FALSE)*AJ105+Y105+Z105+AA105,IF(AI105=1,'Calc (ex-animal)'!$R$24*'Calc (ex-housing, ex-storage)'!F105/100/VLOOKUP($C$104,'DB animal categories'!$C$42:$AC$51,27,FALSE)*AJ105,IF(AI105=4,('Calc (ex-animal)'!$R$24+'Calc (ex-animal)'!$Q$24)*'Calc (ex-housing, ex-storage)'!F105/100*VLOOKUP(D105,'DB technologies'!$N$53:$Y$64,11,FALSE)/100/VLOOKUP($C$104,'DB animal categories'!$C$42:$AC$51,27,FALSE)*AJ105,0))))</f>
        <v/>
      </c>
      <c r="AS105" s="181" t="str">
        <f>IF(D105="","",VLOOKUP(D105,'DB technologies'!$N$53:$Y$64,10,FALSE))</f>
        <v/>
      </c>
      <c r="AT105" s="442" t="str">
        <f>IF(AS105="","",AU105+AV105)</f>
        <v/>
      </c>
      <c r="AU105" s="442" t="str">
        <f>IF(D105="","",IF(AS105=2,0,IF(AS105=1,'Calc (ex-animal)'!$G$24*'DB additional information '!$K$8/100*(1-VLOOKUP(D105,'DB technologies'!$N$53:$Y$64,8,FALSE)/100)*'Calc (ex-housing, ex-storage)'!F105/100/VLOOKUP($C$104,'DB animal categories'!$C$42:$AC$51,27,FALSE)*AJ105+I105+J105+K105,IF(AS105=5,(('Calc (ex-animal)'!$G$24*'DB additional information '!$K$8/100+'Calc (ex-animal)'!$H$24*'DB additional information '!$L$8/100))*(1-VLOOKUP(D105,'DB technologies'!$N$53:$Y$64,9,FALSE)/100)*'Calc (ex-housing, ex-storage)'!F105/100/VLOOKUP($C$104,'DB animal categories'!$C$42:$AC$51,27,FALSE)*AJ105+I105+J105+K105,IF(AS105=3,('Calc (ex-animal)'!$G$24*'DB additional information '!$K$8/100+'Calc (ex-animal)'!$H$24*'DB additional information '!$L$8/100)*(1-VLOOKUP(D105,'DB technologies'!$N$53:$Y$64,9,FALSE)/100)*'Calc (ex-housing, ex-storage)'!F105/100/VLOOKUP($C$104,'DB animal categories'!$C$42:$AC$51,27,FALSE)*AJ105+I105+J105+K105,IF(AS105=4,('Calc (ex-animal)'!$G$24*'DB additional information '!$K$8/100+'Calc (ex-animal)'!$H$24*'DB additional information '!$L$8/100)*(1-VLOOKUP(D105,'DB technologies'!$N$53:$Y$64,9,FALSE)/100)*'Calc (ex-housing, ex-storage)'!F105/100*VLOOKUP(D105,'DB technologies'!$N$53:$Y$64,12,FALSE)/100/VLOOKUP($C$104,'DB animal categories'!$C$42:$AC$51,27,FALSE)*AJ105+I105+J105+K105,0))))))</f>
        <v/>
      </c>
      <c r="AV105" s="442" t="str">
        <f>IF(D105="","",IF(AS105=2,0,IF(AS105=1,'Calc (ex-animal)'!$G$24*(1-'DB additional information '!$K$8/100)*(1-VLOOKUP(D105,'DB technologies'!$N$53:$Y$64,8,FALSE)/100)*'Calc (ex-housing, ex-storage)'!F105/100/VLOOKUP($C$104,'DB animal categories'!$C$42:$AC$51,27,FALSE)*AJ105+M105+N105+O105,IF(AS105=5,('Calc (ex-animal)'!$G$24*(1-'DB additional information '!$K$8/100)+'Calc (ex-animal)'!$H$24*(1-'DB additional information '!$L$8/100))*(1-VLOOKUP(D105,'DB technologies'!$N$53:$Y$64,8,FALSE)/100)*'Calc (ex-housing, ex-storage)'!F105/100/VLOOKUP($C$104,'DB animal categories'!$C$42:$AC$51,27,FALSE)*AJ105+M105+N105+O105,IF(AS105=3,('Calc (ex-animal)'!$G$24*(1-'DB additional information '!$K$8/100)+'Calc (ex-animal)'!$H$24*(1-'DB additional information '!$L$8/100))*(1-VLOOKUP(D105,'DB technologies'!$N$53:$Y$64,8,FALSE)/100)*'Calc (ex-housing, ex-storage)'!F105/100/VLOOKUP($C$104,'DB animal categories'!$C$42:$AC$51,27,FALSE)*AJ105+M105+N105+O105,IF(AS105=4,('Calc (ex-animal)'!$G$24*(1-'DB additional information '!$K$8/100)+'Calc (ex-animal)'!$H$24*(1-'DB additional information '!$L$8/100))*(1-VLOOKUP(D105,'DB technologies'!$N$53:$Y$64,8,FALSE)/100)*'Calc (ex-housing, ex-storage)'!F105/100*VLOOKUP(D105,'DB technologies'!$N$53:$Y$64,12,FALSE)/100/VLOOKUP($C$104,'DB animal categories'!$C$42:$AC$51,27,FALSE)*AJ105+M105+N105+O105,0))))))</f>
        <v/>
      </c>
      <c r="AW105" s="442" t="str">
        <f>IF(AS105="","",IF(AU105=0,0,AU105/AT105*100))</f>
        <v/>
      </c>
      <c r="AX105" s="182" t="str">
        <f>IF(D105="","",IF(AS105=2,0,IF(AS105=1,'Calc (ex-animal)'!$K$24*'Calc (ex-housing, ex-storage)'!F105/100/VLOOKUP($C$104,'DB animal categories'!$C$42:$AC$51,27,FALSE)*AJ105+Q105+R105+S105,IF(AS105=5,('Calc (ex-animal)'!$K$24+'Calc (ex-animal)'!$L$24)*'Calc (ex-housing, ex-storage)'!F105/100/VLOOKUP($C$104,'DB animal categories'!$C$42:$AC$51,27,FALSE)*AJ105+Q105+R105+S105-'Calc (ex-housing, ex-storage)'!AC105,IF(AS105=3,('Calc (ex-animal)'!$K$24+'Calc (ex-animal)'!$L$24)*'Calc (ex-housing, ex-storage)'!F105/100/VLOOKUP($C$104,'DB animal categories'!$C$42:$AC$51,27,FALSE)*AJ105+Q105+R105+S105-'Calc (ex-housing, ex-storage)'!AC105-AD105-AE105,IF(AI105=4,('Calc (ex-animal)'!$K$24+'Calc (ex-animal)'!$L$24)*'Calc (ex-housing, ex-storage)'!F105/100*VLOOKUP(D105,'DB technologies'!$N$53:$Y$64,12,FALSE)/100/VLOOKUP($C$104,'DB animal categories'!$C$42:$AC$51,27,FALSE)*AJ105+Q105+R105+S105-(VLOOKUP(D105,'DB technologies'!$N$53:$Y$64,12,FALSE)/100*AC105)-AD105-AE105,0))))))</f>
        <v/>
      </c>
      <c r="AY105" s="182" t="str">
        <f>IF(D105="","",IF(AS105=2,0,IF(AS105=1,'Calc (ex-animal)'!$N$24*'Calc (ex-housing, ex-storage)'!F105/100/VLOOKUP($C$104,'DB animal categories'!$C$42:$AC$51,27,FALSE)*AJ105+U105+V105+W105,IF(AS105=5,('Calc (ex-animal)'!$N$24+'Calc (ex-animal)'!$O$24)*'Calc (ex-housing, ex-storage)'!F105/100/VLOOKUP($C$104,'DB animal categories'!$C$42:$AC$51,27,FALSE)*AJ105+U105+V105+W105,IF(AS105=3,('Calc (ex-animal)'!$N$24+'Calc (ex-animal)'!$O$24)*'Calc (ex-housing, ex-storage)'!F105/100/VLOOKUP($C$104,'DB animal categories'!$C$42:$AC$51,27,FALSE)*AJ105+U105+V105+W105,IF(AS105=4,('Calc (ex-animal)'!$N$24+'Calc (ex-animal)'!$O$24)*'Calc (ex-housing, ex-storage)'!F105/100*VLOOKUP(D105,'DB technologies'!$N$53:$Y$64,12,FALSE)/100/VLOOKUP($C$104,'DB animal categories'!$C$42:$AC$51,27,FALSE)*AJ105+U105+V105+W105,0))))))</f>
        <v/>
      </c>
      <c r="AZ105" s="182" t="str">
        <f>IF(D105="","",IF(AS105=2,0,IF(AS105=1,'Calc (ex-animal)'!$Q$24*'Calc (ex-housing, ex-storage)'!F105/100/VLOOKUP($C$104,'DB animal categories'!$C$42:$AC$51,27,FALSE)*AJ105+Y105+Z105+AA105,IF(AS105=5,('Calc (ex-animal)'!$Q$24+'Calc (ex-animal)'!$R$24)*'Calc (ex-housing, ex-storage)'!F105/100/VLOOKUP($C$104,'DB animal categories'!$C$42:$AC$51,27,FALSE)*AJ105+Y105+Z105+AA105,IF(AS105=3,('Calc (ex-animal)'!$Q$24+'Calc (ex-animal)'!$R$24)*'Calc (ex-housing, ex-storage)'!F105/100/VLOOKUP($C$104,'DB animal categories'!$C$42:$AC$51,27,FALSE)*AJ105+Y105+Z105+AA105,IF(AS105=4,('Calc (ex-animal)'!$Q$24+'Calc (ex-animal)'!$R$24)*'Calc (ex-housing, ex-storage)'!F105/100*VLOOKUP(D105,'DB technologies'!$N$53:$Y$64,12,FALSE)/100/VLOOKUP($C$104,'DB animal categories'!$C$42:$AC$51,27,FALSE)*AJ105+Y105+Z105+AA105,0))))))</f>
        <v/>
      </c>
      <c r="BA105" s="506"/>
      <c r="BB105" s="506"/>
      <c r="BC105" s="506"/>
      <c r="BG105" s="1357"/>
      <c r="BH105" s="1361"/>
      <c r="BI105" s="598" t="str">
        <f>IF(BG105="","",$BA$103*BH105/100-($BB$103*BH105/100*VLOOKUP(BG105,'DB technologies'!$AC$59:$AT$63,5,FALSE)/100)+(VLOOKUP(BG105,'DB technologies'!$AC$59:$AT$63,12,FALSE)*$BA$103*BH105/100))</f>
        <v/>
      </c>
      <c r="BJ105" s="551">
        <f>IF(BI105="",0,BI105*BK105/100)</f>
        <v>0</v>
      </c>
      <c r="BK105" s="571" t="str">
        <f>IF(BG105="","",IF($BA$103=0,0,($BB$103*BH105/100)/BI105*(1-(VLOOKUP(BG105,'DB technologies'!$AC$59:$AQ$63,5,FALSE))/100)*100))</f>
        <v/>
      </c>
      <c r="BL105" s="261" t="str">
        <f>IF(BG105="","",$BD$103*BH105/100-BO105-BP105-BQ105)</f>
        <v/>
      </c>
      <c r="BM105" s="261" t="str">
        <f>IF(BG105="","",$BE$103*BH105/100)</f>
        <v/>
      </c>
      <c r="BN105" s="261" t="str">
        <f>IF(BG105="","",$BF$103*BH105/100)</f>
        <v/>
      </c>
      <c r="BO105" s="261" t="str">
        <f>IF(BG105="","",$BD$103*BH105/100*VLOOKUP(BG105,'DB technologies'!$AC$43:$AF$47,2,FALSE)/100)</f>
        <v/>
      </c>
      <c r="BP105" s="261" t="str">
        <f>IF(BG105="","",$BD$103*BH105/100*VLOOKUP(BG105,'DB technologies'!$AC$43:$AN$47,3,FALSE)/100)</f>
        <v/>
      </c>
      <c r="BQ105" s="262" t="str">
        <f>IF(BG105="","",$BD$103*BH105/100*VLOOKUP(BG105,'DB technologies'!$AC$43:$AN$47,4,FALSE)/100)</f>
        <v/>
      </c>
      <c r="BR105" s="117"/>
      <c r="BS105" s="117"/>
      <c r="BT105" s="118"/>
    </row>
    <row r="106" spans="1:72" ht="11.25" customHeight="1" x14ac:dyDescent="0.2">
      <c r="A106" s="684"/>
      <c r="B106" s="695"/>
      <c r="C106" s="251"/>
      <c r="D106" s="1357"/>
      <c r="E106" s="1358"/>
      <c r="F106" s="480" t="str">
        <f>IF('Calc (ex-animal)'!$F$9=1,"",IF($C$104=0,"",IF(D106="","",E106/'Calc (ex-animal)'!$E$24*100)))</f>
        <v/>
      </c>
      <c r="G106" s="485" t="str">
        <f>IF($C$104=0,"",IF('Calc (ex-animal)'!$F$8=1,"",IF(D106="","",SUM(H106:O106))))</f>
        <v/>
      </c>
      <c r="H106" s="423" t="str">
        <f>IF('Calc (ex-animal)'!$F$8=1,"",IF(D106="","",(((VLOOKUP($C$104,'Calc (ex-animal)'!$D$23:$Y$27,6,FALSE)-VLOOKUP($C$104,'Calc (ex-animal)'!$D$23:$Y$27,17,FALSE))*F106/100))*VLOOKUP($C$104,'Calc (ex-animal)'!$D$23:$Y$27,7,FALSE)/100*(1-VLOOKUP(D106,'DB technologies'!$N$53:$Y$64,9,FALSE)/100)))</f>
        <v/>
      </c>
      <c r="I106" s="423" t="str">
        <f>IF(D106="","",((VLOOKUP(D106,'DB technologies'!$N$53:$Y$64,2,FALSE)*VLOOKUP($C$104,'DB animal categories'!$C$42:$AC$51,27,FALSE)*E106/1000)/VLOOKUP($C$104,'DB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'!$S$6/100*(1-VLOOKUP(D106,'DB technologies'!$N$53:$Y$64,9,FALSE)/100)))</f>
        <v/>
      </c>
      <c r="J106" s="434" t="str">
        <f>IF(D106="","",((VLOOKUP(D106,'DB technologies'!$N$53:$Y$64,3,FALSE)*VLOOKUP($C$104,'DB animal categories'!$C$42:$AC$51,27,FALSE)*E106/1000)/VLOOKUP($C$104,'DB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'!$S$7/100*(1-VLOOKUP(D106,'DB technologies'!$N$53:$Y$64,9,FALSE)/100)))</f>
        <v/>
      </c>
      <c r="K106" s="434" t="str">
        <f>IF(D106="","",((VLOOKUP(D106,'DB technologies'!$N$53:$Y$64,4,FALSE)*E106*'DB additional information '!$S$8/100*(1-VLOOKUP(D106,'DB technologies'!$N$53:$Y$64,9,FALSE)/100))/VLOOKUP($C$104,'DB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L106" s="423" t="str">
        <f>IF('Calc (ex-animal)'!$F$8=1,"",IF(D106="","",(((VLOOKUP($C$104,'Calc (ex-animal)'!$D$23:$Y$27,6,FALSE)-VLOOKUP($C$104,'Calc (ex-animal)'!$D$23:$Y$27,17,FALSE))*F106/100))*(1-VLOOKUP($C$104,'Calc (ex-animal)'!$D$23:$Y$27,7,FALSE)/100)*(1-VLOOKUP(D106,'DB technologies'!$N$53:$V$64,8,FALSE)/100)))</f>
        <v/>
      </c>
      <c r="M106" s="434" t="str">
        <f>IF(D106="","",((VLOOKUP(D106,'DB technologies'!$N$53:$Y$64,2,FALSE)*VLOOKUP($C$104,'DB animal categories'!$C$42:$AC$51,27,FALSE)*E106/1000)/VLOOKUP($C$104,'DB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'!$S$6/100)*(1-VLOOKUP(D106,'DB technologies'!$N$53:$Y$64,9,FALSE)/100))</f>
        <v/>
      </c>
      <c r="N106" s="434" t="str">
        <f>IF(D106="","",((VLOOKUP(D106,'DB technologies'!$N$53:$Y$64,3,FALSE)*VLOOKUP($C$104,'DB animal categories'!$C$42:$AC$51,27,FALSE)*E106/1000)/VLOOKUP($C$104,'DB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'!$S$7/100)*(1-VLOOKUP(D106,'DB technologies'!$N$53:$Y$64,9,FALSE)/100))</f>
        <v/>
      </c>
      <c r="O106" s="423" t="str">
        <f>IF(D106="","",((VLOOKUP(D106,'DB technologies'!$N$53:$Y$64,4,FALSE)*E106*(1-'DB additional information '!$S$8/100)*(1-VLOOKUP(D106,'DB technologies'!$N$53:$Y$64,8,FALSE)/100))/VLOOKUP($C$104,'DB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P106" s="438" t="str">
        <f>IF(G106=0,0,IF(E106="","",IF(F106="","",IF($C$104=0,"",IF(D106="","",SUM(H106:K106)/G106*100)))))</f>
        <v/>
      </c>
      <c r="Q106" s="416" t="str">
        <f>IF(D106="","",(VLOOKUP(D106,'DB technologies'!$N$53:$Y$64,2,FALSE)*'DB additional information '!$S$6/100*'DB additional information '!$T$6*VLOOKUP($C$104,'DB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R106" s="416" t="str">
        <f>IF(D106="","",(VLOOKUP(D106,'DB technologies'!$N$53:$Y$64,3,FALSE)*'DB additional information '!$S$7/100*'DB additional information '!$T$7*VLOOKUP($C$104,'DB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S106" s="491" t="str">
        <f>IF(D106="","",(VLOOKUP(D106,'DB technologies'!$N$53:$Y$64,4,FALSE)*('DB additional information '!$S$8/100*'DB additional information '!$T$8*E106/1000/1000)))</f>
        <v/>
      </c>
      <c r="T106" s="264" t="str">
        <f>IF($C$104=0,"",IF('Calc (ex-animal)'!$F$9=1,"",IF(D106="","",((VLOOKUP($C$104,'Calc (ex-animal)'!$D$23:$Y$27,10,FALSE)-VLOOKUP($C$104,'Calc (ex-animal)'!$D$23:$Y$27,18,FALSE))*F106/100+Q106+R106+S106)-AC106-AD106-AE106)))</f>
        <v/>
      </c>
      <c r="U106" s="422" t="str">
        <f>IF(D106="","",(VLOOKUP(D106,'DB technologies'!$N$53:$Y$64,2,FALSE)*'DB additional information '!$S$6/100*'DB additional information '!$U$6*VLOOKUP($C$104,'DB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V106" s="418" t="str">
        <f>IF(D106="","",(VLOOKUP(D106,'DB technologies'!$N$53:$Y$64,3,FALSE)*'DB additional information '!$S$7/100*'DB additional information '!$U$7*VLOOKUP($C$104,'DB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W106" s="417" t="str">
        <f>IF(D106="","",(VLOOKUP(D106,'DB technologies'!$N$53:$Y$64,4,FALSE)*('DB additional information '!$S$8/100*'DB additional information '!$U$8*E106/1000/1000)))</f>
        <v/>
      </c>
      <c r="X106" s="261" t="str">
        <f>IF($C$104=0,"",IF('Calc (ex-animal)'!$F$9=1,"",IF(D106="","",((VLOOKUP($C$104,'Calc (ex-animal)'!$D$23:$Y$27,13,FALSE)-VLOOKUP($C$104,'Calc (ex-animal)'!$D$23:$Y$27,19,FALSE))*F106/100+U106+V106+W106))))</f>
        <v/>
      </c>
      <c r="Y106" s="418" t="str">
        <f>IF(D106="","",(VLOOKUP(D106,'DB technologies'!$N$53:$Y$64,2,FALSE)*'DB additional information '!$S$6/100*'DB additional information '!$V$6*VLOOKUP($C$104,'DB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Z106" s="418" t="str">
        <f>IF(D106="","",(VLOOKUP(D106,'DB technologies'!$N$53:$Y$64,3,FALSE)*'DB additional information '!$S$7/100*'DB additional information '!$V$7*VLOOKUP($C$104,'DB animal categories'!$C$42:$AC$51,27,FALSE)*E106/1000/1000)/VLOOKUP($C$104,'DB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AA106" s="418" t="str">
        <f>IF(D106="","",(VLOOKUP(D106,'DB technologies'!$N$53:$Y$64,4,FALSE)*('DB additional information '!$S$8/100*'DB additional information '!$V$8*E106/1000/1000)))</f>
        <v/>
      </c>
      <c r="AB106" s="261" t="str">
        <f>IF($C$104=0,"",IF('Calc (ex-animal)'!$F$8=1,"",IF(D106="","",((VLOOKUP($C$104,'Calc (ex-animal)'!$D$23:$Y$27,16,FALSE)-VLOOKUP($C$104,'Calc (ex-animal)'!$D$23:$Y$27,20,FALSE))*F106/100+Y106+Z106+AA106))))</f>
        <v/>
      </c>
      <c r="AC106" s="261" t="str">
        <f>IF($C$104=0,"",IF('Calc (ex-animal)'!$F$8=1,"",IF(D106="","",VLOOKUP($C$104,'Calc (ex-animal)'!$D$23:$Y$27,9,FALSE)/VLOOKUP($C$104,'DB animal categories'!$C$42:$AC$51,27,FALSE)*(VLOOKUP($C$104,'DB animal categories'!$C$42:$AC$51,27,FALSE)-VLOOKUP($C$104,'DB animal categories'!$C$42:$AC$51,25,FALSE)*VLOOKUP($C$104,'DB animal categories'!$C$42:$AC$51,26,FALSE)/24)*F106/100*VLOOKUP(D106,'DB technologies'!$N$53:$R$64,5,FALSE)/100)))</f>
        <v/>
      </c>
      <c r="AD106" s="261" t="str">
        <f>IF($C$104=0,"",IF('Calc (ex-animal)'!$F$8=1,"",IF(D106="","",VLOOKUP($C$104,'Calc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categories'!$C$42:$AC$51,26,FALSE)/24)*F106/100*VLOOKUP(D106,'DB technologies'!$N$53:$Y$64,6,FALSE)/100)))</f>
        <v/>
      </c>
      <c r="AE106" s="262" t="str">
        <f>IF($C$104=0,"",IF('Calc (ex-animal)'!$F$8=1,"",IF(D106="","",VLOOKUP($C$104,'Calc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categories'!$C$42:$AC$51,26,FALSE)/24)*F106/100*VLOOKUP(D106,'DB technologies'!$N$53:$Y$64,7,FALSE)/100)))</f>
        <v/>
      </c>
      <c r="AG106" s="698"/>
      <c r="AH106" s="695"/>
      <c r="AI106" s="181" t="str">
        <f>IF(D106="","",VLOOKUP(D106,'DB technologies'!$N$53:$Y$64,10,FALSE))</f>
        <v/>
      </c>
      <c r="AJ106" s="449" t="e">
        <f>VLOOKUP($C$104,'DB animal categories'!$C$42:$AN$51,27,FALSE)-VLOOKUP($C$104,'DB animal categories'!$C$42:$AN$51,26,FALSE)*VLOOKUP($C$104,'DB animal categories'!$C$42:$AN$51,25,FALSE)/24</f>
        <v>#N/A</v>
      </c>
      <c r="AK106" s="442" t="str">
        <f>IF(AI106="","",AL106+AM106)</f>
        <v/>
      </c>
      <c r="AL106" s="442" t="str">
        <f>IF(D106="","",IF(AI106=2,(('Calc (ex-animal)'!$G$24*'DB additional information '!$K$8/100*(1-VLOOKUP(D106,'DB technologies'!$N$53:$Y$64,9,FALSE)/100)*'Calc (ex-housing, ex-storage)'!F106/100+'Calc (ex-animal)'!$H$24*'DB additional information '!$L$8/100*(1-VLOOKUP(D106,'DB technologies'!$N$53:$Y$64,9,FALSE)/100)*'Calc (ex-housing, ex-storage)'!F106/100))/VLOOKUP($C$104,'DB animal categories'!$C$42:$AC$51,27,FALSE)*AJ106+I106+J106+K106,IF(AI106=1,('Calc (ex-animal)'!$H$24*'DB additional information '!$L$8/100*(1-VLOOKUP(D106,'DB technologies'!$N$53:$Y$64,9,FALSE)/100)*'Calc (ex-housing, ex-storage)'!F106/100)/VLOOKUP($C$104,'DB animal categories'!$C$42:$AC$51,27,FALSE)*AJ106,IF(AI106=4,('Calc (ex-animal)'!$G$24*'DB additional information '!$K$8/100+'Calc (ex-animal)'!$H$24*'DB additional information '!$L$8/100)*(1-VLOOKUP(D106,'DB technologies'!$N$53:$Y$64,9,FALSE)/100)*'Calc (ex-housing, ex-storage)'!F106/100*VLOOKUP(D106,'DB technologies'!$N$53:$Y$64,11,FALSE)/100/VLOOKUP($C$104,'DB animal categories'!$C$42:$AC$51,27,FALSE)*AJ106,0))))</f>
        <v/>
      </c>
      <c r="AM106" s="442" t="str">
        <f>IF(D106="","",IF(AI106=2,(('Calc (ex-animal)'!$G$24*(1-'DB additional information '!$K$8/100)*(1-VLOOKUP(D106,'DB technologies'!$N$53:$Y$64,8,FALSE)/100)*'Calc (ex-housing, ex-storage)'!F106/100+'Calc (ex-animal)'!$H$24*(1-'DB additional information '!$L$8/100)*(1-VLOOKUP(D106,'DB technologies'!$N$53:$Y$64,8,FALSE)/100)*'Calc (ex-housing, ex-storage)'!F106/100))/VLOOKUP($C$104,'DB animal categories'!$C$42:$AC$51,27,FALSE)*AJ106+M106+N106+O106,IF(AI106=1,('Calc (ex-animal)'!$H$24*(1-'DB additional information '!$L$8/100)*(1-VLOOKUP(D106,'DB technologies'!$N$53:$Y$64,8,FALSE)/100)*'Calc (ex-housing, ex-storage)'!F106/100)/VLOOKUP($C$104,'DB animal categories'!$C$42:$AC$51,27,FALSE)*AJ106,IF(AI106=4,('Calc (ex-animal)'!$G$24*(1-'DB additional information '!$K$8/100)+'Calc (ex-animal)'!$H$24*(1-'DB additional information '!$L$8/100))*(1-VLOOKUP(D106,'DB technologies'!$N$53:$Y$64,8,FALSE)/100)*'Calc (ex-housing, ex-storage)'!F106/100*VLOOKUP(D106,'DB technologies'!$N$53:$Y$64,11,FALSE)/100/VLOOKUP($C$104,'DB animal categories'!$C$42:$AC$51,27,FALSE)*AJ106,0))))</f>
        <v/>
      </c>
      <c r="AN106" s="442" t="str">
        <f>IF(AI106="","",IF(AL106=0,0,AL106/AK106*100))</f>
        <v/>
      </c>
      <c r="AO106" s="182" t="str">
        <f>IF(D106="","",IF(AI106=2,(('Calc (ex-animal)'!$L$24*'Calc (ex-housing, ex-storage)'!F106/100+'Calc (ex-animal)'!$K$24*'Calc (ex-housing, ex-storage)'!F106/100))/VLOOKUP($C$104,'DB animal categories'!$C$42:$AC$51,27,FALSE)*AJ106+Q106+R106+S106-AC106,IF(AI106=1,('Calc (ex-animal)'!$L$24*'Calc (ex-housing, ex-storage)'!F106/100)/VLOOKUP($C$104,'DB animal categories'!$C$42:$AC$51,27,FALSE)*AJ106-'Calc (ex-housing, ex-storage)'!AC106,IF(AI106=4,('Calc (ex-animal)'!$L$24+'Calc (ex-animal)'!$K$24)*'Calc (ex-housing, ex-storage)'!F106/100*VLOOKUP(D106,'DB technologies'!$N$53:$Y$64,11,FALSE)/100/VLOOKUP($C$104,'DB animal categories'!$C$42:$AC$51,27,FALSE)*AJ106-AC106*VLOOKUP(D106,'DB technologies'!$N$53:$Y$64,11,FALSE)/100,0))))</f>
        <v/>
      </c>
      <c r="AP106" s="182" t="str">
        <f>IF(D106="","",IF(AO106&lt;-0.01,0,IF(AI106=2,(('Calc (ex-animal)'!$L$24*'Calc (ex-housing, ex-storage)'!F106/100+'Calc (ex-animal)'!$K$24*'Calc (ex-housing, ex-storage)'!F106/100))/VLOOKUP($C$104,'DB animal categories'!$C$42:$AC$51,27,FALSE)*AJ106+Q106+R106+S106-AC106,IF(AI106=1,('Calc (ex-animal)'!$L$24*'Calc (ex-housing, ex-storage)'!F106/100)/VLOOKUP($C$104,'DB animal categories'!$C$42:$AC$51,27,FALSE)*AJ106-'Calc (ex-housing, ex-storage)'!AC106,IF(AI106=4,('Calc (ex-animal)'!$L$24+'Calc (ex-animal)'!$K$24)*'Calc (ex-housing, ex-storage)'!F106/100*VLOOKUP(D106,'DB technologies'!$N$53:$Y$64,11,FALSE)/100/VLOOKUP($C$104,'DB animal categories'!$C$42:$AC$51,27,FALSE)*AJ106-AC106*VLOOKUP(D106,'DB technologies'!$N$53:$Y$64,11,FALSE)/100,0)))))</f>
        <v/>
      </c>
      <c r="AQ106" s="182" t="str">
        <f>IF(D106="","",IF(AI106=2,('Calc (ex-animal)'!$O$24*'Calc (ex-housing, ex-storage)'!F106/100+'Calc (ex-animal)'!$N$24*'Calc (ex-housing, ex-storage)'!F106/100)/VLOOKUP($C$104,'DB animal categories'!$C$42:$AC$51,27,FALSE)*AJ106+U106+V106+W106,IF(AI106=1,'Calc (ex-animal)'!$O$24*'Calc (ex-housing, ex-storage)'!F106/100/VLOOKUP($C$104,'DB animal categories'!$C$42:$AC$51,27,FALSE)*AJ106,IF(AI106=4,('Calc (ex-animal)'!$O$24+'Calc (ex-animal)'!$N$24)*'Calc (ex-housing, ex-storage)'!F106/100*VLOOKUP(D106,'DB technologies'!$N$53:$Y$64,11,FALSE)/100/VLOOKUP($C$104,'DB animal categories'!$C$42:$AC$51,27,FALSE)*AJ106,0))))</f>
        <v/>
      </c>
      <c r="AR106" s="182" t="str">
        <f>IF(D106="","",IF(AI106=2,('Calc (ex-animal)'!$R$24*'Calc (ex-housing, ex-storage)'!F106/100+'Calc (ex-animal)'!$Q$24*'Calc (ex-housing, ex-storage)'!F106/100)/VLOOKUP($C$104,'DB animal categories'!$C$42:$AC$51,27,FALSE)*AJ106+Y106+Z106+AA106,IF(AI106=1,'Calc (ex-animal)'!$R$24*'Calc (ex-housing, ex-storage)'!F106/100/VLOOKUP($C$104,'DB animal categories'!$C$42:$AC$51,27,FALSE)*AJ106,IF(AI106=4,('Calc (ex-animal)'!$R$24+'Calc (ex-animal)'!$Q$24)*'Calc (ex-housing, ex-storage)'!F106/100*VLOOKUP(D106,'DB technologies'!$N$53:$Y$64,11,FALSE)/100/VLOOKUP($C$104,'DB animal categories'!$C$42:$AC$51,27,FALSE)*AJ106,0))))</f>
        <v/>
      </c>
      <c r="AS106" s="181" t="str">
        <f>IF(D106="","",VLOOKUP(D106,'DB technologies'!$N$53:$Y$64,10,FALSE))</f>
        <v/>
      </c>
      <c r="AT106" s="442" t="str">
        <f>IF(AS106="","",AU106+AV106)</f>
        <v/>
      </c>
      <c r="AU106" s="442" t="str">
        <f>IF(D106="","",IF(AS106=2,0,IF(AS106=1,'Calc (ex-animal)'!$G$24*'DB additional information '!$K$8/100*(1-VLOOKUP(D106,'DB technologies'!$N$53:$Y$64,8,FALSE)/100)*'Calc (ex-housing, ex-storage)'!F106/100/VLOOKUP($C$104,'DB animal categories'!$C$42:$AC$51,27,FALSE)*AJ106+I106+J106+K106,IF(AS106=5,(('Calc (ex-animal)'!$G$24*'DB additional information '!$K$8/100+'Calc (ex-animal)'!$H$24*'DB additional information '!$L$8/100))*(1-VLOOKUP(D106,'DB technologies'!$N$53:$Y$64,9,FALSE)/100)*'Calc (ex-housing, ex-storage)'!F106/100/VLOOKUP($C$104,'DB animal categories'!$C$42:$AC$51,27,FALSE)*AJ106+I106+J106+K106,IF(AS106=3,('Calc (ex-animal)'!$G$24*'DB additional information '!$K$8/100+'Calc (ex-animal)'!$H$24*'DB additional information '!$L$8/100)*(1-VLOOKUP(D106,'DB technologies'!$N$53:$Y$64,9,FALSE)/100)*'Calc (ex-housing, ex-storage)'!F106/100/VLOOKUP($C$104,'DB animal categories'!$C$42:$AC$51,27,FALSE)*AJ106+I106+J106+K106,IF(AS106=4,('Calc (ex-animal)'!$G$24*'DB additional information '!$K$8/100+'Calc (ex-animal)'!$H$24*'DB additional information '!$L$8/100)*(1-VLOOKUP(D106,'DB technologies'!$N$53:$Y$64,9,FALSE)/100)*'Calc (ex-housing, ex-storage)'!F106/100*VLOOKUP(D106,'DB technologies'!$N$53:$Y$64,12,FALSE)/100/VLOOKUP($C$104,'DB animal categories'!$C$42:$AC$51,27,FALSE)*AJ106+I106+J106+K106,0))))))</f>
        <v/>
      </c>
      <c r="AV106" s="442" t="str">
        <f>IF(D106="","",IF(AS106=2,0,IF(AS106=1,'Calc (ex-animal)'!$G$24*(1-'DB additional information '!$K$8/100)*(1-VLOOKUP(D106,'DB technologies'!$N$53:$Y$64,8,FALSE)/100)*'Calc (ex-housing, ex-storage)'!F106/100/VLOOKUP($C$104,'DB animal categories'!$C$42:$AC$51,27,FALSE)*AJ106+M106+N106+O106,IF(AS106=5,('Calc (ex-animal)'!$G$24*(1-'DB additional information '!$K$8/100)+'Calc (ex-animal)'!$H$24*(1-'DB additional information '!$L$8/100))*(1-VLOOKUP(D106,'DB technologies'!$N$53:$Y$64,8,FALSE)/100)*'Calc (ex-housing, ex-storage)'!F106/100/VLOOKUP($C$104,'DB animal categories'!$C$42:$AC$51,27,FALSE)*AJ106+M106+N106+O106,IF(AS106=3,('Calc (ex-animal)'!$G$24*(1-'DB additional information '!$K$8/100)+'Calc (ex-animal)'!$H$24*(1-'DB additional information '!$L$8/100))*(1-VLOOKUP(D106,'DB technologies'!$N$53:$Y$64,8,FALSE)/100)*'Calc (ex-housing, ex-storage)'!F106/100/VLOOKUP($C$104,'DB animal categories'!$C$42:$AC$51,27,FALSE)*AJ106+M106+N106+O106,IF(AS106=4,('Calc (ex-animal)'!$G$24*(1-'DB additional information '!$K$8/100)+'Calc (ex-animal)'!$H$24*(1-'DB additional information '!$L$8/100))*(1-VLOOKUP(D106,'DB technologies'!$N$53:$Y$64,8,FALSE)/100)*'Calc (ex-housing, ex-storage)'!F106/100*VLOOKUP(D106,'DB technologies'!$N$53:$Y$64,12,FALSE)/100/VLOOKUP($C$104,'DB animal categories'!$C$42:$AC$51,27,FALSE)*AJ106+M106+N106+O106,0))))))</f>
        <v/>
      </c>
      <c r="AW106" s="442" t="str">
        <f>IF(AS106="","",IF(AU106=0,0,AU106/AT106*100))</f>
        <v/>
      </c>
      <c r="AX106" s="182" t="str">
        <f>IF(D106="","",IF(AS106=2,0,IF(AS106=1,'Calc (ex-animal)'!$K$24*'Calc (ex-housing, ex-storage)'!F106/100/VLOOKUP($C$104,'DB animal categories'!$C$42:$AC$51,27,FALSE)*AJ106+Q106+R106+S106,IF(AS106=5,('Calc (ex-animal)'!$K$24+'Calc (ex-animal)'!$L$24)*'Calc (ex-housing, ex-storage)'!F106/100/VLOOKUP($C$104,'DB animal categories'!$C$42:$AC$51,27,FALSE)*AJ106+Q106+R106+S106-'Calc (ex-housing, ex-storage)'!AC106,IF(AS106=3,('Calc (ex-animal)'!$K$24+'Calc (ex-animal)'!$L$24)*'Calc (ex-housing, ex-storage)'!F106/100/VLOOKUP($C$104,'DB animal categories'!$C$42:$AC$51,27,FALSE)*AJ106+Q106+R106+S106-'Calc (ex-housing, ex-storage)'!AC106-AD106-AE106,IF(AI106=4,('Calc (ex-animal)'!$K$24+'Calc (ex-animal)'!$L$24)*'Calc (ex-housing, ex-storage)'!F106/100*VLOOKUP(D106,'DB technologies'!$N$53:$Y$64,12,FALSE)/100/VLOOKUP($C$104,'DB animal categories'!$C$42:$AC$51,27,FALSE)*AJ106+Q106+R106+S106-(VLOOKUP(D106,'DB technologies'!$N$53:$Y$64,12,FALSE)/100*AC106)-AD106-AE106,0))))))</f>
        <v/>
      </c>
      <c r="AY106" s="182" t="str">
        <f>IF(D106="","",IF(AS106=2,0,IF(AS106=1,'Calc (ex-animal)'!$N$24*'Calc (ex-housing, ex-storage)'!F106/100/VLOOKUP($C$104,'DB animal categories'!$C$42:$AC$51,27,FALSE)*AJ106+U106+V106+W106,IF(AS106=5,('Calc (ex-animal)'!$N$24+'Calc (ex-animal)'!$O$24)*'Calc (ex-housing, ex-storage)'!F106/100/VLOOKUP($C$104,'DB animal categories'!$C$42:$AC$51,27,FALSE)*AJ106+U106+V106+W106,IF(AS106=3,('Calc (ex-animal)'!$N$24+'Calc (ex-animal)'!$O$24)*'Calc (ex-housing, ex-storage)'!F106/100/VLOOKUP($C$104,'DB animal categories'!$C$42:$AC$51,27,FALSE)*AJ106+U106+V106+W106,IF(AS106=4,('Calc (ex-animal)'!$N$24+'Calc (ex-animal)'!$O$24)*'Calc (ex-housing, ex-storage)'!F106/100*VLOOKUP(D106,'DB technologies'!$N$53:$Y$64,12,FALSE)/100/VLOOKUP($C$104,'DB animal categories'!$C$42:$AC$51,27,FALSE)*AJ106+U106+V106+W106,0))))))</f>
        <v/>
      </c>
      <c r="AZ106" s="182" t="str">
        <f>IF(D106="","",IF(AS106=2,0,IF(AS106=1,'Calc (ex-animal)'!$Q$24*'Calc (ex-housing, ex-storage)'!F106/100/VLOOKUP($C$104,'DB animal categories'!$C$42:$AC$51,27,FALSE)*AJ106+Y106+Z106+AA106,IF(AS106=5,('Calc (ex-animal)'!$Q$24+'Calc (ex-animal)'!$R$24)*'Calc (ex-housing, ex-storage)'!F106/100/VLOOKUP($C$104,'DB animal categories'!$C$42:$AC$51,27,FALSE)*AJ106+Y106+Z106+AA106,IF(AS106=3,('Calc (ex-animal)'!$Q$24+'Calc (ex-animal)'!$R$24)*'Calc (ex-housing, ex-storage)'!F106/100/VLOOKUP($C$104,'DB animal categories'!$C$42:$AC$51,27,FALSE)*AJ106+Y106+Z106+AA106,IF(AS106=4,('Calc (ex-animal)'!$Q$24+'Calc (ex-animal)'!$R$24)*'Calc (ex-housing, ex-storage)'!F106/100*VLOOKUP(D106,'DB technologies'!$N$53:$Y$64,12,FALSE)/100/VLOOKUP($C$104,'DB animal categories'!$C$42:$AC$51,27,FALSE)*AJ106+Y106+Z106+AA106,0))))))</f>
        <v/>
      </c>
      <c r="BA106" s="506"/>
      <c r="BB106" s="506"/>
      <c r="BC106" s="506"/>
      <c r="BG106" s="1357"/>
      <c r="BH106" s="1361"/>
      <c r="BI106" s="598" t="str">
        <f>IF(BG106="","",$BA$103*BH106/100-($BB$103*BH106/100*VLOOKUP(BG106,'DB technologies'!$AC$59:$AT$63,5,FALSE)/100)+(VLOOKUP(BG106,'DB technologies'!$AC$59:$AT$63,12,FALSE)*$BA$103*BH106/100))</f>
        <v/>
      </c>
      <c r="BJ106" s="551">
        <f>IF(BI106="",0,BI106*BK106/100)</f>
        <v>0</v>
      </c>
      <c r="BK106" s="571" t="str">
        <f>IF(BG106="","",IF($BA$103=0,0,($BB$103*BH106/100)/BI106*(1-(VLOOKUP(BG106,'DB technologies'!$AC$59:$AQ$63,5,FALSE))/100)*100))</f>
        <v/>
      </c>
      <c r="BL106" s="261" t="str">
        <f>IF(BG106="","",$BD$103*BH106/100-BO106-BP106-BQ106)</f>
        <v/>
      </c>
      <c r="BM106" s="261" t="str">
        <f>IF(BG106="","",$BE$103*BH106/100)</f>
        <v/>
      </c>
      <c r="BN106" s="261" t="str">
        <f>IF(BG106="","",$BF$103*BH106/100)</f>
        <v/>
      </c>
      <c r="BO106" s="261" t="str">
        <f>IF(BG106="","",$BD$103*BH106/100*VLOOKUP(BG106,'DB technologies'!$AC$43:$AF$47,2,FALSE)/100)</f>
        <v/>
      </c>
      <c r="BP106" s="261" t="str">
        <f>IF(BG106="","",$BD$103*BH106/100*VLOOKUP(BG106,'DB technologies'!$AC$43:$AN$47,3,FALSE)/100)</f>
        <v/>
      </c>
      <c r="BQ106" s="262" t="str">
        <f>IF(BG106="","",$BD$103*BH106/100*VLOOKUP(BG106,'DB technologies'!$AC$43:$AN$47,4,FALSE)/100)</f>
        <v/>
      </c>
      <c r="BR106" s="117"/>
      <c r="BS106" s="117"/>
      <c r="BT106" s="118"/>
    </row>
    <row r="107" spans="1:72" ht="12" customHeight="1" thickBot="1" x14ac:dyDescent="0.25">
      <c r="A107" s="684"/>
      <c r="B107" s="695"/>
      <c r="C107" s="251"/>
      <c r="D107" s="1357"/>
      <c r="E107" s="1358"/>
      <c r="F107" s="480" t="str">
        <f>IF('Calc (ex-animal)'!$F$9=1,"",IF($C$104=0,"",IF(D107="","",E107/'Calc (ex-animal)'!$E$24*100)))</f>
        <v/>
      </c>
      <c r="G107" s="485" t="str">
        <f>IF($C$104=0,"",IF('Calc (ex-animal)'!$F$8=1,"",IF(D107="","",SUM(H107:O107))))</f>
        <v/>
      </c>
      <c r="H107" s="423" t="str">
        <f>IF('Calc (ex-animal)'!$F$8=1,"",IF(D107="","",(((VLOOKUP($C$104,'Calc (ex-animal)'!$D$23:$Y$27,6,FALSE)-VLOOKUP($C$104,'Calc (ex-animal)'!$D$23:$Y$27,17,FALSE))*F107/100))*VLOOKUP($C$104,'Calc (ex-animal)'!$D$23:$Y$27,7,FALSE)/100*(1-VLOOKUP(D107,'DB technologies'!$N$53:$Y$64,9,FALSE)/100)))</f>
        <v/>
      </c>
      <c r="I107" s="423" t="str">
        <f>IF(D107="","",((VLOOKUP(D107,'DB technologies'!$N$53:$Y$64,2,FALSE)*VLOOKUP($C$104,'DB animal categories'!$C$42:$AC$51,27,FALSE)*E107/1000)/VLOOKUP($C$104,'DB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'!$S$6/100*(1-VLOOKUP(D107,'DB technologies'!$N$53:$Y$64,9,FALSE)/100)))</f>
        <v/>
      </c>
      <c r="J107" s="434" t="str">
        <f>IF(D107="","",((VLOOKUP(D107,'DB technologies'!$N$53:$Y$64,3,FALSE)*VLOOKUP($C$104,'DB animal categories'!$C$42:$AC$51,27,FALSE)*E107/1000)/VLOOKUP($C$104,'DB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'!$S$7/100*(1-VLOOKUP(D107,'DB technologies'!$N$53:$Y$64,9,FALSE)/100)))</f>
        <v/>
      </c>
      <c r="K107" s="434" t="str">
        <f>IF(D107="","",((VLOOKUP(D107,'DB technologies'!$N$53:$Y$64,4,FALSE)*E107*'DB additional information '!$S$8/100*(1-VLOOKUP(D107,'DB technologies'!$N$53:$Y$64,9,FALSE)/100))/VLOOKUP($C$104,'DB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L107" s="423" t="str">
        <f>IF('Calc (ex-animal)'!$F$8=1,"",IF(D107="","",(((VLOOKUP($C$104,'Calc (ex-animal)'!$D$23:$Y$27,6,FALSE)-VLOOKUP($C$104,'Calc (ex-animal)'!$D$23:$Y$27,17,FALSE))*F107/100))*(1-VLOOKUP($C$104,'Calc (ex-animal)'!$D$23:$Y$27,7,FALSE)/100)*(1-VLOOKUP(D107,'DB technologies'!$N$53:$V$64,8,FALSE)/100)))</f>
        <v/>
      </c>
      <c r="M107" s="434" t="str">
        <f>IF(D107="","",((VLOOKUP(D107,'DB technologies'!$N$53:$Y$64,2,FALSE)*VLOOKUP($C$104,'DB animal categories'!$C$42:$AC$51,27,FALSE)*E107/1000)/VLOOKUP($C$104,'DB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'!$S$6/100)*(1-VLOOKUP(D107,'DB technologies'!$N$53:$Y$64,9,FALSE)/100))</f>
        <v/>
      </c>
      <c r="N107" s="434" t="str">
        <f>IF(D107="","",((VLOOKUP(D107,'DB technologies'!$N$53:$Y$64,3,FALSE)*VLOOKUP($C$104,'DB animal categories'!$C$42:$AC$51,27,FALSE)*E107/1000)/VLOOKUP($C$104,'DB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'!$S$7/100)*(1-VLOOKUP(D107,'DB technologies'!$N$53:$Y$64,9,FALSE)/100))</f>
        <v/>
      </c>
      <c r="O107" s="423" t="str">
        <f>IF(D107="","",((VLOOKUP(D107,'DB technologies'!$N$53:$Y$64,4,FALSE)*E107*(1-'DB additional information '!$S$8/100)*(1-VLOOKUP(D107,'DB technologies'!$N$53:$Y$64,8,FALSE)/100))/VLOOKUP($C$104,'DB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P107" s="438" t="str">
        <f>IF(G107=0,0,IF(E107="","",IF(F107="","",IF($C$104=0,"",IF(D107="","",SUM(H107:K107)/G107*100)))))</f>
        <v/>
      </c>
      <c r="Q107" s="416" t="str">
        <f>IF(D107="","",(VLOOKUP(D107,'DB technologies'!$N$53:$Y$64,2,FALSE)*'DB additional information '!$S$6/100*'DB additional information '!$T$6*VLOOKUP($C$104,'DB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R107" s="416" t="str">
        <f>IF(D107="","",(VLOOKUP(D107,'DB technologies'!$N$53:$Y$64,3,FALSE)*'DB additional information '!$S$7/100*'DB additional information '!$T$7*VLOOKUP($C$104,'DB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S107" s="491" t="str">
        <f>IF(D107="","",(VLOOKUP(D107,'DB technologies'!$N$53:$Y$64,4,FALSE)*('DB additional information '!$S$8/100*'DB additional information '!$T$8*E107/1000/1000)))</f>
        <v/>
      </c>
      <c r="T107" s="264" t="str">
        <f>IF($C$104=0,"",IF('Calc (ex-animal)'!$F$9=1,"",IF(D107="","",((VLOOKUP($C$104,'Calc (ex-animal)'!$D$23:$Y$27,10,FALSE)-VLOOKUP($C$104,'Calc (ex-animal)'!$D$23:$Y$27,18,FALSE))*F107/100+Q107+R107+S107)-AC107-AD107-AE107)))</f>
        <v/>
      </c>
      <c r="U107" s="422" t="str">
        <f>IF(D107="","",(VLOOKUP(D107,'DB technologies'!$N$53:$Y$64,2,FALSE)*'DB additional information '!$S$6/100*'DB additional information '!$U$6*VLOOKUP($C$104,'DB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V107" s="418" t="str">
        <f>IF(D107="","",(VLOOKUP(D107,'DB technologies'!$N$53:$Y$64,3,FALSE)*'DB additional information '!$S$7/100*'DB additional information '!$U$7*VLOOKUP($C$104,'DB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W107" s="417" t="str">
        <f>IF(D107="","",(VLOOKUP(D107,'DB technologies'!$N$53:$Y$64,4,FALSE)*('DB additional information '!$S$8/100*'DB additional information '!$U$8*E107/1000/1000)))</f>
        <v/>
      </c>
      <c r="X107" s="261" t="str">
        <f>IF($C$104=0,"",IF('Calc (ex-animal)'!$F$9=1,"",IF(D107="","",((VLOOKUP($C$104,'Calc (ex-animal)'!$D$23:$Y$27,13,FALSE)-VLOOKUP($C$104,'Calc (ex-animal)'!$D$23:$Y$27,19,FALSE))*F107/100+U107+V107+W107))))</f>
        <v/>
      </c>
      <c r="Y107" s="418" t="str">
        <f>IF(D107="","",(VLOOKUP(D107,'DB technologies'!$N$53:$Y$64,2,FALSE)*'DB additional information '!$S$6/100*'DB additional information '!$V$6*VLOOKUP($C$104,'DB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Z107" s="418" t="str">
        <f>IF(D107="","",(VLOOKUP(D107,'DB technologies'!$N$53:$Y$64,3,FALSE)*'DB additional information '!$S$7/100*'DB additional information '!$V$7*VLOOKUP($C$104,'DB animal categories'!$C$42:$AC$51,27,FALSE)*E107/1000/1000)/VLOOKUP($C$104,'DB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AA107" s="418" t="str">
        <f>IF(D107="","",(VLOOKUP(D107,'DB technologies'!$N$53:$Y$64,4,FALSE)*('DB additional information '!$S$8/100*'DB additional information '!$V$8*E107/1000/1000)))</f>
        <v/>
      </c>
      <c r="AB107" s="261" t="str">
        <f>IF($C$104=0,"",IF('Calc (ex-animal)'!$F$8=1,"",IF(D107="","",((VLOOKUP($C$104,'Calc (ex-animal)'!$D$23:$Y$27,16,FALSE)-VLOOKUP($C$104,'Calc (ex-animal)'!$D$23:$Y$27,20,FALSE))*F107/100+Y107+Z107+AA107))))</f>
        <v/>
      </c>
      <c r="AC107" s="261" t="str">
        <f>IF($C$104=0,"",IF('Calc (ex-animal)'!$F$8=1,"",IF(D107="","",VLOOKUP($C$104,'Calc (ex-animal)'!$D$23:$Y$27,9,FALSE)/VLOOKUP($C$104,'DB animal categories'!$C$42:$AC$51,27,FALSE)*(VLOOKUP($C$104,'DB animal categories'!$C$42:$AC$51,27,FALSE)-VLOOKUP($C$104,'DB animal categories'!$C$42:$AC$51,25,FALSE)*VLOOKUP($C$104,'DB animal categories'!$C$42:$AC$51,26,FALSE)/24)*F107/100*VLOOKUP(D107,'DB technologies'!$N$53:$R$64,5,FALSE)/100)))</f>
        <v/>
      </c>
      <c r="AD107" s="261" t="str">
        <f>IF($C$104=0,"",IF('Calc (ex-animal)'!$F$8=1,"",IF(D107="","",VLOOKUP($C$104,'Calc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categories'!$C$42:$AC$51,26,FALSE)/24)*F107/100*VLOOKUP(D107,'DB technologies'!$N$53:$Y$64,6,FALSE)/100)))</f>
        <v/>
      </c>
      <c r="AE107" s="262" t="str">
        <f>IF($C$104=0,"",IF('Calc (ex-animal)'!$F$8=1,"",IF(D107="","",VLOOKUP($C$104,'Calc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categories'!$C$42:$AC$51,26,FALSE)/24)*F107/100*VLOOKUP(D107,'DB technologies'!$N$53:$Y$64,7,FALSE)/100)))</f>
        <v/>
      </c>
      <c r="AG107" s="698"/>
      <c r="AH107" s="695"/>
      <c r="AI107" s="181" t="str">
        <f>IF(D107="","",VLOOKUP(D107,'DB technologies'!$N$53:$Y$64,10,FALSE))</f>
        <v/>
      </c>
      <c r="AJ107" s="449" t="e">
        <f>VLOOKUP($C$104,'DB animal categories'!$C$42:$AN$51,27,FALSE)-VLOOKUP($C$104,'DB animal categories'!$C$42:$AN$51,26,FALSE)*VLOOKUP($C$104,'DB animal categories'!$C$42:$AN$51,25,FALSE)/24</f>
        <v>#N/A</v>
      </c>
      <c r="AK107" s="442" t="str">
        <f>IF(AI107="","",AL107+AM107)</f>
        <v/>
      </c>
      <c r="AL107" s="442" t="str">
        <f>IF(D107="","",IF(AI107=2,(('Calc (ex-animal)'!$G$24*'DB additional information '!$K$8/100*(1-VLOOKUP(D107,'DB technologies'!$N$53:$Y$64,9,FALSE)/100)*'Calc (ex-housing, ex-storage)'!F107/100+'Calc (ex-animal)'!$H$24*'DB additional information '!$L$8/100*(1-VLOOKUP(D107,'DB technologies'!$N$53:$Y$64,9,FALSE)/100)*'Calc (ex-housing, ex-storage)'!F107/100))/VLOOKUP($C$104,'DB animal categories'!$C$42:$AC$51,27,FALSE)*AJ107+I107+J107+K107,IF(AI107=1,('Calc (ex-animal)'!$H$24*'DB additional information '!$L$8/100*(1-VLOOKUP(D107,'DB technologies'!$N$53:$Y$64,9,FALSE)/100)*'Calc (ex-housing, ex-storage)'!F107/100)/VLOOKUP($C$104,'DB animal categories'!$C$42:$AC$51,27,FALSE)*AJ107,IF(AI107=4,('Calc (ex-animal)'!$G$24*'DB additional information '!$K$8/100+'Calc (ex-animal)'!$H$24*'DB additional information '!$L$8/100)*(1-VLOOKUP(D107,'DB technologies'!$N$53:$Y$64,9,FALSE)/100)*'Calc (ex-housing, ex-storage)'!F107/100*VLOOKUP(D107,'DB technologies'!$N$53:$Y$64,11,FALSE)/100/VLOOKUP($C$104,'DB animal categories'!$C$42:$AC$51,27,FALSE)*AJ107,0))))</f>
        <v/>
      </c>
      <c r="AM107" s="442" t="str">
        <f>IF(D107="","",IF(AI107=2,(('Calc (ex-animal)'!$G$24*(1-'DB additional information '!$K$8/100)*(1-VLOOKUP(D107,'DB technologies'!$N$53:$Y$64,8,FALSE)/100)*'Calc (ex-housing, ex-storage)'!F107/100+'Calc (ex-animal)'!$H$24*(1-'DB additional information '!$L$8/100)*(1-VLOOKUP(D107,'DB technologies'!$N$53:$Y$64,8,FALSE)/100)*'Calc (ex-housing, ex-storage)'!F107/100))/VLOOKUP($C$104,'DB animal categories'!$C$42:$AC$51,27,FALSE)*AJ107+M107+N107+O107,IF(AI107=1,('Calc (ex-animal)'!$H$24*(1-'DB additional information '!$L$8/100)*(1-VLOOKUP(D107,'DB technologies'!$N$53:$Y$64,8,FALSE)/100)*'Calc (ex-housing, ex-storage)'!F107/100)/VLOOKUP($C$104,'DB animal categories'!$C$42:$AC$51,27,FALSE)*AJ107,IF(AI107=4,('Calc (ex-animal)'!$G$24*(1-'DB additional information '!$K$8/100)+'Calc (ex-animal)'!$H$24*(1-'DB additional information '!$L$8/100))*(1-VLOOKUP(D107,'DB technologies'!$N$53:$Y$64,8,FALSE)/100)*'Calc (ex-housing, ex-storage)'!F107/100*VLOOKUP(D107,'DB technologies'!$N$53:$Y$64,11,FALSE)/100/VLOOKUP($C$104,'DB animal categories'!$C$42:$AC$51,27,FALSE)*AJ107,0))))</f>
        <v/>
      </c>
      <c r="AN107" s="442" t="str">
        <f>IF(AI107="","",IF(AL107=0,0,AL107/AK107*100))</f>
        <v/>
      </c>
      <c r="AO107" s="182" t="str">
        <f>IF(D107="","",IF(AI107=2,(('Calc (ex-animal)'!$L$24*'Calc (ex-housing, ex-storage)'!F107/100+'Calc (ex-animal)'!$K$24*'Calc (ex-housing, ex-storage)'!F107/100))/VLOOKUP($C$104,'DB animal categories'!$C$42:$AC$51,27,FALSE)*AJ107+Q107+R107+S107-AC107,IF(AI107=1,('Calc (ex-animal)'!$L$24*'Calc (ex-housing, ex-storage)'!F107/100)/VLOOKUP($C$104,'DB animal categories'!$C$42:$AC$51,27,FALSE)*AJ107-'Calc (ex-housing, ex-storage)'!AC107,IF(AI107=4,('Calc (ex-animal)'!$L$24+'Calc (ex-animal)'!$K$24)*'Calc (ex-housing, ex-storage)'!F107/100*VLOOKUP(D107,'DB technologies'!$N$53:$Y$64,11,FALSE)/100/VLOOKUP($C$104,'DB animal categories'!$C$42:$AC$51,27,FALSE)*AJ107-AC107*VLOOKUP(D107,'DB technologies'!$N$53:$Y$64,11,FALSE)/100,0))))</f>
        <v/>
      </c>
      <c r="AP107" s="182" t="str">
        <f>IF(D107="","",IF(AO107&lt;-0.01,0,IF(AI107=2,(('Calc (ex-animal)'!$L$24*'Calc (ex-housing, ex-storage)'!F107/100+'Calc (ex-animal)'!$K$24*'Calc (ex-housing, ex-storage)'!F107/100))/VLOOKUP($C$104,'DB animal categories'!$C$42:$AC$51,27,FALSE)*AJ107+Q107+R107+S107-AC107,IF(AI107=1,('Calc (ex-animal)'!$L$24*'Calc (ex-housing, ex-storage)'!F107/100)/VLOOKUP($C$104,'DB animal categories'!$C$42:$AC$51,27,FALSE)*AJ107-'Calc (ex-housing, ex-storage)'!AC107,IF(AI107=4,('Calc (ex-animal)'!$L$24+'Calc (ex-animal)'!$K$24)*'Calc (ex-housing, ex-storage)'!F107/100*VLOOKUP(D107,'DB technologies'!$N$53:$Y$64,11,FALSE)/100/VLOOKUP($C$104,'DB animal categories'!$C$42:$AC$51,27,FALSE)*AJ107-AC107*VLOOKUP(D107,'DB technologies'!$N$53:$Y$64,11,FALSE)/100,0)))))</f>
        <v/>
      </c>
      <c r="AQ107" s="182" t="str">
        <f>IF(D107="","",IF(AI107=2,('Calc (ex-animal)'!$O$24*'Calc (ex-housing, ex-storage)'!F107/100+'Calc (ex-animal)'!$N$24*'Calc (ex-housing, ex-storage)'!F107/100)/VLOOKUP($C$104,'DB animal categories'!$C$42:$AC$51,27,FALSE)*AJ107+U107+V107+W107,IF(AI107=1,'Calc (ex-animal)'!$O$24*'Calc (ex-housing, ex-storage)'!F107/100/VLOOKUP($C$104,'DB animal categories'!$C$42:$AC$51,27,FALSE)*AJ107,IF(AI107=4,('Calc (ex-animal)'!$O$24+'Calc (ex-animal)'!$N$24)*'Calc (ex-housing, ex-storage)'!F107/100*VLOOKUP(D107,'DB technologies'!$N$53:$Y$64,11,FALSE)/100/VLOOKUP($C$104,'DB animal categories'!$C$42:$AC$51,27,FALSE)*AJ107,0))))</f>
        <v/>
      </c>
      <c r="AR107" s="182" t="str">
        <f>IF(D107="","",IF(AI107=2,('Calc (ex-animal)'!$R$24*'Calc (ex-housing, ex-storage)'!F107/100+'Calc (ex-animal)'!$Q$24*'Calc (ex-housing, ex-storage)'!F107/100)/VLOOKUP($C$104,'DB animal categories'!$C$42:$AC$51,27,FALSE)*AJ107+Y107+Z107+AA107,IF(AI107=1,'Calc (ex-animal)'!$R$24*'Calc (ex-housing, ex-storage)'!F107/100/VLOOKUP($C$104,'DB animal categories'!$C$42:$AC$51,27,FALSE)*AJ107,IF(AI107=4,('Calc (ex-animal)'!$R$24+'Calc (ex-animal)'!$Q$24)*'Calc (ex-housing, ex-storage)'!F107/100*VLOOKUP(D107,'DB technologies'!$N$53:$Y$64,11,FALSE)/100/VLOOKUP($C$104,'DB animal categories'!$C$42:$AC$51,27,FALSE)*AJ107,0))))</f>
        <v/>
      </c>
      <c r="AS107" s="181" t="str">
        <f>IF(D107="","",VLOOKUP(D107,'DB technologies'!$N$53:$Y$64,10,FALSE))</f>
        <v/>
      </c>
      <c r="AT107" s="442" t="str">
        <f>IF(AS107="","",AU107+AV107)</f>
        <v/>
      </c>
      <c r="AU107" s="442" t="str">
        <f>IF(D107="","",IF(AS107=2,0,IF(AS107=1,'Calc (ex-animal)'!$G$24*'DB additional information '!$K$8/100*(1-VLOOKUP(D107,'DB technologies'!$N$53:$Y$64,8,FALSE)/100)*'Calc (ex-housing, ex-storage)'!F107/100/VLOOKUP($C$104,'DB animal categories'!$C$42:$AC$51,27,FALSE)*AJ107+I107+J107+K107,IF(AS107=5,(('Calc (ex-animal)'!$G$24*'DB additional information '!$K$8/100+'Calc (ex-animal)'!$H$24*'DB additional information '!$L$8/100))*(1-VLOOKUP(D107,'DB technologies'!$N$53:$Y$64,9,FALSE)/100)*'Calc (ex-housing, ex-storage)'!F107/100/VLOOKUP($C$104,'DB animal categories'!$C$42:$AC$51,27,FALSE)*AJ107+I107+J107+K107,IF(AS107=3,('Calc (ex-animal)'!$G$24*'DB additional information '!$K$8/100+'Calc (ex-animal)'!$H$24*'DB additional information '!$L$8/100)*(1-VLOOKUP(D107,'DB technologies'!$N$53:$Y$64,9,FALSE)/100)*'Calc (ex-housing, ex-storage)'!F107/100/VLOOKUP($C$104,'DB animal categories'!$C$42:$AC$51,27,FALSE)*AJ107+I107+J107+K107,IF(AS107=4,('Calc (ex-animal)'!$G$24*'DB additional information '!$K$8/100+'Calc (ex-animal)'!$H$24*'DB additional information '!$L$8/100)*(1-VLOOKUP(D107,'DB technologies'!$N$53:$Y$64,9,FALSE)/100)*'Calc (ex-housing, ex-storage)'!F107/100*VLOOKUP(D107,'DB technologies'!$N$53:$Y$64,12,FALSE)/100/VLOOKUP($C$104,'DB animal categories'!$C$42:$AC$51,27,FALSE)*AJ107+I107+J107+K107,0))))))</f>
        <v/>
      </c>
      <c r="AV107" s="442" t="str">
        <f>IF(D107="","",IF(AS107=2,0,IF(AS107=1,'Calc (ex-animal)'!$G$24*(1-'DB additional information '!$K$8/100)*(1-VLOOKUP(D107,'DB technologies'!$N$53:$Y$64,8,FALSE)/100)*'Calc (ex-housing, ex-storage)'!F107/100/VLOOKUP($C$104,'DB animal categories'!$C$42:$AC$51,27,FALSE)*AJ107+M107+N107+O107,IF(AS107=5,('Calc (ex-animal)'!$G$24*(1-'DB additional information '!$K$8/100)+'Calc (ex-animal)'!$H$24*(1-'DB additional information '!$L$8/100))*(1-VLOOKUP(D107,'DB technologies'!$N$53:$Y$64,8,FALSE)/100)*'Calc (ex-housing, ex-storage)'!F107/100/VLOOKUP($C$104,'DB animal categories'!$C$42:$AC$51,27,FALSE)*AJ107+M107+N107+O107,IF(AS107=3,('Calc (ex-animal)'!$G$24*(1-'DB additional information '!$K$8/100)+'Calc (ex-animal)'!$H$24*(1-'DB additional information '!$L$8/100))*(1-VLOOKUP(D107,'DB technologies'!$N$53:$Y$64,8,FALSE)/100)*'Calc (ex-housing, ex-storage)'!F107/100/VLOOKUP($C$104,'DB animal categories'!$C$42:$AC$51,27,FALSE)*AJ107+M107+N107+O107,IF(AS107=4,('Calc (ex-animal)'!$G$24*(1-'DB additional information '!$K$8/100)+'Calc (ex-animal)'!$H$24*(1-'DB additional information '!$L$8/100))*(1-VLOOKUP(D107,'DB technologies'!$N$53:$Y$64,8,FALSE)/100)*'Calc (ex-housing, ex-storage)'!F107/100*VLOOKUP(D107,'DB technologies'!$N$53:$Y$64,12,FALSE)/100/VLOOKUP($C$104,'DB animal categories'!$C$42:$AC$51,27,FALSE)*AJ107+M107+N107+O107,0))))))</f>
        <v/>
      </c>
      <c r="AW107" s="442" t="str">
        <f>IF(AS107="","",IF(AU107=0,0,AU107/AT107*100))</f>
        <v/>
      </c>
      <c r="AX107" s="182" t="str">
        <f>IF(D107="","",IF(AS107=2,0,IF(AS107=1,'Calc (ex-animal)'!$K$24*'Calc (ex-housing, ex-storage)'!F107/100/VLOOKUP($C$104,'DB animal categories'!$C$42:$AC$51,27,FALSE)*AJ107+Q107+R107+S107,IF(AS107=5,('Calc (ex-animal)'!$K$24+'Calc (ex-animal)'!$L$24)*'Calc (ex-housing, ex-storage)'!F107/100/VLOOKUP($C$104,'DB animal categories'!$C$42:$AC$51,27,FALSE)*AJ107+Q107+R107+S107-'Calc (ex-housing, ex-storage)'!AC107,IF(AS107=3,('Calc (ex-animal)'!$K$24+'Calc (ex-animal)'!$L$24)*'Calc (ex-housing, ex-storage)'!F107/100/VLOOKUP($C$104,'DB animal categories'!$C$42:$AC$51,27,FALSE)*AJ107+Q107+R107+S107-'Calc (ex-housing, ex-storage)'!AC107-AD107-AE107,IF(AI107=4,('Calc (ex-animal)'!$K$24+'Calc (ex-animal)'!$L$24)*'Calc (ex-housing, ex-storage)'!F107/100*VLOOKUP(D107,'DB technologies'!$N$53:$Y$64,12,FALSE)/100/VLOOKUP($C$104,'DB animal categories'!$C$42:$AC$51,27,FALSE)*AJ107+Q107+R107+S107-(VLOOKUP(D107,'DB technologies'!$N$53:$Y$64,12,FALSE)/100*AC107)-AD107-AE107,0))))))</f>
        <v/>
      </c>
      <c r="AY107" s="182" t="str">
        <f>IF(D107="","",IF(AS107=2,0,IF(AS107=1,'Calc (ex-animal)'!$N$24*'Calc (ex-housing, ex-storage)'!F107/100/VLOOKUP($C$104,'DB animal categories'!$C$42:$AC$51,27,FALSE)*AJ107+U107+V107+W107,IF(AS107=5,('Calc (ex-animal)'!$N$24+'Calc (ex-animal)'!$O$24)*'Calc (ex-housing, ex-storage)'!F107/100/VLOOKUP($C$104,'DB animal categories'!$C$42:$AC$51,27,FALSE)*AJ107+U107+V107+W107,IF(AS107=3,('Calc (ex-animal)'!$N$24+'Calc (ex-animal)'!$O$24)*'Calc (ex-housing, ex-storage)'!F107/100/VLOOKUP($C$104,'DB animal categories'!$C$42:$AC$51,27,FALSE)*AJ107+U107+V107+W107,IF(AS107=4,('Calc (ex-animal)'!$N$24+'Calc (ex-animal)'!$O$24)*'Calc (ex-housing, ex-storage)'!F107/100*VLOOKUP(D107,'DB technologies'!$N$53:$Y$64,12,FALSE)/100/VLOOKUP($C$104,'DB animal categories'!$C$42:$AC$51,27,FALSE)*AJ107+U107+V107+W107,0))))))</f>
        <v/>
      </c>
      <c r="AZ107" s="182" t="str">
        <f>IF(D107="","",IF(AS107=2,0,IF(AS107=1,'Calc (ex-animal)'!$Q$24*'Calc (ex-housing, ex-storage)'!F107/100/VLOOKUP($C$104,'DB animal categories'!$C$42:$AC$51,27,FALSE)*AJ107+Y107+Z107+AA107,IF(AS107=5,('Calc (ex-animal)'!$Q$24+'Calc (ex-animal)'!$R$24)*'Calc (ex-housing, ex-storage)'!F107/100/VLOOKUP($C$104,'DB animal categories'!$C$42:$AC$51,27,FALSE)*AJ107+Y107+Z107+AA107,IF(AS107=3,('Calc (ex-animal)'!$Q$24+'Calc (ex-animal)'!$R$24)*'Calc (ex-housing, ex-storage)'!F107/100/VLOOKUP($C$104,'DB animal categories'!$C$42:$AC$51,27,FALSE)*AJ107+Y107+Z107+AA107,IF(AS107=4,('Calc (ex-animal)'!$Q$24+'Calc (ex-animal)'!$R$24)*'Calc (ex-housing, ex-storage)'!F107/100*VLOOKUP(D107,'DB technologies'!$N$53:$Y$64,12,FALSE)/100/VLOOKUP($C$104,'DB animal categories'!$C$42:$AC$51,27,FALSE)*AJ107+Y107+Z107+AA107,0))))))</f>
        <v/>
      </c>
      <c r="BA107" s="506"/>
      <c r="BB107" s="506"/>
      <c r="BC107" s="506"/>
      <c r="BG107" s="1359"/>
      <c r="BH107" s="1362"/>
      <c r="BI107" s="600" t="str">
        <f>IF(BG107="","",$BA$103*BH107/100-($BB$103*BH107/100*VLOOKUP(BG107,'DB technologies'!$AC$59:$AT$63,5,FALSE)/100)+(VLOOKUP(BG107,'DB technologies'!$AC$59:$AT$63,12,FALSE)*$BA$103*BH107/100))</f>
        <v/>
      </c>
      <c r="BJ107" s="470">
        <f>IF(BI107="",0,BI107*BK107/100)</f>
        <v>0</v>
      </c>
      <c r="BK107" s="509" t="str">
        <f>IF(BG107="","",IF($BA$103=0,0,($BB$103*BH107/100)/BI107*(1-(VLOOKUP(BG107,'DB technologies'!$AC$59:$AQ$63,5,FALSE))/100)*100))</f>
        <v/>
      </c>
      <c r="BL107" s="267" t="str">
        <f>IF(BG107="","",$BD$103*BH107/100-BO107-BP107-BQ107)</f>
        <v/>
      </c>
      <c r="BM107" s="267" t="str">
        <f>IF(BG107="","",$BE$103*BH107/100)</f>
        <v/>
      </c>
      <c r="BN107" s="267" t="str">
        <f>IF(BG107="","",$BF$103*BH107/100)</f>
        <v/>
      </c>
      <c r="BO107" s="267" t="str">
        <f>IF(BG107="","",$BD$103*BH107/100*VLOOKUP(BG107,'DB technologies'!$AC$43:$AF$47,2,FALSE)/100)</f>
        <v/>
      </c>
      <c r="BP107" s="267" t="str">
        <f>IF(BG107="","",$BD$103*BH107/100*VLOOKUP(BG107,'DB technologies'!$AC$43:$AN$47,3,FALSE)/100)</f>
        <v/>
      </c>
      <c r="BQ107" s="268" t="str">
        <f>IF(BG107="","",$BD$103*BH107/100*VLOOKUP(BG107,'DB technologies'!$AC$43:$AN$47,4,FALSE)/100)</f>
        <v/>
      </c>
      <c r="BR107" s="117"/>
      <c r="BS107" s="117"/>
      <c r="BT107" s="118"/>
    </row>
    <row r="108" spans="1:72" ht="11.25" customHeight="1" thickBot="1" x14ac:dyDescent="0.25">
      <c r="A108" s="684"/>
      <c r="B108" s="695"/>
      <c r="C108" s="251"/>
      <c r="D108" s="1359"/>
      <c r="E108" s="1360"/>
      <c r="F108" s="481" t="str">
        <f>IF('Calc (ex-animal)'!$F$9=1,"",IF($C$104=0,"",IF(D108="","",E108/'Calc (ex-animal)'!$E$24*100)))</f>
        <v/>
      </c>
      <c r="G108" s="483" t="str">
        <f>IF($C$104=0,"",IF('Calc (ex-animal)'!$F$8=1,"",IF(D108="","",SUM(H108:O108))))</f>
        <v/>
      </c>
      <c r="H108" s="445" t="str">
        <f>IF('Calc (ex-animal)'!$F$8=1,"",IF(D108="","",(((VLOOKUP($C$104,'Calc (ex-animal)'!$D$23:$Y$27,6,FALSE)-VLOOKUP($C$104,'Calc (ex-animal)'!$D$23:$Y$27,17,FALSE))*F108/100))*VLOOKUP($C$104,'Calc (ex-animal)'!$D$23:$Y$27,7,FALSE)/100*(1-VLOOKUP(D108,'DB technologies'!$N$53:$Y$64,9,FALSE)/100)))</f>
        <v/>
      </c>
      <c r="I108" s="445" t="str">
        <f>IF(D108="","",((VLOOKUP(D108,'DB technologies'!$N$53:$Y$64,2,FALSE)*VLOOKUP($C$104,'DB animal categories'!$C$42:$AC$51,27,FALSE)*E108/1000)/VLOOKUP($C$104,'DB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'!$S$6/100*(1-VLOOKUP(D108,'DB technologies'!$N$53:$Y$64,9,FALSE)/100)))</f>
        <v/>
      </c>
      <c r="J108" s="446" t="str">
        <f>IF(D108="","",((VLOOKUP(D108,'DB technologies'!$N$53:$Y$64,3,FALSE)*VLOOKUP($C$104,'DB animal categories'!$C$42:$AC$51,27,FALSE)*E108/1000)/VLOOKUP($C$104,'DB animal categories'!$C$42:$AC$51,27,FALSE)*(VLOOKUP($C$104,'DB animal categories'!$C$42:$AC$51,27,FALSE)-(VLOOKUP($C$104,'DB animal categories'!$C$42:$AC$51,25,FALSE)*VLOOKUP($C$104,'DB animal categories'!$C$42:$AC$51,26,FALSE)/24))*'DB additional information '!$S$7/100*(1-VLOOKUP(D108,'DB technologies'!$N$53:$Y$64,9,FALSE)/100)))</f>
        <v/>
      </c>
      <c r="K108" s="446" t="str">
        <f>IF(D108="","",((VLOOKUP(D108,'DB technologies'!$N$53:$Y$64,4,FALSE)*E108*'DB additional information '!$S$8/100*(1-VLOOKUP(D108,'DB technologies'!$N$53:$Y$64,9,FALSE)/100))/VLOOKUP($C$104,'DB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L108" s="445" t="str">
        <f>IF('Calc (ex-animal)'!$F$8=1,"",IF(D108="","",(((VLOOKUP($C$104,'Calc (ex-animal)'!$D$23:$Y$27,6,FALSE)-VLOOKUP($C$104,'Calc (ex-animal)'!$D$23:$Y$27,17,FALSE))*F108/100))*(1-VLOOKUP($C$104,'Calc (ex-animal)'!$D$23:$Y$27,7,FALSE)/100)*(1-VLOOKUP(D108,'DB technologies'!$N$53:$V$64,8,FALSE)/100)))</f>
        <v/>
      </c>
      <c r="M108" s="446" t="str">
        <f>IF(D108="","",((VLOOKUP(D108,'DB technologies'!$N$53:$Y$64,2,FALSE)*VLOOKUP($C$104,'DB animal categories'!$C$42:$AC$51,27,FALSE)*E108/1000)/VLOOKUP($C$104,'DB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'!$S$6/100)*(1-VLOOKUP(D108,'DB technologies'!$N$53:$Y$64,9,FALSE)/100))</f>
        <v/>
      </c>
      <c r="N108" s="446" t="str">
        <f>IF(D108="","",((VLOOKUP(D108,'DB technologies'!$N$53:$Y$64,3,FALSE)*VLOOKUP($C$104,'DB animal categories'!$C$42:$AC$51,27,FALSE)*E108/1000)/VLOOKUP($C$104,'DB animal categories'!$C$42:$AC$51,27,FALSE)*(VLOOKUP($C$104,'DB animal categories'!$C$42:$AC$51,27,FALSE)-VLOOKUP($C$104,'DB animal categories'!$C$42:$AC$51,25,FALSE)*VLOOKUP($C$104,'DB animal categories'!$C$42:$AC$51,26,FALSE)/24))*(1-'DB additional information '!$S$7/100)*(1-VLOOKUP(D108,'DB technologies'!$N$53:$Y$64,9,FALSE)/100))</f>
        <v/>
      </c>
      <c r="O108" s="445" t="str">
        <f>IF(D108="","",((VLOOKUP(D108,'DB technologies'!$N$53:$Y$64,4,FALSE)*E108*(1-'DB additional information '!$S$8/100)*(1-VLOOKUP(D108,'DB technologies'!$N$53:$Y$64,8,FALSE)/100))/VLOOKUP($C$104,'DB animal categories'!$C$42:$AC$51,27,FALSE)*(VLOOKUP($C$104,'DB animal categories'!$C$42:$AC$51,27,FALSE)-VLOOKUP($C$104,'DB animal categories'!$C$42:$AC$51,25,FALSE)*VLOOKUP($C$104,'DB animal categories'!$C$42:$AC$51,26,FALSE)/24)))</f>
        <v/>
      </c>
      <c r="P108" s="444" t="str">
        <f>IF(G108=0,0,IF(E108="","",IF(F108="","",IF($C$104=0,"",IF(D108="","",SUM(H108:K108)/G108*100)))))</f>
        <v/>
      </c>
      <c r="Q108" s="476" t="str">
        <f>IF(D108="","",(VLOOKUP(D108,'DB technologies'!$N$53:$Y$64,2,FALSE)*'DB additional information '!$S$6/100*'DB additional information '!$T$6*VLOOKUP($C$104,'DB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R108" s="476" t="str">
        <f>IF(D108="","",(VLOOKUP(D108,'DB technologies'!$N$53:$Y$64,3,FALSE)*'DB additional information '!$S$7/100*'DB additional information '!$T$7*VLOOKUP($C$104,'DB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S108" s="494" t="str">
        <f>IF(D108="","",(VLOOKUP(D108,'DB technologies'!$N$53:$Y$64,4,FALSE)*('DB additional information '!$S$8/100*'DB additional information '!$T$8*E108/1000/1000)))</f>
        <v/>
      </c>
      <c r="T108" s="266" t="str">
        <f>IF($C$104=0,"",IF('Calc (ex-animal)'!$F$9=1,"",IF(D108="","",((VLOOKUP($C$104,'Calc (ex-animal)'!$D$23:$Y$27,10,FALSE)-VLOOKUP($C$104,'Calc (ex-animal)'!$D$23:$Y$27,18,FALSE))*F108/100+Q108+R108+S108)-AC108-AD108-AE108)))</f>
        <v/>
      </c>
      <c r="U108" s="477" t="str">
        <f>IF(D108="","",(VLOOKUP(D108,'DB technologies'!$N$53:$Y$64,2,FALSE)*'DB additional information '!$S$6/100*'DB additional information '!$U$6*VLOOKUP($C$104,'DB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V108" s="433" t="str">
        <f>IF(D108="","",(VLOOKUP(D108,'DB technologies'!$N$53:$Y$64,3,FALSE)*'DB additional information '!$S$7/100*'DB additional information '!$U$7*VLOOKUP($C$104,'DB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W108" s="475" t="str">
        <f>IF(D108="","",(VLOOKUP(D108,'DB technologies'!$N$53:$Y$64,4,FALSE)*('DB additional information '!$S$8/100*'DB additional information '!$U$8*E108/1000/1000)))</f>
        <v/>
      </c>
      <c r="X108" s="267" t="str">
        <f>IF($C$104=0,"",IF('Calc (ex-animal)'!$F$9=1,"",IF(D108="","",((VLOOKUP($C$104,'Calc (ex-animal)'!$D$23:$Y$27,13,FALSE)-VLOOKUP($C$104,'Calc (ex-animal)'!$D$23:$Y$27,19,FALSE))*F108/100+U108+V108+W108))))</f>
        <v/>
      </c>
      <c r="Y108" s="433" t="str">
        <f>IF(D108="","",(VLOOKUP(D108,'DB technologies'!$N$53:$Y$64,2,FALSE)*'DB additional information '!$S$6/100*'DB additional information '!$V$6*VLOOKUP($C$104,'DB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Z108" s="433" t="str">
        <f>IF(D108="","",(VLOOKUP(D108,'DB technologies'!$N$53:$Y$64,3,FALSE)*'DB additional information '!$S$7/100*'DB additional information '!$V$7*VLOOKUP($C$104,'DB animal categories'!$C$42:$AC$51,27,FALSE)*E108/1000/1000)/VLOOKUP($C$104,'DB animal categories'!$C$42:$AC$51,27,FALSE)*(VLOOKUP($C$104,'DB animal categories'!$C$42:$AC$51,27,FALSE)-VLOOKUP($C$104,'DB animal categories'!$C$42:$AC$51,25,FALSE)*VLOOKUP($C$104,'DB animal categories'!$C$42:$AC$51,26,FALSE)/24))</f>
        <v/>
      </c>
      <c r="AA108" s="433" t="str">
        <f>IF(D108="","",(VLOOKUP(D108,'DB technologies'!$N$53:$Y$64,4,FALSE)*('DB additional information '!$S$8/100*'DB additional information '!$V$8*E108/1000/1000)))</f>
        <v/>
      </c>
      <c r="AB108" s="267" t="str">
        <f>IF($C$104=0,"",IF('Calc (ex-animal)'!$F$8=1,"",IF(D108="","",((VLOOKUP($C$104,'Calc (ex-animal)'!$D$23:$Y$27,16,FALSE)-VLOOKUP($C$104,'Calc (ex-animal)'!$D$23:$Y$27,20,FALSE))*F108/100+Y108+Z108+AA108))))</f>
        <v/>
      </c>
      <c r="AC108" s="267" t="str">
        <f>IF($C$104=0,"",IF('Calc (ex-animal)'!$F$8=1,"",IF(D108="","",VLOOKUP($C$104,'Calc (ex-animal)'!$D$23:$Y$27,9,FALSE)/VLOOKUP($C$104,'DB animal categories'!$C$42:$AC$51,27,FALSE)*(VLOOKUP($C$104,'DB animal categories'!$C$42:$AC$51,27,FALSE)-VLOOKUP($C$104,'DB animal categories'!$C$42:$AC$51,25,FALSE)*VLOOKUP($C$104,'DB animal categories'!$C$42:$AC$51,26,FALSE)/24)*F108/100*VLOOKUP(D108,'DB technologies'!$N$53:$R$64,5,FALSE)/100)))</f>
        <v/>
      </c>
      <c r="AD108" s="267" t="str">
        <f>IF($C$104=0,"",IF('Calc (ex-animal)'!$F$8=1,"",IF(D108="","",VLOOKUP($C$104,'Calc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categories'!$C$42:$AC$51,26,FALSE)/24)*F108/100*VLOOKUP(D108,'DB technologies'!$N$53:$Y$64,6,FALSE)/100)))</f>
        <v/>
      </c>
      <c r="AE108" s="268" t="str">
        <f>IF($C$104=0,"",IF('Calc (ex-animal)'!$F$8=1,"",IF(D108="","",VLOOKUP($C$104,'Calc (ex-animal)'!$D$23:$Y$27,10,FALSE)/VLOOKUP($C$104,'DB animal categories'!$C$42:$AC$51,27,FALSE)*(VLOOKUP($C$104,'DB animal categories'!$C$42:$AC$51,27,FALSE)-VLOOKUP($C$104,'DB animal categories'!$C$42:$AC$51,25,FALSE)*VLOOKUP($C$104,'DB animal categories'!$C$42:$AC$51,26,FALSE)/24)*F108/100*VLOOKUP(D108,'DB technologies'!$N$53:$Y$64,7,FALSE)/100)))</f>
        <v/>
      </c>
      <c r="AG108" s="698"/>
      <c r="AH108" s="696"/>
      <c r="AI108" s="183" t="str">
        <f>IF(D108="","",VLOOKUP(D108,'DB technologies'!$N$53:$Y$64,10,FALSE))</f>
        <v/>
      </c>
      <c r="AJ108" s="451" t="e">
        <f>VLOOKUP($C$104,'DB animal categories'!$C$42:$AN$51,27,FALSE)-VLOOKUP($C$104,'DB animal categories'!$C$42:$AN$51,26,FALSE)*VLOOKUP($C$104,'DB animal categories'!$C$42:$AN$51,25,FALSE)/24</f>
        <v>#N/A</v>
      </c>
      <c r="AK108" s="452" t="str">
        <f>IF(AI108="","",AL108+AM108)</f>
        <v/>
      </c>
      <c r="AL108" s="452" t="str">
        <f>IF(D108="","",IF(AI108=2,(('Calc (ex-animal)'!$G$24*'DB additional information '!$K$8/100*(1-VLOOKUP(D108,'DB technologies'!$N$53:$Y$64,9,FALSE)/100)*'Calc (ex-housing, ex-storage)'!F108/100+'Calc (ex-animal)'!$H$24*'DB additional information '!$L$8/100*(1-VLOOKUP(D108,'DB technologies'!$N$53:$Y$64,9,FALSE)/100)*'Calc (ex-housing, ex-storage)'!F108/100))/VLOOKUP($C$104,'DB animal categories'!$C$42:$AC$51,27,FALSE)*AJ108+I108+J108+K108,IF(AI108=1,('Calc (ex-animal)'!$H$24*'DB additional information '!$L$8/100*(1-VLOOKUP(D108,'DB technologies'!$N$53:$Y$64,9,FALSE)/100)*'Calc (ex-housing, ex-storage)'!F108/100)/VLOOKUP($C$104,'DB animal categories'!$C$42:$AC$51,27,FALSE)*AJ108,IF(AI108=4,('Calc (ex-animal)'!$G$24*'DB additional information '!$K$8/100+'Calc (ex-animal)'!$H$24*'DB additional information '!$L$8/100)*(1-VLOOKUP(D108,'DB technologies'!$N$53:$Y$64,9,FALSE)/100)*'Calc (ex-housing, ex-storage)'!F108/100*VLOOKUP(D108,'DB technologies'!$N$53:$Y$64,11,FALSE)/100/VLOOKUP($C$104,'DB animal categories'!$C$42:$AC$51,27,FALSE)*AJ108,0))))</f>
        <v/>
      </c>
      <c r="AM108" s="452" t="str">
        <f>IF(D108="","",IF(AI108=2,(('Calc (ex-animal)'!$G$24*(1-'DB additional information '!$K$8/100)*(1-VLOOKUP(D108,'DB technologies'!$N$53:$Y$64,8,FALSE)/100)*'Calc (ex-housing, ex-storage)'!F108/100+'Calc (ex-animal)'!$H$24*(1-'DB additional information '!$L$8/100)*(1-VLOOKUP(D108,'DB technologies'!$N$53:$Y$64,8,FALSE)/100)*'Calc (ex-housing, ex-storage)'!F108/100))/VLOOKUP($C$104,'DB animal categories'!$C$42:$AC$51,27,FALSE)*AJ108+M108+N108+O108,IF(AI108=1,('Calc (ex-animal)'!$H$24*(1-'DB additional information '!$L$8/100)*(1-VLOOKUP(D108,'DB technologies'!$N$53:$Y$64,8,FALSE)/100)*'Calc (ex-housing, ex-storage)'!F108/100)/VLOOKUP($C$104,'DB animal categories'!$C$42:$AC$51,27,FALSE)*AJ108,IF(AI108=4,('Calc (ex-animal)'!$G$24*(1-'DB additional information '!$K$8/100)+'Calc (ex-animal)'!$H$24*(1-'DB additional information '!$L$8/100))*(1-VLOOKUP(D108,'DB technologies'!$N$53:$Y$64,8,FALSE)/100)*'Calc (ex-housing, ex-storage)'!F108/100*VLOOKUP(D108,'DB technologies'!$N$53:$Y$64,11,FALSE)/100/VLOOKUP($C$104,'DB animal categories'!$C$42:$AC$51,27,FALSE)*AJ108,0))))</f>
        <v/>
      </c>
      <c r="AN108" s="452" t="str">
        <f>IF(AI108="","",IF(AL108=0,0,AL108/AK108*100))</f>
        <v/>
      </c>
      <c r="AO108" s="184" t="str">
        <f>IF(D108="","",IF(AI108=2,(('Calc (ex-animal)'!$L$24*'Calc (ex-housing, ex-storage)'!F108/100+'Calc (ex-animal)'!$K$24*'Calc (ex-housing, ex-storage)'!F108/100))/VLOOKUP($C$104,'DB animal categories'!$C$42:$AC$51,27,FALSE)*AJ108+Q108+R108+S108-AC108,IF(AI108=1,('Calc (ex-animal)'!$L$24*'Calc (ex-housing, ex-storage)'!F108/100)/VLOOKUP($C$104,'DB animal categories'!$C$42:$AC$51,27,FALSE)*AJ108-'Calc (ex-housing, ex-storage)'!AC108,IF(AI108=4,('Calc (ex-animal)'!$L$24+'Calc (ex-animal)'!$K$24)*'Calc (ex-housing, ex-storage)'!F108/100*VLOOKUP(D108,'DB technologies'!$N$53:$Y$64,11,FALSE)/100/VLOOKUP($C$104,'DB animal categories'!$C$42:$AC$51,27,FALSE)*AJ108-AC108*VLOOKUP(D108,'DB technologies'!$N$53:$Y$64,11,FALSE)/100,0))))</f>
        <v/>
      </c>
      <c r="AP108" s="184" t="str">
        <f>IF(D108="","",IF(AO108&lt;-0.01,0,IF(AI108=2,(('Calc (ex-animal)'!$L$24*'Calc (ex-housing, ex-storage)'!F108/100+'Calc (ex-animal)'!$K$24*'Calc (ex-housing, ex-storage)'!F108/100))/VLOOKUP($C$104,'DB animal categories'!$C$42:$AC$51,27,FALSE)*AJ108+Q108+R108+S108-AC108,IF(AI108=1,('Calc (ex-animal)'!$L$24*'Calc (ex-housing, ex-storage)'!F108/100)/VLOOKUP($C$104,'DB animal categories'!$C$42:$AC$51,27,FALSE)*AJ108-'Calc (ex-housing, ex-storage)'!AC108,IF(AI108=4,('Calc (ex-animal)'!$L$24+'Calc (ex-animal)'!$K$24)*'Calc (ex-housing, ex-storage)'!F108/100*VLOOKUP(D108,'DB technologies'!$N$53:$Y$64,11,FALSE)/100/VLOOKUP($C$104,'DB animal categories'!$C$42:$AC$51,27,FALSE)*AJ108-AC108*VLOOKUP(D108,'DB technologies'!$N$53:$Y$64,11,FALSE)/100,0)))))</f>
        <v/>
      </c>
      <c r="AQ108" s="184" t="str">
        <f>IF(D108="","",IF(AI108=2,('Calc (ex-animal)'!$O$24*'Calc (ex-housing, ex-storage)'!F108/100+'Calc (ex-animal)'!$N$24*'Calc (ex-housing, ex-storage)'!F108/100)/VLOOKUP($C$104,'DB animal categories'!$C$42:$AC$51,27,FALSE)*AJ108+U108+V108+W108,IF(AI108=1,'Calc (ex-animal)'!$O$24*'Calc (ex-housing, ex-storage)'!F108/100/VLOOKUP($C$104,'DB animal categories'!$C$42:$AC$51,27,FALSE)*AJ108,IF(AI108=4,('Calc (ex-animal)'!$O$24+'Calc (ex-animal)'!$N$24)*'Calc (ex-housing, ex-storage)'!F108/100*VLOOKUP(D108,'DB technologies'!$N$53:$Y$64,11,FALSE)/100/VLOOKUP($C$104,'DB animal categories'!$C$42:$AC$51,27,FALSE)*AJ108,0))))</f>
        <v/>
      </c>
      <c r="AR108" s="184" t="str">
        <f>IF(D108="","",IF(AI108=2,('Calc (ex-animal)'!$R$24*'Calc (ex-housing, ex-storage)'!F108/100+'Calc (ex-animal)'!$Q$24*'Calc (ex-housing, ex-storage)'!F108/100)/VLOOKUP($C$104,'DB animal categories'!$C$42:$AC$51,27,FALSE)*AJ108+Y108+Z108+AA108,IF(AI108=1,'Calc (ex-animal)'!$R$24*'Calc (ex-housing, ex-storage)'!F108/100/VLOOKUP($C$104,'DB animal categories'!$C$42:$AC$51,27,FALSE)*AJ108,IF(AI108=4,('Calc (ex-animal)'!$R$24+'Calc (ex-animal)'!$Q$24)*'Calc (ex-housing, ex-storage)'!F108/100*VLOOKUP(D108,'DB technologies'!$N$53:$Y$64,11,FALSE)/100/VLOOKUP($C$104,'DB animal categories'!$C$42:$AC$51,27,FALSE)*AJ108,0))))</f>
        <v/>
      </c>
      <c r="AS108" s="183" t="str">
        <f>IF(D108="","",VLOOKUP(D108,'DB technologies'!$N$53:$Y$64,10,FALSE))</f>
        <v/>
      </c>
      <c r="AT108" s="452" t="str">
        <f>IF(AS108="","",AU108+AV108)</f>
        <v/>
      </c>
      <c r="AU108" s="452" t="str">
        <f>IF(D108="","",IF(AS108=2,0,IF(AS108=1,'Calc (ex-animal)'!$G$24*'DB additional information '!$K$8/100*(1-VLOOKUP(D108,'DB technologies'!$N$53:$Y$64,8,FALSE)/100)*'Calc (ex-housing, ex-storage)'!F108/100/VLOOKUP($C$104,'DB animal categories'!$C$42:$AC$51,27,FALSE)*AJ108+I108+J108+K108,IF(AS108=5,(('Calc (ex-animal)'!$G$24*'DB additional information '!$K$8/100+'Calc (ex-animal)'!$H$24*'DB additional information '!$L$8/100))*(1-VLOOKUP(D108,'DB technologies'!$N$53:$Y$64,9,FALSE)/100)*'Calc (ex-housing, ex-storage)'!F108/100/VLOOKUP($C$104,'DB animal categories'!$C$42:$AC$51,27,FALSE)*AJ108+I108+J108+K108,IF(AS108=3,('Calc (ex-animal)'!$G$24*'DB additional information '!$K$8/100+'Calc (ex-animal)'!$H$24*'DB additional information '!$L$8/100)*(1-VLOOKUP(D108,'DB technologies'!$N$53:$Y$64,9,FALSE)/100)*'Calc (ex-housing, ex-storage)'!F108/100/VLOOKUP($C$104,'DB animal categories'!$C$42:$AC$51,27,FALSE)*AJ108+I108+J108+K108,IF(AS108=4,('Calc (ex-animal)'!$G$24*'DB additional information '!$K$8/100+'Calc (ex-animal)'!$H$24*'DB additional information '!$L$8/100)*(1-VLOOKUP(D108,'DB technologies'!$N$53:$Y$64,9,FALSE)/100)*'Calc (ex-housing, ex-storage)'!F108/100*VLOOKUP(D108,'DB technologies'!$N$53:$Y$64,12,FALSE)/100/VLOOKUP($C$104,'DB animal categories'!$C$42:$AC$51,27,FALSE)*AJ108+I108+J108+K108,0))))))</f>
        <v/>
      </c>
      <c r="AV108" s="452" t="str">
        <f>IF(D108="","",IF(AS108=2,0,IF(AS108=1,'Calc (ex-animal)'!$G$24*(1-'DB additional information '!$K$8/100)*(1-VLOOKUP(D108,'DB technologies'!$N$53:$Y$64,8,FALSE)/100)*'Calc (ex-housing, ex-storage)'!F108/100/VLOOKUP($C$104,'DB animal categories'!$C$42:$AC$51,27,FALSE)*AJ108+M108+N108+O108,IF(AS108=5,('Calc (ex-animal)'!$G$24*(1-'DB additional information '!$K$8/100)+'Calc (ex-animal)'!$H$24*(1-'DB additional information '!$L$8/100))*(1-VLOOKUP(D108,'DB technologies'!$N$53:$Y$64,8,FALSE)/100)*'Calc (ex-housing, ex-storage)'!F108/100/VLOOKUP($C$104,'DB animal categories'!$C$42:$AC$51,27,FALSE)*AJ108+M108+N108+O108,IF(AS108=3,('Calc (ex-animal)'!$G$24*(1-'DB additional information '!$K$8/100)+'Calc (ex-animal)'!$H$24*(1-'DB additional information '!$L$8/100))*(1-VLOOKUP(D108,'DB technologies'!$N$53:$Y$64,8,FALSE)/100)*'Calc (ex-housing, ex-storage)'!F108/100/VLOOKUP($C$104,'DB animal categories'!$C$42:$AC$51,27,FALSE)*AJ108+M108+N108+O108,IF(AS108=4,('Calc (ex-animal)'!$G$24*(1-'DB additional information '!$K$8/100)+'Calc (ex-animal)'!$H$24*(1-'DB additional information '!$L$8/100))*(1-VLOOKUP(D108,'DB technologies'!$N$53:$Y$64,8,FALSE)/100)*'Calc (ex-housing, ex-storage)'!F108/100*VLOOKUP(D108,'DB technologies'!$N$53:$Y$64,12,FALSE)/100/VLOOKUP($C$104,'DB animal categories'!$C$42:$AC$51,27,FALSE)*AJ108+M108+N108+O108,0))))))</f>
        <v/>
      </c>
      <c r="AW108" s="452" t="str">
        <f>IF(AS108="","",IF(AU108=0,0,AU108/AT108*100))</f>
        <v/>
      </c>
      <c r="AX108" s="184" t="str">
        <f>IF(D108="","",IF(AS108=2,0,IF(AS108=1,'Calc (ex-animal)'!$K$24*'Calc (ex-housing, ex-storage)'!F108/100/VLOOKUP($C$104,'DB animal categories'!$C$42:$AC$51,27,FALSE)*AJ108+Q108+R108+S108,IF(AS108=5,('Calc (ex-animal)'!$K$24+'Calc (ex-animal)'!$L$24)*'Calc (ex-housing, ex-storage)'!F108/100/VLOOKUP($C$104,'DB animal categories'!$C$42:$AC$51,27,FALSE)*AJ108+Q108+R108+S108-'Calc (ex-housing, ex-storage)'!AC108,IF(AS108=3,('Calc (ex-animal)'!$K$24+'Calc (ex-animal)'!$L$24)*'Calc (ex-housing, ex-storage)'!F108/100/VLOOKUP($C$104,'DB animal categories'!$C$42:$AC$51,27,FALSE)*AJ108+Q108+R108+S108-'Calc (ex-housing, ex-storage)'!AC108-AD108-AE108,IF(AI108=4,('Calc (ex-animal)'!$K$24+'Calc (ex-animal)'!$L$24)*'Calc (ex-housing, ex-storage)'!F108/100*VLOOKUP(D108,'DB technologies'!$N$53:$Y$64,12,FALSE)/100/VLOOKUP($C$104,'DB animal categories'!$C$42:$AC$51,27,FALSE)*AJ108+Q108+R108+S108-(VLOOKUP(D108,'DB technologies'!$N$53:$Y$64,12,FALSE)/100*AC108)-AD108-AE108,0))))))</f>
        <v/>
      </c>
      <c r="AY108" s="184" t="str">
        <f>IF(D108="","",IF(AS108=2,0,IF(AS108=1,'Calc (ex-animal)'!$N$24*'Calc (ex-housing, ex-storage)'!F108/100/VLOOKUP($C$104,'DB animal categories'!$C$42:$AC$51,27,FALSE)*AJ108+U108+V108+W108,IF(AS108=5,('Calc (ex-animal)'!$N$24+'Calc (ex-animal)'!$O$24)*'Calc (ex-housing, ex-storage)'!F108/100/VLOOKUP($C$104,'DB animal categories'!$C$42:$AC$51,27,FALSE)*AJ108+U108+V108+W108,IF(AS108=3,('Calc (ex-animal)'!$N$24+'Calc (ex-animal)'!$O$24)*'Calc (ex-housing, ex-storage)'!F108/100/VLOOKUP($C$104,'DB animal categories'!$C$42:$AC$51,27,FALSE)*AJ108+U108+V108+W108,IF(AS108=4,('Calc (ex-animal)'!$N$24+'Calc (ex-animal)'!$O$24)*'Calc (ex-housing, ex-storage)'!F108/100*VLOOKUP(D108,'DB technologies'!$N$53:$Y$64,12,FALSE)/100/VLOOKUP($C$104,'DB animal categories'!$C$42:$AC$51,27,FALSE)*AJ108+U108+V108+W108,0))))))</f>
        <v/>
      </c>
      <c r="AZ108" s="184" t="str">
        <f>IF(D108="","",IF(AS108=2,0,IF(AS108=1,'Calc (ex-animal)'!$Q$24*'Calc (ex-housing, ex-storage)'!F108/100/VLOOKUP($C$104,'DB animal categories'!$C$42:$AC$51,27,FALSE)*AJ108+Y108+Z108+AA108,IF(AS108=5,('Calc (ex-animal)'!$Q$24+'Calc (ex-animal)'!$R$24)*'Calc (ex-housing, ex-storage)'!F108/100/VLOOKUP($C$104,'DB animal categories'!$C$42:$AC$51,27,FALSE)*AJ108+Y108+Z108+AA108,IF(AS108=3,('Calc (ex-animal)'!$Q$24+'Calc (ex-animal)'!$R$24)*'Calc (ex-housing, ex-storage)'!F108/100/VLOOKUP($C$104,'DB animal categories'!$C$42:$AC$51,27,FALSE)*AJ108+Y108+Z108+AA108,IF(AS108=4,('Calc (ex-animal)'!$Q$24+'Calc (ex-animal)'!$R$24)*'Calc (ex-housing, ex-storage)'!F108/100*VLOOKUP(D108,'DB technologies'!$N$53:$Y$64,12,FALSE)/100/VLOOKUP($C$104,'DB animal categories'!$C$42:$AC$51,27,FALSE)*AJ108+Y108+Z108+AA108,0))))))</f>
        <v/>
      </c>
      <c r="BA108" s="506"/>
      <c r="BB108" s="506"/>
      <c r="BC108" s="506"/>
      <c r="BG108" s="574" t="s">
        <v>58</v>
      </c>
      <c r="BH108" s="316">
        <f>IF(SUM(BH103:BH107) &gt;100,"ERROR, SUM&gt;100%",SUM(BH103:BH107))</f>
        <v>0</v>
      </c>
      <c r="BI108" s="605">
        <f>SUM(BI103:BI107)</f>
        <v>0</v>
      </c>
      <c r="BJ108" s="593">
        <f>SUM(BJ103:BJ107)</f>
        <v>0</v>
      </c>
      <c r="BK108" s="597">
        <f>IF(BI108=0,0,BJ108/BI108*100)</f>
        <v>0</v>
      </c>
      <c r="BL108" s="310">
        <f t="shared" ref="BL108:BQ108" si="16">SUM(BL103:BL107)</f>
        <v>0</v>
      </c>
      <c r="BM108" s="310">
        <f t="shared" si="16"/>
        <v>0</v>
      </c>
      <c r="BN108" s="310">
        <f t="shared" si="16"/>
        <v>0</v>
      </c>
      <c r="BO108" s="310">
        <f t="shared" si="16"/>
        <v>0</v>
      </c>
      <c r="BP108" s="310">
        <f t="shared" si="16"/>
        <v>0</v>
      </c>
      <c r="BQ108" s="311">
        <f t="shared" si="16"/>
        <v>0</v>
      </c>
      <c r="BR108" s="119"/>
      <c r="BS108" s="120"/>
      <c r="BT108" s="121"/>
    </row>
    <row r="109" spans="1:72" ht="12" customHeight="1" thickBot="1" x14ac:dyDescent="0.25">
      <c r="A109" s="684"/>
      <c r="B109" s="695"/>
      <c r="C109" s="252"/>
      <c r="D109" s="269" t="s">
        <v>58</v>
      </c>
      <c r="E109" s="270">
        <f>IF(F109&lt;=100,SUM(E104:E108),"ERROR")</f>
        <v>0</v>
      </c>
      <c r="F109" s="284">
        <f>IF(SUM(F104:F108) &lt;=100,SUM(F104:F108),"ERROR, SUM&gt;100%")</f>
        <v>0</v>
      </c>
      <c r="G109" s="492">
        <f>IF('Calc (ex-animal)'!$F$9=1,"",SUM(G104:G108))</f>
        <v>0</v>
      </c>
      <c r="H109" s="433">
        <f>IF('Calc (ex-animal)'!$F$8=1,"",SUM(H104:H108))</f>
        <v>0</v>
      </c>
      <c r="I109" s="433">
        <f>IF('Calc (ex-animal)'!$F$8=1,"",SUM(I104:I108))</f>
        <v>0</v>
      </c>
      <c r="J109" s="433">
        <f>IF('Calc (ex-animal)'!$F$8=1,"",SUM(J104:J108))</f>
        <v>0</v>
      </c>
      <c r="K109" s="433">
        <f>IF('Calc (ex-animal)'!$F$8=1,"",SUM(K104:K108))</f>
        <v>0</v>
      </c>
      <c r="L109" s="433">
        <f>IF('Calc (ex-animal)'!$F$8=1,"",SUM(L104:L108))</f>
        <v>0</v>
      </c>
      <c r="M109" s="470"/>
      <c r="N109" s="470"/>
      <c r="O109" s="470"/>
      <c r="P109" s="478">
        <f>IF(G109=0,0,IF('Calc (ex-animal)'!$F$9=1,"",IF(D109="","",SUM(H109:K109)/G109*100)))</f>
        <v>0</v>
      </c>
      <c r="Q109" s="271"/>
      <c r="R109" s="271"/>
      <c r="S109" s="271"/>
      <c r="T109" s="278">
        <f>IF('Calc (ex-animal)'!$F$24=1,"",SUM(T104:T108))</f>
        <v>0</v>
      </c>
      <c r="U109" s="279"/>
      <c r="V109" s="279"/>
      <c r="W109" s="279"/>
      <c r="X109" s="279">
        <f>IF('Calc (ex-animal)'!$F$24=1,"",SUM(X104:X108))</f>
        <v>0</v>
      </c>
      <c r="Y109" s="279"/>
      <c r="Z109" s="279"/>
      <c r="AA109" s="279"/>
      <c r="AB109" s="279">
        <f>IF('Calc (ex-animal)'!$F$24=1,"",SUM(AB104:AB108))</f>
        <v>0</v>
      </c>
      <c r="AC109" s="279">
        <f>IF('Calc (ex-animal)'!$F$24=1,"",SUM(AC104:AC108))</f>
        <v>0</v>
      </c>
      <c r="AD109" s="279">
        <f>IF('Calc (ex-animal)'!$F$24=1,"",SUM(AD104:AD108))</f>
        <v>0</v>
      </c>
      <c r="AE109" s="280">
        <f>IF('Calc (ex-animal)'!$F$24=1,"",SUM(AE104:AE108))</f>
        <v>0</v>
      </c>
      <c r="AG109" s="698"/>
      <c r="AH109" s="694" t="s">
        <v>133</v>
      </c>
      <c r="BA109" s="98">
        <f>SUMIF(AS577:AS605,1,AT577:AT605)+SUMIF(AS577:AS605,5,AT577:AT605)</f>
        <v>0</v>
      </c>
      <c r="BB109" s="98">
        <f>SUMIF(AS577:AS605,1,AU577:AU605)+SUMIF(AS577:AS605,5,AU577:AU605)</f>
        <v>0</v>
      </c>
      <c r="BC109" s="506" t="e">
        <f>BB109/BA109*100</f>
        <v>#DIV/0!</v>
      </c>
      <c r="BD109" s="98">
        <f>SUMIF(AS577:AS605,1,AX577:AX605)+SUMIF(AS577:AS605,5,AX577:AX605)</f>
        <v>0</v>
      </c>
      <c r="BE109" s="98">
        <f>SUMIF(AS577:AS605,1,AY577:AY605)+SUMIF(AS577:AS605,5,AY577:AY605)</f>
        <v>0</v>
      </c>
      <c r="BF109" s="98">
        <f>SUMIF(AS577:AS605,1,AZ577:AZ605)+SUMIF(AS577:AS605,5,AZ577:AZ605)</f>
        <v>0</v>
      </c>
      <c r="BG109" s="1355"/>
      <c r="BH109" s="1363"/>
      <c r="BI109" s="599" t="str">
        <f>IF(BG109="","",$BA$109*BH109/100-($BB$109*BH109/100*VLOOKUP(BG109,'DB technologies'!$AC$64:$AT$68,5,FALSE)/100)+(VLOOKUP(BG109,'DB technologies'!$AC$64:$AT$68,12,FALSE)*$BA$109*BH109/100))</f>
        <v/>
      </c>
      <c r="BJ109" s="551">
        <f>IF(BI109="",0,BI109*BK109/100)</f>
        <v>0</v>
      </c>
      <c r="BK109" s="570" t="str">
        <f>IF(BG109="","",IF($BA$109=0,0,($BB$109*BH109/100)/BI109*(1-(VLOOKUP(BG109,'DB technologies'!$AC$64:$AQ$68,5,FALSE))/100)*100))</f>
        <v/>
      </c>
      <c r="BL109" s="259" t="str">
        <f>IF(BG109="","",$BD$109*BH109/100-BO109-BP109-BQ109-BR109)</f>
        <v/>
      </c>
      <c r="BM109" s="259" t="str">
        <f>IF(BG109="","",$BE$109*BH109/100-BS109)</f>
        <v/>
      </c>
      <c r="BN109" s="259" t="str">
        <f>IF(BG109="","",$BF$109*BH109/100-BT109)</f>
        <v/>
      </c>
      <c r="BO109" s="259" t="str">
        <f>IF(BG109="","",$BD$109*BH109/100*VLOOKUP(BG109,'DB technologies'!$AC$64:$AF$68,2,FALSE)/100)</f>
        <v/>
      </c>
      <c r="BP109" s="259" t="str">
        <f>IF(BG109="","",$BD$109*BH109/100*VLOOKUP(BG109,'DB technologies'!$AC$64:$AN$68,3,FALSE)/100)</f>
        <v/>
      </c>
      <c r="BQ109" s="260" t="str">
        <f>IF(BG109="","",$BD$109*BH109/100*VLOOKUP(BG109,'DB technologies'!$AC$64:$AN$68,4,FALSE)/100)</f>
        <v/>
      </c>
      <c r="BR109" s="263" t="str">
        <f>IF(BG109="","",VLOOKUP(BG109,'DB technologies'!$AC$64:$AQ$68,13,FALSE)/100*$BD$109*BH109/100)</f>
        <v/>
      </c>
      <c r="BS109" s="259" t="str">
        <f>IF(BG109="","",VLOOKUP(BG109,'DB technologies'!$AC$64:$AQ$68,14,FALSE)/100*$BE$109*BH109/100)</f>
        <v/>
      </c>
      <c r="BT109" s="260" t="str">
        <f>IF(BG109="","",VLOOKUP(BG109,'DB technologies'!$AC$64:$AQ$68,15,FALSE)/100*$BF$109*BH109/100)</f>
        <v/>
      </c>
    </row>
    <row r="110" spans="1:72" ht="11.25" customHeight="1" x14ac:dyDescent="0.2">
      <c r="A110" s="684"/>
      <c r="B110" s="695"/>
      <c r="C110" s="250">
        <f>'Calc (ex-animal)'!D25</f>
        <v>0</v>
      </c>
      <c r="D110" s="1355"/>
      <c r="E110" s="1356"/>
      <c r="F110" s="479" t="str">
        <f>IF('Calc (ex-animal)'!$F$9=1,"",IF($C$110=0,"",IF(D110="","",E110/'Calc (ex-animal)'!$E$25*100)))</f>
        <v/>
      </c>
      <c r="G110" s="484" t="str">
        <f>IF($C$110=0,"",IF('Calc (ex-animal)'!$F$8=1,"",IF(D110="","",SUM(H110:O110))))</f>
        <v/>
      </c>
      <c r="H110" s="471" t="str">
        <f>IF('Calc (ex-animal)'!$F$8=1,"",IF(D110="","",(((VLOOKUP($C$110,'Calc (ex-animal)'!$D$23:$Y$27,6,FALSE)-VLOOKUP($C$110,'Calc (ex-animal)'!$D$23:$Y$27,17,FALSE))*F110/100))*VLOOKUP($C$110,'Calc (ex-animal)'!$D$23:$Y$27,7,FALSE)/100*(1-VLOOKUP(D110,'DB technologies'!$N$53:$Y$64,9,FALSE)/100)))</f>
        <v/>
      </c>
      <c r="I110" s="471" t="str">
        <f>IF(D110="","",((VLOOKUP(D110,'DB technologies'!$N$53:$Y$64,2,FALSE)*VLOOKUP($C$110,'DB animal categories'!$C$42:$AC$51,27,FALSE)*E110/1000)/VLOOKUP($C$110,'DB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'!$S$6/100*(1-VLOOKUP(D110,'DB technologies'!$N$53:$Y$64,9,FALSE)/100)))</f>
        <v/>
      </c>
      <c r="J110" s="472" t="str">
        <f>IF(D110="","",((VLOOKUP(D110,'DB technologies'!$N$53:$Y$64,3,FALSE)*VLOOKUP($C$110,'DB animal categories'!$C$42:$AC$51,27,FALSE)*E110/1000)/VLOOKUP($C$110,'DB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'!$S$7/100*(1-VLOOKUP(D110,'DB technologies'!$N$53:$Y$64,9,FALSE)/100)))</f>
        <v/>
      </c>
      <c r="K110" s="472" t="str">
        <f>IF(D110="","",((VLOOKUP(D110,'DB technologies'!$N$53:$Y$64,4,FALSE)*E110*'DB additional information '!$S$8/100*(1-VLOOKUP(D110,'DB technologies'!$N$53:$Y$64,9,FALSE)/100))/VLOOKUP($C$110,'DB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L110" s="471" t="str">
        <f>IF('Calc (ex-animal)'!$F$8=1,"",IF(D110="","",(((VLOOKUP($C$110,'Calc (ex-animal)'!$D$23:$Y$27,6,FALSE)-VLOOKUP($C$110,'Calc (ex-animal)'!$D$23:$Y$27,17,FALSE))*F110/100))*(1-VLOOKUP($C$110,'Calc (ex-animal)'!$D$23:$Y$27,7,FALSE)/100)*(1-VLOOKUP(D110,'DB technologies'!$N$53:$V$64,8,FALSE)/100)))</f>
        <v/>
      </c>
      <c r="M110" s="472" t="str">
        <f>IF(D110="","",((VLOOKUP(D110,'DB technologies'!$N$53:$Y$64,2,FALSE)*VLOOKUP($C$110,'DB animal categories'!$C$42:$AC$51,27,FALSE)*E110/1000)/VLOOKUP($C$110,'DB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'!$S$6/100)*(1-VLOOKUP(D110,'DB technologies'!$N$53:$Y$64,9,FALSE)/100))</f>
        <v/>
      </c>
      <c r="N110" s="472" t="str">
        <f>IF(D110="","",((VLOOKUP(D110,'DB technologies'!$N$53:$Y$64,3,FALSE)*VLOOKUP($C$110,'DB animal categories'!$C$42:$AC$51,27,FALSE)*E110/1000)/VLOOKUP($C$110,'DB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'!$S$7/100)*(1-VLOOKUP(D110,'DB technologies'!$N$53:$Y$64,9,FALSE)/100))</f>
        <v/>
      </c>
      <c r="O110" s="471" t="str">
        <f>IF(D110="","",((VLOOKUP(D110,'DB technologies'!$N$53:$Y$64,4,FALSE)*E110*(1-'DB additional information '!$S$8/100)*(1-VLOOKUP(D110,'DB technologies'!$N$53:$Y$64,8,FALSE)/100))/VLOOKUP($C$110,'DB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P110" s="443" t="str">
        <f>IF(G110=0,0,IF(E110="","",IF(F110="","",IF($C$110=0,"",IF(D110="","",SUM(H110:K110)/G110*100)))))</f>
        <v/>
      </c>
      <c r="Q110" s="473" t="str">
        <f>IF(D110="","",(VLOOKUP(D110,'DB technologies'!$N$53:$Y$64,2,FALSE)*'DB additional information '!$S$6/100*'DB additional information '!$T$6*VLOOKUP($C$110,'DB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R110" s="473" t="str">
        <f>IF(D110="","",(VLOOKUP(D110,'DB technologies'!$N$53:$Y$64,3,FALSE)*'DB additional information '!$S$7/100*'DB additional information '!$T$7*VLOOKUP($C$110,'DB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S110" s="490" t="str">
        <f>IF(D110="","",(VLOOKUP(D110,'DB technologies'!$N$53:$Y$64,4,FALSE)*('DB additional information '!$S$8/100*'DB additional information '!$T$8*E110/1000/1000)))</f>
        <v/>
      </c>
      <c r="T110" s="263" t="str">
        <f>IF($C$110=0,"",IF('Calc (ex-animal)'!$F$9=1,"",IF(D110="","",((VLOOKUP($C$110,'Calc (ex-animal)'!$D$23:$Y$27,10,FALSE)-VLOOKUP($C$110,'Calc (ex-animal)'!$D$23:$Y$27,18,FALSE))*F110/100+Q110+R110+S110)-AC110-AD110-AE110)))</f>
        <v/>
      </c>
      <c r="U110" s="474" t="str">
        <f>IF(D110="","",(VLOOKUP(D110,'DB technologies'!$N$53:$Y$64,2,FALSE)*'DB additional information '!$S$6/100*'DB additional information '!$U$6*VLOOKUP($C$110,'DB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V110" s="420" t="str">
        <f>IF(D110="","",(VLOOKUP(D110,'DB technologies'!$N$53:$Y$64,3,FALSE)*'DB additional information '!$S$7/100*'DB additional information '!$U$7*VLOOKUP($C$110,'DB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W110" s="415" t="str">
        <f>IF(D110="","",(VLOOKUP(D110,'DB technologies'!$N$53:$Y$64,4,FALSE)*('DB additional information '!$S$8/100*'DB additional information '!$U$8*E110/1000/1000)))</f>
        <v/>
      </c>
      <c r="X110" s="259" t="str">
        <f>IF($C$110=0,"",IF('Calc (ex-animal)'!$F$9=1,"",IF(D110="","",((VLOOKUP($C$110,'Calc (ex-animal)'!$D$23:$Y$27,13,FALSE)-VLOOKUP($C$110,'Calc (ex-animal)'!$D$23:$Y$27,19,FALSE))*F110/100+U110+V110+W110))))</f>
        <v/>
      </c>
      <c r="Y110" s="420" t="str">
        <f>IF(D110="","",(VLOOKUP(D110,'DB technologies'!$N$53:$Y$64,2,FALSE)*'DB additional information '!$S$6/100*'DB additional information '!$V$6*VLOOKUP($C$110,'DB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Z110" s="420" t="str">
        <f>IF(D110="","",(VLOOKUP(D110,'DB technologies'!$N$53:$Y$64,3,FALSE)*'DB additional information '!$S$7/100*'DB additional information '!$V$7*VLOOKUP($C$110,'DB animal categories'!$C$42:$AC$51,27,FALSE)*E110/1000/1000)/VLOOKUP($C$110,'DB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AA110" s="420" t="str">
        <f>IF(D110="","",(VLOOKUP(D110,'DB technologies'!$N$53:$Y$64,4,FALSE)*('DB additional information '!$S$8/100*'DB additional information '!$V$8*E110/1000/1000)))</f>
        <v/>
      </c>
      <c r="AB110" s="259" t="str">
        <f>IF($C$110=0,"",IF('Calc (ex-animal)'!$F$8=1,"",IF(D110="","",((VLOOKUP($C$110,'Calc (ex-animal)'!$D$23:$Y$27,16,FALSE)-VLOOKUP($C$110,'Calc (ex-animal)'!$D$23:$Y$27,20,FALSE))*F110/100+Y110+Z110+AA110))))</f>
        <v/>
      </c>
      <c r="AC110" s="259" t="str">
        <f>IF($C$110=0,"",IF('Calc (ex-animal)'!$F$8=1,"",IF(D110="","",VLOOKUP($C$110,'Calc (ex-animal)'!$D$23:$Y$27,9,FALSE)/VLOOKUP($C$110,'DB animal categories'!$C$42:$AC$51,27,FALSE)*(VLOOKUP($C$110,'DB animal categories'!$C$42:$AC$51,27,FALSE)-VLOOKUP($C$110,'DB animal categories'!$C$42:$AC$51,25,FALSE)*VLOOKUP($C$110,'DB animal categories'!$C$42:$AC$51,26,FALSE)/24)*F110/100*VLOOKUP(D110,'DB technologies'!$N$53:$R$64,5,FALSE)/100)))</f>
        <v/>
      </c>
      <c r="AD110" s="259" t="str">
        <f>IF($C$110=0,"",IF('Calc (ex-animal)'!$F$8=1,"",IF(D110="","",VLOOKUP($C$110,'Calc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categories'!$C$42:$AC$51,26,FALSE)/24)*F110/100*VLOOKUP(D110,'DB technologies'!$N$53:$Y$64,6,FALSE)/100)))</f>
        <v/>
      </c>
      <c r="AE110" s="260" t="str">
        <f>IF($C$110=0,"",IF('Calc (ex-animal)'!$F$8=1,"",IF(D110="","",VLOOKUP($C$110,'Calc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categories'!$C$42:$AC$51,26,FALSE)/24)*F110/100*VLOOKUP(D110,'DB technologies'!$N$53:$Y$64,7,FALSE)/100)))</f>
        <v/>
      </c>
      <c r="AG110" s="698"/>
      <c r="AH110" s="695"/>
      <c r="AI110" s="179" t="str">
        <f>IF(D110="","",VLOOKUP(D110,'DB technologies'!$N$53:$Y$64,10,FALSE))</f>
        <v/>
      </c>
      <c r="AJ110" s="482" t="e">
        <f>VLOOKUP($C$110,'DB animal categories'!$C$42:$AN$51,27,FALSE)-VLOOKUP($C$110,'DB animal categories'!$C$42:$AN$51,26,FALSE)*VLOOKUP($C$110,'DB animal categories'!$C$42:$AN$51,25,FALSE)/24</f>
        <v>#N/A</v>
      </c>
      <c r="AK110" s="453" t="str">
        <f>IF(AI110="","",AL110+AM110)</f>
        <v/>
      </c>
      <c r="AL110" s="453" t="str">
        <f>IF(D110="","",IF(AI110=2,(('Calc (ex-animal)'!$G$25*'DB additional information '!$K$8/100*(1-VLOOKUP(D110,'DB technologies'!$N$53:$Y$64,9,FALSE)/100)*'Calc (ex-housing, ex-storage)'!F110/100+'Calc (ex-animal)'!$H$25*'DB additional information '!$L$8/100*(1-VLOOKUP(D110,'DB technologies'!$N$53:$Y$64,9,FALSE)/100)*'Calc (ex-housing, ex-storage)'!F110/100))/VLOOKUP($C$110,'DB animal categories'!$C$42:$AC$51,27,FALSE)*AJ110+I110+J110+K110,IF(AI110=1,('Calc (ex-animal)'!$H$25*'DB additional information '!$L$8/100*(1-VLOOKUP(D110,'DB technologies'!$N$53:$Y$64,9,FALSE)/100)*'Calc (ex-housing, ex-storage)'!F110/100)/VLOOKUP($C$110,'DB animal categories'!$C$42:$AC$51,27,FALSE)*AJ110,IF(AI110=4,('Calc (ex-animal)'!$G$25*'DB additional information '!$K$8/100+'Calc (ex-animal)'!$H$25*'DB additional information '!$L$8/100)*(1-VLOOKUP(D110,'DB technologies'!$N$53:$Y$64,9,FALSE)/100)*'Calc (ex-housing, ex-storage)'!F110/100*VLOOKUP(D110,'DB technologies'!$N$53:$Y$64,11,FALSE)/100/VLOOKUP($C$110,'DB animal categories'!$C$42:$AC$51,27,FALSE)*AJ110,0))))</f>
        <v/>
      </c>
      <c r="AM110" s="453" t="str">
        <f>IF(D110="","",IF(AI110=2,(('Calc (ex-animal)'!$G$25*(1-'DB additional information '!$K$8/100)*(1-VLOOKUP(D110,'DB technologies'!$N$53:$Y$64,8,FALSE)/100)*'Calc (ex-housing, ex-storage)'!F110/100+'Calc (ex-animal)'!$H$25*(1-'DB additional information '!$L$8/100)*(1-VLOOKUP(D110,'DB technologies'!$N$53:$Y$64,8,FALSE)/100)*'Calc (ex-housing, ex-storage)'!F110/100))/VLOOKUP($C$110,'DB animal categories'!$C$42:$AC$51,27,FALSE)*AJ110+M110+N110+O110,IF(AI110=1,('Calc (ex-animal)'!$H$25*(1-'DB additional information '!$L$8/100)*(1-VLOOKUP(D110,'DB technologies'!$N$53:$Y$64,8,FALSE)/100)*'Calc (ex-housing, ex-storage)'!F110/100)/VLOOKUP($C$110,'DB animal categories'!$C$42:$AC$51,27,FALSE)*AJ110,IF(AI110=4,('Calc (ex-animal)'!$G$25*(1-'DB additional information '!$K$8/100)+'Calc (ex-animal)'!$H$25*(1-'DB additional information '!$L$8/100))*(1-VLOOKUP(D110,'DB technologies'!$N$53:$Y$64,8,FALSE)/100)*'Calc (ex-housing, ex-storage)'!F110/100*VLOOKUP(D110,'DB technologies'!$N$53:$Y$64,11,FALSE)/100/VLOOKUP($C$110,'DB animal categories'!$C$42:$AC$51,27,FALSE)*AJ110,0))))</f>
        <v/>
      </c>
      <c r="AN110" s="453" t="str">
        <f>IF(AI110="","",IF(AL110=0,0,AL110/AK110*100))</f>
        <v/>
      </c>
      <c r="AO110" s="180" t="str">
        <f>IF(D110="","",IF(AI110=2,(('Calc (ex-animal)'!$L$25*'Calc (ex-housing, ex-storage)'!F110/100+'Calc (ex-animal)'!$K$25*'Calc (ex-housing, ex-storage)'!F110/100))/VLOOKUP($C$110,'DB animal categories'!$C$42:$AC$51,27,FALSE)*AJ110+Q110+R110+S110-AC110,IF(AI110=1,('Calc (ex-animal)'!$L$25*'Calc (ex-housing, ex-storage)'!F110/100)/VLOOKUP($C$110,'DB animal categories'!$C$42:$AC$51,27,FALSE)*AJ110-'Calc (ex-housing, ex-storage)'!AC110,IF(AI110=4,('Calc (ex-animal)'!$L$25+'Calc (ex-animal)'!$K$25)*'Calc (ex-housing, ex-storage)'!F110/100*VLOOKUP(D110,'DB technologies'!$N$53:$Y$64,11,FALSE)/100/VLOOKUP($C$110,'DB animal categories'!$C$42:$AC$51,27,FALSE)*AJ110-AC110*VLOOKUP(D110,'DB technologies'!$N$53:$Y$64,11,FALSE)/100,0))))</f>
        <v/>
      </c>
      <c r="AP110" s="180" t="str">
        <f>IF(D110="","",IF(AO110&lt;-0.01,0,IF(AI110=2,(('Calc (ex-animal)'!$L$25*'Calc (ex-housing, ex-storage)'!F110/100+'Calc (ex-animal)'!$K$25*'Calc (ex-housing, ex-storage)'!F110/100))/VLOOKUP($C$110,'DB animal categories'!$C$42:$AC$51,27,FALSE)*AJ110+Q110+R110+S110-AC110,IF(AI110=1,('Calc (ex-animal)'!$L$25*'Calc (ex-housing, ex-storage)'!F110/100)/VLOOKUP($C$110,'DB animal categories'!$C$42:$AC$51,27,FALSE)*AJ110-'Calc (ex-housing, ex-storage)'!AC110,IF(AI110=4,('Calc (ex-animal)'!$L$25+'Calc (ex-animal)'!$K$25)*'Calc (ex-housing, ex-storage)'!F110/100*VLOOKUP(D110,'DB technologies'!$N$53:$Y$64,11,FALSE)/100/VLOOKUP($C$110,'DB animal categories'!$C$42:$AC$51,27,FALSE)*AJ110-AC110*VLOOKUP(D110,'DB technologies'!$N$53:$Y$64,11,FALSE)/100,0)))))</f>
        <v/>
      </c>
      <c r="AQ110" s="180" t="str">
        <f>IF(D110="","",IF(AI110=2,('Calc (ex-animal)'!$O$25*'Calc (ex-housing, ex-storage)'!F110/100+'Calc (ex-animal)'!$N$25*'Calc (ex-housing, ex-storage)'!F110/100)/VLOOKUP($C$110,'DB animal categories'!$C$42:$AC$51,27,FALSE)*AJ110+U110+V110+W110,IF(AI110=1,'Calc (ex-animal)'!$O$25*'Calc (ex-housing, ex-storage)'!F110/100/VLOOKUP($C$110,'DB animal categories'!$C$42:$AC$51,27,FALSE)*AJ110,IF(AI110=4,('Calc (ex-animal)'!$O$25+'Calc (ex-animal)'!$N$25)*'Calc (ex-housing, ex-storage)'!F110/100*VLOOKUP(D110,'DB technologies'!$N$53:$Y$64,11,FALSE)/100/VLOOKUP($C$110,'DB animal categories'!$C$42:$AC$51,27,FALSE)*AJ110,0))))</f>
        <v/>
      </c>
      <c r="AR110" s="180" t="str">
        <f>IF(D110="","",IF(AI110=2,('Calc (ex-animal)'!$R$25*'Calc (ex-housing, ex-storage)'!F110/100+'Calc (ex-animal)'!$Q$25*'Calc (ex-housing, ex-storage)'!F110/100)/VLOOKUP($C$110,'DB animal categories'!$C$42:$AC$51,27,FALSE)*AJ110+Y110+Z110+AA110,IF(AI110=1,'Calc (ex-animal)'!$R$25*'Calc (ex-housing, ex-storage)'!F110/100/VLOOKUP($C$110,'DB animal categories'!$C$42:$AC$51,27,FALSE)*AJ110,IF(AI110=4,('Calc (ex-animal)'!$R$25+'Calc (ex-animal)'!$Q$25)*'Calc (ex-housing, ex-storage)'!F110/100*VLOOKUP(D110,'DB technologies'!$N$53:$Y$64,11,FALSE)/100/VLOOKUP($C$110,'DB animal categories'!$C$42:$AC$51,27,FALSE)*AJ110,0))))</f>
        <v/>
      </c>
      <c r="AS110" s="179" t="str">
        <f>IF(D110="","",VLOOKUP(D110,'DB technologies'!$N$53:$Y$64,10,FALSE))</f>
        <v/>
      </c>
      <c r="AT110" s="453" t="str">
        <f>IF(AS110="","",AU110+AV110)</f>
        <v/>
      </c>
      <c r="AU110" s="453" t="str">
        <f>IF(D110="","",IF(AS110=2,0,IF(AS110=1,'Calc (ex-animal)'!$G$25*'DB additional information '!$K$8/100*(1-VLOOKUP(D110,'DB technologies'!$N$53:$Y$64,8,FALSE)/100)*'Calc (ex-housing, ex-storage)'!F110/100/VLOOKUP($C$110,'DB animal categories'!$C$42:$AC$51,27,FALSE)*AJ110+I110+J110+K110,IF(AS110=5,(('Calc (ex-animal)'!$G$25*'DB additional information '!$K$8/100+'Calc (ex-animal)'!$H$25*'DB additional information '!$L$8/100))*(1-VLOOKUP(D110,'DB technologies'!$N$53:$Y$64,9,FALSE)/100)*'Calc (ex-housing, ex-storage)'!F110/100/VLOOKUP($C$110,'DB animal categories'!$C$42:$AC$51,27,FALSE)*AJ110+I110+J110+K110,IF(AS110=3,('Calc (ex-animal)'!$G$25*'DB additional information '!$K$8/100+'Calc (ex-animal)'!$H$25*'DB additional information '!$L$8/100)*(1-VLOOKUP(D110,'DB technologies'!$N$53:$Y$64,9,FALSE)/100)*'Calc (ex-housing, ex-storage)'!F110/100/VLOOKUP($C$110,'DB animal categories'!$C$42:$AC$51,27,FALSE)*AJ110+I110+J110+K110,IF(AS110=4,('Calc (ex-animal)'!$G$25*'DB additional information '!$K$8/100+'Calc (ex-animal)'!$H$25*'DB additional information '!$L$8/100)*(1-VLOOKUP(D110,'DB technologies'!$N$53:$Y$64,9,FALSE)/100)*'Calc (ex-housing, ex-storage)'!F110/100*VLOOKUP(D110,'DB technologies'!$N$53:$Y$64,12,FALSE)/100/VLOOKUP($C$110,'DB animal categories'!$C$42:$AC$51,27,FALSE)*AJ110+I110+J110+K110,0))))))</f>
        <v/>
      </c>
      <c r="AV110" s="453" t="str">
        <f>IF(D110="","",IF(AS110=2,0,IF(AS110=1,'Calc (ex-animal)'!$G$25*(1-'DB additional information '!$K$8/100)*(1-VLOOKUP(D110,'DB technologies'!$N$53:$Y$64,8,FALSE)/100)*'Calc (ex-housing, ex-storage)'!F110/100/VLOOKUP($C$110,'DB animal categories'!$C$42:$AC$51,27,FALSE)*AJ110+M110+N110+O110,IF(AS110=5,('Calc (ex-animal)'!$G$25*(1-'DB additional information '!$K$8/100)+'Calc (ex-animal)'!$H$25*(1-'DB additional information '!$L$8/100))*(1-VLOOKUP(D110,'DB technologies'!$N$53:$Y$64,8,FALSE)/100)*'Calc (ex-housing, ex-storage)'!F110/100/VLOOKUP($C$110,'DB animal categories'!$C$42:$AC$51,27,FALSE)*AJ110+M110+N110+O110,IF(AS110=3,('Calc (ex-animal)'!$G$25*(1-'DB additional information '!$K$8/100)+'Calc (ex-animal)'!$H$25*(1-'DB additional information '!$L$8/100))*(1-VLOOKUP(D110,'DB technologies'!$N$53:$Y$64,8,FALSE)/100)*'Calc (ex-housing, ex-storage)'!F110/100/VLOOKUP($C$110,'DB animal categories'!$C$42:$AC$51,27,FALSE)*AJ110+M110+N110+O110,IF(AS110=4,('Calc (ex-animal)'!$G$25*(1-'DB additional information '!$K$8/100)+'Calc (ex-animal)'!$H$25*(1-'DB additional information '!$L$8/100))*(1-VLOOKUP(D110,'DB technologies'!$N$53:$Y$64,8,FALSE)/100)*'Calc (ex-housing, ex-storage)'!F110/100*VLOOKUP(D110,'DB technologies'!$N$53:$Y$64,12,FALSE)/100/VLOOKUP($C$110,'DB animal categories'!$C$42:$AC$51,27,FALSE)*AJ110+M110+N110+O110,0))))))</f>
        <v/>
      </c>
      <c r="AW110" s="453" t="str">
        <f>IF(AS110="","",IF(AU110=0,0,AU110/AT110*100))</f>
        <v/>
      </c>
      <c r="AX110" s="180" t="str">
        <f>IF(D110="","",IF(AS110=2,0,IF(AS110=1,'Calc (ex-animal)'!$K$25*'Calc (ex-housing, ex-storage)'!F110/100/VLOOKUP($C$110,'DB animal categories'!$C$42:$AC$51,27,FALSE)*AJ110+Q110+R110+S110,IF(AS110=5,('Calc (ex-animal)'!$K$25+'Calc (ex-animal)'!$L$25)*'Calc (ex-housing, ex-storage)'!F110/100/VLOOKUP($C$110,'DB animal categories'!$C$42:$AC$51,27,FALSE)*AJ110+Q110+R110+S110-'Calc (ex-housing, ex-storage)'!AC110,IF(AS110=3,('Calc (ex-animal)'!$K$25+'Calc (ex-animal)'!$L$25)*'Calc (ex-housing, ex-storage)'!F110/100/VLOOKUP($C$110,'DB animal categories'!$C$42:$AC$51,27,FALSE)*AJ110+Q110+R110+S110-'Calc (ex-housing, ex-storage)'!AC110-AD110-AE110,IF(AI110=4,('Calc (ex-animal)'!$K$25+'Calc (ex-animal)'!$L$25)*'Calc (ex-housing, ex-storage)'!F110/100*VLOOKUP(D110,'DB technologies'!$N$53:$Y$64,12,FALSE)/100/VLOOKUP($C$110,'DB animal categories'!$C$42:$AC$51,27,FALSE)*AJ110+Q110+R110+S110-(VLOOKUP(D110,'DB technologies'!$N$53:$Y$64,12,FALSE)/100*AC110)-AD110-AE110,0))))))</f>
        <v/>
      </c>
      <c r="AY110" s="180" t="str">
        <f>IF(D110="","",IF(AS110=2,0,IF(AS110=1,'Calc (ex-animal)'!$N$25*'Calc (ex-housing, ex-storage)'!F110/100/VLOOKUP($C$110,'DB animal categories'!$C$42:$AC$51,27,FALSE)*AJ110+U110+V110+W110,IF(AS110=5,('Calc (ex-animal)'!$N$25+'Calc (ex-animal)'!$O$25)*'Calc (ex-housing, ex-storage)'!F110/100/VLOOKUP($C$110,'DB animal categories'!$C$42:$AC$51,27,FALSE)*AJ110+U110+V110+W110,IF(AS110=3,('Calc (ex-animal)'!$N$25+'Calc (ex-animal)'!$O$25)*'Calc (ex-housing, ex-storage)'!F110/100/VLOOKUP($C$110,'DB animal categories'!$C$42:$AC$51,27,FALSE)*AJ110+U110+V110+W110,IF(AS110=4,('Calc (ex-animal)'!$N$25+'Calc (ex-animal)'!$O$25)*'Calc (ex-housing, ex-storage)'!F110/100*VLOOKUP(D110,'DB technologies'!$N$53:$Y$64,12,FALSE)/100/VLOOKUP($C$110,'DB animal categories'!$C$42:$AC$51,27,FALSE)*AJ110+U110+V110+W110,0))))))</f>
        <v/>
      </c>
      <c r="AZ110" s="180" t="str">
        <f>IF(D110="","",IF(AS110=2,0,IF(AS110=1,'Calc (ex-animal)'!$Q$25*'Calc (ex-housing, ex-storage)'!F110/100/VLOOKUP($C$110,'DB animal categories'!$C$42:$AC$51,27,FALSE)*AJ110+Y110+Z110+AA110,IF(AS110=5,('Calc (ex-animal)'!$Q$25+'Calc (ex-animal)'!$R$25)*'Calc (ex-housing, ex-storage)'!F110/100/VLOOKUP($C$110,'DB animal categories'!$C$42:$AC$51,27,FALSE)*AJ110+Y110+Z110+AA110,IF(AS110=3,('Calc (ex-animal)'!$Q$25+'Calc (ex-animal)'!$R$25)*'Calc (ex-housing, ex-storage)'!F110/100/VLOOKUP($C$110,'DB animal categories'!$C$42:$AC$51,27,FALSE)*AJ110+Y110+Z110+AA110,IF(AS110=4,('Calc (ex-animal)'!$Q$25+'Calc (ex-animal)'!$R$25)*'Calc (ex-housing, ex-storage)'!F110/100*VLOOKUP(D110,'DB technologies'!$N$53:$Y$64,12,FALSE)/100/VLOOKUP($C$110,'DB animal categories'!$C$42:$AC$51,27,FALSE)*AJ110+Y110+Z110+AA110,0))))))</f>
        <v/>
      </c>
      <c r="BA110" s="506"/>
      <c r="BB110" s="506"/>
      <c r="BC110" s="506"/>
      <c r="BG110" s="1357"/>
      <c r="BH110" s="1361"/>
      <c r="BI110" s="598" t="str">
        <f>IF(BG110="","",$BA$109*BH110/100-($BB$109*BH110/100*VLOOKUP(BG110,'DB technologies'!$AC$64:$AT$68,5,FALSE)/100)+(VLOOKUP(BG110,'DB technologies'!$AC$64:$AT$68,12,FALSE)*$BA$109*BH110/100))</f>
        <v/>
      </c>
      <c r="BJ110" s="551">
        <f>IF(BI110="",0,BI110*BK110/100)</f>
        <v>0</v>
      </c>
      <c r="BK110" s="571" t="str">
        <f>IF(BG110="","",IF($BA$109=0,0,($BB$109*BH110/100)/BI110*(1-(VLOOKUP(BG110,'DB technologies'!$AC$64:$AQ$68,5,FALSE))/100)*100))</f>
        <v/>
      </c>
      <c r="BL110" s="261" t="str">
        <f>IF(BG110="","",$BD$109*BH110/100-BO110-BP110-BQ110-BR110)</f>
        <v/>
      </c>
      <c r="BM110" s="261" t="str">
        <f>IF(BG110="","",$BE$109*BH110/100-BS110)</f>
        <v/>
      </c>
      <c r="BN110" s="261" t="str">
        <f>IF(BG110="","",$BF$109*BH110/100-BT110)</f>
        <v/>
      </c>
      <c r="BO110" s="261" t="str">
        <f>IF(BG110="","",$BD$109*BH110/100*VLOOKUP(BG110,'DB technologies'!$AC$64:$AF$68,2,FALSE)/100)</f>
        <v/>
      </c>
      <c r="BP110" s="261" t="str">
        <f>IF(BG110="","",$BD$109*BH110/100*VLOOKUP(BG110,'DB technologies'!$AC$64:$AN$68,3,FALSE)/100)</f>
        <v/>
      </c>
      <c r="BQ110" s="262" t="str">
        <f>IF(BG110="","",$BD$109*BH110/100*VLOOKUP(BG110,'DB technologies'!$AC$64:$AN$68,4,FALSE)/100)</f>
        <v/>
      </c>
      <c r="BR110" s="264" t="str">
        <f>IF(BG110="","",VLOOKUP(BG110,'DB technologies'!$AC$64:$AQ$68,13,FALSE)/100*$BD$109*BH110/100)</f>
        <v/>
      </c>
      <c r="BS110" s="261" t="str">
        <f>IF(BG110="","",VLOOKUP(BG110,'DB technologies'!$AC$64:$AQ$68,14,FALSE)/100*$BE$109*BH110/100)</f>
        <v/>
      </c>
      <c r="BT110" s="262" t="str">
        <f>IF(BG110="","",VLOOKUP(BG110,'DB technologies'!$AC$64:$AQ$68,15,FALSE)/100*$BF$109*BH110/100)</f>
        <v/>
      </c>
    </row>
    <row r="111" spans="1:72" ht="11.25" customHeight="1" x14ac:dyDescent="0.2">
      <c r="A111" s="684"/>
      <c r="B111" s="695"/>
      <c r="C111" s="251"/>
      <c r="D111" s="1357"/>
      <c r="E111" s="1358"/>
      <c r="F111" s="480" t="str">
        <f>IF('Calc (ex-animal)'!$F$9=1,"",IF($C$110=0,"",IF(D111="","",E111/'Calc (ex-animal)'!$E$25*100)))</f>
        <v/>
      </c>
      <c r="G111" s="485" t="str">
        <f>IF($C$110=0,"",IF('Calc (ex-animal)'!$F$8=1,"",IF(D111="","",SUM(H111:O111))))</f>
        <v/>
      </c>
      <c r="H111" s="423" t="str">
        <f>IF('Calc (ex-animal)'!$F$8=1,"",IF(D111="","",(((VLOOKUP($C$110,'Calc (ex-animal)'!$D$23:$Y$27,6,FALSE)-VLOOKUP($C$110,'Calc (ex-animal)'!$D$23:$Y$27,17,FALSE))*F111/100))*VLOOKUP($C$110,'Calc (ex-animal)'!$D$23:$Y$27,7,FALSE)/100*(1-VLOOKUP(D111,'DB technologies'!$N$53:$Y$64,9,FALSE)/100)))</f>
        <v/>
      </c>
      <c r="I111" s="423" t="str">
        <f>IF(D111="","",((VLOOKUP(D111,'DB technologies'!$N$53:$Y$64,2,FALSE)*VLOOKUP($C$110,'DB animal categories'!$C$42:$AC$51,27,FALSE)*E111/1000)/VLOOKUP($C$110,'DB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'!$S$6/100*(1-VLOOKUP(D111,'DB technologies'!$N$53:$Y$64,9,FALSE)/100)))</f>
        <v/>
      </c>
      <c r="J111" s="434" t="str">
        <f>IF(D111="","",((VLOOKUP(D111,'DB technologies'!$N$53:$Y$64,3,FALSE)*VLOOKUP($C$110,'DB animal categories'!$C$42:$AC$51,27,FALSE)*E111/1000)/VLOOKUP($C$110,'DB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'!$S$7/100*(1-VLOOKUP(D111,'DB technologies'!$N$53:$Y$64,9,FALSE)/100)))</f>
        <v/>
      </c>
      <c r="K111" s="434" t="str">
        <f>IF(D111="","",((VLOOKUP(D111,'DB technologies'!$N$53:$Y$64,4,FALSE)*E111*'DB additional information '!$S$8/100*(1-VLOOKUP(D111,'DB technologies'!$N$53:$Y$64,9,FALSE)/100))/VLOOKUP($C$110,'DB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L111" s="423" t="str">
        <f>IF('Calc (ex-animal)'!$F$8=1,"",IF(D111="","",(((VLOOKUP($C$110,'Calc (ex-animal)'!$D$23:$Y$27,6,FALSE)-VLOOKUP($C$110,'Calc (ex-animal)'!$D$23:$Y$27,17,FALSE))*F111/100))*(1-VLOOKUP($C$110,'Calc (ex-animal)'!$D$23:$Y$27,7,FALSE)/100)*(1-VLOOKUP(D111,'DB technologies'!$N$53:$V$64,8,FALSE)/100)))</f>
        <v/>
      </c>
      <c r="M111" s="434" t="str">
        <f>IF(D111="","",((VLOOKUP(D111,'DB technologies'!$N$53:$Y$64,2,FALSE)*VLOOKUP($C$110,'DB animal categories'!$C$42:$AC$51,27,FALSE)*E111/1000)/VLOOKUP($C$110,'DB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'!$S$6/100)*(1-VLOOKUP(D111,'DB technologies'!$N$53:$Y$64,9,FALSE)/100))</f>
        <v/>
      </c>
      <c r="N111" s="434" t="str">
        <f>IF(D111="","",((VLOOKUP(D111,'DB technologies'!$N$53:$Y$64,3,FALSE)*VLOOKUP($C$110,'DB animal categories'!$C$42:$AC$51,27,FALSE)*E111/1000)/VLOOKUP($C$110,'DB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'!$S$7/100)*(1-VLOOKUP(D111,'DB technologies'!$N$53:$Y$64,9,FALSE)/100))</f>
        <v/>
      </c>
      <c r="O111" s="423" t="str">
        <f>IF(D111="","",((VLOOKUP(D111,'DB technologies'!$N$53:$Y$64,4,FALSE)*E111*(1-'DB additional information '!$S$8/100)*(1-VLOOKUP(D111,'DB technologies'!$N$53:$Y$64,8,FALSE)/100))/VLOOKUP($C$110,'DB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P111" s="438" t="str">
        <f>IF(G111=0,0,IF(E111="","",IF(F111="","",IF($C$110=0,"",IF(D111="","",SUM(H111:K111)/G111*100)))))</f>
        <v/>
      </c>
      <c r="Q111" s="416" t="str">
        <f>IF(D111="","",(VLOOKUP(D111,'DB technologies'!$N$53:$Y$64,2,FALSE)*'DB additional information '!$S$6/100*'DB additional information '!$T$6*VLOOKUP($C$110,'DB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R111" s="416" t="str">
        <f>IF(D111="","",(VLOOKUP(D111,'DB technologies'!$N$53:$Y$64,3,FALSE)*'DB additional information '!$S$7/100*'DB additional information '!$T$7*VLOOKUP($C$110,'DB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S111" s="491" t="str">
        <f>IF(D111="","",(VLOOKUP(D111,'DB technologies'!$N$53:$Y$64,4,FALSE)*('DB additional information '!$S$8/100*'DB additional information '!$T$8*E111/1000/1000)))</f>
        <v/>
      </c>
      <c r="T111" s="264" t="str">
        <f>IF($C$110=0,"",IF('Calc (ex-animal)'!$F$9=1,"",IF(D111="","",((VLOOKUP($C$110,'Calc (ex-animal)'!$D$23:$Y$27,10,FALSE)-VLOOKUP($C$110,'Calc (ex-animal)'!$D$23:$Y$27,18,FALSE))*F111/100+Q111+R111+S111)-AC111-AD111-AE111)))</f>
        <v/>
      </c>
      <c r="U111" s="422" t="str">
        <f>IF(D111="","",(VLOOKUP(D111,'DB technologies'!$N$53:$Y$64,2,FALSE)*'DB additional information '!$S$6/100*'DB additional information '!$U$6*VLOOKUP($C$110,'DB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V111" s="418" t="str">
        <f>IF(D111="","",(VLOOKUP(D111,'DB technologies'!$N$53:$Y$64,3,FALSE)*'DB additional information '!$S$7/100*'DB additional information '!$U$7*VLOOKUP($C$110,'DB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W111" s="417" t="str">
        <f>IF(D111="","",(VLOOKUP(D111,'DB technologies'!$N$53:$Y$64,4,FALSE)*('DB additional information '!$S$8/100*'DB additional information '!$U$8*E111/1000/1000)))</f>
        <v/>
      </c>
      <c r="X111" s="261" t="str">
        <f>IF($C$110=0,"",IF('Calc (ex-animal)'!$F$9=1,"",IF(D111="","",((VLOOKUP($C$110,'Calc (ex-animal)'!$D$23:$Y$27,13,FALSE)-VLOOKUP($C$110,'Calc (ex-animal)'!$D$23:$Y$27,19,FALSE))*F111/100+U111+V111+W111))))</f>
        <v/>
      </c>
      <c r="Y111" s="418" t="str">
        <f>IF(D111="","",(VLOOKUP(D111,'DB technologies'!$N$53:$Y$64,2,FALSE)*'DB additional information '!$S$6/100*'DB additional information '!$V$6*VLOOKUP($C$110,'DB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Z111" s="418" t="str">
        <f>IF(D111="","",(VLOOKUP(D111,'DB technologies'!$N$53:$Y$64,3,FALSE)*'DB additional information '!$S$7/100*'DB additional information '!$V$7*VLOOKUP($C$110,'DB animal categories'!$C$42:$AC$51,27,FALSE)*E111/1000/1000)/VLOOKUP($C$110,'DB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AA111" s="418" t="str">
        <f>IF(D111="","",(VLOOKUP(D111,'DB technologies'!$N$53:$Y$64,4,FALSE)*('DB additional information '!$S$8/100*'DB additional information '!$V$8*E111/1000/1000)))</f>
        <v/>
      </c>
      <c r="AB111" s="261" t="str">
        <f>IF($C$110=0,"",IF('Calc (ex-animal)'!$F$8=1,"",IF(D111="","",((VLOOKUP($C$110,'Calc (ex-animal)'!$D$23:$Y$27,16,FALSE)-VLOOKUP($C$110,'Calc (ex-animal)'!$D$23:$Y$27,20,FALSE))*F111/100+Y111+Z111+AA111))))</f>
        <v/>
      </c>
      <c r="AC111" s="261" t="str">
        <f>IF($C$110=0,"",IF('Calc (ex-animal)'!$F$8=1,"",IF(D111="","",VLOOKUP($C$110,'Calc (ex-animal)'!$D$23:$Y$27,9,FALSE)/VLOOKUP($C$110,'DB animal categories'!$C$42:$AC$51,27,FALSE)*(VLOOKUP($C$110,'DB animal categories'!$C$42:$AC$51,27,FALSE)-VLOOKUP($C$110,'DB animal categories'!$C$42:$AC$51,25,FALSE)*VLOOKUP($C$110,'DB animal categories'!$C$42:$AC$51,26,FALSE)/24)*F111/100*VLOOKUP(D111,'DB technologies'!$N$53:$R$64,5,FALSE)/100)))</f>
        <v/>
      </c>
      <c r="AD111" s="261" t="str">
        <f>IF($C$110=0,"",IF('Calc (ex-animal)'!$F$8=1,"",IF(D111="","",VLOOKUP($C$110,'Calc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categories'!$C$42:$AC$51,26,FALSE)/24)*F111/100*VLOOKUP(D111,'DB technologies'!$N$53:$Y$64,6,FALSE)/100)))</f>
        <v/>
      </c>
      <c r="AE111" s="262" t="str">
        <f>IF($C$110=0,"",IF('Calc (ex-animal)'!$F$8=1,"",IF(D111="","",VLOOKUP($C$110,'Calc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categories'!$C$42:$AC$51,26,FALSE)/24)*F111/100*VLOOKUP(D111,'DB technologies'!$N$53:$Y$64,7,FALSE)/100)))</f>
        <v/>
      </c>
      <c r="AG111" s="698"/>
      <c r="AH111" s="695"/>
      <c r="AI111" s="181" t="str">
        <f>IF(D111="","",VLOOKUP(D111,'DB technologies'!$N$53:$Y$64,10,FALSE))</f>
        <v/>
      </c>
      <c r="AJ111" s="449" t="e">
        <f>VLOOKUP($C$110,'DB animal categories'!$C$42:$AN$51,27,FALSE)-VLOOKUP($C$110,'DB animal categories'!$C$42:$AN$51,26,FALSE)*VLOOKUP($C$110,'DB animal categories'!$C$42:$AN$51,25,FALSE)/24</f>
        <v>#N/A</v>
      </c>
      <c r="AK111" s="442" t="str">
        <f>IF(AI111="","",AL111+AM111)</f>
        <v/>
      </c>
      <c r="AL111" s="442" t="str">
        <f>IF(D111="","",IF(AI111=2,(('Calc (ex-animal)'!$G$25*'DB additional information '!$K$8/100*(1-VLOOKUP(D111,'DB technologies'!$N$53:$Y$64,9,FALSE)/100)*'Calc (ex-housing, ex-storage)'!F111/100+'Calc (ex-animal)'!$H$25*'DB additional information '!$L$8/100*(1-VLOOKUP(D111,'DB technologies'!$N$53:$Y$64,9,FALSE)/100)*'Calc (ex-housing, ex-storage)'!F111/100))/VLOOKUP($C$110,'DB animal categories'!$C$42:$AC$51,27,FALSE)*AJ111+I111+J111+K111,IF(AI111=1,('Calc (ex-animal)'!$H$25*'DB additional information '!$L$8/100*(1-VLOOKUP(D111,'DB technologies'!$N$53:$Y$64,9,FALSE)/100)*'Calc (ex-housing, ex-storage)'!F111/100)/VLOOKUP($C$110,'DB animal categories'!$C$42:$AC$51,27,FALSE)*AJ111,IF(AI111=4,('Calc (ex-animal)'!$G$25*'DB additional information '!$K$8/100+'Calc (ex-animal)'!$H$25*'DB additional information '!$L$8/100)*(1-VLOOKUP(D111,'DB technologies'!$N$53:$Y$64,9,FALSE)/100)*'Calc (ex-housing, ex-storage)'!F111/100*VLOOKUP(D111,'DB technologies'!$N$53:$Y$64,11,FALSE)/100/VLOOKUP($C$110,'DB animal categories'!$C$42:$AC$51,27,FALSE)*AJ111,0))))</f>
        <v/>
      </c>
      <c r="AM111" s="442" t="str">
        <f>IF(D111="","",IF(AI111=2,(('Calc (ex-animal)'!$G$25*(1-'DB additional information '!$K$8/100)*(1-VLOOKUP(D111,'DB technologies'!$N$53:$Y$64,8,FALSE)/100)*'Calc (ex-housing, ex-storage)'!F111/100+'Calc (ex-animal)'!$H$25*(1-'DB additional information '!$L$8/100)*(1-VLOOKUP(D111,'DB technologies'!$N$53:$Y$64,8,FALSE)/100)*'Calc (ex-housing, ex-storage)'!F111/100))/VLOOKUP($C$110,'DB animal categories'!$C$42:$AC$51,27,FALSE)*AJ111+M111+N111+O111,IF(AI111=1,('Calc (ex-animal)'!$H$25*(1-'DB additional information '!$L$8/100)*(1-VLOOKUP(D111,'DB technologies'!$N$53:$Y$64,8,FALSE)/100)*'Calc (ex-housing, ex-storage)'!F111/100)/VLOOKUP($C$110,'DB animal categories'!$C$42:$AC$51,27,FALSE)*AJ111,IF(AI111=4,('Calc (ex-animal)'!$G$25*(1-'DB additional information '!$K$8/100)+'Calc (ex-animal)'!$H$25*(1-'DB additional information '!$L$8/100))*(1-VLOOKUP(D111,'DB technologies'!$N$53:$Y$64,8,FALSE)/100)*'Calc (ex-housing, ex-storage)'!F111/100*VLOOKUP(D111,'DB technologies'!$N$53:$Y$64,11,FALSE)/100/VLOOKUP($C$110,'DB animal categories'!$C$42:$AC$51,27,FALSE)*AJ111,0))))</f>
        <v/>
      </c>
      <c r="AN111" s="442" t="str">
        <f>IF(AI111="","",IF(AL111=0,0,AL111/AK111*100))</f>
        <v/>
      </c>
      <c r="AO111" s="182" t="str">
        <f>IF(D111="","",IF(AI111=2,(('Calc (ex-animal)'!$L$25*'Calc (ex-housing, ex-storage)'!F111/100+'Calc (ex-animal)'!$K$25*'Calc (ex-housing, ex-storage)'!F111/100))/VLOOKUP($C$110,'DB animal categories'!$C$42:$AC$51,27,FALSE)*AJ111+Q111+R111+S111-AC111,IF(AI111=1,('Calc (ex-animal)'!$L$25*'Calc (ex-housing, ex-storage)'!F111/100)/VLOOKUP($C$110,'DB animal categories'!$C$42:$AC$51,27,FALSE)*AJ111-'Calc (ex-housing, ex-storage)'!AC111,IF(AI111=4,('Calc (ex-animal)'!$L$25+'Calc (ex-animal)'!$K$25)*'Calc (ex-housing, ex-storage)'!F111/100*VLOOKUP(D111,'DB technologies'!$N$53:$Y$64,11,FALSE)/100/VLOOKUP($C$110,'DB animal categories'!$C$42:$AC$51,27,FALSE)*AJ111-AC111*VLOOKUP(D111,'DB technologies'!$N$53:$Y$64,11,FALSE)/100,0))))</f>
        <v/>
      </c>
      <c r="AP111" s="182" t="str">
        <f>IF(D111="","",IF(AO111&lt;-0.01,0,IF(AI111=2,(('Calc (ex-animal)'!$L$25*'Calc (ex-housing, ex-storage)'!F111/100+'Calc (ex-animal)'!$K$25*'Calc (ex-housing, ex-storage)'!F111/100))/VLOOKUP($C$110,'DB animal categories'!$C$42:$AC$51,27,FALSE)*AJ111+Q111+R111+S111-AC111,IF(AI111=1,('Calc (ex-animal)'!$L$25*'Calc (ex-housing, ex-storage)'!F111/100)/VLOOKUP($C$110,'DB animal categories'!$C$42:$AC$51,27,FALSE)*AJ111-'Calc (ex-housing, ex-storage)'!AC111,IF(AI111=4,('Calc (ex-animal)'!$L$25+'Calc (ex-animal)'!$K$25)*'Calc (ex-housing, ex-storage)'!F111/100*VLOOKUP(D111,'DB technologies'!$N$53:$Y$64,11,FALSE)/100/VLOOKUP($C$110,'DB animal categories'!$C$42:$AC$51,27,FALSE)*AJ111-AC111*VLOOKUP(D111,'DB technologies'!$N$53:$Y$64,11,FALSE)/100,0)))))</f>
        <v/>
      </c>
      <c r="AQ111" s="182" t="str">
        <f>IF(D111="","",IF(AI111=2,('Calc (ex-animal)'!$O$25*'Calc (ex-housing, ex-storage)'!F111/100+'Calc (ex-animal)'!$N$25*'Calc (ex-housing, ex-storage)'!F111/100)/VLOOKUP($C$110,'DB animal categories'!$C$42:$AC$51,27,FALSE)*AJ111+U111+V111+W111,IF(AI111=1,'Calc (ex-animal)'!$O$25*'Calc (ex-housing, ex-storage)'!F111/100/VLOOKUP($C$110,'DB animal categories'!$C$42:$AC$51,27,FALSE)*AJ111,IF(AI111=4,('Calc (ex-animal)'!$O$25+'Calc (ex-animal)'!$N$25)*'Calc (ex-housing, ex-storage)'!F111/100*VLOOKUP(D111,'DB technologies'!$N$53:$Y$64,11,FALSE)/100/VLOOKUP($C$110,'DB animal categories'!$C$42:$AC$51,27,FALSE)*AJ111,0))))</f>
        <v/>
      </c>
      <c r="AR111" s="182" t="str">
        <f>IF(D111="","",IF(AI111=2,('Calc (ex-animal)'!$R$25*'Calc (ex-housing, ex-storage)'!F111/100+'Calc (ex-animal)'!$Q$25*'Calc (ex-housing, ex-storage)'!F111/100)/VLOOKUP($C$110,'DB animal categories'!$C$42:$AC$51,27,FALSE)*AJ111+Y111+Z111+AA111,IF(AI111=1,'Calc (ex-animal)'!$R$25*'Calc (ex-housing, ex-storage)'!F111/100/VLOOKUP($C$110,'DB animal categories'!$C$42:$AC$51,27,FALSE)*AJ111,IF(AI111=4,('Calc (ex-animal)'!$R$25+'Calc (ex-animal)'!$Q$25)*'Calc (ex-housing, ex-storage)'!F111/100*VLOOKUP(D111,'DB technologies'!$N$53:$Y$64,11,FALSE)/100/VLOOKUP($C$110,'DB animal categories'!$C$42:$AC$51,27,FALSE)*AJ111,0))))</f>
        <v/>
      </c>
      <c r="AS111" s="181" t="str">
        <f>IF(D111="","",VLOOKUP(D111,'DB technologies'!$N$53:$Y$64,10,FALSE))</f>
        <v/>
      </c>
      <c r="AT111" s="442" t="str">
        <f>IF(AS111="","",AU111+AV111)</f>
        <v/>
      </c>
      <c r="AU111" s="442" t="str">
        <f>IF(D111="","",IF(AS111=2,0,IF(AS111=1,'Calc (ex-animal)'!$G$25*'DB additional information '!$K$8/100*(1-VLOOKUP(D111,'DB technologies'!$N$53:$Y$64,8,FALSE)/100)*'Calc (ex-housing, ex-storage)'!F111/100/VLOOKUP($C$110,'DB animal categories'!$C$42:$AC$51,27,FALSE)*AJ111+I111+J111+K111,IF(AS111=5,(('Calc (ex-animal)'!$G$25*'DB additional information '!$K$8/100+'Calc (ex-animal)'!$H$25*'DB additional information '!$L$8/100))*(1-VLOOKUP(D111,'DB technologies'!$N$53:$Y$64,9,FALSE)/100)*'Calc (ex-housing, ex-storage)'!F111/100/VLOOKUP($C$110,'DB animal categories'!$C$42:$AC$51,27,FALSE)*AJ111+I111+J111+K111,IF(AS111=3,('Calc (ex-animal)'!$G$25*'DB additional information '!$K$8/100+'Calc (ex-animal)'!$H$25*'DB additional information '!$L$8/100)*(1-VLOOKUP(D111,'DB technologies'!$N$53:$Y$64,9,FALSE)/100)*'Calc (ex-housing, ex-storage)'!F111/100/VLOOKUP($C$110,'DB animal categories'!$C$42:$AC$51,27,FALSE)*AJ111+I111+J111+K111,IF(AS111=4,('Calc (ex-animal)'!$G$25*'DB additional information '!$K$8/100+'Calc (ex-animal)'!$H$25*'DB additional information '!$L$8/100)*(1-VLOOKUP(D111,'DB technologies'!$N$53:$Y$64,9,FALSE)/100)*'Calc (ex-housing, ex-storage)'!F111/100*VLOOKUP(D111,'DB technologies'!$N$53:$Y$64,12,FALSE)/100/VLOOKUP($C$110,'DB animal categories'!$C$42:$AC$51,27,FALSE)*AJ111+I111+J111+K111,0))))))</f>
        <v/>
      </c>
      <c r="AV111" s="442" t="str">
        <f>IF(D111="","",IF(AS111=2,0,IF(AS111=1,'Calc (ex-animal)'!$G$25*(1-'DB additional information '!$K$8/100)*(1-VLOOKUP(D111,'DB technologies'!$N$53:$Y$64,8,FALSE)/100)*'Calc (ex-housing, ex-storage)'!F111/100/VLOOKUP($C$110,'DB animal categories'!$C$42:$AC$51,27,FALSE)*AJ111+M111+N111+O111,IF(AS111=5,('Calc (ex-animal)'!$G$25*(1-'DB additional information '!$K$8/100)+'Calc (ex-animal)'!$H$25*(1-'DB additional information '!$L$8/100))*(1-VLOOKUP(D111,'DB technologies'!$N$53:$Y$64,8,FALSE)/100)*'Calc (ex-housing, ex-storage)'!F111/100/VLOOKUP($C$110,'DB animal categories'!$C$42:$AC$51,27,FALSE)*AJ111+M111+N111+O111,IF(AS111=3,('Calc (ex-animal)'!$G$25*(1-'DB additional information '!$K$8/100)+'Calc (ex-animal)'!$H$25*(1-'DB additional information '!$L$8/100))*(1-VLOOKUP(D111,'DB technologies'!$N$53:$Y$64,8,FALSE)/100)*'Calc (ex-housing, ex-storage)'!F111/100/VLOOKUP($C$110,'DB animal categories'!$C$42:$AC$51,27,FALSE)*AJ111+M111+N111+O111,IF(AS111=4,('Calc (ex-animal)'!$G$25*(1-'DB additional information '!$K$8/100)+'Calc (ex-animal)'!$H$25*(1-'DB additional information '!$L$8/100))*(1-VLOOKUP(D111,'DB technologies'!$N$53:$Y$64,8,FALSE)/100)*'Calc (ex-housing, ex-storage)'!F111/100*VLOOKUP(D111,'DB technologies'!$N$53:$Y$64,12,FALSE)/100/VLOOKUP($C$110,'DB animal categories'!$C$42:$AC$51,27,FALSE)*AJ111+M111+N111+O111,0))))))</f>
        <v/>
      </c>
      <c r="AW111" s="442" t="str">
        <f>IF(AS111="","",IF(AU111=0,0,AU111/AT111*100))</f>
        <v/>
      </c>
      <c r="AX111" s="182" t="str">
        <f>IF(D111="","",IF(AS111=2,0,IF(AS111=1,'Calc (ex-animal)'!$K$25*'Calc (ex-housing, ex-storage)'!F111/100/VLOOKUP($C$110,'DB animal categories'!$C$42:$AC$51,27,FALSE)*AJ111+Q111+R111+S111,IF(AS111=5,('Calc (ex-animal)'!$K$25+'Calc (ex-animal)'!$L$25)*'Calc (ex-housing, ex-storage)'!F111/100/VLOOKUP($C$110,'DB animal categories'!$C$42:$AC$51,27,FALSE)*AJ111+Q111+R111+S111-'Calc (ex-housing, ex-storage)'!AC111,IF(AS111=3,('Calc (ex-animal)'!$K$25+'Calc (ex-animal)'!$L$25)*'Calc (ex-housing, ex-storage)'!F111/100/VLOOKUP($C$110,'DB animal categories'!$C$42:$AC$51,27,FALSE)*AJ111+Q111+R111+S111-'Calc (ex-housing, ex-storage)'!AC111-AD111-AE111,IF(AI111=4,('Calc (ex-animal)'!$K$25+'Calc (ex-animal)'!$L$25)*'Calc (ex-housing, ex-storage)'!F111/100*VLOOKUP(D111,'DB technologies'!$N$53:$Y$64,12,FALSE)/100/VLOOKUP($C$110,'DB animal categories'!$C$42:$AC$51,27,FALSE)*AJ111+Q111+R111+S111-(VLOOKUP(D111,'DB technologies'!$N$53:$Y$64,12,FALSE)/100*AC111)-AD111-AE111,0))))))</f>
        <v/>
      </c>
      <c r="AY111" s="182" t="str">
        <f>IF(D111="","",IF(AS111=2,0,IF(AS111=1,'Calc (ex-animal)'!$N$25*'Calc (ex-housing, ex-storage)'!F111/100/VLOOKUP($C$110,'DB animal categories'!$C$42:$AC$51,27,FALSE)*AJ111+U111+V111+W111,IF(AS111=5,('Calc (ex-animal)'!$N$25+'Calc (ex-animal)'!$O$25)*'Calc (ex-housing, ex-storage)'!F111/100/VLOOKUP($C$110,'DB animal categories'!$C$42:$AC$51,27,FALSE)*AJ111+U111+V111+W111,IF(AS111=3,('Calc (ex-animal)'!$N$25+'Calc (ex-animal)'!$O$25)*'Calc (ex-housing, ex-storage)'!F111/100/VLOOKUP($C$110,'DB animal categories'!$C$42:$AC$51,27,FALSE)*AJ111+U111+V111+W111,IF(AS111=4,('Calc (ex-animal)'!$N$25+'Calc (ex-animal)'!$O$25)*'Calc (ex-housing, ex-storage)'!F111/100*VLOOKUP(D111,'DB technologies'!$N$53:$Y$64,12,FALSE)/100/VLOOKUP($C$110,'DB animal categories'!$C$42:$AC$51,27,FALSE)*AJ111+U111+V111+W111,0))))))</f>
        <v/>
      </c>
      <c r="AZ111" s="182" t="str">
        <f>IF(D111="","",IF(AS111=2,0,IF(AS111=1,'Calc (ex-animal)'!$Q$25*'Calc (ex-housing, ex-storage)'!F111/100/VLOOKUP($C$110,'DB animal categories'!$C$42:$AC$51,27,FALSE)*AJ111+Y111+Z111+AA111,IF(AS111=5,('Calc (ex-animal)'!$Q$25+'Calc (ex-animal)'!$R$25)*'Calc (ex-housing, ex-storage)'!F111/100/VLOOKUP($C$110,'DB animal categories'!$C$42:$AC$51,27,FALSE)*AJ111+Y111+Z111+AA111,IF(AS111=3,('Calc (ex-animal)'!$Q$25+'Calc (ex-animal)'!$R$25)*'Calc (ex-housing, ex-storage)'!F111/100/VLOOKUP($C$110,'DB animal categories'!$C$42:$AC$51,27,FALSE)*AJ111+Y111+Z111+AA111,IF(AS111=4,('Calc (ex-animal)'!$Q$25+'Calc (ex-animal)'!$R$25)*'Calc (ex-housing, ex-storage)'!F111/100*VLOOKUP(D111,'DB technologies'!$N$53:$Y$64,12,FALSE)/100/VLOOKUP($C$110,'DB animal categories'!$C$42:$AC$51,27,FALSE)*AJ111+Y111+Z111+AA111,0))))))</f>
        <v/>
      </c>
      <c r="BA111" s="506"/>
      <c r="BB111" s="506"/>
      <c r="BC111" s="506"/>
      <c r="BG111" s="1357"/>
      <c r="BH111" s="1361"/>
      <c r="BI111" s="598" t="str">
        <f>IF(BG111="","",$BA$109*BH111/100-($BB$109*BH111/100*VLOOKUP(BG111,'DB technologies'!$AC$64:$AT$68,5,FALSE)/100)+(VLOOKUP(BG111,'DB technologies'!$AC$64:$AT$68,12,FALSE)*$BA$109*BH111/100))</f>
        <v/>
      </c>
      <c r="BJ111" s="551">
        <f>IF(BI111="",0,BI111*BK111/100)</f>
        <v>0</v>
      </c>
      <c r="BK111" s="571" t="str">
        <f>IF(BG111="","",IF($BA$109=0,0,($BB$109*BH111/100)/BI111*(1-(VLOOKUP(BG111,'DB technologies'!$AC$64:$AQ$68,5,FALSE))/100)*100))</f>
        <v/>
      </c>
      <c r="BL111" s="261" t="str">
        <f>IF(BG111="","",$BD$109*BH111/100-BO111-BP111-BQ111-BR111)</f>
        <v/>
      </c>
      <c r="BM111" s="261" t="str">
        <f>IF(BG111="","",$BE$109*BH111/100-BS111)</f>
        <v/>
      </c>
      <c r="BN111" s="261" t="str">
        <f>IF(BG111="","",$BF$109*BH111/100-BT111)</f>
        <v/>
      </c>
      <c r="BO111" s="261" t="str">
        <f>IF(BG111="","",$BD$109*BH111/100*VLOOKUP(BG111,'DB technologies'!$AC$64:$AF$68,2,FALSE)/100)</f>
        <v/>
      </c>
      <c r="BP111" s="261" t="str">
        <f>IF(BG111="","",$BD$109*BH111/100*VLOOKUP(BG111,'DB technologies'!$AC$64:$AN$68,3,FALSE)/100)</f>
        <v/>
      </c>
      <c r="BQ111" s="262" t="str">
        <f>IF(BG111="","",$BD$109*BH111/100*VLOOKUP(BG111,'DB technologies'!$AC$64:$AN$68,4,FALSE)/100)</f>
        <v/>
      </c>
      <c r="BR111" s="264" t="str">
        <f>IF(BG111="","",VLOOKUP(BG111,'DB technologies'!$AC$64:$AQ$68,13,FALSE)/100*$BD$109*BH111/100)</f>
        <v/>
      </c>
      <c r="BS111" s="261" t="str">
        <f>IF(BG111="","",VLOOKUP(BG111,'DB technologies'!$AC$64:$AQ$68,14,FALSE)/100*$BE$109*BH111/100)</f>
        <v/>
      </c>
      <c r="BT111" s="262" t="str">
        <f>IF(BG111="","",VLOOKUP(BG111,'DB technologies'!$AC$64:$AQ$68,15,FALSE)/100*$BF$109*BH111/100)</f>
        <v/>
      </c>
    </row>
    <row r="112" spans="1:72" ht="11.25" customHeight="1" x14ac:dyDescent="0.2">
      <c r="A112" s="684"/>
      <c r="B112" s="695"/>
      <c r="C112" s="251"/>
      <c r="D112" s="1357"/>
      <c r="E112" s="1358"/>
      <c r="F112" s="480" t="str">
        <f>IF('Calc (ex-animal)'!$F$9=1,"",IF($C$110=0,"",IF(D112="","",E112/'Calc (ex-animal)'!$E$25*100)))</f>
        <v/>
      </c>
      <c r="G112" s="485" t="str">
        <f>IF($C$110=0,"",IF('Calc (ex-animal)'!$F$8=1,"",IF(D112="","",SUM(H112:O112))))</f>
        <v/>
      </c>
      <c r="H112" s="423" t="str">
        <f>IF('Calc (ex-animal)'!$F$8=1,"",IF(D112="","",(((VLOOKUP($C$110,'Calc (ex-animal)'!$D$23:$Y$27,6,FALSE)-VLOOKUP($C$110,'Calc (ex-animal)'!$D$23:$Y$27,17,FALSE))*F112/100))*VLOOKUP($C$110,'Calc (ex-animal)'!$D$23:$Y$27,7,FALSE)/100*(1-VLOOKUP(D112,'DB technologies'!$N$53:$Y$64,9,FALSE)/100)))</f>
        <v/>
      </c>
      <c r="I112" s="423" t="str">
        <f>IF(D112="","",((VLOOKUP(D112,'DB technologies'!$N$53:$Y$64,2,FALSE)*VLOOKUP($C$110,'DB animal categories'!$C$42:$AC$51,27,FALSE)*E112/1000)/VLOOKUP($C$110,'DB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'!$S$6/100*(1-VLOOKUP(D112,'DB technologies'!$N$53:$Y$64,9,FALSE)/100)))</f>
        <v/>
      </c>
      <c r="J112" s="434" t="str">
        <f>IF(D112="","",((VLOOKUP(D112,'DB technologies'!$N$53:$Y$64,3,FALSE)*VLOOKUP($C$110,'DB animal categories'!$C$42:$AC$51,27,FALSE)*E112/1000)/VLOOKUP($C$110,'DB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'!$S$7/100*(1-VLOOKUP(D112,'DB technologies'!$N$53:$Y$64,9,FALSE)/100)))</f>
        <v/>
      </c>
      <c r="K112" s="434" t="str">
        <f>IF(D112="","",((VLOOKUP(D112,'DB technologies'!$N$53:$Y$64,4,FALSE)*E112*'DB additional information '!$S$8/100*(1-VLOOKUP(D112,'DB technologies'!$N$53:$Y$64,9,FALSE)/100))/VLOOKUP($C$110,'DB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L112" s="423" t="str">
        <f>IF('Calc (ex-animal)'!$F$8=1,"",IF(D112="","",(((VLOOKUP($C$110,'Calc (ex-animal)'!$D$23:$Y$27,6,FALSE)-VLOOKUP($C$110,'Calc (ex-animal)'!$D$23:$Y$27,17,FALSE))*F112/100))*(1-VLOOKUP($C$110,'Calc (ex-animal)'!$D$23:$Y$27,7,FALSE)/100)*(1-VLOOKUP(D112,'DB technologies'!$N$53:$V$64,8,FALSE)/100)))</f>
        <v/>
      </c>
      <c r="M112" s="434" t="str">
        <f>IF(D112="","",((VLOOKUP(D112,'DB technologies'!$N$53:$Y$64,2,FALSE)*VLOOKUP($C$110,'DB animal categories'!$C$42:$AC$51,27,FALSE)*E112/1000)/VLOOKUP($C$110,'DB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'!$S$6/100)*(1-VLOOKUP(D112,'DB technologies'!$N$53:$Y$64,9,FALSE)/100))</f>
        <v/>
      </c>
      <c r="N112" s="434" t="str">
        <f>IF(D112="","",((VLOOKUP(D112,'DB technologies'!$N$53:$Y$64,3,FALSE)*VLOOKUP($C$110,'DB animal categories'!$C$42:$AC$51,27,FALSE)*E112/1000)/VLOOKUP($C$110,'DB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'!$S$7/100)*(1-VLOOKUP(D112,'DB technologies'!$N$53:$Y$64,9,FALSE)/100))</f>
        <v/>
      </c>
      <c r="O112" s="423" t="str">
        <f>IF(D112="","",((VLOOKUP(D112,'DB technologies'!$N$53:$Y$64,4,FALSE)*E112*(1-'DB additional information '!$S$8/100)*(1-VLOOKUP(D112,'DB technologies'!$N$53:$Y$64,8,FALSE)/100))/VLOOKUP($C$110,'DB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P112" s="438" t="str">
        <f>IF(G112=0,0,IF(E112="","",IF(F112="","",IF($C$110=0,"",IF(D112="","",SUM(H112:K112)/G112*100)))))</f>
        <v/>
      </c>
      <c r="Q112" s="416" t="str">
        <f>IF(D112="","",(VLOOKUP(D112,'DB technologies'!$N$53:$Y$64,2,FALSE)*'DB additional information '!$S$6/100*'DB additional information '!$T$6*VLOOKUP($C$110,'DB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R112" s="416" t="str">
        <f>IF(D112="","",(VLOOKUP(D112,'DB technologies'!$N$53:$Y$64,3,FALSE)*'DB additional information '!$S$7/100*'DB additional information '!$T$7*VLOOKUP($C$110,'DB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S112" s="491" t="str">
        <f>IF(D112="","",(VLOOKUP(D112,'DB technologies'!$N$53:$Y$64,4,FALSE)*('DB additional information '!$S$8/100*'DB additional information '!$T$8*E112/1000/1000)))</f>
        <v/>
      </c>
      <c r="T112" s="264" t="str">
        <f>IF($C$110=0,"",IF('Calc (ex-animal)'!$F$9=1,"",IF(D112="","",((VLOOKUP($C$110,'Calc (ex-animal)'!$D$23:$Y$27,10,FALSE)-VLOOKUP($C$110,'Calc (ex-animal)'!$D$23:$Y$27,18,FALSE))*F112/100+Q112+R112+S112)-AC112-AD112-AE112)))</f>
        <v/>
      </c>
      <c r="U112" s="422" t="str">
        <f>IF(D112="","",(VLOOKUP(D112,'DB technologies'!$N$53:$Y$64,2,FALSE)*'DB additional information '!$S$6/100*'DB additional information '!$U$6*VLOOKUP($C$110,'DB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V112" s="418" t="str">
        <f>IF(D112="","",(VLOOKUP(D112,'DB technologies'!$N$53:$Y$64,3,FALSE)*'DB additional information '!$S$7/100*'DB additional information '!$U$7*VLOOKUP($C$110,'DB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W112" s="417" t="str">
        <f>IF(D112="","",(VLOOKUP(D112,'DB technologies'!$N$53:$Y$64,4,FALSE)*('DB additional information '!$S$8/100*'DB additional information '!$U$8*E112/1000/1000)))</f>
        <v/>
      </c>
      <c r="X112" s="261" t="str">
        <f>IF($C$110=0,"",IF('Calc (ex-animal)'!$F$9=1,"",IF(D112="","",((VLOOKUP($C$110,'Calc (ex-animal)'!$D$23:$Y$27,13,FALSE)-VLOOKUP($C$110,'Calc (ex-animal)'!$D$23:$Y$27,19,FALSE))*F112/100+U112+V112+W112))))</f>
        <v/>
      </c>
      <c r="Y112" s="418" t="str">
        <f>IF(D112="","",(VLOOKUP(D112,'DB technologies'!$N$53:$Y$64,2,FALSE)*'DB additional information '!$S$6/100*'DB additional information '!$V$6*VLOOKUP($C$110,'DB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Z112" s="418" t="str">
        <f>IF(D112="","",(VLOOKUP(D112,'DB technologies'!$N$53:$Y$64,3,FALSE)*'DB additional information '!$S$7/100*'DB additional information '!$V$7*VLOOKUP($C$110,'DB animal categories'!$C$42:$AC$51,27,FALSE)*E112/1000/1000)/VLOOKUP($C$110,'DB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AA112" s="418" t="str">
        <f>IF(D112="","",(VLOOKUP(D112,'DB technologies'!$N$53:$Y$64,4,FALSE)*('DB additional information '!$S$8/100*'DB additional information '!$V$8*E112/1000/1000)))</f>
        <v/>
      </c>
      <c r="AB112" s="261" t="str">
        <f>IF($C$110=0,"",IF('Calc (ex-animal)'!$F$8=1,"",IF(D112="","",((VLOOKUP($C$110,'Calc (ex-animal)'!$D$23:$Y$27,16,FALSE)-VLOOKUP($C$110,'Calc (ex-animal)'!$D$23:$Y$27,20,FALSE))*F112/100+Y112+Z112+AA112))))</f>
        <v/>
      </c>
      <c r="AC112" s="261" t="str">
        <f>IF($C$110=0,"",IF('Calc (ex-animal)'!$F$8=1,"",IF(D112="","",VLOOKUP($C$110,'Calc (ex-animal)'!$D$23:$Y$27,9,FALSE)/VLOOKUP($C$110,'DB animal categories'!$C$42:$AC$51,27,FALSE)*(VLOOKUP($C$110,'DB animal categories'!$C$42:$AC$51,27,FALSE)-VLOOKUP($C$110,'DB animal categories'!$C$42:$AC$51,25,FALSE)*VLOOKUP($C$110,'DB animal categories'!$C$42:$AC$51,26,FALSE)/24)*F112/100*VLOOKUP(D112,'DB technologies'!$N$53:$R$64,5,FALSE)/100)))</f>
        <v/>
      </c>
      <c r="AD112" s="261" t="str">
        <f>IF($C$110=0,"",IF('Calc (ex-animal)'!$F$8=1,"",IF(D112="","",VLOOKUP($C$110,'Calc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categories'!$C$42:$AC$51,26,FALSE)/24)*F112/100*VLOOKUP(D112,'DB technologies'!$N$53:$Y$64,6,FALSE)/100)))</f>
        <v/>
      </c>
      <c r="AE112" s="262" t="str">
        <f>IF($C$110=0,"",IF('Calc (ex-animal)'!$F$8=1,"",IF(D112="","",VLOOKUP($C$110,'Calc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categories'!$C$42:$AC$51,26,FALSE)/24)*F112/100*VLOOKUP(D112,'DB technologies'!$N$53:$Y$64,7,FALSE)/100)))</f>
        <v/>
      </c>
      <c r="AG112" s="698"/>
      <c r="AH112" s="695"/>
      <c r="AI112" s="181" t="str">
        <f>IF(D112="","",VLOOKUP(D112,'DB technologies'!$N$53:$Y$64,10,FALSE))</f>
        <v/>
      </c>
      <c r="AJ112" s="449" t="e">
        <f>VLOOKUP($C$110,'DB animal categories'!$C$42:$AN$51,27,FALSE)-VLOOKUP($C$110,'DB animal categories'!$C$42:$AN$51,26,FALSE)*VLOOKUP($C$110,'DB animal categories'!$C$42:$AN$51,25,FALSE)/24</f>
        <v>#N/A</v>
      </c>
      <c r="AK112" s="442" t="str">
        <f>IF(AI112="","",AL112+AM112)</f>
        <v/>
      </c>
      <c r="AL112" s="442" t="str">
        <f>IF(D112="","",IF(AI112=2,(('Calc (ex-animal)'!$G$25*'DB additional information '!$K$8/100*(1-VLOOKUP(D112,'DB technologies'!$N$53:$Y$64,9,FALSE)/100)*'Calc (ex-housing, ex-storage)'!F112/100+'Calc (ex-animal)'!$H$25*'DB additional information '!$L$8/100*(1-VLOOKUP(D112,'DB technologies'!$N$53:$Y$64,9,FALSE)/100)*'Calc (ex-housing, ex-storage)'!F112/100))/VLOOKUP($C$110,'DB animal categories'!$C$42:$AC$51,27,FALSE)*AJ112+I112+J112+K112,IF(AI112=1,('Calc (ex-animal)'!$H$25*'DB additional information '!$L$8/100*(1-VLOOKUP(D112,'DB technologies'!$N$53:$Y$64,9,FALSE)/100)*'Calc (ex-housing, ex-storage)'!F112/100)/VLOOKUP($C$110,'DB animal categories'!$C$42:$AC$51,27,FALSE)*AJ112,IF(AI112=4,('Calc (ex-animal)'!$G$25*'DB additional information '!$K$8/100+'Calc (ex-animal)'!$H$25*'DB additional information '!$L$8/100)*(1-VLOOKUP(D112,'DB technologies'!$N$53:$Y$64,9,FALSE)/100)*'Calc (ex-housing, ex-storage)'!F112/100*VLOOKUP(D112,'DB technologies'!$N$53:$Y$64,11,FALSE)/100/VLOOKUP($C$110,'DB animal categories'!$C$42:$AC$51,27,FALSE)*AJ112,0))))</f>
        <v/>
      </c>
      <c r="AM112" s="442" t="str">
        <f>IF(D112="","",IF(AI112=2,(('Calc (ex-animal)'!$G$25*(1-'DB additional information '!$K$8/100)*(1-VLOOKUP(D112,'DB technologies'!$N$53:$Y$64,8,FALSE)/100)*'Calc (ex-housing, ex-storage)'!F112/100+'Calc (ex-animal)'!$H$25*(1-'DB additional information '!$L$8/100)*(1-VLOOKUP(D112,'DB technologies'!$N$53:$Y$64,8,FALSE)/100)*'Calc (ex-housing, ex-storage)'!F112/100))/VLOOKUP($C$110,'DB animal categories'!$C$42:$AC$51,27,FALSE)*AJ112+M112+N112+O112,IF(AI112=1,('Calc (ex-animal)'!$H$25*(1-'DB additional information '!$L$8/100)*(1-VLOOKUP(D112,'DB technologies'!$N$53:$Y$64,8,FALSE)/100)*'Calc (ex-housing, ex-storage)'!F112/100)/VLOOKUP($C$110,'DB animal categories'!$C$42:$AC$51,27,FALSE)*AJ112,IF(AI112=4,('Calc (ex-animal)'!$G$25*(1-'DB additional information '!$K$8/100)+'Calc (ex-animal)'!$H$25*(1-'DB additional information '!$L$8/100))*(1-VLOOKUP(D112,'DB technologies'!$N$53:$Y$64,8,FALSE)/100)*'Calc (ex-housing, ex-storage)'!F112/100*VLOOKUP(D112,'DB technologies'!$N$53:$Y$64,11,FALSE)/100/VLOOKUP($C$110,'DB animal categories'!$C$42:$AC$51,27,FALSE)*AJ112,0))))</f>
        <v/>
      </c>
      <c r="AN112" s="442" t="str">
        <f>IF(AI112="","",IF(AL112=0,0,AL112/AK112*100))</f>
        <v/>
      </c>
      <c r="AO112" s="182" t="str">
        <f>IF(D112="","",IF(AI112=2,(('Calc (ex-animal)'!$L$25*'Calc (ex-housing, ex-storage)'!F112/100+'Calc (ex-animal)'!$K$25*'Calc (ex-housing, ex-storage)'!F112/100))/VLOOKUP($C$110,'DB animal categories'!$C$42:$AC$51,27,FALSE)*AJ112+Q112+R112+S112-AC112,IF(AI112=1,('Calc (ex-animal)'!$L$25*'Calc (ex-housing, ex-storage)'!F112/100)/VLOOKUP($C$110,'DB animal categories'!$C$42:$AC$51,27,FALSE)*AJ112-'Calc (ex-housing, ex-storage)'!AC112,IF(AI112=4,('Calc (ex-animal)'!$L$25+'Calc (ex-animal)'!$K$25)*'Calc (ex-housing, ex-storage)'!F112/100*VLOOKUP(D112,'DB technologies'!$N$53:$Y$64,11,FALSE)/100/VLOOKUP($C$110,'DB animal categories'!$C$42:$AC$51,27,FALSE)*AJ112-AC112*VLOOKUP(D112,'DB technologies'!$N$53:$Y$64,11,FALSE)/100,0))))</f>
        <v/>
      </c>
      <c r="AP112" s="182" t="str">
        <f>IF(D112="","",IF(AO112&lt;-0.01,0,IF(AI112=2,(('Calc (ex-animal)'!$L$25*'Calc (ex-housing, ex-storage)'!F112/100+'Calc (ex-animal)'!$K$25*'Calc (ex-housing, ex-storage)'!F112/100))/VLOOKUP($C$110,'DB animal categories'!$C$42:$AC$51,27,FALSE)*AJ112+Q112+R112+S112-AC112,IF(AI112=1,('Calc (ex-animal)'!$L$25*'Calc (ex-housing, ex-storage)'!F112/100)/VLOOKUP($C$110,'DB animal categories'!$C$42:$AC$51,27,FALSE)*AJ112-'Calc (ex-housing, ex-storage)'!AC112,IF(AI112=4,('Calc (ex-animal)'!$L$25+'Calc (ex-animal)'!$K$25)*'Calc (ex-housing, ex-storage)'!F112/100*VLOOKUP(D112,'DB technologies'!$N$53:$Y$64,11,FALSE)/100/VLOOKUP($C$110,'DB animal categories'!$C$42:$AC$51,27,FALSE)*AJ112-AC112*VLOOKUP(D112,'DB technologies'!$N$53:$Y$64,11,FALSE)/100,0)))))</f>
        <v/>
      </c>
      <c r="AQ112" s="182" t="str">
        <f>IF(D112="","",IF(AI112=2,('Calc (ex-animal)'!$O$25*'Calc (ex-housing, ex-storage)'!F112/100+'Calc (ex-animal)'!$N$25*'Calc (ex-housing, ex-storage)'!F112/100)/VLOOKUP($C$110,'DB animal categories'!$C$42:$AC$51,27,FALSE)*AJ112+U112+V112+W112,IF(AI112=1,'Calc (ex-animal)'!$O$25*'Calc (ex-housing, ex-storage)'!F112/100/VLOOKUP($C$110,'DB animal categories'!$C$42:$AC$51,27,FALSE)*AJ112,IF(AI112=4,('Calc (ex-animal)'!$O$25+'Calc (ex-animal)'!$N$25)*'Calc (ex-housing, ex-storage)'!F112/100*VLOOKUP(D112,'DB technologies'!$N$53:$Y$64,11,FALSE)/100/VLOOKUP($C$110,'DB animal categories'!$C$42:$AC$51,27,FALSE)*AJ112,0))))</f>
        <v/>
      </c>
      <c r="AR112" s="182" t="str">
        <f>IF(D112="","",IF(AI112=2,('Calc (ex-animal)'!$R$25*'Calc (ex-housing, ex-storage)'!F112/100+'Calc (ex-animal)'!$Q$25*'Calc (ex-housing, ex-storage)'!F112/100)/VLOOKUP($C$110,'DB animal categories'!$C$42:$AC$51,27,FALSE)*AJ112+Y112+Z112+AA112,IF(AI112=1,'Calc (ex-animal)'!$R$25*'Calc (ex-housing, ex-storage)'!F112/100/VLOOKUP($C$110,'DB animal categories'!$C$42:$AC$51,27,FALSE)*AJ112,IF(AI112=4,('Calc (ex-animal)'!$R$25+'Calc (ex-animal)'!$Q$25)*'Calc (ex-housing, ex-storage)'!F112/100*VLOOKUP(D112,'DB technologies'!$N$53:$Y$64,11,FALSE)/100/VLOOKUP($C$110,'DB animal categories'!$C$42:$AC$51,27,FALSE)*AJ112,0))))</f>
        <v/>
      </c>
      <c r="AS112" s="181" t="str">
        <f>IF(D112="","",VLOOKUP(D112,'DB technologies'!$N$53:$Y$64,10,FALSE))</f>
        <v/>
      </c>
      <c r="AT112" s="442" t="str">
        <f>IF(AS112="","",AU112+AV112)</f>
        <v/>
      </c>
      <c r="AU112" s="442" t="str">
        <f>IF(D112="","",IF(AS112=2,0,IF(AS112=1,'Calc (ex-animal)'!$G$25*'DB additional information '!$K$8/100*(1-VLOOKUP(D112,'DB technologies'!$N$53:$Y$64,8,FALSE)/100)*'Calc (ex-housing, ex-storage)'!F112/100/VLOOKUP($C$110,'DB animal categories'!$C$42:$AC$51,27,FALSE)*AJ112+I112+J112+K112,IF(AS112=5,(('Calc (ex-animal)'!$G$25*'DB additional information '!$K$8/100+'Calc (ex-animal)'!$H$25*'DB additional information '!$L$8/100))*(1-VLOOKUP(D112,'DB technologies'!$N$53:$Y$64,9,FALSE)/100)*'Calc (ex-housing, ex-storage)'!F112/100/VLOOKUP($C$110,'DB animal categories'!$C$42:$AC$51,27,FALSE)*AJ112+I112+J112+K112,IF(AS112=3,('Calc (ex-animal)'!$G$25*'DB additional information '!$K$8/100+'Calc (ex-animal)'!$H$25*'DB additional information '!$L$8/100)*(1-VLOOKUP(D112,'DB technologies'!$N$53:$Y$64,9,FALSE)/100)*'Calc (ex-housing, ex-storage)'!F112/100/VLOOKUP($C$110,'DB animal categories'!$C$42:$AC$51,27,FALSE)*AJ112+I112+J112+K112,IF(AS112=4,('Calc (ex-animal)'!$G$25*'DB additional information '!$K$8/100+'Calc (ex-animal)'!$H$25*'DB additional information '!$L$8/100)*(1-VLOOKUP(D112,'DB technologies'!$N$53:$Y$64,9,FALSE)/100)*'Calc (ex-housing, ex-storage)'!F112/100*VLOOKUP(D112,'DB technologies'!$N$53:$Y$64,12,FALSE)/100/VLOOKUP($C$110,'DB animal categories'!$C$42:$AC$51,27,FALSE)*AJ112+I112+J112+K112,0))))))</f>
        <v/>
      </c>
      <c r="AV112" s="442" t="str">
        <f>IF(D112="","",IF(AS112=2,0,IF(AS112=1,'Calc (ex-animal)'!$G$25*(1-'DB additional information '!$K$8/100)*(1-VLOOKUP(D112,'DB technologies'!$N$53:$Y$64,8,FALSE)/100)*'Calc (ex-housing, ex-storage)'!F112/100/VLOOKUP($C$110,'DB animal categories'!$C$42:$AC$51,27,FALSE)*AJ112+M112+N112+O112,IF(AS112=5,('Calc (ex-animal)'!$G$25*(1-'DB additional information '!$K$8/100)+'Calc (ex-animal)'!$H$25*(1-'DB additional information '!$L$8/100))*(1-VLOOKUP(D112,'DB technologies'!$N$53:$Y$64,8,FALSE)/100)*'Calc (ex-housing, ex-storage)'!F112/100/VLOOKUP($C$110,'DB animal categories'!$C$42:$AC$51,27,FALSE)*AJ112+M112+N112+O112,IF(AS112=3,('Calc (ex-animal)'!$G$25*(1-'DB additional information '!$K$8/100)+'Calc (ex-animal)'!$H$25*(1-'DB additional information '!$L$8/100))*(1-VLOOKUP(D112,'DB technologies'!$N$53:$Y$64,8,FALSE)/100)*'Calc (ex-housing, ex-storage)'!F112/100/VLOOKUP($C$110,'DB animal categories'!$C$42:$AC$51,27,FALSE)*AJ112+M112+N112+O112,IF(AS112=4,('Calc (ex-animal)'!$G$25*(1-'DB additional information '!$K$8/100)+'Calc (ex-animal)'!$H$25*(1-'DB additional information '!$L$8/100))*(1-VLOOKUP(D112,'DB technologies'!$N$53:$Y$64,8,FALSE)/100)*'Calc (ex-housing, ex-storage)'!F112/100*VLOOKUP(D112,'DB technologies'!$N$53:$Y$64,12,FALSE)/100/VLOOKUP($C$110,'DB animal categories'!$C$42:$AC$51,27,FALSE)*AJ112+M112+N112+O112,0))))))</f>
        <v/>
      </c>
      <c r="AW112" s="442" t="str">
        <f>IF(AS112="","",IF(AU112=0,0,AU112/AT112*100))</f>
        <v/>
      </c>
      <c r="AX112" s="182" t="str">
        <f>IF(D112="","",IF(AS112=2,0,IF(AS112=1,'Calc (ex-animal)'!$K$25*'Calc (ex-housing, ex-storage)'!F112/100/VLOOKUP($C$110,'DB animal categories'!$C$42:$AC$51,27,FALSE)*AJ112+Q112+R112+S112,IF(AS112=5,('Calc (ex-animal)'!$K$25+'Calc (ex-animal)'!$L$25)*'Calc (ex-housing, ex-storage)'!F112/100/VLOOKUP($C$110,'DB animal categories'!$C$42:$AC$51,27,FALSE)*AJ112+Q112+R112+S112-'Calc (ex-housing, ex-storage)'!AC112,IF(AS112=3,('Calc (ex-animal)'!$K$25+'Calc (ex-animal)'!$L$25)*'Calc (ex-housing, ex-storage)'!F112/100/VLOOKUP($C$110,'DB animal categories'!$C$42:$AC$51,27,FALSE)*AJ112+Q112+R112+S112-'Calc (ex-housing, ex-storage)'!AC112-AD112-AE112,IF(AI112=4,('Calc (ex-animal)'!$K$25+'Calc (ex-animal)'!$L$25)*'Calc (ex-housing, ex-storage)'!F112/100*VLOOKUP(D112,'DB technologies'!$N$53:$Y$64,12,FALSE)/100/VLOOKUP($C$110,'DB animal categories'!$C$42:$AC$51,27,FALSE)*AJ112+Q112+R112+S112-(VLOOKUP(D112,'DB technologies'!$N$53:$Y$64,12,FALSE)/100*AC112)-AD112-AE112,0))))))</f>
        <v/>
      </c>
      <c r="AY112" s="182" t="str">
        <f>IF(D112="","",IF(AS112=2,0,IF(AS112=1,'Calc (ex-animal)'!$N$25*'Calc (ex-housing, ex-storage)'!F112/100/VLOOKUP($C$110,'DB animal categories'!$C$42:$AC$51,27,FALSE)*AJ112+U112+V112+W112,IF(AS112=5,('Calc (ex-animal)'!$N$25+'Calc (ex-animal)'!$O$25)*'Calc (ex-housing, ex-storage)'!F112/100/VLOOKUP($C$110,'DB animal categories'!$C$42:$AC$51,27,FALSE)*AJ112+U112+V112+W112,IF(AS112=3,('Calc (ex-animal)'!$N$25+'Calc (ex-animal)'!$O$25)*'Calc (ex-housing, ex-storage)'!F112/100/VLOOKUP($C$110,'DB animal categories'!$C$42:$AC$51,27,FALSE)*AJ112+U112+V112+W112,IF(AS112=4,('Calc (ex-animal)'!$N$25+'Calc (ex-animal)'!$O$25)*'Calc (ex-housing, ex-storage)'!F112/100*VLOOKUP(D112,'DB technologies'!$N$53:$Y$64,12,FALSE)/100/VLOOKUP($C$110,'DB animal categories'!$C$42:$AC$51,27,FALSE)*AJ112+U112+V112+W112,0))))))</f>
        <v/>
      </c>
      <c r="AZ112" s="182" t="str">
        <f>IF(D112="","",IF(AS112=2,0,IF(AS112=1,'Calc (ex-animal)'!$Q$25*'Calc (ex-housing, ex-storage)'!F112/100/VLOOKUP($C$110,'DB animal categories'!$C$42:$AC$51,27,FALSE)*AJ112+Y112+Z112+AA112,IF(AS112=5,('Calc (ex-animal)'!$Q$25+'Calc (ex-animal)'!$R$25)*'Calc (ex-housing, ex-storage)'!F112/100/VLOOKUP($C$110,'DB animal categories'!$C$42:$AC$51,27,FALSE)*AJ112+Y112+Z112+AA112,IF(AS112=3,('Calc (ex-animal)'!$Q$25+'Calc (ex-animal)'!$R$25)*'Calc (ex-housing, ex-storage)'!F112/100/VLOOKUP($C$110,'DB animal categories'!$C$42:$AC$51,27,FALSE)*AJ112+Y112+Z112+AA112,IF(AS112=4,('Calc (ex-animal)'!$Q$25+'Calc (ex-animal)'!$R$25)*'Calc (ex-housing, ex-storage)'!F112/100*VLOOKUP(D112,'DB technologies'!$N$53:$Y$64,12,FALSE)/100/VLOOKUP($C$110,'DB animal categories'!$C$42:$AC$51,27,FALSE)*AJ112+Y112+Z112+AA112,0))))))</f>
        <v/>
      </c>
      <c r="BA112" s="506"/>
      <c r="BB112" s="506"/>
      <c r="BC112" s="506"/>
      <c r="BE112" s="111"/>
      <c r="BG112" s="1357"/>
      <c r="BH112" s="1361"/>
      <c r="BI112" s="598" t="str">
        <f>IF(BG112="","",$BA$109*BH112/100-($BB$109*BH112/100*VLOOKUP(BG112,'DB technologies'!$AC$64:$AT$68,5,FALSE)/100)+(VLOOKUP(BG112,'DB technologies'!$AC$64:$AT$68,12,FALSE)*$BA$109*BH112/100))</f>
        <v/>
      </c>
      <c r="BJ112" s="551">
        <f>IF(BI112="",0,BI112*BK112/100)</f>
        <v>0</v>
      </c>
      <c r="BK112" s="571" t="str">
        <f>IF(BG112="","",IF($BA$109=0,0,($BB$109*BH112/100)/BI112*(1-(VLOOKUP(BG112,'DB technologies'!$AC$64:$AQ$68,5,FALSE))/100)*100))</f>
        <v/>
      </c>
      <c r="BL112" s="261" t="str">
        <f>IF(BG112="","",$BD$109*BH112/100-BO112-BP112-BQ112-BR112)</f>
        <v/>
      </c>
      <c r="BM112" s="261" t="str">
        <f>IF(BG112="","",$BE$109*BH112/100-BS112)</f>
        <v/>
      </c>
      <c r="BN112" s="261" t="str">
        <f>IF(BG112="","",$BF$109*BH112/100-BT112)</f>
        <v/>
      </c>
      <c r="BO112" s="261" t="str">
        <f>IF(BG112="","",$BD$109*BH112/100*VLOOKUP(BG112,'DB technologies'!$AC$64:$AF$68,2,FALSE)/100)</f>
        <v/>
      </c>
      <c r="BP112" s="261" t="str">
        <f>IF(BG112="","",$BD$109*BH112/100*VLOOKUP(BG112,'DB technologies'!$AC$64:$AN$68,3,FALSE)/100)</f>
        <v/>
      </c>
      <c r="BQ112" s="262" t="str">
        <f>IF(BG112="","",$BD$109*BH112/100*VLOOKUP(BG112,'DB technologies'!$AC$64:$AN$68,4,FALSE)/100)</f>
        <v/>
      </c>
      <c r="BR112" s="264" t="str">
        <f>IF(BG112="","",VLOOKUP(BG112,'DB technologies'!$AC$64:$AQ$68,13,FALSE)/100*$BD$109*BH112/100)</f>
        <v/>
      </c>
      <c r="BS112" s="261" t="str">
        <f>IF(BG112="","",VLOOKUP(BG112,'DB technologies'!$AC$64:$AQ$68,14,FALSE)/100*$BE$109*BH112/100)</f>
        <v/>
      </c>
      <c r="BT112" s="262" t="str">
        <f>IF(BG112="","",VLOOKUP(BG112,'DB technologies'!$AC$64:$AQ$68,15,FALSE)/100*$BF$109*BH112/100)</f>
        <v/>
      </c>
    </row>
    <row r="113" spans="1:72" ht="11.25" customHeight="1" thickBot="1" x14ac:dyDescent="0.25">
      <c r="A113" s="684"/>
      <c r="B113" s="695"/>
      <c r="C113" s="251"/>
      <c r="D113" s="1357"/>
      <c r="E113" s="1358"/>
      <c r="F113" s="480" t="str">
        <f>IF('Calc (ex-animal)'!$F$9=1,"",IF($C$110=0,"",IF(D113="","",E113/'Calc (ex-animal)'!$E$25*100)))</f>
        <v/>
      </c>
      <c r="G113" s="485" t="str">
        <f>IF($C$110=0,"",IF('Calc (ex-animal)'!$F$8=1,"",IF(D113="","",SUM(H113:O113))))</f>
        <v/>
      </c>
      <c r="H113" s="423" t="str">
        <f>IF('Calc (ex-animal)'!$F$8=1,"",IF(D113="","",(((VLOOKUP($C$110,'Calc (ex-animal)'!$D$23:$Y$27,6,FALSE)-VLOOKUP($C$110,'Calc (ex-animal)'!$D$23:$Y$27,17,FALSE))*F113/100))*VLOOKUP($C$110,'Calc (ex-animal)'!$D$23:$Y$27,7,FALSE)/100*(1-VLOOKUP(D113,'DB technologies'!$N$53:$Y$64,9,FALSE)/100)))</f>
        <v/>
      </c>
      <c r="I113" s="423" t="str">
        <f>IF(D113="","",((VLOOKUP(D113,'DB technologies'!$N$53:$Y$64,2,FALSE)*VLOOKUP($C$110,'DB animal categories'!$C$42:$AC$51,27,FALSE)*E113/1000)/VLOOKUP($C$110,'DB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'!$S$6/100*(1-VLOOKUP(D113,'DB technologies'!$N$53:$Y$64,9,FALSE)/100)))</f>
        <v/>
      </c>
      <c r="J113" s="434" t="str">
        <f>IF(D113="","",((VLOOKUP(D113,'DB technologies'!$N$53:$Y$64,3,FALSE)*VLOOKUP($C$110,'DB animal categories'!$C$42:$AC$51,27,FALSE)*E113/1000)/VLOOKUP($C$110,'DB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'!$S$7/100*(1-VLOOKUP(D113,'DB technologies'!$N$53:$Y$64,9,FALSE)/100)))</f>
        <v/>
      </c>
      <c r="K113" s="434" t="str">
        <f>IF(D113="","",((VLOOKUP(D113,'DB technologies'!$N$53:$Y$64,4,FALSE)*E113*'DB additional information '!$S$8/100*(1-VLOOKUP(D113,'DB technologies'!$N$53:$Y$64,9,FALSE)/100))/VLOOKUP($C$110,'DB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L113" s="423" t="str">
        <f>IF('Calc (ex-animal)'!$F$8=1,"",IF(D113="","",(((VLOOKUP($C$110,'Calc (ex-animal)'!$D$23:$Y$27,6,FALSE)-VLOOKUP($C$110,'Calc (ex-animal)'!$D$23:$Y$27,17,FALSE))*F113/100))*(1-VLOOKUP($C$110,'Calc (ex-animal)'!$D$23:$Y$27,7,FALSE)/100)*(1-VLOOKUP(D113,'DB technologies'!$N$53:$V$64,8,FALSE)/100)))</f>
        <v/>
      </c>
      <c r="M113" s="434" t="str">
        <f>IF(D113="","",((VLOOKUP(D113,'DB technologies'!$N$53:$Y$64,2,FALSE)*VLOOKUP($C$110,'DB animal categories'!$C$42:$AC$51,27,FALSE)*E113/1000)/VLOOKUP($C$110,'DB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'!$S$6/100)*(1-VLOOKUP(D113,'DB technologies'!$N$53:$Y$64,9,FALSE)/100))</f>
        <v/>
      </c>
      <c r="N113" s="434" t="str">
        <f>IF(D113="","",((VLOOKUP(D113,'DB technologies'!$N$53:$Y$64,3,FALSE)*VLOOKUP($C$110,'DB animal categories'!$C$42:$AC$51,27,FALSE)*E113/1000)/VLOOKUP($C$110,'DB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'!$S$7/100)*(1-VLOOKUP(D113,'DB technologies'!$N$53:$Y$64,9,FALSE)/100))</f>
        <v/>
      </c>
      <c r="O113" s="423" t="str">
        <f>IF(D113="","",((VLOOKUP(D113,'DB technologies'!$N$53:$Y$64,4,FALSE)*E113*(1-'DB additional information '!$S$8/100)*(1-VLOOKUP(D113,'DB technologies'!$N$53:$Y$64,8,FALSE)/100))/VLOOKUP($C$110,'DB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P113" s="438" t="str">
        <f>IF(G113=0,0,IF(E113="","",IF(F113="","",IF($C$110=0,"",IF(D113="","",SUM(H113:K113)/G113*100)))))</f>
        <v/>
      </c>
      <c r="Q113" s="416" t="str">
        <f>IF(D113="","",(VLOOKUP(D113,'DB technologies'!$N$53:$Y$64,2,FALSE)*'DB additional information '!$S$6/100*'DB additional information '!$T$6*VLOOKUP($C$110,'DB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R113" s="416" t="str">
        <f>IF(D113="","",(VLOOKUP(D113,'DB technologies'!$N$53:$Y$64,3,FALSE)*'DB additional information '!$S$7/100*'DB additional information '!$T$7*VLOOKUP($C$110,'DB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S113" s="491" t="str">
        <f>IF(D113="","",(VLOOKUP(D113,'DB technologies'!$N$53:$Y$64,4,FALSE)*('DB additional information '!$S$8/100*'DB additional information '!$T$8*E113/1000/1000)))</f>
        <v/>
      </c>
      <c r="T113" s="264" t="str">
        <f>IF($C$110=0,"",IF('Calc (ex-animal)'!$F$9=1,"",IF(D113="","",((VLOOKUP($C$110,'Calc (ex-animal)'!$D$23:$Y$27,10,FALSE)-VLOOKUP($C$110,'Calc (ex-animal)'!$D$23:$Y$27,18,FALSE))*F113/100+Q113+R113+S113)-AC113-AD113-AE113)))</f>
        <v/>
      </c>
      <c r="U113" s="422" t="str">
        <f>IF(D113="","",(VLOOKUP(D113,'DB technologies'!$N$53:$Y$64,2,FALSE)*'DB additional information '!$S$6/100*'DB additional information '!$U$6*VLOOKUP($C$110,'DB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V113" s="418" t="str">
        <f>IF(D113="","",(VLOOKUP(D113,'DB technologies'!$N$53:$Y$64,3,FALSE)*'DB additional information '!$S$7/100*'DB additional information '!$U$7*VLOOKUP($C$110,'DB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W113" s="417" t="str">
        <f>IF(D113="","",(VLOOKUP(D113,'DB technologies'!$N$53:$Y$64,4,FALSE)*('DB additional information '!$S$8/100*'DB additional information '!$U$8*E113/1000/1000)))</f>
        <v/>
      </c>
      <c r="X113" s="261" t="str">
        <f>IF($C$110=0,"",IF('Calc (ex-animal)'!$F$9=1,"",IF(D113="","",((VLOOKUP($C$110,'Calc (ex-animal)'!$D$23:$Y$27,13,FALSE)-VLOOKUP($C$110,'Calc (ex-animal)'!$D$23:$Y$27,19,FALSE))*F113/100+U113+V113+W113))))</f>
        <v/>
      </c>
      <c r="Y113" s="418" t="str">
        <f>IF(D113="","",(VLOOKUP(D113,'DB technologies'!$N$53:$Y$64,2,FALSE)*'DB additional information '!$S$6/100*'DB additional information '!$V$6*VLOOKUP($C$110,'DB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Z113" s="418" t="str">
        <f>IF(D113="","",(VLOOKUP(D113,'DB technologies'!$N$53:$Y$64,3,FALSE)*'DB additional information '!$S$7/100*'DB additional information '!$V$7*VLOOKUP($C$110,'DB animal categories'!$C$42:$AC$51,27,FALSE)*E113/1000/1000)/VLOOKUP($C$110,'DB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AA113" s="418" t="str">
        <f>IF(D113="","",(VLOOKUP(D113,'DB technologies'!$N$53:$Y$64,4,FALSE)*('DB additional information '!$S$8/100*'DB additional information '!$V$8*E113/1000/1000)))</f>
        <v/>
      </c>
      <c r="AB113" s="261" t="str">
        <f>IF($C$110=0,"",IF('Calc (ex-animal)'!$F$8=1,"",IF(D113="","",((VLOOKUP($C$110,'Calc (ex-animal)'!$D$23:$Y$27,16,FALSE)-VLOOKUP($C$110,'Calc (ex-animal)'!$D$23:$Y$27,20,FALSE))*F113/100+Y113+Z113+AA113))))</f>
        <v/>
      </c>
      <c r="AC113" s="261" t="str">
        <f>IF($C$110=0,"",IF('Calc (ex-animal)'!$F$8=1,"",IF(D113="","",VLOOKUP($C$110,'Calc (ex-animal)'!$D$23:$Y$27,9,FALSE)/VLOOKUP($C$110,'DB animal categories'!$C$42:$AC$51,27,FALSE)*(VLOOKUP($C$110,'DB animal categories'!$C$42:$AC$51,27,FALSE)-VLOOKUP($C$110,'DB animal categories'!$C$42:$AC$51,25,FALSE)*VLOOKUP($C$110,'DB animal categories'!$C$42:$AC$51,26,FALSE)/24)*F113/100*VLOOKUP(D113,'DB technologies'!$N$53:$R$64,5,FALSE)/100)))</f>
        <v/>
      </c>
      <c r="AD113" s="261" t="str">
        <f>IF($C$110=0,"",IF('Calc (ex-animal)'!$F$8=1,"",IF(D113="","",VLOOKUP($C$110,'Calc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categories'!$C$42:$AC$51,26,FALSE)/24)*F113/100*VLOOKUP(D113,'DB technologies'!$N$53:$Y$64,6,FALSE)/100)))</f>
        <v/>
      </c>
      <c r="AE113" s="262" t="str">
        <f>IF($C$110=0,"",IF('Calc (ex-animal)'!$F$8=1,"",IF(D113="","",VLOOKUP($C$110,'Calc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categories'!$C$42:$AC$51,26,FALSE)/24)*F113/100*VLOOKUP(D113,'DB technologies'!$N$53:$Y$64,7,FALSE)/100)))</f>
        <v/>
      </c>
      <c r="AG113" s="698"/>
      <c r="AH113" s="695"/>
      <c r="AI113" s="181" t="str">
        <f>IF(D113="","",VLOOKUP(D113,'DB technologies'!$N$53:$Y$64,10,FALSE))</f>
        <v/>
      </c>
      <c r="AJ113" s="449" t="e">
        <f>VLOOKUP($C$110,'DB animal categories'!$C$42:$AN$51,27,FALSE)-VLOOKUP($C$110,'DB animal categories'!$C$42:$AN$51,26,FALSE)*VLOOKUP($C$110,'DB animal categories'!$C$42:$AN$51,25,FALSE)/24</f>
        <v>#N/A</v>
      </c>
      <c r="AK113" s="442" t="str">
        <f>IF(AI113="","",AL113+AM113)</f>
        <v/>
      </c>
      <c r="AL113" s="442" t="str">
        <f>IF(D113="","",IF(AI113=2,(('Calc (ex-animal)'!$G$25*'DB additional information '!$K$8/100*(1-VLOOKUP(D113,'DB technologies'!$N$53:$Y$64,9,FALSE)/100)*'Calc (ex-housing, ex-storage)'!F113/100+'Calc (ex-animal)'!$H$25*'DB additional information '!$L$8/100*(1-VLOOKUP(D113,'DB technologies'!$N$53:$Y$64,9,FALSE)/100)*'Calc (ex-housing, ex-storage)'!F113/100))/VLOOKUP($C$110,'DB animal categories'!$C$42:$AC$51,27,FALSE)*AJ113+I113+J113+K113,IF(AI113=1,('Calc (ex-animal)'!$H$25*'DB additional information '!$L$8/100*(1-VLOOKUP(D113,'DB technologies'!$N$53:$Y$64,9,FALSE)/100)*'Calc (ex-housing, ex-storage)'!F113/100)/VLOOKUP($C$110,'DB animal categories'!$C$42:$AC$51,27,FALSE)*AJ113,IF(AI113=4,('Calc (ex-animal)'!$G$25*'DB additional information '!$K$8/100+'Calc (ex-animal)'!$H$25*'DB additional information '!$L$8/100)*(1-VLOOKUP(D113,'DB technologies'!$N$53:$Y$64,9,FALSE)/100)*'Calc (ex-housing, ex-storage)'!F113/100*VLOOKUP(D113,'DB technologies'!$N$53:$Y$64,11,FALSE)/100/VLOOKUP($C$110,'DB animal categories'!$C$42:$AC$51,27,FALSE)*AJ113,0))))</f>
        <v/>
      </c>
      <c r="AM113" s="442" t="str">
        <f>IF(D113="","",IF(AI113=2,(('Calc (ex-animal)'!$G$25*(1-'DB additional information '!$K$8/100)*(1-VLOOKUP(D113,'DB technologies'!$N$53:$Y$64,8,FALSE)/100)*'Calc (ex-housing, ex-storage)'!F113/100+'Calc (ex-animal)'!$H$25*(1-'DB additional information '!$L$8/100)*(1-VLOOKUP(D113,'DB technologies'!$N$53:$Y$64,8,FALSE)/100)*'Calc (ex-housing, ex-storage)'!F113/100))/VLOOKUP($C$110,'DB animal categories'!$C$42:$AC$51,27,FALSE)*AJ113+M113+N113+O113,IF(AI113=1,('Calc (ex-animal)'!$H$25*(1-'DB additional information '!$L$8/100)*(1-VLOOKUP(D113,'DB technologies'!$N$53:$Y$64,8,FALSE)/100)*'Calc (ex-housing, ex-storage)'!F113/100)/VLOOKUP($C$110,'DB animal categories'!$C$42:$AC$51,27,FALSE)*AJ113,IF(AI113=4,('Calc (ex-animal)'!$G$25*(1-'DB additional information '!$K$8/100)+'Calc (ex-animal)'!$H$25*(1-'DB additional information '!$L$8/100))*(1-VLOOKUP(D113,'DB technologies'!$N$53:$Y$64,8,FALSE)/100)*'Calc (ex-housing, ex-storage)'!F113/100*VLOOKUP(D113,'DB technologies'!$N$53:$Y$64,11,FALSE)/100/VLOOKUP($C$110,'DB animal categories'!$C$42:$AC$51,27,FALSE)*AJ113,0))))</f>
        <v/>
      </c>
      <c r="AN113" s="442" t="str">
        <f>IF(AI113="","",IF(AL113=0,0,AL113/AK113*100))</f>
        <v/>
      </c>
      <c r="AO113" s="182" t="str">
        <f>IF(D113="","",IF(AI113=2,(('Calc (ex-animal)'!$L$25*'Calc (ex-housing, ex-storage)'!F113/100+'Calc (ex-animal)'!$K$25*'Calc (ex-housing, ex-storage)'!F113/100))/VLOOKUP($C$110,'DB animal categories'!$C$42:$AC$51,27,FALSE)*AJ113+Q113+R113+S113-AC113,IF(AI113=1,('Calc (ex-animal)'!$L$25*'Calc (ex-housing, ex-storage)'!F113/100)/VLOOKUP($C$110,'DB animal categories'!$C$42:$AC$51,27,FALSE)*AJ113-'Calc (ex-housing, ex-storage)'!AC113,IF(AI113=4,('Calc (ex-animal)'!$L$25+'Calc (ex-animal)'!$K$25)*'Calc (ex-housing, ex-storage)'!F113/100*VLOOKUP(D113,'DB technologies'!$N$53:$Y$64,11,FALSE)/100/VLOOKUP($C$110,'DB animal categories'!$C$42:$AC$51,27,FALSE)*AJ113-AC113*VLOOKUP(D113,'DB technologies'!$N$53:$Y$64,11,FALSE)/100,0))))</f>
        <v/>
      </c>
      <c r="AP113" s="182" t="str">
        <f>IF(D113="","",IF(AO113&lt;-0.01,0,IF(AI113=2,(('Calc (ex-animal)'!$L$25*'Calc (ex-housing, ex-storage)'!F113/100+'Calc (ex-animal)'!$K$25*'Calc (ex-housing, ex-storage)'!F113/100))/VLOOKUP($C$110,'DB animal categories'!$C$42:$AC$51,27,FALSE)*AJ113+Q113+R113+S113-AC113,IF(AI113=1,('Calc (ex-animal)'!$L$25*'Calc (ex-housing, ex-storage)'!F113/100)/VLOOKUP($C$110,'DB animal categories'!$C$42:$AC$51,27,FALSE)*AJ113-'Calc (ex-housing, ex-storage)'!AC113,IF(AI113=4,('Calc (ex-animal)'!$L$25+'Calc (ex-animal)'!$K$25)*'Calc (ex-housing, ex-storage)'!F113/100*VLOOKUP(D113,'DB technologies'!$N$53:$Y$64,11,FALSE)/100/VLOOKUP($C$110,'DB animal categories'!$C$42:$AC$51,27,FALSE)*AJ113-AC113*VLOOKUP(D113,'DB technologies'!$N$53:$Y$64,11,FALSE)/100,0)))))</f>
        <v/>
      </c>
      <c r="AQ113" s="182" t="str">
        <f>IF(D113="","",IF(AI113=2,('Calc (ex-animal)'!$O$25*'Calc (ex-housing, ex-storage)'!F113/100+'Calc (ex-animal)'!$N$25*'Calc (ex-housing, ex-storage)'!F113/100)/VLOOKUP($C$110,'DB animal categories'!$C$42:$AC$51,27,FALSE)*AJ113+U113+V113+W113,IF(AI113=1,'Calc (ex-animal)'!$O$25*'Calc (ex-housing, ex-storage)'!F113/100/VLOOKUP($C$110,'DB animal categories'!$C$42:$AC$51,27,FALSE)*AJ113,IF(AI113=4,('Calc (ex-animal)'!$O$25+'Calc (ex-animal)'!$N$25)*'Calc (ex-housing, ex-storage)'!F113/100*VLOOKUP(D113,'DB technologies'!$N$53:$Y$64,11,FALSE)/100/VLOOKUP($C$110,'DB animal categories'!$C$42:$AC$51,27,FALSE)*AJ113,0))))</f>
        <v/>
      </c>
      <c r="AR113" s="182" t="str">
        <f>IF(D113="","",IF(AI113=2,('Calc (ex-animal)'!$R$25*'Calc (ex-housing, ex-storage)'!F113/100+'Calc (ex-animal)'!$Q$25*'Calc (ex-housing, ex-storage)'!F113/100)/VLOOKUP($C$110,'DB animal categories'!$C$42:$AC$51,27,FALSE)*AJ113+Y113+Z113+AA113,IF(AI113=1,'Calc (ex-animal)'!$R$25*'Calc (ex-housing, ex-storage)'!F113/100/VLOOKUP($C$110,'DB animal categories'!$C$42:$AC$51,27,FALSE)*AJ113,IF(AI113=4,('Calc (ex-animal)'!$R$25+'Calc (ex-animal)'!$Q$25)*'Calc (ex-housing, ex-storage)'!F113/100*VLOOKUP(D113,'DB technologies'!$N$53:$Y$64,11,FALSE)/100/VLOOKUP($C$110,'DB animal categories'!$C$42:$AC$51,27,FALSE)*AJ113,0))))</f>
        <v/>
      </c>
      <c r="AS113" s="181" t="str">
        <f>IF(D113="","",VLOOKUP(D113,'DB technologies'!$N$53:$Y$64,10,FALSE))</f>
        <v/>
      </c>
      <c r="AT113" s="442" t="str">
        <f>IF(AS113="","",AU113+AV113)</f>
        <v/>
      </c>
      <c r="AU113" s="442" t="str">
        <f>IF(D113="","",IF(AS113=2,0,IF(AS113=1,'Calc (ex-animal)'!$G$25*'DB additional information '!$K$8/100*(1-VLOOKUP(D113,'DB technologies'!$N$53:$Y$64,8,FALSE)/100)*'Calc (ex-housing, ex-storage)'!F113/100/VLOOKUP($C$110,'DB animal categories'!$C$42:$AC$51,27,FALSE)*AJ113+I113+J113+K113,IF(AS113=5,(('Calc (ex-animal)'!$G$25*'DB additional information '!$K$8/100+'Calc (ex-animal)'!$H$25*'DB additional information '!$L$8/100))*(1-VLOOKUP(D113,'DB technologies'!$N$53:$Y$64,9,FALSE)/100)*'Calc (ex-housing, ex-storage)'!F113/100/VLOOKUP($C$110,'DB animal categories'!$C$42:$AC$51,27,FALSE)*AJ113+I113+J113+K113,IF(AS113=3,('Calc (ex-animal)'!$G$25*'DB additional information '!$K$8/100+'Calc (ex-animal)'!$H$25*'DB additional information '!$L$8/100)*(1-VLOOKUP(D113,'DB technologies'!$N$53:$Y$64,9,FALSE)/100)*'Calc (ex-housing, ex-storage)'!F113/100/VLOOKUP($C$110,'DB animal categories'!$C$42:$AC$51,27,FALSE)*AJ113+I113+J113+K113,IF(AS113=4,('Calc (ex-animal)'!$G$25*'DB additional information '!$K$8/100+'Calc (ex-animal)'!$H$25*'DB additional information '!$L$8/100)*(1-VLOOKUP(D113,'DB technologies'!$N$53:$Y$64,9,FALSE)/100)*'Calc (ex-housing, ex-storage)'!F113/100*VLOOKUP(D113,'DB technologies'!$N$53:$Y$64,12,FALSE)/100/VLOOKUP($C$110,'DB animal categories'!$C$42:$AC$51,27,FALSE)*AJ113+I113+J113+K113,0))))))</f>
        <v/>
      </c>
      <c r="AV113" s="442" t="str">
        <f>IF(D113="","",IF(AS113=2,0,IF(AS113=1,'Calc (ex-animal)'!$G$25*(1-'DB additional information '!$K$8/100)*(1-VLOOKUP(D113,'DB technologies'!$N$53:$Y$64,8,FALSE)/100)*'Calc (ex-housing, ex-storage)'!F113/100/VLOOKUP($C$110,'DB animal categories'!$C$42:$AC$51,27,FALSE)*AJ113+M113+N113+O113,IF(AS113=5,('Calc (ex-animal)'!$G$25*(1-'DB additional information '!$K$8/100)+'Calc (ex-animal)'!$H$25*(1-'DB additional information '!$L$8/100))*(1-VLOOKUP(D113,'DB technologies'!$N$53:$Y$64,8,FALSE)/100)*'Calc (ex-housing, ex-storage)'!F113/100/VLOOKUP($C$110,'DB animal categories'!$C$42:$AC$51,27,FALSE)*AJ113+M113+N113+O113,IF(AS113=3,('Calc (ex-animal)'!$G$25*(1-'DB additional information '!$K$8/100)+'Calc (ex-animal)'!$H$25*(1-'DB additional information '!$L$8/100))*(1-VLOOKUP(D113,'DB technologies'!$N$53:$Y$64,8,FALSE)/100)*'Calc (ex-housing, ex-storage)'!F113/100/VLOOKUP($C$110,'DB animal categories'!$C$42:$AC$51,27,FALSE)*AJ113+M113+N113+O113,IF(AS113=4,('Calc (ex-animal)'!$G$25*(1-'DB additional information '!$K$8/100)+'Calc (ex-animal)'!$H$25*(1-'DB additional information '!$L$8/100))*(1-VLOOKUP(D113,'DB technologies'!$N$53:$Y$64,8,FALSE)/100)*'Calc (ex-housing, ex-storage)'!F113/100*VLOOKUP(D113,'DB technologies'!$N$53:$Y$64,12,FALSE)/100/VLOOKUP($C$110,'DB animal categories'!$C$42:$AC$51,27,FALSE)*AJ113+M113+N113+O113,0))))))</f>
        <v/>
      </c>
      <c r="AW113" s="442" t="str">
        <f>IF(AS113="","",IF(AU113=0,0,AU113/AT113*100))</f>
        <v/>
      </c>
      <c r="AX113" s="182" t="str">
        <f>IF(D113="","",IF(AS113=2,0,IF(AS113=1,'Calc (ex-animal)'!$K$25*'Calc (ex-housing, ex-storage)'!F113/100/VLOOKUP($C$110,'DB animal categories'!$C$42:$AC$51,27,FALSE)*AJ113+Q113+R113+S113,IF(AS113=5,('Calc (ex-animal)'!$K$25+'Calc (ex-animal)'!$L$25)*'Calc (ex-housing, ex-storage)'!F113/100/VLOOKUP($C$110,'DB animal categories'!$C$42:$AC$51,27,FALSE)*AJ113+Q113+R113+S113-'Calc (ex-housing, ex-storage)'!AC113,IF(AS113=3,('Calc (ex-animal)'!$K$25+'Calc (ex-animal)'!$L$25)*'Calc (ex-housing, ex-storage)'!F113/100/VLOOKUP($C$110,'DB animal categories'!$C$42:$AC$51,27,FALSE)*AJ113+Q113+R113+S113-'Calc (ex-housing, ex-storage)'!AC113-AD113-AE113,IF(AI113=4,('Calc (ex-animal)'!$K$25+'Calc (ex-animal)'!$L$25)*'Calc (ex-housing, ex-storage)'!F113/100*VLOOKUP(D113,'DB technologies'!$N$53:$Y$64,12,FALSE)/100/VLOOKUP($C$110,'DB animal categories'!$C$42:$AC$51,27,FALSE)*AJ113+Q113+R113+S113-(VLOOKUP(D113,'DB technologies'!$N$53:$Y$64,12,FALSE)/100*AC113)-AD113-AE113,0))))))</f>
        <v/>
      </c>
      <c r="AY113" s="182" t="str">
        <f>IF(D113="","",IF(AS113=2,0,IF(AS113=1,'Calc (ex-animal)'!$N$25*'Calc (ex-housing, ex-storage)'!F113/100/VLOOKUP($C$110,'DB animal categories'!$C$42:$AC$51,27,FALSE)*AJ113+U113+V113+W113,IF(AS113=5,('Calc (ex-animal)'!$N$25+'Calc (ex-animal)'!$O$25)*'Calc (ex-housing, ex-storage)'!F113/100/VLOOKUP($C$110,'DB animal categories'!$C$42:$AC$51,27,FALSE)*AJ113+U113+V113+W113,IF(AS113=3,('Calc (ex-animal)'!$N$25+'Calc (ex-animal)'!$O$25)*'Calc (ex-housing, ex-storage)'!F113/100/VLOOKUP($C$110,'DB animal categories'!$C$42:$AC$51,27,FALSE)*AJ113+U113+V113+W113,IF(AS113=4,('Calc (ex-animal)'!$N$25+'Calc (ex-animal)'!$O$25)*'Calc (ex-housing, ex-storage)'!F113/100*VLOOKUP(D113,'DB technologies'!$N$53:$Y$64,12,FALSE)/100/VLOOKUP($C$110,'DB animal categories'!$C$42:$AC$51,27,FALSE)*AJ113+U113+V113+W113,0))))))</f>
        <v/>
      </c>
      <c r="AZ113" s="182" t="str">
        <f>IF(D113="","",IF(AS113=2,0,IF(AS113=1,'Calc (ex-animal)'!$Q$25*'Calc (ex-housing, ex-storage)'!F113/100/VLOOKUP($C$110,'DB animal categories'!$C$42:$AC$51,27,FALSE)*AJ113+Y113+Z113+AA113,IF(AS113=5,('Calc (ex-animal)'!$Q$25+'Calc (ex-animal)'!$R$25)*'Calc (ex-housing, ex-storage)'!F113/100/VLOOKUP($C$110,'DB animal categories'!$C$42:$AC$51,27,FALSE)*AJ113+Y113+Z113+AA113,IF(AS113=3,('Calc (ex-animal)'!$Q$25+'Calc (ex-animal)'!$R$25)*'Calc (ex-housing, ex-storage)'!F113/100/VLOOKUP($C$110,'DB animal categories'!$C$42:$AC$51,27,FALSE)*AJ113+Y113+Z113+AA113,IF(AS113=4,('Calc (ex-animal)'!$Q$25+'Calc (ex-animal)'!$R$25)*'Calc (ex-housing, ex-storage)'!F113/100*VLOOKUP(D113,'DB technologies'!$N$53:$Y$64,12,FALSE)/100/VLOOKUP($C$110,'DB animal categories'!$C$42:$AC$51,27,FALSE)*AJ113+Y113+Z113+AA113,0))))))</f>
        <v/>
      </c>
      <c r="BA113" s="506"/>
      <c r="BB113" s="506"/>
      <c r="BC113" s="506"/>
      <c r="BG113" s="1359"/>
      <c r="BH113" s="1362"/>
      <c r="BI113" s="600" t="str">
        <f>IF(BG113="","",$BA$109*BH113/100-($BB$109*BH113/100*VLOOKUP(BG113,'DB technologies'!$AC$64:$AT$68,5,FALSE)/100)+(VLOOKUP(BG113,'DB technologies'!$AC$64:$AT$68,12,FALSE)*$BA$109*BH113/100))</f>
        <v/>
      </c>
      <c r="BJ113" s="551">
        <f>IF(BI113="",0,BI113*BK113/100)</f>
        <v>0</v>
      </c>
      <c r="BK113" s="509" t="str">
        <f>IF(BG113="","",IF($BA$109=0,0,($BB$109*BH113/100)/BI113*(1-(VLOOKUP(BG113,'DB technologies'!$AC$64:$AQ$68,5,FALSE))/100)*100))</f>
        <v/>
      </c>
      <c r="BL113" s="267" t="str">
        <f>IF(BG113="","",$BD$109*BH113/100-BO113-BP113-BQ113-BR113)</f>
        <v/>
      </c>
      <c r="BM113" s="267" t="str">
        <f>IF(BG113="","",$BE$109*BH113/100-BS113)</f>
        <v/>
      </c>
      <c r="BN113" s="267" t="str">
        <f>IF(BG113="","",$BF$109*BH113/100-BT113)</f>
        <v/>
      </c>
      <c r="BO113" s="267" t="str">
        <f>IF(BG113="","",$BD$109*BH113/100*VLOOKUP(BG113,'DB technologies'!$AC$64:$AF$68,2,FALSE)/100)</f>
        <v/>
      </c>
      <c r="BP113" s="267" t="str">
        <f>IF(BG113="","",$BD$109*BH113/100*VLOOKUP(BG113,'DB technologies'!$AC$64:$AN$68,3,FALSE)/100)</f>
        <v/>
      </c>
      <c r="BQ113" s="268" t="str">
        <f>IF(BG113="","",$BD$109*BH113/100*VLOOKUP(BG113,'DB technologies'!$AC$64:$AN$68,4,FALSE)/100)</f>
        <v/>
      </c>
      <c r="BR113" s="266" t="str">
        <f>IF(BG113="","",VLOOKUP(BG113,'DB technologies'!$AC$64:$AQ$68,13,FALSE)/100*$BD$109*BH113/100)</f>
        <v/>
      </c>
      <c r="BS113" s="267" t="str">
        <f>IF(BG113="","",VLOOKUP(BG113,'DB technologies'!$AC$64:$AQ$68,14,FALSE)/100*$BE$109*BH113/100)</f>
        <v/>
      </c>
      <c r="BT113" s="268" t="str">
        <f>IF(BG113="","",VLOOKUP(BG113,'DB technologies'!$AC$64:$AQ$68,15,FALSE)/100*$BF$109*BH113/100)</f>
        <v/>
      </c>
    </row>
    <row r="114" spans="1:72" ht="11.25" customHeight="1" thickBot="1" x14ac:dyDescent="0.25">
      <c r="A114" s="684"/>
      <c r="B114" s="695"/>
      <c r="C114" s="251"/>
      <c r="D114" s="1359"/>
      <c r="E114" s="1360"/>
      <c r="F114" s="481" t="str">
        <f>IF('Calc (ex-animal)'!$F$9=1,"",IF($C$110=0,"",IF(D114="","",E114/'Calc (ex-animal)'!$E$25*100)))</f>
        <v/>
      </c>
      <c r="G114" s="483" t="str">
        <f>IF($C$110=0,"",IF('Calc (ex-animal)'!$F$8=1,"",IF(D114="","",SUM(H114:O114))))</f>
        <v/>
      </c>
      <c r="H114" s="445" t="str">
        <f>IF('Calc (ex-animal)'!$F$8=1,"",IF(D114="","",(((VLOOKUP($C$110,'Calc (ex-animal)'!$D$23:$Y$27,6,FALSE)-VLOOKUP($C$110,'Calc (ex-animal)'!$D$23:$Y$27,17,FALSE))*F114/100))*VLOOKUP($C$110,'Calc (ex-animal)'!$D$23:$Y$27,7,FALSE)/100*(1-VLOOKUP(D114,'DB technologies'!$N$53:$Y$64,9,FALSE)/100)))</f>
        <v/>
      </c>
      <c r="I114" s="445" t="str">
        <f>IF(D114="","",((VLOOKUP(D114,'DB technologies'!$N$53:$Y$64,2,FALSE)*VLOOKUP($C$110,'DB animal categories'!$C$42:$AC$51,27,FALSE)*E114/1000)/VLOOKUP($C$110,'DB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'!$S$6/100*(1-VLOOKUP(D114,'DB technologies'!$N$53:$Y$64,9,FALSE)/100)))</f>
        <v/>
      </c>
      <c r="J114" s="446" t="str">
        <f>IF(D114="","",((VLOOKUP(D114,'DB technologies'!$N$53:$Y$64,3,FALSE)*VLOOKUP($C$110,'DB animal categories'!$C$42:$AC$51,27,FALSE)*E114/1000)/VLOOKUP($C$110,'DB animal categories'!$C$42:$AC$51,27,FALSE)*(VLOOKUP($C$110,'DB animal categories'!$C$42:$AC$51,27,FALSE)-(VLOOKUP($C$110,'DB animal categories'!$C$42:$AC$51,25,FALSE)*VLOOKUP($C$110,'DB animal categories'!$C$42:$AC$51,26,FALSE)/24))*'DB additional information '!$S$7/100*(1-VLOOKUP(D114,'DB technologies'!$N$53:$Y$64,9,FALSE)/100)))</f>
        <v/>
      </c>
      <c r="K114" s="446" t="str">
        <f>IF(D114="","",((VLOOKUP(D114,'DB technologies'!$N$53:$Y$64,4,FALSE)*E114*'DB additional information '!$S$8/100*(1-VLOOKUP(D114,'DB technologies'!$N$53:$Y$64,9,FALSE)/100))/VLOOKUP($C$110,'DB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L114" s="445" t="str">
        <f>IF('Calc (ex-animal)'!$F$8=1,"",IF(D114="","",(((VLOOKUP($C$110,'Calc (ex-animal)'!$D$23:$Y$27,6,FALSE)-VLOOKUP($C$110,'Calc (ex-animal)'!$D$23:$Y$27,17,FALSE))*F114/100))*(1-VLOOKUP($C$110,'Calc (ex-animal)'!$D$23:$Y$27,7,FALSE)/100)*(1-VLOOKUP(D114,'DB technologies'!$N$53:$V$64,8,FALSE)/100)))</f>
        <v/>
      </c>
      <c r="M114" s="446" t="str">
        <f>IF(D114="","",((VLOOKUP(D114,'DB technologies'!$N$53:$Y$64,2,FALSE)*VLOOKUP($C$110,'DB animal categories'!$C$42:$AC$51,27,FALSE)*E114/1000)/VLOOKUP($C$110,'DB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'!$S$6/100)*(1-VLOOKUP(D114,'DB technologies'!$N$53:$Y$64,9,FALSE)/100))</f>
        <v/>
      </c>
      <c r="N114" s="446" t="str">
        <f>IF(D114="","",((VLOOKUP(D114,'DB technologies'!$N$53:$Y$64,3,FALSE)*VLOOKUP($C$110,'DB animal categories'!$C$42:$AC$51,27,FALSE)*E114/1000)/VLOOKUP($C$110,'DB animal categories'!$C$42:$AC$51,27,FALSE)*(VLOOKUP($C$110,'DB animal categories'!$C$42:$AC$51,27,FALSE)-VLOOKUP($C$110,'DB animal categories'!$C$42:$AC$51,25,FALSE)*VLOOKUP($C$110,'DB animal categories'!$C$42:$AC$51,26,FALSE)/24))*(1-'DB additional information '!$S$7/100)*(1-VLOOKUP(D114,'DB technologies'!$N$53:$Y$64,9,FALSE)/100))</f>
        <v/>
      </c>
      <c r="O114" s="445" t="str">
        <f>IF(D114="","",((VLOOKUP(D114,'DB technologies'!$N$53:$Y$64,4,FALSE)*E114*(1-'DB additional information '!$S$8/100)*(1-VLOOKUP(D114,'DB technologies'!$N$53:$Y$64,8,FALSE)/100))/VLOOKUP($C$110,'DB animal categories'!$C$42:$AC$51,27,FALSE)*(VLOOKUP($C$110,'DB animal categories'!$C$42:$AC$51,27,FALSE)-VLOOKUP($C$110,'DB animal categories'!$C$42:$AC$51,25,FALSE)*VLOOKUP($C$110,'DB animal categories'!$C$42:$AC$51,26,FALSE)/24)))</f>
        <v/>
      </c>
      <c r="P114" s="444" t="str">
        <f>IF(G114=0,0,IF(E114="","",IF(F114="","",IF($C$110=0,"",IF(D114="","",SUM(H114:K114)/G114*100)))))</f>
        <v/>
      </c>
      <c r="Q114" s="476" t="str">
        <f>IF(D114="","",(VLOOKUP(D114,'DB technologies'!$N$53:$Y$64,2,FALSE)*'DB additional information '!$S$6/100*'DB additional information '!$T$6*VLOOKUP($C$110,'DB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R114" s="476" t="str">
        <f>IF(D114="","",(VLOOKUP(D114,'DB technologies'!$N$53:$Y$64,3,FALSE)*'DB additional information '!$S$7/100*'DB additional information '!$T$7*VLOOKUP($C$110,'DB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S114" s="494" t="str">
        <f>IF(D114="","",(VLOOKUP(D114,'DB technologies'!$N$53:$Y$64,4,FALSE)*('DB additional information '!$S$8/100*'DB additional information '!$T$8*E114/1000/1000)))</f>
        <v/>
      </c>
      <c r="T114" s="266" t="str">
        <f>IF($C$110=0,"",IF('Calc (ex-animal)'!$F$9=1,"",IF(D114="","",((VLOOKUP($C$110,'Calc (ex-animal)'!$D$23:$Y$27,10,FALSE)-VLOOKUP($C$110,'Calc (ex-animal)'!$D$23:$Y$27,18,FALSE))*F114/100+Q114+R114+S114)-AC114-AD114-AE114)))</f>
        <v/>
      </c>
      <c r="U114" s="477" t="str">
        <f>IF(D114="","",(VLOOKUP(D114,'DB technologies'!$N$53:$Y$64,2,FALSE)*'DB additional information '!$S$6/100*'DB additional information '!$U$6*VLOOKUP($C$110,'DB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V114" s="433" t="str">
        <f>IF(D114="","",(VLOOKUP(D114,'DB technologies'!$N$53:$Y$64,3,FALSE)*'DB additional information '!$S$7/100*'DB additional information '!$U$7*VLOOKUP($C$110,'DB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W114" s="475" t="str">
        <f>IF(D114="","",(VLOOKUP(D114,'DB technologies'!$N$53:$Y$64,4,FALSE)*('DB additional information '!$S$8/100*'DB additional information '!$U$8*E114/1000/1000)))</f>
        <v/>
      </c>
      <c r="X114" s="267" t="str">
        <f>IF($C$110=0,"",IF('Calc (ex-animal)'!$F$9=1,"",IF(D114="","",((VLOOKUP($C$110,'Calc (ex-animal)'!$D$23:$Y$27,13,FALSE)-VLOOKUP($C$110,'Calc (ex-animal)'!$D$23:$Y$27,19,FALSE))*F114/100+U114+V114+W114))))</f>
        <v/>
      </c>
      <c r="Y114" s="433" t="str">
        <f>IF(D114="","",(VLOOKUP(D114,'DB technologies'!$N$53:$Y$64,2,FALSE)*'DB additional information '!$S$6/100*'DB additional information '!$V$6*VLOOKUP($C$110,'DB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Z114" s="433" t="str">
        <f>IF(D114="","",(VLOOKUP(D114,'DB technologies'!$N$53:$Y$64,3,FALSE)*'DB additional information '!$S$7/100*'DB additional information '!$V$7*VLOOKUP($C$110,'DB animal categories'!$C$42:$AC$51,27,FALSE)*E114/1000/1000)/VLOOKUP($C$110,'DB animal categories'!$C$42:$AC$51,27,FALSE)*(VLOOKUP($C$110,'DB animal categories'!$C$42:$AC$51,27,FALSE)-VLOOKUP($C$110,'DB animal categories'!$C$42:$AC$51,25,FALSE)*VLOOKUP($C$110,'DB animal categories'!$C$42:$AC$51,26,FALSE)/24))</f>
        <v/>
      </c>
      <c r="AA114" s="433" t="str">
        <f>IF(D114="","",(VLOOKUP(D114,'DB technologies'!$N$53:$Y$64,4,FALSE)*('DB additional information '!$S$8/100*'DB additional information '!$V$8*E114/1000/1000)))</f>
        <v/>
      </c>
      <c r="AB114" s="267" t="str">
        <f>IF($C$110=0,"",IF('Calc (ex-animal)'!$F$8=1,"",IF(D114="","",((VLOOKUP($C$110,'Calc (ex-animal)'!$D$23:$Y$27,16,FALSE)-VLOOKUP($C$110,'Calc (ex-animal)'!$D$23:$Y$27,20,FALSE))*F114/100+Y114+Z114+AA114))))</f>
        <v/>
      </c>
      <c r="AC114" s="267" t="str">
        <f>IF($C$110=0,"",IF('Calc (ex-animal)'!$F$8=1,"",IF(D114="","",VLOOKUP($C$110,'Calc (ex-animal)'!$D$23:$Y$27,9,FALSE)/VLOOKUP($C$110,'DB animal categories'!$C$42:$AC$51,27,FALSE)*(VLOOKUP($C$110,'DB animal categories'!$C$42:$AC$51,27,FALSE)-VLOOKUP($C$110,'DB animal categories'!$C$42:$AC$51,25,FALSE)*VLOOKUP($C$110,'DB animal categories'!$C$42:$AC$51,26,FALSE)/24)*F114/100*VLOOKUP(D114,'DB technologies'!$N$53:$R$64,5,FALSE)/100)))</f>
        <v/>
      </c>
      <c r="AD114" s="267" t="str">
        <f>IF($C$110=0,"",IF('Calc (ex-animal)'!$F$8=1,"",IF(D114="","",VLOOKUP($C$110,'Calc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categories'!$C$42:$AC$51,26,FALSE)/24)*F114/100*VLOOKUP(D114,'DB technologies'!$N$53:$Y$64,6,FALSE)/100)))</f>
        <v/>
      </c>
      <c r="AE114" s="268" t="str">
        <f>IF($C$110=0,"",IF('Calc (ex-animal)'!$F$8=1,"",IF(D114="","",VLOOKUP($C$110,'Calc (ex-animal)'!$D$23:$Y$27,10,FALSE)/VLOOKUP($C$110,'DB animal categories'!$C$42:$AC$51,27,FALSE)*(VLOOKUP($C$110,'DB animal categories'!$C$42:$AC$51,27,FALSE)-VLOOKUP($C$110,'DB animal categories'!$C$42:$AC$51,25,FALSE)*VLOOKUP($C$110,'DB animal categories'!$C$42:$AC$51,26,FALSE)/24)*F114/100*VLOOKUP(D114,'DB technologies'!$N$53:$Y$64,7,FALSE)/100)))</f>
        <v/>
      </c>
      <c r="AG114" s="698"/>
      <c r="AH114" s="696"/>
      <c r="AI114" s="183" t="str">
        <f>IF(D114="","",VLOOKUP(D114,'DB technologies'!$N$53:$Y$64,10,FALSE))</f>
        <v/>
      </c>
      <c r="AJ114" s="451" t="e">
        <f>VLOOKUP($C$110,'DB animal categories'!$C$42:$AN$51,27,FALSE)-VLOOKUP($C$110,'DB animal categories'!$C$42:$AN$51,26,FALSE)*VLOOKUP($C$110,'DB animal categories'!$C$42:$AN$51,25,FALSE)/24</f>
        <v>#N/A</v>
      </c>
      <c r="AK114" s="452" t="str">
        <f>IF(AI114="","",AL114+AM114)</f>
        <v/>
      </c>
      <c r="AL114" s="452" t="str">
        <f>IF(D114="","",IF(AI114=2,(('Calc (ex-animal)'!$G$25*'DB additional information '!$K$8/100*(1-VLOOKUP(D114,'DB technologies'!$N$53:$Y$64,9,FALSE)/100)*'Calc (ex-housing, ex-storage)'!F114/100+'Calc (ex-animal)'!$H$25*'DB additional information '!$L$8/100*(1-VLOOKUP(D114,'DB technologies'!$N$53:$Y$64,9,FALSE)/100)*'Calc (ex-housing, ex-storage)'!F114/100))/VLOOKUP($C$110,'DB animal categories'!$C$42:$AC$51,27,FALSE)*AJ114+I114+J114+K114,IF(AI114=1,('Calc (ex-animal)'!$H$25*'DB additional information '!$L$8/100*(1-VLOOKUP(D114,'DB technologies'!$N$53:$Y$64,9,FALSE)/100)*'Calc (ex-housing, ex-storage)'!F114/100)/VLOOKUP($C$110,'DB animal categories'!$C$42:$AC$51,27,FALSE)*AJ114,IF(AI114=4,('Calc (ex-animal)'!$G$25*'DB additional information '!$K$8/100+'Calc (ex-animal)'!$H$25*'DB additional information '!$L$8/100)*(1-VLOOKUP(D114,'DB technologies'!$N$53:$Y$64,9,FALSE)/100)*'Calc (ex-housing, ex-storage)'!F114/100*VLOOKUP(D114,'DB technologies'!$N$53:$Y$64,11,FALSE)/100/VLOOKUP($C$110,'DB animal categories'!$C$42:$AC$51,27,FALSE)*AJ114,0))))</f>
        <v/>
      </c>
      <c r="AM114" s="452" t="str">
        <f>IF(D114="","",IF(AI114=2,(('Calc (ex-animal)'!$G$25*(1-'DB additional information '!$K$8/100)*(1-VLOOKUP(D114,'DB technologies'!$N$53:$Y$64,8,FALSE)/100)*'Calc (ex-housing, ex-storage)'!F114/100+'Calc (ex-animal)'!$H$25*(1-'DB additional information '!$L$8/100)*(1-VLOOKUP(D114,'DB technologies'!$N$53:$Y$64,8,FALSE)/100)*'Calc (ex-housing, ex-storage)'!F114/100))/VLOOKUP($C$110,'DB animal categories'!$C$42:$AC$51,27,FALSE)*AJ114+M114+N114+O114,IF(AI114=1,('Calc (ex-animal)'!$H$25*(1-'DB additional information '!$L$8/100)*(1-VLOOKUP(D114,'DB technologies'!$N$53:$Y$64,8,FALSE)/100)*'Calc (ex-housing, ex-storage)'!F114/100)/VLOOKUP($C$110,'DB animal categories'!$C$42:$AC$51,27,FALSE)*AJ114,IF(AI114=4,('Calc (ex-animal)'!$G$25*(1-'DB additional information '!$K$8/100)+'Calc (ex-animal)'!$H$25*(1-'DB additional information '!$L$8/100))*(1-VLOOKUP(D114,'DB technologies'!$N$53:$Y$64,8,FALSE)/100)*'Calc (ex-housing, ex-storage)'!F114/100*VLOOKUP(D114,'DB technologies'!$N$53:$Y$64,11,FALSE)/100/VLOOKUP($C$110,'DB animal categories'!$C$42:$AC$51,27,FALSE)*AJ114,0))))</f>
        <v/>
      </c>
      <c r="AN114" s="452" t="str">
        <f>IF(AI114="","",IF(AL114=0,0,AL114/AK114*100))</f>
        <v/>
      </c>
      <c r="AO114" s="184" t="str">
        <f>IF(D114="","",IF(AI114=2,(('Calc (ex-animal)'!$L$25*'Calc (ex-housing, ex-storage)'!F114/100+'Calc (ex-animal)'!$K$25*'Calc (ex-housing, ex-storage)'!F114/100))/VLOOKUP($C$110,'DB animal categories'!$C$42:$AC$51,27,FALSE)*AJ114+Q114+R114+S114-AC114,IF(AI114=1,('Calc (ex-animal)'!$L$25*'Calc (ex-housing, ex-storage)'!F114/100)/VLOOKUP($C$110,'DB animal categories'!$C$42:$AC$51,27,FALSE)*AJ114-'Calc (ex-housing, ex-storage)'!AC114,IF(AI114=4,('Calc (ex-animal)'!$L$25+'Calc (ex-animal)'!$K$25)*'Calc (ex-housing, ex-storage)'!F114/100*VLOOKUP(D114,'DB technologies'!$N$53:$Y$64,11,FALSE)/100/VLOOKUP($C$110,'DB animal categories'!$C$42:$AC$51,27,FALSE)*AJ114-AC114*VLOOKUP(D114,'DB technologies'!$N$53:$Y$64,11,FALSE)/100,0))))</f>
        <v/>
      </c>
      <c r="AP114" s="184" t="str">
        <f>IF(D114="","",IF(AO114&lt;-0.01,0,IF(AI114=2,(('Calc (ex-animal)'!$L$25*'Calc (ex-housing, ex-storage)'!F114/100+'Calc (ex-animal)'!$K$25*'Calc (ex-housing, ex-storage)'!F114/100))/VLOOKUP($C$110,'DB animal categories'!$C$42:$AC$51,27,FALSE)*AJ114+Q114+R114+S114-AC114,IF(AI114=1,('Calc (ex-animal)'!$L$25*'Calc (ex-housing, ex-storage)'!F114/100)/VLOOKUP($C$110,'DB animal categories'!$C$42:$AC$51,27,FALSE)*AJ114-'Calc (ex-housing, ex-storage)'!AC114,IF(AI114=4,('Calc (ex-animal)'!$L$25+'Calc (ex-animal)'!$K$25)*'Calc (ex-housing, ex-storage)'!F114/100*VLOOKUP(D114,'DB technologies'!$N$53:$Y$64,11,FALSE)/100/VLOOKUP($C$110,'DB animal categories'!$C$42:$AC$51,27,FALSE)*AJ114-AC114*VLOOKUP(D114,'DB technologies'!$N$53:$Y$64,11,FALSE)/100,0)))))</f>
        <v/>
      </c>
      <c r="AQ114" s="184" t="str">
        <f>IF(D114="","",IF(AI114=2,('Calc (ex-animal)'!$O$25*'Calc (ex-housing, ex-storage)'!F114/100+'Calc (ex-animal)'!$N$25*'Calc (ex-housing, ex-storage)'!F114/100)/VLOOKUP($C$110,'DB animal categories'!$C$42:$AC$51,27,FALSE)*AJ114+U114+V114+W114,IF(AI114=1,'Calc (ex-animal)'!$O$25*'Calc (ex-housing, ex-storage)'!F114/100/VLOOKUP($C$110,'DB animal categories'!$C$42:$AC$51,27,FALSE)*AJ114,IF(AI114=4,('Calc (ex-animal)'!$O$25+'Calc (ex-animal)'!$N$25)*'Calc (ex-housing, ex-storage)'!F114/100*VLOOKUP(D114,'DB technologies'!$N$53:$Y$64,11,FALSE)/100/VLOOKUP($C$110,'DB animal categories'!$C$42:$AC$51,27,FALSE)*AJ114,0))))</f>
        <v/>
      </c>
      <c r="AR114" s="184" t="str">
        <f>IF(D114="","",IF(AI114=2,('Calc (ex-animal)'!$R$25*'Calc (ex-housing, ex-storage)'!F114/100+'Calc (ex-animal)'!$Q$25*'Calc (ex-housing, ex-storage)'!F114/100)/VLOOKUP($C$110,'DB animal categories'!$C$42:$AC$51,27,FALSE)*AJ114+Y114+Z114+AA114,IF(AI114=1,'Calc (ex-animal)'!$R$25*'Calc (ex-housing, ex-storage)'!F114/100/VLOOKUP($C$110,'DB animal categories'!$C$42:$AC$51,27,FALSE)*AJ114,IF(AI114=4,('Calc (ex-animal)'!$R$25+'Calc (ex-animal)'!$Q$25)*'Calc (ex-housing, ex-storage)'!F114/100*VLOOKUP(D114,'DB technologies'!$N$53:$Y$64,11,FALSE)/100/VLOOKUP($C$110,'DB animal categories'!$C$42:$AC$51,27,FALSE)*AJ114,0))))</f>
        <v/>
      </c>
      <c r="AS114" s="183" t="str">
        <f>IF(D114="","",VLOOKUP(D114,'DB technologies'!$N$53:$Y$64,10,FALSE))</f>
        <v/>
      </c>
      <c r="AT114" s="452" t="str">
        <f>IF(AS114="","",AU114+AV114)</f>
        <v/>
      </c>
      <c r="AU114" s="452" t="str">
        <f>IF(D114="","",IF(AS114=2,0,IF(AS114=1,'Calc (ex-animal)'!$G$25*'DB additional information '!$K$8/100*(1-VLOOKUP(D114,'DB technologies'!$N$53:$Y$64,8,FALSE)/100)*'Calc (ex-housing, ex-storage)'!F114/100/VLOOKUP($C$110,'DB animal categories'!$C$42:$AC$51,27,FALSE)*AJ114+I114+J114+K114,IF(AS114=5,(('Calc (ex-animal)'!$G$25*'DB additional information '!$K$8/100+'Calc (ex-animal)'!$H$25*'DB additional information '!$L$8/100))*(1-VLOOKUP(D114,'DB technologies'!$N$53:$Y$64,9,FALSE)/100)*'Calc (ex-housing, ex-storage)'!F114/100/VLOOKUP($C$110,'DB animal categories'!$C$42:$AC$51,27,FALSE)*AJ114+I114+J114+K114,IF(AS114=3,('Calc (ex-animal)'!$G$25*'DB additional information '!$K$8/100+'Calc (ex-animal)'!$H$25*'DB additional information '!$L$8/100)*(1-VLOOKUP(D114,'DB technologies'!$N$53:$Y$64,9,FALSE)/100)*'Calc (ex-housing, ex-storage)'!F114/100/VLOOKUP($C$110,'DB animal categories'!$C$42:$AC$51,27,FALSE)*AJ114+I114+J114+K114,IF(AS114=4,('Calc (ex-animal)'!$G$25*'DB additional information '!$K$8/100+'Calc (ex-animal)'!$H$25*'DB additional information '!$L$8/100)*(1-VLOOKUP(D114,'DB technologies'!$N$53:$Y$64,9,FALSE)/100)*'Calc (ex-housing, ex-storage)'!F114/100*VLOOKUP(D114,'DB technologies'!$N$53:$Y$64,12,FALSE)/100/VLOOKUP($C$110,'DB animal categories'!$C$42:$AC$51,27,FALSE)*AJ114+I114+J114+K114,0))))))</f>
        <v/>
      </c>
      <c r="AV114" s="452" t="str">
        <f>IF(D114="","",IF(AS114=2,0,IF(AS114=1,'Calc (ex-animal)'!$G$25*(1-'DB additional information '!$K$8/100)*(1-VLOOKUP(D114,'DB technologies'!$N$53:$Y$64,8,FALSE)/100)*'Calc (ex-housing, ex-storage)'!F114/100/VLOOKUP($C$110,'DB animal categories'!$C$42:$AC$51,27,FALSE)*AJ114+M114+N114+O114,IF(AS114=5,('Calc (ex-animal)'!$G$25*(1-'DB additional information '!$K$8/100)+'Calc (ex-animal)'!$H$25*(1-'DB additional information '!$L$8/100))*(1-VLOOKUP(D114,'DB technologies'!$N$53:$Y$64,8,FALSE)/100)*'Calc (ex-housing, ex-storage)'!F114/100/VLOOKUP($C$110,'DB animal categories'!$C$42:$AC$51,27,FALSE)*AJ114+M114+N114+O114,IF(AS114=3,('Calc (ex-animal)'!$G$25*(1-'DB additional information '!$K$8/100)+'Calc (ex-animal)'!$H$25*(1-'DB additional information '!$L$8/100))*(1-VLOOKUP(D114,'DB technologies'!$N$53:$Y$64,8,FALSE)/100)*'Calc (ex-housing, ex-storage)'!F114/100/VLOOKUP($C$110,'DB animal categories'!$C$42:$AC$51,27,FALSE)*AJ114+M114+N114+O114,IF(AS114=4,('Calc (ex-animal)'!$G$25*(1-'DB additional information '!$K$8/100)+'Calc (ex-animal)'!$H$25*(1-'DB additional information '!$L$8/100))*(1-VLOOKUP(D114,'DB technologies'!$N$53:$Y$64,8,FALSE)/100)*'Calc (ex-housing, ex-storage)'!F114/100*VLOOKUP(D114,'DB technologies'!$N$53:$Y$64,12,FALSE)/100/VLOOKUP($C$110,'DB animal categories'!$C$42:$AC$51,27,FALSE)*AJ114+M114+N114+O114,0))))))</f>
        <v/>
      </c>
      <c r="AW114" s="452" t="str">
        <f>IF(AS114="","",IF(AU114=0,0,AU114/AT114*100))</f>
        <v/>
      </c>
      <c r="AX114" s="184" t="str">
        <f>IF(D114="","",IF(AS114=2,0,IF(AS114=1,'Calc (ex-animal)'!$K$25*'Calc (ex-housing, ex-storage)'!F114/100/VLOOKUP($C$110,'DB animal categories'!$C$42:$AC$51,27,FALSE)*AJ114+Q114+R114+S114,IF(AS114=5,('Calc (ex-animal)'!$K$25+'Calc (ex-animal)'!$L$25)*'Calc (ex-housing, ex-storage)'!F114/100/VLOOKUP($C$110,'DB animal categories'!$C$42:$AC$51,27,FALSE)*AJ114+Q114+R114+S114-'Calc (ex-housing, ex-storage)'!AC114,IF(AS114=3,('Calc (ex-animal)'!$K$25+'Calc (ex-animal)'!$L$25)*'Calc (ex-housing, ex-storage)'!F114/100/VLOOKUP($C$110,'DB animal categories'!$C$42:$AC$51,27,FALSE)*AJ114+Q114+R114+S114-'Calc (ex-housing, ex-storage)'!AC114-AD114-AE114,IF(AI114=4,('Calc (ex-animal)'!$K$25+'Calc (ex-animal)'!$L$25)*'Calc (ex-housing, ex-storage)'!F114/100*VLOOKUP(D114,'DB technologies'!$N$53:$Y$64,12,FALSE)/100/VLOOKUP($C$110,'DB animal categories'!$C$42:$AC$51,27,FALSE)*AJ114+Q114+R114+S114-(VLOOKUP(D114,'DB technologies'!$N$53:$Y$64,12,FALSE)/100*AC114)-AD114-AE114,0))))))</f>
        <v/>
      </c>
      <c r="AY114" s="184" t="str">
        <f>IF(D114="","",IF(AS114=2,0,IF(AS114=1,'Calc (ex-animal)'!$N$25*'Calc (ex-housing, ex-storage)'!F114/100/VLOOKUP($C$110,'DB animal categories'!$C$42:$AC$51,27,FALSE)*AJ114+U114+V114+W114,IF(AS114=5,('Calc (ex-animal)'!$N$25+'Calc (ex-animal)'!$O$25)*'Calc (ex-housing, ex-storage)'!F114/100/VLOOKUP($C$110,'DB animal categories'!$C$42:$AC$51,27,FALSE)*AJ114+U114+V114+W114,IF(AS114=3,('Calc (ex-animal)'!$N$25+'Calc (ex-animal)'!$O$25)*'Calc (ex-housing, ex-storage)'!F114/100/VLOOKUP($C$110,'DB animal categories'!$C$42:$AC$51,27,FALSE)*AJ114+U114+V114+W114,IF(AS114=4,('Calc (ex-animal)'!$N$25+'Calc (ex-animal)'!$O$25)*'Calc (ex-housing, ex-storage)'!F114/100*VLOOKUP(D114,'DB technologies'!$N$53:$Y$64,12,FALSE)/100/VLOOKUP($C$110,'DB animal categories'!$C$42:$AC$51,27,FALSE)*AJ114+U114+V114+W114,0))))))</f>
        <v/>
      </c>
      <c r="AZ114" s="184" t="str">
        <f>IF(D114="","",IF(AS114=2,0,IF(AS114=1,'Calc (ex-animal)'!$Q$25*'Calc (ex-housing, ex-storage)'!F114/100/VLOOKUP($C$110,'DB animal categories'!$C$42:$AC$51,27,FALSE)*AJ114+Y114+Z114+AA114,IF(AS114=5,('Calc (ex-animal)'!$Q$25+'Calc (ex-animal)'!$R$25)*'Calc (ex-housing, ex-storage)'!F114/100/VLOOKUP($C$110,'DB animal categories'!$C$42:$AC$51,27,FALSE)*AJ114+Y114+Z114+AA114,IF(AS114=3,('Calc (ex-animal)'!$Q$25+'Calc (ex-animal)'!$R$25)*'Calc (ex-housing, ex-storage)'!F114/100/VLOOKUP($C$110,'DB animal categories'!$C$42:$AC$51,27,FALSE)*AJ114+Y114+Z114+AA114,IF(AS114=4,('Calc (ex-animal)'!$Q$25+'Calc (ex-animal)'!$R$25)*'Calc (ex-housing, ex-storage)'!F114/100*VLOOKUP(D114,'DB technologies'!$N$53:$Y$64,12,FALSE)/100/VLOOKUP($C$110,'DB animal categories'!$C$42:$AC$51,27,FALSE)*AJ114+Y114+Z114+AA114,0))))))</f>
        <v/>
      </c>
      <c r="BA114" s="506"/>
      <c r="BB114" s="506"/>
      <c r="BC114" s="506"/>
      <c r="BG114" s="574" t="s">
        <v>58</v>
      </c>
      <c r="BH114" s="316">
        <f>IF(SUM(BH109:BH113) &gt;100,"ERROR, SUM&gt;100%",SUM(BH109:BH113))</f>
        <v>0</v>
      </c>
      <c r="BI114" s="605">
        <f>SUM(BI109:BI113)</f>
        <v>0</v>
      </c>
      <c r="BJ114" s="593">
        <f>SUM(BJ109:BJ113)</f>
        <v>0</v>
      </c>
      <c r="BK114" s="597">
        <f>IF(BI114=0,0,BJ114/BI114*100)</f>
        <v>0</v>
      </c>
      <c r="BL114" s="310">
        <f t="shared" ref="BL114:BT114" si="17">SUM(BL109:BL113)</f>
        <v>0</v>
      </c>
      <c r="BM114" s="310">
        <f t="shared" si="17"/>
        <v>0</v>
      </c>
      <c r="BN114" s="310">
        <f t="shared" si="17"/>
        <v>0</v>
      </c>
      <c r="BO114" s="310">
        <f t="shared" si="17"/>
        <v>0</v>
      </c>
      <c r="BP114" s="310">
        <f t="shared" si="17"/>
        <v>0</v>
      </c>
      <c r="BQ114" s="311">
        <f t="shared" si="17"/>
        <v>0</v>
      </c>
      <c r="BR114" s="309">
        <f t="shared" si="17"/>
        <v>0</v>
      </c>
      <c r="BS114" s="307">
        <f t="shared" si="17"/>
        <v>0</v>
      </c>
      <c r="BT114" s="308">
        <f t="shared" si="17"/>
        <v>0</v>
      </c>
    </row>
    <row r="115" spans="1:72" ht="12" customHeight="1" thickBot="1" x14ac:dyDescent="0.25">
      <c r="A115" s="684"/>
      <c r="B115" s="695"/>
      <c r="C115" s="252"/>
      <c r="D115" s="269" t="s">
        <v>58</v>
      </c>
      <c r="E115" s="270">
        <f>IF(F115&lt;=100,SUM(E110:E114),"ERROR")</f>
        <v>0</v>
      </c>
      <c r="F115" s="284">
        <f>IF(SUM(F110:F114) &lt;=100,SUM(F110:F114),"ERROR, SUM&gt;100%")</f>
        <v>0</v>
      </c>
      <c r="G115" s="492">
        <f>IF('Calc (ex-animal)'!$F$9=1,"",SUM(G110:G114))</f>
        <v>0</v>
      </c>
      <c r="H115" s="433">
        <f>IF('Calc (ex-animal)'!$F$8=1,"",SUM(H110:H114))</f>
        <v>0</v>
      </c>
      <c r="I115" s="433">
        <f>IF('Calc (ex-animal)'!$F$8=1,"",SUM(I110:I114))</f>
        <v>0</v>
      </c>
      <c r="J115" s="433">
        <f>IF('Calc (ex-animal)'!$F$8=1,"",SUM(J110:J114))</f>
        <v>0</v>
      </c>
      <c r="K115" s="433">
        <f>IF('Calc (ex-animal)'!$F$8=1,"",SUM(K110:K114))</f>
        <v>0</v>
      </c>
      <c r="L115" s="433">
        <f>IF('Calc (ex-animal)'!$F$8=1,"",SUM(L110:L114))</f>
        <v>0</v>
      </c>
      <c r="M115" s="470"/>
      <c r="N115" s="470"/>
      <c r="O115" s="470"/>
      <c r="P115" s="478">
        <f>IF(G115=0,0,IF('Calc (ex-animal)'!$F$9=1,"",IF(D115="","",SUM(H115:K115)/G115*100)))</f>
        <v>0</v>
      </c>
      <c r="Q115" s="271"/>
      <c r="R115" s="271"/>
      <c r="S115" s="271"/>
      <c r="T115" s="278">
        <f>IF('Calc (ex-animal)'!$F$25=1,"",SUM(T110:T114))</f>
        <v>0</v>
      </c>
      <c r="U115" s="279"/>
      <c r="V115" s="279"/>
      <c r="W115" s="279"/>
      <c r="X115" s="279">
        <f>IF('Calc (ex-animal)'!$F$25=1,"",SUM(X110:X114))</f>
        <v>0</v>
      </c>
      <c r="Y115" s="279"/>
      <c r="Z115" s="279"/>
      <c r="AA115" s="279"/>
      <c r="AB115" s="279">
        <f>IF('Calc (ex-animal)'!$F$25=1,"",SUM(AB110:AB114))</f>
        <v>0</v>
      </c>
      <c r="AC115" s="279">
        <f>IF('Calc (ex-animal)'!$F$25=1,"",SUM(AC110:AC114))</f>
        <v>0</v>
      </c>
      <c r="AD115" s="279">
        <f>IF('Calc (ex-animal)'!$F$25=1,"",SUM(AD110:AD114))</f>
        <v>0</v>
      </c>
      <c r="AE115" s="280">
        <f>IF('Calc (ex-animal)'!$F$25=1,"",SUM(AE110:AE114))</f>
        <v>0</v>
      </c>
      <c r="AG115" s="698"/>
      <c r="AH115" s="694" t="s">
        <v>130</v>
      </c>
      <c r="BA115" s="98">
        <f>(SUMIF(AS577:AS605,3,AT577:AT605)+SUMIF(AS577:AS605,4,AT577:AT605))*(1-('DB technologies'!AR69/100))</f>
        <v>0</v>
      </c>
      <c r="BB115" s="98">
        <f>(SUMIF(AS577:AS605,3,AU577:AU605)+SUMIF(AS577:AS605,4,AU577:AU605))*(1-('DB technologies'!AR69/100))</f>
        <v>0</v>
      </c>
      <c r="BC115" s="506" t="e">
        <f>BB115/BA115*100</f>
        <v>#DIV/0!</v>
      </c>
      <c r="BD115" s="98">
        <f>(SUMIF(AS577:AS605,3,AX577:AX605)+SUMIF(AS577:AS605,4,AX577:AX605))*(1-('DB technologies'!AR69/100))</f>
        <v>0</v>
      </c>
      <c r="BE115" s="98">
        <f>(SUMIF(AS577:AS605,3,AY577:AY605)+SUMIF(AS577:AS605,4,AY577:AY605))*(1-('DB technologies'!AR69/100))</f>
        <v>0</v>
      </c>
      <c r="BF115" s="98">
        <f>(SUMIF(AS577:AS605,3,AZ577:AZ605)+SUMIF(AS577:AS605,4,AZ577:AZ605))*(1-('DB technologies'!AR69/100))</f>
        <v>0</v>
      </c>
      <c r="BG115" s="1355"/>
      <c r="BH115" s="1363"/>
      <c r="BI115" s="599" t="str">
        <f>IF(BG115="","",$BA$115*BH115/100-($BB$115*BH115/100*VLOOKUP(BG115,'DB technologies'!$AC$69:$AT$73,5,FALSE)/100)+(VLOOKUP(BG115,'DB technologies'!$AC$69:$AT$73,12,FALSE)*$BA$115*BH115/100))</f>
        <v/>
      </c>
      <c r="BJ115" s="551">
        <f>IF(BI115="",0,BI115*BK115/100)</f>
        <v>0</v>
      </c>
      <c r="BK115" s="570" t="str">
        <f>IF(BG115="","",IF($BA$115=0,0,($BB$115*BH115/100)/BI115*(1-(VLOOKUP(BG115,'DB technologies'!$AC$69:$AQ$73,5,FALSE))/100)*100))</f>
        <v/>
      </c>
      <c r="BL115" s="259" t="str">
        <f>IF(BG115="","",$BD$115*(1-VLOOKUP(BG115,'DB technologies'!$AC$69:$AS$73,12,FALSE)/100)*BH115/100-BO115-BP115-BQ115-BR115)</f>
        <v/>
      </c>
      <c r="BM115" s="259" t="str">
        <f>IF(BG115="","",$BE$115*(1-VLOOKUP(BG115,'DB technologies'!$AC$69:$AS$73,12,FALSE)/100)*BH115/100-BS115)</f>
        <v/>
      </c>
      <c r="BN115" s="259" t="str">
        <f>IF(BG115="","",$BF$115*(1-VLOOKUP(BG115,'DB technologies'!$AC$69:$AS$73,12,FALSE)/100)*BH115/100-BT115)</f>
        <v/>
      </c>
      <c r="BO115" s="259" t="str">
        <f>IF(BG115="","",$BD$115*BH115/100*VLOOKUP(BG115,'DB technologies'!$AC$69:$AF$73,2,FALSE)/100)</f>
        <v/>
      </c>
      <c r="BP115" s="259" t="str">
        <f>IF(BG115="","",$BD$115*BH115/100*VLOOKUP(BG115,'DB technologies'!$AC$69:$AN$73,3,FALSE)/100)</f>
        <v/>
      </c>
      <c r="BQ115" s="260" t="str">
        <f>IF(BG115="","",$BD$115*BH115/100*VLOOKUP(BG115,'DB technologies'!$AC$69:$AN$73,4,FALSE)/100)</f>
        <v/>
      </c>
      <c r="BR115" s="263" t="str">
        <f>IF(BG115="","",VLOOKUP(BG115,'DB technologies'!$AC$69:$AQ$73,13,FALSE)/100*$BD$115*BH115/100)</f>
        <v/>
      </c>
      <c r="BS115" s="259" t="str">
        <f>IF(BG115="","",VLOOKUP(BG115,'DB technologies'!$AC$69:$AQ$73,14,FALSE)/100*$BE$115*BH115/100)</f>
        <v/>
      </c>
      <c r="BT115" s="260" t="str">
        <f>IF(BG115="","",VLOOKUP(BG115,'DB technologies'!$AC$69:$AQ$73,15,FALSE)/100*$BF$115*BH115/100)</f>
        <v/>
      </c>
    </row>
    <row r="116" spans="1:72" ht="11.25" customHeight="1" x14ac:dyDescent="0.2">
      <c r="A116" s="684"/>
      <c r="B116" s="695"/>
      <c r="C116" s="250">
        <f>'Calc (ex-animal)'!D26</f>
        <v>0</v>
      </c>
      <c r="D116" s="1355"/>
      <c r="E116" s="1356"/>
      <c r="F116" s="479" t="str">
        <f>IF('Calc (ex-animal)'!$F$9=1,"",IF($C$116=0,"",IF(D116="","",E116/'Calc (ex-animal)'!$E$26*100)))</f>
        <v/>
      </c>
      <c r="G116" s="484" t="str">
        <f>IF($C$116=0,"",IF('Calc (ex-animal)'!$F$8=1,"",IF(D116="","",SUM(H116:O116))))</f>
        <v/>
      </c>
      <c r="H116" s="471" t="str">
        <f>IF('Calc (ex-animal)'!$F$8=1,"",IF(D116="","",(((VLOOKUP($C$116,'Calc (ex-animal)'!$D$23:$Y$27,6,FALSE)-VLOOKUP($C$116,'Calc (ex-animal)'!$D$23:$Y$27,17,FALSE))*F116/100))*VLOOKUP($C$116,'Calc (ex-animal)'!$D$23:$Y$27,7,FALSE)/100*(1-VLOOKUP(D116,'DB technologies'!$N$53:$Y$64,9,FALSE)/100)))</f>
        <v/>
      </c>
      <c r="I116" s="471" t="str">
        <f>IF(D116="","",((VLOOKUP(D116,'DB technologies'!$N$53:$Y$64,2,FALSE)*VLOOKUP($C$116,'DB animal categories'!$C$42:$AC$51,27,FALSE)*E116/1000)/VLOOKUP($C$116,'DB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'!$S$6/100*(1-VLOOKUP(D116,'DB technologies'!$N$53:$Y$64,9,FALSE)/100)))</f>
        <v/>
      </c>
      <c r="J116" s="472" t="str">
        <f>IF(D116="","",((VLOOKUP(D116,'DB technologies'!$N$53:$Y$64,3,FALSE)*VLOOKUP($C$116,'DB animal categories'!$C$42:$AC$51,27,FALSE)*E116/1000)/VLOOKUP($C$116,'DB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'!$S$7/100*(1-VLOOKUP(D116,'DB technologies'!$N$53:$Y$64,9,FALSE)/100)))</f>
        <v/>
      </c>
      <c r="K116" s="472" t="str">
        <f>IF(D116="","",((VLOOKUP(D116,'DB technologies'!$N$53:$Y$64,4,FALSE)*E116*'DB additional information '!$S$8/100*(1-VLOOKUP(D116,'DB technologies'!$N$53:$Y$64,9,FALSE)/100))/VLOOKUP($C$116,'DB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L116" s="471" t="str">
        <f>IF('Calc (ex-animal)'!$F$8=1,"",IF(D116="","",(((VLOOKUP($C$116,'Calc (ex-animal)'!$D$23:$Y$27,6,FALSE)-VLOOKUP($C$116,'Calc (ex-animal)'!$D$23:$Y$27,17,FALSE))*F116/100))*(1-VLOOKUP($C$116,'Calc (ex-animal)'!$D$23:$Y$27,7,FALSE)/100)*(1-VLOOKUP(D116,'DB technologies'!$N$53:$V$64,8,FALSE)/100)))</f>
        <v/>
      </c>
      <c r="M116" s="472" t="str">
        <f>IF(D116="","",((VLOOKUP(D116,'DB technologies'!$N$53:$Y$64,2,FALSE)*VLOOKUP($C$116,'DB animal categories'!$C$42:$AC$51,27,FALSE)*E116/1000)/VLOOKUP($C$116,'DB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'!$S$6/100)*(1-VLOOKUP(D116,'DB technologies'!$N$53:$Y$64,9,FALSE)/100))</f>
        <v/>
      </c>
      <c r="N116" s="472" t="str">
        <f>IF(D116="","",((VLOOKUP(D116,'DB technologies'!$N$53:$Y$64,3,FALSE)*VLOOKUP($C$116,'DB animal categories'!$C$42:$AC$51,27,FALSE)*E116/1000)/VLOOKUP($C$116,'DB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'!$S$7/100)*(1-VLOOKUP(D116,'DB technologies'!$N$53:$Y$64,9,FALSE)/100))</f>
        <v/>
      </c>
      <c r="O116" s="471" t="str">
        <f>IF(D116="","",((VLOOKUP(D116,'DB technologies'!$N$53:$Y$64,4,FALSE)*E116*(1-'DB additional information '!$S$8/100)*(1-VLOOKUP(D116,'DB technologies'!$N$53:$Y$64,8,FALSE)/100))/VLOOKUP($C$116,'DB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P116" s="443" t="str">
        <f>IF(G116=0,0,IF(E116="","",IF(F116="","",IF($C$116=0,"",IF(D116="","",SUM(H116:K116)/G116*100)))))</f>
        <v/>
      </c>
      <c r="Q116" s="473" t="str">
        <f>IF(D116="","",(VLOOKUP(D116,'DB technologies'!$N$53:$Y$64,2,FALSE)*'DB additional information '!$S$6/100*'DB additional information '!$T$6*VLOOKUP($C$116,'DB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R116" s="473" t="str">
        <f>IF(D116="","",(VLOOKUP(D116,'DB technologies'!$N$53:$Y$64,3,FALSE)*'DB additional information '!$S$7/100*'DB additional information '!$T$7*VLOOKUP($C$116,'DB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S116" s="490" t="str">
        <f>IF(D116="","",(VLOOKUP(D116,'DB technologies'!$N$53:$Y$64,4,FALSE)*('DB additional information '!$S$8/100*'DB additional information '!$T$8*E116/1000/1000)))</f>
        <v/>
      </c>
      <c r="T116" s="263" t="str">
        <f>IF($C$116=0,"",IF('Calc (ex-animal)'!$F$9=1,"",IF(D116="","",((VLOOKUP($C$116,'Calc (ex-animal)'!$D$23:$Y$27,10,FALSE)-VLOOKUP($C$116,'Calc (ex-animal)'!$D$23:$Y$27,18,FALSE))*F116/100+Q116+R116+S116)-AC116-AD116-AE116)))</f>
        <v/>
      </c>
      <c r="U116" s="474" t="str">
        <f>IF(D116="","",(VLOOKUP(D116,'DB technologies'!$N$53:$Y$64,2,FALSE)*'DB additional information '!$S$6/100*'DB additional information '!$U$6*VLOOKUP($C$116,'DB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V116" s="420" t="str">
        <f>IF(D116="","",(VLOOKUP(D116,'DB technologies'!$N$53:$Y$64,3,FALSE)*'DB additional information '!$S$7/100*'DB additional information '!$U$7*VLOOKUP($C$116,'DB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W116" s="415" t="str">
        <f>IF(D116="","",(VLOOKUP(D116,'DB technologies'!$N$53:$Y$64,4,FALSE)*('DB additional information '!$S$8/100*'DB additional information '!$U$8*E116/1000/1000)))</f>
        <v/>
      </c>
      <c r="X116" s="259" t="str">
        <f>IF($C$116=0,"",IF('Calc (ex-animal)'!$F$9=1,"",IF(D116="","",((VLOOKUP($C$116,'Calc (ex-animal)'!$D$23:$Y$27,13,FALSE)-VLOOKUP($C$116,'Calc (ex-animal)'!$D$23:$Y$27,19,FALSE))*F116/100+U116+V116+W116))))</f>
        <v/>
      </c>
      <c r="Y116" s="420" t="str">
        <f>IF(D116="","",(VLOOKUP(D116,'DB technologies'!$N$53:$Y$64,2,FALSE)*'DB additional information '!$S$6/100*'DB additional information '!$V$6*VLOOKUP($C$116,'DB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Z116" s="420" t="str">
        <f>IF(D116="","",(VLOOKUP(D116,'DB technologies'!$N$53:$Y$64,3,FALSE)*'DB additional information '!$S$7/100*'DB additional information '!$V$7*VLOOKUP($C$116,'DB animal categories'!$C$42:$AC$51,27,FALSE)*E116/1000/1000)/VLOOKUP($C$116,'DB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AA116" s="420" t="str">
        <f>IF(D116="","",(VLOOKUP(D116,'DB technologies'!$N$53:$Y$64,4,FALSE)*('DB additional information '!$S$8/100*'DB additional information '!$V$8*E116/1000/1000)))</f>
        <v/>
      </c>
      <c r="AB116" s="259" t="str">
        <f>IF($C$116=0,"",IF('Calc (ex-animal)'!$F$8=1,"",IF(D116="","",((VLOOKUP($C$116,'Calc (ex-animal)'!$D$23:$Y$27,16,FALSE)-VLOOKUP($C$116,'Calc (ex-animal)'!$D$23:$Y$27,20,FALSE))*F116/100+Y116+Z116+AA116))))</f>
        <v/>
      </c>
      <c r="AC116" s="259" t="str">
        <f>IF($C$116=0,"",IF('Calc (ex-animal)'!$F$8=1,"",IF(D116="","",VLOOKUP($C$116,'Calc (ex-animal)'!$D$23:$Y$27,9,FALSE)/VLOOKUP($C$116,'DB animal categories'!$C$42:$AC$51,27,FALSE)*(VLOOKUP($C$116,'DB animal categories'!$C$42:$AC$51,27,FALSE)-VLOOKUP($C$116,'DB animal categories'!$C$42:$AC$51,25,FALSE)*VLOOKUP($C$116,'DB animal categories'!$C$42:$AC$51,26,FALSE)/24)*F116/100*VLOOKUP(D116,'DB technologies'!$N$53:$R$64,5,FALSE)/100)))</f>
        <v/>
      </c>
      <c r="AD116" s="259" t="str">
        <f>IF($C$116=0,"",IF('Calc (ex-animal)'!$F$8=1,"",IF(D116="","",VLOOKUP($C$116,'Calc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categories'!$C$42:$AC$51,26,FALSE)/24)*F116/100*VLOOKUP(D116,'DB technologies'!$N$53:$Y$64,6,FALSE)/100)))</f>
        <v/>
      </c>
      <c r="AE116" s="260" t="str">
        <f>IF($C$116=0,"",IF('Calc (ex-animal)'!$F$8=1,"",IF(D116="","",VLOOKUP($C$116,'Calc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categories'!$C$42:$AC$51,26,FALSE)/24)*F116/100*VLOOKUP(D116,'DB technologies'!$N$53:$Y$64,7,FALSE)/100)))</f>
        <v/>
      </c>
      <c r="AG116" s="698"/>
      <c r="AH116" s="695"/>
      <c r="AI116" s="179" t="str">
        <f>IF(D116="","",VLOOKUP(D116,'DB technologies'!$N$53:$Y$64,10,FALSE))</f>
        <v/>
      </c>
      <c r="AJ116" s="482" t="e">
        <f>VLOOKUP($C$116,'DB animal categories'!$C$42:$AN$51,27,FALSE)-VLOOKUP($C$116,'DB animal categories'!$C$42:$AN$51,26,FALSE)*VLOOKUP($C$116,'DB animal categories'!$C$42:$AN$51,25,FALSE)/24</f>
        <v>#N/A</v>
      </c>
      <c r="AK116" s="453" t="str">
        <f>IF(AI116="","",AL116+AM116)</f>
        <v/>
      </c>
      <c r="AL116" s="453" t="str">
        <f>IF(D116="","",IF(AI116=2,(('Calc (ex-animal)'!$G$26*'DB additional information '!$K$8/100*(1-VLOOKUP(D116,'DB technologies'!$N$53:$Y$64,9,FALSE)/100)*'Calc (ex-housing, ex-storage)'!F116/100+'Calc (ex-animal)'!$H$26*'DB additional information '!$L$8/100*(1-VLOOKUP(D116,'DB technologies'!$N$53:$Y$64,9,FALSE)/100)*'Calc (ex-housing, ex-storage)'!F116/100))/VLOOKUP($C$116,'DB animal categories'!$C$42:$AC$51,27,FALSE)*AJ116+I116+J116+K116,IF(AI116=1,('Calc (ex-animal)'!$H$26*'DB additional information '!$L$8/100*(1-VLOOKUP(D116,'DB technologies'!$N$53:$Y$64,9,FALSE)/100)*'Calc (ex-housing, ex-storage)'!F116/100)/VLOOKUP($C$116,'DB animal categories'!$C$42:$AC$51,27,FALSE)*AJ116,IF(AI116=4,('Calc (ex-animal)'!$G$26*'DB additional information '!$K$8/100+'Calc (ex-animal)'!$H$26*'DB additional information '!$L$8/100)*(1-VLOOKUP(D116,'DB technologies'!$N$53:$Y$64,9,FALSE)/100)*'Calc (ex-housing, ex-storage)'!F116/100*VLOOKUP(D116,'DB technologies'!$N$53:$Y$64,11,FALSE)/100/VLOOKUP($C$116,'DB animal categories'!$C$42:$AC$51,27,FALSE)*AJ116,0))))</f>
        <v/>
      </c>
      <c r="AM116" s="453" t="str">
        <f>IF(D116="","",IF(AI116=2,(('Calc (ex-animal)'!$G$26*(1-'DB additional information '!$K$8/100)*(1-VLOOKUP(D116,'DB technologies'!$N$53:$Y$64,8,FALSE)/100)*'Calc (ex-housing, ex-storage)'!F116/100+'Calc (ex-animal)'!$H$26*(1-'DB additional information '!$L$8/100)*(1-VLOOKUP(D116,'DB technologies'!$N$53:$Y$64,8,FALSE)/100)*'Calc (ex-housing, ex-storage)'!F116/100))/VLOOKUP($C$116,'DB animal categories'!$C$42:$AC$51,27,FALSE)*AJ116+M116+N116+O116,IF(AI116=1,('Calc (ex-animal)'!$H$26*(1-'DB additional information '!$L$8/100)*(1-VLOOKUP(D116,'DB technologies'!$N$53:$Y$64,8,FALSE)/100)*'Calc (ex-housing, ex-storage)'!F116/100)/VLOOKUP($C$116,'DB animal categories'!$C$42:$AC$51,27,FALSE)*AJ116,IF(AI116=4,('Calc (ex-animal)'!$G$26*(1-'DB additional information '!$K$8/100)+'Calc (ex-animal)'!$H$26*(1-'DB additional information '!$L$8/100))*(1-VLOOKUP(D116,'DB technologies'!$N$53:$Y$64,8,FALSE)/100)*'Calc (ex-housing, ex-storage)'!F116/100*VLOOKUP(D116,'DB technologies'!$N$53:$Y$64,11,FALSE)/100/VLOOKUP($C$116,'DB animal categories'!$C$42:$AC$51,27,FALSE)*AJ116,0))))</f>
        <v/>
      </c>
      <c r="AN116" s="453" t="str">
        <f>IF(AI116="","",IF(AL116=0,0,AL116/AK116*100))</f>
        <v/>
      </c>
      <c r="AO116" s="180" t="str">
        <f>IF(D116="","",IF(AI116=2,(('Calc (ex-animal)'!$L$26*'Calc (ex-housing, ex-storage)'!F116/100+'Calc (ex-animal)'!$K$26*'Calc (ex-housing, ex-storage)'!F116/100))/VLOOKUP($C$116,'DB animal categories'!$C$42:$AC$51,27,FALSE)*AJ116+Q116+R116+S116-AC116,IF(AI116=1,('Calc (ex-animal)'!$L$26*'Calc (ex-housing, ex-storage)'!F116/100)/VLOOKUP($C$116,'DB animal categories'!$C$42:$AC$51,27,FALSE)*AJ116-'Calc (ex-housing, ex-storage)'!AC116,IF(AI116=4,('Calc (ex-animal)'!$L$26+'Calc (ex-animal)'!$K$26)*'Calc (ex-housing, ex-storage)'!F116/100*VLOOKUP(D116,'DB technologies'!$N$53:$Y$64,11,FALSE)/100/VLOOKUP($C$116,'DB animal categories'!$C$42:$AC$51,27,FALSE)*AJ116-AC116*VLOOKUP(D116,'DB technologies'!$N$53:$Y$64,11,FALSE)/100,0))))</f>
        <v/>
      </c>
      <c r="AP116" s="180" t="str">
        <f>IF(D116="","",IF(AO116&lt;-0.01,0,IF(AI116=2,(('Calc (ex-animal)'!$L$26*'Calc (ex-housing, ex-storage)'!F116/100+'Calc (ex-animal)'!$K$26*'Calc (ex-housing, ex-storage)'!F116/100))/VLOOKUP($C$116,'DB animal categories'!$C$42:$AC$51,27,FALSE)*AJ116+Q116+R116+S116-AC116,IF(AI116=1,('Calc (ex-animal)'!$L$26*'Calc (ex-housing, ex-storage)'!F116/100)/VLOOKUP($C$116,'DB animal categories'!$C$42:$AC$51,27,FALSE)*AJ116-'Calc (ex-housing, ex-storage)'!AC116,IF(AI116=4,('Calc (ex-animal)'!$L$26+'Calc (ex-animal)'!$K$26)*'Calc (ex-housing, ex-storage)'!F116/100*VLOOKUP(D116,'DB technologies'!$N$53:$Y$64,11,FALSE)/100/VLOOKUP($C$116,'DB animal categories'!$C$42:$AC$51,27,FALSE)*AJ116-AC116*VLOOKUP(D116,'DB technologies'!$N$53:$Y$64,11,FALSE)/100,0)))))</f>
        <v/>
      </c>
      <c r="AQ116" s="180" t="str">
        <f>IF(D116="","",IF(AI116=2,('Calc (ex-animal)'!$O$26*'Calc (ex-housing, ex-storage)'!F116/100+'Calc (ex-animal)'!$N$26*'Calc (ex-housing, ex-storage)'!F116/100)/VLOOKUP($C$116,'DB animal categories'!$C$42:$AC$51,27,FALSE)*AJ116+U116+V116+W116,IF(AI116=1,'Calc (ex-animal)'!$O$26*'Calc (ex-housing, ex-storage)'!F116/100/VLOOKUP($C$116,'DB animal categories'!$C$42:$AC$51,27,FALSE)*AJ116,IF(AI116=4,('Calc (ex-animal)'!$O$26+'Calc (ex-animal)'!$N$26)*'Calc (ex-housing, ex-storage)'!F116/100*VLOOKUP(D116,'DB technologies'!$N$53:$Y$64,11,FALSE)/100/VLOOKUP($C$116,'DB animal categories'!$C$42:$AC$51,27,FALSE)*AJ116,0))))</f>
        <v/>
      </c>
      <c r="AR116" s="180" t="str">
        <f>IF(D116="","",IF(AI116=2,('Calc (ex-animal)'!$R$26*'Calc (ex-housing, ex-storage)'!F116/100+'Calc (ex-animal)'!$Q$26*'Calc (ex-housing, ex-storage)'!F116/100)/VLOOKUP($C$116,'DB animal categories'!$C$42:$AC$51,27,FALSE)*AJ116+Y116+Z116+AA116,IF(AI116=1,'Calc (ex-animal)'!$R$26*'Calc (ex-housing, ex-storage)'!F116/100/VLOOKUP($C$116,'DB animal categories'!$C$42:$AC$51,27,FALSE)*AJ116,IF(AI116=4,('Calc (ex-animal)'!$R$26+'Calc (ex-animal)'!$Q$26)*'Calc (ex-housing, ex-storage)'!F116/100*VLOOKUP(D116,'DB technologies'!$N$53:$Y$64,11,FALSE)/100/VLOOKUP($C$116,'DB animal categories'!$C$42:$AC$51,27,FALSE)*AJ116,0))))</f>
        <v/>
      </c>
      <c r="AS116" s="179" t="str">
        <f>IF(D116="","",VLOOKUP(D116,'DB technologies'!$N$53:$Y$64,10,FALSE))</f>
        <v/>
      </c>
      <c r="AT116" s="453" t="str">
        <f>IF(AS116="","",AU116+AV116)</f>
        <v/>
      </c>
      <c r="AU116" s="453" t="str">
        <f>IF(D116="","",IF(AS116=2,0,IF(AS116=1,'Calc (ex-animal)'!$G$26*'DB additional information '!$K$8/100*(1-VLOOKUP(D116,'DB technologies'!$N$53:$Y$64,8,FALSE)/100)*'Calc (ex-housing, ex-storage)'!F116/100/VLOOKUP($C$116,'DB animal categories'!$C$42:$AC$51,27,FALSE)*AJ116+I116+J116+K116,IF(AS116=5,(('Calc (ex-animal)'!$G$26*'DB additional information '!$K$8/100+'Calc (ex-animal)'!$H$26*'DB additional information '!$L$8/100))*(1-VLOOKUP(D116,'DB technologies'!$N$53:$Y$64,9,FALSE)/100)*'Calc (ex-housing, ex-storage)'!F116/100/VLOOKUP($C$116,'DB animal categories'!$C$42:$AC$51,27,FALSE)*AJ116+I116+J116+K116,IF(AS116=3,('Calc (ex-animal)'!$G$26*'DB additional information '!$K$8/100+'Calc (ex-animal)'!$H$26*'DB additional information '!$L$8/100)*(1-VLOOKUP(D116,'DB technologies'!$N$53:$Y$64,9,FALSE)/100)*'Calc (ex-housing, ex-storage)'!F116/100/VLOOKUP($C$116,'DB animal categories'!$C$42:$AC$51,27,FALSE)*AJ116+I116+J116+K116,IF(AS116=4,('Calc (ex-animal)'!$G$26*'DB additional information '!$K$8/100+'Calc (ex-animal)'!$H$26*'DB additional information '!$L$8/100)*(1-VLOOKUP(D116,'DB technologies'!$N$53:$Y$64,9,FALSE)/100)*'Calc (ex-housing, ex-storage)'!F116/100*VLOOKUP(D116,'DB technologies'!$N$53:$Y$64,12,FALSE)/100/VLOOKUP($C$116,'DB animal categories'!$C$42:$AC$51,27,FALSE)*AJ116+I116+J116+K116,0))))))</f>
        <v/>
      </c>
      <c r="AV116" s="453" t="str">
        <f>IF(D116="","",IF(AS116=2,0,IF(AS116=1,'Calc (ex-animal)'!$G$26*(1-'DB additional information '!$K$8/100)*(1-VLOOKUP(D116,'DB technologies'!$N$53:$Y$64,8,FALSE)/100)*'Calc (ex-housing, ex-storage)'!F116/100/VLOOKUP($C$116,'DB animal categories'!$C$42:$AC$51,27,FALSE)*AJ116+M116+N116+O116,IF(AS116=5,('Calc (ex-animal)'!$G$26*(1-'DB additional information '!$K$8/100)+'Calc (ex-animal)'!$H$26*(1-'DB additional information '!$L$8/100))*(1-VLOOKUP(D116,'DB technologies'!$N$53:$Y$64,8,FALSE)/100)*'Calc (ex-housing, ex-storage)'!F116/100/VLOOKUP($C$116,'DB animal categories'!$C$42:$AC$51,27,FALSE)*AJ116+M116+N116+O116,IF(AS116=3,('Calc (ex-animal)'!$G$26*(1-'DB additional information '!$K$8/100)+'Calc (ex-animal)'!$H$26*(1-'DB additional information '!$L$8/100))*(1-VLOOKUP(D116,'DB technologies'!$N$53:$Y$64,8,FALSE)/100)*'Calc (ex-housing, ex-storage)'!F116/100/VLOOKUP($C$116,'DB animal categories'!$C$42:$AC$51,27,FALSE)*AJ116+M116+N116+O116,IF(AS116=4,('Calc (ex-animal)'!$G$26*(1-'DB additional information '!$K$8/100)+'Calc (ex-animal)'!$H$26*(1-'DB additional information '!$L$8/100))*(1-VLOOKUP(D116,'DB technologies'!$N$53:$Y$64,8,FALSE)/100)*'Calc (ex-housing, ex-storage)'!F116/100*VLOOKUP(D116,'DB technologies'!$N$53:$Y$64,12,FALSE)/100/VLOOKUP($C$116,'DB animal categories'!$C$42:$AC$51,27,FALSE)*AJ116+M116+N116+O116,0))))))</f>
        <v/>
      </c>
      <c r="AW116" s="453" t="str">
        <f>IF(AS116="","",IF(AU116=0,0,AU116/AT116*100))</f>
        <v/>
      </c>
      <c r="AX116" s="180" t="str">
        <f>IF(D116="","",IF(AS116=2,0,IF(AS116=1,'Calc (ex-animal)'!$K$26*'Calc (ex-housing, ex-storage)'!F116/100/VLOOKUP($C$116,'DB animal categories'!$C$42:$AC$51,27,FALSE)*AJ116+Q116+R116+S116,IF(AS116=5,('Calc (ex-animal)'!$K$26+'Calc (ex-animal)'!$L$26)*'Calc (ex-housing, ex-storage)'!F116/100/VLOOKUP($C$116,'DB animal categories'!$C$42:$AC$51,27,FALSE)*AJ116+Q116+R116+S116-'Calc (ex-housing, ex-storage)'!AC116,IF(AS116=3,('Calc (ex-animal)'!$K$26+'Calc (ex-animal)'!$L$26)*'Calc (ex-housing, ex-storage)'!F116/100/VLOOKUP($C$116,'DB animal categories'!$C$42:$AC$51,27,FALSE)*AJ116+Q116+R116+S116-'Calc (ex-housing, ex-storage)'!AC116-AD116-AE116,IF(AI116=4,('Calc (ex-animal)'!$K$26+'Calc (ex-animal)'!$L$26)*'Calc (ex-housing, ex-storage)'!F116/100*VLOOKUP(D116,'DB technologies'!$N$53:$Y$64,12,FALSE)/100/VLOOKUP($C$116,'DB animal categories'!$C$42:$AC$51,27,FALSE)*AJ116+Q116+R116+S116-(VLOOKUP(D116,'DB technologies'!$N$53:$Y$64,12,FALSE)/100*AC116)-AD116-AE116,0))))))</f>
        <v/>
      </c>
      <c r="AY116" s="180" t="str">
        <f>IF(D116="","",IF(AS116=2,0,IF(AS116=1,'Calc (ex-animal)'!$N$26*'Calc (ex-housing, ex-storage)'!F116/100/VLOOKUP($C$116,'DB animal categories'!$C$42:$AC$51,27,FALSE)*AJ116+U116+V116+W116,IF(AS116=5,('Calc (ex-animal)'!$N$26+'Calc (ex-animal)'!$O$26)*'Calc (ex-housing, ex-storage)'!F116/100/VLOOKUP($C$116,'DB animal categories'!$C$42:$AC$51,27,FALSE)*AJ116+U116+V116+W116,IF(AS116=3,('Calc (ex-animal)'!$N$26+'Calc (ex-animal)'!$O$26)*'Calc (ex-housing, ex-storage)'!F116/100/VLOOKUP($C$116,'DB animal categories'!$C$42:$AC$51,27,FALSE)*AJ116+U116+V116+W116,IF(AS116=4,('Calc (ex-animal)'!$N$26+'Calc (ex-animal)'!$O$26)*'Calc (ex-housing, ex-storage)'!F116/100*VLOOKUP(D116,'DB technologies'!$N$53:$Y$64,12,FALSE)/100/VLOOKUP($C$116,'DB animal categories'!$C$42:$AC$51,27,FALSE)*AJ116+U116+V116+W116,0))))))</f>
        <v/>
      </c>
      <c r="AZ116" s="180" t="str">
        <f>IF(D116="","",IF(AS116=2,0,IF(AS116=1,'Calc (ex-animal)'!$Q$26*'Calc (ex-housing, ex-storage)'!F116/100/VLOOKUP($C$116,'DB animal categories'!$C$42:$AC$51,27,FALSE)*AJ116+Y116+Z116+AA116,IF(AS116=5,('Calc (ex-animal)'!$Q$26+'Calc (ex-animal)'!$R$26)*'Calc (ex-housing, ex-storage)'!F116/100/VLOOKUP($C$116,'DB animal categories'!$C$42:$AC$51,27,FALSE)*AJ116+Y116+Z116+AA116,IF(AS116=3,('Calc (ex-animal)'!$Q$26+'Calc (ex-animal)'!$R$26)*'Calc (ex-housing, ex-storage)'!F116/100/VLOOKUP($C$116,'DB animal categories'!$C$42:$AC$51,27,FALSE)*AJ116+Y116+Z116+AA116,IF(AS116=4,('Calc (ex-animal)'!$Q$26+'Calc (ex-animal)'!$R$26)*'Calc (ex-housing, ex-storage)'!F116/100*VLOOKUP(D116,'DB technologies'!$N$53:$Y$64,12,FALSE)/100/VLOOKUP($C$116,'DB animal categories'!$C$42:$AC$51,27,FALSE)*AJ116+Y116+Z116+AA116,0))))))</f>
        <v/>
      </c>
      <c r="BA116" s="506"/>
      <c r="BB116" s="506"/>
      <c r="BC116" s="506"/>
      <c r="BG116" s="1357"/>
      <c r="BH116" s="1361"/>
      <c r="BI116" s="598" t="str">
        <f>IF(BG116="","",$BA$115*BH116/100-($BB$115*BH116/100*VLOOKUP(BG116,'DB technologies'!$AC$69:$AT$73,5,FALSE)/100)+(VLOOKUP(BG116,'DB technologies'!$AC$69:$AT$73,12,FALSE)*$BA$115*BH116/100))</f>
        <v/>
      </c>
      <c r="BJ116" s="551">
        <f>IF(BI116="",0,BI116*BK116/100)</f>
        <v>0</v>
      </c>
      <c r="BK116" s="571" t="str">
        <f>IF(BG116="","",IF($BA$115=0,0,($BB$115*BH116/100)/BI116*(1-(VLOOKUP(BG116,'DB technologies'!$AC$69:$AQ$73,5,FALSE))/100)*100))</f>
        <v/>
      </c>
      <c r="BL116" s="261" t="str">
        <f>IF(BG116="","",$BD$115*(1-VLOOKUP(BG116,'DB technologies'!$AC$69:$AS$73,12,FALSE)/100)*BH116/100-BO116-BP116-BQ116-BR116)</f>
        <v/>
      </c>
      <c r="BM116" s="261" t="str">
        <f>IF(BG116="","",$BE$115*(1-VLOOKUP(BG116,'DB technologies'!$AC$69:$AS$73,12,FALSE)/100)*BH116/100-BS116)</f>
        <v/>
      </c>
      <c r="BN116" s="261" t="str">
        <f>IF(BG116="","",$BF$115*(1-VLOOKUP(BG116,'DB technologies'!$AC$69:$AS$73,12,FALSE)/100)*BH116/100-BT116)</f>
        <v/>
      </c>
      <c r="BO116" s="261" t="str">
        <f>IF(BG116="","",$BD$115*BH116/100*VLOOKUP(BG116,'DB technologies'!$AC$69:$AF$73,2,FALSE)/100)</f>
        <v/>
      </c>
      <c r="BP116" s="261" t="str">
        <f>IF(BG116="","",$BD$115*BH116/100*VLOOKUP(BG116,'DB technologies'!$AC$69:$AN$73,3,FALSE)/100)</f>
        <v/>
      </c>
      <c r="BQ116" s="262" t="str">
        <f>IF(BG116="","",$BD$115*BH116/100*VLOOKUP(BG116,'DB technologies'!$AC$69:$AN$73,4,FALSE)/100)</f>
        <v/>
      </c>
      <c r="BR116" s="264" t="str">
        <f>IF(BG116="","",VLOOKUP(BG116,'DB technologies'!$AC$69:$AQ$73,13,FALSE)/100*$BD$115*BH116/100)</f>
        <v/>
      </c>
      <c r="BS116" s="261" t="str">
        <f>IF(BG116="","",VLOOKUP(BG116,'DB technologies'!$AC$69:$AQ$73,14,FALSE)/100*$BE$115*BH116/100)</f>
        <v/>
      </c>
      <c r="BT116" s="262" t="str">
        <f>IF(BG116="","",VLOOKUP(BG116,'DB technologies'!$AC$69:$AQ$73,15,FALSE)/100*$BF$115*BH116/100)</f>
        <v/>
      </c>
    </row>
    <row r="117" spans="1:72" ht="11.25" customHeight="1" x14ac:dyDescent="0.2">
      <c r="A117" s="684"/>
      <c r="B117" s="695"/>
      <c r="C117" s="251"/>
      <c r="D117" s="1357"/>
      <c r="E117" s="1358"/>
      <c r="F117" s="480" t="str">
        <f>IF('Calc (ex-animal)'!$F$9=1,"",IF($C$116=0,"",IF(D117="","",E117/'Calc (ex-animal)'!$E$26*100)))</f>
        <v/>
      </c>
      <c r="G117" s="485" t="str">
        <f>IF($C$116=0,"",IF('Calc (ex-animal)'!$F$8=1,"",IF(D117="","",SUM(H117:O117))))</f>
        <v/>
      </c>
      <c r="H117" s="423" t="str">
        <f>IF('Calc (ex-animal)'!$F$8=1,"",IF(D117="","",(((VLOOKUP($C$116,'Calc (ex-animal)'!$D$23:$Y$27,6,FALSE)-VLOOKUP($C$116,'Calc (ex-animal)'!$D$23:$Y$27,17,FALSE))*F117/100))*VLOOKUP($C$116,'Calc (ex-animal)'!$D$23:$Y$27,7,FALSE)/100*(1-VLOOKUP(D117,'DB technologies'!$N$53:$Y$64,9,FALSE)/100)))</f>
        <v/>
      </c>
      <c r="I117" s="423" t="str">
        <f>IF(D117="","",((VLOOKUP(D117,'DB technologies'!$N$53:$Y$64,2,FALSE)*VLOOKUP($C$116,'DB animal categories'!$C$42:$AC$51,27,FALSE)*E117/1000)/VLOOKUP($C$116,'DB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'!$S$6/100*(1-VLOOKUP(D117,'DB technologies'!$N$53:$Y$64,9,FALSE)/100)))</f>
        <v/>
      </c>
      <c r="J117" s="434" t="str">
        <f>IF(D117="","",((VLOOKUP(D117,'DB technologies'!$N$53:$Y$64,3,FALSE)*VLOOKUP($C$116,'DB animal categories'!$C$42:$AC$51,27,FALSE)*E117/1000)/VLOOKUP($C$116,'DB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'!$S$7/100*(1-VLOOKUP(D117,'DB technologies'!$N$53:$Y$64,9,FALSE)/100)))</f>
        <v/>
      </c>
      <c r="K117" s="434" t="str">
        <f>IF(D117="","",((VLOOKUP(D117,'DB technologies'!$N$53:$Y$64,4,FALSE)*E117*'DB additional information '!$S$8/100*(1-VLOOKUP(D117,'DB technologies'!$N$53:$Y$64,9,FALSE)/100))/VLOOKUP($C$116,'DB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L117" s="423" t="str">
        <f>IF('Calc (ex-animal)'!$F$8=1,"",IF(D117="","",(((VLOOKUP($C$116,'Calc (ex-animal)'!$D$23:$Y$27,6,FALSE)-VLOOKUP($C$116,'Calc (ex-animal)'!$D$23:$Y$27,17,FALSE))*F117/100))*(1-VLOOKUP($C$116,'Calc (ex-animal)'!$D$23:$Y$27,7,FALSE)/100)*(1-VLOOKUP(D117,'DB technologies'!$N$53:$V$64,8,FALSE)/100)))</f>
        <v/>
      </c>
      <c r="M117" s="434" t="str">
        <f>IF(D117="","",((VLOOKUP(D117,'DB technologies'!$N$53:$Y$64,2,FALSE)*VLOOKUP($C$116,'DB animal categories'!$C$42:$AC$51,27,FALSE)*E117/1000)/VLOOKUP($C$116,'DB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'!$S$6/100)*(1-VLOOKUP(D117,'DB technologies'!$N$53:$Y$64,9,FALSE)/100))</f>
        <v/>
      </c>
      <c r="N117" s="434" t="str">
        <f>IF(D117="","",((VLOOKUP(D117,'DB technologies'!$N$53:$Y$64,3,FALSE)*VLOOKUP($C$116,'DB animal categories'!$C$42:$AC$51,27,FALSE)*E117/1000)/VLOOKUP($C$116,'DB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'!$S$7/100)*(1-VLOOKUP(D117,'DB technologies'!$N$53:$Y$64,9,FALSE)/100))</f>
        <v/>
      </c>
      <c r="O117" s="423" t="str">
        <f>IF(D117="","",((VLOOKUP(D117,'DB technologies'!$N$53:$Y$64,4,FALSE)*E117*(1-'DB additional information '!$S$8/100)*(1-VLOOKUP(D117,'DB technologies'!$N$53:$Y$64,8,FALSE)/100))/VLOOKUP($C$116,'DB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P117" s="438" t="str">
        <f>IF(G117=0,0,IF(E117="","",IF(F117="","",IF($C$116=0,"",IF(D117="","",SUM(H117:K117)/G117*100)))))</f>
        <v/>
      </c>
      <c r="Q117" s="416" t="str">
        <f>IF(D117="","",(VLOOKUP(D117,'DB technologies'!$N$53:$Y$64,2,FALSE)*'DB additional information '!$S$6/100*'DB additional information '!$T$6*VLOOKUP($C$116,'DB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R117" s="416" t="str">
        <f>IF(D117="","",(VLOOKUP(D117,'DB technologies'!$N$53:$Y$64,3,FALSE)*'DB additional information '!$S$7/100*'DB additional information '!$T$7*VLOOKUP($C$116,'DB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S117" s="491" t="str">
        <f>IF(D117="","",(VLOOKUP(D117,'DB technologies'!$N$53:$Y$64,4,FALSE)*('DB additional information '!$S$8/100*'DB additional information '!$T$8*E117/1000/1000)))</f>
        <v/>
      </c>
      <c r="T117" s="264" t="str">
        <f>IF($C$116=0,"",IF('Calc (ex-animal)'!$F$9=1,"",IF(D117="","",((VLOOKUP($C$116,'Calc (ex-animal)'!$D$23:$Y$27,10,FALSE)-VLOOKUP($C$116,'Calc (ex-animal)'!$D$23:$Y$27,18,FALSE))*F117/100+Q117+R117+S117)-AC117-AD117-AE117)))</f>
        <v/>
      </c>
      <c r="U117" s="422" t="str">
        <f>IF(D117="","",(VLOOKUP(D117,'DB technologies'!$N$53:$Y$64,2,FALSE)*'DB additional information '!$S$6/100*'DB additional information '!$U$6*VLOOKUP($C$116,'DB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V117" s="418" t="str">
        <f>IF(D117="","",(VLOOKUP(D117,'DB technologies'!$N$53:$Y$64,3,FALSE)*'DB additional information '!$S$7/100*'DB additional information '!$U$7*VLOOKUP($C$116,'DB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W117" s="417" t="str">
        <f>IF(D117="","",(VLOOKUP(D117,'DB technologies'!$N$53:$Y$64,4,FALSE)*('DB additional information '!$S$8/100*'DB additional information '!$U$8*E117/1000/1000)))</f>
        <v/>
      </c>
      <c r="X117" s="261" t="str">
        <f>IF($C$116=0,"",IF('Calc (ex-animal)'!$F$9=1,"",IF(D117="","",((VLOOKUP($C$116,'Calc (ex-animal)'!$D$23:$Y$27,13,FALSE)-VLOOKUP($C$116,'Calc (ex-animal)'!$D$23:$Y$27,19,FALSE))*F117/100+U117+V117+W117))))</f>
        <v/>
      </c>
      <c r="Y117" s="418" t="str">
        <f>IF(D117="","",(VLOOKUP(D117,'DB technologies'!$N$53:$Y$64,2,FALSE)*'DB additional information '!$S$6/100*'DB additional information '!$V$6*VLOOKUP($C$116,'DB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Z117" s="418" t="str">
        <f>IF(D117="","",(VLOOKUP(D117,'DB technologies'!$N$53:$Y$64,3,FALSE)*'DB additional information '!$S$7/100*'DB additional information '!$V$7*VLOOKUP($C$116,'DB animal categories'!$C$42:$AC$51,27,FALSE)*E117/1000/1000)/VLOOKUP($C$116,'DB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AA117" s="418" t="str">
        <f>IF(D117="","",(VLOOKUP(D117,'DB technologies'!$N$53:$Y$64,4,FALSE)*('DB additional information '!$S$8/100*'DB additional information '!$V$8*E117/1000/1000)))</f>
        <v/>
      </c>
      <c r="AB117" s="261" t="str">
        <f>IF($C$116=0,"",IF('Calc (ex-animal)'!$F$8=1,"",IF(D117="","",((VLOOKUP($C$116,'Calc (ex-animal)'!$D$23:$Y$27,16,FALSE)-VLOOKUP($C$116,'Calc (ex-animal)'!$D$23:$Y$27,20,FALSE))*F117/100+Y117+Z117+AA117))))</f>
        <v/>
      </c>
      <c r="AC117" s="261" t="str">
        <f>IF($C$116=0,"",IF('Calc (ex-animal)'!$F$8=1,"",IF(D117="","",VLOOKUP($C$116,'Calc (ex-animal)'!$D$23:$Y$27,9,FALSE)/VLOOKUP($C$116,'DB animal categories'!$C$42:$AC$51,27,FALSE)*(VLOOKUP($C$116,'DB animal categories'!$C$42:$AC$51,27,FALSE)-VLOOKUP($C$116,'DB animal categories'!$C$42:$AC$51,25,FALSE)*VLOOKUP($C$116,'DB animal categories'!$C$42:$AC$51,26,FALSE)/24)*F117/100*VLOOKUP(D117,'DB technologies'!$N$53:$R$64,5,FALSE)/100)))</f>
        <v/>
      </c>
      <c r="AD117" s="261" t="str">
        <f>IF($C$116=0,"",IF('Calc (ex-animal)'!$F$8=1,"",IF(D117="","",VLOOKUP($C$116,'Calc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categories'!$C$42:$AC$51,26,FALSE)/24)*F117/100*VLOOKUP(D117,'DB technologies'!$N$53:$Y$64,6,FALSE)/100)))</f>
        <v/>
      </c>
      <c r="AE117" s="262" t="str">
        <f>IF($C$116=0,"",IF('Calc (ex-animal)'!$F$8=1,"",IF(D117="","",VLOOKUP($C$116,'Calc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categories'!$C$42:$AC$51,26,FALSE)/24)*F117/100*VLOOKUP(D117,'DB technologies'!$N$53:$Y$64,7,FALSE)/100)))</f>
        <v/>
      </c>
      <c r="AG117" s="698"/>
      <c r="AH117" s="695"/>
      <c r="AI117" s="181" t="str">
        <f>IF(D117="","",VLOOKUP(D117,'DB technologies'!$N$53:$Y$64,10,FALSE))</f>
        <v/>
      </c>
      <c r="AJ117" s="449" t="e">
        <f>VLOOKUP($C$116,'DB animal categories'!$C$42:$AN$51,27,FALSE)-VLOOKUP($C$116,'DB animal categories'!$C$42:$AN$51,26,FALSE)*VLOOKUP($C$116,'DB animal categories'!$C$42:$AN$51,25,FALSE)/24</f>
        <v>#N/A</v>
      </c>
      <c r="AK117" s="442" t="str">
        <f>IF(AI117="","",AL117+AM117)</f>
        <v/>
      </c>
      <c r="AL117" s="442" t="str">
        <f>IF(D117="","",IF(AI117=2,(('Calc (ex-animal)'!$G$26*'DB additional information '!$K$8/100*(1-VLOOKUP(D117,'DB technologies'!$N$53:$Y$64,9,FALSE)/100)*'Calc (ex-housing, ex-storage)'!F117/100+'Calc (ex-animal)'!$H$26*'DB additional information '!$L$8/100*(1-VLOOKUP(D117,'DB technologies'!$N$53:$Y$64,9,FALSE)/100)*'Calc (ex-housing, ex-storage)'!F117/100))/VLOOKUP($C$116,'DB animal categories'!$C$42:$AC$51,27,FALSE)*AJ117+I117+J117+K117,IF(AI117=1,('Calc (ex-animal)'!$H$26*'DB additional information '!$L$8/100*(1-VLOOKUP(D117,'DB technologies'!$N$53:$Y$64,9,FALSE)/100)*'Calc (ex-housing, ex-storage)'!F117/100)/VLOOKUP($C$116,'DB animal categories'!$C$42:$AC$51,27,FALSE)*AJ117,IF(AI117=4,('Calc (ex-animal)'!$G$26*'DB additional information '!$K$8/100+'Calc (ex-animal)'!$H$26*'DB additional information '!$L$8/100)*(1-VLOOKUP(D117,'DB technologies'!$N$53:$Y$64,9,FALSE)/100)*'Calc (ex-housing, ex-storage)'!F117/100*VLOOKUP(D117,'DB technologies'!$N$53:$Y$64,11,FALSE)/100/VLOOKUP($C$116,'DB animal categories'!$C$42:$AC$51,27,FALSE)*AJ117,0))))</f>
        <v/>
      </c>
      <c r="AM117" s="442" t="str">
        <f>IF(D117="","",IF(AI117=2,(('Calc (ex-animal)'!$G$26*(1-'DB additional information '!$K$8/100)*(1-VLOOKUP(D117,'DB technologies'!$N$53:$Y$64,8,FALSE)/100)*'Calc (ex-housing, ex-storage)'!F117/100+'Calc (ex-animal)'!$H$26*(1-'DB additional information '!$L$8/100)*(1-VLOOKUP(D117,'DB technologies'!$N$53:$Y$64,8,FALSE)/100)*'Calc (ex-housing, ex-storage)'!F117/100))/VLOOKUP($C$116,'DB animal categories'!$C$42:$AC$51,27,FALSE)*AJ117+M117+N117+O117,IF(AI117=1,('Calc (ex-animal)'!$H$26*(1-'DB additional information '!$L$8/100)*(1-VLOOKUP(D117,'DB technologies'!$N$53:$Y$64,8,FALSE)/100)*'Calc (ex-housing, ex-storage)'!F117/100)/VLOOKUP($C$116,'DB animal categories'!$C$42:$AC$51,27,FALSE)*AJ117,IF(AI117=4,('Calc (ex-animal)'!$G$26*(1-'DB additional information '!$K$8/100)+'Calc (ex-animal)'!$H$26*(1-'DB additional information '!$L$8/100))*(1-VLOOKUP(D117,'DB technologies'!$N$53:$Y$64,8,FALSE)/100)*'Calc (ex-housing, ex-storage)'!F117/100*VLOOKUP(D117,'DB technologies'!$N$53:$Y$64,11,FALSE)/100/VLOOKUP($C$116,'DB animal categories'!$C$42:$AC$51,27,FALSE)*AJ117,0))))</f>
        <v/>
      </c>
      <c r="AN117" s="442" t="str">
        <f>IF(AI117="","",IF(AL117=0,0,AL117/AK117*100))</f>
        <v/>
      </c>
      <c r="AO117" s="182" t="str">
        <f>IF(D117="","",IF(AI117=2,(('Calc (ex-animal)'!$L$26*'Calc (ex-housing, ex-storage)'!F117/100+'Calc (ex-animal)'!$K$26*'Calc (ex-housing, ex-storage)'!F117/100))/VLOOKUP($C$116,'DB animal categories'!$C$42:$AC$51,27,FALSE)*AJ117+Q117+R117+S117-AC117,IF(AI117=1,('Calc (ex-animal)'!$L$26*'Calc (ex-housing, ex-storage)'!F117/100)/VLOOKUP($C$116,'DB animal categories'!$C$42:$AC$51,27,FALSE)*AJ117-'Calc (ex-housing, ex-storage)'!AC117,IF(AI117=4,('Calc (ex-animal)'!$L$26+'Calc (ex-animal)'!$K$26)*'Calc (ex-housing, ex-storage)'!F117/100*VLOOKUP(D117,'DB technologies'!$N$53:$Y$64,11,FALSE)/100/VLOOKUP($C$116,'DB animal categories'!$C$42:$AC$51,27,FALSE)*AJ117-AC117*VLOOKUP(D117,'DB technologies'!$N$53:$Y$64,11,FALSE)/100,0))))</f>
        <v/>
      </c>
      <c r="AP117" s="182" t="str">
        <f>IF(D117="","",IF(AO117&lt;-0.01,0,IF(AI117=2,(('Calc (ex-animal)'!$L$26*'Calc (ex-housing, ex-storage)'!F117/100+'Calc (ex-animal)'!$K$26*'Calc (ex-housing, ex-storage)'!F117/100))/VLOOKUP($C$116,'DB animal categories'!$C$42:$AC$51,27,FALSE)*AJ117+Q117+R117+S117-AC117,IF(AI117=1,('Calc (ex-animal)'!$L$26*'Calc (ex-housing, ex-storage)'!F117/100)/VLOOKUP($C$116,'DB animal categories'!$C$42:$AC$51,27,FALSE)*AJ117-'Calc (ex-housing, ex-storage)'!AC117,IF(AI117=4,('Calc (ex-animal)'!$L$26+'Calc (ex-animal)'!$K$26)*'Calc (ex-housing, ex-storage)'!F117/100*VLOOKUP(D117,'DB technologies'!$N$53:$Y$64,11,FALSE)/100/VLOOKUP($C$116,'DB animal categories'!$C$42:$AC$51,27,FALSE)*AJ117-AC117*VLOOKUP(D117,'DB technologies'!$N$53:$Y$64,11,FALSE)/100,0)))))</f>
        <v/>
      </c>
      <c r="AQ117" s="182" t="str">
        <f>IF(D117="","",IF(AI117=2,('Calc (ex-animal)'!$O$26*'Calc (ex-housing, ex-storage)'!F117/100+'Calc (ex-animal)'!$N$26*'Calc (ex-housing, ex-storage)'!F117/100)/VLOOKUP($C$116,'DB animal categories'!$C$42:$AC$51,27,FALSE)*AJ117+U117+V117+W117,IF(AI117=1,'Calc (ex-animal)'!$O$26*'Calc (ex-housing, ex-storage)'!F117/100/VLOOKUP($C$116,'DB animal categories'!$C$42:$AC$51,27,FALSE)*AJ117,IF(AI117=4,('Calc (ex-animal)'!$O$26+'Calc (ex-animal)'!$N$26)*'Calc (ex-housing, ex-storage)'!F117/100*VLOOKUP(D117,'DB technologies'!$N$53:$Y$64,11,FALSE)/100/VLOOKUP($C$116,'DB animal categories'!$C$42:$AC$51,27,FALSE)*AJ117,0))))</f>
        <v/>
      </c>
      <c r="AR117" s="182" t="str">
        <f>IF(D117="","",IF(AI117=2,('Calc (ex-animal)'!$R$26*'Calc (ex-housing, ex-storage)'!F117/100+'Calc (ex-animal)'!$Q$26*'Calc (ex-housing, ex-storage)'!F117/100)/VLOOKUP($C$116,'DB animal categories'!$C$42:$AC$51,27,FALSE)*AJ117+Y117+Z117+AA117,IF(AI117=1,'Calc (ex-animal)'!$R$26*'Calc (ex-housing, ex-storage)'!F117/100/VLOOKUP($C$116,'DB animal categories'!$C$42:$AC$51,27,FALSE)*AJ117,IF(AI117=4,('Calc (ex-animal)'!$R$26+'Calc (ex-animal)'!$Q$26)*'Calc (ex-housing, ex-storage)'!F117/100*VLOOKUP(D117,'DB technologies'!$N$53:$Y$64,11,FALSE)/100/VLOOKUP($C$116,'DB animal categories'!$C$42:$AC$51,27,FALSE)*AJ117,0))))</f>
        <v/>
      </c>
      <c r="AS117" s="181" t="str">
        <f>IF(D117="","",VLOOKUP(D117,'DB technologies'!$N$53:$Y$64,10,FALSE))</f>
        <v/>
      </c>
      <c r="AT117" s="442" t="str">
        <f>IF(AS117="","",AU117+AV117)</f>
        <v/>
      </c>
      <c r="AU117" s="442" t="str">
        <f>IF(D117="","",IF(AS117=2,0,IF(AS117=1,'Calc (ex-animal)'!$G$26*'DB additional information '!$K$8/100*(1-VLOOKUP(D117,'DB technologies'!$N$53:$Y$64,8,FALSE)/100)*'Calc (ex-housing, ex-storage)'!F117/100/VLOOKUP($C$116,'DB animal categories'!$C$42:$AC$51,27,FALSE)*AJ117+I117+J117+K117,IF(AS117=5,(('Calc (ex-animal)'!$G$26*'DB additional information '!$K$8/100+'Calc (ex-animal)'!$H$26*'DB additional information '!$L$8/100))*(1-VLOOKUP(D117,'DB technologies'!$N$53:$Y$64,9,FALSE)/100)*'Calc (ex-housing, ex-storage)'!F117/100/VLOOKUP($C$116,'DB animal categories'!$C$42:$AC$51,27,FALSE)*AJ117+I117+J117+K117,IF(AS117=3,('Calc (ex-animal)'!$G$26*'DB additional information '!$K$8/100+'Calc (ex-animal)'!$H$26*'DB additional information '!$L$8/100)*(1-VLOOKUP(D117,'DB technologies'!$N$53:$Y$64,9,FALSE)/100)*'Calc (ex-housing, ex-storage)'!F117/100/VLOOKUP($C$116,'DB animal categories'!$C$42:$AC$51,27,FALSE)*AJ117+I117+J117+K117,IF(AS117=4,('Calc (ex-animal)'!$G$26*'DB additional information '!$K$8/100+'Calc (ex-animal)'!$H$26*'DB additional information '!$L$8/100)*(1-VLOOKUP(D117,'DB technologies'!$N$53:$Y$64,9,FALSE)/100)*'Calc (ex-housing, ex-storage)'!F117/100*VLOOKUP(D117,'DB technologies'!$N$53:$Y$64,12,FALSE)/100/VLOOKUP($C$116,'DB animal categories'!$C$42:$AC$51,27,FALSE)*AJ117+I117+J117+K117,0))))))</f>
        <v/>
      </c>
      <c r="AV117" s="442" t="str">
        <f>IF(D117="","",IF(AS117=2,0,IF(AS117=1,'Calc (ex-animal)'!$G$26*(1-'DB additional information '!$K$8/100)*(1-VLOOKUP(D117,'DB technologies'!$N$53:$Y$64,8,FALSE)/100)*'Calc (ex-housing, ex-storage)'!F117/100/VLOOKUP($C$116,'DB animal categories'!$C$42:$AC$51,27,FALSE)*AJ117+M117+N117+O117,IF(AS117=5,('Calc (ex-animal)'!$G$26*(1-'DB additional information '!$K$8/100)+'Calc (ex-animal)'!$H$26*(1-'DB additional information '!$L$8/100))*(1-VLOOKUP(D117,'DB technologies'!$N$53:$Y$64,8,FALSE)/100)*'Calc (ex-housing, ex-storage)'!F117/100/VLOOKUP($C$116,'DB animal categories'!$C$42:$AC$51,27,FALSE)*AJ117+M117+N117+O117,IF(AS117=3,('Calc (ex-animal)'!$G$26*(1-'DB additional information '!$K$8/100)+'Calc (ex-animal)'!$H$26*(1-'DB additional information '!$L$8/100))*(1-VLOOKUP(D117,'DB technologies'!$N$53:$Y$64,8,FALSE)/100)*'Calc (ex-housing, ex-storage)'!F117/100/VLOOKUP($C$116,'DB animal categories'!$C$42:$AC$51,27,FALSE)*AJ117+M117+N117+O117,IF(AS117=4,('Calc (ex-animal)'!$G$26*(1-'DB additional information '!$K$8/100)+'Calc (ex-animal)'!$H$26*(1-'DB additional information '!$L$8/100))*(1-VLOOKUP(D117,'DB technologies'!$N$53:$Y$64,8,FALSE)/100)*'Calc (ex-housing, ex-storage)'!F117/100*VLOOKUP(D117,'DB technologies'!$N$53:$Y$64,12,FALSE)/100/VLOOKUP($C$116,'DB animal categories'!$C$42:$AC$51,27,FALSE)*AJ117+M117+N117+O117,0))))))</f>
        <v/>
      </c>
      <c r="AW117" s="442" t="str">
        <f>IF(AS117="","",IF(AU117=0,0,AU117/AT117*100))</f>
        <v/>
      </c>
      <c r="AX117" s="182" t="str">
        <f>IF(D117="","",IF(AS117=2,0,IF(AS117=1,'Calc (ex-animal)'!$K$26*'Calc (ex-housing, ex-storage)'!F117/100/VLOOKUP($C$116,'DB animal categories'!$C$42:$AC$51,27,FALSE)*AJ117+Q117+R117+S117,IF(AS117=5,('Calc (ex-animal)'!$K$26+'Calc (ex-animal)'!$L$26)*'Calc (ex-housing, ex-storage)'!F117/100/VLOOKUP($C$116,'DB animal categories'!$C$42:$AC$51,27,FALSE)*AJ117+Q117+R117+S117-'Calc (ex-housing, ex-storage)'!AC117,IF(AS117=3,('Calc (ex-animal)'!$K$26+'Calc (ex-animal)'!$L$26)*'Calc (ex-housing, ex-storage)'!F117/100/VLOOKUP($C$116,'DB animal categories'!$C$42:$AC$51,27,FALSE)*AJ117+Q117+R117+S117-'Calc (ex-housing, ex-storage)'!AC117-AD117-AE117,IF(AI117=4,('Calc (ex-animal)'!$K$26+'Calc (ex-animal)'!$L$26)*'Calc (ex-housing, ex-storage)'!F117/100*VLOOKUP(D117,'DB technologies'!$N$53:$Y$64,12,FALSE)/100/VLOOKUP($C$116,'DB animal categories'!$C$42:$AC$51,27,FALSE)*AJ117+Q117+R117+S117-(VLOOKUP(D117,'DB technologies'!$N$53:$Y$64,12,FALSE)/100*AC117)-AD117-AE117,0))))))</f>
        <v/>
      </c>
      <c r="AY117" s="182" t="str">
        <f>IF(D117="","",IF(AS117=2,0,IF(AS117=1,'Calc (ex-animal)'!$N$26*'Calc (ex-housing, ex-storage)'!F117/100/VLOOKUP($C$116,'DB animal categories'!$C$42:$AC$51,27,FALSE)*AJ117+U117+V117+W117,IF(AS117=5,('Calc (ex-animal)'!$N$26+'Calc (ex-animal)'!$O$26)*'Calc (ex-housing, ex-storage)'!F117/100/VLOOKUP($C$116,'DB animal categories'!$C$42:$AC$51,27,FALSE)*AJ117+U117+V117+W117,IF(AS117=3,('Calc (ex-animal)'!$N$26+'Calc (ex-animal)'!$O$26)*'Calc (ex-housing, ex-storage)'!F117/100/VLOOKUP($C$116,'DB animal categories'!$C$42:$AC$51,27,FALSE)*AJ117+U117+V117+W117,IF(AS117=4,('Calc (ex-animal)'!$N$26+'Calc (ex-animal)'!$O$26)*'Calc (ex-housing, ex-storage)'!F117/100*VLOOKUP(D117,'DB technologies'!$N$53:$Y$64,12,FALSE)/100/VLOOKUP($C$116,'DB animal categories'!$C$42:$AC$51,27,FALSE)*AJ117+U117+V117+W117,0))))))</f>
        <v/>
      </c>
      <c r="AZ117" s="182" t="str">
        <f>IF(D117="","",IF(AS117=2,0,IF(AS117=1,'Calc (ex-animal)'!$Q$26*'Calc (ex-housing, ex-storage)'!F117/100/VLOOKUP($C$116,'DB animal categories'!$C$42:$AC$51,27,FALSE)*AJ117+Y117+Z117+AA117,IF(AS117=5,('Calc (ex-animal)'!$Q$26+'Calc (ex-animal)'!$R$26)*'Calc (ex-housing, ex-storage)'!F117/100/VLOOKUP($C$116,'DB animal categories'!$C$42:$AC$51,27,FALSE)*AJ117+Y117+Z117+AA117,IF(AS117=3,('Calc (ex-animal)'!$Q$26+'Calc (ex-animal)'!$R$26)*'Calc (ex-housing, ex-storage)'!F117/100/VLOOKUP($C$116,'DB animal categories'!$C$42:$AC$51,27,FALSE)*AJ117+Y117+Z117+AA117,IF(AS117=4,('Calc (ex-animal)'!$Q$26+'Calc (ex-animal)'!$R$26)*'Calc (ex-housing, ex-storage)'!F117/100*VLOOKUP(D117,'DB technologies'!$N$53:$Y$64,12,FALSE)/100/VLOOKUP($C$116,'DB animal categories'!$C$42:$AC$51,27,FALSE)*AJ117+Y117+Z117+AA117,0))))))</f>
        <v/>
      </c>
      <c r="BA117" s="506"/>
      <c r="BB117" s="506"/>
      <c r="BC117" s="506"/>
      <c r="BG117" s="1357"/>
      <c r="BH117" s="1361"/>
      <c r="BI117" s="598" t="str">
        <f>IF(BG117="","",$BA$115*BH117/100-($BB$115*BH117/100*VLOOKUP(BG117,'DB technologies'!$AC$69:$AT$73,5,FALSE)/100)+(VLOOKUP(BG117,'DB technologies'!$AC$69:$AT$73,12,FALSE)*$BA$115*BH117/100))</f>
        <v/>
      </c>
      <c r="BJ117" s="551">
        <f>IF(BI117="",0,BI117*BK117/100)</f>
        <v>0</v>
      </c>
      <c r="BK117" s="571" t="str">
        <f>IF(BG117="","",IF($BA$115=0,0,($BB$115*BH117/100)/BI117*(1-(VLOOKUP(BG117,'DB technologies'!$AC$69:$AQ$73,5,FALSE))/100)*100))</f>
        <v/>
      </c>
      <c r="BL117" s="261" t="str">
        <f>IF(BG117="","",$BD$115*(1-VLOOKUP(BG117,'DB technologies'!$AC$69:$AS$73,12,FALSE)/100)*BH117/100-BO117-BP117-BQ117-BR117)</f>
        <v/>
      </c>
      <c r="BM117" s="261" t="str">
        <f>IF(BG117="","",$BE$115*(1-VLOOKUP(BG117,'DB technologies'!$AC$69:$AS$73,12,FALSE)/100)*BH117/100-BS117)</f>
        <v/>
      </c>
      <c r="BN117" s="261" t="str">
        <f>IF(BG117="","",$BF$115*(1-VLOOKUP(BG117,'DB technologies'!$AC$69:$AS$73,12,FALSE)/100)*BH117/100-BT117)</f>
        <v/>
      </c>
      <c r="BO117" s="261" t="str">
        <f>IF(BG117="","",$BD$115*BH117/100*VLOOKUP(BG117,'DB technologies'!$AC$69:$AF$73,2,FALSE)/100)</f>
        <v/>
      </c>
      <c r="BP117" s="261" t="str">
        <f>IF(BG117="","",$BD$115*BH117/100*VLOOKUP(BG117,'DB technologies'!$AC$69:$AN$73,3,FALSE)/100)</f>
        <v/>
      </c>
      <c r="BQ117" s="262" t="str">
        <f>IF(BG117="","",$BD$115*BH117/100*VLOOKUP(BG117,'DB technologies'!$AC$69:$AN$73,4,FALSE)/100)</f>
        <v/>
      </c>
      <c r="BR117" s="264" t="str">
        <f>IF(BG117="","",VLOOKUP(BG117,'DB technologies'!$AC$69:$AQ$73,13,FALSE)/100*$BD$115*BH117/100)</f>
        <v/>
      </c>
      <c r="BS117" s="261" t="str">
        <f>IF(BG117="","",VLOOKUP(BG117,'DB technologies'!$AC$69:$AQ$73,14,FALSE)/100*$BE$115*BH117/100)</f>
        <v/>
      </c>
      <c r="BT117" s="262" t="str">
        <f>IF(BG117="","",VLOOKUP(BG117,'DB technologies'!$AC$69:$AQ$73,15,FALSE)/100*$BF$115*BH117/100)</f>
        <v/>
      </c>
    </row>
    <row r="118" spans="1:72" ht="11.25" customHeight="1" x14ac:dyDescent="0.2">
      <c r="A118" s="684"/>
      <c r="B118" s="695"/>
      <c r="C118" s="251"/>
      <c r="D118" s="1357"/>
      <c r="E118" s="1358"/>
      <c r="F118" s="480" t="str">
        <f>IF('Calc (ex-animal)'!$F$9=1,"",IF($C$116=0,"",IF(D118="","",E118/'Calc (ex-animal)'!$E$26*100)))</f>
        <v/>
      </c>
      <c r="G118" s="485" t="str">
        <f>IF($C$116=0,"",IF('Calc (ex-animal)'!$F$8=1,"",IF(D118="","",SUM(H118:O118))))</f>
        <v/>
      </c>
      <c r="H118" s="423" t="str">
        <f>IF('Calc (ex-animal)'!$F$8=1,"",IF(D118="","",(((VLOOKUP($C$116,'Calc (ex-animal)'!$D$23:$Y$27,6,FALSE)-VLOOKUP($C$116,'Calc (ex-animal)'!$D$23:$Y$27,17,FALSE))*F118/100))*VLOOKUP($C$116,'Calc (ex-animal)'!$D$23:$Y$27,7,FALSE)/100*(1-VLOOKUP(D118,'DB technologies'!$N$53:$Y$64,9,FALSE)/100)))</f>
        <v/>
      </c>
      <c r="I118" s="423" t="str">
        <f>IF(D118="","",((VLOOKUP(D118,'DB technologies'!$N$53:$Y$64,2,FALSE)*VLOOKUP($C$116,'DB animal categories'!$C$42:$AC$51,27,FALSE)*E118/1000)/VLOOKUP($C$116,'DB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'!$S$6/100*(1-VLOOKUP(D118,'DB technologies'!$N$53:$Y$64,9,FALSE)/100)))</f>
        <v/>
      </c>
      <c r="J118" s="434" t="str">
        <f>IF(D118="","",((VLOOKUP(D118,'DB technologies'!$N$53:$Y$64,3,FALSE)*VLOOKUP($C$116,'DB animal categories'!$C$42:$AC$51,27,FALSE)*E118/1000)/VLOOKUP($C$116,'DB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'!$S$7/100*(1-VLOOKUP(D118,'DB technologies'!$N$53:$Y$64,9,FALSE)/100)))</f>
        <v/>
      </c>
      <c r="K118" s="434" t="str">
        <f>IF(D118="","",((VLOOKUP(D118,'DB technologies'!$N$53:$Y$64,4,FALSE)*E118*'DB additional information '!$S$8/100*(1-VLOOKUP(D118,'DB technologies'!$N$53:$Y$64,9,FALSE)/100))/VLOOKUP($C$116,'DB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L118" s="423" t="str">
        <f>IF('Calc (ex-animal)'!$F$8=1,"",IF(D118="","",(((VLOOKUP($C$116,'Calc (ex-animal)'!$D$23:$Y$27,6,FALSE)-VLOOKUP($C$116,'Calc (ex-animal)'!$D$23:$Y$27,17,FALSE))*F118/100))*(1-VLOOKUP($C$116,'Calc (ex-animal)'!$D$23:$Y$27,7,FALSE)/100)*(1-VLOOKUP(D118,'DB technologies'!$N$53:$V$64,8,FALSE)/100)))</f>
        <v/>
      </c>
      <c r="M118" s="434" t="str">
        <f>IF(D118="","",((VLOOKUP(D118,'DB technologies'!$N$53:$Y$64,2,FALSE)*VLOOKUP($C$116,'DB animal categories'!$C$42:$AC$51,27,FALSE)*E118/1000)/VLOOKUP($C$116,'DB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'!$S$6/100)*(1-VLOOKUP(D118,'DB technologies'!$N$53:$Y$64,9,FALSE)/100))</f>
        <v/>
      </c>
      <c r="N118" s="434" t="str">
        <f>IF(D118="","",((VLOOKUP(D118,'DB technologies'!$N$53:$Y$64,3,FALSE)*VLOOKUP($C$116,'DB animal categories'!$C$42:$AC$51,27,FALSE)*E118/1000)/VLOOKUP($C$116,'DB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'!$S$7/100)*(1-VLOOKUP(D118,'DB technologies'!$N$53:$Y$64,9,FALSE)/100))</f>
        <v/>
      </c>
      <c r="O118" s="423" t="str">
        <f>IF(D118="","",((VLOOKUP(D118,'DB technologies'!$N$53:$Y$64,4,FALSE)*E118*(1-'DB additional information '!$S$8/100)*(1-VLOOKUP(D118,'DB technologies'!$N$53:$Y$64,8,FALSE)/100))/VLOOKUP($C$116,'DB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P118" s="438" t="str">
        <f>IF(G118=0,0,IF(E118="","",IF(F118="","",IF($C$116=0,"",IF(D118="","",SUM(H118:K118)/G118*100)))))</f>
        <v/>
      </c>
      <c r="Q118" s="416" t="str">
        <f>IF(D118="","",(VLOOKUP(D118,'DB technologies'!$N$53:$Y$64,2,FALSE)*'DB additional information '!$S$6/100*'DB additional information '!$T$6*VLOOKUP($C$116,'DB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R118" s="416" t="str">
        <f>IF(D118="","",(VLOOKUP(D118,'DB technologies'!$N$53:$Y$64,3,FALSE)*'DB additional information '!$S$7/100*'DB additional information '!$T$7*VLOOKUP($C$116,'DB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S118" s="491" t="str">
        <f>IF(D118="","",(VLOOKUP(D118,'DB technologies'!$N$53:$Y$64,4,FALSE)*('DB additional information '!$S$8/100*'DB additional information '!$T$8*E118/1000/1000)))</f>
        <v/>
      </c>
      <c r="T118" s="264" t="str">
        <f>IF($C$116=0,"",IF('Calc (ex-animal)'!$F$9=1,"",IF(D118="","",((VLOOKUP($C$116,'Calc (ex-animal)'!$D$23:$Y$27,10,FALSE)-VLOOKUP($C$116,'Calc (ex-animal)'!$D$23:$Y$27,18,FALSE))*F118/100+Q118+R118+S118)-AC118-AD118-AE118)))</f>
        <v/>
      </c>
      <c r="U118" s="422" t="str">
        <f>IF(D118="","",(VLOOKUP(D118,'DB technologies'!$N$53:$Y$64,2,FALSE)*'DB additional information '!$S$6/100*'DB additional information '!$U$6*VLOOKUP($C$116,'DB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V118" s="418" t="str">
        <f>IF(D118="","",(VLOOKUP(D118,'DB technologies'!$N$53:$Y$64,3,FALSE)*'DB additional information '!$S$7/100*'DB additional information '!$U$7*VLOOKUP($C$116,'DB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W118" s="417" t="str">
        <f>IF(D118="","",(VLOOKUP(D118,'DB technologies'!$N$53:$Y$64,4,FALSE)*('DB additional information '!$S$8/100*'DB additional information '!$U$8*E118/1000/1000)))</f>
        <v/>
      </c>
      <c r="X118" s="261" t="str">
        <f>IF($C$116=0,"",IF('Calc (ex-animal)'!$F$9=1,"",IF(D118="","",((VLOOKUP($C$116,'Calc (ex-animal)'!$D$23:$Y$27,13,FALSE)-VLOOKUP($C$116,'Calc (ex-animal)'!$D$23:$Y$27,19,FALSE))*F118/100+U118+V118+W118))))</f>
        <v/>
      </c>
      <c r="Y118" s="418" t="str">
        <f>IF(D118="","",(VLOOKUP(D118,'DB technologies'!$N$53:$Y$64,2,FALSE)*'DB additional information '!$S$6/100*'DB additional information '!$V$6*VLOOKUP($C$116,'DB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Z118" s="418" t="str">
        <f>IF(D118="","",(VLOOKUP(D118,'DB technologies'!$N$53:$Y$64,3,FALSE)*'DB additional information '!$S$7/100*'DB additional information '!$V$7*VLOOKUP($C$116,'DB animal categories'!$C$42:$AC$51,27,FALSE)*E118/1000/1000)/VLOOKUP($C$116,'DB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AA118" s="418" t="str">
        <f>IF(D118="","",(VLOOKUP(D118,'DB technologies'!$N$53:$Y$64,4,FALSE)*('DB additional information '!$S$8/100*'DB additional information '!$V$8*E118/1000/1000)))</f>
        <v/>
      </c>
      <c r="AB118" s="261" t="str">
        <f>IF($C$116=0,"",IF('Calc (ex-animal)'!$F$8=1,"",IF(D118="","",((VLOOKUP($C$116,'Calc (ex-animal)'!$D$23:$Y$27,16,FALSE)-VLOOKUP($C$116,'Calc (ex-animal)'!$D$23:$Y$27,20,FALSE))*F118/100+Y118+Z118+AA118))))</f>
        <v/>
      </c>
      <c r="AC118" s="261" t="str">
        <f>IF($C$116=0,"",IF('Calc (ex-animal)'!$F$8=1,"",IF(D118="","",VLOOKUP($C$116,'Calc (ex-animal)'!$D$23:$Y$27,9,FALSE)/VLOOKUP($C$116,'DB animal categories'!$C$42:$AC$51,27,FALSE)*(VLOOKUP($C$116,'DB animal categories'!$C$42:$AC$51,27,FALSE)-VLOOKUP($C$116,'DB animal categories'!$C$42:$AC$51,25,FALSE)*VLOOKUP($C$116,'DB animal categories'!$C$42:$AC$51,26,FALSE)/24)*F118/100*VLOOKUP(D118,'DB technologies'!$N$53:$R$64,5,FALSE)/100)))</f>
        <v/>
      </c>
      <c r="AD118" s="261" t="str">
        <f>IF($C$116=0,"",IF('Calc (ex-animal)'!$F$8=1,"",IF(D118="","",VLOOKUP($C$116,'Calc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categories'!$C$42:$AC$51,26,FALSE)/24)*F118/100*VLOOKUP(D118,'DB technologies'!$N$53:$Y$64,6,FALSE)/100)))</f>
        <v/>
      </c>
      <c r="AE118" s="262" t="str">
        <f>IF($C$116=0,"",IF('Calc (ex-animal)'!$F$8=1,"",IF(D118="","",VLOOKUP($C$116,'Calc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categories'!$C$42:$AC$51,26,FALSE)/24)*F118/100*VLOOKUP(D118,'DB technologies'!$N$53:$Y$64,7,FALSE)/100)))</f>
        <v/>
      </c>
      <c r="AG118" s="698"/>
      <c r="AH118" s="695"/>
      <c r="AI118" s="181" t="str">
        <f>IF(D118="","",VLOOKUP(D118,'DB technologies'!$N$53:$Y$64,10,FALSE))</f>
        <v/>
      </c>
      <c r="AJ118" s="449" t="e">
        <f>VLOOKUP($C$116,'DB animal categories'!$C$42:$AN$51,27,FALSE)-VLOOKUP($C$116,'DB animal categories'!$C$42:$AN$51,26,FALSE)*VLOOKUP($C$116,'DB animal categories'!$C$42:$AN$51,25,FALSE)/24</f>
        <v>#N/A</v>
      </c>
      <c r="AK118" s="442" t="str">
        <f>IF(AI118="","",AL118+AM118)</f>
        <v/>
      </c>
      <c r="AL118" s="442" t="str">
        <f>IF(D118="","",IF(AI118=2,(('Calc (ex-animal)'!$G$26*'DB additional information '!$K$8/100*(1-VLOOKUP(D118,'DB technologies'!$N$53:$Y$64,9,FALSE)/100)*'Calc (ex-housing, ex-storage)'!F118/100+'Calc (ex-animal)'!$H$26*'DB additional information '!$L$8/100*(1-VLOOKUP(D118,'DB technologies'!$N$53:$Y$64,9,FALSE)/100)*'Calc (ex-housing, ex-storage)'!F118/100))/VLOOKUP($C$116,'DB animal categories'!$C$42:$AC$51,27,FALSE)*AJ118+I118+J118+K118,IF(AI118=1,('Calc (ex-animal)'!$H$26*'DB additional information '!$L$8/100*(1-VLOOKUP(D118,'DB technologies'!$N$53:$Y$64,9,FALSE)/100)*'Calc (ex-housing, ex-storage)'!F118/100)/VLOOKUP($C$116,'DB animal categories'!$C$42:$AC$51,27,FALSE)*AJ118,IF(AI118=4,('Calc (ex-animal)'!$G$26*'DB additional information '!$K$8/100+'Calc (ex-animal)'!$H$26*'DB additional information '!$L$8/100)*(1-VLOOKUP(D118,'DB technologies'!$N$53:$Y$64,9,FALSE)/100)*'Calc (ex-housing, ex-storage)'!F118/100*VLOOKUP(D118,'DB technologies'!$N$53:$Y$64,11,FALSE)/100/VLOOKUP($C$116,'DB animal categories'!$C$42:$AC$51,27,FALSE)*AJ118,0))))</f>
        <v/>
      </c>
      <c r="AM118" s="442" t="str">
        <f>IF(D118="","",IF(AI118=2,(('Calc (ex-animal)'!$G$26*(1-'DB additional information '!$K$8/100)*(1-VLOOKUP(D118,'DB technologies'!$N$53:$Y$64,8,FALSE)/100)*'Calc (ex-housing, ex-storage)'!F118/100+'Calc (ex-animal)'!$H$26*(1-'DB additional information '!$L$8/100)*(1-VLOOKUP(D118,'DB technologies'!$N$53:$Y$64,8,FALSE)/100)*'Calc (ex-housing, ex-storage)'!F118/100))/VLOOKUP($C$116,'DB animal categories'!$C$42:$AC$51,27,FALSE)*AJ118+M118+N118+O118,IF(AI118=1,('Calc (ex-animal)'!$H$26*(1-'DB additional information '!$L$8/100)*(1-VLOOKUP(D118,'DB technologies'!$N$53:$Y$64,8,FALSE)/100)*'Calc (ex-housing, ex-storage)'!F118/100)/VLOOKUP($C$116,'DB animal categories'!$C$42:$AC$51,27,FALSE)*AJ118,IF(AI118=4,('Calc (ex-animal)'!$G$26*(1-'DB additional information '!$K$8/100)+'Calc (ex-animal)'!$H$26*(1-'DB additional information '!$L$8/100))*(1-VLOOKUP(D118,'DB technologies'!$N$53:$Y$64,8,FALSE)/100)*'Calc (ex-housing, ex-storage)'!F118/100*VLOOKUP(D118,'DB technologies'!$N$53:$Y$64,11,FALSE)/100/VLOOKUP($C$116,'DB animal categories'!$C$42:$AC$51,27,FALSE)*AJ118,0))))</f>
        <v/>
      </c>
      <c r="AN118" s="442" t="str">
        <f>IF(AI118="","",IF(AL118=0,0,AL118/AK118*100))</f>
        <v/>
      </c>
      <c r="AO118" s="182" t="str">
        <f>IF(D118="","",IF(AI118=2,(('Calc (ex-animal)'!$L$26*'Calc (ex-housing, ex-storage)'!F118/100+'Calc (ex-animal)'!$K$26*'Calc (ex-housing, ex-storage)'!F118/100))/VLOOKUP($C$116,'DB animal categories'!$C$42:$AC$51,27,FALSE)*AJ118+Q118+R118+S118-AC118,IF(AI118=1,('Calc (ex-animal)'!$L$26*'Calc (ex-housing, ex-storage)'!F118/100)/VLOOKUP($C$116,'DB animal categories'!$C$42:$AC$51,27,FALSE)*AJ118-'Calc (ex-housing, ex-storage)'!AC118,IF(AI118=4,('Calc (ex-animal)'!$L$26+'Calc (ex-animal)'!$K$26)*'Calc (ex-housing, ex-storage)'!F118/100*VLOOKUP(D118,'DB technologies'!$N$53:$Y$64,11,FALSE)/100/VLOOKUP($C$116,'DB animal categories'!$C$42:$AC$51,27,FALSE)*AJ118-AC118*VLOOKUP(D118,'DB technologies'!$N$53:$Y$64,11,FALSE)/100,0))))</f>
        <v/>
      </c>
      <c r="AP118" s="182" t="str">
        <f>IF(D118="","",IF(AO118&lt;-0.01,0,IF(AI118=2,(('Calc (ex-animal)'!$L$26*'Calc (ex-housing, ex-storage)'!F118/100+'Calc (ex-animal)'!$K$26*'Calc (ex-housing, ex-storage)'!F118/100))/VLOOKUP($C$116,'DB animal categories'!$C$42:$AC$51,27,FALSE)*AJ118+Q118+R118+S118-AC118,IF(AI118=1,('Calc (ex-animal)'!$L$26*'Calc (ex-housing, ex-storage)'!F118/100)/VLOOKUP($C$116,'DB animal categories'!$C$42:$AC$51,27,FALSE)*AJ118-'Calc (ex-housing, ex-storage)'!AC118,IF(AI118=4,('Calc (ex-animal)'!$L$26+'Calc (ex-animal)'!$K$26)*'Calc (ex-housing, ex-storage)'!F118/100*VLOOKUP(D118,'DB technologies'!$N$53:$Y$64,11,FALSE)/100/VLOOKUP($C$116,'DB animal categories'!$C$42:$AC$51,27,FALSE)*AJ118-AC118*VLOOKUP(D118,'DB technologies'!$N$53:$Y$64,11,FALSE)/100,0)))))</f>
        <v/>
      </c>
      <c r="AQ118" s="182" t="str">
        <f>IF(D118="","",IF(AI118=2,('Calc (ex-animal)'!$O$26*'Calc (ex-housing, ex-storage)'!F118/100+'Calc (ex-animal)'!$N$26*'Calc (ex-housing, ex-storage)'!F118/100)/VLOOKUP($C$116,'DB animal categories'!$C$42:$AC$51,27,FALSE)*AJ118+U118+V118+W118,IF(AI118=1,'Calc (ex-animal)'!$O$26*'Calc (ex-housing, ex-storage)'!F118/100/VLOOKUP($C$116,'DB animal categories'!$C$42:$AC$51,27,FALSE)*AJ118,IF(AI118=4,('Calc (ex-animal)'!$O$26+'Calc (ex-animal)'!$N$26)*'Calc (ex-housing, ex-storage)'!F118/100*VLOOKUP(D118,'DB technologies'!$N$53:$Y$64,11,FALSE)/100/VLOOKUP($C$116,'DB animal categories'!$C$42:$AC$51,27,FALSE)*AJ118,0))))</f>
        <v/>
      </c>
      <c r="AR118" s="182" t="str">
        <f>IF(D118="","",IF(AI118=2,('Calc (ex-animal)'!$R$26*'Calc (ex-housing, ex-storage)'!F118/100+'Calc (ex-animal)'!$Q$26*'Calc (ex-housing, ex-storage)'!F118/100)/VLOOKUP($C$116,'DB animal categories'!$C$42:$AC$51,27,FALSE)*AJ118+Y118+Z118+AA118,IF(AI118=1,'Calc (ex-animal)'!$R$26*'Calc (ex-housing, ex-storage)'!F118/100/VLOOKUP($C$116,'DB animal categories'!$C$42:$AC$51,27,FALSE)*AJ118,IF(AI118=4,('Calc (ex-animal)'!$R$26+'Calc (ex-animal)'!$Q$26)*'Calc (ex-housing, ex-storage)'!F118/100*VLOOKUP(D118,'DB technologies'!$N$53:$Y$64,11,FALSE)/100/VLOOKUP($C$116,'DB animal categories'!$C$42:$AC$51,27,FALSE)*AJ118,0))))</f>
        <v/>
      </c>
      <c r="AS118" s="181" t="str">
        <f>IF(D118="","",VLOOKUP(D118,'DB technologies'!$N$53:$Y$64,10,FALSE))</f>
        <v/>
      </c>
      <c r="AT118" s="442" t="str">
        <f>IF(AS118="","",AU118+AV118)</f>
        <v/>
      </c>
      <c r="AU118" s="442" t="str">
        <f>IF(D118="","",IF(AS118=2,0,IF(AS118=1,'Calc (ex-animal)'!$G$26*'DB additional information '!$K$8/100*(1-VLOOKUP(D118,'DB technologies'!$N$53:$Y$64,8,FALSE)/100)*'Calc (ex-housing, ex-storage)'!F118/100/VLOOKUP($C$116,'DB animal categories'!$C$42:$AC$51,27,FALSE)*AJ118+I118+J118+K118,IF(AS118=5,(('Calc (ex-animal)'!$G$26*'DB additional information '!$K$8/100+'Calc (ex-animal)'!$H$26*'DB additional information '!$L$8/100))*(1-VLOOKUP(D118,'DB technologies'!$N$53:$Y$64,9,FALSE)/100)*'Calc (ex-housing, ex-storage)'!F118/100/VLOOKUP($C$116,'DB animal categories'!$C$42:$AC$51,27,FALSE)*AJ118+I118+J118+K118,IF(AS118=3,('Calc (ex-animal)'!$G$26*'DB additional information '!$K$8/100+'Calc (ex-animal)'!$H$26*'DB additional information '!$L$8/100)*(1-VLOOKUP(D118,'DB technologies'!$N$53:$Y$64,9,FALSE)/100)*'Calc (ex-housing, ex-storage)'!F118/100/VLOOKUP($C$116,'DB animal categories'!$C$42:$AC$51,27,FALSE)*AJ118+I118+J118+K118,IF(AS118=4,('Calc (ex-animal)'!$G$26*'DB additional information '!$K$8/100+'Calc (ex-animal)'!$H$26*'DB additional information '!$L$8/100)*(1-VLOOKUP(D118,'DB technologies'!$N$53:$Y$64,9,FALSE)/100)*'Calc (ex-housing, ex-storage)'!F118/100*VLOOKUP(D118,'DB technologies'!$N$53:$Y$64,12,FALSE)/100/VLOOKUP($C$116,'DB animal categories'!$C$42:$AC$51,27,FALSE)*AJ118+I118+J118+K118,0))))))</f>
        <v/>
      </c>
      <c r="AV118" s="442" t="str">
        <f>IF(D118="","",IF(AS118=2,0,IF(AS118=1,'Calc (ex-animal)'!$G$26*(1-'DB additional information '!$K$8/100)*(1-VLOOKUP(D118,'DB technologies'!$N$53:$Y$64,8,FALSE)/100)*'Calc (ex-housing, ex-storage)'!F118/100/VLOOKUP($C$116,'DB animal categories'!$C$42:$AC$51,27,FALSE)*AJ118+M118+N118+O118,IF(AS118=5,('Calc (ex-animal)'!$G$26*(1-'DB additional information '!$K$8/100)+'Calc (ex-animal)'!$H$26*(1-'DB additional information '!$L$8/100))*(1-VLOOKUP(D118,'DB technologies'!$N$53:$Y$64,8,FALSE)/100)*'Calc (ex-housing, ex-storage)'!F118/100/VLOOKUP($C$116,'DB animal categories'!$C$42:$AC$51,27,FALSE)*AJ118+M118+N118+O118,IF(AS118=3,('Calc (ex-animal)'!$G$26*(1-'DB additional information '!$K$8/100)+'Calc (ex-animal)'!$H$26*(1-'DB additional information '!$L$8/100))*(1-VLOOKUP(D118,'DB technologies'!$N$53:$Y$64,8,FALSE)/100)*'Calc (ex-housing, ex-storage)'!F118/100/VLOOKUP($C$116,'DB animal categories'!$C$42:$AC$51,27,FALSE)*AJ118+M118+N118+O118,IF(AS118=4,('Calc (ex-animal)'!$G$26*(1-'DB additional information '!$K$8/100)+'Calc (ex-animal)'!$H$26*(1-'DB additional information '!$L$8/100))*(1-VLOOKUP(D118,'DB technologies'!$N$53:$Y$64,8,FALSE)/100)*'Calc (ex-housing, ex-storage)'!F118/100*VLOOKUP(D118,'DB technologies'!$N$53:$Y$64,12,FALSE)/100/VLOOKUP($C$116,'DB animal categories'!$C$42:$AC$51,27,FALSE)*AJ118+M118+N118+O118,0))))))</f>
        <v/>
      </c>
      <c r="AW118" s="442" t="str">
        <f>IF(AS118="","",IF(AU118=0,0,AU118/AT118*100))</f>
        <v/>
      </c>
      <c r="AX118" s="182" t="str">
        <f>IF(D118="","",IF(AS118=2,0,IF(AS118=1,'Calc (ex-animal)'!$K$26*'Calc (ex-housing, ex-storage)'!F118/100/VLOOKUP($C$116,'DB animal categories'!$C$42:$AC$51,27,FALSE)*AJ118+Q118+R118+S118,IF(AS118=5,('Calc (ex-animal)'!$K$26+'Calc (ex-animal)'!$L$26)*'Calc (ex-housing, ex-storage)'!F118/100/VLOOKUP($C$116,'DB animal categories'!$C$42:$AC$51,27,FALSE)*AJ118+Q118+R118+S118-'Calc (ex-housing, ex-storage)'!AC118,IF(AS118=3,('Calc (ex-animal)'!$K$26+'Calc (ex-animal)'!$L$26)*'Calc (ex-housing, ex-storage)'!F118/100/VLOOKUP($C$116,'DB animal categories'!$C$42:$AC$51,27,FALSE)*AJ118+Q118+R118+S118-'Calc (ex-housing, ex-storage)'!AC118-AD118-AE118,IF(AI118=4,('Calc (ex-animal)'!$K$26+'Calc (ex-animal)'!$L$26)*'Calc (ex-housing, ex-storage)'!F118/100*VLOOKUP(D118,'DB technologies'!$N$53:$Y$64,12,FALSE)/100/VLOOKUP($C$116,'DB animal categories'!$C$42:$AC$51,27,FALSE)*AJ118+Q118+R118+S118-(VLOOKUP(D118,'DB technologies'!$N$53:$Y$64,12,FALSE)/100*AC118)-AD118-AE118,0))))))</f>
        <v/>
      </c>
      <c r="AY118" s="182" t="str">
        <f>IF(D118="","",IF(AS118=2,0,IF(AS118=1,'Calc (ex-animal)'!$N$26*'Calc (ex-housing, ex-storage)'!F118/100/VLOOKUP($C$116,'DB animal categories'!$C$42:$AC$51,27,FALSE)*AJ118+U118+V118+W118,IF(AS118=5,('Calc (ex-animal)'!$N$26+'Calc (ex-animal)'!$O$26)*'Calc (ex-housing, ex-storage)'!F118/100/VLOOKUP($C$116,'DB animal categories'!$C$42:$AC$51,27,FALSE)*AJ118+U118+V118+W118,IF(AS118=3,('Calc (ex-animal)'!$N$26+'Calc (ex-animal)'!$O$26)*'Calc (ex-housing, ex-storage)'!F118/100/VLOOKUP($C$116,'DB animal categories'!$C$42:$AC$51,27,FALSE)*AJ118+U118+V118+W118,IF(AS118=4,('Calc (ex-animal)'!$N$26+'Calc (ex-animal)'!$O$26)*'Calc (ex-housing, ex-storage)'!F118/100*VLOOKUP(D118,'DB technologies'!$N$53:$Y$64,12,FALSE)/100/VLOOKUP($C$116,'DB animal categories'!$C$42:$AC$51,27,FALSE)*AJ118+U118+V118+W118,0))))))</f>
        <v/>
      </c>
      <c r="AZ118" s="182" t="str">
        <f>IF(D118="","",IF(AS118=2,0,IF(AS118=1,'Calc (ex-animal)'!$Q$26*'Calc (ex-housing, ex-storage)'!F118/100/VLOOKUP($C$116,'DB animal categories'!$C$42:$AC$51,27,FALSE)*AJ118+Y118+Z118+AA118,IF(AS118=5,('Calc (ex-animal)'!$Q$26+'Calc (ex-animal)'!$R$26)*'Calc (ex-housing, ex-storage)'!F118/100/VLOOKUP($C$116,'DB animal categories'!$C$42:$AC$51,27,FALSE)*AJ118+Y118+Z118+AA118,IF(AS118=3,('Calc (ex-animal)'!$Q$26+'Calc (ex-animal)'!$R$26)*'Calc (ex-housing, ex-storage)'!F118/100/VLOOKUP($C$116,'DB animal categories'!$C$42:$AC$51,27,FALSE)*AJ118+Y118+Z118+AA118,IF(AS118=4,('Calc (ex-animal)'!$Q$26+'Calc (ex-animal)'!$R$26)*'Calc (ex-housing, ex-storage)'!F118/100*VLOOKUP(D118,'DB technologies'!$N$53:$Y$64,12,FALSE)/100/VLOOKUP($C$116,'DB animal categories'!$C$42:$AC$51,27,FALSE)*AJ118+Y118+Z118+AA118,0))))))</f>
        <v/>
      </c>
      <c r="BA118" s="506"/>
      <c r="BB118" s="506"/>
      <c r="BC118" s="506"/>
      <c r="BG118" s="1357"/>
      <c r="BH118" s="1361"/>
      <c r="BI118" s="598" t="str">
        <f>IF(BG118="","",$BA$115*BH118/100-($BB$115*BH118/100*VLOOKUP(BG118,'DB technologies'!$AC$69:$AT$73,5,FALSE)/100)+(VLOOKUP(BG118,'DB technologies'!$AC$69:$AT$73,12,FALSE)*$BA$115*BH118/100))</f>
        <v/>
      </c>
      <c r="BJ118" s="551">
        <f>IF(BI118="",0,BI118*BK118/100)</f>
        <v>0</v>
      </c>
      <c r="BK118" s="571" t="str">
        <f>IF(BG118="","",IF($BA$115=0,0,($BB$115*BH118/100)/BI118*(1-(VLOOKUP(BG118,'DB technologies'!$AC$69:$AQ$73,5,FALSE))/100)*100))</f>
        <v/>
      </c>
      <c r="BL118" s="261" t="str">
        <f>IF(BG118="","",$BD$115*(1-VLOOKUP(BG118,'DB technologies'!$AC$69:$AS$73,12,FALSE)/100)*BH118/100-BO118-BP118-BQ118-BR118)</f>
        <v/>
      </c>
      <c r="BM118" s="261" t="str">
        <f>IF(BG118="","",$BE$115*(1-VLOOKUP(BG118,'DB technologies'!$AC$69:$AS$73,12,FALSE)/100)*BH118/100-BS118)</f>
        <v/>
      </c>
      <c r="BN118" s="261" t="str">
        <f>IF(BG118="","",$BF$115*(1-VLOOKUP(BG118,'DB technologies'!$AC$69:$AS$73,12,FALSE)/100)*BH118/100-BT118)</f>
        <v/>
      </c>
      <c r="BO118" s="261" t="str">
        <f>IF(BG118="","",$BD$115*BH118/100*VLOOKUP(BG118,'DB technologies'!$AC$69:$AF$73,2,FALSE)/100)</f>
        <v/>
      </c>
      <c r="BP118" s="261" t="str">
        <f>IF(BG118="","",$BD$115*BH118/100*VLOOKUP(BG118,'DB technologies'!$AC$69:$AN$73,3,FALSE)/100)</f>
        <v/>
      </c>
      <c r="BQ118" s="262" t="str">
        <f>IF(BG118="","",$BD$115*BH118/100*VLOOKUP(BG118,'DB technologies'!$AC$69:$AN$73,4,FALSE)/100)</f>
        <v/>
      </c>
      <c r="BR118" s="264" t="str">
        <f>IF(BG118="","",VLOOKUP(BG118,'DB technologies'!$AC$69:$AQ$73,13,FALSE)/100*$BD$115*BH118/100)</f>
        <v/>
      </c>
      <c r="BS118" s="261" t="str">
        <f>IF(BG118="","",VLOOKUP(BG118,'DB technologies'!$AC$69:$AQ$73,14,FALSE)/100*$BE$115*BH118/100)</f>
        <v/>
      </c>
      <c r="BT118" s="262" t="str">
        <f>IF(BG118="","",VLOOKUP(BG118,'DB technologies'!$AC$69:$AQ$73,15,FALSE)/100*$BF$115*BH118/100)</f>
        <v/>
      </c>
    </row>
    <row r="119" spans="1:72" ht="11.25" customHeight="1" thickBot="1" x14ac:dyDescent="0.25">
      <c r="A119" s="684"/>
      <c r="B119" s="695"/>
      <c r="C119" s="251"/>
      <c r="D119" s="1357"/>
      <c r="E119" s="1358"/>
      <c r="F119" s="480" t="str">
        <f>IF('Calc (ex-animal)'!$F$9=1,"",IF($C$116=0,"",IF(D119="","",E119/'Calc (ex-animal)'!$E$26*100)))</f>
        <v/>
      </c>
      <c r="G119" s="485" t="str">
        <f>IF($C$116=0,"",IF('Calc (ex-animal)'!$F$8=1,"",IF(D119="","",SUM(H119:O119))))</f>
        <v/>
      </c>
      <c r="H119" s="423" t="str">
        <f>IF('Calc (ex-animal)'!$F$8=1,"",IF(D119="","",(((VLOOKUP($C$116,'Calc (ex-animal)'!$D$23:$Y$27,6,FALSE)-VLOOKUP($C$116,'Calc (ex-animal)'!$D$23:$Y$27,17,FALSE))*F119/100))*VLOOKUP($C$116,'Calc (ex-animal)'!$D$23:$Y$27,7,FALSE)/100*(1-VLOOKUP(D119,'DB technologies'!$N$53:$Y$64,9,FALSE)/100)))</f>
        <v/>
      </c>
      <c r="I119" s="423" t="str">
        <f>IF(D119="","",((VLOOKUP(D119,'DB technologies'!$N$53:$Y$64,2,FALSE)*VLOOKUP($C$116,'DB animal categories'!$C$42:$AC$51,27,FALSE)*E119/1000)/VLOOKUP($C$116,'DB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'!$S$6/100*(1-VLOOKUP(D119,'DB technologies'!$N$53:$Y$64,9,FALSE)/100)))</f>
        <v/>
      </c>
      <c r="J119" s="434" t="str">
        <f>IF(D119="","",((VLOOKUP(D119,'DB technologies'!$N$53:$Y$64,3,FALSE)*VLOOKUP($C$116,'DB animal categories'!$C$42:$AC$51,27,FALSE)*E119/1000)/VLOOKUP($C$116,'DB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'!$S$7/100*(1-VLOOKUP(D119,'DB technologies'!$N$53:$Y$64,9,FALSE)/100)))</f>
        <v/>
      </c>
      <c r="K119" s="434" t="str">
        <f>IF(D119="","",((VLOOKUP(D119,'DB technologies'!$N$53:$Y$64,4,FALSE)*E119*'DB additional information '!$S$8/100*(1-VLOOKUP(D119,'DB technologies'!$N$53:$Y$64,9,FALSE)/100))/VLOOKUP($C$116,'DB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L119" s="423" t="str">
        <f>IF('Calc (ex-animal)'!$F$8=1,"",IF(D119="","",(((VLOOKUP($C$116,'Calc (ex-animal)'!$D$23:$Y$27,6,FALSE)-VLOOKUP($C$116,'Calc (ex-animal)'!$D$23:$Y$27,17,FALSE))*F119/100))*(1-VLOOKUP($C$116,'Calc (ex-animal)'!$D$23:$Y$27,7,FALSE)/100)*(1-VLOOKUP(D119,'DB technologies'!$N$53:$V$64,8,FALSE)/100)))</f>
        <v/>
      </c>
      <c r="M119" s="434" t="str">
        <f>IF(D119="","",((VLOOKUP(D119,'DB technologies'!$N$53:$Y$64,2,FALSE)*VLOOKUP($C$116,'DB animal categories'!$C$42:$AC$51,27,FALSE)*E119/1000)/VLOOKUP($C$116,'DB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'!$S$6/100)*(1-VLOOKUP(D119,'DB technologies'!$N$53:$Y$64,9,FALSE)/100))</f>
        <v/>
      </c>
      <c r="N119" s="434" t="str">
        <f>IF(D119="","",((VLOOKUP(D119,'DB technologies'!$N$53:$Y$64,3,FALSE)*VLOOKUP($C$116,'DB animal categories'!$C$42:$AC$51,27,FALSE)*E119/1000)/VLOOKUP($C$116,'DB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'!$S$7/100)*(1-VLOOKUP(D119,'DB technologies'!$N$53:$Y$64,9,FALSE)/100))</f>
        <v/>
      </c>
      <c r="O119" s="423" t="str">
        <f>IF(D119="","",((VLOOKUP(D119,'DB technologies'!$N$53:$Y$64,4,FALSE)*E119*(1-'DB additional information '!$S$8/100)*(1-VLOOKUP(D119,'DB technologies'!$N$53:$Y$64,8,FALSE)/100))/VLOOKUP($C$116,'DB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P119" s="438" t="str">
        <f>IF(G119=0,0,IF(E119="","",IF(F119="","",IF($C$116=0,"",IF(D119="","",SUM(H119:K119)/G119*100)))))</f>
        <v/>
      </c>
      <c r="Q119" s="416" t="str">
        <f>IF(D119="","",(VLOOKUP(D119,'DB technologies'!$N$53:$Y$64,2,FALSE)*'DB additional information '!$S$6/100*'DB additional information '!$T$6*VLOOKUP($C$116,'DB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R119" s="416" t="str">
        <f>IF(D119="","",(VLOOKUP(D119,'DB technologies'!$N$53:$Y$64,3,FALSE)*'DB additional information '!$S$7/100*'DB additional information '!$T$7*VLOOKUP($C$116,'DB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S119" s="491" t="str">
        <f>IF(D119="","",(VLOOKUP(D119,'DB technologies'!$N$53:$Y$64,4,FALSE)*('DB additional information '!$S$8/100*'DB additional information '!$T$8*E119/1000/1000)))</f>
        <v/>
      </c>
      <c r="T119" s="264" t="str">
        <f>IF($C$116=0,"",IF('Calc (ex-animal)'!$F$9=1,"",IF(D119="","",((VLOOKUP($C$116,'Calc (ex-animal)'!$D$23:$Y$27,10,FALSE)-VLOOKUP($C$116,'Calc (ex-animal)'!$D$23:$Y$27,18,FALSE))*F119/100+Q119+R119+S119)-AC119-AD119-AE119)))</f>
        <v/>
      </c>
      <c r="U119" s="422" t="str">
        <f>IF(D119="","",(VLOOKUP(D119,'DB technologies'!$N$53:$Y$64,2,FALSE)*'DB additional information '!$S$6/100*'DB additional information '!$U$6*VLOOKUP($C$116,'DB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V119" s="418" t="str">
        <f>IF(D119="","",(VLOOKUP(D119,'DB technologies'!$N$53:$Y$64,3,FALSE)*'DB additional information '!$S$7/100*'DB additional information '!$U$7*VLOOKUP($C$116,'DB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W119" s="417" t="str">
        <f>IF(D119="","",(VLOOKUP(D119,'DB technologies'!$N$53:$Y$64,4,FALSE)*('DB additional information '!$S$8/100*'DB additional information '!$U$8*E119/1000/1000)))</f>
        <v/>
      </c>
      <c r="X119" s="261" t="str">
        <f>IF($C$116=0,"",IF('Calc (ex-animal)'!$F$9=1,"",IF(D119="","",((VLOOKUP($C$116,'Calc (ex-animal)'!$D$23:$Y$27,13,FALSE)-VLOOKUP($C$116,'Calc (ex-animal)'!$D$23:$Y$27,19,FALSE))*F119/100+U119+V119+W119))))</f>
        <v/>
      </c>
      <c r="Y119" s="418" t="str">
        <f>IF(D119="","",(VLOOKUP(D119,'DB technologies'!$N$53:$Y$64,2,FALSE)*'DB additional information '!$S$6/100*'DB additional information '!$V$6*VLOOKUP($C$116,'DB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Z119" s="418" t="str">
        <f>IF(D119="","",(VLOOKUP(D119,'DB technologies'!$N$53:$Y$64,3,FALSE)*'DB additional information '!$S$7/100*'DB additional information '!$V$7*VLOOKUP($C$116,'DB animal categories'!$C$42:$AC$51,27,FALSE)*E119/1000/1000)/VLOOKUP($C$116,'DB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AA119" s="418" t="str">
        <f>IF(D119="","",(VLOOKUP(D119,'DB technologies'!$N$53:$Y$64,4,FALSE)*('DB additional information '!$S$8/100*'DB additional information '!$V$8*E119/1000/1000)))</f>
        <v/>
      </c>
      <c r="AB119" s="261" t="str">
        <f>IF($C$116=0,"",IF('Calc (ex-animal)'!$F$8=1,"",IF(D119="","",((VLOOKUP($C$116,'Calc (ex-animal)'!$D$23:$Y$27,16,FALSE)-VLOOKUP($C$116,'Calc (ex-animal)'!$D$23:$Y$27,20,FALSE))*F119/100+Y119+Z119+AA119))))</f>
        <v/>
      </c>
      <c r="AC119" s="261" t="str">
        <f>IF($C$116=0,"",IF('Calc (ex-animal)'!$F$8=1,"",IF(D119="","",VLOOKUP($C$116,'Calc (ex-animal)'!$D$23:$Y$27,9,FALSE)/VLOOKUP($C$116,'DB animal categories'!$C$42:$AC$51,27,FALSE)*(VLOOKUP($C$116,'DB animal categories'!$C$42:$AC$51,27,FALSE)-VLOOKUP($C$116,'DB animal categories'!$C$42:$AC$51,25,FALSE)*VLOOKUP($C$116,'DB animal categories'!$C$42:$AC$51,26,FALSE)/24)*F119/100*VLOOKUP(D119,'DB technologies'!$N$53:$R$64,5,FALSE)/100)))</f>
        <v/>
      </c>
      <c r="AD119" s="261" t="str">
        <f>IF($C$116=0,"",IF('Calc (ex-animal)'!$F$8=1,"",IF(D119="","",VLOOKUP($C$116,'Calc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categories'!$C$42:$AC$51,26,FALSE)/24)*F119/100*VLOOKUP(D119,'DB technologies'!$N$53:$Y$64,6,FALSE)/100)))</f>
        <v/>
      </c>
      <c r="AE119" s="262" t="str">
        <f>IF($C$116=0,"",IF('Calc (ex-animal)'!$F$8=1,"",IF(D119="","",VLOOKUP($C$116,'Calc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categories'!$C$42:$AC$51,26,FALSE)/24)*F119/100*VLOOKUP(D119,'DB technologies'!$N$53:$Y$64,7,FALSE)/100)))</f>
        <v/>
      </c>
      <c r="AG119" s="698"/>
      <c r="AH119" s="695"/>
      <c r="AI119" s="181" t="str">
        <f>IF(D119="","",VLOOKUP(D119,'DB technologies'!$N$53:$Y$64,10,FALSE))</f>
        <v/>
      </c>
      <c r="AJ119" s="449" t="e">
        <f>VLOOKUP($C$116,'DB animal categories'!$C$42:$AN$51,27,FALSE)-VLOOKUP($C$116,'DB animal categories'!$C$42:$AN$51,26,FALSE)*VLOOKUP($C$116,'DB animal categories'!$C$42:$AN$51,25,FALSE)/24</f>
        <v>#N/A</v>
      </c>
      <c r="AK119" s="442" t="str">
        <f>IF(AI119="","",AL119+AM119)</f>
        <v/>
      </c>
      <c r="AL119" s="442" t="str">
        <f>IF(D119="","",IF(AI119=2,(('Calc (ex-animal)'!$G$26*'DB additional information '!$K$8/100*(1-VLOOKUP(D119,'DB technologies'!$N$53:$Y$64,9,FALSE)/100)*'Calc (ex-housing, ex-storage)'!F119/100+'Calc (ex-animal)'!$H$26*'DB additional information '!$L$8/100*(1-VLOOKUP(D119,'DB technologies'!$N$53:$Y$64,9,FALSE)/100)*'Calc (ex-housing, ex-storage)'!F119/100))/VLOOKUP($C$116,'DB animal categories'!$C$42:$AC$51,27,FALSE)*AJ119+I119+J119+K119,IF(AI119=1,('Calc (ex-animal)'!$H$26*'DB additional information '!$L$8/100*(1-VLOOKUP(D119,'DB technologies'!$N$53:$Y$64,9,FALSE)/100)*'Calc (ex-housing, ex-storage)'!F119/100)/VLOOKUP($C$116,'DB animal categories'!$C$42:$AC$51,27,FALSE)*AJ119,IF(AI119=4,('Calc (ex-animal)'!$G$26*'DB additional information '!$K$8/100+'Calc (ex-animal)'!$H$26*'DB additional information '!$L$8/100)*(1-VLOOKUP(D119,'DB technologies'!$N$53:$Y$64,9,FALSE)/100)*'Calc (ex-housing, ex-storage)'!F119/100*VLOOKUP(D119,'DB technologies'!$N$53:$Y$64,11,FALSE)/100/VLOOKUP($C$116,'DB animal categories'!$C$42:$AC$51,27,FALSE)*AJ119,0))))</f>
        <v/>
      </c>
      <c r="AM119" s="442" t="str">
        <f>IF(D119="","",IF(AI119=2,(('Calc (ex-animal)'!$G$26*(1-'DB additional information '!$K$8/100)*(1-VLOOKUP(D119,'DB technologies'!$N$53:$Y$64,8,FALSE)/100)*'Calc (ex-housing, ex-storage)'!F119/100+'Calc (ex-animal)'!$H$26*(1-'DB additional information '!$L$8/100)*(1-VLOOKUP(D119,'DB technologies'!$N$53:$Y$64,8,FALSE)/100)*'Calc (ex-housing, ex-storage)'!F119/100))/VLOOKUP($C$116,'DB animal categories'!$C$42:$AC$51,27,FALSE)*AJ119+M119+N119+O119,IF(AI119=1,('Calc (ex-animal)'!$H$26*(1-'DB additional information '!$L$8/100)*(1-VLOOKUP(D119,'DB technologies'!$N$53:$Y$64,8,FALSE)/100)*'Calc (ex-housing, ex-storage)'!F119/100)/VLOOKUP($C$116,'DB animal categories'!$C$42:$AC$51,27,FALSE)*AJ119,IF(AI119=4,('Calc (ex-animal)'!$G$26*(1-'DB additional information '!$K$8/100)+'Calc (ex-animal)'!$H$26*(1-'DB additional information '!$L$8/100))*(1-VLOOKUP(D119,'DB technologies'!$N$53:$Y$64,8,FALSE)/100)*'Calc (ex-housing, ex-storage)'!F119/100*VLOOKUP(D119,'DB technologies'!$N$53:$Y$64,11,FALSE)/100/VLOOKUP($C$116,'DB animal categories'!$C$42:$AC$51,27,FALSE)*AJ119,0))))</f>
        <v/>
      </c>
      <c r="AN119" s="442" t="str">
        <f>IF(AI119="","",IF(AL119=0,0,AL119/AK119*100))</f>
        <v/>
      </c>
      <c r="AO119" s="182" t="str">
        <f>IF(D119="","",IF(AI119=2,(('Calc (ex-animal)'!$L$26*'Calc (ex-housing, ex-storage)'!F119/100+'Calc (ex-animal)'!$K$26*'Calc (ex-housing, ex-storage)'!F119/100))/VLOOKUP($C$116,'DB animal categories'!$C$42:$AC$51,27,FALSE)*AJ119+Q119+R119+S119-AC119,IF(AI119=1,('Calc (ex-animal)'!$L$26*'Calc (ex-housing, ex-storage)'!F119/100)/VLOOKUP($C$116,'DB animal categories'!$C$42:$AC$51,27,FALSE)*AJ119-'Calc (ex-housing, ex-storage)'!AC119,IF(AI119=4,('Calc (ex-animal)'!$L$26+'Calc (ex-animal)'!$K$26)*'Calc (ex-housing, ex-storage)'!F119/100*VLOOKUP(D119,'DB technologies'!$N$53:$Y$64,11,FALSE)/100/VLOOKUP($C$116,'DB animal categories'!$C$42:$AC$51,27,FALSE)*AJ119-AC119*VLOOKUP(D119,'DB technologies'!$N$53:$Y$64,11,FALSE)/100,0))))</f>
        <v/>
      </c>
      <c r="AP119" s="182" t="str">
        <f>IF(D119="","",IF(AO119&lt;-0.01,0,IF(AI119=2,(('Calc (ex-animal)'!$L$26*'Calc (ex-housing, ex-storage)'!F119/100+'Calc (ex-animal)'!$K$26*'Calc (ex-housing, ex-storage)'!F119/100))/VLOOKUP($C$116,'DB animal categories'!$C$42:$AC$51,27,FALSE)*AJ119+Q119+R119+S119-AC119,IF(AI119=1,('Calc (ex-animal)'!$L$26*'Calc (ex-housing, ex-storage)'!F119/100)/VLOOKUP($C$116,'DB animal categories'!$C$42:$AC$51,27,FALSE)*AJ119-'Calc (ex-housing, ex-storage)'!AC119,IF(AI119=4,('Calc (ex-animal)'!$L$26+'Calc (ex-animal)'!$K$26)*'Calc (ex-housing, ex-storage)'!F119/100*VLOOKUP(D119,'DB technologies'!$N$53:$Y$64,11,FALSE)/100/VLOOKUP($C$116,'DB animal categories'!$C$42:$AC$51,27,FALSE)*AJ119-AC119*VLOOKUP(D119,'DB technologies'!$N$53:$Y$64,11,FALSE)/100,0)))))</f>
        <v/>
      </c>
      <c r="AQ119" s="182" t="str">
        <f>IF(D119="","",IF(AI119=2,('Calc (ex-animal)'!$O$26*'Calc (ex-housing, ex-storage)'!F119/100+'Calc (ex-animal)'!$N$26*'Calc (ex-housing, ex-storage)'!F119/100)/VLOOKUP($C$116,'DB animal categories'!$C$42:$AC$51,27,FALSE)*AJ119+U119+V119+W119,IF(AI119=1,'Calc (ex-animal)'!$O$26*'Calc (ex-housing, ex-storage)'!F119/100/VLOOKUP($C$116,'DB animal categories'!$C$42:$AC$51,27,FALSE)*AJ119,IF(AI119=4,('Calc (ex-animal)'!$O$26+'Calc (ex-animal)'!$N$26)*'Calc (ex-housing, ex-storage)'!F119/100*VLOOKUP(D119,'DB technologies'!$N$53:$Y$64,11,FALSE)/100/VLOOKUP($C$116,'DB animal categories'!$C$42:$AC$51,27,FALSE)*AJ119,0))))</f>
        <v/>
      </c>
      <c r="AR119" s="182" t="str">
        <f>IF(D119="","",IF(AI119=2,('Calc (ex-animal)'!$R$26*'Calc (ex-housing, ex-storage)'!F119/100+'Calc (ex-animal)'!$Q$26*'Calc (ex-housing, ex-storage)'!F119/100)/VLOOKUP($C$116,'DB animal categories'!$C$42:$AC$51,27,FALSE)*AJ119+Y119+Z119+AA119,IF(AI119=1,'Calc (ex-animal)'!$R$26*'Calc (ex-housing, ex-storage)'!F119/100/VLOOKUP($C$116,'DB animal categories'!$C$42:$AC$51,27,FALSE)*AJ119,IF(AI119=4,('Calc (ex-animal)'!$R$26+'Calc (ex-animal)'!$Q$26)*'Calc (ex-housing, ex-storage)'!F119/100*VLOOKUP(D119,'DB technologies'!$N$53:$Y$64,11,FALSE)/100/VLOOKUP($C$116,'DB animal categories'!$C$42:$AC$51,27,FALSE)*AJ119,0))))</f>
        <v/>
      </c>
      <c r="AS119" s="181" t="str">
        <f>IF(D119="","",VLOOKUP(D119,'DB technologies'!$N$53:$Y$64,10,FALSE))</f>
        <v/>
      </c>
      <c r="AT119" s="442" t="str">
        <f>IF(AS119="","",AU119+AV119)</f>
        <v/>
      </c>
      <c r="AU119" s="442" t="str">
        <f>IF(D119="","",IF(AS119=2,0,IF(AS119=1,'Calc (ex-animal)'!$G$26*'DB additional information '!$K$8/100*(1-VLOOKUP(D119,'DB technologies'!$N$53:$Y$64,8,FALSE)/100)*'Calc (ex-housing, ex-storage)'!F119/100/VLOOKUP($C$116,'DB animal categories'!$C$42:$AC$51,27,FALSE)*AJ119+I119+J119+K119,IF(AS119=5,(('Calc (ex-animal)'!$G$26*'DB additional information '!$K$8/100+'Calc (ex-animal)'!$H$26*'DB additional information '!$L$8/100))*(1-VLOOKUP(D119,'DB technologies'!$N$53:$Y$64,9,FALSE)/100)*'Calc (ex-housing, ex-storage)'!F119/100/VLOOKUP($C$116,'DB animal categories'!$C$42:$AC$51,27,FALSE)*AJ119+I119+J119+K119,IF(AS119=3,('Calc (ex-animal)'!$G$26*'DB additional information '!$K$8/100+'Calc (ex-animal)'!$H$26*'DB additional information '!$L$8/100)*(1-VLOOKUP(D119,'DB technologies'!$N$53:$Y$64,9,FALSE)/100)*'Calc (ex-housing, ex-storage)'!F119/100/VLOOKUP($C$116,'DB animal categories'!$C$42:$AC$51,27,FALSE)*AJ119+I119+J119+K119,IF(AS119=4,('Calc (ex-animal)'!$G$26*'DB additional information '!$K$8/100+'Calc (ex-animal)'!$H$26*'DB additional information '!$L$8/100)*(1-VLOOKUP(D119,'DB technologies'!$N$53:$Y$64,9,FALSE)/100)*'Calc (ex-housing, ex-storage)'!F119/100*VLOOKUP(D119,'DB technologies'!$N$53:$Y$64,12,FALSE)/100/VLOOKUP($C$116,'DB animal categories'!$C$42:$AC$51,27,FALSE)*AJ119+I119+J119+K119,0))))))</f>
        <v/>
      </c>
      <c r="AV119" s="442" t="str">
        <f>IF(D119="","",IF(AS119=2,0,IF(AS119=1,'Calc (ex-animal)'!$G$26*(1-'DB additional information '!$K$8/100)*(1-VLOOKUP(D119,'DB technologies'!$N$53:$Y$64,8,FALSE)/100)*'Calc (ex-housing, ex-storage)'!F119/100/VLOOKUP($C$116,'DB animal categories'!$C$42:$AC$51,27,FALSE)*AJ119+M119+N119+O119,IF(AS119=5,('Calc (ex-animal)'!$G$26*(1-'DB additional information '!$K$8/100)+'Calc (ex-animal)'!$H$26*(1-'DB additional information '!$L$8/100))*(1-VLOOKUP(D119,'DB technologies'!$N$53:$Y$64,8,FALSE)/100)*'Calc (ex-housing, ex-storage)'!F119/100/VLOOKUP($C$116,'DB animal categories'!$C$42:$AC$51,27,FALSE)*AJ119+M119+N119+O119,IF(AS119=3,('Calc (ex-animal)'!$G$26*(1-'DB additional information '!$K$8/100)+'Calc (ex-animal)'!$H$26*(1-'DB additional information '!$L$8/100))*(1-VLOOKUP(D119,'DB technologies'!$N$53:$Y$64,8,FALSE)/100)*'Calc (ex-housing, ex-storage)'!F119/100/VLOOKUP($C$116,'DB animal categories'!$C$42:$AC$51,27,FALSE)*AJ119+M119+N119+O119,IF(AS119=4,('Calc (ex-animal)'!$G$26*(1-'DB additional information '!$K$8/100)+'Calc (ex-animal)'!$H$26*(1-'DB additional information '!$L$8/100))*(1-VLOOKUP(D119,'DB technologies'!$N$53:$Y$64,8,FALSE)/100)*'Calc (ex-housing, ex-storage)'!F119/100*VLOOKUP(D119,'DB technologies'!$N$53:$Y$64,12,FALSE)/100/VLOOKUP($C$116,'DB animal categories'!$C$42:$AC$51,27,FALSE)*AJ119+M119+N119+O119,0))))))</f>
        <v/>
      </c>
      <c r="AW119" s="442" t="str">
        <f>IF(AS119="","",IF(AU119=0,0,AU119/AT119*100))</f>
        <v/>
      </c>
      <c r="AX119" s="182" t="str">
        <f>IF(D119="","",IF(AS119=2,0,IF(AS119=1,'Calc (ex-animal)'!$K$26*'Calc (ex-housing, ex-storage)'!F119/100/VLOOKUP($C$116,'DB animal categories'!$C$42:$AC$51,27,FALSE)*AJ119+Q119+R119+S119,IF(AS119=5,('Calc (ex-animal)'!$K$26+'Calc (ex-animal)'!$L$26)*'Calc (ex-housing, ex-storage)'!F119/100/VLOOKUP($C$116,'DB animal categories'!$C$42:$AC$51,27,FALSE)*AJ119+Q119+R119+S119-'Calc (ex-housing, ex-storage)'!AC119,IF(AS119=3,('Calc (ex-animal)'!$K$26+'Calc (ex-animal)'!$L$26)*'Calc (ex-housing, ex-storage)'!F119/100/VLOOKUP($C$116,'DB animal categories'!$C$42:$AC$51,27,FALSE)*AJ119+Q119+R119+S119-'Calc (ex-housing, ex-storage)'!AC119-AD119-AE119,IF(AI119=4,('Calc (ex-animal)'!$K$26+'Calc (ex-animal)'!$L$26)*'Calc (ex-housing, ex-storage)'!F119/100*VLOOKUP(D119,'DB technologies'!$N$53:$Y$64,12,FALSE)/100/VLOOKUP($C$116,'DB animal categories'!$C$42:$AC$51,27,FALSE)*AJ119+Q119+R119+S119-(VLOOKUP(D119,'DB technologies'!$N$53:$Y$64,12,FALSE)/100*AC119)-AD119-AE119,0))))))</f>
        <v/>
      </c>
      <c r="AY119" s="182" t="str">
        <f>IF(D119="","",IF(AS119=2,0,IF(AS119=1,'Calc (ex-animal)'!$N$26*'Calc (ex-housing, ex-storage)'!F119/100/VLOOKUP($C$116,'DB animal categories'!$C$42:$AC$51,27,FALSE)*AJ119+U119+V119+W119,IF(AS119=5,('Calc (ex-animal)'!$N$26+'Calc (ex-animal)'!$O$26)*'Calc (ex-housing, ex-storage)'!F119/100/VLOOKUP($C$116,'DB animal categories'!$C$42:$AC$51,27,FALSE)*AJ119+U119+V119+W119,IF(AS119=3,('Calc (ex-animal)'!$N$26+'Calc (ex-animal)'!$O$26)*'Calc (ex-housing, ex-storage)'!F119/100/VLOOKUP($C$116,'DB animal categories'!$C$42:$AC$51,27,FALSE)*AJ119+U119+V119+W119,IF(AS119=4,('Calc (ex-animal)'!$N$26+'Calc (ex-animal)'!$O$26)*'Calc (ex-housing, ex-storage)'!F119/100*VLOOKUP(D119,'DB technologies'!$N$53:$Y$64,12,FALSE)/100/VLOOKUP($C$116,'DB animal categories'!$C$42:$AC$51,27,FALSE)*AJ119+U119+V119+W119,0))))))</f>
        <v/>
      </c>
      <c r="AZ119" s="182" t="str">
        <f>IF(D119="","",IF(AS119=2,0,IF(AS119=1,'Calc (ex-animal)'!$Q$26*'Calc (ex-housing, ex-storage)'!F119/100/VLOOKUP($C$116,'DB animal categories'!$C$42:$AC$51,27,FALSE)*AJ119+Y119+Z119+AA119,IF(AS119=5,('Calc (ex-animal)'!$Q$26+'Calc (ex-animal)'!$R$26)*'Calc (ex-housing, ex-storage)'!F119/100/VLOOKUP($C$116,'DB animal categories'!$C$42:$AC$51,27,FALSE)*AJ119+Y119+Z119+AA119,IF(AS119=3,('Calc (ex-animal)'!$Q$26+'Calc (ex-animal)'!$R$26)*'Calc (ex-housing, ex-storage)'!F119/100/VLOOKUP($C$116,'DB animal categories'!$C$42:$AC$51,27,FALSE)*AJ119+Y119+Z119+AA119,IF(AS119=4,('Calc (ex-animal)'!$Q$26+'Calc (ex-animal)'!$R$26)*'Calc (ex-housing, ex-storage)'!F119/100*VLOOKUP(D119,'DB technologies'!$N$53:$Y$64,12,FALSE)/100/VLOOKUP($C$116,'DB animal categories'!$C$42:$AC$51,27,FALSE)*AJ119+Y119+Z119+AA119,0))))))</f>
        <v/>
      </c>
      <c r="BA119" s="506"/>
      <c r="BB119" s="506"/>
      <c r="BC119" s="506"/>
      <c r="BG119" s="1359"/>
      <c r="BH119" s="1362"/>
      <c r="BI119" s="600" t="str">
        <f>IF(BG119="","",$BA$115*BH119/100-($BB$115*BH119/100*VLOOKUP(BG119,'DB technologies'!$AC$69:$AT$73,5,FALSE)/100)+(VLOOKUP(BG119,'DB technologies'!$AC$69:$AT$73,12,FALSE)*$BA$115*BH119/100))</f>
        <v/>
      </c>
      <c r="BJ119" s="551">
        <f>IF(BI119="",0,BI119*BK119/100)</f>
        <v>0</v>
      </c>
      <c r="BK119" s="509" t="str">
        <f>IF(BG119="","",IF($BA$115=0,0,($BB$115*BH119/100)/BI119*(1-(VLOOKUP(BG119,'DB technologies'!$AC$69:$AQ$73,5,FALSE))/100)*100))</f>
        <v/>
      </c>
      <c r="BL119" s="267" t="str">
        <f>IF(BG119="","",$BD$115*(1-VLOOKUP(BG119,'DB technologies'!$AC$69:$AS$73,12,FALSE)/100)*BH119/100-BO119-BP119-BQ119-BR119)</f>
        <v/>
      </c>
      <c r="BM119" s="267" t="str">
        <f>IF(BG119="","",$BE$115*(1-VLOOKUP(BG119,'DB technologies'!$AC$69:$AS$73,12,FALSE)/100)*BH119/100-BS119)</f>
        <v/>
      </c>
      <c r="BN119" s="267" t="str">
        <f>IF(BG119="","",$BF$115*(1-VLOOKUP(BG119,'DB technologies'!$AC$69:$AS$73,12,FALSE)/100)*BH119/100-BT119)</f>
        <v/>
      </c>
      <c r="BO119" s="267" t="str">
        <f>IF(BG119="","",$BD$115*BH119/100*VLOOKUP(BG119,'DB technologies'!$AC$69:$AF$73,2,FALSE)/100)</f>
        <v/>
      </c>
      <c r="BP119" s="267" t="str">
        <f>IF(BG119="","",$BD$115*BH119/100*VLOOKUP(BG119,'DB technologies'!$AC$69:$AN$73,3,FALSE)/100)</f>
        <v/>
      </c>
      <c r="BQ119" s="268" t="str">
        <f>IF(BG119="","",$BD$115*BH119/100*VLOOKUP(BG119,'DB technologies'!$AC$69:$AN$73,4,FALSE)/100)</f>
        <v/>
      </c>
      <c r="BR119" s="266" t="str">
        <f>IF(BG119="","",VLOOKUP(BG119,'DB technologies'!$AC$69:$AQ$73,13,FALSE)/100*$BD$115*BH119/100)</f>
        <v/>
      </c>
      <c r="BS119" s="267" t="str">
        <f>IF(BG119="","",VLOOKUP(BG119,'DB technologies'!$AC$69:$AQ$73,14,FALSE)/100*$BE$115*BH119/100)</f>
        <v/>
      </c>
      <c r="BT119" s="268" t="str">
        <f>IF(BG119="","",VLOOKUP(BG119,'DB technologies'!$AC$69:$AQ$73,15,FALSE)/100*$BF$115*BH119/100)</f>
        <v/>
      </c>
    </row>
    <row r="120" spans="1:72" ht="11.25" customHeight="1" thickBot="1" x14ac:dyDescent="0.25">
      <c r="A120" s="684"/>
      <c r="B120" s="695"/>
      <c r="C120" s="251"/>
      <c r="D120" s="1359"/>
      <c r="E120" s="1360"/>
      <c r="F120" s="481" t="str">
        <f>IF('Calc (ex-animal)'!$F$9=1,"",IF($C$116=0,"",IF(D120="","",E120/'Calc (ex-animal)'!$E$26*100)))</f>
        <v/>
      </c>
      <c r="G120" s="483" t="str">
        <f>IF($C$116=0,"",IF('Calc (ex-animal)'!$F$8=1,"",IF(D120="","",SUM(H120:O120))))</f>
        <v/>
      </c>
      <c r="H120" s="445" t="str">
        <f>IF('Calc (ex-animal)'!$F$8=1,"",IF(D120="","",(((VLOOKUP($C$116,'Calc (ex-animal)'!$D$23:$Y$27,6,FALSE)-VLOOKUP($C$116,'Calc (ex-animal)'!$D$23:$Y$27,17,FALSE))*F120/100))*VLOOKUP($C$116,'Calc (ex-animal)'!$D$23:$Y$27,7,FALSE)/100*(1-VLOOKUP(D120,'DB technologies'!$N$53:$Y$64,9,FALSE)/100)))</f>
        <v/>
      </c>
      <c r="I120" s="445" t="str">
        <f>IF(D120="","",((VLOOKUP(D120,'DB technologies'!$N$53:$Y$64,2,FALSE)*VLOOKUP($C$116,'DB animal categories'!$C$42:$AC$51,27,FALSE)*E120/1000)/VLOOKUP($C$116,'DB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'!$S$6/100*(1-VLOOKUP(D120,'DB technologies'!$N$53:$Y$64,9,FALSE)/100)))</f>
        <v/>
      </c>
      <c r="J120" s="446" t="str">
        <f>IF(D120="","",((VLOOKUP(D120,'DB technologies'!$N$53:$Y$64,3,FALSE)*VLOOKUP($C$116,'DB animal categories'!$C$42:$AC$51,27,FALSE)*E120/1000)/VLOOKUP($C$116,'DB animal categories'!$C$42:$AC$51,27,FALSE)*(VLOOKUP($C$116,'DB animal categories'!$C$42:$AC$51,27,FALSE)-(VLOOKUP($C$116,'DB animal categories'!$C$42:$AC$51,25,FALSE)*VLOOKUP($C$116,'DB animal categories'!$C$42:$AC$51,26,FALSE)/24))*'DB additional information '!$S$7/100*(1-VLOOKUP(D120,'DB technologies'!$N$53:$Y$64,9,FALSE)/100)))</f>
        <v/>
      </c>
      <c r="K120" s="446" t="str">
        <f>IF(D120="","",((VLOOKUP(D120,'DB technologies'!$N$53:$Y$64,4,FALSE)*E120*'DB additional information '!$S$8/100*(1-VLOOKUP(D120,'DB technologies'!$N$53:$Y$64,9,FALSE)/100))/VLOOKUP($C$116,'DB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L120" s="445" t="str">
        <f>IF('Calc (ex-animal)'!$F$8=1,"",IF(D120="","",(((VLOOKUP($C$116,'Calc (ex-animal)'!$D$23:$Y$27,6,FALSE)-VLOOKUP($C$116,'Calc (ex-animal)'!$D$23:$Y$27,17,FALSE))*F120/100))*(1-VLOOKUP($C$116,'Calc (ex-animal)'!$D$23:$Y$27,7,FALSE)/100)*(1-VLOOKUP(D120,'DB technologies'!$N$53:$V$64,8,FALSE)/100)))</f>
        <v/>
      </c>
      <c r="M120" s="446" t="str">
        <f>IF(D120="","",((VLOOKUP(D120,'DB technologies'!$N$53:$Y$64,2,FALSE)*VLOOKUP($C$116,'DB animal categories'!$C$42:$AC$51,27,FALSE)*E120/1000)/VLOOKUP($C$116,'DB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'!$S$6/100)*(1-VLOOKUP(D120,'DB technologies'!$N$53:$Y$64,9,FALSE)/100))</f>
        <v/>
      </c>
      <c r="N120" s="446" t="str">
        <f>IF(D120="","",((VLOOKUP(D120,'DB technologies'!$N$53:$Y$64,3,FALSE)*VLOOKUP($C$116,'DB animal categories'!$C$42:$AC$51,27,FALSE)*E120/1000)/VLOOKUP($C$116,'DB animal categories'!$C$42:$AC$51,27,FALSE)*(VLOOKUP($C$116,'DB animal categories'!$C$42:$AC$51,27,FALSE)-VLOOKUP($C$116,'DB animal categories'!$C$42:$AC$51,25,FALSE)*VLOOKUP($C$116,'DB animal categories'!$C$42:$AC$51,26,FALSE)/24))*(1-'DB additional information '!$S$7/100)*(1-VLOOKUP(D120,'DB technologies'!$N$53:$Y$64,9,FALSE)/100))</f>
        <v/>
      </c>
      <c r="O120" s="445" t="str">
        <f>IF(D120="","",((VLOOKUP(D120,'DB technologies'!$N$53:$Y$64,4,FALSE)*E120*(1-'DB additional information '!$S$8/100)*(1-VLOOKUP(D120,'DB technologies'!$N$53:$Y$64,8,FALSE)/100))/VLOOKUP($C$116,'DB animal categories'!$C$42:$AC$51,27,FALSE)*(VLOOKUP($C$116,'DB animal categories'!$C$42:$AC$51,27,FALSE)-VLOOKUP($C$116,'DB animal categories'!$C$42:$AC$51,25,FALSE)*VLOOKUP($C$116,'DB animal categories'!$C$42:$AC$51,26,FALSE)/24)))</f>
        <v/>
      </c>
      <c r="P120" s="444" t="str">
        <f>IF(G120=0,0,IF(E120="","",IF(F120="","",IF($C$116=0,"",IF(D120="","",SUM(H120:K120)/G120*100)))))</f>
        <v/>
      </c>
      <c r="Q120" s="476" t="str">
        <f>IF(D120="","",(VLOOKUP(D120,'DB technologies'!$N$53:$Y$64,2,FALSE)*'DB additional information '!$S$6/100*'DB additional information '!$T$6*VLOOKUP($C$116,'DB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R120" s="476" t="str">
        <f>IF(D120="","",(VLOOKUP(D120,'DB technologies'!$N$53:$Y$64,3,FALSE)*'DB additional information '!$S$7/100*'DB additional information '!$T$7*VLOOKUP($C$116,'DB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S120" s="494" t="str">
        <f>IF(D120="","",(VLOOKUP(D120,'DB technologies'!$N$53:$Y$64,4,FALSE)*('DB additional information '!$S$8/100*'DB additional information '!$T$8*E120/1000/1000)))</f>
        <v/>
      </c>
      <c r="T120" s="266" t="str">
        <f>IF($C$116=0,"",IF('Calc (ex-animal)'!$F$9=1,"",IF(D120="","",((VLOOKUP($C$116,'Calc (ex-animal)'!$D$23:$Y$27,10,FALSE)-VLOOKUP($C$116,'Calc (ex-animal)'!$D$23:$Y$27,18,FALSE))*F120/100+Q120+R120+S120)-AC120-AD120-AE120)))</f>
        <v/>
      </c>
      <c r="U120" s="477" t="str">
        <f>IF(D120="","",(VLOOKUP(D120,'DB technologies'!$N$53:$Y$64,2,FALSE)*'DB additional information '!$S$6/100*'DB additional information '!$U$6*VLOOKUP($C$116,'DB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V120" s="433" t="str">
        <f>IF(D120="","",(VLOOKUP(D120,'DB technologies'!$N$53:$Y$64,3,FALSE)*'DB additional information '!$S$7/100*'DB additional information '!$U$7*VLOOKUP($C$116,'DB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W120" s="475" t="str">
        <f>IF(D120="","",(VLOOKUP(D120,'DB technologies'!$N$53:$Y$64,4,FALSE)*('DB additional information '!$S$8/100*'DB additional information '!$U$8*E120/1000/1000)))</f>
        <v/>
      </c>
      <c r="X120" s="267" t="str">
        <f>IF($C$116=0,"",IF('Calc (ex-animal)'!$F$9=1,"",IF(D120="","",((VLOOKUP($C$116,'Calc (ex-animal)'!$D$23:$Y$27,13,FALSE)-VLOOKUP($C$116,'Calc (ex-animal)'!$D$23:$Y$27,19,FALSE))*F120/100+U120+V120+W120))))</f>
        <v/>
      </c>
      <c r="Y120" s="433" t="str">
        <f>IF(D120="","",(VLOOKUP(D120,'DB technologies'!$N$53:$Y$64,2,FALSE)*'DB additional information '!$S$6/100*'DB additional information '!$V$6*VLOOKUP($C$116,'DB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Z120" s="433" t="str">
        <f>IF(D120="","",(VLOOKUP(D120,'DB technologies'!$N$53:$Y$64,3,FALSE)*'DB additional information '!$S$7/100*'DB additional information '!$V$7*VLOOKUP($C$116,'DB animal categories'!$C$42:$AC$51,27,FALSE)*E120/1000/1000)/VLOOKUP($C$116,'DB animal categories'!$C$42:$AC$51,27,FALSE)*(VLOOKUP($C$116,'DB animal categories'!$C$42:$AC$51,27,FALSE)-VLOOKUP($C$116,'DB animal categories'!$C$42:$AC$51,25,FALSE)*VLOOKUP($C$116,'DB animal categories'!$C$42:$AC$51,26,FALSE)/24))</f>
        <v/>
      </c>
      <c r="AA120" s="433" t="str">
        <f>IF(D120="","",(VLOOKUP(D120,'DB technologies'!$N$53:$Y$64,4,FALSE)*('DB additional information '!$S$8/100*'DB additional information '!$V$8*E120/1000/1000)))</f>
        <v/>
      </c>
      <c r="AB120" s="267" t="str">
        <f>IF($C$116=0,"",IF('Calc (ex-animal)'!$F$8=1,"",IF(D120="","",((VLOOKUP($C$116,'Calc (ex-animal)'!$D$23:$Y$27,16,FALSE)-VLOOKUP($C$116,'Calc (ex-animal)'!$D$23:$Y$27,20,FALSE))*F120/100+Y120+Z120+AA120))))</f>
        <v/>
      </c>
      <c r="AC120" s="267" t="str">
        <f>IF($C$116=0,"",IF('Calc (ex-animal)'!$F$8=1,"",IF(D120="","",VLOOKUP($C$116,'Calc (ex-animal)'!$D$23:$Y$27,9,FALSE)/VLOOKUP($C$116,'DB animal categories'!$C$42:$AC$51,27,FALSE)*(VLOOKUP($C$116,'DB animal categories'!$C$42:$AC$51,27,FALSE)-VLOOKUP($C$116,'DB animal categories'!$C$42:$AC$51,25,FALSE)*VLOOKUP($C$116,'DB animal categories'!$C$42:$AC$51,26,FALSE)/24)*F120/100*VLOOKUP(D120,'DB technologies'!$N$53:$R$64,5,FALSE)/100)))</f>
        <v/>
      </c>
      <c r="AD120" s="267" t="str">
        <f>IF($C$116=0,"",IF('Calc (ex-animal)'!$F$8=1,"",IF(D120="","",VLOOKUP($C$116,'Calc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categories'!$C$42:$AC$51,26,FALSE)/24)*F120/100*VLOOKUP(D120,'DB technologies'!$N$53:$Y$64,6,FALSE)/100)))</f>
        <v/>
      </c>
      <c r="AE120" s="268" t="str">
        <f>IF($C$116=0,"",IF('Calc (ex-animal)'!$F$8=1,"",IF(D120="","",VLOOKUP($C$116,'Calc (ex-animal)'!$D$23:$Y$27,10,FALSE)/VLOOKUP($C$116,'DB animal categories'!$C$42:$AC$51,27,FALSE)*(VLOOKUP($C$116,'DB animal categories'!$C$42:$AC$51,27,FALSE)-VLOOKUP($C$116,'DB animal categories'!$C$42:$AC$51,25,FALSE)*VLOOKUP($C$116,'DB animal categories'!$C$42:$AC$51,26,FALSE)/24)*F120/100*VLOOKUP(D120,'DB technologies'!$N$53:$Y$64,7,FALSE)/100)))</f>
        <v/>
      </c>
      <c r="AG120" s="699"/>
      <c r="AH120" s="696"/>
      <c r="AI120" s="183" t="str">
        <f>IF(D120="","",VLOOKUP(D120,'DB technologies'!$N$53:$Y$64,10,FALSE))</f>
        <v/>
      </c>
      <c r="AJ120" s="451" t="e">
        <f>VLOOKUP($C$116,'DB animal categories'!$C$42:$AN$51,27,FALSE)-VLOOKUP($C$116,'DB animal categories'!$C$42:$AN$51,26,FALSE)*VLOOKUP($C$116,'DB animal categories'!$C$42:$AN$51,25,FALSE)/24</f>
        <v>#N/A</v>
      </c>
      <c r="AK120" s="452" t="str">
        <f>IF(AI120="","",AL120+AM120)</f>
        <v/>
      </c>
      <c r="AL120" s="452" t="str">
        <f>IF(D120="","",IF(AI120=2,(('Calc (ex-animal)'!$G$26*'DB additional information '!$K$8/100*(1-VLOOKUP(D120,'DB technologies'!$N$53:$Y$64,9,FALSE)/100)*'Calc (ex-housing, ex-storage)'!F120/100+'Calc (ex-animal)'!$H$26*'DB additional information '!$L$8/100*(1-VLOOKUP(D120,'DB technologies'!$N$53:$Y$64,9,FALSE)/100)*'Calc (ex-housing, ex-storage)'!F120/100))/VLOOKUP($C$116,'DB animal categories'!$C$42:$AC$51,27,FALSE)*AJ120+I120+J120+K120,IF(AI120=1,('Calc (ex-animal)'!$H$26*'DB additional information '!$L$8/100*(1-VLOOKUP(D120,'DB technologies'!$N$53:$Y$64,9,FALSE)/100)*'Calc (ex-housing, ex-storage)'!F120/100)/VLOOKUP($C$116,'DB animal categories'!$C$42:$AC$51,27,FALSE)*AJ120,IF(AI120=4,('Calc (ex-animal)'!$G$26*'DB additional information '!$K$8/100+'Calc (ex-animal)'!$H$26*'DB additional information '!$L$8/100)*(1-VLOOKUP(D120,'DB technologies'!$N$53:$Y$64,9,FALSE)/100)*'Calc (ex-housing, ex-storage)'!F120/100*VLOOKUP(D120,'DB technologies'!$N$53:$Y$64,11,FALSE)/100/VLOOKUP($C$116,'DB animal categories'!$C$42:$AC$51,27,FALSE)*AJ120,0))))</f>
        <v/>
      </c>
      <c r="AM120" s="452" t="str">
        <f>IF(D120="","",IF(AI120=2,(('Calc (ex-animal)'!$G$26*(1-'DB additional information '!$K$8/100)*(1-VLOOKUP(D120,'DB technologies'!$N$53:$Y$64,8,FALSE)/100)*'Calc (ex-housing, ex-storage)'!F120/100+'Calc (ex-animal)'!$H$26*(1-'DB additional information '!$L$8/100)*(1-VLOOKUP(D120,'DB technologies'!$N$53:$Y$64,8,FALSE)/100)*'Calc (ex-housing, ex-storage)'!F120/100))/VLOOKUP($C$116,'DB animal categories'!$C$42:$AC$51,27,FALSE)*AJ120+M120+N120+O120,IF(AI120=1,('Calc (ex-animal)'!$H$26*(1-'DB additional information '!$L$8/100)*(1-VLOOKUP(D120,'DB technologies'!$N$53:$Y$64,8,FALSE)/100)*'Calc (ex-housing, ex-storage)'!F120/100)/VLOOKUP($C$116,'DB animal categories'!$C$42:$AC$51,27,FALSE)*AJ120,IF(AI120=4,('Calc (ex-animal)'!$G$26*(1-'DB additional information '!$K$8/100)+'Calc (ex-animal)'!$H$26*(1-'DB additional information '!$L$8/100))*(1-VLOOKUP(D120,'DB technologies'!$N$53:$Y$64,8,FALSE)/100)*'Calc (ex-housing, ex-storage)'!F120/100*VLOOKUP(D120,'DB technologies'!$N$53:$Y$64,11,FALSE)/100/VLOOKUP($C$116,'DB animal categories'!$C$42:$AC$51,27,FALSE)*AJ120,0))))</f>
        <v/>
      </c>
      <c r="AN120" s="452" t="str">
        <f>IF(AI120="","",IF(AL120=0,0,AL120/AK120*100))</f>
        <v/>
      </c>
      <c r="AO120" s="184" t="str">
        <f>IF(D120="","",IF(AI120=2,(('Calc (ex-animal)'!$L$26*'Calc (ex-housing, ex-storage)'!F120/100+'Calc (ex-animal)'!$K$26*'Calc (ex-housing, ex-storage)'!F120/100))/VLOOKUP($C$116,'DB animal categories'!$C$42:$AC$51,27,FALSE)*AJ120+Q120+R120+S120-AC120,IF(AI120=1,('Calc (ex-animal)'!$L$26*'Calc (ex-housing, ex-storage)'!F120/100)/VLOOKUP($C$116,'DB animal categories'!$C$42:$AC$51,27,FALSE)*AJ120-'Calc (ex-housing, ex-storage)'!AC120,IF(AI120=4,('Calc (ex-animal)'!$L$26+'Calc (ex-animal)'!$K$26)*'Calc (ex-housing, ex-storage)'!F120/100*VLOOKUP(D120,'DB technologies'!$N$53:$Y$64,11,FALSE)/100/VLOOKUP($C$116,'DB animal categories'!$C$42:$AC$51,27,FALSE)*AJ120-AC120*VLOOKUP(D120,'DB technologies'!$N$53:$Y$64,11,FALSE)/100,0))))</f>
        <v/>
      </c>
      <c r="AP120" s="184" t="str">
        <f>IF(D120="","",IF(AO120&lt;-0.01,0,IF(AI120=2,(('Calc (ex-animal)'!$L$26*'Calc (ex-housing, ex-storage)'!F120/100+'Calc (ex-animal)'!$K$26*'Calc (ex-housing, ex-storage)'!F120/100))/VLOOKUP($C$116,'DB animal categories'!$C$42:$AC$51,27,FALSE)*AJ120+Q120+R120+S120-AC120,IF(AI120=1,('Calc (ex-animal)'!$L$26*'Calc (ex-housing, ex-storage)'!F120/100)/VLOOKUP($C$116,'DB animal categories'!$C$42:$AC$51,27,FALSE)*AJ120-'Calc (ex-housing, ex-storage)'!AC120,IF(AI120=4,('Calc (ex-animal)'!$L$26+'Calc (ex-animal)'!$K$26)*'Calc (ex-housing, ex-storage)'!F120/100*VLOOKUP(D120,'DB technologies'!$N$53:$Y$64,11,FALSE)/100/VLOOKUP($C$116,'DB animal categories'!$C$42:$AC$51,27,FALSE)*AJ120-AC120*VLOOKUP(D120,'DB technologies'!$N$53:$Y$64,11,FALSE)/100,0)))))</f>
        <v/>
      </c>
      <c r="AQ120" s="184" t="str">
        <f>IF(D120="","",IF(AI120=2,('Calc (ex-animal)'!$O$26*'Calc (ex-housing, ex-storage)'!F120/100+'Calc (ex-animal)'!$N$26*'Calc (ex-housing, ex-storage)'!F120/100)/VLOOKUP($C$116,'DB animal categories'!$C$42:$AC$51,27,FALSE)*AJ120+U120+V120+W120,IF(AI120=1,'Calc (ex-animal)'!$O$26*'Calc (ex-housing, ex-storage)'!F120/100/VLOOKUP($C$116,'DB animal categories'!$C$42:$AC$51,27,FALSE)*AJ120,IF(AI120=4,('Calc (ex-animal)'!$O$26+'Calc (ex-animal)'!$N$26)*'Calc (ex-housing, ex-storage)'!F120/100*VLOOKUP(D120,'DB technologies'!$N$53:$Y$64,11,FALSE)/100/VLOOKUP($C$116,'DB animal categories'!$C$42:$AC$51,27,FALSE)*AJ120,0))))</f>
        <v/>
      </c>
      <c r="AR120" s="184" t="str">
        <f>IF(D120="","",IF(AI120=2,('Calc (ex-animal)'!$R$26*'Calc (ex-housing, ex-storage)'!F120/100+'Calc (ex-animal)'!$Q$26*'Calc (ex-housing, ex-storage)'!F120/100)/VLOOKUP($C$116,'DB animal categories'!$C$42:$AC$51,27,FALSE)*AJ120+Y120+Z120+AA120,IF(AI120=1,'Calc (ex-animal)'!$R$26*'Calc (ex-housing, ex-storage)'!F120/100/VLOOKUP($C$116,'DB animal categories'!$C$42:$AC$51,27,FALSE)*AJ120,IF(AI120=4,('Calc (ex-animal)'!$R$26+'Calc (ex-animal)'!$Q$26)*'Calc (ex-housing, ex-storage)'!F120/100*VLOOKUP(D120,'DB technologies'!$N$53:$Y$64,11,FALSE)/100/VLOOKUP($C$116,'DB animal categories'!$C$42:$AC$51,27,FALSE)*AJ120,0))))</f>
        <v/>
      </c>
      <c r="AS120" s="183" t="str">
        <f>IF(D120="","",VLOOKUP(D120,'DB technologies'!$N$53:$Y$64,10,FALSE))</f>
        <v/>
      </c>
      <c r="AT120" s="452" t="str">
        <f>IF(AS120="","",AU120+AV120)</f>
        <v/>
      </c>
      <c r="AU120" s="452" t="str">
        <f>IF(D120="","",IF(AS120=2,0,IF(AS120=1,'Calc (ex-animal)'!$G$26*'DB additional information '!$K$8/100*(1-VLOOKUP(D120,'DB technologies'!$N$53:$Y$64,8,FALSE)/100)*'Calc (ex-housing, ex-storage)'!F120/100/VLOOKUP($C$116,'DB animal categories'!$C$42:$AC$51,27,FALSE)*AJ120+I120+J120+K120,IF(AS120=5,(('Calc (ex-animal)'!$G$26*'DB additional information '!$K$8/100+'Calc (ex-animal)'!$H$26*'DB additional information '!$L$8/100))*(1-VLOOKUP(D120,'DB technologies'!$N$53:$Y$64,9,FALSE)/100)*'Calc (ex-housing, ex-storage)'!F120/100/VLOOKUP($C$116,'DB animal categories'!$C$42:$AC$51,27,FALSE)*AJ120+I120+J120+K120,IF(AS120=3,('Calc (ex-animal)'!$G$26*'DB additional information '!$K$8/100+'Calc (ex-animal)'!$H$26*'DB additional information '!$L$8/100)*(1-VLOOKUP(D120,'DB technologies'!$N$53:$Y$64,9,FALSE)/100)*'Calc (ex-housing, ex-storage)'!F120/100/VLOOKUP($C$116,'DB animal categories'!$C$42:$AC$51,27,FALSE)*AJ120+I120+J120+K120,IF(AS120=4,('Calc (ex-animal)'!$G$26*'DB additional information '!$K$8/100+'Calc (ex-animal)'!$H$26*'DB additional information '!$L$8/100)*(1-VLOOKUP(D120,'DB technologies'!$N$53:$Y$64,9,FALSE)/100)*'Calc (ex-housing, ex-storage)'!F120/100*VLOOKUP(D120,'DB technologies'!$N$53:$Y$64,12,FALSE)/100/VLOOKUP($C$116,'DB animal categories'!$C$42:$AC$51,27,FALSE)*AJ120+I120+J120+K120,0))))))</f>
        <v/>
      </c>
      <c r="AV120" s="452" t="str">
        <f>IF(D120="","",IF(AS120=2,0,IF(AS120=1,'Calc (ex-animal)'!$G$26*(1-'DB additional information '!$K$8/100)*(1-VLOOKUP(D120,'DB technologies'!$N$53:$Y$64,8,FALSE)/100)*'Calc (ex-housing, ex-storage)'!F120/100/VLOOKUP($C$116,'DB animal categories'!$C$42:$AC$51,27,FALSE)*AJ120+M120+N120+O120,IF(AS120=5,('Calc (ex-animal)'!$G$26*(1-'DB additional information '!$K$8/100)+'Calc (ex-animal)'!$H$26*(1-'DB additional information '!$L$8/100))*(1-VLOOKUP(D120,'DB technologies'!$N$53:$Y$64,8,FALSE)/100)*'Calc (ex-housing, ex-storage)'!F120/100/VLOOKUP($C$116,'DB animal categories'!$C$42:$AC$51,27,FALSE)*AJ120+M120+N120+O120,IF(AS120=3,('Calc (ex-animal)'!$G$26*(1-'DB additional information '!$K$8/100)+'Calc (ex-animal)'!$H$26*(1-'DB additional information '!$L$8/100))*(1-VLOOKUP(D120,'DB technologies'!$N$53:$Y$64,8,FALSE)/100)*'Calc (ex-housing, ex-storage)'!F120/100/VLOOKUP($C$116,'DB animal categories'!$C$42:$AC$51,27,FALSE)*AJ120+M120+N120+O120,IF(AS120=4,('Calc (ex-animal)'!$G$26*(1-'DB additional information '!$K$8/100)+'Calc (ex-animal)'!$H$26*(1-'DB additional information '!$L$8/100))*(1-VLOOKUP(D120,'DB technologies'!$N$53:$Y$64,8,FALSE)/100)*'Calc (ex-housing, ex-storage)'!F120/100*VLOOKUP(D120,'DB technologies'!$N$53:$Y$64,12,FALSE)/100/VLOOKUP($C$116,'DB animal categories'!$C$42:$AC$51,27,FALSE)*AJ120+M120+N120+O120,0))))))</f>
        <v/>
      </c>
      <c r="AW120" s="452" t="str">
        <f>IF(AS120="","",IF(AU120=0,0,AU120/AT120*100))</f>
        <v/>
      </c>
      <c r="AX120" s="184" t="str">
        <f>IF(D120="","",IF(AS120=2,0,IF(AS120=1,'Calc (ex-animal)'!$K$26*'Calc (ex-housing, ex-storage)'!F120/100/VLOOKUP($C$116,'DB animal categories'!$C$42:$AC$51,27,FALSE)*AJ120+Q120+R120+S120,IF(AS120=5,('Calc (ex-animal)'!$K$26+'Calc (ex-animal)'!$L$26)*'Calc (ex-housing, ex-storage)'!F120/100/VLOOKUP($C$116,'DB animal categories'!$C$42:$AC$51,27,FALSE)*AJ120+Q120+R120+S120-'Calc (ex-housing, ex-storage)'!AC120,IF(AS120=3,('Calc (ex-animal)'!$K$26+'Calc (ex-animal)'!$L$26)*'Calc (ex-housing, ex-storage)'!F120/100/VLOOKUP($C$116,'DB animal categories'!$C$42:$AC$51,27,FALSE)*AJ120+Q120+R120+S120-'Calc (ex-housing, ex-storage)'!AC120-AD120-AE120,IF(AI120=4,('Calc (ex-animal)'!$K$26+'Calc (ex-animal)'!$L$26)*'Calc (ex-housing, ex-storage)'!F120/100*VLOOKUP(D120,'DB technologies'!$N$53:$Y$64,12,FALSE)/100/VLOOKUP($C$116,'DB animal categories'!$C$42:$AC$51,27,FALSE)*AJ120+Q120+R120+S120-(VLOOKUP(D120,'DB technologies'!$N$53:$Y$64,12,FALSE)/100*AC120)-AD120-AE120,0))))))</f>
        <v/>
      </c>
      <c r="AY120" s="184" t="str">
        <f>IF(D120="","",IF(AS120=2,0,IF(AS120=1,'Calc (ex-animal)'!$N$26*'Calc (ex-housing, ex-storage)'!F120/100/VLOOKUP($C$116,'DB animal categories'!$C$42:$AC$51,27,FALSE)*AJ120+U120+V120+W120,IF(AS120=5,('Calc (ex-animal)'!$N$26+'Calc (ex-animal)'!$O$26)*'Calc (ex-housing, ex-storage)'!F120/100/VLOOKUP($C$116,'DB animal categories'!$C$42:$AC$51,27,FALSE)*AJ120+U120+V120+W120,IF(AS120=3,('Calc (ex-animal)'!$N$26+'Calc (ex-animal)'!$O$26)*'Calc (ex-housing, ex-storage)'!F120/100/VLOOKUP($C$116,'DB animal categories'!$C$42:$AC$51,27,FALSE)*AJ120+U120+V120+W120,IF(AS120=4,('Calc (ex-animal)'!$N$26+'Calc (ex-animal)'!$O$26)*'Calc (ex-housing, ex-storage)'!F120/100*VLOOKUP(D120,'DB technologies'!$N$53:$Y$64,12,FALSE)/100/VLOOKUP($C$116,'DB animal categories'!$C$42:$AC$51,27,FALSE)*AJ120+U120+V120+W120,0))))))</f>
        <v/>
      </c>
      <c r="AZ120" s="184" t="str">
        <f>IF(D120="","",IF(AS120=2,0,IF(AS120=1,'Calc (ex-animal)'!$Q$26*'Calc (ex-housing, ex-storage)'!F120/100/VLOOKUP($C$116,'DB animal categories'!$C$42:$AC$51,27,FALSE)*AJ120+Y120+Z120+AA120,IF(AS120=5,('Calc (ex-animal)'!$Q$26+'Calc (ex-animal)'!$R$26)*'Calc (ex-housing, ex-storage)'!F120/100/VLOOKUP($C$116,'DB animal categories'!$C$42:$AC$51,27,FALSE)*AJ120+Y120+Z120+AA120,IF(AS120=3,('Calc (ex-animal)'!$Q$26+'Calc (ex-animal)'!$R$26)*'Calc (ex-housing, ex-storage)'!F120/100/VLOOKUP($C$116,'DB animal categories'!$C$42:$AC$51,27,FALSE)*AJ120+Y120+Z120+AA120,IF(AS120=4,('Calc (ex-animal)'!$Q$26+'Calc (ex-animal)'!$R$26)*'Calc (ex-housing, ex-storage)'!F120/100*VLOOKUP(D120,'DB technologies'!$N$53:$Y$64,12,FALSE)/100/VLOOKUP($C$116,'DB animal categories'!$C$42:$AC$51,27,FALSE)*AJ120+Y120+Z120+AA120,0))))))</f>
        <v/>
      </c>
      <c r="BA120" s="506"/>
      <c r="BB120" s="506"/>
      <c r="BC120" s="506"/>
      <c r="BG120" s="556" t="s">
        <v>58</v>
      </c>
      <c r="BH120" s="315">
        <f>IF(SUM(BH115:BH119) &gt;100,"ERROR, SUM&gt;100%",SUM(BH115:BH119))</f>
        <v>0</v>
      </c>
      <c r="BI120" s="601">
        <f>SUM(BI115:BI119)</f>
        <v>0</v>
      </c>
      <c r="BJ120" s="593">
        <f>SUM(BJ115:BJ119)</f>
        <v>0</v>
      </c>
      <c r="BK120" s="597">
        <f>IF(BI120=0,0,BJ120/BI120*100)</f>
        <v>0</v>
      </c>
      <c r="BL120" s="307">
        <f t="shared" ref="BL120:BT120" si="18">SUM(BL115:BL119)</f>
        <v>0</v>
      </c>
      <c r="BM120" s="307">
        <f t="shared" si="18"/>
        <v>0</v>
      </c>
      <c r="BN120" s="307">
        <f t="shared" si="18"/>
        <v>0</v>
      </c>
      <c r="BO120" s="307">
        <f t="shared" si="18"/>
        <v>0</v>
      </c>
      <c r="BP120" s="307">
        <f t="shared" si="18"/>
        <v>0</v>
      </c>
      <c r="BQ120" s="308">
        <f t="shared" si="18"/>
        <v>0</v>
      </c>
      <c r="BR120" s="309">
        <f t="shared" si="18"/>
        <v>0</v>
      </c>
      <c r="BS120" s="307">
        <f t="shared" si="18"/>
        <v>0</v>
      </c>
      <c r="BT120" s="308">
        <f t="shared" si="18"/>
        <v>0</v>
      </c>
    </row>
    <row r="121" spans="1:72" ht="12" customHeight="1" thickBot="1" x14ac:dyDescent="0.25">
      <c r="A121" s="684"/>
      <c r="B121" s="695"/>
      <c r="C121" s="252"/>
      <c r="D121" s="269" t="s">
        <v>58</v>
      </c>
      <c r="E121" s="270">
        <f>IF(F121&lt;=100,SUM(E116:E120),"ERROR")</f>
        <v>0</v>
      </c>
      <c r="F121" s="284">
        <f>IF(SUM(F116:F120) &lt;=100,SUM(F116:F120),"ERROR, SUM&gt;100%")</f>
        <v>0</v>
      </c>
      <c r="G121" s="492">
        <f>IF('Calc (ex-animal)'!$F$9=1,"",SUM(G116:G120))</f>
        <v>0</v>
      </c>
      <c r="H121" s="433">
        <f>IF('Calc (ex-animal)'!$F$8=1,"",SUM(H116:H120))</f>
        <v>0</v>
      </c>
      <c r="I121" s="433">
        <f>IF('Calc (ex-animal)'!$F$8=1,"",SUM(I116:I120))</f>
        <v>0</v>
      </c>
      <c r="J121" s="433">
        <f>IF('Calc (ex-animal)'!$F$8=1,"",SUM(J116:J120))</f>
        <v>0</v>
      </c>
      <c r="K121" s="433">
        <f>IF('Calc (ex-animal)'!$F$8=1,"",SUM(K116:K120))</f>
        <v>0</v>
      </c>
      <c r="L121" s="433">
        <f>IF('Calc (ex-animal)'!$F$8=1,"",SUM(L116:L120))</f>
        <v>0</v>
      </c>
      <c r="M121" s="470"/>
      <c r="N121" s="470"/>
      <c r="O121" s="470"/>
      <c r="P121" s="478">
        <f>IF(G121=0,0,IF('Calc (ex-animal)'!$F$9=1,"",IF(D121="","",SUM(H121:K121)/G121*100)))</f>
        <v>0</v>
      </c>
      <c r="Q121" s="271"/>
      <c r="R121" s="271"/>
      <c r="S121" s="271"/>
      <c r="T121" s="278">
        <f>IF('Calc (ex-animal)'!$F$26=1,"",SUM(T116:T120))</f>
        <v>0</v>
      </c>
      <c r="U121" s="279"/>
      <c r="V121" s="279"/>
      <c r="W121" s="279"/>
      <c r="X121" s="279">
        <f>IF('Calc (ex-animal)'!$F$26=1,"",SUM(X116:X120))</f>
        <v>0</v>
      </c>
      <c r="Y121" s="279"/>
      <c r="Z121" s="279"/>
      <c r="AA121" s="279"/>
      <c r="AB121" s="279">
        <f>IF('Calc (ex-animal)'!$F$26=1,"",SUM(AB116:AB120))</f>
        <v>0</v>
      </c>
      <c r="AC121" s="279">
        <f>IF('Calc (ex-animal)'!$F$26=1,"",SUM(AC116:AC120))</f>
        <v>0</v>
      </c>
      <c r="AD121" s="279">
        <f>IF('Calc (ex-animal)'!$F$26=1,"",SUM(AD116:AD120))</f>
        <v>0</v>
      </c>
      <c r="AE121" s="280">
        <f>IF('Calc (ex-animal)'!$F$26=1,"",SUM(AE116:AE120))</f>
        <v>0</v>
      </c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D121" s="73"/>
      <c r="BE121" s="73"/>
      <c r="BF121" s="73"/>
      <c r="BG121" s="73"/>
      <c r="BH121" s="73"/>
      <c r="BI121" s="73"/>
      <c r="BJ121" s="450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</row>
    <row r="122" spans="1:72" ht="11.25" customHeight="1" x14ac:dyDescent="0.2">
      <c r="A122" s="684"/>
      <c r="B122" s="695"/>
      <c r="C122" s="250">
        <f>'Calc (ex-animal)'!D27</f>
        <v>0</v>
      </c>
      <c r="D122" s="1355"/>
      <c r="E122" s="1356"/>
      <c r="F122" s="479" t="str">
        <f>IF('Calc (ex-animal)'!$F$9=1,"",IF($C$122=0,"",IF(D122="","",E122/'Calc (ex-animal)'!$E$27*100)))</f>
        <v/>
      </c>
      <c r="G122" s="484" t="str">
        <f>IF($C$122=0,"",IF('Calc (ex-animal)'!$F$8=1,"",IF(D122="","",SUM(H122:O122))))</f>
        <v/>
      </c>
      <c r="H122" s="471" t="str">
        <f>IF('Calc (ex-animal)'!$F$8=1,"",IF(D122="","",(((VLOOKUP($C$122,'Calc (ex-animal)'!$D$23:$Y$27,6,FALSE)-VLOOKUP($C$122,'Calc (ex-animal)'!$D$23:$Y$27,17,FALSE))*F122/100))*VLOOKUP($C$122,'Calc (ex-animal)'!$D$23:$Y$27,7,FALSE)/100*(1-VLOOKUP(D122,'DB technologies'!$N$53:$Y$64,9,FALSE)/100)))</f>
        <v/>
      </c>
      <c r="I122" s="471" t="str">
        <f>IF(D122="","",((VLOOKUP(D122,'DB technologies'!$N$53:$Y$64,2,FALSE)*VLOOKUP($C$122,'DB animal categories'!$C$42:$AC$51,27,FALSE)*E122/1000)/VLOOKUP($C$122,'DB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'!$S$6/100*(1-VLOOKUP(D122,'DB technologies'!$N$53:$Y$64,9,FALSE)/100)))</f>
        <v/>
      </c>
      <c r="J122" s="472" t="str">
        <f>IF(D122="","",((VLOOKUP(D122,'DB technologies'!$N$53:$Y$64,3,FALSE)*VLOOKUP($C$122,'DB animal categories'!$C$42:$AC$51,27,FALSE)*E122/1000)/VLOOKUP($C$122,'DB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'!$S$7/100*(1-VLOOKUP(D122,'DB technologies'!$N$53:$Y$64,9,FALSE)/100)))</f>
        <v/>
      </c>
      <c r="K122" s="472" t="str">
        <f>IF(D122="","",((VLOOKUP(D122,'DB technologies'!$N$53:$Y$64,4,FALSE)*E122*'DB additional information '!$S$8/100*(1-VLOOKUP(D122,'DB technologies'!$N$53:$Y$64,9,FALSE)/100))/VLOOKUP($C$122,'DB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L122" s="471" t="str">
        <f>IF('Calc (ex-animal)'!$F$8=1,"",IF(D122="","",(((VLOOKUP($C$122,'Calc (ex-animal)'!$D$23:$Y$27,6,FALSE)-VLOOKUP($C$122,'Calc (ex-animal)'!$D$23:$Y$27,17,FALSE))*F122/100))*(1-VLOOKUP($C$122,'Calc (ex-animal)'!$D$23:$Y$27,7,FALSE)/100)*(1-VLOOKUP(D122,'DB technologies'!$N$53:$V$64,8,FALSE)/100)))</f>
        <v/>
      </c>
      <c r="M122" s="472" t="str">
        <f>IF(D122="","",((VLOOKUP(D122,'DB technologies'!$N$53:$Y$64,2,FALSE)*VLOOKUP($C$122,'DB animal categories'!$C$42:$AC$51,27,FALSE)*E122/1000)/VLOOKUP($C$122,'DB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'!$S$6/100)*(1-VLOOKUP(D122,'DB technologies'!$N$53:$Y$64,9,FALSE)/100))</f>
        <v/>
      </c>
      <c r="N122" s="472" t="str">
        <f>IF(D122="","",((VLOOKUP(D122,'DB technologies'!$N$53:$Y$64,3,FALSE)*VLOOKUP($C$122,'DB animal categories'!$C$42:$AC$51,27,FALSE)*E122/1000)/VLOOKUP($C$122,'DB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'!$S$7/100)*(1-VLOOKUP(D122,'DB technologies'!$N$53:$Y$64,9,FALSE)/100))</f>
        <v/>
      </c>
      <c r="O122" s="471" t="str">
        <f>IF(D122="","",((VLOOKUP(D122,'DB technologies'!$N$53:$Y$64,4,FALSE)*E122*(1-'DB additional information '!$S$8/100)*(1-VLOOKUP(D122,'DB technologies'!$N$53:$Y$64,8,FALSE)/100))/VLOOKUP($C$122,'DB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P122" s="443" t="str">
        <f>IF(G122=0,0,IF(E122="","",IF(F122="","",IF($C$122=0,"",IF(D122="","",SUM(H122:K122)/G122*100)))))</f>
        <v/>
      </c>
      <c r="Q122" s="473" t="str">
        <f>IF(D122="","",(VLOOKUP(D122,'DB technologies'!$N$53:$Y$64,2,FALSE)*'DB additional information '!$S$6/100*'DB additional information '!$T$6*VLOOKUP($C$122,'DB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R122" s="473" t="str">
        <f>IF(D122="","",(VLOOKUP(D122,'DB technologies'!$N$53:$Y$64,3,FALSE)*'DB additional information '!$S$7/100*'DB additional information '!$T$7*VLOOKUP($C$122,'DB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S122" s="490" t="str">
        <f>IF(D122="","",(VLOOKUP(D122,'DB technologies'!$N$53:$Y$64,4,FALSE)*('DB additional information '!$S$8/100*'DB additional information '!$T$8*E122/1000/1000)))</f>
        <v/>
      </c>
      <c r="T122" s="263" t="str">
        <f>IF($C$122=0,"",IF('Calc (ex-animal)'!$F$9=1,"",IF(D122="","",((VLOOKUP($C$122,'Calc (ex-animal)'!$D$23:$Y$27,10,FALSE)-VLOOKUP($C$122,'Calc (ex-animal)'!$D$23:$Y$27,18,FALSE))*F122/100+Q122+R122+S122)-AC122-AD122-AE122)))</f>
        <v/>
      </c>
      <c r="U122" s="474" t="str">
        <f>IF(D122="","",(VLOOKUP(D122,'DB technologies'!$N$53:$Y$64,2,FALSE)*'DB additional information '!$S$6/100*'DB additional information '!$U$6*VLOOKUP($C$122,'DB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V122" s="420" t="str">
        <f>IF(D122="","",(VLOOKUP(D122,'DB technologies'!$N$53:$Y$64,3,FALSE)*'DB additional information '!$S$7/100*'DB additional information '!$U$7*VLOOKUP($C$122,'DB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W122" s="415" t="str">
        <f>IF(D122="","",(VLOOKUP(D122,'DB technologies'!$N$53:$Y$64,4,FALSE)*('DB additional information '!$S$8/100*'DB additional information '!$U$8*E122/1000/1000)))</f>
        <v/>
      </c>
      <c r="X122" s="259" t="str">
        <f>IF($C$122=0,"",IF('Calc (ex-animal)'!$F$9=1,"",IF(D122="","",((VLOOKUP($C$122,'Calc (ex-animal)'!$D$23:$Y$27,13,FALSE)-VLOOKUP($C$122,'Calc (ex-animal)'!$D$23:$Y$27,19,FALSE))*F122/100+U122+V122+W122))))</f>
        <v/>
      </c>
      <c r="Y122" s="420" t="str">
        <f>IF(D122="","",(VLOOKUP(D122,'DB technologies'!$N$53:$Y$64,2,FALSE)*'DB additional information '!$S$6/100*'DB additional information '!$V$6*VLOOKUP($C$122,'DB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Z122" s="420" t="str">
        <f>IF(D122="","",(VLOOKUP(D122,'DB technologies'!$N$53:$Y$64,3,FALSE)*'DB additional information '!$S$7/100*'DB additional information '!$V$7*VLOOKUP($C$122,'DB animal categories'!$C$42:$AC$51,27,FALSE)*E122/1000/1000)/VLOOKUP($C$122,'DB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AA122" s="420" t="str">
        <f>IF(D122="","",(VLOOKUP(D122,'DB technologies'!$N$53:$Y$64,4,FALSE)*('DB additional information '!$S$8/100*'DB additional information '!$V$8*E122/1000/1000)))</f>
        <v/>
      </c>
      <c r="AB122" s="259" t="str">
        <f>IF($C$122=0,"",IF('Calc (ex-animal)'!$F$8=1,"",IF(D122="","",((VLOOKUP($C$122,'Calc (ex-animal)'!$D$23:$Y$27,16,FALSE)-VLOOKUP($C$122,'Calc (ex-animal)'!$D$23:$Y$27,20,FALSE))*F122/100+Y122+Z122+AA122))))</f>
        <v/>
      </c>
      <c r="AC122" s="259" t="str">
        <f>IF($C$122=0,"",IF('Calc (ex-animal)'!$F$8=1,"",IF(D122="","",VLOOKUP($C$122,'Calc (ex-animal)'!$D$23:$Y$27,9,FALSE)/VLOOKUP($C$122,'DB animal categories'!$C$42:$AC$51,27,FALSE)*(VLOOKUP($C$122,'DB animal categories'!$C$42:$AC$51,27,FALSE)-VLOOKUP($C$122,'DB animal categories'!$C$42:$AC$51,25,FALSE)*VLOOKUP($C$122,'DB animal categories'!$C$42:$AC$51,26,FALSE)/24)*F122/100*VLOOKUP(D122,'DB technologies'!$N$53:$R$64,5,FALSE)/100)))</f>
        <v/>
      </c>
      <c r="AD122" s="259" t="str">
        <f>IF($C$122=0,"",IF('Calc (ex-animal)'!$F$8=1,"",IF(D122="","",VLOOKUP($C$122,'Calc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categories'!$C$42:$AC$51,26,FALSE)/24)*F122/100*VLOOKUP(D122,'DB technologies'!$N$53:$Y$64,6,FALSE)/100)))</f>
        <v/>
      </c>
      <c r="AE122" s="260" t="str">
        <f>IF($C$122=0,"",IF('Calc (ex-animal)'!$F$8=1,"",IF(D122="","",VLOOKUP($C$122,'Calc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categories'!$C$42:$AC$51,26,FALSE)/24)*F122/100*VLOOKUP(D122,'DB technologies'!$N$53:$Y$64,7,FALSE)/100)))</f>
        <v/>
      </c>
      <c r="AG122" s="697" t="s">
        <v>216</v>
      </c>
      <c r="AH122" s="694" t="s">
        <v>129</v>
      </c>
      <c r="AI122" s="179" t="str">
        <f>IF(D122="","",VLOOKUP(D122,'DB technologies'!$N$53:$Y$64,10,FALSE))</f>
        <v/>
      </c>
      <c r="AJ122" s="482" t="e">
        <f>VLOOKUP($C$122,'DB animal categories'!$C$42:$AN$51,27,FALSE)-VLOOKUP($C$122,'DB animal categories'!$C$42:$AN$51,26,FALSE)*VLOOKUP($C$122,'DB animal categories'!$C$42:$AN$51,25,FALSE)/24</f>
        <v>#N/A</v>
      </c>
      <c r="AK122" s="453" t="str">
        <f>IF(AI122="","",AL122+AM122)</f>
        <v/>
      </c>
      <c r="AL122" s="453" t="str">
        <f>IF(D122="","",IF(AI122=2,(('Calc (ex-animal)'!$G$27*'DB additional information '!$K$8/100*(1-VLOOKUP(D122,'DB technologies'!$N$53:$Y$64,9,FALSE)/100)*'Calc (ex-housing, ex-storage)'!F122/100+'Calc (ex-animal)'!$H$27*'DB additional information '!$L$8/100*(1-VLOOKUP(D122,'DB technologies'!$N$53:$Y$64,9,FALSE)/100)*'Calc (ex-housing, ex-storage)'!F122/100))/VLOOKUP($C$122,'DB animal categories'!$C$42:$AC$51,27,FALSE)*AJ122+I122+J122+K122,IF(AI122=1,('Calc (ex-animal)'!$H$27*'DB additional information '!$L$8/100*(1-VLOOKUP(D122,'DB technologies'!$N$53:$Y$64,9,FALSE)/100)*'Calc (ex-housing, ex-storage)'!F122/100)/VLOOKUP($C$122,'DB animal categories'!$C$42:$AC$51,27,FALSE)*AJ122,IF(AI122=4,('Calc (ex-animal)'!$G$27*'DB additional information '!$K$8/100+'Calc (ex-animal)'!$H$27*'DB additional information '!$L$8/100)*(1-VLOOKUP(D122,'DB technologies'!$N$53:$Y$64,9,FALSE)/100)*'Calc (ex-housing, ex-storage)'!F122/100*VLOOKUP(D122,'DB technologies'!$N$53:$Y$64,11,FALSE)/100/VLOOKUP($C$122,'DB animal categories'!$C$42:$AC$51,27,FALSE)*AJ122,0))))</f>
        <v/>
      </c>
      <c r="AM122" s="453" t="str">
        <f>IF(D122="","",IF(AI122=2,(('Calc (ex-animal)'!$G$27*(1-'DB additional information '!$K$8/100)*(1-VLOOKUP(D122,'DB technologies'!$N$53:$Y$64,8,FALSE)/100)*'Calc (ex-housing, ex-storage)'!F122/100+'Calc (ex-animal)'!$H$27*(1-'DB additional information '!$L$8/100)*(1-VLOOKUP(D122,'DB technologies'!$N$53:$Y$64,8,FALSE)/100)*'Calc (ex-housing, ex-storage)'!F122/100))/VLOOKUP($C$122,'DB animal categories'!$C$42:$AC$51,27,FALSE)*AJ122+M122+N122+O122,IF(AI122=1,('Calc (ex-animal)'!$H$27*(1-'DB additional information '!$L$8/100)*(1-VLOOKUP(D122,'DB technologies'!$N$53:$Y$64,8,FALSE)/100)*'Calc (ex-housing, ex-storage)'!F122/100)/VLOOKUP($C$122,'DB animal categories'!$C$42:$AC$51,27,FALSE)*AJ122,IF(AI122=4,('Calc (ex-animal)'!$G$27*(1-'DB additional information '!$K$8/100)+'Calc (ex-animal)'!$H$27*(1-'DB additional information '!$L$8/100))*(1-VLOOKUP(D122,'DB technologies'!$N$53:$Y$64,8,FALSE)/100)*'Calc (ex-housing, ex-storage)'!F122/100*VLOOKUP(D122,'DB technologies'!$N$53:$Y$64,11,FALSE)/100/VLOOKUP($C$122,'DB animal categories'!$C$42:$AC$51,27,FALSE)*AJ122,0))))</f>
        <v/>
      </c>
      <c r="AN122" s="453" t="str">
        <f>IF(AI122="","",IF(AL122=0,0,AL122/AK122*100))</f>
        <v/>
      </c>
      <c r="AO122" s="180" t="str">
        <f>IF(D122="","",IF(AI122=2,(('Calc (ex-animal)'!$L$27*'Calc (ex-housing, ex-storage)'!F122/100+'Calc (ex-animal)'!$K$27*'Calc (ex-housing, ex-storage)'!F122/100))/VLOOKUP($C$122,'DB animal categories'!$C$42:$AC$51,27,FALSE)*AJ122+Q122+R122+S122-AC122,IF(AI122=1,('Calc (ex-animal)'!$L$27*'Calc (ex-housing, ex-storage)'!F122/100)/VLOOKUP($C$122,'DB animal categories'!$C$42:$AC$51,27,FALSE)*AJ122-'Calc (ex-housing, ex-storage)'!AC122,IF(AI122=4,('Calc (ex-animal)'!$L$27+'Calc (ex-animal)'!$K$27)*'Calc (ex-housing, ex-storage)'!F122/100*VLOOKUP(D122,'DB technologies'!$N$53:$Y$64,11,FALSE)/100/VLOOKUP($C$122,'DB animal categories'!$C$42:$AC$51,27,FALSE)*AJ122-AC122*VLOOKUP(D122,'DB technologies'!$N$53:$Y$64,11,FALSE)/100,0))))</f>
        <v/>
      </c>
      <c r="AP122" s="180" t="str">
        <f>IF(D122="","",IF(AO122&lt;-0.01,0,IF(AI122=2,(('Calc (ex-animal)'!$L$27*'Calc (ex-housing, ex-storage)'!F122/100+'Calc (ex-animal)'!$K$27*'Calc (ex-housing, ex-storage)'!F122/100))/VLOOKUP($C$122,'DB animal categories'!$C$42:$AC$51,27,FALSE)*AJ122+Q122+R122+S122-AC122,IF(AI122=1,('Calc (ex-animal)'!$L$27*'Calc (ex-housing, ex-storage)'!F122/100)/VLOOKUP($C$122,'DB animal categories'!$C$42:$AC$51,27,FALSE)*AJ122-'Calc (ex-housing, ex-storage)'!AC122,IF(AI122=4,('Calc (ex-animal)'!$L$27+'Calc (ex-animal)'!$K$27)*'Calc (ex-housing, ex-storage)'!F122/100*VLOOKUP(D122,'DB technologies'!$N$53:$Y$64,11,FALSE)/100/VLOOKUP($C$122,'DB animal categories'!$C$42:$AC$51,27,FALSE)*AJ122-AC122*VLOOKUP(D122,'DB technologies'!$N$53:$Y$64,11,FALSE)/100,0)))))</f>
        <v/>
      </c>
      <c r="AQ122" s="180" t="str">
        <f>IF(D122="","",IF(AI122=2,('Calc (ex-animal)'!$O$27*'Calc (ex-housing, ex-storage)'!F122/100+'Calc (ex-animal)'!$N$27*'Calc (ex-housing, ex-storage)'!F122/100)/VLOOKUP($C$122,'DB animal categories'!$C$42:$AC$51,27,FALSE)*AJ122+U122+V122+W122,IF(AI122=1,'Calc (ex-animal)'!$O$27*'Calc (ex-housing, ex-storage)'!F122/100/VLOOKUP($C$122,'DB animal categories'!$C$42:$AC$51,27,FALSE)*AJ122,IF(AI122=4,('Calc (ex-animal)'!$O$27+'Calc (ex-animal)'!$N$27)*'Calc (ex-housing, ex-storage)'!F122/100*VLOOKUP(D122,'DB technologies'!$N$53:$Y$64,11,FALSE)/100/VLOOKUP($C$122,'DB animal categories'!$C$42:$AC$51,27,FALSE)*AJ122,0))))</f>
        <v/>
      </c>
      <c r="AR122" s="180" t="str">
        <f>IF(D122="","",IF(AI122=2,('Calc (ex-animal)'!$R$27*'Calc (ex-housing, ex-storage)'!F122/100+'Calc (ex-animal)'!$Q$27*'Calc (ex-housing, ex-storage)'!F122/100)/VLOOKUP($C$122,'DB animal categories'!$C$42:$AC$51,27,FALSE)*AJ122+Y122+Z122+AA122,IF(AI122=1,'Calc (ex-animal)'!$R$27*'Calc (ex-housing, ex-storage)'!F122/100/VLOOKUP($C$122,'DB animal categories'!$C$42:$AC$51,27,FALSE)*AJ122,IF(AI122=4,('Calc (ex-animal)'!$R$27+'Calc (ex-animal)'!$Q$27)*'Calc (ex-housing, ex-storage)'!F122/100*VLOOKUP(D122,'DB technologies'!$N$53:$Y$64,11,FALSE)/100/VLOOKUP($C$122,'DB animal categories'!$C$42:$AC$51,27,FALSE)*AJ122,0))))</f>
        <v/>
      </c>
      <c r="AS122" s="179" t="str">
        <f>IF(D122="","",VLOOKUP(D122,'DB technologies'!$N$53:$Y$64,10,FALSE))</f>
        <v/>
      </c>
      <c r="AT122" s="453" t="str">
        <f>IF(AS122="","",AU122+AV122)</f>
        <v/>
      </c>
      <c r="AU122" s="453" t="str">
        <f>IF(D122="","",IF(AS122=2,0,IF(AS122=1,'Calc (ex-animal)'!$G$27*'DB additional information '!$K$8/100*(1-VLOOKUP(D122,'DB technologies'!$N$53:$Y$64,8,FALSE)/100)*'Calc (ex-housing, ex-storage)'!F122/100/VLOOKUP($C$122,'DB animal categories'!$C$42:$AC$51,27,FALSE)*AJ122+I122+J122+K122,IF(AS122=5,(('Calc (ex-animal)'!$G$27*'DB additional information '!$K$8/100+'Calc (ex-animal)'!$H$27*'DB additional information '!$L$8/100))*(1-VLOOKUP(D122,'DB technologies'!$N$53:$Y$64,9,FALSE)/100)*'Calc (ex-housing, ex-storage)'!F122/100/VLOOKUP($C$122,'DB animal categories'!$C$42:$AC$51,27,FALSE)*AJ122+I122+J122+K122,IF(AS122=3,('Calc (ex-animal)'!$G$27*'DB additional information '!$K$8/100+'Calc (ex-animal)'!$H$27*'DB additional information '!$L$8/100)*(1-VLOOKUP(D122,'DB technologies'!$N$53:$Y$64,9,FALSE)/100)*'Calc (ex-housing, ex-storage)'!F122/100/VLOOKUP($C$122,'DB animal categories'!$C$42:$AC$51,27,FALSE)*AJ122+I122+J122+K122,IF(AS122=4,('Calc (ex-animal)'!$G$27*'DB additional information '!$K$8/100+'Calc (ex-animal)'!$H$27*'DB additional information '!$L$8/100)*(1-VLOOKUP(D122,'DB technologies'!$N$53:$Y$64,9,FALSE)/100)*'Calc (ex-housing, ex-storage)'!F122/100*VLOOKUP(D122,'DB technologies'!$N$53:$Y$64,12,FALSE)/100/VLOOKUP($C$122,'DB animal categories'!$C$42:$AC$51,27,FALSE)*AJ122+I122+J122+K122,0))))))</f>
        <v/>
      </c>
      <c r="AV122" s="453" t="str">
        <f>IF(D122="","",IF(AS122=2,0,IF(AS122=1,'Calc (ex-animal)'!$G$27*(1-'DB additional information '!$K$8/100)*(1-VLOOKUP(D122,'DB technologies'!$N$53:$Y$64,8,FALSE)/100)*'Calc (ex-housing, ex-storage)'!F122/100/VLOOKUP($C$122,'DB animal categories'!$C$42:$AC$51,27,FALSE)*AJ122+M122+N122+O122,IF(AS122=5,('Calc (ex-animal)'!$G$27*(1-'DB additional information '!$K$8/100)+'Calc (ex-animal)'!$H$27*(1-'DB additional information '!$L$8/100))*(1-VLOOKUP(D122,'DB technologies'!$N$53:$Y$64,8,FALSE)/100)*'Calc (ex-housing, ex-storage)'!F122/100/VLOOKUP($C$122,'DB animal categories'!$C$42:$AC$51,27,FALSE)*AJ122+M122+N122+O122,IF(AS122=3,('Calc (ex-animal)'!$G$27*(1-'DB additional information '!$K$8/100)+'Calc (ex-animal)'!$H$27*(1-'DB additional information '!$L$8/100))*(1-VLOOKUP(D122,'DB technologies'!$N$53:$Y$64,8,FALSE)/100)*'Calc (ex-housing, ex-storage)'!F122/100/VLOOKUP($C$122,'DB animal categories'!$C$42:$AC$51,27,FALSE)*AJ122+M122+N122+O122,IF(AS122=4,('Calc (ex-animal)'!$G$27*(1-'DB additional information '!$K$8/100)+'Calc (ex-animal)'!$H$27*(1-'DB additional information '!$L$8/100))*(1-VLOOKUP(D122,'DB technologies'!$N$53:$Y$64,8,FALSE)/100)*'Calc (ex-housing, ex-storage)'!F122/100*VLOOKUP(D122,'DB technologies'!$N$53:$Y$64,12,FALSE)/100/VLOOKUP($C$122,'DB animal categories'!$C$42:$AC$51,27,FALSE)*AJ122+M122+N122+O122,0))))))</f>
        <v/>
      </c>
      <c r="AW122" s="453" t="str">
        <f>IF(AS122="","",IF(AU122=0,0,AU122/AT122*100))</f>
        <v/>
      </c>
      <c r="AX122" s="180" t="str">
        <f>IF(D122="","",IF(AS122=2,0,IF(AS122=1,'Calc (ex-animal)'!$K$27*'Calc (ex-housing, ex-storage)'!F122/100/VLOOKUP($C$122,'DB animal categories'!$C$42:$AC$51,27,FALSE)*AJ122+Q122+R122+S122,IF(AS122=5,('Calc (ex-animal)'!$K$27+'Calc (ex-animal)'!$L$27)*'Calc (ex-housing, ex-storage)'!F122/100/VLOOKUP($C$122,'DB animal categories'!$C$42:$AC$51,27,FALSE)*AJ122+Q122+R122+S122-'Calc (ex-housing, ex-storage)'!AC122,IF(AS122=3,('Calc (ex-animal)'!$K$27+'Calc (ex-animal)'!$L$27)*'Calc (ex-housing, ex-storage)'!F122/100/VLOOKUP($C$122,'DB animal categories'!$C$42:$AC$51,27,FALSE)*AJ122+Q122+R122+S122-'Calc (ex-housing, ex-storage)'!AC122-AD122-AE122,IF(AI122=4,('Calc (ex-animal)'!$K$27+'Calc (ex-animal)'!$L$27)*'Calc (ex-housing, ex-storage)'!F122/100*VLOOKUP(D122,'DB technologies'!$N$53:$Y$64,12,FALSE)/100/VLOOKUP($C$122,'DB animal categories'!$C$42:$AC$51,27,FALSE)*AJ122+Q122+R122+S122-(VLOOKUP(D122,'DB technologies'!$N$53:$Y$64,12,FALSE)/100*AC122)-AD122-AE122,0))))))</f>
        <v/>
      </c>
      <c r="AY122" s="180" t="str">
        <f>IF(D122="","",IF(AS122=2,0,IF(AS122=1,'Calc (ex-animal)'!$N$27*'Calc (ex-housing, ex-storage)'!F122/100/VLOOKUP($C$122,'DB animal categories'!$C$42:$AC$51,27,FALSE)*AJ122+U122+V122+W122,IF(AS122=5,('Calc (ex-animal)'!$N$27+'Calc (ex-animal)'!$O$27)*'Calc (ex-housing, ex-storage)'!F122/100/VLOOKUP($C$122,'DB animal categories'!$C$42:$AC$51,27,FALSE)*AJ122+U122+V122+W122,IF(AS122=3,('Calc (ex-animal)'!$N$27+'Calc (ex-animal)'!$O$27)*'Calc (ex-housing, ex-storage)'!F122/100/VLOOKUP($C$122,'DB animal categories'!$C$42:$AC$51,27,FALSE)*AJ122+U122+V122+W122,IF(AS122=4,('Calc (ex-animal)'!$N$27+'Calc (ex-animal)'!$O$27)*'Calc (ex-housing, ex-storage)'!F122/100*VLOOKUP(D122,'DB technologies'!$N$53:$Y$64,12,FALSE)/100/VLOOKUP($C$122,'DB animal categories'!$C$42:$AC$51,27,FALSE)*AJ122+U122+V122+W122,0))))))</f>
        <v/>
      </c>
      <c r="AZ122" s="180" t="str">
        <f>IF(D122="","",IF(AS122=2,0,IF(AS122=1,'Calc (ex-animal)'!$Q$27*'Calc (ex-housing, ex-storage)'!F122/100/VLOOKUP($C$122,'DB animal categories'!$C$42:$AC$51,27,FALSE)*AJ122+Y122+Z122+AA122,IF(AS122=5,('Calc (ex-animal)'!$Q$27+'Calc (ex-animal)'!$R$27)*'Calc (ex-housing, ex-storage)'!F122/100/VLOOKUP($C$122,'DB animal categories'!$C$42:$AC$51,27,FALSE)*AJ122+Y122+Z122+AA122,IF(AS122=3,('Calc (ex-animal)'!$Q$27+'Calc (ex-animal)'!$R$27)*'Calc (ex-housing, ex-storage)'!F122/100/VLOOKUP($C$122,'DB animal categories'!$C$42:$AC$51,27,FALSE)*AJ122+Y122+Z122+AA122,IF(AS122=4,('Calc (ex-animal)'!$Q$27+'Calc (ex-animal)'!$R$27)*'Calc (ex-housing, ex-storage)'!F122/100*VLOOKUP(D122,'DB technologies'!$N$53:$Y$64,12,FALSE)/100/VLOOKUP($C$122,'DB animal categories'!$C$42:$AC$51,27,FALSE)*AJ122+Y122+Z122+AA122,0))))))</f>
        <v/>
      </c>
      <c r="BA122" s="97">
        <f>SUM(AK607:AK635)</f>
        <v>0</v>
      </c>
      <c r="BB122" s="97">
        <f>SUM(AL607:AL635)</f>
        <v>0</v>
      </c>
      <c r="BC122" s="506" t="e">
        <f>BB122/BA122*100</f>
        <v>#DIV/0!</v>
      </c>
      <c r="BD122" s="97">
        <f>SUM(AP607:AP635)</f>
        <v>0</v>
      </c>
      <c r="BE122" s="97">
        <f>SUM(AQ607:AQ635)</f>
        <v>0</v>
      </c>
      <c r="BF122" s="97">
        <f>SUM(AR607:AR635)</f>
        <v>0</v>
      </c>
      <c r="BG122" s="1355"/>
      <c r="BH122" s="1363"/>
      <c r="BI122" s="599" t="str">
        <f>IF(BG122="","",$BA$122*BH122/100-($BB$122*BH122/100*VLOOKUP(BG122,'DB technologies'!$AC$11:$AM$15,5,FALSE)/100)+(VLOOKUP(BG122,'DB technologies'!$AC$11:$AN$15,12,FALSE)*$BA$122*BH122/100))</f>
        <v/>
      </c>
      <c r="BJ122" s="594">
        <f>IF(BI122="",0,BI122*BK122/100)</f>
        <v>0</v>
      </c>
      <c r="BK122" s="570" t="str">
        <f>IF(BG122="","",($BB$122*BH122/100)/BI122*(1-(VLOOKUP(BG122,'DB technologies'!$AC$11:$AM$15,5,FALSE))/100)*100)</f>
        <v/>
      </c>
      <c r="BL122" s="259" t="str">
        <f>IF(BG122="","",$BD$122*BH122/100-BO122-BP122-BQ122)</f>
        <v/>
      </c>
      <c r="BM122" s="259" t="str">
        <f>IF(BG122="","",$BE$122*BH122/100)</f>
        <v/>
      </c>
      <c r="BN122" s="259" t="str">
        <f>IF(BG122="","",$BF$122*BH122/100)</f>
        <v/>
      </c>
      <c r="BO122" s="259" t="str">
        <f>IF(BG122="","",$BD$122*BH122/100*VLOOKUP(BG122,'DB technologies'!$AC$11:$AF$15,2,FALSE)/100)</f>
        <v/>
      </c>
      <c r="BP122" s="259" t="str">
        <f>IF(BG122="","",$BD$122*BH122/100*VLOOKUP(BG122,'DB technologies'!$AC$11:$AN$15,3,FALSE)/100)</f>
        <v/>
      </c>
      <c r="BQ122" s="260" t="str">
        <f>IF(BG122="","",$BD$122*BH122/100*VLOOKUP(BG122,'DB technologies'!$AC$11:$AN$15,4,FALSE)/100)</f>
        <v/>
      </c>
      <c r="BR122" s="114"/>
      <c r="BS122" s="114"/>
      <c r="BT122" s="115"/>
    </row>
    <row r="123" spans="1:72" ht="11.25" customHeight="1" x14ac:dyDescent="0.2">
      <c r="A123" s="684"/>
      <c r="B123" s="695"/>
      <c r="C123" s="251"/>
      <c r="D123" s="1357"/>
      <c r="E123" s="1358"/>
      <c r="F123" s="480" t="str">
        <f>IF('Calc (ex-animal)'!$F$9=1,"",IF($C$122=0,"",IF(D123="","",E123/'Calc (ex-animal)'!$E$27*100)))</f>
        <v/>
      </c>
      <c r="G123" s="485" t="str">
        <f>IF($C$122=0,"",IF('Calc (ex-animal)'!$F$8=1,"",IF(D123="","",SUM(H123:O123))))</f>
        <v/>
      </c>
      <c r="H123" s="423" t="str">
        <f>IF('Calc (ex-animal)'!$F$8=1,"",IF(D123="","",(((VLOOKUP($C$122,'Calc (ex-animal)'!$D$23:$Y$27,6,FALSE)-VLOOKUP($C$122,'Calc (ex-animal)'!$D$23:$Y$27,17,FALSE))*F123/100))*VLOOKUP($C$122,'Calc (ex-animal)'!$D$23:$Y$27,7,FALSE)/100*(1-VLOOKUP(D123,'DB technologies'!$N$53:$Y$64,9,FALSE)/100)))</f>
        <v/>
      </c>
      <c r="I123" s="423" t="str">
        <f>IF(D123="","",((VLOOKUP(D123,'DB technologies'!$N$53:$Y$64,2,FALSE)*VLOOKUP($C$122,'DB animal categories'!$C$42:$AC$51,27,FALSE)*E123/1000)/VLOOKUP($C$122,'DB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'!$S$6/100*(1-VLOOKUP(D123,'DB technologies'!$N$53:$Y$64,9,FALSE)/100)))</f>
        <v/>
      </c>
      <c r="J123" s="434" t="str">
        <f>IF(D123="","",((VLOOKUP(D123,'DB technologies'!$N$53:$Y$64,3,FALSE)*VLOOKUP($C$122,'DB animal categories'!$C$42:$AC$51,27,FALSE)*E123/1000)/VLOOKUP($C$122,'DB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'!$S$7/100*(1-VLOOKUP(D123,'DB technologies'!$N$53:$Y$64,9,FALSE)/100)))</f>
        <v/>
      </c>
      <c r="K123" s="434" t="str">
        <f>IF(D123="","",((VLOOKUP(D123,'DB technologies'!$N$53:$Y$64,4,FALSE)*E123*'DB additional information '!$S$8/100*(1-VLOOKUP(D123,'DB technologies'!$N$53:$Y$64,9,FALSE)/100))/VLOOKUP($C$122,'DB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L123" s="423" t="str">
        <f>IF('Calc (ex-animal)'!$F$8=1,"",IF(D123="","",(((VLOOKUP($C$122,'Calc (ex-animal)'!$D$23:$Y$27,6,FALSE)-VLOOKUP($C$122,'Calc (ex-animal)'!$D$23:$Y$27,17,FALSE))*F123/100))*(1-VLOOKUP($C$122,'Calc (ex-animal)'!$D$23:$Y$27,7,FALSE)/100)*(1-VLOOKUP(D123,'DB technologies'!$N$53:$V$64,8,FALSE)/100)))</f>
        <v/>
      </c>
      <c r="M123" s="434" t="str">
        <f>IF(D123="","",((VLOOKUP(D123,'DB technologies'!$N$53:$Y$64,2,FALSE)*VLOOKUP($C$122,'DB animal categories'!$C$42:$AC$51,27,FALSE)*E123/1000)/VLOOKUP($C$122,'DB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'!$S$6/100)*(1-VLOOKUP(D123,'DB technologies'!$N$53:$Y$64,9,FALSE)/100))</f>
        <v/>
      </c>
      <c r="N123" s="434" t="str">
        <f>IF(D123="","",((VLOOKUP(D123,'DB technologies'!$N$53:$Y$64,3,FALSE)*VLOOKUP($C$122,'DB animal categories'!$C$42:$AC$51,27,FALSE)*E123/1000)/VLOOKUP($C$122,'DB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'!$S$7/100)*(1-VLOOKUP(D123,'DB technologies'!$N$53:$Y$64,9,FALSE)/100))</f>
        <v/>
      </c>
      <c r="O123" s="423" t="str">
        <f>IF(D123="","",((VLOOKUP(D123,'DB technologies'!$N$53:$Y$64,4,FALSE)*E123*(1-'DB additional information '!$S$8/100)*(1-VLOOKUP(D123,'DB technologies'!$N$53:$Y$64,8,FALSE)/100))/VLOOKUP($C$122,'DB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P123" s="438" t="str">
        <f>IF(G123=0,0,IF(E123="","",IF(F123="","",IF($C$122=0,"",IF(D123="","",SUM(H123:K123)/G123*100)))))</f>
        <v/>
      </c>
      <c r="Q123" s="416" t="str">
        <f>IF(D123="","",(VLOOKUP(D123,'DB technologies'!$N$53:$Y$64,2,FALSE)*'DB additional information '!$S$6/100*'DB additional information '!$T$6*VLOOKUP($C$122,'DB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R123" s="416" t="str">
        <f>IF(D123="","",(VLOOKUP(D123,'DB technologies'!$N$53:$Y$64,3,FALSE)*'DB additional information '!$S$7/100*'DB additional information '!$T$7*VLOOKUP($C$122,'DB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S123" s="491" t="str">
        <f>IF(D123="","",(VLOOKUP(D123,'DB technologies'!$N$53:$Y$64,4,FALSE)*('DB additional information '!$S$8/100*'DB additional information '!$T$8*E123/1000/1000)))</f>
        <v/>
      </c>
      <c r="T123" s="264" t="str">
        <f>IF($C$122=0,"",IF('Calc (ex-animal)'!$F$9=1,"",IF(D123="","",((VLOOKUP($C$122,'Calc (ex-animal)'!$D$23:$Y$27,10,FALSE)-VLOOKUP($C$122,'Calc (ex-animal)'!$D$23:$Y$27,18,FALSE))*F123/100+Q123+R123+S123)-AC123-AD123-AE123)))</f>
        <v/>
      </c>
      <c r="U123" s="422" t="str">
        <f>IF(D123="","",(VLOOKUP(D123,'DB technologies'!$N$53:$Y$64,2,FALSE)*'DB additional information '!$S$6/100*'DB additional information '!$U$6*VLOOKUP($C$122,'DB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V123" s="418" t="str">
        <f>IF(D123="","",(VLOOKUP(D123,'DB technologies'!$N$53:$Y$64,3,FALSE)*'DB additional information '!$S$7/100*'DB additional information '!$U$7*VLOOKUP($C$122,'DB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W123" s="417" t="str">
        <f>IF(D123="","",(VLOOKUP(D123,'DB technologies'!$N$53:$Y$64,4,FALSE)*('DB additional information '!$S$8/100*'DB additional information '!$U$8*E123/1000/1000)))</f>
        <v/>
      </c>
      <c r="X123" s="261" t="str">
        <f>IF($C$122=0,"",IF('Calc (ex-animal)'!$F$9=1,"",IF(D123="","",((VLOOKUP($C$122,'Calc (ex-animal)'!$D$23:$Y$27,13,FALSE)-VLOOKUP($C$122,'Calc (ex-animal)'!$D$23:$Y$27,19,FALSE))*F123/100+U123+V123+W123))))</f>
        <v/>
      </c>
      <c r="Y123" s="418" t="str">
        <f>IF(D123="","",(VLOOKUP(D123,'DB technologies'!$N$53:$Y$64,2,FALSE)*'DB additional information '!$S$6/100*'DB additional information '!$V$6*VLOOKUP($C$122,'DB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Z123" s="418" t="str">
        <f>IF(D123="","",(VLOOKUP(D123,'DB technologies'!$N$53:$Y$64,3,FALSE)*'DB additional information '!$S$7/100*'DB additional information '!$V$7*VLOOKUP($C$122,'DB animal categories'!$C$42:$AC$51,27,FALSE)*E123/1000/1000)/VLOOKUP($C$122,'DB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AA123" s="418" t="str">
        <f>IF(D123="","",(VLOOKUP(D123,'DB technologies'!$N$53:$Y$64,4,FALSE)*('DB additional information '!$S$8/100*'DB additional information '!$V$8*E123/1000/1000)))</f>
        <v/>
      </c>
      <c r="AB123" s="261" t="str">
        <f>IF($C$122=0,"",IF('Calc (ex-animal)'!$F$8=1,"",IF(D123="","",((VLOOKUP($C$122,'Calc (ex-animal)'!$D$23:$Y$27,16,FALSE)-VLOOKUP($C$122,'Calc (ex-animal)'!$D$23:$Y$27,20,FALSE))*F123/100+Y123+Z123+AA123))))</f>
        <v/>
      </c>
      <c r="AC123" s="261" t="str">
        <f>IF($C$122=0,"",IF('Calc (ex-animal)'!$F$8=1,"",IF(D123="","",VLOOKUP($C$122,'Calc (ex-animal)'!$D$23:$Y$27,9,FALSE)/VLOOKUP($C$122,'DB animal categories'!$C$42:$AC$51,27,FALSE)*(VLOOKUP($C$122,'DB animal categories'!$C$42:$AC$51,27,FALSE)-VLOOKUP($C$122,'DB animal categories'!$C$42:$AC$51,25,FALSE)*VLOOKUP($C$122,'DB animal categories'!$C$42:$AC$51,26,FALSE)/24)*F123/100*VLOOKUP(D123,'DB technologies'!$N$53:$R$64,5,FALSE)/100)))</f>
        <v/>
      </c>
      <c r="AD123" s="261" t="str">
        <f>IF($C$122=0,"",IF('Calc (ex-animal)'!$F$8=1,"",IF(D123="","",VLOOKUP($C$122,'Calc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categories'!$C$42:$AC$51,26,FALSE)/24)*F123/100*VLOOKUP(D123,'DB technologies'!$N$53:$Y$64,6,FALSE)/100)))</f>
        <v/>
      </c>
      <c r="AE123" s="262" t="str">
        <f>IF($C$122=0,"",IF('Calc (ex-animal)'!$F$8=1,"",IF(D123="","",VLOOKUP($C$122,'Calc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categories'!$C$42:$AC$51,26,FALSE)/24)*F123/100*VLOOKUP(D123,'DB technologies'!$N$53:$Y$64,7,FALSE)/100)))</f>
        <v/>
      </c>
      <c r="AG123" s="698"/>
      <c r="AH123" s="695"/>
      <c r="AI123" s="181" t="str">
        <f>IF(D123="","",VLOOKUP(D123,'DB technologies'!$N$53:$Y$64,10,FALSE))</f>
        <v/>
      </c>
      <c r="AJ123" s="449" t="e">
        <f>VLOOKUP($C$122,'DB animal categories'!$C$42:$AN$51,27,FALSE)-VLOOKUP($C$122,'DB animal categories'!$C$42:$AN$51,26,FALSE)*VLOOKUP($C$122,'DB animal categories'!$C$42:$AN$51,25,FALSE)/24</f>
        <v>#N/A</v>
      </c>
      <c r="AK123" s="442" t="str">
        <f>IF(AI123="","",AL123+AM123)</f>
        <v/>
      </c>
      <c r="AL123" s="442" t="str">
        <f>IF(D123="","",IF(AI123=2,(('Calc (ex-animal)'!$G$27*'DB additional information '!$K$8/100*(1-VLOOKUP(D123,'DB technologies'!$N$53:$Y$64,9,FALSE)/100)*'Calc (ex-housing, ex-storage)'!F123/100+'Calc (ex-animal)'!$H$27*'DB additional information '!$L$8/100*(1-VLOOKUP(D123,'DB technologies'!$N$53:$Y$64,9,FALSE)/100)*'Calc (ex-housing, ex-storage)'!F123/100))/VLOOKUP($C$122,'DB animal categories'!$C$42:$AC$51,27,FALSE)*AJ123+I123+J123+K123,IF(AI123=1,('Calc (ex-animal)'!$H$27*'DB additional information '!$L$8/100*(1-VLOOKUP(D123,'DB technologies'!$N$53:$Y$64,9,FALSE)/100)*'Calc (ex-housing, ex-storage)'!F123/100)/VLOOKUP($C$122,'DB animal categories'!$C$42:$AC$51,27,FALSE)*AJ123,IF(AI123=4,('Calc (ex-animal)'!$G$27*'DB additional information '!$K$8/100+'Calc (ex-animal)'!$H$27*'DB additional information '!$L$8/100)*(1-VLOOKUP(D123,'DB technologies'!$N$53:$Y$64,9,FALSE)/100)*'Calc (ex-housing, ex-storage)'!F123/100*VLOOKUP(D123,'DB technologies'!$N$53:$Y$64,11,FALSE)/100/VLOOKUP($C$122,'DB animal categories'!$C$42:$AC$51,27,FALSE)*AJ123,0))))</f>
        <v/>
      </c>
      <c r="AM123" s="442" t="str">
        <f>IF(D123="","",IF(AI123=2,(('Calc (ex-animal)'!$G$27*(1-'DB additional information '!$K$8/100)*(1-VLOOKUP(D123,'DB technologies'!$N$53:$Y$64,8,FALSE)/100)*'Calc (ex-housing, ex-storage)'!F123/100+'Calc (ex-animal)'!$H$27*(1-'DB additional information '!$L$8/100)*(1-VLOOKUP(D123,'DB technologies'!$N$53:$Y$64,8,FALSE)/100)*'Calc (ex-housing, ex-storage)'!F123/100))/VLOOKUP($C$122,'DB animal categories'!$C$42:$AC$51,27,FALSE)*AJ123+M123+N123+O123,IF(AI123=1,('Calc (ex-animal)'!$H$27*(1-'DB additional information '!$L$8/100)*(1-VLOOKUP(D123,'DB technologies'!$N$53:$Y$64,8,FALSE)/100)*'Calc (ex-housing, ex-storage)'!F123/100)/VLOOKUP($C$122,'DB animal categories'!$C$42:$AC$51,27,FALSE)*AJ123,IF(AI123=4,('Calc (ex-animal)'!$G$27*(1-'DB additional information '!$K$8/100)+'Calc (ex-animal)'!$H$27*(1-'DB additional information '!$L$8/100))*(1-VLOOKUP(D123,'DB technologies'!$N$53:$Y$64,8,FALSE)/100)*'Calc (ex-housing, ex-storage)'!F123/100*VLOOKUP(D123,'DB technologies'!$N$53:$Y$64,11,FALSE)/100/VLOOKUP($C$122,'DB animal categories'!$C$42:$AC$51,27,FALSE)*AJ123,0))))</f>
        <v/>
      </c>
      <c r="AN123" s="442" t="str">
        <f>IF(AI123="","",IF(AL123=0,0,AL123/AK123*100))</f>
        <v/>
      </c>
      <c r="AO123" s="182" t="str">
        <f>IF(D123="","",IF(AI123=2,(('Calc (ex-animal)'!$L$27*'Calc (ex-housing, ex-storage)'!F123/100+'Calc (ex-animal)'!$K$27*'Calc (ex-housing, ex-storage)'!F123/100))/VLOOKUP($C$122,'DB animal categories'!$C$42:$AC$51,27,FALSE)*AJ123+Q123+R123+S123-AC123,IF(AI123=1,('Calc (ex-animal)'!$L$27*'Calc (ex-housing, ex-storage)'!F123/100)/VLOOKUP($C$122,'DB animal categories'!$C$42:$AC$51,27,FALSE)*AJ123-'Calc (ex-housing, ex-storage)'!AC123,IF(AI123=4,('Calc (ex-animal)'!$L$27+'Calc (ex-animal)'!$K$27)*'Calc (ex-housing, ex-storage)'!F123/100*VLOOKUP(D123,'DB technologies'!$N$53:$Y$64,11,FALSE)/100/VLOOKUP($C$122,'DB animal categories'!$C$42:$AC$51,27,FALSE)*AJ123-AC123*VLOOKUP(D123,'DB technologies'!$N$53:$Y$64,11,FALSE)/100,0))))</f>
        <v/>
      </c>
      <c r="AP123" s="182" t="str">
        <f>IF(D123="","",IF(AO123&lt;-0.01,0,IF(AI123=2,(('Calc (ex-animal)'!$L$27*'Calc (ex-housing, ex-storage)'!F123/100+'Calc (ex-animal)'!$K$27*'Calc (ex-housing, ex-storage)'!F123/100))/VLOOKUP($C$122,'DB animal categories'!$C$42:$AC$51,27,FALSE)*AJ123+Q123+R123+S123-AC123,IF(AI123=1,('Calc (ex-animal)'!$L$27*'Calc (ex-housing, ex-storage)'!F123/100)/VLOOKUP($C$122,'DB animal categories'!$C$42:$AC$51,27,FALSE)*AJ123-'Calc (ex-housing, ex-storage)'!AC123,IF(AI123=4,('Calc (ex-animal)'!$L$27+'Calc (ex-animal)'!$K$27)*'Calc (ex-housing, ex-storage)'!F123/100*VLOOKUP(D123,'DB technologies'!$N$53:$Y$64,11,FALSE)/100/VLOOKUP($C$122,'DB animal categories'!$C$42:$AC$51,27,FALSE)*AJ123-AC123*VLOOKUP(D123,'DB technologies'!$N$53:$Y$64,11,FALSE)/100,0)))))</f>
        <v/>
      </c>
      <c r="AQ123" s="182" t="str">
        <f>IF(D123="","",IF(AI123=2,('Calc (ex-animal)'!$O$27*'Calc (ex-housing, ex-storage)'!F123/100+'Calc (ex-animal)'!$N$27*'Calc (ex-housing, ex-storage)'!F123/100)/VLOOKUP($C$122,'DB animal categories'!$C$42:$AC$51,27,FALSE)*AJ123+U123+V123+W123,IF(AI123=1,'Calc (ex-animal)'!$O$27*'Calc (ex-housing, ex-storage)'!F123/100/VLOOKUP($C$122,'DB animal categories'!$C$42:$AC$51,27,FALSE)*AJ123,IF(AI123=4,('Calc (ex-animal)'!$O$27+'Calc (ex-animal)'!$N$27)*'Calc (ex-housing, ex-storage)'!F123/100*VLOOKUP(D123,'DB technologies'!$N$53:$Y$64,11,FALSE)/100/VLOOKUP($C$122,'DB animal categories'!$C$42:$AC$51,27,FALSE)*AJ123,0))))</f>
        <v/>
      </c>
      <c r="AR123" s="182" t="str">
        <f>IF(D123="","",IF(AI123=2,('Calc (ex-animal)'!$R$27*'Calc (ex-housing, ex-storage)'!F123/100+'Calc (ex-animal)'!$Q$27*'Calc (ex-housing, ex-storage)'!F123/100)/VLOOKUP($C$122,'DB animal categories'!$C$42:$AC$51,27,FALSE)*AJ123+Y123+Z123+AA123,IF(AI123=1,'Calc (ex-animal)'!$R$27*'Calc (ex-housing, ex-storage)'!F123/100/VLOOKUP($C$122,'DB animal categories'!$C$42:$AC$51,27,FALSE)*AJ123,IF(AI123=4,('Calc (ex-animal)'!$R$27+'Calc (ex-animal)'!$Q$27)*'Calc (ex-housing, ex-storage)'!F123/100*VLOOKUP(D123,'DB technologies'!$N$53:$Y$64,11,FALSE)/100/VLOOKUP($C$122,'DB animal categories'!$C$42:$AC$51,27,FALSE)*AJ123,0))))</f>
        <v/>
      </c>
      <c r="AS123" s="181" t="str">
        <f>IF(D123="","",VLOOKUP(D123,'DB technologies'!$N$53:$Y$64,10,FALSE))</f>
        <v/>
      </c>
      <c r="AT123" s="442" t="str">
        <f>IF(AS123="","",AU123+AV123)</f>
        <v/>
      </c>
      <c r="AU123" s="442" t="str">
        <f>IF(D123="","",IF(AS123=2,0,IF(AS123=1,'Calc (ex-animal)'!$G$27*'DB additional information '!$K$8/100*(1-VLOOKUP(D123,'DB technologies'!$N$53:$Y$64,8,FALSE)/100)*'Calc (ex-housing, ex-storage)'!F123/100/VLOOKUP($C$122,'DB animal categories'!$C$42:$AC$51,27,FALSE)*AJ123+I123+J123+K123,IF(AS123=5,(('Calc (ex-animal)'!$G$27*'DB additional information '!$K$8/100+'Calc (ex-animal)'!$H$27*'DB additional information '!$L$8/100))*(1-VLOOKUP(D123,'DB technologies'!$N$53:$Y$64,9,FALSE)/100)*'Calc (ex-housing, ex-storage)'!F123/100/VLOOKUP($C$122,'DB animal categories'!$C$42:$AC$51,27,FALSE)*AJ123+I123+J123+K123,IF(AS123=3,('Calc (ex-animal)'!$G$27*'DB additional information '!$K$8/100+'Calc (ex-animal)'!$H$27*'DB additional information '!$L$8/100)*(1-VLOOKUP(D123,'DB technologies'!$N$53:$Y$64,9,FALSE)/100)*'Calc (ex-housing, ex-storage)'!F123/100/VLOOKUP($C$122,'DB animal categories'!$C$42:$AC$51,27,FALSE)*AJ123+I123+J123+K123,IF(AS123=4,('Calc (ex-animal)'!$G$27*'DB additional information '!$K$8/100+'Calc (ex-animal)'!$H$27*'DB additional information '!$L$8/100)*(1-VLOOKUP(D123,'DB technologies'!$N$53:$Y$64,9,FALSE)/100)*'Calc (ex-housing, ex-storage)'!F123/100*VLOOKUP(D123,'DB technologies'!$N$53:$Y$64,12,FALSE)/100/VLOOKUP($C$122,'DB animal categories'!$C$42:$AC$51,27,FALSE)*AJ123+I123+J123+K123,0))))))</f>
        <v/>
      </c>
      <c r="AV123" s="442" t="str">
        <f>IF(D123="","",IF(AS123=2,0,IF(AS123=1,'Calc (ex-animal)'!$G$27*(1-'DB additional information '!$K$8/100)*(1-VLOOKUP(D123,'DB technologies'!$N$53:$Y$64,8,FALSE)/100)*'Calc (ex-housing, ex-storage)'!F123/100/VLOOKUP($C$122,'DB animal categories'!$C$42:$AC$51,27,FALSE)*AJ123+M123+N123+O123,IF(AS123=5,('Calc (ex-animal)'!$G$27*(1-'DB additional information '!$K$8/100)+'Calc (ex-animal)'!$H$27*(1-'DB additional information '!$L$8/100))*(1-VLOOKUP(D123,'DB technologies'!$N$53:$Y$64,8,FALSE)/100)*'Calc (ex-housing, ex-storage)'!F123/100/VLOOKUP($C$122,'DB animal categories'!$C$42:$AC$51,27,FALSE)*AJ123+M123+N123+O123,IF(AS123=3,('Calc (ex-animal)'!$G$27*(1-'DB additional information '!$K$8/100)+'Calc (ex-animal)'!$H$27*(1-'DB additional information '!$L$8/100))*(1-VLOOKUP(D123,'DB technologies'!$N$53:$Y$64,8,FALSE)/100)*'Calc (ex-housing, ex-storage)'!F123/100/VLOOKUP($C$122,'DB animal categories'!$C$42:$AC$51,27,FALSE)*AJ123+M123+N123+O123,IF(AS123=4,('Calc (ex-animal)'!$G$27*(1-'DB additional information '!$K$8/100)+'Calc (ex-animal)'!$H$27*(1-'DB additional information '!$L$8/100))*(1-VLOOKUP(D123,'DB technologies'!$N$53:$Y$64,8,FALSE)/100)*'Calc (ex-housing, ex-storage)'!F123/100*VLOOKUP(D123,'DB technologies'!$N$53:$Y$64,12,FALSE)/100/VLOOKUP($C$122,'DB animal categories'!$C$42:$AC$51,27,FALSE)*AJ123+M123+N123+O123,0))))))</f>
        <v/>
      </c>
      <c r="AW123" s="442" t="str">
        <f>IF(AS123="","",IF(AU123=0,0,AU123/AT123*100))</f>
        <v/>
      </c>
      <c r="AX123" s="182" t="str">
        <f>IF(D123="","",IF(AS123=2,0,IF(AS123=1,'Calc (ex-animal)'!$K$27*'Calc (ex-housing, ex-storage)'!F123/100/VLOOKUP($C$122,'DB animal categories'!$C$42:$AC$51,27,FALSE)*AJ123+Q123+R123+S123,IF(AS123=5,('Calc (ex-animal)'!$K$27+'Calc (ex-animal)'!$L$27)*'Calc (ex-housing, ex-storage)'!F123/100/VLOOKUP($C$122,'DB animal categories'!$C$42:$AC$51,27,FALSE)*AJ123+Q123+R123+S123-'Calc (ex-housing, ex-storage)'!AC123,IF(AS123=3,('Calc (ex-animal)'!$K$27+'Calc (ex-animal)'!$L$27)*'Calc (ex-housing, ex-storage)'!F123/100/VLOOKUP($C$122,'DB animal categories'!$C$42:$AC$51,27,FALSE)*AJ123+Q123+R123+S123-'Calc (ex-housing, ex-storage)'!AC123-AD123-AE123,IF(AI123=4,('Calc (ex-animal)'!$K$27+'Calc (ex-animal)'!$L$27)*'Calc (ex-housing, ex-storage)'!F123/100*VLOOKUP(D123,'DB technologies'!$N$53:$Y$64,12,FALSE)/100/VLOOKUP($C$122,'DB animal categories'!$C$42:$AC$51,27,FALSE)*AJ123+Q123+R123+S123-(VLOOKUP(D123,'DB technologies'!$N$53:$Y$64,12,FALSE)/100*AC123)-AD123-AE123,0))))))</f>
        <v/>
      </c>
      <c r="AY123" s="182" t="str">
        <f>IF(D123="","",IF(AS123=2,0,IF(AS123=1,'Calc (ex-animal)'!$N$27*'Calc (ex-housing, ex-storage)'!F123/100/VLOOKUP($C$122,'DB animal categories'!$C$42:$AC$51,27,FALSE)*AJ123+U123+V123+W123,IF(AS123=5,('Calc (ex-animal)'!$N$27+'Calc (ex-animal)'!$O$27)*'Calc (ex-housing, ex-storage)'!F123/100/VLOOKUP($C$122,'DB animal categories'!$C$42:$AC$51,27,FALSE)*AJ123+U123+V123+W123,IF(AS123=3,('Calc (ex-animal)'!$N$27+'Calc (ex-animal)'!$O$27)*'Calc (ex-housing, ex-storage)'!F123/100/VLOOKUP($C$122,'DB animal categories'!$C$42:$AC$51,27,FALSE)*AJ123+U123+V123+W123,IF(AS123=4,('Calc (ex-animal)'!$N$27+'Calc (ex-animal)'!$O$27)*'Calc (ex-housing, ex-storage)'!F123/100*VLOOKUP(D123,'DB technologies'!$N$53:$Y$64,12,FALSE)/100/VLOOKUP($C$122,'DB animal categories'!$C$42:$AC$51,27,FALSE)*AJ123+U123+V123+W123,0))))))</f>
        <v/>
      </c>
      <c r="AZ123" s="182" t="str">
        <f>IF(D123="","",IF(AS123=2,0,IF(AS123=1,'Calc (ex-animal)'!$Q$27*'Calc (ex-housing, ex-storage)'!F123/100/VLOOKUP($C$122,'DB animal categories'!$C$42:$AC$51,27,FALSE)*AJ123+Y123+Z123+AA123,IF(AS123=5,('Calc (ex-animal)'!$Q$27+'Calc (ex-animal)'!$R$27)*'Calc (ex-housing, ex-storage)'!F123/100/VLOOKUP($C$122,'DB animal categories'!$C$42:$AC$51,27,FALSE)*AJ123+Y123+Z123+AA123,IF(AS123=3,('Calc (ex-animal)'!$Q$27+'Calc (ex-animal)'!$R$27)*'Calc (ex-housing, ex-storage)'!F123/100/VLOOKUP($C$122,'DB animal categories'!$C$42:$AC$51,27,FALSE)*AJ123+Y123+Z123+AA123,IF(AS123=4,('Calc (ex-animal)'!$Q$27+'Calc (ex-animal)'!$R$27)*'Calc (ex-housing, ex-storage)'!F123/100*VLOOKUP(D123,'DB technologies'!$N$53:$Y$64,12,FALSE)/100/VLOOKUP($C$122,'DB animal categories'!$C$42:$AC$51,27,FALSE)*AJ123+Y123+Z123+AA123,0))))))</f>
        <v/>
      </c>
      <c r="BA123" s="506"/>
      <c r="BB123" s="506"/>
      <c r="BC123" s="506"/>
      <c r="BG123" s="1357"/>
      <c r="BH123" s="1361"/>
      <c r="BI123" s="598" t="str">
        <f>IF(BG123="","",$BA$122*BH123/100-($BB$122*BH123/100*VLOOKUP(BG123,'DB technologies'!$AC$11:$AM$15,5,FALSE)/100)+(VLOOKUP(BG123,'DB technologies'!$AC$11:$AN$15,12,FALSE)*$BA$122*BH123/100))</f>
        <v/>
      </c>
      <c r="BJ123" s="551">
        <f>IF(BI123="",0,BI123*BK123/100)</f>
        <v>0</v>
      </c>
      <c r="BK123" s="571" t="str">
        <f>IF(BG123="","",($BB$122*BH123/100)/BI123*(1-(VLOOKUP(BG123,'DB technologies'!$AC$11:$AM$15,5,FALSE))/100)*100)</f>
        <v/>
      </c>
      <c r="BL123" s="261" t="str">
        <f>IF(BG123="","",$BD$122*BH123/100-BO123-BP123-BQ123)</f>
        <v/>
      </c>
      <c r="BM123" s="261" t="str">
        <f>IF(BG123="","",$BE$122*BH123/100)</f>
        <v/>
      </c>
      <c r="BN123" s="261" t="str">
        <f>IF(BG123="","",$BF$122*BH123/100)</f>
        <v/>
      </c>
      <c r="BO123" s="261" t="str">
        <f>IF(BG123="","",$BD$122*BH123/100*VLOOKUP(BG123,'DB technologies'!$AC$11:$AF$15,2,FALSE)/100)</f>
        <v/>
      </c>
      <c r="BP123" s="261" t="str">
        <f>IF(BG123="","",$BD$122*BH123/100*VLOOKUP(BG123,'DB technologies'!$AC$11:$AN$15,3,FALSE)/100)</f>
        <v/>
      </c>
      <c r="BQ123" s="262" t="str">
        <f>IF(BG123="","",$BD$122*BH123/100*VLOOKUP(BG123,'DB technologies'!$AC$11:$AN$15,4,FALSE)/100)</f>
        <v/>
      </c>
      <c r="BR123" s="117"/>
      <c r="BS123" s="117"/>
      <c r="BT123" s="118"/>
    </row>
    <row r="124" spans="1:72" ht="11.25" customHeight="1" x14ac:dyDescent="0.2">
      <c r="A124" s="684"/>
      <c r="B124" s="695"/>
      <c r="C124" s="251"/>
      <c r="D124" s="1357"/>
      <c r="E124" s="1358"/>
      <c r="F124" s="480" t="str">
        <f>IF('Calc (ex-animal)'!$F$9=1,"",IF($C$122=0,"",IF(D124="","",E124/'Calc (ex-animal)'!$E$27*100)))</f>
        <v/>
      </c>
      <c r="G124" s="485" t="str">
        <f>IF($C$122=0,"",IF('Calc (ex-animal)'!$F$8=1,"",IF(D124="","",SUM(H124:O124))))</f>
        <v/>
      </c>
      <c r="H124" s="423" t="str">
        <f>IF('Calc (ex-animal)'!$F$8=1,"",IF(D124="","",(((VLOOKUP($C$122,'Calc (ex-animal)'!$D$23:$Y$27,6,FALSE)-VLOOKUP($C$122,'Calc (ex-animal)'!$D$23:$Y$27,17,FALSE))*F124/100))*VLOOKUP($C$122,'Calc (ex-animal)'!$D$23:$Y$27,7,FALSE)/100*(1-VLOOKUP(D124,'DB technologies'!$N$53:$Y$64,9,FALSE)/100)))</f>
        <v/>
      </c>
      <c r="I124" s="423" t="str">
        <f>IF(D124="","",((VLOOKUP(D124,'DB technologies'!$N$53:$Y$64,2,FALSE)*VLOOKUP($C$122,'DB animal categories'!$C$42:$AC$51,27,FALSE)*E124/1000)/VLOOKUP($C$122,'DB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'!$S$6/100*(1-VLOOKUP(D124,'DB technologies'!$N$53:$Y$64,9,FALSE)/100)))</f>
        <v/>
      </c>
      <c r="J124" s="434" t="str">
        <f>IF(D124="","",((VLOOKUP(D124,'DB technologies'!$N$53:$Y$64,3,FALSE)*VLOOKUP($C$122,'DB animal categories'!$C$42:$AC$51,27,FALSE)*E124/1000)/VLOOKUP($C$122,'DB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'!$S$7/100*(1-VLOOKUP(D124,'DB technologies'!$N$53:$Y$64,9,FALSE)/100)))</f>
        <v/>
      </c>
      <c r="K124" s="434" t="str">
        <f>IF(D124="","",((VLOOKUP(D124,'DB technologies'!$N$53:$Y$64,4,FALSE)*E124*'DB additional information '!$S$8/100*(1-VLOOKUP(D124,'DB technologies'!$N$53:$Y$64,9,FALSE)/100))/VLOOKUP($C$122,'DB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L124" s="423" t="str">
        <f>IF('Calc (ex-animal)'!$F$8=1,"",IF(D124="","",(((VLOOKUP($C$122,'Calc (ex-animal)'!$D$23:$Y$27,6,FALSE)-VLOOKUP($C$122,'Calc (ex-animal)'!$D$23:$Y$27,17,FALSE))*F124/100))*(1-VLOOKUP($C$122,'Calc (ex-animal)'!$D$23:$Y$27,7,FALSE)/100)*(1-VLOOKUP(D124,'DB technologies'!$N$53:$V$64,8,FALSE)/100)))</f>
        <v/>
      </c>
      <c r="M124" s="434" t="str">
        <f>IF(D124="","",((VLOOKUP(D124,'DB technologies'!$N$53:$Y$64,2,FALSE)*VLOOKUP($C$122,'DB animal categories'!$C$42:$AC$51,27,FALSE)*E124/1000)/VLOOKUP($C$122,'DB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'!$S$6/100)*(1-VLOOKUP(D124,'DB technologies'!$N$53:$Y$64,9,FALSE)/100))</f>
        <v/>
      </c>
      <c r="N124" s="434" t="str">
        <f>IF(D124="","",((VLOOKUP(D124,'DB technologies'!$N$53:$Y$64,3,FALSE)*VLOOKUP($C$122,'DB animal categories'!$C$42:$AC$51,27,FALSE)*E124/1000)/VLOOKUP($C$122,'DB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'!$S$7/100)*(1-VLOOKUP(D124,'DB technologies'!$N$53:$Y$64,9,FALSE)/100))</f>
        <v/>
      </c>
      <c r="O124" s="423" t="str">
        <f>IF(D124="","",((VLOOKUP(D124,'DB technologies'!$N$53:$Y$64,4,FALSE)*E124*(1-'DB additional information '!$S$8/100)*(1-VLOOKUP(D124,'DB technologies'!$N$53:$Y$64,8,FALSE)/100))/VLOOKUP($C$122,'DB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P124" s="438" t="str">
        <f>IF(G124=0,0,IF(E124="","",IF(F124="","",IF($C$122=0,"",IF(D124="","",SUM(H124:K124)/G124*100)))))</f>
        <v/>
      </c>
      <c r="Q124" s="416" t="str">
        <f>IF(D124="","",(VLOOKUP(D124,'DB technologies'!$N$53:$Y$64,2,FALSE)*'DB additional information '!$S$6/100*'DB additional information '!$T$6*VLOOKUP($C$122,'DB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R124" s="416" t="str">
        <f>IF(D124="","",(VLOOKUP(D124,'DB technologies'!$N$53:$Y$64,3,FALSE)*'DB additional information '!$S$7/100*'DB additional information '!$T$7*VLOOKUP($C$122,'DB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S124" s="491" t="str">
        <f>IF(D124="","",(VLOOKUP(D124,'DB technologies'!$N$53:$Y$64,4,FALSE)*('DB additional information '!$S$8/100*'DB additional information '!$T$8*E124/1000/1000)))</f>
        <v/>
      </c>
      <c r="T124" s="264" t="str">
        <f>IF($C$122=0,"",IF('Calc (ex-animal)'!$F$9=1,"",IF(D124="","",((VLOOKUP($C$122,'Calc (ex-animal)'!$D$23:$Y$27,10,FALSE)-VLOOKUP($C$122,'Calc (ex-animal)'!$D$23:$Y$27,18,FALSE))*F124/100+Q124+R124+S124)-AC124-AD124-AE124)))</f>
        <v/>
      </c>
      <c r="U124" s="422" t="str">
        <f>IF(D124="","",(VLOOKUP(D124,'DB technologies'!$N$53:$Y$64,2,FALSE)*'DB additional information '!$S$6/100*'DB additional information '!$U$6*VLOOKUP($C$122,'DB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V124" s="418" t="str">
        <f>IF(D124="","",(VLOOKUP(D124,'DB technologies'!$N$53:$Y$64,3,FALSE)*'DB additional information '!$S$7/100*'DB additional information '!$U$7*VLOOKUP($C$122,'DB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W124" s="417" t="str">
        <f>IF(D124="","",(VLOOKUP(D124,'DB technologies'!$N$53:$Y$64,4,FALSE)*('DB additional information '!$S$8/100*'DB additional information '!$U$8*E124/1000/1000)))</f>
        <v/>
      </c>
      <c r="X124" s="261" t="str">
        <f>IF($C$122=0,"",IF('Calc (ex-animal)'!$F$9=1,"",IF(D124="","",((VLOOKUP($C$122,'Calc (ex-animal)'!$D$23:$Y$27,13,FALSE)-VLOOKUP($C$122,'Calc (ex-animal)'!$D$23:$Y$27,19,FALSE))*F124/100+U124+V124+W124))))</f>
        <v/>
      </c>
      <c r="Y124" s="418" t="str">
        <f>IF(D124="","",(VLOOKUP(D124,'DB technologies'!$N$53:$Y$64,2,FALSE)*'DB additional information '!$S$6/100*'DB additional information '!$V$6*VLOOKUP($C$122,'DB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Z124" s="418" t="str">
        <f>IF(D124="","",(VLOOKUP(D124,'DB technologies'!$N$53:$Y$64,3,FALSE)*'DB additional information '!$S$7/100*'DB additional information '!$V$7*VLOOKUP($C$122,'DB animal categories'!$C$42:$AC$51,27,FALSE)*E124/1000/1000)/VLOOKUP($C$122,'DB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AA124" s="418" t="str">
        <f>IF(D124="","",(VLOOKUP(D124,'DB technologies'!$N$53:$Y$64,4,FALSE)*('DB additional information '!$S$8/100*'DB additional information '!$V$8*E124/1000/1000)))</f>
        <v/>
      </c>
      <c r="AB124" s="261" t="str">
        <f>IF($C$122=0,"",IF('Calc (ex-animal)'!$F$8=1,"",IF(D124="","",((VLOOKUP($C$122,'Calc (ex-animal)'!$D$23:$Y$27,16,FALSE)-VLOOKUP($C$122,'Calc (ex-animal)'!$D$23:$Y$27,20,FALSE))*F124/100+Y124+Z124+AA124))))</f>
        <v/>
      </c>
      <c r="AC124" s="261" t="str">
        <f>IF($C$122=0,"",IF('Calc (ex-animal)'!$F$8=1,"",IF(D124="","",VLOOKUP($C$122,'Calc (ex-animal)'!$D$23:$Y$27,9,FALSE)/VLOOKUP($C$122,'DB animal categories'!$C$42:$AC$51,27,FALSE)*(VLOOKUP($C$122,'DB animal categories'!$C$42:$AC$51,27,FALSE)-VLOOKUP($C$122,'DB animal categories'!$C$42:$AC$51,25,FALSE)*VLOOKUP($C$122,'DB animal categories'!$C$42:$AC$51,26,FALSE)/24)*F124/100*VLOOKUP(D124,'DB technologies'!$N$53:$R$64,5,FALSE)/100)))</f>
        <v/>
      </c>
      <c r="AD124" s="261" t="str">
        <f>IF($C$122=0,"",IF('Calc (ex-animal)'!$F$8=1,"",IF(D124="","",VLOOKUP($C$122,'Calc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categories'!$C$42:$AC$51,26,FALSE)/24)*F124/100*VLOOKUP(D124,'DB technologies'!$N$53:$Y$64,6,FALSE)/100)))</f>
        <v/>
      </c>
      <c r="AE124" s="262" t="str">
        <f>IF($C$122=0,"",IF('Calc (ex-animal)'!$F$8=1,"",IF(D124="","",VLOOKUP($C$122,'Calc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categories'!$C$42:$AC$51,26,FALSE)/24)*F124/100*VLOOKUP(D124,'DB technologies'!$N$53:$Y$64,7,FALSE)/100)))</f>
        <v/>
      </c>
      <c r="AG124" s="698"/>
      <c r="AH124" s="695"/>
      <c r="AI124" s="181" t="str">
        <f>IF(D124="","",VLOOKUP(D124,'DB technologies'!$N$53:$Y$64,10,FALSE))</f>
        <v/>
      </c>
      <c r="AJ124" s="449" t="e">
        <f>VLOOKUP($C$122,'DB animal categories'!$C$42:$AN$51,27,FALSE)-VLOOKUP($C$122,'DB animal categories'!$C$42:$AN$51,26,FALSE)*VLOOKUP($C$122,'DB animal categories'!$C$42:$AN$51,25,FALSE)/24</f>
        <v>#N/A</v>
      </c>
      <c r="AK124" s="442" t="str">
        <f>IF(AI124="","",AL124+AM124)</f>
        <v/>
      </c>
      <c r="AL124" s="442" t="str">
        <f>IF(D124="","",IF(AI124=2,(('Calc (ex-animal)'!$G$27*'DB additional information '!$K$8/100*(1-VLOOKUP(D124,'DB technologies'!$N$53:$Y$64,9,FALSE)/100)*'Calc (ex-housing, ex-storage)'!F124/100+'Calc (ex-animal)'!$H$27*'DB additional information '!$L$8/100*(1-VLOOKUP(D124,'DB technologies'!$N$53:$Y$64,9,FALSE)/100)*'Calc (ex-housing, ex-storage)'!F124/100))/VLOOKUP($C$122,'DB animal categories'!$C$42:$AC$51,27,FALSE)*AJ124+I124+J124+K124,IF(AI124=1,('Calc (ex-animal)'!$H$27*'DB additional information '!$L$8/100*(1-VLOOKUP(D124,'DB technologies'!$N$53:$Y$64,9,FALSE)/100)*'Calc (ex-housing, ex-storage)'!F124/100)/VLOOKUP($C$122,'DB animal categories'!$C$42:$AC$51,27,FALSE)*AJ124,IF(AI124=4,('Calc (ex-animal)'!$G$27*'DB additional information '!$K$8/100+'Calc (ex-animal)'!$H$27*'DB additional information '!$L$8/100)*(1-VLOOKUP(D124,'DB technologies'!$N$53:$Y$64,9,FALSE)/100)*'Calc (ex-housing, ex-storage)'!F124/100*VLOOKUP(D124,'DB technologies'!$N$53:$Y$64,11,FALSE)/100/VLOOKUP($C$122,'DB animal categories'!$C$42:$AC$51,27,FALSE)*AJ124,0))))</f>
        <v/>
      </c>
      <c r="AM124" s="442" t="str">
        <f>IF(D124="","",IF(AI124=2,(('Calc (ex-animal)'!$G$27*(1-'DB additional information '!$K$8/100)*(1-VLOOKUP(D124,'DB technologies'!$N$53:$Y$64,8,FALSE)/100)*'Calc (ex-housing, ex-storage)'!F124/100+'Calc (ex-animal)'!$H$27*(1-'DB additional information '!$L$8/100)*(1-VLOOKUP(D124,'DB technologies'!$N$53:$Y$64,8,FALSE)/100)*'Calc (ex-housing, ex-storage)'!F124/100))/VLOOKUP($C$122,'DB animal categories'!$C$42:$AC$51,27,FALSE)*AJ124+M124+N124+O124,IF(AI124=1,('Calc (ex-animal)'!$H$27*(1-'DB additional information '!$L$8/100)*(1-VLOOKUP(D124,'DB technologies'!$N$53:$Y$64,8,FALSE)/100)*'Calc (ex-housing, ex-storage)'!F124/100)/VLOOKUP($C$122,'DB animal categories'!$C$42:$AC$51,27,FALSE)*AJ124,IF(AI124=4,('Calc (ex-animal)'!$G$27*(1-'DB additional information '!$K$8/100)+'Calc (ex-animal)'!$H$27*(1-'DB additional information '!$L$8/100))*(1-VLOOKUP(D124,'DB technologies'!$N$53:$Y$64,8,FALSE)/100)*'Calc (ex-housing, ex-storage)'!F124/100*VLOOKUP(D124,'DB technologies'!$N$53:$Y$64,11,FALSE)/100/VLOOKUP($C$122,'DB animal categories'!$C$42:$AC$51,27,FALSE)*AJ124,0))))</f>
        <v/>
      </c>
      <c r="AN124" s="442" t="str">
        <f>IF(AI124="","",IF(AL124=0,0,AL124/AK124*100))</f>
        <v/>
      </c>
      <c r="AO124" s="182" t="str">
        <f>IF(D124="","",IF(AI124=2,(('Calc (ex-animal)'!$L$27*'Calc (ex-housing, ex-storage)'!F124/100+'Calc (ex-animal)'!$K$27*'Calc (ex-housing, ex-storage)'!F124/100))/VLOOKUP($C$122,'DB animal categories'!$C$42:$AC$51,27,FALSE)*AJ124+Q124+R124+S124-AC124,IF(AI124=1,('Calc (ex-animal)'!$L$27*'Calc (ex-housing, ex-storage)'!F124/100)/VLOOKUP($C$122,'DB animal categories'!$C$42:$AC$51,27,FALSE)*AJ124-'Calc (ex-housing, ex-storage)'!AC124,IF(AI124=4,('Calc (ex-animal)'!$L$27+'Calc (ex-animal)'!$K$27)*'Calc (ex-housing, ex-storage)'!F124/100*VLOOKUP(D124,'DB technologies'!$N$53:$Y$64,11,FALSE)/100/VLOOKUP($C$122,'DB animal categories'!$C$42:$AC$51,27,FALSE)*AJ124-AC124*VLOOKUP(D124,'DB technologies'!$N$53:$Y$64,11,FALSE)/100,0))))</f>
        <v/>
      </c>
      <c r="AP124" s="182" t="str">
        <f>IF(D124="","",IF(AO124&lt;-0.01,0,IF(AI124=2,(('Calc (ex-animal)'!$L$27*'Calc (ex-housing, ex-storage)'!F124/100+'Calc (ex-animal)'!$K$27*'Calc (ex-housing, ex-storage)'!F124/100))/VLOOKUP($C$122,'DB animal categories'!$C$42:$AC$51,27,FALSE)*AJ124+Q124+R124+S124-AC124,IF(AI124=1,('Calc (ex-animal)'!$L$27*'Calc (ex-housing, ex-storage)'!F124/100)/VLOOKUP($C$122,'DB animal categories'!$C$42:$AC$51,27,FALSE)*AJ124-'Calc (ex-housing, ex-storage)'!AC124,IF(AI124=4,('Calc (ex-animal)'!$L$27+'Calc (ex-animal)'!$K$27)*'Calc (ex-housing, ex-storage)'!F124/100*VLOOKUP(D124,'DB technologies'!$N$53:$Y$64,11,FALSE)/100/VLOOKUP($C$122,'DB animal categories'!$C$42:$AC$51,27,FALSE)*AJ124-AC124*VLOOKUP(D124,'DB technologies'!$N$53:$Y$64,11,FALSE)/100,0)))))</f>
        <v/>
      </c>
      <c r="AQ124" s="182" t="str">
        <f>IF(D124="","",IF(AI124=2,('Calc (ex-animal)'!$O$27*'Calc (ex-housing, ex-storage)'!F124/100+'Calc (ex-animal)'!$N$27*'Calc (ex-housing, ex-storage)'!F124/100)/VLOOKUP($C$122,'DB animal categories'!$C$42:$AC$51,27,FALSE)*AJ124+U124+V124+W124,IF(AI124=1,'Calc (ex-animal)'!$O$27*'Calc (ex-housing, ex-storage)'!F124/100/VLOOKUP($C$122,'DB animal categories'!$C$42:$AC$51,27,FALSE)*AJ124,IF(AI124=4,('Calc (ex-animal)'!$O$27+'Calc (ex-animal)'!$N$27)*'Calc (ex-housing, ex-storage)'!F124/100*VLOOKUP(D124,'DB technologies'!$N$53:$Y$64,11,FALSE)/100/VLOOKUP($C$122,'DB animal categories'!$C$42:$AC$51,27,FALSE)*AJ124,0))))</f>
        <v/>
      </c>
      <c r="AR124" s="182" t="str">
        <f>IF(D124="","",IF(AI124=2,('Calc (ex-animal)'!$R$27*'Calc (ex-housing, ex-storage)'!F124/100+'Calc (ex-animal)'!$Q$27*'Calc (ex-housing, ex-storage)'!F124/100)/VLOOKUP($C$122,'DB animal categories'!$C$42:$AC$51,27,FALSE)*AJ124+Y124+Z124+AA124,IF(AI124=1,'Calc (ex-animal)'!$R$27*'Calc (ex-housing, ex-storage)'!F124/100/VLOOKUP($C$122,'DB animal categories'!$C$42:$AC$51,27,FALSE)*AJ124,IF(AI124=4,('Calc (ex-animal)'!$R$27+'Calc (ex-animal)'!$Q$27)*'Calc (ex-housing, ex-storage)'!F124/100*VLOOKUP(D124,'DB technologies'!$N$53:$Y$64,11,FALSE)/100/VLOOKUP($C$122,'DB animal categories'!$C$42:$AC$51,27,FALSE)*AJ124,0))))</f>
        <v/>
      </c>
      <c r="AS124" s="181" t="str">
        <f>IF(D124="","",VLOOKUP(D124,'DB technologies'!$N$53:$Y$64,10,FALSE))</f>
        <v/>
      </c>
      <c r="AT124" s="442" t="str">
        <f>IF(AS124="","",AU124+AV124)</f>
        <v/>
      </c>
      <c r="AU124" s="442" t="str">
        <f>IF(D124="","",IF(AS124=2,0,IF(AS124=1,'Calc (ex-animal)'!$G$27*'DB additional information '!$K$8/100*(1-VLOOKUP(D124,'DB technologies'!$N$53:$Y$64,8,FALSE)/100)*'Calc (ex-housing, ex-storage)'!F124/100/VLOOKUP($C$122,'DB animal categories'!$C$42:$AC$51,27,FALSE)*AJ124+I124+J124+K124,IF(AS124=5,(('Calc (ex-animal)'!$G$27*'DB additional information '!$K$8/100+'Calc (ex-animal)'!$H$27*'DB additional information '!$L$8/100))*(1-VLOOKUP(D124,'DB technologies'!$N$53:$Y$64,9,FALSE)/100)*'Calc (ex-housing, ex-storage)'!F124/100/VLOOKUP($C$122,'DB animal categories'!$C$42:$AC$51,27,FALSE)*AJ124+I124+J124+K124,IF(AS124=3,('Calc (ex-animal)'!$G$27*'DB additional information '!$K$8/100+'Calc (ex-animal)'!$H$27*'DB additional information '!$L$8/100)*(1-VLOOKUP(D124,'DB technologies'!$N$53:$Y$64,9,FALSE)/100)*'Calc (ex-housing, ex-storage)'!F124/100/VLOOKUP($C$122,'DB animal categories'!$C$42:$AC$51,27,FALSE)*AJ124+I124+J124+K124,IF(AS124=4,('Calc (ex-animal)'!$G$27*'DB additional information '!$K$8/100+'Calc (ex-animal)'!$H$27*'DB additional information '!$L$8/100)*(1-VLOOKUP(D124,'DB technologies'!$N$53:$Y$64,9,FALSE)/100)*'Calc (ex-housing, ex-storage)'!F124/100*VLOOKUP(D124,'DB technologies'!$N$53:$Y$64,12,FALSE)/100/VLOOKUP($C$122,'DB animal categories'!$C$42:$AC$51,27,FALSE)*AJ124+I124+J124+K124,0))))))</f>
        <v/>
      </c>
      <c r="AV124" s="442" t="str">
        <f>IF(D124="","",IF(AS124=2,0,IF(AS124=1,'Calc (ex-animal)'!$G$27*(1-'DB additional information '!$K$8/100)*(1-VLOOKUP(D124,'DB technologies'!$N$53:$Y$64,8,FALSE)/100)*'Calc (ex-housing, ex-storage)'!F124/100/VLOOKUP($C$122,'DB animal categories'!$C$42:$AC$51,27,FALSE)*AJ124+M124+N124+O124,IF(AS124=5,('Calc (ex-animal)'!$G$27*(1-'DB additional information '!$K$8/100)+'Calc (ex-animal)'!$H$27*(1-'DB additional information '!$L$8/100))*(1-VLOOKUP(D124,'DB technologies'!$N$53:$Y$64,8,FALSE)/100)*'Calc (ex-housing, ex-storage)'!F124/100/VLOOKUP($C$122,'DB animal categories'!$C$42:$AC$51,27,FALSE)*AJ124+M124+N124+O124,IF(AS124=3,('Calc (ex-animal)'!$G$27*(1-'DB additional information '!$K$8/100)+'Calc (ex-animal)'!$H$27*(1-'DB additional information '!$L$8/100))*(1-VLOOKUP(D124,'DB technologies'!$N$53:$Y$64,8,FALSE)/100)*'Calc (ex-housing, ex-storage)'!F124/100/VLOOKUP($C$122,'DB animal categories'!$C$42:$AC$51,27,FALSE)*AJ124+M124+N124+O124,IF(AS124=4,('Calc (ex-animal)'!$G$27*(1-'DB additional information '!$K$8/100)+'Calc (ex-animal)'!$H$27*(1-'DB additional information '!$L$8/100))*(1-VLOOKUP(D124,'DB technologies'!$N$53:$Y$64,8,FALSE)/100)*'Calc (ex-housing, ex-storage)'!F124/100*VLOOKUP(D124,'DB technologies'!$N$53:$Y$64,12,FALSE)/100/VLOOKUP($C$122,'DB animal categories'!$C$42:$AC$51,27,FALSE)*AJ124+M124+N124+O124,0))))))</f>
        <v/>
      </c>
      <c r="AW124" s="442" t="str">
        <f>IF(AS124="","",IF(AU124=0,0,AU124/AT124*100))</f>
        <v/>
      </c>
      <c r="AX124" s="182" t="str">
        <f>IF(D124="","",IF(AS124=2,0,IF(AS124=1,'Calc (ex-animal)'!$K$27*'Calc (ex-housing, ex-storage)'!F124/100/VLOOKUP($C$122,'DB animal categories'!$C$42:$AC$51,27,FALSE)*AJ124+Q124+R124+S124,IF(AS124=5,('Calc (ex-animal)'!$K$27+'Calc (ex-animal)'!$L$27)*'Calc (ex-housing, ex-storage)'!F124/100/VLOOKUP($C$122,'DB animal categories'!$C$42:$AC$51,27,FALSE)*AJ124+Q124+R124+S124-'Calc (ex-housing, ex-storage)'!AC124,IF(AS124=3,('Calc (ex-animal)'!$K$27+'Calc (ex-animal)'!$L$27)*'Calc (ex-housing, ex-storage)'!F124/100/VLOOKUP($C$122,'DB animal categories'!$C$42:$AC$51,27,FALSE)*AJ124+Q124+R124+S124-'Calc (ex-housing, ex-storage)'!AC124-AD124-AE124,IF(AI124=4,('Calc (ex-animal)'!$K$27+'Calc (ex-animal)'!$L$27)*'Calc (ex-housing, ex-storage)'!F124/100*VLOOKUP(D124,'DB technologies'!$N$53:$Y$64,12,FALSE)/100/VLOOKUP($C$122,'DB animal categories'!$C$42:$AC$51,27,FALSE)*AJ124+Q124+R124+S124-(VLOOKUP(D124,'DB technologies'!$N$53:$Y$64,12,FALSE)/100*AC124)-AD124-AE124,0))))))</f>
        <v/>
      </c>
      <c r="AY124" s="182" t="str">
        <f>IF(D124="","",IF(AS124=2,0,IF(AS124=1,'Calc (ex-animal)'!$N$27*'Calc (ex-housing, ex-storage)'!F124/100/VLOOKUP($C$122,'DB animal categories'!$C$42:$AC$51,27,FALSE)*AJ124+U124+V124+W124,IF(AS124=5,('Calc (ex-animal)'!$N$27+'Calc (ex-animal)'!$O$27)*'Calc (ex-housing, ex-storage)'!F124/100/VLOOKUP($C$122,'DB animal categories'!$C$42:$AC$51,27,FALSE)*AJ124+U124+V124+W124,IF(AS124=3,('Calc (ex-animal)'!$N$27+'Calc (ex-animal)'!$O$27)*'Calc (ex-housing, ex-storage)'!F124/100/VLOOKUP($C$122,'DB animal categories'!$C$42:$AC$51,27,FALSE)*AJ124+U124+V124+W124,IF(AS124=4,('Calc (ex-animal)'!$N$27+'Calc (ex-animal)'!$O$27)*'Calc (ex-housing, ex-storage)'!F124/100*VLOOKUP(D124,'DB technologies'!$N$53:$Y$64,12,FALSE)/100/VLOOKUP($C$122,'DB animal categories'!$C$42:$AC$51,27,FALSE)*AJ124+U124+V124+W124,0))))))</f>
        <v/>
      </c>
      <c r="AZ124" s="182" t="str">
        <f>IF(D124="","",IF(AS124=2,0,IF(AS124=1,'Calc (ex-animal)'!$Q$27*'Calc (ex-housing, ex-storage)'!F124/100/VLOOKUP($C$122,'DB animal categories'!$C$42:$AC$51,27,FALSE)*AJ124+Y124+Z124+AA124,IF(AS124=5,('Calc (ex-animal)'!$Q$27+'Calc (ex-animal)'!$R$27)*'Calc (ex-housing, ex-storage)'!F124/100/VLOOKUP($C$122,'DB animal categories'!$C$42:$AC$51,27,FALSE)*AJ124+Y124+Z124+AA124,IF(AS124=3,('Calc (ex-animal)'!$Q$27+'Calc (ex-animal)'!$R$27)*'Calc (ex-housing, ex-storage)'!F124/100/VLOOKUP($C$122,'DB animal categories'!$C$42:$AC$51,27,FALSE)*AJ124+Y124+Z124+AA124,IF(AS124=4,('Calc (ex-animal)'!$Q$27+'Calc (ex-animal)'!$R$27)*'Calc (ex-housing, ex-storage)'!F124/100*VLOOKUP(D124,'DB technologies'!$N$53:$Y$64,12,FALSE)/100/VLOOKUP($C$122,'DB animal categories'!$C$42:$AC$51,27,FALSE)*AJ124+Y124+Z124+AA124,0))))))</f>
        <v/>
      </c>
      <c r="BA124" s="506"/>
      <c r="BB124" s="506"/>
      <c r="BC124" s="506"/>
      <c r="BG124" s="1357"/>
      <c r="BH124" s="1361"/>
      <c r="BI124" s="598" t="str">
        <f>IF(BG124="","",$BA$122*BH124/100-($BB$122*BH124/100*VLOOKUP(BG124,'DB technologies'!$AC$11:$AM$15,5,FALSE)/100)+(VLOOKUP(BG124,'DB technologies'!$AC$11:$AN$15,12,FALSE)*$BA$122*BH124/100))</f>
        <v/>
      </c>
      <c r="BJ124" s="551">
        <f>IF(BI124="",0,BI124*BK124/100)</f>
        <v>0</v>
      </c>
      <c r="BK124" s="571" t="str">
        <f>IF(BG124="","",($BB$122*BH124/100)/BI124*(1-(VLOOKUP(BG124,'DB technologies'!$AC$11:$AM$15,5,FALSE))/100)*100)</f>
        <v/>
      </c>
      <c r="BL124" s="261" t="str">
        <f>IF(BG124="","",$BD$122*BH124/100-BO124-BP124-BQ124)</f>
        <v/>
      </c>
      <c r="BM124" s="261" t="str">
        <f>IF(BG124="","",$BE$122*BH124/100)</f>
        <v/>
      </c>
      <c r="BN124" s="261" t="str">
        <f>IF(BG124="","",$BF$122*BH124/100)</f>
        <v/>
      </c>
      <c r="BO124" s="261" t="str">
        <f>IF(BG124="","",$BD$122*BH124/100*VLOOKUP(BG124,'DB technologies'!$AC$11:$AF$15,2,FALSE)/100)</f>
        <v/>
      </c>
      <c r="BP124" s="261" t="str">
        <f>IF(BG124="","",$BD$122*BH124/100*VLOOKUP(BG124,'DB technologies'!$AC$11:$AN$15,3,FALSE)/100)</f>
        <v/>
      </c>
      <c r="BQ124" s="262" t="str">
        <f>IF(BG124="","",$BD$122*BH124/100*VLOOKUP(BG124,'DB technologies'!$AC$11:$AN$15,4,FALSE)/100)</f>
        <v/>
      </c>
      <c r="BR124" s="117"/>
      <c r="BS124" s="117"/>
      <c r="BT124" s="118"/>
    </row>
    <row r="125" spans="1:72" ht="11.25" customHeight="1" x14ac:dyDescent="0.2">
      <c r="A125" s="684"/>
      <c r="B125" s="695"/>
      <c r="C125" s="251"/>
      <c r="D125" s="1357"/>
      <c r="E125" s="1358"/>
      <c r="F125" s="480" t="str">
        <f>IF('Calc (ex-animal)'!$F$9=1,"",IF($C$122=0,"",IF(D125="","",E125/'Calc (ex-animal)'!$E$27*100)))</f>
        <v/>
      </c>
      <c r="G125" s="485" t="str">
        <f>IF($C$122=0,"",IF('Calc (ex-animal)'!$F$8=1,"",IF(D125="","",SUM(H125:O125))))</f>
        <v/>
      </c>
      <c r="H125" s="423" t="str">
        <f>IF('Calc (ex-animal)'!$F$8=1,"",IF(D125="","",(((VLOOKUP($C$122,'Calc (ex-animal)'!$D$23:$Y$27,6,FALSE)-VLOOKUP($C$122,'Calc (ex-animal)'!$D$23:$Y$27,17,FALSE))*F125/100))*VLOOKUP($C$122,'Calc (ex-animal)'!$D$23:$Y$27,7,FALSE)/100*(1-VLOOKUP(D125,'DB technologies'!$N$53:$Y$64,9,FALSE)/100)))</f>
        <v/>
      </c>
      <c r="I125" s="423" t="str">
        <f>IF(D125="","",((VLOOKUP(D125,'DB technologies'!$N$53:$Y$64,2,FALSE)*VLOOKUP($C$122,'DB animal categories'!$C$42:$AC$51,27,FALSE)*E125/1000)/VLOOKUP($C$122,'DB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'!$S$6/100*(1-VLOOKUP(D125,'DB technologies'!$N$53:$Y$64,9,FALSE)/100)))</f>
        <v/>
      </c>
      <c r="J125" s="434" t="str">
        <f>IF(D125="","",((VLOOKUP(D125,'DB technologies'!$N$53:$Y$64,3,FALSE)*VLOOKUP($C$122,'DB animal categories'!$C$42:$AC$51,27,FALSE)*E125/1000)/VLOOKUP($C$122,'DB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'!$S$7/100*(1-VLOOKUP(D125,'DB technologies'!$N$53:$Y$64,9,FALSE)/100)))</f>
        <v/>
      </c>
      <c r="K125" s="434" t="str">
        <f>IF(D125="","",((VLOOKUP(D125,'DB technologies'!$N$53:$Y$64,4,FALSE)*E125*'DB additional information '!$S$8/100*(1-VLOOKUP(D125,'DB technologies'!$N$53:$Y$64,9,FALSE)/100))/VLOOKUP($C$122,'DB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L125" s="423" t="str">
        <f>IF('Calc (ex-animal)'!$F$8=1,"",IF(D125="","",(((VLOOKUP($C$122,'Calc (ex-animal)'!$D$23:$Y$27,6,FALSE)-VLOOKUP($C$122,'Calc (ex-animal)'!$D$23:$Y$27,17,FALSE))*F125/100))*(1-VLOOKUP($C$122,'Calc (ex-animal)'!$D$23:$Y$27,7,FALSE)/100)*(1-VLOOKUP(D125,'DB technologies'!$N$53:$V$64,8,FALSE)/100)))</f>
        <v/>
      </c>
      <c r="M125" s="434" t="str">
        <f>IF(D125="","",((VLOOKUP(D125,'DB technologies'!$N$53:$Y$64,2,FALSE)*VLOOKUP($C$122,'DB animal categories'!$C$42:$AC$51,27,FALSE)*E125/1000)/VLOOKUP($C$122,'DB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'!$S$6/100)*(1-VLOOKUP(D125,'DB technologies'!$N$53:$Y$64,9,FALSE)/100))</f>
        <v/>
      </c>
      <c r="N125" s="434" t="str">
        <f>IF(D125="","",((VLOOKUP(D125,'DB technologies'!$N$53:$Y$64,3,FALSE)*VLOOKUP($C$122,'DB animal categories'!$C$42:$AC$51,27,FALSE)*E125/1000)/VLOOKUP($C$122,'DB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'!$S$7/100)*(1-VLOOKUP(D125,'DB technologies'!$N$53:$Y$64,9,FALSE)/100))</f>
        <v/>
      </c>
      <c r="O125" s="423" t="str">
        <f>IF(D125="","",((VLOOKUP(D125,'DB technologies'!$N$53:$Y$64,4,FALSE)*E125*(1-'DB additional information '!$S$8/100)*(1-VLOOKUP(D125,'DB technologies'!$N$53:$Y$64,8,FALSE)/100))/VLOOKUP($C$122,'DB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P125" s="438" t="str">
        <f>IF(G125=0,0,IF(E125="","",IF(F125="","",IF($C$122=0,"",IF(D125="","",SUM(H125:K125)/G125*100)))))</f>
        <v/>
      </c>
      <c r="Q125" s="416" t="str">
        <f>IF(D125="","",(VLOOKUP(D125,'DB technologies'!$N$53:$Y$64,2,FALSE)*'DB additional information '!$S$6/100*'DB additional information '!$T$6*VLOOKUP($C$122,'DB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R125" s="416" t="str">
        <f>IF(D125="","",(VLOOKUP(D125,'DB technologies'!$N$53:$Y$64,3,FALSE)*'DB additional information '!$S$7/100*'DB additional information '!$T$7*VLOOKUP($C$122,'DB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S125" s="491" t="str">
        <f>IF(D125="","",(VLOOKUP(D125,'DB technologies'!$N$53:$Y$64,4,FALSE)*('DB additional information '!$S$8/100*'DB additional information '!$T$8*E125/1000/1000)))</f>
        <v/>
      </c>
      <c r="T125" s="264" t="str">
        <f>IF($C$122=0,"",IF('Calc (ex-animal)'!$F$9=1,"",IF(D125="","",((VLOOKUP($C$122,'Calc (ex-animal)'!$D$23:$Y$27,10,FALSE)-VLOOKUP($C$122,'Calc (ex-animal)'!$D$23:$Y$27,18,FALSE))*F125/100+Q125+R125+S125)-AC125-AD125-AE125)))</f>
        <v/>
      </c>
      <c r="U125" s="422" t="str">
        <f>IF(D125="","",(VLOOKUP(D125,'DB technologies'!$N$53:$Y$64,2,FALSE)*'DB additional information '!$S$6/100*'DB additional information '!$U$6*VLOOKUP($C$122,'DB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V125" s="418" t="str">
        <f>IF(D125="","",(VLOOKUP(D125,'DB technologies'!$N$53:$Y$64,3,FALSE)*'DB additional information '!$S$7/100*'DB additional information '!$U$7*VLOOKUP($C$122,'DB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W125" s="417" t="str">
        <f>IF(D125="","",(VLOOKUP(D125,'DB technologies'!$N$53:$Y$64,4,FALSE)*('DB additional information '!$S$8/100*'DB additional information '!$U$8*E125/1000/1000)))</f>
        <v/>
      </c>
      <c r="X125" s="261" t="str">
        <f>IF($C$122=0,"",IF('Calc (ex-animal)'!$F$9=1,"",IF(D125="","",((VLOOKUP($C$122,'Calc (ex-animal)'!$D$23:$Y$27,13,FALSE)-VLOOKUP($C$122,'Calc (ex-animal)'!$D$23:$Y$27,19,FALSE))*F125/100+U125+V125+W125))))</f>
        <v/>
      </c>
      <c r="Y125" s="418" t="str">
        <f>IF(D125="","",(VLOOKUP(D125,'DB technologies'!$N$53:$Y$64,2,FALSE)*'DB additional information '!$S$6/100*'DB additional information '!$V$6*VLOOKUP($C$122,'DB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Z125" s="418" t="str">
        <f>IF(D125="","",(VLOOKUP(D125,'DB technologies'!$N$53:$Y$64,3,FALSE)*'DB additional information '!$S$7/100*'DB additional information '!$V$7*VLOOKUP($C$122,'DB animal categories'!$C$42:$AC$51,27,FALSE)*E125/1000/1000)/VLOOKUP($C$122,'DB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AA125" s="418" t="str">
        <f>IF(D125="","",(VLOOKUP(D125,'DB technologies'!$N$53:$Y$64,4,FALSE)*('DB additional information '!$S$8/100*'DB additional information '!$V$8*E125/1000/1000)))</f>
        <v/>
      </c>
      <c r="AB125" s="261" t="str">
        <f>IF($C$122=0,"",IF('Calc (ex-animal)'!$F$8=1,"",IF(D125="","",((VLOOKUP($C$122,'Calc (ex-animal)'!$D$23:$Y$27,16,FALSE)-VLOOKUP($C$122,'Calc (ex-animal)'!$D$23:$Y$27,20,FALSE))*F125/100+Y125+Z125+AA125))))</f>
        <v/>
      </c>
      <c r="AC125" s="261" t="str">
        <f>IF($C$122=0,"",IF('Calc (ex-animal)'!$F$8=1,"",IF(D125="","",VLOOKUP($C$122,'Calc (ex-animal)'!$D$23:$Y$27,9,FALSE)/VLOOKUP($C$122,'DB animal categories'!$C$42:$AC$51,27,FALSE)*(VLOOKUP($C$122,'DB animal categories'!$C$42:$AC$51,27,FALSE)-VLOOKUP($C$122,'DB animal categories'!$C$42:$AC$51,25,FALSE)*VLOOKUP($C$122,'DB animal categories'!$C$42:$AC$51,26,FALSE)/24)*F125/100*VLOOKUP(D125,'DB technologies'!$N$53:$R$64,5,FALSE)/100)))</f>
        <v/>
      </c>
      <c r="AD125" s="261" t="str">
        <f>IF($C$122=0,"",IF('Calc (ex-animal)'!$F$8=1,"",IF(D125="","",VLOOKUP($C$122,'Calc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categories'!$C$42:$AC$51,26,FALSE)/24)*F125/100*VLOOKUP(D125,'DB technologies'!$N$53:$Y$64,6,FALSE)/100)))</f>
        <v/>
      </c>
      <c r="AE125" s="262" t="str">
        <f>IF($C$122=0,"",IF('Calc (ex-animal)'!$F$8=1,"",IF(D125="","",VLOOKUP($C$122,'Calc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categories'!$C$42:$AC$51,26,FALSE)/24)*F125/100*VLOOKUP(D125,'DB technologies'!$N$53:$Y$64,7,FALSE)/100)))</f>
        <v/>
      </c>
      <c r="AG125" s="698"/>
      <c r="AH125" s="695"/>
      <c r="AI125" s="181" t="str">
        <f>IF(D125="","",VLOOKUP(D125,'DB technologies'!$N$53:$Y$64,10,FALSE))</f>
        <v/>
      </c>
      <c r="AJ125" s="449" t="e">
        <f>VLOOKUP($C$122,'DB animal categories'!$C$42:$AN$51,27,FALSE)-VLOOKUP($C$122,'DB animal categories'!$C$42:$AN$51,26,FALSE)*VLOOKUP($C$122,'DB animal categories'!$C$42:$AN$51,25,FALSE)/24</f>
        <v>#N/A</v>
      </c>
      <c r="AK125" s="442" t="str">
        <f>IF(AI125="","",AL125+AM125)</f>
        <v/>
      </c>
      <c r="AL125" s="442" t="str">
        <f>IF(D125="","",IF(AI125=2,(('Calc (ex-animal)'!$G$27*'DB additional information '!$K$8/100*(1-VLOOKUP(D125,'DB technologies'!$N$53:$Y$64,9,FALSE)/100)*'Calc (ex-housing, ex-storage)'!F125/100+'Calc (ex-animal)'!$H$27*'DB additional information '!$L$8/100*(1-VLOOKUP(D125,'DB technologies'!$N$53:$Y$64,9,FALSE)/100)*'Calc (ex-housing, ex-storage)'!F125/100))/VLOOKUP($C$122,'DB animal categories'!$C$42:$AC$51,27,FALSE)*AJ125+I125+J125+K125,IF(AI125=1,('Calc (ex-animal)'!$H$27*'DB additional information '!$L$8/100*(1-VLOOKUP(D125,'DB technologies'!$N$53:$Y$64,9,FALSE)/100)*'Calc (ex-housing, ex-storage)'!F125/100)/VLOOKUP($C$122,'DB animal categories'!$C$42:$AC$51,27,FALSE)*AJ125,IF(AI125=4,('Calc (ex-animal)'!$G$27*'DB additional information '!$K$8/100+'Calc (ex-animal)'!$H$27*'DB additional information '!$L$8/100)*(1-VLOOKUP(D125,'DB technologies'!$N$53:$Y$64,9,FALSE)/100)*'Calc (ex-housing, ex-storage)'!F125/100*VLOOKUP(D125,'DB technologies'!$N$53:$Y$64,11,FALSE)/100/VLOOKUP($C$122,'DB animal categories'!$C$42:$AC$51,27,FALSE)*AJ125,0))))</f>
        <v/>
      </c>
      <c r="AM125" s="442" t="str">
        <f>IF(D125="","",IF(AI125=2,(('Calc (ex-animal)'!$G$27*(1-'DB additional information '!$K$8/100)*(1-VLOOKUP(D125,'DB technologies'!$N$53:$Y$64,8,FALSE)/100)*'Calc (ex-housing, ex-storage)'!F125/100+'Calc (ex-animal)'!$H$27*(1-'DB additional information '!$L$8/100)*(1-VLOOKUP(D125,'DB technologies'!$N$53:$Y$64,8,FALSE)/100)*'Calc (ex-housing, ex-storage)'!F125/100))/VLOOKUP($C$122,'DB animal categories'!$C$42:$AC$51,27,FALSE)*AJ125+M125+N125+O125,IF(AI125=1,('Calc (ex-animal)'!$H$27*(1-'DB additional information '!$L$8/100)*(1-VLOOKUP(D125,'DB technologies'!$N$53:$Y$64,8,FALSE)/100)*'Calc (ex-housing, ex-storage)'!F125/100)/VLOOKUP($C$122,'DB animal categories'!$C$42:$AC$51,27,FALSE)*AJ125,IF(AI125=4,('Calc (ex-animal)'!$G$27*(1-'DB additional information '!$K$8/100)+'Calc (ex-animal)'!$H$27*(1-'DB additional information '!$L$8/100))*(1-VLOOKUP(D125,'DB technologies'!$N$53:$Y$64,8,FALSE)/100)*'Calc (ex-housing, ex-storage)'!F125/100*VLOOKUP(D125,'DB technologies'!$N$53:$Y$64,11,FALSE)/100/VLOOKUP($C$122,'DB animal categories'!$C$42:$AC$51,27,FALSE)*AJ125,0))))</f>
        <v/>
      </c>
      <c r="AN125" s="442" t="str">
        <f>IF(AI125="","",IF(AL125=0,0,AL125/AK125*100))</f>
        <v/>
      </c>
      <c r="AO125" s="182" t="str">
        <f>IF(D125="","",IF(AI125=2,(('Calc (ex-animal)'!$L$27*'Calc (ex-housing, ex-storage)'!F125/100+'Calc (ex-animal)'!$K$27*'Calc (ex-housing, ex-storage)'!F125/100))/VLOOKUP($C$122,'DB animal categories'!$C$42:$AC$51,27,FALSE)*AJ125+Q125+R125+S125-AC125,IF(AI125=1,('Calc (ex-animal)'!$L$27*'Calc (ex-housing, ex-storage)'!F125/100)/VLOOKUP($C$122,'DB animal categories'!$C$42:$AC$51,27,FALSE)*AJ125-'Calc (ex-housing, ex-storage)'!AC125,IF(AI125=4,('Calc (ex-animal)'!$L$27+'Calc (ex-animal)'!$K$27)*'Calc (ex-housing, ex-storage)'!F125/100*VLOOKUP(D125,'DB technologies'!$N$53:$Y$64,11,FALSE)/100/VLOOKUP($C$122,'DB animal categories'!$C$42:$AC$51,27,FALSE)*AJ125-AC125*VLOOKUP(D125,'DB technologies'!$N$53:$Y$64,11,FALSE)/100,0))))</f>
        <v/>
      </c>
      <c r="AP125" s="182" t="str">
        <f>IF(D125="","",IF(AO125&lt;-0.01,0,IF(AI125=2,(('Calc (ex-animal)'!$L$27*'Calc (ex-housing, ex-storage)'!F125/100+'Calc (ex-animal)'!$K$27*'Calc (ex-housing, ex-storage)'!F125/100))/VLOOKUP($C$122,'DB animal categories'!$C$42:$AC$51,27,FALSE)*AJ125+Q125+R125+S125-AC125,IF(AI125=1,('Calc (ex-animal)'!$L$27*'Calc (ex-housing, ex-storage)'!F125/100)/VLOOKUP($C$122,'DB animal categories'!$C$42:$AC$51,27,FALSE)*AJ125-'Calc (ex-housing, ex-storage)'!AC125,IF(AI125=4,('Calc (ex-animal)'!$L$27+'Calc (ex-animal)'!$K$27)*'Calc (ex-housing, ex-storage)'!F125/100*VLOOKUP(D125,'DB technologies'!$N$53:$Y$64,11,FALSE)/100/VLOOKUP($C$122,'DB animal categories'!$C$42:$AC$51,27,FALSE)*AJ125-AC125*VLOOKUP(D125,'DB technologies'!$N$53:$Y$64,11,FALSE)/100,0)))))</f>
        <v/>
      </c>
      <c r="AQ125" s="182" t="str">
        <f>IF(D125="","",IF(AI125=2,('Calc (ex-animal)'!$O$27*'Calc (ex-housing, ex-storage)'!F125/100+'Calc (ex-animal)'!$N$27*'Calc (ex-housing, ex-storage)'!F125/100)/VLOOKUP($C$122,'DB animal categories'!$C$42:$AC$51,27,FALSE)*AJ125+U125+V125+W125,IF(AI125=1,'Calc (ex-animal)'!$O$27*'Calc (ex-housing, ex-storage)'!F125/100/VLOOKUP($C$122,'DB animal categories'!$C$42:$AC$51,27,FALSE)*AJ125,IF(AI125=4,('Calc (ex-animal)'!$O$27+'Calc (ex-animal)'!$N$27)*'Calc (ex-housing, ex-storage)'!F125/100*VLOOKUP(D125,'DB technologies'!$N$53:$Y$64,11,FALSE)/100/VLOOKUP($C$122,'DB animal categories'!$C$42:$AC$51,27,FALSE)*AJ125,0))))</f>
        <v/>
      </c>
      <c r="AR125" s="182" t="str">
        <f>IF(D125="","",IF(AI125=2,('Calc (ex-animal)'!$R$27*'Calc (ex-housing, ex-storage)'!F125/100+'Calc (ex-animal)'!$Q$27*'Calc (ex-housing, ex-storage)'!F125/100)/VLOOKUP($C$122,'DB animal categories'!$C$42:$AC$51,27,FALSE)*AJ125+Y125+Z125+AA125,IF(AI125=1,'Calc (ex-animal)'!$R$27*'Calc (ex-housing, ex-storage)'!F125/100/VLOOKUP($C$122,'DB animal categories'!$C$42:$AC$51,27,FALSE)*AJ125,IF(AI125=4,('Calc (ex-animal)'!$R$27+'Calc (ex-animal)'!$Q$27)*'Calc (ex-housing, ex-storage)'!F125/100*VLOOKUP(D125,'DB technologies'!$N$53:$Y$64,11,FALSE)/100/VLOOKUP($C$122,'DB animal categories'!$C$42:$AC$51,27,FALSE)*AJ125,0))))</f>
        <v/>
      </c>
      <c r="AS125" s="181" t="str">
        <f>IF(D125="","",VLOOKUP(D125,'DB technologies'!$N$53:$Y$64,10,FALSE))</f>
        <v/>
      </c>
      <c r="AT125" s="442" t="str">
        <f>IF(AS125="","",AU125+AV125)</f>
        <v/>
      </c>
      <c r="AU125" s="442" t="str">
        <f>IF(D125="","",IF(AS125=2,0,IF(AS125=1,'Calc (ex-animal)'!$G$27*'DB additional information '!$K$8/100*(1-VLOOKUP(D125,'DB technologies'!$N$53:$Y$64,8,FALSE)/100)*'Calc (ex-housing, ex-storage)'!F125/100/VLOOKUP($C$122,'DB animal categories'!$C$42:$AC$51,27,FALSE)*AJ125+I125+J125+K125,IF(AS125=5,(('Calc (ex-animal)'!$G$27*'DB additional information '!$K$8/100+'Calc (ex-animal)'!$H$27*'DB additional information '!$L$8/100))*(1-VLOOKUP(D125,'DB technologies'!$N$53:$Y$64,9,FALSE)/100)*'Calc (ex-housing, ex-storage)'!F125/100/VLOOKUP($C$122,'DB animal categories'!$C$42:$AC$51,27,FALSE)*AJ125+I125+J125+K125,IF(AS125=3,('Calc (ex-animal)'!$G$27*'DB additional information '!$K$8/100+'Calc (ex-animal)'!$H$27*'DB additional information '!$L$8/100)*(1-VLOOKUP(D125,'DB technologies'!$N$53:$Y$64,9,FALSE)/100)*'Calc (ex-housing, ex-storage)'!F125/100/VLOOKUP($C$122,'DB animal categories'!$C$42:$AC$51,27,FALSE)*AJ125+I125+J125+K125,IF(AS125=4,('Calc (ex-animal)'!$G$27*'DB additional information '!$K$8/100+'Calc (ex-animal)'!$H$27*'DB additional information '!$L$8/100)*(1-VLOOKUP(D125,'DB technologies'!$N$53:$Y$64,9,FALSE)/100)*'Calc (ex-housing, ex-storage)'!F125/100*VLOOKUP(D125,'DB technologies'!$N$53:$Y$64,12,FALSE)/100/VLOOKUP($C$122,'DB animal categories'!$C$42:$AC$51,27,FALSE)*AJ125+I125+J125+K125,0))))))</f>
        <v/>
      </c>
      <c r="AV125" s="442" t="str">
        <f>IF(D125="","",IF(AS125=2,0,IF(AS125=1,'Calc (ex-animal)'!$G$27*(1-'DB additional information '!$K$8/100)*(1-VLOOKUP(D125,'DB technologies'!$N$53:$Y$64,8,FALSE)/100)*'Calc (ex-housing, ex-storage)'!F125/100/VLOOKUP($C$122,'DB animal categories'!$C$42:$AC$51,27,FALSE)*AJ125+M125+N125+O125,IF(AS125=5,('Calc (ex-animal)'!$G$27*(1-'DB additional information '!$K$8/100)+'Calc (ex-animal)'!$H$27*(1-'DB additional information '!$L$8/100))*(1-VLOOKUP(D125,'DB technologies'!$N$53:$Y$64,8,FALSE)/100)*'Calc (ex-housing, ex-storage)'!F125/100/VLOOKUP($C$122,'DB animal categories'!$C$42:$AC$51,27,FALSE)*AJ125+M125+N125+O125,IF(AS125=3,('Calc (ex-animal)'!$G$27*(1-'DB additional information '!$K$8/100)+'Calc (ex-animal)'!$H$27*(1-'DB additional information '!$L$8/100))*(1-VLOOKUP(D125,'DB technologies'!$N$53:$Y$64,8,FALSE)/100)*'Calc (ex-housing, ex-storage)'!F125/100/VLOOKUP($C$122,'DB animal categories'!$C$42:$AC$51,27,FALSE)*AJ125+M125+N125+O125,IF(AS125=4,('Calc (ex-animal)'!$G$27*(1-'DB additional information '!$K$8/100)+'Calc (ex-animal)'!$H$27*(1-'DB additional information '!$L$8/100))*(1-VLOOKUP(D125,'DB technologies'!$N$53:$Y$64,8,FALSE)/100)*'Calc (ex-housing, ex-storage)'!F125/100*VLOOKUP(D125,'DB technologies'!$N$53:$Y$64,12,FALSE)/100/VLOOKUP($C$122,'DB animal categories'!$C$42:$AC$51,27,FALSE)*AJ125+M125+N125+O125,0))))))</f>
        <v/>
      </c>
      <c r="AW125" s="442" t="str">
        <f>IF(AS125="","",IF(AU125=0,0,AU125/AT125*100))</f>
        <v/>
      </c>
      <c r="AX125" s="182" t="str">
        <f>IF(D125="","",IF(AS125=2,0,IF(AS125=1,'Calc (ex-animal)'!$K$27*'Calc (ex-housing, ex-storage)'!F125/100/VLOOKUP($C$122,'DB animal categories'!$C$42:$AC$51,27,FALSE)*AJ125+Q125+R125+S125,IF(AS125=5,('Calc (ex-animal)'!$K$27+'Calc (ex-animal)'!$L$27)*'Calc (ex-housing, ex-storage)'!F125/100/VLOOKUP($C$122,'DB animal categories'!$C$42:$AC$51,27,FALSE)*AJ125+Q125+R125+S125-'Calc (ex-housing, ex-storage)'!AC125,IF(AS125=3,('Calc (ex-animal)'!$K$27+'Calc (ex-animal)'!$L$27)*'Calc (ex-housing, ex-storage)'!F125/100/VLOOKUP($C$122,'DB animal categories'!$C$42:$AC$51,27,FALSE)*AJ125+Q125+R125+S125-'Calc (ex-housing, ex-storage)'!AC125-AD125-AE125,IF(AI125=4,('Calc (ex-animal)'!$K$27+'Calc (ex-animal)'!$L$27)*'Calc (ex-housing, ex-storage)'!F125/100*VLOOKUP(D125,'DB technologies'!$N$53:$Y$64,12,FALSE)/100/VLOOKUP($C$122,'DB animal categories'!$C$42:$AC$51,27,FALSE)*AJ125+Q125+R125+S125-(VLOOKUP(D125,'DB technologies'!$N$53:$Y$64,12,FALSE)/100*AC125)-AD125-AE125,0))))))</f>
        <v/>
      </c>
      <c r="AY125" s="182" t="str">
        <f>IF(D125="","",IF(AS125=2,0,IF(AS125=1,'Calc (ex-animal)'!$N$27*'Calc (ex-housing, ex-storage)'!F125/100/VLOOKUP($C$122,'DB animal categories'!$C$42:$AC$51,27,FALSE)*AJ125+U125+V125+W125,IF(AS125=5,('Calc (ex-animal)'!$N$27+'Calc (ex-animal)'!$O$27)*'Calc (ex-housing, ex-storage)'!F125/100/VLOOKUP($C$122,'DB animal categories'!$C$42:$AC$51,27,FALSE)*AJ125+U125+V125+W125,IF(AS125=3,('Calc (ex-animal)'!$N$27+'Calc (ex-animal)'!$O$27)*'Calc (ex-housing, ex-storage)'!F125/100/VLOOKUP($C$122,'DB animal categories'!$C$42:$AC$51,27,FALSE)*AJ125+U125+V125+W125,IF(AS125=4,('Calc (ex-animal)'!$N$27+'Calc (ex-animal)'!$O$27)*'Calc (ex-housing, ex-storage)'!F125/100*VLOOKUP(D125,'DB technologies'!$N$53:$Y$64,12,FALSE)/100/VLOOKUP($C$122,'DB animal categories'!$C$42:$AC$51,27,FALSE)*AJ125+U125+V125+W125,0))))))</f>
        <v/>
      </c>
      <c r="AZ125" s="182" t="str">
        <f>IF(D125="","",IF(AS125=2,0,IF(AS125=1,'Calc (ex-animal)'!$Q$27*'Calc (ex-housing, ex-storage)'!F125/100/VLOOKUP($C$122,'DB animal categories'!$C$42:$AC$51,27,FALSE)*AJ125+Y125+Z125+AA125,IF(AS125=5,('Calc (ex-animal)'!$Q$27+'Calc (ex-animal)'!$R$27)*'Calc (ex-housing, ex-storage)'!F125/100/VLOOKUP($C$122,'DB animal categories'!$C$42:$AC$51,27,FALSE)*AJ125+Y125+Z125+AA125,IF(AS125=3,('Calc (ex-animal)'!$Q$27+'Calc (ex-animal)'!$R$27)*'Calc (ex-housing, ex-storage)'!F125/100/VLOOKUP($C$122,'DB animal categories'!$C$42:$AC$51,27,FALSE)*AJ125+Y125+Z125+AA125,IF(AS125=4,('Calc (ex-animal)'!$Q$27+'Calc (ex-animal)'!$R$27)*'Calc (ex-housing, ex-storage)'!F125/100*VLOOKUP(D125,'DB technologies'!$N$53:$Y$64,12,FALSE)/100/VLOOKUP($C$122,'DB animal categories'!$C$42:$AC$51,27,FALSE)*AJ125+Y125+Z125+AA125,0))))))</f>
        <v/>
      </c>
      <c r="BA125" s="506"/>
      <c r="BB125" s="506"/>
      <c r="BC125" s="506"/>
      <c r="BG125" s="1357"/>
      <c r="BH125" s="1361"/>
      <c r="BI125" s="598" t="str">
        <f>IF(BG125="","",$BA$122*BH125/100-($BB$122*BH125/100*VLOOKUP(BG125,'DB technologies'!$AC$11:$AM$15,5,FALSE)/100)+(VLOOKUP(BG125,'DB technologies'!$AC$11:$AN$15,12,FALSE)*$BA$122*BH125/100))</f>
        <v/>
      </c>
      <c r="BJ125" s="551">
        <f>IF(BI125="",0,BI125*BK125/100)</f>
        <v>0</v>
      </c>
      <c r="BK125" s="571" t="str">
        <f>IF(BG125="","",($BB$122*BH125/100)/BI125*(1-(VLOOKUP(BG125,'DB technologies'!$AC$11:$AM$15,5,FALSE))/100)*100)</f>
        <v/>
      </c>
      <c r="BL125" s="261" t="str">
        <f>IF(BG125="","",$BD$122*BH125/100-BO125-BP125-BQ125)</f>
        <v/>
      </c>
      <c r="BM125" s="261" t="str">
        <f>IF(BG125="","",$BE$122*BH125/100)</f>
        <v/>
      </c>
      <c r="BN125" s="261" t="str">
        <f>IF(BG125="","",$BF$122*BH125/100)</f>
        <v/>
      </c>
      <c r="BO125" s="261" t="str">
        <f>IF(BG125="","",$BD$122*BH125/100*VLOOKUP(BG125,'DB technologies'!$AC$11:$AF$15,2,FALSE)/100)</f>
        <v/>
      </c>
      <c r="BP125" s="261" t="str">
        <f>IF(BG125="","",$BD$122*BH125/100*VLOOKUP(BG125,'DB technologies'!$AC$11:$AN$15,3,FALSE)/100)</f>
        <v/>
      </c>
      <c r="BQ125" s="262" t="str">
        <f>IF(BG125="","",$BD$122*BH125/100*VLOOKUP(BG125,'DB technologies'!$AC$11:$AN$15,4,FALSE)/100)</f>
        <v/>
      </c>
      <c r="BR125" s="117"/>
      <c r="BS125" s="117"/>
      <c r="BT125" s="118"/>
    </row>
    <row r="126" spans="1:72" ht="11.25" customHeight="1" thickBot="1" x14ac:dyDescent="0.25">
      <c r="A126" s="684"/>
      <c r="B126" s="695"/>
      <c r="C126" s="251"/>
      <c r="D126" s="1359"/>
      <c r="E126" s="1360"/>
      <c r="F126" s="481" t="str">
        <f>IF('Calc (ex-animal)'!$F$9=1,"",IF($C$122=0,"",IF(D126="","",E126/'Calc (ex-animal)'!$E$27*100)))</f>
        <v/>
      </c>
      <c r="G126" s="483" t="str">
        <f>IF($C$122=0,"",IF('Calc (ex-animal)'!$F$8=1,"",IF(D126="","",SUM(H126:O126))))</f>
        <v/>
      </c>
      <c r="H126" s="445" t="str">
        <f>IF('Calc (ex-animal)'!$F$8=1,"",IF(D126="","",(((VLOOKUP($C$122,'Calc (ex-animal)'!$D$23:$Y$27,6,FALSE)-VLOOKUP($C$122,'Calc (ex-animal)'!$D$23:$Y$27,17,FALSE))*F126/100))*VLOOKUP($C$122,'Calc (ex-animal)'!$D$23:$Y$27,7,FALSE)/100*(1-VLOOKUP(D126,'DB technologies'!$N$53:$Y$64,9,FALSE)/100)))</f>
        <v/>
      </c>
      <c r="I126" s="445" t="str">
        <f>IF(D126="","",((VLOOKUP(D126,'DB technologies'!$N$53:$Y$64,2,FALSE)*VLOOKUP($C$122,'DB animal categories'!$C$42:$AC$51,27,FALSE)*E126/1000)/VLOOKUP($C$122,'DB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'!$S$6/100*(1-VLOOKUP(D126,'DB technologies'!$N$53:$Y$64,9,FALSE)/100)))</f>
        <v/>
      </c>
      <c r="J126" s="446" t="str">
        <f>IF(D126="","",((VLOOKUP(D126,'DB technologies'!$N$53:$Y$64,3,FALSE)*VLOOKUP($C$122,'DB animal categories'!$C$42:$AC$51,27,FALSE)*E126/1000)/VLOOKUP($C$122,'DB animal categories'!$C$42:$AC$51,27,FALSE)*(VLOOKUP($C$122,'DB animal categories'!$C$42:$AC$51,27,FALSE)-(VLOOKUP($C$122,'DB animal categories'!$C$42:$AC$51,25,FALSE)*VLOOKUP($C$122,'DB animal categories'!$C$42:$AC$51,26,FALSE)/24))*'DB additional information '!$S$7/100*(1-VLOOKUP(D126,'DB technologies'!$N$53:$Y$64,9,FALSE)/100)))</f>
        <v/>
      </c>
      <c r="K126" s="446" t="str">
        <f>IF(D126="","",((VLOOKUP(D126,'DB technologies'!$N$53:$Y$64,4,FALSE)*E126*'DB additional information '!$S$8/100*(1-VLOOKUP(D126,'DB technologies'!$N$53:$Y$64,9,FALSE)/100))/VLOOKUP($C$122,'DB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L126" s="445" t="str">
        <f>IF('Calc (ex-animal)'!$F$8=1,"",IF(D126="","",(((VLOOKUP($C$122,'Calc (ex-animal)'!$D$23:$Y$27,6,FALSE)-VLOOKUP($C$122,'Calc (ex-animal)'!$D$23:$Y$27,17,FALSE))*F126/100))*(1-VLOOKUP($C$122,'Calc (ex-animal)'!$D$23:$Y$27,7,FALSE)/100)*(1-VLOOKUP(D126,'DB technologies'!$N$53:$V$64,8,FALSE)/100)))</f>
        <v/>
      </c>
      <c r="M126" s="446" t="str">
        <f>IF(D126="","",((VLOOKUP(D126,'DB technologies'!$N$53:$Y$64,2,FALSE)*VLOOKUP($C$122,'DB animal categories'!$C$42:$AC$51,27,FALSE)*E126/1000)/VLOOKUP($C$122,'DB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'!$S$6/100)*(1-VLOOKUP(D126,'DB technologies'!$N$53:$Y$64,9,FALSE)/100))</f>
        <v/>
      </c>
      <c r="N126" s="446" t="str">
        <f>IF(D126="","",((VLOOKUP(D126,'DB technologies'!$N$53:$Y$64,3,FALSE)*VLOOKUP($C$122,'DB animal categories'!$C$42:$AC$51,27,FALSE)*E126/1000)/VLOOKUP($C$122,'DB animal categories'!$C$42:$AC$51,27,FALSE)*(VLOOKUP($C$122,'DB animal categories'!$C$42:$AC$51,27,FALSE)-VLOOKUP($C$122,'DB animal categories'!$C$42:$AC$51,25,FALSE)*VLOOKUP($C$122,'DB animal categories'!$C$42:$AC$51,26,FALSE)/24))*(1-'DB additional information '!$S$7/100)*(1-VLOOKUP(D126,'DB technologies'!$N$53:$Y$64,9,FALSE)/100))</f>
        <v/>
      </c>
      <c r="O126" s="445" t="str">
        <f>IF(D126="","",((VLOOKUP(D126,'DB technologies'!$N$53:$Y$64,4,FALSE)*E126*(1-'DB additional information '!$S$8/100)*(1-VLOOKUP(D126,'DB technologies'!$N$53:$Y$64,8,FALSE)/100))/VLOOKUP($C$122,'DB animal categories'!$C$42:$AC$51,27,FALSE)*(VLOOKUP($C$122,'DB animal categories'!$C$42:$AC$51,27,FALSE)-VLOOKUP($C$122,'DB animal categories'!$C$42:$AC$51,25,FALSE)*VLOOKUP($C$122,'DB animal categories'!$C$42:$AC$51,26,FALSE)/24)))</f>
        <v/>
      </c>
      <c r="P126" s="444" t="str">
        <f>IF(G126=0,0,IF(E126="","",IF(F126="","",IF($C$122=0,"",IF(D126="","",SUM(H126:K126)/G126*100)))))</f>
        <v/>
      </c>
      <c r="Q126" s="476" t="str">
        <f>IF(D126="","",(VLOOKUP(D126,'DB technologies'!$N$53:$Y$64,2,FALSE)*'DB additional information '!$S$6/100*'DB additional information '!$T$6*VLOOKUP($C$122,'DB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R126" s="476" t="str">
        <f>IF(D126="","",(VLOOKUP(D126,'DB technologies'!$N$53:$Y$64,3,FALSE)*'DB additional information '!$S$7/100*'DB additional information '!$T$7*VLOOKUP($C$122,'DB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S126" s="494" t="str">
        <f>IF(D126="","",(VLOOKUP(D126,'DB technologies'!$N$53:$Y$64,4,FALSE)*('DB additional information '!$S$8/100*'DB additional information '!$T$8*E126/1000/1000)))</f>
        <v/>
      </c>
      <c r="T126" s="266" t="str">
        <f>IF($C$122=0,"",IF('Calc (ex-animal)'!$F$9=1,"",IF(D126="","",((VLOOKUP($C$122,'Calc (ex-animal)'!$D$23:$Y$27,10,FALSE)-VLOOKUP($C$122,'Calc (ex-animal)'!$D$23:$Y$27,18,FALSE))*F126/100+Q126+R126+S126)-AC126-AD126-AE126)))</f>
        <v/>
      </c>
      <c r="U126" s="477" t="str">
        <f>IF(D126="","",(VLOOKUP(D126,'DB technologies'!$N$53:$Y$64,2,FALSE)*'DB additional information '!$S$6/100*'DB additional information '!$U$6*VLOOKUP($C$122,'DB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V126" s="433" t="str">
        <f>IF(D126="","",(VLOOKUP(D126,'DB technologies'!$N$53:$Y$64,3,FALSE)*'DB additional information '!$S$7/100*'DB additional information '!$U$7*VLOOKUP($C$122,'DB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W126" s="475" t="str">
        <f>IF(D126="","",(VLOOKUP(D126,'DB technologies'!$N$53:$Y$64,4,FALSE)*('DB additional information '!$S$8/100*'DB additional information '!$U$8*E126/1000/1000)))</f>
        <v/>
      </c>
      <c r="X126" s="267" t="str">
        <f>IF($C$122=0,"",IF('Calc (ex-animal)'!$F$9=1,"",IF(D126="","",((VLOOKUP($C$122,'Calc (ex-animal)'!$D$23:$Y$27,13,FALSE)-VLOOKUP($C$122,'Calc (ex-animal)'!$D$23:$Y$27,19,FALSE))*F126/100+U126+V126+W126))))</f>
        <v/>
      </c>
      <c r="Y126" s="433" t="str">
        <f>IF(D126="","",(VLOOKUP(D126,'DB technologies'!$N$53:$Y$64,2,FALSE)*'DB additional information '!$S$6/100*'DB additional information '!$V$6*VLOOKUP($C$122,'DB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Z126" s="433" t="str">
        <f>IF(D126="","",(VLOOKUP(D126,'DB technologies'!$N$53:$Y$64,3,FALSE)*'DB additional information '!$S$7/100*'DB additional information '!$V$7*VLOOKUP($C$122,'DB animal categories'!$C$42:$AC$51,27,FALSE)*E126/1000/1000)/VLOOKUP($C$122,'DB animal categories'!$C$42:$AC$51,27,FALSE)*(VLOOKUP($C$122,'DB animal categories'!$C$42:$AC$51,27,FALSE)-VLOOKUP($C$122,'DB animal categories'!$C$42:$AC$51,25,FALSE)*VLOOKUP($C$122,'DB animal categories'!$C$42:$AC$51,26,FALSE)/24))</f>
        <v/>
      </c>
      <c r="AA126" s="433" t="str">
        <f>IF(D126="","",(VLOOKUP(D126,'DB technologies'!$N$53:$Y$64,4,FALSE)*('DB additional information '!$S$8/100*'DB additional information '!$V$8*E126/1000/1000)))</f>
        <v/>
      </c>
      <c r="AB126" s="267" t="str">
        <f>IF($C$122=0,"",IF('Calc (ex-animal)'!$F$8=1,"",IF(D126="","",((VLOOKUP($C$122,'Calc (ex-animal)'!$D$23:$Y$27,16,FALSE)-VLOOKUP($C$122,'Calc (ex-animal)'!$D$23:$Y$27,20,FALSE))*F126/100+Y126+Z126+AA126))))</f>
        <v/>
      </c>
      <c r="AC126" s="267" t="str">
        <f>IF($C$122=0,"",IF('Calc (ex-animal)'!$F$8=1,"",IF(D126="","",VLOOKUP($C$122,'Calc (ex-animal)'!$D$23:$Y$27,9,FALSE)/VLOOKUP($C$122,'DB animal categories'!$C$42:$AC$51,27,FALSE)*(VLOOKUP($C$122,'DB animal categories'!$C$42:$AC$51,27,FALSE)-VLOOKUP($C$122,'DB animal categories'!$C$42:$AC$51,25,FALSE)*VLOOKUP($C$122,'DB animal categories'!$C$42:$AC$51,26,FALSE)/24)*F126/100*VLOOKUP(D126,'DB technologies'!$N$53:$R$64,5,FALSE)/100)))</f>
        <v/>
      </c>
      <c r="AD126" s="267" t="str">
        <f>IF($C$122=0,"",IF('Calc (ex-animal)'!$F$8=1,"",IF(D126="","",VLOOKUP($C$122,'Calc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categories'!$C$42:$AC$51,26,FALSE)/24)*F126/100*VLOOKUP(D126,'DB technologies'!$N$53:$Y$64,6,FALSE)/100)))</f>
        <v/>
      </c>
      <c r="AE126" s="268" t="str">
        <f>IF($C$122=0,"",IF('Calc (ex-animal)'!$F$8=1,"",IF(D126="","",VLOOKUP($C$122,'Calc (ex-animal)'!$D$23:$Y$27,10,FALSE)/VLOOKUP($C$122,'DB animal categories'!$C$42:$AC$51,27,FALSE)*(VLOOKUP($C$122,'DB animal categories'!$C$42:$AC$51,27,FALSE)-VLOOKUP($C$122,'DB animal categories'!$C$42:$AC$51,25,FALSE)*VLOOKUP($C$122,'DB animal categories'!$C$42:$AC$51,26,FALSE)/24)*F126/100*VLOOKUP(D126,'DB technologies'!$N$53:$Y$64,7,FALSE)/100)))</f>
        <v/>
      </c>
      <c r="AG126" s="698"/>
      <c r="AH126" s="695"/>
      <c r="AI126" s="183" t="str">
        <f>IF(D126="","",VLOOKUP(D126,'DB technologies'!$N$53:$Y$64,10,FALSE))</f>
        <v/>
      </c>
      <c r="AJ126" s="451" t="e">
        <f>VLOOKUP($C$122,'DB animal categories'!$C$42:$AN$51,27,FALSE)-VLOOKUP($C$122,'DB animal categories'!$C$42:$AN$51,26,FALSE)*VLOOKUP($C$122,'DB animal categories'!$C$42:$AN$51,25,FALSE)/24</f>
        <v>#N/A</v>
      </c>
      <c r="AK126" s="452" t="str">
        <f>IF(AI126="","",AL126+AM126)</f>
        <v/>
      </c>
      <c r="AL126" s="452" t="str">
        <f>IF(D126="","",IF(AI126=2,(('Calc (ex-animal)'!$G$27*'DB additional information '!$K$8/100*(1-VLOOKUP(D126,'DB technologies'!$N$53:$Y$64,9,FALSE)/100)*'Calc (ex-housing, ex-storage)'!F126/100+'Calc (ex-animal)'!$H$27*'DB additional information '!$L$8/100*(1-VLOOKUP(D126,'DB technologies'!$N$53:$Y$64,9,FALSE)/100)*'Calc (ex-housing, ex-storage)'!F126/100))/VLOOKUP($C$122,'DB animal categories'!$C$42:$AC$51,27,FALSE)*AJ126+I126+J126+K126,IF(AI126=1,('Calc (ex-animal)'!$H$27*'DB additional information '!$L$8/100*(1-VLOOKUP(D126,'DB technologies'!$N$53:$Y$64,9,FALSE)/100)*'Calc (ex-housing, ex-storage)'!F126/100)/VLOOKUP($C$122,'DB animal categories'!$C$42:$AC$51,27,FALSE)*AJ126,IF(AI126=4,('Calc (ex-animal)'!$G$27*'DB additional information '!$K$8/100+'Calc (ex-animal)'!$H$27*'DB additional information '!$L$8/100)*(1-VLOOKUP(D126,'DB technologies'!$N$53:$Y$64,9,FALSE)/100)*'Calc (ex-housing, ex-storage)'!F126/100*VLOOKUP(D126,'DB technologies'!$N$53:$Y$64,11,FALSE)/100/VLOOKUP($C$122,'DB animal categories'!$C$42:$AC$51,27,FALSE)*AJ126,0))))</f>
        <v/>
      </c>
      <c r="AM126" s="452" t="str">
        <f>IF(D126="","",IF(AI126=2,(('Calc (ex-animal)'!$G$27*(1-'DB additional information '!$K$8/100)*(1-VLOOKUP(D126,'DB technologies'!$N$53:$Y$64,8,FALSE)/100)*'Calc (ex-housing, ex-storage)'!F126/100+'Calc (ex-animal)'!$H$27*(1-'DB additional information '!$L$8/100)*(1-VLOOKUP(D126,'DB technologies'!$N$53:$Y$64,8,FALSE)/100)*'Calc (ex-housing, ex-storage)'!F126/100))/VLOOKUP($C$122,'DB animal categories'!$C$42:$AC$51,27,FALSE)*AJ126+M126+N126+O126,IF(AI126=1,('Calc (ex-animal)'!$H$27*(1-'DB additional information '!$L$8/100)*(1-VLOOKUP(D126,'DB technologies'!$N$53:$Y$64,8,FALSE)/100)*'Calc (ex-housing, ex-storage)'!F126/100)/VLOOKUP($C$122,'DB animal categories'!$C$42:$AC$51,27,FALSE)*AJ126,IF(AI126=4,('Calc (ex-animal)'!$G$27*(1-'DB additional information '!$K$8/100)+'Calc (ex-animal)'!$H$27*(1-'DB additional information '!$L$8/100))*(1-VLOOKUP(D126,'DB technologies'!$N$53:$Y$64,8,FALSE)/100)*'Calc (ex-housing, ex-storage)'!F126/100*VLOOKUP(D126,'DB technologies'!$N$53:$Y$64,11,FALSE)/100/VLOOKUP($C$122,'DB animal categories'!$C$42:$AC$51,27,FALSE)*AJ126,0))))</f>
        <v/>
      </c>
      <c r="AN126" s="452" t="str">
        <f>IF(AI126="","",IF(AL126=0,0,AL126/AK126*100))</f>
        <v/>
      </c>
      <c r="AO126" s="184" t="str">
        <f>IF(D126="","",IF(AI126=2,(('Calc (ex-animal)'!$L$27*'Calc (ex-housing, ex-storage)'!F126/100+'Calc (ex-animal)'!$K$27*'Calc (ex-housing, ex-storage)'!F126/100))/VLOOKUP($C$122,'DB animal categories'!$C$42:$AC$51,27,FALSE)*AJ126+Q126+R126+S126-AC126,IF(AI126=1,('Calc (ex-animal)'!$L$27*'Calc (ex-housing, ex-storage)'!F126/100)/VLOOKUP($C$122,'DB animal categories'!$C$42:$AC$51,27,FALSE)*AJ126-'Calc (ex-housing, ex-storage)'!AC126,IF(AI126=4,('Calc (ex-animal)'!$L$27+'Calc (ex-animal)'!$K$27)*'Calc (ex-housing, ex-storage)'!F126/100*VLOOKUP(D126,'DB technologies'!$N$53:$Y$64,11,FALSE)/100/VLOOKUP($C$122,'DB animal categories'!$C$42:$AC$51,27,FALSE)*AJ126-AC126*VLOOKUP(D126,'DB technologies'!$N$53:$Y$64,11,FALSE)/100,0))))</f>
        <v/>
      </c>
      <c r="AP126" s="184" t="str">
        <f>IF(D126="","",IF(AO126&lt;-0.01,0,IF(AI126=2,(('Calc (ex-animal)'!$L$27*'Calc (ex-housing, ex-storage)'!F126/100+'Calc (ex-animal)'!$K$27*'Calc (ex-housing, ex-storage)'!F126/100))/VLOOKUP($C$122,'DB animal categories'!$C$42:$AC$51,27,FALSE)*AJ126+Q126+R126+S126-AC126,IF(AI126=1,('Calc (ex-animal)'!$L$27*'Calc (ex-housing, ex-storage)'!F126/100)/VLOOKUP($C$122,'DB animal categories'!$C$42:$AC$51,27,FALSE)*AJ126-'Calc (ex-housing, ex-storage)'!AC126,IF(AI126=4,('Calc (ex-animal)'!$L$27+'Calc (ex-animal)'!$K$27)*'Calc (ex-housing, ex-storage)'!F126/100*VLOOKUP(D126,'DB technologies'!$N$53:$Y$64,11,FALSE)/100/VLOOKUP($C$122,'DB animal categories'!$C$42:$AC$51,27,FALSE)*AJ126-AC126*VLOOKUP(D126,'DB technologies'!$N$53:$Y$64,11,FALSE)/100,0)))))</f>
        <v/>
      </c>
      <c r="AQ126" s="184" t="str">
        <f>IF(D126="","",IF(AI126=2,('Calc (ex-animal)'!$O$27*'Calc (ex-housing, ex-storage)'!F126/100+'Calc (ex-animal)'!$N$27*'Calc (ex-housing, ex-storage)'!F126/100)/VLOOKUP($C$122,'DB animal categories'!$C$42:$AC$51,27,FALSE)*AJ126+U126+V126+W126,IF(AI126=1,'Calc (ex-animal)'!$O$27*'Calc (ex-housing, ex-storage)'!F126/100/VLOOKUP($C$122,'DB animal categories'!$C$42:$AC$51,27,FALSE)*AJ126,IF(AI126=4,('Calc (ex-animal)'!$O$27+'Calc (ex-animal)'!$N$27)*'Calc (ex-housing, ex-storage)'!F126/100*VLOOKUP(D126,'DB technologies'!$N$53:$Y$64,11,FALSE)/100/VLOOKUP($C$122,'DB animal categories'!$C$42:$AC$51,27,FALSE)*AJ126,0))))</f>
        <v/>
      </c>
      <c r="AR126" s="184" t="str">
        <f>IF(D126="","",IF(AI126=2,('Calc (ex-animal)'!$R$27*'Calc (ex-housing, ex-storage)'!F126/100+'Calc (ex-animal)'!$Q$27*'Calc (ex-housing, ex-storage)'!F126/100)/VLOOKUP($C$122,'DB animal categories'!$C$42:$AC$51,27,FALSE)*AJ126+Y126+Z126+AA126,IF(AI126=1,'Calc (ex-animal)'!$R$27*'Calc (ex-housing, ex-storage)'!F126/100/VLOOKUP($C$122,'DB animal categories'!$C$42:$AC$51,27,FALSE)*AJ126,IF(AI126=4,('Calc (ex-animal)'!$R$27+'Calc (ex-animal)'!$Q$27)*'Calc (ex-housing, ex-storage)'!F126/100*VLOOKUP(D126,'DB technologies'!$N$53:$Y$64,11,FALSE)/100/VLOOKUP($C$122,'DB animal categories'!$C$42:$AC$51,27,FALSE)*AJ126,0))))</f>
        <v/>
      </c>
      <c r="AS126" s="183" t="str">
        <f>IF(D126="","",VLOOKUP(D126,'DB technologies'!$N$53:$Y$64,10,FALSE))</f>
        <v/>
      </c>
      <c r="AT126" s="452" t="str">
        <f>IF(AS126="","",AU126+AV126)</f>
        <v/>
      </c>
      <c r="AU126" s="452" t="str">
        <f>IF(D126="","",IF(AS126=2,0,IF(AS126=1,'Calc (ex-animal)'!$G$27*'DB additional information '!$K$8/100*(1-VLOOKUP(D126,'DB technologies'!$N$53:$Y$64,8,FALSE)/100)*'Calc (ex-housing, ex-storage)'!F126/100/VLOOKUP($C$122,'DB animal categories'!$C$42:$AC$51,27,FALSE)*AJ126+I126+J126+K126,IF(AS126=5,(('Calc (ex-animal)'!$G$27*'DB additional information '!$K$8/100+'Calc (ex-animal)'!$H$27*'DB additional information '!$L$8/100))*(1-VLOOKUP(D126,'DB technologies'!$N$53:$Y$64,9,FALSE)/100)*'Calc (ex-housing, ex-storage)'!F126/100/VLOOKUP($C$122,'DB animal categories'!$C$42:$AC$51,27,FALSE)*AJ126+I126+J126+K126,IF(AS126=3,('Calc (ex-animal)'!$G$27*'DB additional information '!$K$8/100+'Calc (ex-animal)'!$H$27*'DB additional information '!$L$8/100)*(1-VLOOKUP(D126,'DB technologies'!$N$53:$Y$64,9,FALSE)/100)*'Calc (ex-housing, ex-storage)'!F126/100/VLOOKUP($C$122,'DB animal categories'!$C$42:$AC$51,27,FALSE)*AJ126+I126+J126+K126,IF(AS126=4,('Calc (ex-animal)'!$G$27*'DB additional information '!$K$8/100+'Calc (ex-animal)'!$H$27*'DB additional information '!$L$8/100)*(1-VLOOKUP(D126,'DB technologies'!$N$53:$Y$64,9,FALSE)/100)*'Calc (ex-housing, ex-storage)'!F126/100*VLOOKUP(D126,'DB technologies'!$N$53:$Y$64,12,FALSE)/100/VLOOKUP($C$122,'DB animal categories'!$C$42:$AC$51,27,FALSE)*AJ126+I126+J126+K126,0))))))</f>
        <v/>
      </c>
      <c r="AV126" s="452" t="str">
        <f>IF(D126="","",IF(AS126=2,0,IF(AS126=1,'Calc (ex-animal)'!$G$27*(1-'DB additional information '!$K$8/100)*(1-VLOOKUP(D126,'DB technologies'!$N$53:$Y$64,8,FALSE)/100)*'Calc (ex-housing, ex-storage)'!F126/100/VLOOKUP($C$122,'DB animal categories'!$C$42:$AC$51,27,FALSE)*AJ126+M126+N126+O126,IF(AS126=5,('Calc (ex-animal)'!$G$27*(1-'DB additional information '!$K$8/100)+'Calc (ex-animal)'!$H$27*(1-'DB additional information '!$L$8/100))*(1-VLOOKUP(D126,'DB technologies'!$N$53:$Y$64,8,FALSE)/100)*'Calc (ex-housing, ex-storage)'!F126/100/VLOOKUP($C$122,'DB animal categories'!$C$42:$AC$51,27,FALSE)*AJ126+M126+N126+O126,IF(AS126=3,('Calc (ex-animal)'!$G$27*(1-'DB additional information '!$K$8/100)+'Calc (ex-animal)'!$H$27*(1-'DB additional information '!$L$8/100))*(1-VLOOKUP(D126,'DB technologies'!$N$53:$Y$64,8,FALSE)/100)*'Calc (ex-housing, ex-storage)'!F126/100/VLOOKUP($C$122,'DB animal categories'!$C$42:$AC$51,27,FALSE)*AJ126+M126+N126+O126,IF(AS126=4,('Calc (ex-animal)'!$G$27*(1-'DB additional information '!$K$8/100)+'Calc (ex-animal)'!$H$27*(1-'DB additional information '!$L$8/100))*(1-VLOOKUP(D126,'DB technologies'!$N$53:$Y$64,8,FALSE)/100)*'Calc (ex-housing, ex-storage)'!F126/100*VLOOKUP(D126,'DB technologies'!$N$53:$Y$64,12,FALSE)/100/VLOOKUP($C$122,'DB animal categories'!$C$42:$AC$51,27,FALSE)*AJ126+M126+N126+O126,0))))))</f>
        <v/>
      </c>
      <c r="AW126" s="452" t="str">
        <f>IF(AS126="","",IF(AU126=0,0,AU126/AT126*100))</f>
        <v/>
      </c>
      <c r="AX126" s="184" t="str">
        <f>IF(D126="","",IF(AS126=2,0,IF(AS126=1,'Calc (ex-animal)'!$K$27*'Calc (ex-housing, ex-storage)'!F126/100/VLOOKUP($C$122,'DB animal categories'!$C$42:$AC$51,27,FALSE)*AJ126+Q126+R126+S126,IF(AS126=5,('Calc (ex-animal)'!$K$27+'Calc (ex-animal)'!$L$27)*'Calc (ex-housing, ex-storage)'!F126/100/VLOOKUP($C$122,'DB animal categories'!$C$42:$AC$51,27,FALSE)*AJ126+Q126+R126+S126-'Calc (ex-housing, ex-storage)'!AC126,IF(AS126=3,('Calc (ex-animal)'!$K$27+'Calc (ex-animal)'!$L$27)*'Calc (ex-housing, ex-storage)'!F126/100/VLOOKUP($C$122,'DB animal categories'!$C$42:$AC$51,27,FALSE)*AJ126+Q126+R126+S126-'Calc (ex-housing, ex-storage)'!AC126-AD126-AE126,IF(AI126=4,('Calc (ex-animal)'!$K$27+'Calc (ex-animal)'!$L$27)*'Calc (ex-housing, ex-storage)'!F126/100*VLOOKUP(D126,'DB technologies'!$N$53:$Y$64,12,FALSE)/100/VLOOKUP($C$122,'DB animal categories'!$C$42:$AC$51,27,FALSE)*AJ126+Q126+R126+S126-(VLOOKUP(D126,'DB technologies'!$N$53:$Y$64,12,FALSE)/100*AC126)-AD126-AE126,0))))))</f>
        <v/>
      </c>
      <c r="AY126" s="184" t="str">
        <f>IF(D126="","",IF(AS126=2,0,IF(AS126=1,'Calc (ex-animal)'!$N$27*'Calc (ex-housing, ex-storage)'!F126/100/VLOOKUP($C$122,'DB animal categories'!$C$42:$AC$51,27,FALSE)*AJ126+U126+V126+W126,IF(AS126=5,('Calc (ex-animal)'!$N$27+'Calc (ex-animal)'!$O$27)*'Calc (ex-housing, ex-storage)'!F126/100/VLOOKUP($C$122,'DB animal categories'!$C$42:$AC$51,27,FALSE)*AJ126+U126+V126+W126,IF(AS126=3,('Calc (ex-animal)'!$N$27+'Calc (ex-animal)'!$O$27)*'Calc (ex-housing, ex-storage)'!F126/100/VLOOKUP($C$122,'DB animal categories'!$C$42:$AC$51,27,FALSE)*AJ126+U126+V126+W126,IF(AS126=4,('Calc (ex-animal)'!$N$27+'Calc (ex-animal)'!$O$27)*'Calc (ex-housing, ex-storage)'!F126/100*VLOOKUP(D126,'DB technologies'!$N$53:$Y$64,12,FALSE)/100/VLOOKUP($C$122,'DB animal categories'!$C$42:$AC$51,27,FALSE)*AJ126+U126+V126+W126,0))))))</f>
        <v/>
      </c>
      <c r="AZ126" s="184" t="str">
        <f>IF(D126="","",IF(AS126=2,0,IF(AS126=1,'Calc (ex-animal)'!$Q$27*'Calc (ex-housing, ex-storage)'!F126/100/VLOOKUP($C$122,'DB animal categories'!$C$42:$AC$51,27,FALSE)*AJ126+Y126+Z126+AA126,IF(AS126=5,('Calc (ex-animal)'!$Q$27+'Calc (ex-animal)'!$R$27)*'Calc (ex-housing, ex-storage)'!F126/100/VLOOKUP($C$122,'DB animal categories'!$C$42:$AC$51,27,FALSE)*AJ126+Y126+Z126+AA126,IF(AS126=3,('Calc (ex-animal)'!$Q$27+'Calc (ex-animal)'!$R$27)*'Calc (ex-housing, ex-storage)'!F126/100/VLOOKUP($C$122,'DB animal categories'!$C$42:$AC$51,27,FALSE)*AJ126+Y126+Z126+AA126,IF(AS126=4,('Calc (ex-animal)'!$Q$27+'Calc (ex-animal)'!$R$27)*'Calc (ex-housing, ex-storage)'!F126/100*VLOOKUP(D126,'DB technologies'!$N$53:$Y$64,12,FALSE)/100/VLOOKUP($C$122,'DB animal categories'!$C$42:$AC$51,27,FALSE)*AJ126+Y126+Z126+AA126,0))))))</f>
        <v/>
      </c>
      <c r="BA126" s="506"/>
      <c r="BB126" s="506"/>
      <c r="BC126" s="506"/>
      <c r="BG126" s="1359"/>
      <c r="BH126" s="1362"/>
      <c r="BI126" s="600" t="str">
        <f>IF(BG126="","",$BA$122*BH126/100-($BB$122*BH126/100*VLOOKUP(BG126,'DB technologies'!$AC$11:$AM$15,5,FALSE)/100)+(VLOOKUP(BG126,'DB technologies'!$AC$11:$AN$15,12,FALSE)*$BA$122*BH126/100))</f>
        <v/>
      </c>
      <c r="BJ126" s="470">
        <f>IF(BI126="",0,BI126*BK126/100)</f>
        <v>0</v>
      </c>
      <c r="BK126" s="509" t="str">
        <f>IF(BG126="","",($BB$122*BH126/100)/BI126*(1-(VLOOKUP(BG126,'DB technologies'!$AC$11:$AM$15,5,FALSE))/100)*100)</f>
        <v/>
      </c>
      <c r="BL126" s="267" t="str">
        <f>IF(BG126="","",$BD$122*BH126/100-BO126-BP126-BQ126)</f>
        <v/>
      </c>
      <c r="BM126" s="267" t="str">
        <f>IF(BG126="","",$BE$122*BH126/100)</f>
        <v/>
      </c>
      <c r="BN126" s="267" t="str">
        <f>IF(BG126="","",$BF$122*BH126/100)</f>
        <v/>
      </c>
      <c r="BO126" s="267" t="str">
        <f>IF(BG126="","",$BD$122*BH126/100*VLOOKUP(BG126,'DB technologies'!$AC$11:$AF$15,2,FALSE)/100)</f>
        <v/>
      </c>
      <c r="BP126" s="267" t="str">
        <f>IF(BG126="","",$BD$122*BH126/100*VLOOKUP(BG126,'DB technologies'!$AC$11:$AN$15,3,FALSE)/100)</f>
        <v/>
      </c>
      <c r="BQ126" s="268" t="str">
        <f>IF(BG126="","",$BD$122*BH126/100*VLOOKUP(BG126,'DB technologies'!$AC$11:$AN$15,4,FALSE)/100)</f>
        <v/>
      </c>
      <c r="BR126" s="117"/>
      <c r="BS126" s="117"/>
      <c r="BT126" s="118"/>
    </row>
    <row r="127" spans="1:72" ht="12" customHeight="1" thickBot="1" x14ac:dyDescent="0.25">
      <c r="A127" s="684"/>
      <c r="B127" s="696"/>
      <c r="C127" s="252"/>
      <c r="D127" s="269" t="s">
        <v>58</v>
      </c>
      <c r="E127" s="270">
        <f>IF(F127&lt;=100,SUM(E122:E126),"ERROR")</f>
        <v>0</v>
      </c>
      <c r="F127" s="284">
        <f>IF(SUM(F122:F126) &lt;=100,SUM(F122:F126),"ERROR, SUM&gt;100%")</f>
        <v>0</v>
      </c>
      <c r="G127" s="492">
        <f>IF('Calc (ex-animal)'!$F$9=1,"",SUM(G122:G126))</f>
        <v>0</v>
      </c>
      <c r="H127" s="433">
        <f>IF('Calc (ex-animal)'!$F$8=1,"",SUM(H122:H126))</f>
        <v>0</v>
      </c>
      <c r="I127" s="433">
        <f>IF('Calc (ex-animal)'!$F$8=1,"",SUM(I122:I126))</f>
        <v>0</v>
      </c>
      <c r="J127" s="433">
        <f>IF('Calc (ex-animal)'!$F$8=1,"",SUM(J122:J126))</f>
        <v>0</v>
      </c>
      <c r="K127" s="433">
        <f>IF('Calc (ex-animal)'!$F$8=1,"",SUM(K122:K126))</f>
        <v>0</v>
      </c>
      <c r="L127" s="433">
        <f>IF('Calc (ex-animal)'!$F$8=1,"",SUM(L122:L126))</f>
        <v>0</v>
      </c>
      <c r="M127" s="470"/>
      <c r="N127" s="470"/>
      <c r="O127" s="470"/>
      <c r="P127" s="478">
        <f>IF(G127=0,0,IF('Calc (ex-animal)'!$F$9=1,"",IF(D127="","",SUM(H127:K127)/G127*100)))</f>
        <v>0</v>
      </c>
      <c r="Q127" s="271"/>
      <c r="R127" s="271"/>
      <c r="S127" s="271"/>
      <c r="T127" s="278">
        <f>IF('Calc (ex-animal)'!$F$27=1,"",SUM(T122:T126))</f>
        <v>0</v>
      </c>
      <c r="U127" s="279"/>
      <c r="V127" s="279"/>
      <c r="W127" s="279"/>
      <c r="X127" s="279">
        <f>IF('Calc (ex-animal)'!$F$27=1,"",SUM(X122:X126))</f>
        <v>0</v>
      </c>
      <c r="Y127" s="279"/>
      <c r="Z127" s="279"/>
      <c r="AA127" s="279"/>
      <c r="AB127" s="279">
        <f>IF('Calc (ex-animal)'!$F$27=1,"",SUM(AB122:AB126))</f>
        <v>0</v>
      </c>
      <c r="AC127" s="279">
        <f>IF('Calc (ex-animal)'!$F$27=1,"",SUM(AC122:AC126))</f>
        <v>0</v>
      </c>
      <c r="AD127" s="279">
        <f>IF('Calc (ex-animal)'!$F$27=1,"",SUM(AD122:AD126))</f>
        <v>0</v>
      </c>
      <c r="AE127" s="280">
        <f>IF('Calc (ex-animal)'!$F$27=1,"",SUM(AE122:AE126))</f>
        <v>0</v>
      </c>
      <c r="AG127" s="698"/>
      <c r="AH127" s="696"/>
      <c r="BG127" s="556" t="s">
        <v>58</v>
      </c>
      <c r="BH127" s="315">
        <f>IF(SUM(BH122:BH126) &gt;100,"ERROR, SUM&gt;100%",SUM(BH122:BH126))</f>
        <v>0</v>
      </c>
      <c r="BI127" s="601">
        <f>SUM(BI122:BI126)</f>
        <v>0</v>
      </c>
      <c r="BJ127" s="593">
        <f>SUM(BJ122:BJ126)</f>
        <v>0</v>
      </c>
      <c r="BK127" s="597">
        <f>IF(BI127=0,0,BJ127/BI127*100)</f>
        <v>0</v>
      </c>
      <c r="BL127" s="307">
        <f t="shared" ref="BL127:BQ127" si="19">SUM(BL122:BL126)</f>
        <v>0</v>
      </c>
      <c r="BM127" s="307">
        <f t="shared" si="19"/>
        <v>0</v>
      </c>
      <c r="BN127" s="307">
        <f t="shared" si="19"/>
        <v>0</v>
      </c>
      <c r="BO127" s="307">
        <f t="shared" si="19"/>
        <v>0</v>
      </c>
      <c r="BP127" s="307">
        <f t="shared" si="19"/>
        <v>0</v>
      </c>
      <c r="BQ127" s="308">
        <f t="shared" si="19"/>
        <v>0</v>
      </c>
      <c r="BR127" s="119"/>
      <c r="BS127" s="120"/>
      <c r="BT127" s="121"/>
    </row>
    <row r="128" spans="1:72" ht="11.25" customHeight="1" x14ac:dyDescent="0.2">
      <c r="A128" s="684"/>
      <c r="B128" s="694" t="s">
        <v>27</v>
      </c>
      <c r="C128" s="254">
        <f>'Calc (ex-animal)'!D28</f>
        <v>0</v>
      </c>
      <c r="D128" s="1355"/>
      <c r="E128" s="1356"/>
      <c r="F128" s="479" t="str">
        <f>IF('Calc (ex-animal)'!$F$9=1,"",IF($C$128=0,"",IF(D128="","",E128/'Calc (ex-animal)'!$E$28*100)))</f>
        <v/>
      </c>
      <c r="G128" s="443" t="str">
        <f>IF($C$128=0,"",IF('Calc (ex-animal)'!$F$8=1,"",IF(D128="","",SUM(H128:O128))))</f>
        <v/>
      </c>
      <c r="H128" s="471" t="str">
        <f>IF('Calc (ex-animal)'!$F$8=1,"",IF(D128="","",(((VLOOKUP($C$128,'Calc (ex-animal)'!$D$28:$Y$32,6,FALSE)-VLOOKUP($C$128,'Calc (ex-animal)'!$D$28:$Y$32,17,FALSE))*F128/100))*VLOOKUP($C$128,'Calc (ex-animal)'!$D$28:$Y$32,7,FALSE)/100*(1-VLOOKUP(D128,'DB technologies'!$N$66:$Y$77,9,FALSE)/100)))</f>
        <v/>
      </c>
      <c r="I128" s="471" t="str">
        <f>IF(D128="","",((VLOOKUP(D128,'DB technologies'!$N$66:$Y$77,2,FALSE)*VLOOKUP($C$128,'DB animal categories'!$C$52:$AC$61,27,FALSE)*E128/1000)/VLOOKUP($C$128,'DB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'!$S$6/100*(1-VLOOKUP(D128,'DB technologies'!$N$66:$Y$77,9,FALSE)/100)))</f>
        <v/>
      </c>
      <c r="J128" s="472" t="str">
        <f>IF(D128="","",((VLOOKUP(D128,'DB technologies'!$N$66:$Y$77,3,FALSE)*VLOOKUP($C$128,'DB animal categories'!$C$52:$AC$61,27,FALSE)*E128/1000)/VLOOKUP($C$128,'DB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'!$S$7/100*(1-VLOOKUP(D128,'DB technologies'!$N$66:$Y$77,9,FALSE)/100)))</f>
        <v/>
      </c>
      <c r="K128" s="472" t="str">
        <f>IF(D128="","",((VLOOKUP(D128,'DB technologies'!$N$66:$Y$77,4,FALSE)*E128*'DB additional information '!$S$8/100*(1-VLOOKUP(D128,'DB technologies'!$N$66:$Y$77,9,FALSE)/100))/VLOOKUP($C$128,'DB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L128" s="471" t="str">
        <f>IF('Calc (ex-animal)'!$F$8=1,"",IF(D128="","",(((VLOOKUP($C$128,'Calc (ex-animal)'!$D$28:$Y$32,6,FALSE)-VLOOKUP($C$128,'Calc (ex-animal)'!$D$28:$Y$32,17,FALSE))*F128/100))*(1-VLOOKUP($C$128,'Calc (ex-animal)'!$D$28:$Y$32,7,FALSE)/100)*(1-VLOOKUP(D128,'DB technologies'!$N$66:$V$77,8,FALSE)/100)))</f>
        <v/>
      </c>
      <c r="M128" s="472" t="str">
        <f>IF(D128="","",((VLOOKUP(D128,'DB technologies'!$N$66:$Y$77,2,FALSE)*VLOOKUP($C$128,'DB animal categories'!$C$52:$AC$61,27,FALSE)*E128/1000)/VLOOKUP($C$128,'DB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'!$S$6/100)*(1-VLOOKUP(D128,'DB technologies'!$N$66:$Y$77,9,FALSE)/100))</f>
        <v/>
      </c>
      <c r="N128" s="472" t="str">
        <f>IF(D128="","",((VLOOKUP(D128,'DB technologies'!$N$66:$Y$77,3,FALSE)*VLOOKUP($C$128,'DB animal categories'!$C$52:$AC$61,27,FALSE)*E128/1000)/VLOOKUP($C$128,'DB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'!$S$7/100)*(1-VLOOKUP(D128,'DB technologies'!$N$66:$Y$77,9,FALSE)/100))</f>
        <v/>
      </c>
      <c r="O128" s="471" t="str">
        <f>IF(D128="","",((VLOOKUP(D128,'DB technologies'!$N$66:$Y$77,4,FALSE)*E128*(1-'DB additional information '!$S$8/100)*(1-VLOOKUP(D128,'DB technologies'!$N$66:$Y$77,8,FALSE)/100))/VLOOKUP($C$128,'DB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P128" s="443" t="str">
        <f>IF(G128=0,0,IF(E128="","",IF(F128="","",IF($C$128=0,"",IF(D128="","",SUM(H128:K128)/G128*100)))))</f>
        <v/>
      </c>
      <c r="Q128" s="473" t="str">
        <f>IF(D128="","",(VLOOKUP(D128,'DB technologies'!$N$66:$Y$77,2,FALSE)*'DB additional information '!$S$6/100*'DB additional information '!$T$6*VLOOKUP($C$128,'DB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R128" s="473" t="str">
        <f>IF(D128="","",(VLOOKUP(D128,'DB technologies'!$N$66:$Y$77,3,FALSE)*'DB additional information '!$S$7/100*'DB additional information '!$T$7*VLOOKUP($C$128,'DB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S128" s="490" t="str">
        <f>IF(D128="","",(VLOOKUP(D128,'DB technologies'!$N$66:$Y$77,4,FALSE)*('DB additional information '!$S$8/100*'DB additional information '!$T$8*E128/1000/1000)))</f>
        <v/>
      </c>
      <c r="T128" s="263" t="str">
        <f>IF($C$128=0,"",IF('Calc (ex-animal)'!$F$9=1,"",IF(D128="","",((VLOOKUP($C$128,'Calc (ex-animal)'!$D$28:$Y$32,10,FALSE)-VLOOKUP($C$128,'Calc (ex-animal)'!$D$28:$Y$32,18,FALSE))*F128/100+Q128+R128+S128)-AC128-AD128-AE128)))</f>
        <v/>
      </c>
      <c r="U128" s="474" t="str">
        <f>IF(D128="","",(VLOOKUP(D128,'DB technologies'!$N$66:$Y$77,2,FALSE)*'DB additional information '!$S$6/100*'DB additional information '!$U$6*VLOOKUP($C$128,'DB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V128" s="420" t="str">
        <f>IF(D128="","",(VLOOKUP(D128,'DB technologies'!$N$66:$Y$77,3,FALSE)*'DB additional information '!$S$7/100*'DB additional information '!$U$7*VLOOKUP($C$128,'DB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W128" s="415" t="str">
        <f>IF(D128="","",(VLOOKUP(D128,'DB technologies'!$N$66:$Y$77,4,FALSE)*('DB additional information '!$S$8/100*'DB additional information '!$U$8*E128/1000/1000)))</f>
        <v/>
      </c>
      <c r="X128" s="259" t="str">
        <f>IF($C$128=0,"",IF('Calc (ex-animal)'!$F$9=1,"",IF(D128="","",((VLOOKUP($C$128,'Calc (ex-animal)'!$D$28:$Y$32,13,FALSE)-VLOOKUP($C$128,'Calc (ex-animal)'!$D$28:$Y$32,19,FALSE))*F128/100+U128+V128+W128))))</f>
        <v/>
      </c>
      <c r="Y128" s="420" t="str">
        <f>IF(D128="","",(VLOOKUP(D128,'DB technologies'!$N$66:$Y$77,2,FALSE)*'DB additional information '!$S$6/100*'DB additional information '!$V$6*VLOOKUP($C$128,'DB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Z128" s="420" t="str">
        <f>IF(D128="","",(VLOOKUP(D128,'DB technologies'!$N$66:$Y$77,3,FALSE)*'DB additional information '!$S$7/100*'DB additional information '!$V$7*VLOOKUP($C$128,'DB animal categories'!$C$52:$AC$61,27,FALSE)*E128/1000/1000)/VLOOKUP($C$128,'DB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AA128" s="420" t="str">
        <f>IF(D128="","",(VLOOKUP(D128,'DB technologies'!$N$66:$Y$77,4,FALSE)*('DB additional information '!$S$8/100*'DB additional information '!$V$8*E128/1000/1000)))</f>
        <v/>
      </c>
      <c r="AB128" s="259" t="str">
        <f>IF($C$128=0,"",IF('Calc (ex-animal)'!$F$8=1,"",IF(D128="","",((VLOOKUP($C$128,'Calc (ex-animal)'!$D$28:$Y$32,16,FALSE)-VLOOKUP($C$128,'Calc (ex-animal)'!$D$28:$Y$32,20,FALSE))*F128/100+Y128+Z128+AA128))))</f>
        <v/>
      </c>
      <c r="AC128" s="259" t="str">
        <f>IF($C$128=0,"",IF('Calc (ex-animal)'!$F$8=1,"",IF(D128="","",VLOOKUP($C$128,'Calc (ex-animal)'!$D$28:$Y$32,9,FALSE)/VLOOKUP($C$128,'DB animal categories'!$C$52:$AC$61,27,FALSE)*(VLOOKUP($C$128,'DB animal categories'!$C$52:$AC$61,27,FALSE)-VLOOKUP($C$128,'DB animal categories'!$C$52:$AC$61,25,FALSE)*VLOOKUP($C$128,'DB animal categories'!$C$52:$AC$61,26,FALSE)/24)*F128/100*VLOOKUP(D128,'DB technologies'!$N$66:$R$77,5,FALSE)/100)))</f>
        <v/>
      </c>
      <c r="AD128" s="259" t="str">
        <f>IF($C$128=0,"",IF('Calc (ex-animal)'!$F$8=1,"",IF(D128="","",VLOOKUP($C$128,'Calc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categories'!$C$52:$AC$61,26,FALSE)/24)*F128/100*VLOOKUP(D128,'DB technologies'!$N$66:$Y$77,6,FALSE)/100)))</f>
        <v/>
      </c>
      <c r="AE128" s="260" t="str">
        <f>IF($C$128=0,"",IF('Calc (ex-animal)'!$F$8=1,"",IF(D128="","",VLOOKUP($C$128,'Calc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categories'!$C$52:$AC$61,26,FALSE)/24)*F128/100*VLOOKUP(D128,'DB technologies'!$N$66:$Y$77,7,FALSE)/100)))</f>
        <v/>
      </c>
      <c r="AG128" s="698"/>
      <c r="AH128" s="694" t="s">
        <v>133</v>
      </c>
      <c r="AI128" s="179" t="str">
        <f>IF(D128="","",VLOOKUP(D128,'DB technologies'!$N$66:$Y$77,10,FALSE))</f>
        <v/>
      </c>
      <c r="AJ128" s="482" t="e">
        <f>VLOOKUP($C$128,'DB animal categories'!$C$52:$AN$61,27,FALSE)-VLOOKUP($C$128,'DB animal categories'!$C$52:$AN$61,26,FALSE)*VLOOKUP($C$128,'DB animal categories'!$C$52:$AN$61,25,FALSE)/24</f>
        <v>#N/A</v>
      </c>
      <c r="AK128" s="453" t="str">
        <f>IF(AI128="","",AL128+AM128)</f>
        <v/>
      </c>
      <c r="AL128" s="453" t="str">
        <f>IF(D128="","",IF(AI128=2,(('Calc (ex-animal)'!$G$28*'DB additional information '!$K$9/100*(1-VLOOKUP(D128,'DB technologies'!$N$66:$Y$77,9,FALSE)/100)*'Calc (ex-housing, ex-storage)'!F128/100+'Calc (ex-animal)'!$H$28*'DB additional information '!$L$9/100*(1-VLOOKUP(D128,'DB technologies'!$N$66:$Y$77,9,FALSE)/100)*'Calc (ex-housing, ex-storage)'!F128/100))/VLOOKUP($C$128,'DB animal categories'!$C$52:$AC$61,27,FALSE)*AJ128+I128+J128+K128,IF(AI128=1,('Calc (ex-animal)'!$H$28*'DB additional information '!$L$9/100*(1-VLOOKUP(D128,'DB technologies'!$N$66:$Y$77,9,FALSE)/100)*'Calc (ex-housing, ex-storage)'!F128/100)/VLOOKUP($C$128,'DB animal categories'!$C$52:$AC$61,27,FALSE)*AJ128,IF(AI128=4,('Calc (ex-animal)'!$G$28*'DB additional information '!$K$9/100+'Calc (ex-animal)'!$H$28*'DB additional information '!$L$9/100)*(1-VLOOKUP(D128,'DB technologies'!$N$66:$Y$77,9,FALSE)/100)*'Calc (ex-housing, ex-storage)'!F128/100*VLOOKUP(D128,'DB technologies'!$N$66:$Y$77,11,FALSE)/100/VLOOKUP($C$128,'DB animal categories'!$C$52:$AC$61,27,FALSE)*AJ128,0))))</f>
        <v/>
      </c>
      <c r="AM128" s="453" t="str">
        <f>IF(D128="","",IF(AI128=2,(('Calc (ex-animal)'!$G$28*(1-'DB additional information '!$K$9/100)*(1-VLOOKUP(D128,'DB technologies'!$N$66:$Y$77,8,FALSE)/100)*'Calc (ex-housing, ex-storage)'!F128/100+'Calc (ex-animal)'!$H$28*(1-'DB additional information '!$L$9/100)*(1-VLOOKUP(D128,'DB technologies'!$N$66:$Y$77,8,FALSE)/100)*'Calc (ex-housing, ex-storage)'!F128/100))/VLOOKUP($C$128,'DB animal categories'!$C$52:$AC$61,27,FALSE)*AJ128+M128+N128+O128,IF(AI128=1,('Calc (ex-animal)'!$H$28*(1-'DB additional information '!$L$9/100)*(1-VLOOKUP(D128,'DB technologies'!$N$66:$Y$77,8,FALSE)/100)*'Calc (ex-housing, ex-storage)'!F128/100)/VLOOKUP($C$128,'DB animal categories'!$C$52:$AC$61,27,FALSE)*AJ128,IF(AI128=4,('Calc (ex-animal)'!$G$28*(1-'DB additional information '!$K$9/100)+'Calc (ex-animal)'!$H$28*(1-'DB additional information '!$L$9/100))*(1-VLOOKUP(D128,'DB technologies'!$N$66:$Y$77,8,FALSE)/100)*'Calc (ex-housing, ex-storage)'!F128/100*VLOOKUP(D128,'DB technologies'!$N$66:$Y$77,11,FALSE)/100/VLOOKUP($C$128,'DB animal categories'!$C$52:$AC$61,27,FALSE)*AJ128,0))))</f>
        <v/>
      </c>
      <c r="AN128" s="453" t="str">
        <f>IF(AI128="","",IF(AL128=0,0,AL128/AK128*100))</f>
        <v/>
      </c>
      <c r="AO128" s="180" t="str">
        <f>IF(D128="","",IF(AI128=2,(('Calc (ex-animal)'!$L$28*'Calc (ex-housing, ex-storage)'!F128/100+'Calc (ex-animal)'!$K$28*'Calc (ex-housing, ex-storage)'!F128/100))/VLOOKUP($C$128,'DB animal categories'!$C$52:$AC$61,27,FALSE)*AJ128+Q128+R128+S128-AC128,IF(AI128=1,('Calc (ex-animal)'!$L$28*'Calc (ex-housing, ex-storage)'!F128/100)/VLOOKUP($C$128,'DB animal categories'!$C$52:$AC$61,27,FALSE)*AJ128-'Calc (ex-housing, ex-storage)'!AC128,IF(AI128=4,('Calc (ex-animal)'!$L$28+'Calc (ex-animal)'!$K$28)*'Calc (ex-housing, ex-storage)'!F128/100*VLOOKUP(D128,'DB technologies'!$N$66:$Y$77,11,FALSE)/100/VLOOKUP($C$128,'DB animal categories'!$C$52:$AC$61,27,FALSE)*AJ128-AC128*VLOOKUP(D128,'DB technologies'!$N$66:$Y$77,11,FALSE)/100,0))))</f>
        <v/>
      </c>
      <c r="AP128" s="180" t="str">
        <f>IF(D128="","",IF(AO128&lt;-0.01,0,IF(AI128=2,(('Calc (ex-animal)'!$L$28*'Calc (ex-housing, ex-storage)'!F128/100+'Calc (ex-animal)'!$K$28*'Calc (ex-housing, ex-storage)'!F128/100))/VLOOKUP($C$128,'DB animal categories'!$C$52:$AC$61,27,FALSE)*AJ128+Q128+R128+S128-AC128,IF(AI128=1,('Calc (ex-animal)'!$L$28*'Calc (ex-housing, ex-storage)'!F128/100)/VLOOKUP($C$128,'DB animal categories'!$C$52:$AC$61,27,FALSE)*AJ128-'Calc (ex-housing, ex-storage)'!AC128,IF(AI128=4,('Calc (ex-animal)'!$L$28+'Calc (ex-animal)'!$K$28)*'Calc (ex-housing, ex-storage)'!F128/100*VLOOKUP(D128,'DB technologies'!$N$66:$Y$77,11,FALSE)/100/VLOOKUP($C$128,'DB animal categories'!$C$52:$AC$61,27,FALSE)*AJ128-AC128*VLOOKUP(D128,'DB technologies'!$N$66:$Y$77,11,FALSE)/100,0)))))</f>
        <v/>
      </c>
      <c r="AQ128" s="180" t="str">
        <f>IF(D128="","",IF(AI128=2,('Calc (ex-animal)'!$O$28*'Calc (ex-housing, ex-storage)'!F128/100+'Calc (ex-animal)'!$N$28*'Calc (ex-housing, ex-storage)'!F128/100)/VLOOKUP($C$128,'DB animal categories'!$C$52:$AC$61,27,FALSE)*AJ128+U128+V128+W128,IF(AI128=1,'Calc (ex-animal)'!$O$28*'Calc (ex-housing, ex-storage)'!F128/100/VLOOKUP($C$128,'DB animal categories'!$C$52:$AC$61,27,FALSE)*AJ128,IF(AI128=4,('Calc (ex-animal)'!$O$28+'Calc (ex-animal)'!$N$28)*'Calc (ex-housing, ex-storage)'!F128/100*VLOOKUP(D128,'DB technologies'!$N$66:$Y$77,11,FALSE)/100/VLOOKUP($C$128,'DB animal categories'!$C$52:$AC$61,27,FALSE)*AJ128,0))))</f>
        <v/>
      </c>
      <c r="AR128" s="180" t="str">
        <f>IF(D128="","",IF(AI128=2,('Calc (ex-animal)'!$R$28*'Calc (ex-housing, ex-storage)'!F128/100+'Calc (ex-animal)'!$Q$28*'Calc (ex-housing, ex-storage)'!F128/100)/VLOOKUP($C$128,'DB animal categories'!$C$52:$AC$61,27,FALSE)*AJ128+Y128+Z128+AA128,IF(AI128=1,'Calc (ex-animal)'!$R$28*'Calc (ex-housing, ex-storage)'!F128/100/VLOOKUP($C$128,'DB animal categories'!$C$52:$AC$61,27,FALSE)*AJ128,IF(AI128=4,('Calc (ex-animal)'!$R$28+'Calc (ex-animal)'!$Q$28)*'Calc (ex-housing, ex-storage)'!F128/100*VLOOKUP(D128,'DB technologies'!$N$66:$Y$77,11,FALSE)/100/VLOOKUP($C$128,'DB animal categories'!$C$52:$AC$61,27,FALSE)*AJ128,0))))</f>
        <v/>
      </c>
      <c r="AS128" s="179" t="str">
        <f>IF(D128="","",VLOOKUP(D128,'DB technologies'!$N$66:$Y$77,10,FALSE))</f>
        <v/>
      </c>
      <c r="AT128" s="453" t="str">
        <f>IF(AS128="","",AU128+AV128)</f>
        <v/>
      </c>
      <c r="AU128" s="453" t="str">
        <f>IF(D128="","",IF(AS128=2,0,IF(AS128=1,'Calc (ex-animal)'!$G$28*'DB additional information '!$K$9/100*(1-VLOOKUP(D128,'DB technologies'!$N$66:$Y$77,8,FALSE)/100)*'Calc (ex-housing, ex-storage)'!F128/100/VLOOKUP($C$128,'DB animal categories'!$C$52:$AC$61,27,FALSE)*AJ128+I128+J128+K128,IF(AS128=5,(('Calc (ex-animal)'!$G$28*'DB additional information '!$K$9/100+'Calc (ex-animal)'!$H$28*'DB additional information '!$L$9/100))*(1-VLOOKUP(D128,'DB technologies'!$N$66:$Y$77,9,FALSE)/100)*'Calc (ex-housing, ex-storage)'!F128/100/VLOOKUP($C$128,'DB animal categories'!$C$52:$AC$61,27,FALSE)*AJ128+I128+J128+K128,IF(AS128=3,('Calc (ex-animal)'!$G$28*'DB additional information '!$K$9/100+'Calc (ex-animal)'!$H$28*'DB additional information '!$L$9/100)*(1-VLOOKUP(D128,'DB technologies'!$N$66:$Y$77,9,FALSE)/100)*'Calc (ex-housing, ex-storage)'!F128/100/VLOOKUP($C$128,'DB animal categories'!$C$52:$AC$61,27,FALSE)*AJ128+I128+J128+K128,IF(AS128=4,('Calc (ex-animal)'!$G$28*'DB additional information '!$K$9/100+'Calc (ex-animal)'!$H$28*'DB additional information '!$L$9/100)*(1-VLOOKUP(D128,'DB technologies'!$N$66:$Y$77,9,FALSE)/100)*'Calc (ex-housing, ex-storage)'!F128/100*VLOOKUP(D128,'DB technologies'!$N$66:$Y$77,12,FALSE)/100/VLOOKUP($C$128,'DB animal categories'!$C$52:$AC$61,27,FALSE)*AJ128+I128+J128+K128,0))))))</f>
        <v/>
      </c>
      <c r="AV128" s="453" t="str">
        <f>IF(D128="","",IF(AS128=2,0,IF(AS128=1,'Calc (ex-animal)'!$G$28*(1-'DB additional information '!$K$9/100)*(1-VLOOKUP(D128,'DB technologies'!$N$66:$Y$77,8,FALSE)/100)*'Calc (ex-housing, ex-storage)'!F128/100/VLOOKUP($C$128,'DB animal categories'!$C$52:$AC$61,27,FALSE)*AJ128+M128+N128+O128,IF(AS128=5,('Calc (ex-animal)'!$G$28*(1-'DB additional information '!$K$9/100)+'Calc (ex-animal)'!$H$28*(1-'DB additional information '!$L$9/100))*(1-VLOOKUP(D128,'DB technologies'!$N$66:$Y$77,8,FALSE)/100)*'Calc (ex-housing, ex-storage)'!F128/100/VLOOKUP($C$128,'DB animal categories'!$C$52:$AC$61,27,FALSE)*AJ128+M128+N128+O128,IF(AS128=3,('Calc (ex-animal)'!$G$28*(1-'DB additional information '!$K$9/100)+'Calc (ex-animal)'!$H$28*(1-'DB additional information '!$L$9/100))*(1-VLOOKUP(D128,'DB technologies'!$N$66:$Y$77,8,FALSE)/100)*'Calc (ex-housing, ex-storage)'!F128/100/VLOOKUP($C$128,'DB animal categories'!$C$52:$AC$61,27,FALSE)*AJ128+M128+N128+O128,IF(AS128=4,('Calc (ex-animal)'!$G$28*(1-'DB additional information '!$K$9/100)+'Calc (ex-animal)'!$H$28*(1-'DB additional information '!$L$9/100))*(1-VLOOKUP(D128,'DB technologies'!$N$66:$Y$77,8,FALSE)/100)*'Calc (ex-housing, ex-storage)'!F128/100*VLOOKUP(D128,'DB technologies'!$N$66:$Y$77,12,FALSE)/100/VLOOKUP($C$128,'DB animal categories'!$C$52:$AC$61,27,FALSE)*AJ128+M128+N128+O128,0))))))</f>
        <v/>
      </c>
      <c r="AW128" s="453" t="str">
        <f>IF(AS128="","",IF(AU128=0,0,AU128/AT128*100))</f>
        <v/>
      </c>
      <c r="AX128" s="180" t="str">
        <f>IF(D128="","",IF(AS128=2,0,IF(AS128=1,'Calc (ex-animal)'!$K$28*'Calc (ex-housing, ex-storage)'!F128/100/VLOOKUP($C$128,'DB animal categories'!$C$52:$AC$61,27,FALSE)*AJ128+Q128+R128+S128,IF(AS128=5,('Calc (ex-animal)'!$K$28+'Calc (ex-animal)'!$L$28)*'Calc (ex-housing, ex-storage)'!F128/100/VLOOKUP($C$128,'DB animal categories'!$C$52:$AC$61,27,FALSE)*AJ128+Q128+R128+S128-'Calc (ex-housing, ex-storage)'!AC128,IF(AS128=3,('Calc (ex-animal)'!$K$28+'Calc (ex-animal)'!$L$28)*'Calc (ex-housing, ex-storage)'!F128/100/VLOOKUP($C$128,'DB animal categories'!$C$52:$AC$61,27,FALSE)*AJ128+Q128+R128+S128-'Calc (ex-housing, ex-storage)'!AC128-AD128-AE128,IF(AI128=4,('Calc (ex-animal)'!$K$28+'Calc (ex-animal)'!$L$28)*'Calc (ex-housing, ex-storage)'!F128/100*VLOOKUP(D128,'DB technologies'!$N$66:$Y$77,12,FALSE)/100/VLOOKUP($C$128,'DB animal categories'!$C$52:$AC$61,27,FALSE)*AJ128+Q128+R128+S128-(VLOOKUP(D128,'DB technologies'!$N$66:$Y$77,12,FALSE)/100*AC128)-AD128-AE128,0))))))</f>
        <v/>
      </c>
      <c r="AY128" s="180" t="str">
        <f>IF(D128="","",IF(AS128=2,0,IF(AS128=1,'Calc (ex-animal)'!$N$28*'Calc (ex-housing, ex-storage)'!F128/100/VLOOKUP($C$128,'DB animal categories'!$C$52:$AC$61,27,FALSE)*AJ128+U128+V128+W128,IF(AS128=5,('Calc (ex-animal)'!$N$28+'Calc (ex-animal)'!$O$28)*'Calc (ex-housing, ex-storage)'!F128/100/VLOOKUP($C$128,'DB animal categories'!$C$52:$AC$61,27,FALSE)*AJ128+U128+V128+W128,IF(AS128=3,('Calc (ex-animal)'!$N$28+'Calc (ex-animal)'!$O$28)*'Calc (ex-housing, ex-storage)'!F128/100/VLOOKUP($C$128,'DB animal categories'!$C$52:$AC$61,27,FALSE)*AJ128+U128+V128+W128,IF(AS128=4,('Calc (ex-animal)'!$N$28+'Calc (ex-animal)'!$O$28)*'Calc (ex-housing, ex-storage)'!F128/100*VLOOKUP(D128,'DB technologies'!$N$66:$Y$77,12,FALSE)/100/VLOOKUP($C$128,'DB animal categories'!$C$52:$AC$61,27,FALSE)*AJ128+U128+V128+W128,0))))))</f>
        <v/>
      </c>
      <c r="AZ128" s="180" t="str">
        <f>IF(D128="","",IF(AS128=2,0,IF(AS128=1,'Calc (ex-animal)'!$Q$28*'Calc (ex-housing, ex-storage)'!F128/100/VLOOKUP($C$128,'DB animal categories'!$C$52:$AC$61,27,FALSE)*AJ128+Y128+Z128+AA128,IF(AS128=5,('Calc (ex-animal)'!$Q$28+'Calc (ex-animal)'!$R$28)*'Calc (ex-housing, ex-storage)'!F128/100/VLOOKUP($C$128,'DB animal categories'!$C$52:$AC$61,27,FALSE)*AJ128+Y128+Z128+AA128,IF(AS128=3,('Calc (ex-animal)'!$Q$28+'Calc (ex-animal)'!$R$28)*'Calc (ex-housing, ex-storage)'!F128/100/VLOOKUP($C$128,'DB animal categories'!$C$52:$AC$61,27,FALSE)*AJ128+Y128+Z128+AA128,IF(AS128=4,('Calc (ex-animal)'!$Q$28+'Calc (ex-animal)'!$R$28)*'Calc (ex-housing, ex-storage)'!F128/100*VLOOKUP(D128,'DB technologies'!$N$66:$Y$77,12,FALSE)/100/VLOOKUP($C$128,'DB animal categories'!$C$52:$AC$61,27,FALSE)*AJ128+Y128+Z128+AA128,0))))))</f>
        <v/>
      </c>
      <c r="BA128" s="98">
        <f>SUMIF(AS607:AS635,1,AT607:AT635)+SUMIF(AS607:AS635,5,AT607:AT635)</f>
        <v>0</v>
      </c>
      <c r="BB128" s="98">
        <f>SUMIF(AS607:AS635,1,AU607:AU635)+SUMIF(AS607:AS635,5,AU607:AU635)</f>
        <v>0</v>
      </c>
      <c r="BC128" s="506" t="e">
        <f>BB128/BA128*100</f>
        <v>#DIV/0!</v>
      </c>
      <c r="BD128" s="98">
        <f ca="1">SUMIF(AS607:AS5635,1,AX607:AX635)+SUMIF(AS607:AS635,5,AX607:AX635)</f>
        <v>0</v>
      </c>
      <c r="BE128" s="98">
        <f>SUMIF(AS607:AS635,1,AY607:AY635)+SUMIF(AS607:AS635,5,AY607:AY635)</f>
        <v>0</v>
      </c>
      <c r="BF128" s="98">
        <f>SUMIF(AS607:AS635,1,AZ607:AZ635)+SUMIF(AS607:AS635,5,AZ607:AZ635)</f>
        <v>0</v>
      </c>
      <c r="BG128" s="1355"/>
      <c r="BH128" s="1363"/>
      <c r="BI128" s="599" t="str">
        <f>IF(BG128="","",$BA$128*BH128/100-($BB$128*BH128/100*VLOOKUP(BG128,'DB technologies'!$AC$16:$AQ$20,5,FALSE)/100)+(VLOOKUP(BG128,'DB technologies'!$AC$16:$AQ$20,12,FALSE)*$BA$128*BH128/100))</f>
        <v/>
      </c>
      <c r="BJ128" s="551">
        <f>IF(BI128="",0,BI128*BK128/100)</f>
        <v>0</v>
      </c>
      <c r="BK128" s="570" t="str">
        <f>IF(BG128="","",($BB$128*BH128/100)/BI128*(1-(VLOOKUP(BG128,'DB technologies'!$AC$16:$AQ$20,5,FALSE))/100)*100)</f>
        <v/>
      </c>
      <c r="BL128" s="259" t="str">
        <f>IF(BG128="","",$BD$128*BH128/100-BO128-BP128-BQ128-BR128)</f>
        <v/>
      </c>
      <c r="BM128" s="259" t="str">
        <f>IF(BG128="","",$BE$128*BH128/100-BS128)</f>
        <v/>
      </c>
      <c r="BN128" s="259" t="str">
        <f>IF(BG128="","",$BF$128*BH128/100-BT128)</f>
        <v/>
      </c>
      <c r="BO128" s="259" t="str">
        <f>IF(BG128="","",$BD$128*BH128/100*VLOOKUP(BG128,'DB technologies'!$AC$16:$AF$20,2,FALSE)/100)</f>
        <v/>
      </c>
      <c r="BP128" s="259" t="str">
        <f>IF(BG128="","",$BD$128*BH128/100*VLOOKUP(BG128,'DB technologies'!$AC$16:$AN$20,3,FALSE)/100)</f>
        <v/>
      </c>
      <c r="BQ128" s="260" t="str">
        <f>IF(BG128="","",$BD$128*BH128/100*VLOOKUP(BG128,'DB technologies'!$AC$16:$AN$20,4,FALSE)/100)</f>
        <v/>
      </c>
      <c r="BR128" s="263" t="str">
        <f>IF(BG128="","",VLOOKUP(BG128,'DB technologies'!$AC$16:$AQ$20,13,FALSE)/100*$BD$128*BH128/100)</f>
        <v/>
      </c>
      <c r="BS128" s="259" t="str">
        <f>IF(BG128="","",VLOOKUP(BG128,'DB technologies'!$AC$16:$AQ$20,14,FALSE)/100*$BE$128*BH128/100)</f>
        <v/>
      </c>
      <c r="BT128" s="260" t="str">
        <f>IF(BG128="","",VLOOKUP(BG128,'DB technologies'!$AC$16:$AQ$20,15,FALSE)/100*$BF$128*BH128/100)</f>
        <v/>
      </c>
    </row>
    <row r="129" spans="1:72" ht="11.25" customHeight="1" x14ac:dyDescent="0.2">
      <c r="A129" s="684"/>
      <c r="B129" s="695"/>
      <c r="C129" s="255"/>
      <c r="D129" s="1357"/>
      <c r="E129" s="1358"/>
      <c r="F129" s="480" t="str">
        <f>IF('Calc (ex-animal)'!$F$9=1,"",IF($C$128=0,"",IF(D129="","",E129/'Calc (ex-animal)'!$E$28*100)))</f>
        <v/>
      </c>
      <c r="G129" s="438" t="str">
        <f>IF($C$128=0,"",IF('Calc (ex-animal)'!$F$8=1,"",IF(D129="","",SUM(H129:O129))))</f>
        <v/>
      </c>
      <c r="H129" s="423" t="str">
        <f>IF('Calc (ex-animal)'!$F$8=1,"",IF(D129="","",(((VLOOKUP($C$128,'Calc (ex-animal)'!$D$28:$Y$32,6,FALSE)-VLOOKUP($C$128,'Calc (ex-animal)'!$D$28:$Y$32,17,FALSE))*F129/100))*VLOOKUP($C$128,'Calc (ex-animal)'!$D$28:$Y$32,7,FALSE)/100*(1-VLOOKUP(D129,'DB technologies'!$N$66:$Y$77,9,FALSE)/100)))</f>
        <v/>
      </c>
      <c r="I129" s="423" t="str">
        <f>IF(D129="","",((VLOOKUP(D129,'DB technologies'!$N$66:$Y$77,2,FALSE)*VLOOKUP($C$128,'DB animal categories'!$C$52:$AC$61,27,FALSE)*E129/1000)/VLOOKUP($C$128,'DB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'!$S$6/100*(1-VLOOKUP(D129,'DB technologies'!$N$66:$Y$77,9,FALSE)/100)))</f>
        <v/>
      </c>
      <c r="J129" s="434" t="str">
        <f>IF(D129="","",((VLOOKUP(D129,'DB technologies'!$N$66:$Y$77,3,FALSE)*VLOOKUP($C$128,'DB animal categories'!$C$52:$AC$61,27,FALSE)*E129/1000)/VLOOKUP($C$128,'DB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'!$S$7/100*(1-VLOOKUP(D129,'DB technologies'!$N$66:$Y$77,9,FALSE)/100)))</f>
        <v/>
      </c>
      <c r="K129" s="434" t="str">
        <f>IF(D129="","",((VLOOKUP(D129,'DB technologies'!$N$66:$Y$77,4,FALSE)*E129*'DB additional information '!$S$8/100*(1-VLOOKUP(D129,'DB technologies'!$N$66:$Y$77,9,FALSE)/100))/VLOOKUP($C$128,'DB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L129" s="423" t="str">
        <f>IF('Calc (ex-animal)'!$F$8=1,"",IF(D129="","",(((VLOOKUP($C$128,'Calc (ex-animal)'!$D$28:$Y$32,6,FALSE)-VLOOKUP($C$128,'Calc (ex-animal)'!$D$28:$Y$32,17,FALSE))*F129/100))*(1-VLOOKUP($C$128,'Calc (ex-animal)'!$D$28:$Y$32,7,FALSE)/100)*(1-VLOOKUP(D129,'DB technologies'!$N$66:$V$77,8,FALSE)/100)))</f>
        <v/>
      </c>
      <c r="M129" s="434" t="str">
        <f>IF(D129="","",((VLOOKUP(D129,'DB technologies'!$N$66:$Y$77,2,FALSE)*VLOOKUP($C$128,'DB animal categories'!$C$52:$AC$61,27,FALSE)*E129/1000)/VLOOKUP($C$128,'DB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'!$S$6/100)*(1-VLOOKUP(D129,'DB technologies'!$N$66:$Y$77,9,FALSE)/100))</f>
        <v/>
      </c>
      <c r="N129" s="434" t="str">
        <f>IF(D129="","",((VLOOKUP(D129,'DB technologies'!$N$66:$Y$77,3,FALSE)*VLOOKUP($C$128,'DB animal categories'!$C$52:$AC$61,27,FALSE)*E129/1000)/VLOOKUP($C$128,'DB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'!$S$7/100)*(1-VLOOKUP(D129,'DB technologies'!$N$66:$Y$77,9,FALSE)/100))</f>
        <v/>
      </c>
      <c r="O129" s="423" t="str">
        <f>IF(D129="","",((VLOOKUP(D129,'DB technologies'!$N$66:$Y$77,4,FALSE)*E129*(1-'DB additional information '!$S$8/100)*(1-VLOOKUP(D129,'DB technologies'!$N$66:$Y$77,8,FALSE)/100))/VLOOKUP($C$128,'DB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P129" s="438" t="str">
        <f>IF(G129=0,0,IF(E129="","",IF(F129="","",IF($C$128=0,"",IF(D129="","",SUM(H129:K129)/G129*100)))))</f>
        <v/>
      </c>
      <c r="Q129" s="416" t="str">
        <f>IF(D129="","",(VLOOKUP(D129,'DB technologies'!$N$66:$Y$77,2,FALSE)*'DB additional information '!$S$6/100*'DB additional information '!$T$6*VLOOKUP($C$128,'DB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R129" s="416" t="str">
        <f>IF(D129="","",(VLOOKUP(D129,'DB technologies'!$N$66:$Y$77,3,FALSE)*'DB additional information '!$S$7/100*'DB additional information '!$T$7*VLOOKUP($C$128,'DB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S129" s="491" t="str">
        <f>IF(D129="","",(VLOOKUP(D129,'DB technologies'!$N$66:$Y$77,4,FALSE)*('DB additional information '!$S$8/100*'DB additional information '!$T$8*E129/1000/1000)))</f>
        <v/>
      </c>
      <c r="T129" s="264" t="str">
        <f>IF($C$128=0,"",IF('Calc (ex-animal)'!$F$9=1,"",IF(D129="","",((VLOOKUP($C$128,'Calc (ex-animal)'!$D$28:$Y$32,10,FALSE)-VLOOKUP($C$128,'Calc (ex-animal)'!$D$28:$Y$32,18,FALSE))*F129/100+Q129+R129+S129)-AC129-AD129-AE129)))</f>
        <v/>
      </c>
      <c r="U129" s="422" t="str">
        <f>IF(D129="","",(VLOOKUP(D129,'DB technologies'!$N$66:$Y$77,2,FALSE)*'DB additional information '!$S$6/100*'DB additional information '!$U$6*VLOOKUP($C$128,'DB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V129" s="418" t="str">
        <f>IF(D129="","",(VLOOKUP(D129,'DB technologies'!$N$66:$Y$77,3,FALSE)*'DB additional information '!$S$7/100*'DB additional information '!$U$7*VLOOKUP($C$128,'DB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W129" s="417" t="str">
        <f>IF(D129="","",(VLOOKUP(D129,'DB technologies'!$N$66:$Y$77,4,FALSE)*('DB additional information '!$S$8/100*'DB additional information '!$U$8*E129/1000/1000)))</f>
        <v/>
      </c>
      <c r="X129" s="261" t="str">
        <f>IF($C$128=0,"",IF('Calc (ex-animal)'!$F$9=1,"",IF(D129="","",((VLOOKUP($C$128,'Calc (ex-animal)'!$D$28:$Y$32,13,FALSE)-VLOOKUP($C$128,'Calc (ex-animal)'!$D$28:$Y$32,19,FALSE))*F129/100+U129+V129+W129))))</f>
        <v/>
      </c>
      <c r="Y129" s="418" t="str">
        <f>IF(D129="","",(VLOOKUP(D129,'DB technologies'!$N$66:$Y$77,2,FALSE)*'DB additional information '!$S$6/100*'DB additional information '!$V$6*VLOOKUP($C$128,'DB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Z129" s="418" t="str">
        <f>IF(D129="","",(VLOOKUP(D129,'DB technologies'!$N$66:$Y$77,3,FALSE)*'DB additional information '!$S$7/100*'DB additional information '!$V$7*VLOOKUP($C$128,'DB animal categories'!$C$52:$AC$61,27,FALSE)*E129/1000/1000)/VLOOKUP($C$128,'DB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AA129" s="418" t="str">
        <f>IF(D129="","",(VLOOKUP(D129,'DB technologies'!$N$66:$Y$77,4,FALSE)*('DB additional information '!$S$8/100*'DB additional information '!$V$8*E129/1000/1000)))</f>
        <v/>
      </c>
      <c r="AB129" s="261" t="str">
        <f>IF($C$128=0,"",IF('Calc (ex-animal)'!$F$8=1,"",IF(D129="","",((VLOOKUP($C$128,'Calc (ex-animal)'!$D$28:$Y$32,16,FALSE)-VLOOKUP($C$128,'Calc (ex-animal)'!$D$28:$Y$32,20,FALSE))*F129/100+Y129+Z129+AA129))))</f>
        <v/>
      </c>
      <c r="AC129" s="261" t="str">
        <f>IF($C$128=0,"",IF('Calc (ex-animal)'!$F$8=1,"",IF(D129="","",VLOOKUP($C$128,'Calc (ex-animal)'!$D$28:$Y$32,9,FALSE)/VLOOKUP($C$128,'DB animal categories'!$C$52:$AC$61,27,FALSE)*(VLOOKUP($C$128,'DB animal categories'!$C$52:$AC$61,27,FALSE)-VLOOKUP($C$128,'DB animal categories'!$C$52:$AC$61,25,FALSE)*VLOOKUP($C$128,'DB animal categories'!$C$52:$AC$61,26,FALSE)/24)*F129/100*VLOOKUP(D129,'DB technologies'!$N$66:$R$77,5,FALSE)/100)))</f>
        <v/>
      </c>
      <c r="AD129" s="261" t="str">
        <f>IF($C$128=0,"",IF('Calc (ex-animal)'!$F$8=1,"",IF(D129="","",VLOOKUP($C$128,'Calc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categories'!$C$52:$AC$61,26,FALSE)/24)*F129/100*VLOOKUP(D129,'DB technologies'!$N$66:$Y$77,6,FALSE)/100)))</f>
        <v/>
      </c>
      <c r="AE129" s="262" t="str">
        <f>IF($C$128=0,"",IF('Calc (ex-animal)'!$F$8=1,"",IF(D129="","",VLOOKUP($C$128,'Calc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categories'!$C$52:$AC$61,26,FALSE)/24)*F129/100*VLOOKUP(D129,'DB technologies'!$N$66:$Y$77,7,FALSE)/100)))</f>
        <v/>
      </c>
      <c r="AG129" s="698"/>
      <c r="AH129" s="695"/>
      <c r="AI129" s="181" t="str">
        <f>IF(D129="","",VLOOKUP(D129,'DB technologies'!$N$66:$Y$77,10,FALSE))</f>
        <v/>
      </c>
      <c r="AJ129" s="449" t="e">
        <f>VLOOKUP($C$128,'DB animal categories'!$C$52:$AN$61,27,FALSE)-VLOOKUP($C$128,'DB animal categories'!$C$52:$AN$61,26,FALSE)*VLOOKUP($C$128,'DB animal categories'!$C$52:$AN$61,25,FALSE)/24</f>
        <v>#N/A</v>
      </c>
      <c r="AK129" s="442" t="str">
        <f>IF(AI129="","",AL129+AM129)</f>
        <v/>
      </c>
      <c r="AL129" s="442" t="str">
        <f>IF(D129="","",IF(AI129=2,(('Calc (ex-animal)'!$G$28*'DB additional information '!$K$9/100*(1-VLOOKUP(D129,'DB technologies'!$N$66:$Y$77,9,FALSE)/100)*'Calc (ex-housing, ex-storage)'!F129/100+'Calc (ex-animal)'!$H$28*'DB additional information '!$L$9/100*(1-VLOOKUP(D129,'DB technologies'!$N$66:$Y$77,9,FALSE)/100)*'Calc (ex-housing, ex-storage)'!F129/100))/VLOOKUP($C$128,'DB animal categories'!$C$52:$AC$61,27,FALSE)*AJ129+I129+J129+K129,IF(AI129=1,('Calc (ex-animal)'!$H$28*'DB additional information '!$L$9/100*(1-VLOOKUP(D129,'DB technologies'!$N$66:$Y$77,9,FALSE)/100)*'Calc (ex-housing, ex-storage)'!F129/100)/VLOOKUP($C$128,'DB animal categories'!$C$52:$AC$61,27,FALSE)*AJ129,IF(AI129=4,('Calc (ex-animal)'!$G$28*'DB additional information '!$K$9/100+'Calc (ex-animal)'!$H$28*'DB additional information '!$L$9/100)*(1-VLOOKUP(D129,'DB technologies'!$N$66:$Y$77,9,FALSE)/100)*'Calc (ex-housing, ex-storage)'!F129/100*VLOOKUP(D129,'DB technologies'!$N$66:$Y$77,11,FALSE)/100/VLOOKUP($C$128,'DB animal categories'!$C$52:$AC$61,27,FALSE)*AJ129,0))))</f>
        <v/>
      </c>
      <c r="AM129" s="442" t="str">
        <f>IF(D129="","",IF(AI129=2,(('Calc (ex-animal)'!$G$28*(1-'DB additional information '!$K$9/100)*(1-VLOOKUP(D129,'DB technologies'!$N$66:$Y$77,8,FALSE)/100)*'Calc (ex-housing, ex-storage)'!F129/100+'Calc (ex-animal)'!$H$28*(1-'DB additional information '!$L$9/100)*(1-VLOOKUP(D129,'DB technologies'!$N$66:$Y$77,8,FALSE)/100)*'Calc (ex-housing, ex-storage)'!F129/100))/VLOOKUP($C$128,'DB animal categories'!$C$52:$AC$61,27,FALSE)*AJ129+M129+N129+O129,IF(AI129=1,('Calc (ex-animal)'!$H$28*(1-'DB additional information '!$L$9/100)*(1-VLOOKUP(D129,'DB technologies'!$N$66:$Y$77,8,FALSE)/100)*'Calc (ex-housing, ex-storage)'!F129/100)/VLOOKUP($C$128,'DB animal categories'!$C$52:$AC$61,27,FALSE)*AJ129,IF(AI129=4,('Calc (ex-animal)'!$G$28*(1-'DB additional information '!$K$9/100)+'Calc (ex-animal)'!$H$28*(1-'DB additional information '!$L$9/100))*(1-VLOOKUP(D129,'DB technologies'!$N$66:$Y$77,8,FALSE)/100)*'Calc (ex-housing, ex-storage)'!F129/100*VLOOKUP(D129,'DB technologies'!$N$66:$Y$77,11,FALSE)/100/VLOOKUP($C$128,'DB animal categories'!$C$52:$AC$61,27,FALSE)*AJ129,0))))</f>
        <v/>
      </c>
      <c r="AN129" s="442" t="str">
        <f>IF(AI129="","",IF(AL129=0,0,AL129/AK129*100))</f>
        <v/>
      </c>
      <c r="AO129" s="182" t="str">
        <f>IF(D129="","",IF(AI129=2,(('Calc (ex-animal)'!$L$28*'Calc (ex-housing, ex-storage)'!F129/100+'Calc (ex-animal)'!$K$28*'Calc (ex-housing, ex-storage)'!F129/100))/VLOOKUP($C$128,'DB animal categories'!$C$52:$AC$61,27,FALSE)*AJ129+Q129+R129+S129-AC129,IF(AI129=1,('Calc (ex-animal)'!$L$28*'Calc (ex-housing, ex-storage)'!F129/100)/VLOOKUP($C$128,'DB animal categories'!$C$52:$AC$61,27,FALSE)*AJ129-'Calc (ex-housing, ex-storage)'!AC129,IF(AI129=4,('Calc (ex-animal)'!$L$28+'Calc (ex-animal)'!$K$28)*'Calc (ex-housing, ex-storage)'!F129/100*VLOOKUP(D129,'DB technologies'!$N$66:$Y$77,11,FALSE)/100/VLOOKUP($C$128,'DB animal categories'!$C$52:$AC$61,27,FALSE)*AJ129-AC129*VLOOKUP(D129,'DB technologies'!$N$66:$Y$77,11,FALSE)/100,0))))</f>
        <v/>
      </c>
      <c r="AP129" s="182" t="str">
        <f>IF(D129="","",IF(AO129&lt;-0.01,0,IF(AI129=2,(('Calc (ex-animal)'!$L$28*'Calc (ex-housing, ex-storage)'!F129/100+'Calc (ex-animal)'!$K$28*'Calc (ex-housing, ex-storage)'!F129/100))/VLOOKUP($C$128,'DB animal categories'!$C$52:$AC$61,27,FALSE)*AJ129+Q129+R129+S129-AC129,IF(AI129=1,('Calc (ex-animal)'!$L$28*'Calc (ex-housing, ex-storage)'!F129/100)/VLOOKUP($C$128,'DB animal categories'!$C$52:$AC$61,27,FALSE)*AJ129-'Calc (ex-housing, ex-storage)'!AC129,IF(AI129=4,('Calc (ex-animal)'!$L$28+'Calc (ex-animal)'!$K$28)*'Calc (ex-housing, ex-storage)'!F129/100*VLOOKUP(D129,'DB technologies'!$N$66:$Y$77,11,FALSE)/100/VLOOKUP($C$128,'DB animal categories'!$C$52:$AC$61,27,FALSE)*AJ129-AC129*VLOOKUP(D129,'DB technologies'!$N$66:$Y$77,11,FALSE)/100,0)))))</f>
        <v/>
      </c>
      <c r="AQ129" s="182" t="str">
        <f>IF(D129="","",IF(AI129=2,('Calc (ex-animal)'!$O$28*'Calc (ex-housing, ex-storage)'!F129/100+'Calc (ex-animal)'!$N$28*'Calc (ex-housing, ex-storage)'!F129/100)/VLOOKUP($C$128,'DB animal categories'!$C$52:$AC$61,27,FALSE)*AJ129+U129+V129+W129,IF(AI129=1,'Calc (ex-animal)'!$O$28*'Calc (ex-housing, ex-storage)'!F129/100/VLOOKUP($C$128,'DB animal categories'!$C$52:$AC$61,27,FALSE)*AJ129,IF(AI129=4,('Calc (ex-animal)'!$O$28+'Calc (ex-animal)'!$N$28)*'Calc (ex-housing, ex-storage)'!F129/100*VLOOKUP(D129,'DB technologies'!$N$66:$Y$77,11,FALSE)/100/VLOOKUP($C$128,'DB animal categories'!$C$52:$AC$61,27,FALSE)*AJ129,0))))</f>
        <v/>
      </c>
      <c r="AR129" s="182" t="str">
        <f>IF(D129="","",IF(AI129=2,('Calc (ex-animal)'!$R$28*'Calc (ex-housing, ex-storage)'!F129/100+'Calc (ex-animal)'!$Q$28*'Calc (ex-housing, ex-storage)'!F129/100)/VLOOKUP($C$128,'DB animal categories'!$C$52:$AC$61,27,FALSE)*AJ129+Y129+Z129+AA129,IF(AI129=1,'Calc (ex-animal)'!$R$28*'Calc (ex-housing, ex-storage)'!F129/100/VLOOKUP($C$128,'DB animal categories'!$C$52:$AC$61,27,FALSE)*AJ129,IF(AI129=4,('Calc (ex-animal)'!$R$28+'Calc (ex-animal)'!$Q$28)*'Calc (ex-housing, ex-storage)'!F129/100*VLOOKUP(D129,'DB technologies'!$N$66:$Y$77,11,FALSE)/100/VLOOKUP($C$128,'DB animal categories'!$C$52:$AC$61,27,FALSE)*AJ129,0))))</f>
        <v/>
      </c>
      <c r="AS129" s="181" t="str">
        <f>IF(D129="","",VLOOKUP(D129,'DB technologies'!$N$66:$Y$77,10,FALSE))</f>
        <v/>
      </c>
      <c r="AT129" s="442" t="str">
        <f>IF(AS129="","",AU129+AV129)</f>
        <v/>
      </c>
      <c r="AU129" s="442" t="str">
        <f>IF(D129="","",IF(AS129=2,0,IF(AS129=1,'Calc (ex-animal)'!$G$28*'DB additional information '!$K$9/100*(1-VLOOKUP(D129,'DB technologies'!$N$66:$Y$77,8,FALSE)/100)*'Calc (ex-housing, ex-storage)'!F129/100/VLOOKUP($C$128,'DB animal categories'!$C$52:$AC$61,27,FALSE)*AJ129+I129+J129+K129,IF(AS129=5,(('Calc (ex-animal)'!$G$28*'DB additional information '!$K$9/100+'Calc (ex-animal)'!$H$28*'DB additional information '!$L$9/100))*(1-VLOOKUP(D129,'DB technologies'!$N$66:$Y$77,9,FALSE)/100)*'Calc (ex-housing, ex-storage)'!F129/100/VLOOKUP($C$128,'DB animal categories'!$C$52:$AC$61,27,FALSE)*AJ129+I129+J129+K129,IF(AS129=3,('Calc (ex-animal)'!$G$28*'DB additional information '!$K$9/100+'Calc (ex-animal)'!$H$28*'DB additional information '!$L$9/100)*(1-VLOOKUP(D129,'DB technologies'!$N$66:$Y$77,9,FALSE)/100)*'Calc (ex-housing, ex-storage)'!F129/100/VLOOKUP($C$128,'DB animal categories'!$C$52:$AC$61,27,FALSE)*AJ129+I129+J129+K129,IF(AS129=4,('Calc (ex-animal)'!$G$28*'DB additional information '!$K$9/100+'Calc (ex-animal)'!$H$28*'DB additional information '!$L$9/100)*(1-VLOOKUP(D129,'DB technologies'!$N$66:$Y$77,9,FALSE)/100)*'Calc (ex-housing, ex-storage)'!F129/100*VLOOKUP(D129,'DB technologies'!$N$66:$Y$77,12,FALSE)/100/VLOOKUP($C$128,'DB animal categories'!$C$52:$AC$61,27,FALSE)*AJ129+I129+J129+K129,0))))))</f>
        <v/>
      </c>
      <c r="AV129" s="442" t="str">
        <f>IF(D129="","",IF(AS129=2,0,IF(AS129=1,'Calc (ex-animal)'!$G$28*(1-'DB additional information '!$K$9/100)*(1-VLOOKUP(D129,'DB technologies'!$N$66:$Y$77,8,FALSE)/100)*'Calc (ex-housing, ex-storage)'!F129/100/VLOOKUP($C$128,'DB animal categories'!$C$52:$AC$61,27,FALSE)*AJ129+M129+N129+O129,IF(AS129=5,('Calc (ex-animal)'!$G$28*(1-'DB additional information '!$K$9/100)+'Calc (ex-animal)'!$H$28*(1-'DB additional information '!$L$9/100))*(1-VLOOKUP(D129,'DB technologies'!$N$66:$Y$77,8,FALSE)/100)*'Calc (ex-housing, ex-storage)'!F129/100/VLOOKUP($C$128,'DB animal categories'!$C$52:$AC$61,27,FALSE)*AJ129+M129+N129+O129,IF(AS129=3,('Calc (ex-animal)'!$G$28*(1-'DB additional information '!$K$9/100)+'Calc (ex-animal)'!$H$28*(1-'DB additional information '!$L$9/100))*(1-VLOOKUP(D129,'DB technologies'!$N$66:$Y$77,8,FALSE)/100)*'Calc (ex-housing, ex-storage)'!F129/100/VLOOKUP($C$128,'DB animal categories'!$C$52:$AC$61,27,FALSE)*AJ129+M129+N129+O129,IF(AS129=4,('Calc (ex-animal)'!$G$28*(1-'DB additional information '!$K$9/100)+'Calc (ex-animal)'!$H$28*(1-'DB additional information '!$L$9/100))*(1-VLOOKUP(D129,'DB technologies'!$N$66:$Y$77,8,FALSE)/100)*'Calc (ex-housing, ex-storage)'!F129/100*VLOOKUP(D129,'DB technologies'!$N$66:$Y$77,12,FALSE)/100/VLOOKUP($C$128,'DB animal categories'!$C$52:$AC$61,27,FALSE)*AJ129+M129+N129+O129,0))))))</f>
        <v/>
      </c>
      <c r="AW129" s="442" t="str">
        <f>IF(AS129="","",IF(AU129=0,0,AU129/AT129*100))</f>
        <v/>
      </c>
      <c r="AX129" s="182" t="str">
        <f>IF(D129="","",IF(AS129=2,0,IF(AS129=1,'Calc (ex-animal)'!$K$28*'Calc (ex-housing, ex-storage)'!F129/100/VLOOKUP($C$128,'DB animal categories'!$C$52:$AC$61,27,FALSE)*AJ129+Q129+R129+S129,IF(AS129=5,('Calc (ex-animal)'!$K$28+'Calc (ex-animal)'!$L$28)*'Calc (ex-housing, ex-storage)'!F129/100/VLOOKUP($C$128,'DB animal categories'!$C$52:$AC$61,27,FALSE)*AJ129+Q129+R129+S129-'Calc (ex-housing, ex-storage)'!AC129,IF(AS129=3,('Calc (ex-animal)'!$K$28+'Calc (ex-animal)'!$L$28)*'Calc (ex-housing, ex-storage)'!F129/100/VLOOKUP($C$128,'DB animal categories'!$C$52:$AC$61,27,FALSE)*AJ129+Q129+R129+S129-'Calc (ex-housing, ex-storage)'!AC129-AD129-AE129,IF(AI129=4,('Calc (ex-animal)'!$K$28+'Calc (ex-animal)'!$L$28)*'Calc (ex-housing, ex-storage)'!F129/100*VLOOKUP(D129,'DB technologies'!$N$66:$Y$77,12,FALSE)/100/VLOOKUP($C$128,'DB animal categories'!$C$52:$AC$61,27,FALSE)*AJ129+Q129+R129+S129-(VLOOKUP(D129,'DB technologies'!$N$66:$Y$77,12,FALSE)/100*AC129)-AD129-AE129,0))))))</f>
        <v/>
      </c>
      <c r="AY129" s="182" t="str">
        <f>IF(D129="","",IF(AS129=2,0,IF(AS129=1,'Calc (ex-animal)'!$N$28*'Calc (ex-housing, ex-storage)'!F129/100/VLOOKUP($C$128,'DB animal categories'!$C$52:$AC$61,27,FALSE)*AJ129+U129+V129+W129,IF(AS129=5,('Calc (ex-animal)'!$N$28+'Calc (ex-animal)'!$O$28)*'Calc (ex-housing, ex-storage)'!F129/100/VLOOKUP($C$128,'DB animal categories'!$C$52:$AC$61,27,FALSE)*AJ129+U129+V129+W129,IF(AS129=3,('Calc (ex-animal)'!$N$28+'Calc (ex-animal)'!$O$28)*'Calc (ex-housing, ex-storage)'!F129/100/VLOOKUP($C$128,'DB animal categories'!$C$52:$AC$61,27,FALSE)*AJ129+U129+V129+W129,IF(AS129=4,('Calc (ex-animal)'!$N$28+'Calc (ex-animal)'!$O$28)*'Calc (ex-housing, ex-storage)'!F129/100*VLOOKUP(D129,'DB technologies'!$N$66:$Y$77,12,FALSE)/100/VLOOKUP($C$128,'DB animal categories'!$C$52:$AC$61,27,FALSE)*AJ129+U129+V129+W129,0))))))</f>
        <v/>
      </c>
      <c r="AZ129" s="182" t="str">
        <f>IF(D129="","",IF(AS129=2,0,IF(AS129=1,'Calc (ex-animal)'!$Q$28*'Calc (ex-housing, ex-storage)'!F129/100/VLOOKUP($C$128,'DB animal categories'!$C$52:$AC$61,27,FALSE)*AJ129+Y129+Z129+AA129,IF(AS129=5,('Calc (ex-animal)'!$Q$28+'Calc (ex-animal)'!$R$28)*'Calc (ex-housing, ex-storage)'!F129/100/VLOOKUP($C$128,'DB animal categories'!$C$52:$AC$61,27,FALSE)*AJ129+Y129+Z129+AA129,IF(AS129=3,('Calc (ex-animal)'!$Q$28+'Calc (ex-animal)'!$R$28)*'Calc (ex-housing, ex-storage)'!F129/100/VLOOKUP($C$128,'DB animal categories'!$C$52:$AC$61,27,FALSE)*AJ129+Y129+Z129+AA129,IF(AS129=4,('Calc (ex-animal)'!$Q$28+'Calc (ex-animal)'!$R$28)*'Calc (ex-housing, ex-storage)'!F129/100*VLOOKUP(D129,'DB technologies'!$N$66:$Y$77,12,FALSE)/100/VLOOKUP($C$128,'DB animal categories'!$C$52:$AC$61,27,FALSE)*AJ129+Y129+Z129+AA129,0))))))</f>
        <v/>
      </c>
      <c r="BA129" s="506"/>
      <c r="BB129" s="506"/>
      <c r="BC129" s="506"/>
      <c r="BG129" s="1357"/>
      <c r="BH129" s="1361"/>
      <c r="BI129" s="598" t="str">
        <f>IF(BG129="","",$BA$128*BH129/100-($BB$128*BH129/100*VLOOKUP(BG129,'DB technologies'!$AC$16:$AQ$20,5,FALSE)/100)+(VLOOKUP(BG129,'DB technologies'!$AC$16:$AQ$20,12,FALSE)*$BA$128*BH129/100))</f>
        <v/>
      </c>
      <c r="BJ129" s="551">
        <f>IF(BI129="",0,BI129*BK129/100)</f>
        <v>0</v>
      </c>
      <c r="BK129" s="571" t="str">
        <f>IF(BG129="","",($BB$128*BH129/100)/BI129*(1-(VLOOKUP(BG129,'DB technologies'!$AC$16:$AQ$20,5,FALSE))/100)*100)</f>
        <v/>
      </c>
      <c r="BL129" s="261" t="str">
        <f>IF(BG129="","",$BD$128*BH129/100-BO129-BP129-BQ129-BR129)</f>
        <v/>
      </c>
      <c r="BM129" s="261" t="str">
        <f>IF(BG129="","",$BE$128*BH129/100-BS129)</f>
        <v/>
      </c>
      <c r="BN129" s="261" t="str">
        <f>IF(BG129="","",$BF$128*BH129/100-BT129)</f>
        <v/>
      </c>
      <c r="BO129" s="261" t="str">
        <f>IF(BG129="","",$BD$128*BH129/100*VLOOKUP(BG129,'DB technologies'!$AC$16:$AF$20,2,FALSE)/100)</f>
        <v/>
      </c>
      <c r="BP129" s="261" t="str">
        <f>IF(BG129="","",$BD$128*BH129/100*VLOOKUP(BG129,'DB technologies'!$AC$16:$AN$20,3,FALSE)/100)</f>
        <v/>
      </c>
      <c r="BQ129" s="262" t="str">
        <f>IF(BG129="","",$BD$128*BH129/100*VLOOKUP(BG129,'DB technologies'!$AC$16:$AN$20,4,FALSE)/100)</f>
        <v/>
      </c>
      <c r="BR129" s="264" t="str">
        <f>IF(BG129="","",VLOOKUP(BG129,'DB technologies'!$AC$16:$AQ$20,13,FALSE)/100*$BD$128*BH129/100)</f>
        <v/>
      </c>
      <c r="BS129" s="261" t="str">
        <f>IF(BG129="","",VLOOKUP(BG129,'DB technologies'!$AC$16:$AQ$20,14,FALSE)/100*$BE$128*BH129/100)</f>
        <v/>
      </c>
      <c r="BT129" s="262" t="str">
        <f>IF(BG129="","",VLOOKUP(BG129,'DB technologies'!$AC$16:$AQ$20,15,FALSE)/100*$BF$128*BH129/100)</f>
        <v/>
      </c>
    </row>
    <row r="130" spans="1:72" ht="11.25" customHeight="1" x14ac:dyDescent="0.2">
      <c r="A130" s="684"/>
      <c r="B130" s="695"/>
      <c r="C130" s="255"/>
      <c r="D130" s="1357"/>
      <c r="E130" s="1358"/>
      <c r="F130" s="480" t="str">
        <f>IF('Calc (ex-animal)'!$F$9=1,"",IF($C$128=0,"",IF(D130="","",E130/'Calc (ex-animal)'!$E$28*100)))</f>
        <v/>
      </c>
      <c r="G130" s="438" t="str">
        <f>IF($C$128=0,"",IF('Calc (ex-animal)'!$F$8=1,"",IF(D130="","",SUM(H130:O130))))</f>
        <v/>
      </c>
      <c r="H130" s="423" t="str">
        <f>IF('Calc (ex-animal)'!$F$8=1,"",IF(D130="","",(((VLOOKUP($C$128,'Calc (ex-animal)'!$D$28:$Y$32,6,FALSE)-VLOOKUP($C$128,'Calc (ex-animal)'!$D$28:$Y$32,17,FALSE))*F130/100))*VLOOKUP($C$128,'Calc (ex-animal)'!$D$28:$Y$32,7,FALSE)/100*(1-VLOOKUP(D130,'DB technologies'!$N$66:$Y$77,9,FALSE)/100)))</f>
        <v/>
      </c>
      <c r="I130" s="423" t="str">
        <f>IF(D130="","",((VLOOKUP(D130,'DB technologies'!$N$66:$Y$77,2,FALSE)*VLOOKUP($C$128,'DB animal categories'!$C$52:$AC$61,27,FALSE)*E130/1000)/VLOOKUP($C$128,'DB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'!$S$6/100*(1-VLOOKUP(D130,'DB technologies'!$N$66:$Y$77,9,FALSE)/100)))</f>
        <v/>
      </c>
      <c r="J130" s="434" t="str">
        <f>IF(D130="","",((VLOOKUP(D130,'DB technologies'!$N$66:$Y$77,3,FALSE)*VLOOKUP($C$128,'DB animal categories'!$C$52:$AC$61,27,FALSE)*E130/1000)/VLOOKUP($C$128,'DB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'!$S$7/100*(1-VLOOKUP(D130,'DB technologies'!$N$66:$Y$77,9,FALSE)/100)))</f>
        <v/>
      </c>
      <c r="K130" s="434" t="str">
        <f>IF(D130="","",((VLOOKUP(D130,'DB technologies'!$N$66:$Y$77,4,FALSE)*E130*'DB additional information '!$S$8/100*(1-VLOOKUP(D130,'DB technologies'!$N$66:$Y$77,9,FALSE)/100))/VLOOKUP($C$128,'DB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L130" s="423" t="str">
        <f>IF('Calc (ex-animal)'!$F$8=1,"",IF(D130="","",(((VLOOKUP($C$128,'Calc (ex-animal)'!$D$28:$Y$32,6,FALSE)-VLOOKUP($C$128,'Calc (ex-animal)'!$D$28:$Y$32,17,FALSE))*F130/100))*(1-VLOOKUP($C$128,'Calc (ex-animal)'!$D$28:$Y$32,7,FALSE)/100)*(1-VLOOKUP(D130,'DB technologies'!$N$66:$V$77,8,FALSE)/100)))</f>
        <v/>
      </c>
      <c r="M130" s="434" t="str">
        <f>IF(D130="","",((VLOOKUP(D130,'DB technologies'!$N$66:$Y$77,2,FALSE)*VLOOKUP($C$128,'DB animal categories'!$C$52:$AC$61,27,FALSE)*E130/1000)/VLOOKUP($C$128,'DB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'!$S$6/100)*(1-VLOOKUP(D130,'DB technologies'!$N$66:$Y$77,9,FALSE)/100))</f>
        <v/>
      </c>
      <c r="N130" s="434" t="str">
        <f>IF(D130="","",((VLOOKUP(D130,'DB technologies'!$N$66:$Y$77,3,FALSE)*VLOOKUP($C$128,'DB animal categories'!$C$52:$AC$61,27,FALSE)*E130/1000)/VLOOKUP($C$128,'DB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'!$S$7/100)*(1-VLOOKUP(D130,'DB technologies'!$N$66:$Y$77,9,FALSE)/100))</f>
        <v/>
      </c>
      <c r="O130" s="423" t="str">
        <f>IF(D130="","",((VLOOKUP(D130,'DB technologies'!$N$66:$Y$77,4,FALSE)*E130*(1-'DB additional information '!$S$8/100)*(1-VLOOKUP(D130,'DB technologies'!$N$66:$Y$77,8,FALSE)/100))/VLOOKUP($C$128,'DB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P130" s="438" t="str">
        <f>IF(G130=0,0,IF(E130="","",IF(F130="","",IF($C$128=0,"",IF(D130="","",SUM(H130:K130)/G130*100)))))</f>
        <v/>
      </c>
      <c r="Q130" s="416" t="str">
        <f>IF(D130="","",(VLOOKUP(D130,'DB technologies'!$N$66:$Y$77,2,FALSE)*'DB additional information '!$S$6/100*'DB additional information '!$T$6*VLOOKUP($C$128,'DB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R130" s="416" t="str">
        <f>IF(D130="","",(VLOOKUP(D130,'DB technologies'!$N$66:$Y$77,3,FALSE)*'DB additional information '!$S$7/100*'DB additional information '!$T$7*VLOOKUP($C$128,'DB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S130" s="491" t="str">
        <f>IF(D130="","",(VLOOKUP(D130,'DB technologies'!$N$66:$Y$77,4,FALSE)*('DB additional information '!$S$8/100*'DB additional information '!$T$8*E130/1000/1000)))</f>
        <v/>
      </c>
      <c r="T130" s="264" t="str">
        <f>IF($C$128=0,"",IF('Calc (ex-animal)'!$F$9=1,"",IF(D130="","",((VLOOKUP($C$128,'Calc (ex-animal)'!$D$28:$Y$32,10,FALSE)-VLOOKUP($C$128,'Calc (ex-animal)'!$D$28:$Y$32,18,FALSE))*F130/100+Q130+R130+S130)-AC130-AD130-AE130)))</f>
        <v/>
      </c>
      <c r="U130" s="422" t="str">
        <f>IF(D130="","",(VLOOKUP(D130,'DB technologies'!$N$66:$Y$77,2,FALSE)*'DB additional information '!$S$6/100*'DB additional information '!$U$6*VLOOKUP($C$128,'DB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V130" s="418" t="str">
        <f>IF(D130="","",(VLOOKUP(D130,'DB technologies'!$N$66:$Y$77,3,FALSE)*'DB additional information '!$S$7/100*'DB additional information '!$U$7*VLOOKUP($C$128,'DB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W130" s="417" t="str">
        <f>IF(D130="","",(VLOOKUP(D130,'DB technologies'!$N$66:$Y$77,4,FALSE)*('DB additional information '!$S$8/100*'DB additional information '!$U$8*E130/1000/1000)))</f>
        <v/>
      </c>
      <c r="X130" s="261" t="str">
        <f>IF($C$128=0,"",IF('Calc (ex-animal)'!$F$9=1,"",IF(D130="","",((VLOOKUP($C$128,'Calc (ex-animal)'!$D$28:$Y$32,13,FALSE)-VLOOKUP($C$128,'Calc (ex-animal)'!$D$28:$Y$32,19,FALSE))*F130/100+U130+V130+W130))))</f>
        <v/>
      </c>
      <c r="Y130" s="418" t="str">
        <f>IF(D130="","",(VLOOKUP(D130,'DB technologies'!$N$66:$Y$77,2,FALSE)*'DB additional information '!$S$6/100*'DB additional information '!$V$6*VLOOKUP($C$128,'DB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Z130" s="418" t="str">
        <f>IF(D130="","",(VLOOKUP(D130,'DB technologies'!$N$66:$Y$77,3,FALSE)*'DB additional information '!$S$7/100*'DB additional information '!$V$7*VLOOKUP($C$128,'DB animal categories'!$C$52:$AC$61,27,FALSE)*E130/1000/1000)/VLOOKUP($C$128,'DB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AA130" s="418" t="str">
        <f>IF(D130="","",(VLOOKUP(D130,'DB technologies'!$N$66:$Y$77,4,FALSE)*('DB additional information '!$S$8/100*'DB additional information '!$V$8*E130/1000/1000)))</f>
        <v/>
      </c>
      <c r="AB130" s="261" t="str">
        <f>IF($C$128=0,"",IF('Calc (ex-animal)'!$F$8=1,"",IF(D130="","",((VLOOKUP($C$128,'Calc (ex-animal)'!$D$28:$Y$32,16,FALSE)-VLOOKUP($C$128,'Calc (ex-animal)'!$D$28:$Y$32,20,FALSE))*F130/100+Y130+Z130+AA130))))</f>
        <v/>
      </c>
      <c r="AC130" s="261" t="str">
        <f>IF($C$128=0,"",IF('Calc (ex-animal)'!$F$8=1,"",IF(D130="","",VLOOKUP($C$128,'Calc (ex-animal)'!$D$28:$Y$32,9,FALSE)/VLOOKUP($C$128,'DB animal categories'!$C$52:$AC$61,27,FALSE)*(VLOOKUP($C$128,'DB animal categories'!$C$52:$AC$61,27,FALSE)-VLOOKUP($C$128,'DB animal categories'!$C$52:$AC$61,25,FALSE)*VLOOKUP($C$128,'DB animal categories'!$C$52:$AC$61,26,FALSE)/24)*F130/100*VLOOKUP(D130,'DB technologies'!$N$66:$R$77,5,FALSE)/100)))</f>
        <v/>
      </c>
      <c r="AD130" s="261" t="str">
        <f>IF($C$128=0,"",IF('Calc (ex-animal)'!$F$8=1,"",IF(D130="","",VLOOKUP($C$128,'Calc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categories'!$C$52:$AC$61,26,FALSE)/24)*F130/100*VLOOKUP(D130,'DB technologies'!$N$66:$Y$77,6,FALSE)/100)))</f>
        <v/>
      </c>
      <c r="AE130" s="262" t="str">
        <f>IF($C$128=0,"",IF('Calc (ex-animal)'!$F$8=1,"",IF(D130="","",VLOOKUP($C$128,'Calc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categories'!$C$52:$AC$61,26,FALSE)/24)*F130/100*VLOOKUP(D130,'DB technologies'!$N$66:$Y$77,7,FALSE)/100)))</f>
        <v/>
      </c>
      <c r="AG130" s="698"/>
      <c r="AH130" s="695"/>
      <c r="AI130" s="181" t="str">
        <f>IF(D130="","",VLOOKUP(D130,'DB technologies'!$N$66:$Y$77,10,FALSE))</f>
        <v/>
      </c>
      <c r="AJ130" s="449" t="e">
        <f>VLOOKUP($C$128,'DB animal categories'!$C$52:$AN$61,27,FALSE)-VLOOKUP($C$128,'DB animal categories'!$C$52:$AN$61,26,FALSE)*VLOOKUP($C$128,'DB animal categories'!$C$52:$AN$61,25,FALSE)/24</f>
        <v>#N/A</v>
      </c>
      <c r="AK130" s="442" t="str">
        <f>IF(AI130="","",AL130+AM130)</f>
        <v/>
      </c>
      <c r="AL130" s="442" t="str">
        <f>IF(D130="","",IF(AI130=2,(('Calc (ex-animal)'!$G$28*'DB additional information '!$K$9/100*(1-VLOOKUP(D130,'DB technologies'!$N$66:$Y$77,9,FALSE)/100)*'Calc (ex-housing, ex-storage)'!F130/100+'Calc (ex-animal)'!$H$28*'DB additional information '!$L$9/100*(1-VLOOKUP(D130,'DB technologies'!$N$66:$Y$77,9,FALSE)/100)*'Calc (ex-housing, ex-storage)'!F130/100))/VLOOKUP($C$128,'DB animal categories'!$C$52:$AC$61,27,FALSE)*AJ130+I130+J130+K130,IF(AI130=1,('Calc (ex-animal)'!$H$28*'DB additional information '!$L$9/100*(1-VLOOKUP(D130,'DB technologies'!$N$66:$Y$77,9,FALSE)/100)*'Calc (ex-housing, ex-storage)'!F130/100)/VLOOKUP($C$128,'DB animal categories'!$C$52:$AC$61,27,FALSE)*AJ130,IF(AI130=4,('Calc (ex-animal)'!$G$28*'DB additional information '!$K$9/100+'Calc (ex-animal)'!$H$28*'DB additional information '!$L$9/100)*(1-VLOOKUP(D130,'DB technologies'!$N$66:$Y$77,9,FALSE)/100)*'Calc (ex-housing, ex-storage)'!F130/100*VLOOKUP(D130,'DB technologies'!$N$66:$Y$77,11,FALSE)/100/VLOOKUP($C$128,'DB animal categories'!$C$52:$AC$61,27,FALSE)*AJ130,0))))</f>
        <v/>
      </c>
      <c r="AM130" s="442" t="str">
        <f>IF(D130="","",IF(AI130=2,(('Calc (ex-animal)'!$G$28*(1-'DB additional information '!$K$9/100)*(1-VLOOKUP(D130,'DB technologies'!$N$66:$Y$77,8,FALSE)/100)*'Calc (ex-housing, ex-storage)'!F130/100+'Calc (ex-animal)'!$H$28*(1-'DB additional information '!$L$9/100)*(1-VLOOKUP(D130,'DB technologies'!$N$66:$Y$77,8,FALSE)/100)*'Calc (ex-housing, ex-storage)'!F130/100))/VLOOKUP($C$128,'DB animal categories'!$C$52:$AC$61,27,FALSE)*AJ130+M130+N130+O130,IF(AI130=1,('Calc (ex-animal)'!$H$28*(1-'DB additional information '!$L$9/100)*(1-VLOOKUP(D130,'DB technologies'!$N$66:$Y$77,8,FALSE)/100)*'Calc (ex-housing, ex-storage)'!F130/100)/VLOOKUP($C$128,'DB animal categories'!$C$52:$AC$61,27,FALSE)*AJ130,IF(AI130=4,('Calc (ex-animal)'!$G$28*(1-'DB additional information '!$K$9/100)+'Calc (ex-animal)'!$H$28*(1-'DB additional information '!$L$9/100))*(1-VLOOKUP(D130,'DB technologies'!$N$66:$Y$77,8,FALSE)/100)*'Calc (ex-housing, ex-storage)'!F130/100*VLOOKUP(D130,'DB technologies'!$N$66:$Y$77,11,FALSE)/100/VLOOKUP($C$128,'DB animal categories'!$C$52:$AC$61,27,FALSE)*AJ130,0))))</f>
        <v/>
      </c>
      <c r="AN130" s="442" t="str">
        <f>IF(AI130="","",IF(AL130=0,0,AL130/AK130*100))</f>
        <v/>
      </c>
      <c r="AO130" s="182" t="str">
        <f>IF(D130="","",IF(AI130=2,(('Calc (ex-animal)'!$L$28*'Calc (ex-housing, ex-storage)'!F130/100+'Calc (ex-animal)'!$K$28*'Calc (ex-housing, ex-storage)'!F130/100))/VLOOKUP($C$128,'DB animal categories'!$C$52:$AC$61,27,FALSE)*AJ130+Q130+R130+S130-AC130,IF(AI130=1,('Calc (ex-animal)'!$L$28*'Calc (ex-housing, ex-storage)'!F130/100)/VLOOKUP($C$128,'DB animal categories'!$C$52:$AC$61,27,FALSE)*AJ130-'Calc (ex-housing, ex-storage)'!AC130,IF(AI130=4,('Calc (ex-animal)'!$L$28+'Calc (ex-animal)'!$K$28)*'Calc (ex-housing, ex-storage)'!F130/100*VLOOKUP(D130,'DB technologies'!$N$66:$Y$77,11,FALSE)/100/VLOOKUP($C$128,'DB animal categories'!$C$52:$AC$61,27,FALSE)*AJ130-AC130*VLOOKUP(D130,'DB technologies'!$N$66:$Y$77,11,FALSE)/100,0))))</f>
        <v/>
      </c>
      <c r="AP130" s="182" t="str">
        <f>IF(D130="","",IF(AO130&lt;-0.01,0,IF(AI130=2,(('Calc (ex-animal)'!$L$28*'Calc (ex-housing, ex-storage)'!F130/100+'Calc (ex-animal)'!$K$28*'Calc (ex-housing, ex-storage)'!F130/100))/VLOOKUP($C$128,'DB animal categories'!$C$52:$AC$61,27,FALSE)*AJ130+Q130+R130+S130-AC130,IF(AI130=1,('Calc (ex-animal)'!$L$28*'Calc (ex-housing, ex-storage)'!F130/100)/VLOOKUP($C$128,'DB animal categories'!$C$52:$AC$61,27,FALSE)*AJ130-'Calc (ex-housing, ex-storage)'!AC130,IF(AI130=4,('Calc (ex-animal)'!$L$28+'Calc (ex-animal)'!$K$28)*'Calc (ex-housing, ex-storage)'!F130/100*VLOOKUP(D130,'DB technologies'!$N$66:$Y$77,11,FALSE)/100/VLOOKUP($C$128,'DB animal categories'!$C$52:$AC$61,27,FALSE)*AJ130-AC130*VLOOKUP(D130,'DB technologies'!$N$66:$Y$77,11,FALSE)/100,0)))))</f>
        <v/>
      </c>
      <c r="AQ130" s="182" t="str">
        <f>IF(D130="","",IF(AI130=2,('Calc (ex-animal)'!$O$28*'Calc (ex-housing, ex-storage)'!F130/100+'Calc (ex-animal)'!$N$28*'Calc (ex-housing, ex-storage)'!F130/100)/VLOOKUP($C$128,'DB animal categories'!$C$52:$AC$61,27,FALSE)*AJ130+U130+V130+W130,IF(AI130=1,'Calc (ex-animal)'!$O$28*'Calc (ex-housing, ex-storage)'!F130/100/VLOOKUP($C$128,'DB animal categories'!$C$52:$AC$61,27,FALSE)*AJ130,IF(AI130=4,('Calc (ex-animal)'!$O$28+'Calc (ex-animal)'!$N$28)*'Calc (ex-housing, ex-storage)'!F130/100*VLOOKUP(D130,'DB technologies'!$N$66:$Y$77,11,FALSE)/100/VLOOKUP($C$128,'DB animal categories'!$C$52:$AC$61,27,FALSE)*AJ130,0))))</f>
        <v/>
      </c>
      <c r="AR130" s="182" t="str">
        <f>IF(D130="","",IF(AI130=2,('Calc (ex-animal)'!$R$28*'Calc (ex-housing, ex-storage)'!F130/100+'Calc (ex-animal)'!$Q$28*'Calc (ex-housing, ex-storage)'!F130/100)/VLOOKUP($C$128,'DB animal categories'!$C$52:$AC$61,27,FALSE)*AJ130+Y130+Z130+AA130,IF(AI130=1,'Calc (ex-animal)'!$R$28*'Calc (ex-housing, ex-storage)'!F130/100/VLOOKUP($C$128,'DB animal categories'!$C$52:$AC$61,27,FALSE)*AJ130,IF(AI130=4,('Calc (ex-animal)'!$R$28+'Calc (ex-animal)'!$Q$28)*'Calc (ex-housing, ex-storage)'!F130/100*VLOOKUP(D130,'DB technologies'!$N$66:$Y$77,11,FALSE)/100/VLOOKUP($C$128,'DB animal categories'!$C$52:$AC$61,27,FALSE)*AJ130,0))))</f>
        <v/>
      </c>
      <c r="AS130" s="181" t="str">
        <f>IF(D130="","",VLOOKUP(D130,'DB technologies'!$N$66:$Y$77,10,FALSE))</f>
        <v/>
      </c>
      <c r="AT130" s="442" t="str">
        <f>IF(AS130="","",AU130+AV130)</f>
        <v/>
      </c>
      <c r="AU130" s="442" t="str">
        <f>IF(D130="","",IF(AS130=2,0,IF(AS130=1,'Calc (ex-animal)'!$G$28*'DB additional information '!$K$9/100*(1-VLOOKUP(D130,'DB technologies'!$N$66:$Y$77,8,FALSE)/100)*'Calc (ex-housing, ex-storage)'!F130/100/VLOOKUP($C$128,'DB animal categories'!$C$52:$AC$61,27,FALSE)*AJ130+I130+J130+K130,IF(AS130=5,(('Calc (ex-animal)'!$G$28*'DB additional information '!$K$9/100+'Calc (ex-animal)'!$H$28*'DB additional information '!$L$9/100))*(1-VLOOKUP(D130,'DB technologies'!$N$66:$Y$77,9,FALSE)/100)*'Calc (ex-housing, ex-storage)'!F130/100/VLOOKUP($C$128,'DB animal categories'!$C$52:$AC$61,27,FALSE)*AJ130+I130+J130+K130,IF(AS130=3,('Calc (ex-animal)'!$G$28*'DB additional information '!$K$9/100+'Calc (ex-animal)'!$H$28*'DB additional information '!$L$9/100)*(1-VLOOKUP(D130,'DB technologies'!$N$66:$Y$77,9,FALSE)/100)*'Calc (ex-housing, ex-storage)'!F130/100/VLOOKUP($C$128,'DB animal categories'!$C$52:$AC$61,27,FALSE)*AJ130+I130+J130+K130,IF(AS130=4,('Calc (ex-animal)'!$G$28*'DB additional information '!$K$9/100+'Calc (ex-animal)'!$H$28*'DB additional information '!$L$9/100)*(1-VLOOKUP(D130,'DB technologies'!$N$66:$Y$77,9,FALSE)/100)*'Calc (ex-housing, ex-storage)'!F130/100*VLOOKUP(D130,'DB technologies'!$N$66:$Y$77,12,FALSE)/100/VLOOKUP($C$128,'DB animal categories'!$C$52:$AC$61,27,FALSE)*AJ130+I130+J130+K130,0))))))</f>
        <v/>
      </c>
      <c r="AV130" s="442" t="str">
        <f>IF(D130="","",IF(AS130=2,0,IF(AS130=1,'Calc (ex-animal)'!$G$28*(1-'DB additional information '!$K$9/100)*(1-VLOOKUP(D130,'DB technologies'!$N$66:$Y$77,8,FALSE)/100)*'Calc (ex-housing, ex-storage)'!F130/100/VLOOKUP($C$128,'DB animal categories'!$C$52:$AC$61,27,FALSE)*AJ130+M130+N130+O130,IF(AS130=5,('Calc (ex-animal)'!$G$28*(1-'DB additional information '!$K$9/100)+'Calc (ex-animal)'!$H$28*(1-'DB additional information '!$L$9/100))*(1-VLOOKUP(D130,'DB technologies'!$N$66:$Y$77,8,FALSE)/100)*'Calc (ex-housing, ex-storage)'!F130/100/VLOOKUP($C$128,'DB animal categories'!$C$52:$AC$61,27,FALSE)*AJ130+M130+N130+O130,IF(AS130=3,('Calc (ex-animal)'!$G$28*(1-'DB additional information '!$K$9/100)+'Calc (ex-animal)'!$H$28*(1-'DB additional information '!$L$9/100))*(1-VLOOKUP(D130,'DB technologies'!$N$66:$Y$77,8,FALSE)/100)*'Calc (ex-housing, ex-storage)'!F130/100/VLOOKUP($C$128,'DB animal categories'!$C$52:$AC$61,27,FALSE)*AJ130+M130+N130+O130,IF(AS130=4,('Calc (ex-animal)'!$G$28*(1-'DB additional information '!$K$9/100)+'Calc (ex-animal)'!$H$28*(1-'DB additional information '!$L$9/100))*(1-VLOOKUP(D130,'DB technologies'!$N$66:$Y$77,8,FALSE)/100)*'Calc (ex-housing, ex-storage)'!F130/100*VLOOKUP(D130,'DB technologies'!$N$66:$Y$77,12,FALSE)/100/VLOOKUP($C$128,'DB animal categories'!$C$52:$AC$61,27,FALSE)*AJ130+M130+N130+O130,0))))))</f>
        <v/>
      </c>
      <c r="AW130" s="442" t="str">
        <f>IF(AS130="","",IF(AU130=0,0,AU130/AT130*100))</f>
        <v/>
      </c>
      <c r="AX130" s="182" t="str">
        <f>IF(D130="","",IF(AS130=2,0,IF(AS130=1,'Calc (ex-animal)'!$K$28*'Calc (ex-housing, ex-storage)'!F130/100/VLOOKUP($C$128,'DB animal categories'!$C$52:$AC$61,27,FALSE)*AJ130+Q130+R130+S130,IF(AS130=5,('Calc (ex-animal)'!$K$28+'Calc (ex-animal)'!$L$28)*'Calc (ex-housing, ex-storage)'!F130/100/VLOOKUP($C$128,'DB animal categories'!$C$52:$AC$61,27,FALSE)*AJ130+Q130+R130+S130-'Calc (ex-housing, ex-storage)'!AC130,IF(AS130=3,('Calc (ex-animal)'!$K$28+'Calc (ex-animal)'!$L$28)*'Calc (ex-housing, ex-storage)'!F130/100/VLOOKUP($C$128,'DB animal categories'!$C$52:$AC$61,27,FALSE)*AJ130+Q130+R130+S130-'Calc (ex-housing, ex-storage)'!AC130-AD130-AE130,IF(AI130=4,('Calc (ex-animal)'!$K$28+'Calc (ex-animal)'!$L$28)*'Calc (ex-housing, ex-storage)'!F130/100*VLOOKUP(D130,'DB technologies'!$N$66:$Y$77,12,FALSE)/100/VLOOKUP($C$128,'DB animal categories'!$C$52:$AC$61,27,FALSE)*AJ130+Q130+R130+S130-(VLOOKUP(D130,'DB technologies'!$N$66:$Y$77,12,FALSE)/100*AC130)-AD130-AE130,0))))))</f>
        <v/>
      </c>
      <c r="AY130" s="182" t="str">
        <f>IF(D130="","",IF(AS130=2,0,IF(AS130=1,'Calc (ex-animal)'!$N$28*'Calc (ex-housing, ex-storage)'!F130/100/VLOOKUP($C$128,'DB animal categories'!$C$52:$AC$61,27,FALSE)*AJ130+U130+V130+W130,IF(AS130=5,('Calc (ex-animal)'!$N$28+'Calc (ex-animal)'!$O$28)*'Calc (ex-housing, ex-storage)'!F130/100/VLOOKUP($C$128,'DB animal categories'!$C$52:$AC$61,27,FALSE)*AJ130+U130+V130+W130,IF(AS130=3,('Calc (ex-animal)'!$N$28+'Calc (ex-animal)'!$O$28)*'Calc (ex-housing, ex-storage)'!F130/100/VLOOKUP($C$128,'DB animal categories'!$C$52:$AC$61,27,FALSE)*AJ130+U130+V130+W130,IF(AS130=4,('Calc (ex-animal)'!$N$28+'Calc (ex-animal)'!$O$28)*'Calc (ex-housing, ex-storage)'!F130/100*VLOOKUP(D130,'DB technologies'!$N$66:$Y$77,12,FALSE)/100/VLOOKUP($C$128,'DB animal categories'!$C$52:$AC$61,27,FALSE)*AJ130+U130+V130+W130,0))))))</f>
        <v/>
      </c>
      <c r="AZ130" s="182" t="str">
        <f>IF(D130="","",IF(AS130=2,0,IF(AS130=1,'Calc (ex-animal)'!$Q$28*'Calc (ex-housing, ex-storage)'!F130/100/VLOOKUP($C$128,'DB animal categories'!$C$52:$AC$61,27,FALSE)*AJ130+Y130+Z130+AA130,IF(AS130=5,('Calc (ex-animal)'!$Q$28+'Calc (ex-animal)'!$R$28)*'Calc (ex-housing, ex-storage)'!F130/100/VLOOKUP($C$128,'DB animal categories'!$C$52:$AC$61,27,FALSE)*AJ130+Y130+Z130+AA130,IF(AS130=3,('Calc (ex-animal)'!$Q$28+'Calc (ex-animal)'!$R$28)*'Calc (ex-housing, ex-storage)'!F130/100/VLOOKUP($C$128,'DB animal categories'!$C$52:$AC$61,27,FALSE)*AJ130+Y130+Z130+AA130,IF(AS130=4,('Calc (ex-animal)'!$Q$28+'Calc (ex-animal)'!$R$28)*'Calc (ex-housing, ex-storage)'!F130/100*VLOOKUP(D130,'DB technologies'!$N$66:$Y$77,12,FALSE)/100/VLOOKUP($C$128,'DB animal categories'!$C$52:$AC$61,27,FALSE)*AJ130+Y130+Z130+AA130,0))))))</f>
        <v/>
      </c>
      <c r="BA130" s="506"/>
      <c r="BB130" s="506"/>
      <c r="BC130" s="506"/>
      <c r="BG130" s="1357"/>
      <c r="BH130" s="1361"/>
      <c r="BI130" s="598" t="str">
        <f>IF(BG130="","",$BA$128*BH130/100-($BB$128*BH130/100*VLOOKUP(BG130,'DB technologies'!$AC$16:$AQ$20,5,FALSE)/100)+(VLOOKUP(BG130,'DB technologies'!$AC$16:$AQ$20,12,FALSE)*$BA$128*BH130/100))</f>
        <v/>
      </c>
      <c r="BJ130" s="551">
        <f>IF(BI130="",0,BI130*BK130/100)</f>
        <v>0</v>
      </c>
      <c r="BK130" s="571" t="str">
        <f>IF(BG130="","",($BB$128*BH130/100)/BI130*(1-(VLOOKUP(BG130,'DB technologies'!$AC$16:$AQ$20,5,FALSE))/100)*100)</f>
        <v/>
      </c>
      <c r="BL130" s="261" t="str">
        <f>IF(BG130="","",$BD$128*BH130/100-BO130-BP130-BQ130-BR130)</f>
        <v/>
      </c>
      <c r="BM130" s="261" t="str">
        <f>IF(BG130="","",$BE$128*BH130/100-BS130)</f>
        <v/>
      </c>
      <c r="BN130" s="261" t="str">
        <f>IF(BG130="","",$BF$128*BH130/100-BT130)</f>
        <v/>
      </c>
      <c r="BO130" s="261" t="str">
        <f>IF(BG130="","",$BD$128*BH130/100*VLOOKUP(BG130,'DB technologies'!$AC$16:$AF$20,2,FALSE)/100)</f>
        <v/>
      </c>
      <c r="BP130" s="261" t="str">
        <f>IF(BG130="","",$BD$128*BH130/100*VLOOKUP(BG130,'DB technologies'!$AC$16:$AN$20,3,FALSE)/100)</f>
        <v/>
      </c>
      <c r="BQ130" s="262" t="str">
        <f>IF(BG130="","",$BD$128*BH130/100*VLOOKUP(BG130,'DB technologies'!$AC$16:$AN$20,4,FALSE)/100)</f>
        <v/>
      </c>
      <c r="BR130" s="264" t="str">
        <f>IF(BG130="","",VLOOKUP(BG130,'DB technologies'!$AC$16:$AQ$20,13,FALSE)/100*$BD$128*BH130/100)</f>
        <v/>
      </c>
      <c r="BS130" s="261" t="str">
        <f>IF(BG130="","",VLOOKUP(BG130,'DB technologies'!$AC$16:$AQ$20,14,FALSE)/100*$BE$128*BH130/100)</f>
        <v/>
      </c>
      <c r="BT130" s="262" t="str">
        <f>IF(BG130="","",VLOOKUP(BG130,'DB technologies'!$AC$16:$AQ$20,15,FALSE)/100*$BF$128*BH130/100)</f>
        <v/>
      </c>
    </row>
    <row r="131" spans="1:72" ht="11.25" customHeight="1" x14ac:dyDescent="0.2">
      <c r="A131" s="684"/>
      <c r="B131" s="695"/>
      <c r="C131" s="255"/>
      <c r="D131" s="1357"/>
      <c r="E131" s="1358"/>
      <c r="F131" s="480" t="str">
        <f>IF('Calc (ex-animal)'!$F$9=1,"",IF($C$128=0,"",IF(D131="","",E131/'Calc (ex-animal)'!$E$28*100)))</f>
        <v/>
      </c>
      <c r="G131" s="438" t="str">
        <f>IF($C$128=0,"",IF('Calc (ex-animal)'!$F$8=1,"",IF(D131="","",SUM(H131:O131))))</f>
        <v/>
      </c>
      <c r="H131" s="423" t="str">
        <f>IF('Calc (ex-animal)'!$F$8=1,"",IF(D131="","",(((VLOOKUP($C$128,'Calc (ex-animal)'!$D$28:$Y$32,6,FALSE)-VLOOKUP($C$128,'Calc (ex-animal)'!$D$28:$Y$32,17,FALSE))*F131/100))*VLOOKUP($C$128,'Calc (ex-animal)'!$D$28:$Y$32,7,FALSE)/100*(1-VLOOKUP(D131,'DB technologies'!$N$66:$Y$77,9,FALSE)/100)))</f>
        <v/>
      </c>
      <c r="I131" s="423" t="str">
        <f>IF(D131="","",((VLOOKUP(D131,'DB technologies'!$N$66:$Y$77,2,FALSE)*VLOOKUP($C$128,'DB animal categories'!$C$52:$AC$61,27,FALSE)*E131/1000)/VLOOKUP($C$128,'DB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'!$S$6/100*(1-VLOOKUP(D131,'DB technologies'!$N$66:$Y$77,9,FALSE)/100)))</f>
        <v/>
      </c>
      <c r="J131" s="434" t="str">
        <f>IF(D131="","",((VLOOKUP(D131,'DB technologies'!$N$66:$Y$77,3,FALSE)*VLOOKUP($C$128,'DB animal categories'!$C$52:$AC$61,27,FALSE)*E131/1000)/VLOOKUP($C$128,'DB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'!$S$7/100*(1-VLOOKUP(D131,'DB technologies'!$N$66:$Y$77,9,FALSE)/100)))</f>
        <v/>
      </c>
      <c r="K131" s="434" t="str">
        <f>IF(D131="","",((VLOOKUP(D131,'DB technologies'!$N$66:$Y$77,4,FALSE)*E131*'DB additional information '!$S$8/100*(1-VLOOKUP(D131,'DB technologies'!$N$66:$Y$77,9,FALSE)/100))/VLOOKUP($C$128,'DB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L131" s="423" t="str">
        <f>IF('Calc (ex-animal)'!$F$8=1,"",IF(D131="","",(((VLOOKUP($C$128,'Calc (ex-animal)'!$D$28:$Y$32,6,FALSE)-VLOOKUP($C$128,'Calc (ex-animal)'!$D$28:$Y$32,17,FALSE))*F131/100))*(1-VLOOKUP($C$128,'Calc (ex-animal)'!$D$28:$Y$32,7,FALSE)/100)*(1-VLOOKUP(D131,'DB technologies'!$N$66:$V$77,8,FALSE)/100)))</f>
        <v/>
      </c>
      <c r="M131" s="434" t="str">
        <f>IF(D131="","",((VLOOKUP(D131,'DB technologies'!$N$66:$Y$77,2,FALSE)*VLOOKUP($C$128,'DB animal categories'!$C$52:$AC$61,27,FALSE)*E131/1000)/VLOOKUP($C$128,'DB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'!$S$6/100)*(1-VLOOKUP(D131,'DB technologies'!$N$66:$Y$77,9,FALSE)/100))</f>
        <v/>
      </c>
      <c r="N131" s="434" t="str">
        <f>IF(D131="","",((VLOOKUP(D131,'DB technologies'!$N$66:$Y$77,3,FALSE)*VLOOKUP($C$128,'DB animal categories'!$C$52:$AC$61,27,FALSE)*E131/1000)/VLOOKUP($C$128,'DB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'!$S$7/100)*(1-VLOOKUP(D131,'DB technologies'!$N$66:$Y$77,9,FALSE)/100))</f>
        <v/>
      </c>
      <c r="O131" s="423" t="str">
        <f>IF(D131="","",((VLOOKUP(D131,'DB technologies'!$N$66:$Y$77,4,FALSE)*E131*(1-'DB additional information '!$S$8/100)*(1-VLOOKUP(D131,'DB technologies'!$N$66:$Y$77,8,FALSE)/100))/VLOOKUP($C$128,'DB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P131" s="438" t="str">
        <f>IF(G131=0,0,IF(E131="","",IF(F131="","",IF($C$128=0,"",IF(D131="","",SUM(H131:K131)/G131*100)))))</f>
        <v/>
      </c>
      <c r="Q131" s="416" t="str">
        <f>IF(D131="","",(VLOOKUP(D131,'DB technologies'!$N$66:$Y$77,2,FALSE)*'DB additional information '!$S$6/100*'DB additional information '!$T$6*VLOOKUP($C$128,'DB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R131" s="416" t="str">
        <f>IF(D131="","",(VLOOKUP(D131,'DB technologies'!$N$66:$Y$77,3,FALSE)*'DB additional information '!$S$7/100*'DB additional information '!$T$7*VLOOKUP($C$128,'DB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S131" s="491" t="str">
        <f>IF(D131="","",(VLOOKUP(D131,'DB technologies'!$N$66:$Y$77,4,FALSE)*('DB additional information '!$S$8/100*'DB additional information '!$T$8*E131/1000/1000)))</f>
        <v/>
      </c>
      <c r="T131" s="264" t="str">
        <f>IF($C$128=0,"",IF('Calc (ex-animal)'!$F$9=1,"",IF(D131="","",((VLOOKUP($C$128,'Calc (ex-animal)'!$D$28:$Y$32,10,FALSE)-VLOOKUP($C$128,'Calc (ex-animal)'!$D$28:$Y$32,18,FALSE))*F131/100+Q131+R131+S131)-AC131-AD131-AE131)))</f>
        <v/>
      </c>
      <c r="U131" s="422" t="str">
        <f>IF(D131="","",(VLOOKUP(D131,'DB technologies'!$N$66:$Y$77,2,FALSE)*'DB additional information '!$S$6/100*'DB additional information '!$U$6*VLOOKUP($C$128,'DB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V131" s="418" t="str">
        <f>IF(D131="","",(VLOOKUP(D131,'DB technologies'!$N$66:$Y$77,3,FALSE)*'DB additional information '!$S$7/100*'DB additional information '!$U$7*VLOOKUP($C$128,'DB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W131" s="417" t="str">
        <f>IF(D131="","",(VLOOKUP(D131,'DB technologies'!$N$66:$Y$77,4,FALSE)*('DB additional information '!$S$8/100*'DB additional information '!$U$8*E131/1000/1000)))</f>
        <v/>
      </c>
      <c r="X131" s="261" t="str">
        <f>IF($C$128=0,"",IF('Calc (ex-animal)'!$F$9=1,"",IF(D131="","",((VLOOKUP($C$128,'Calc (ex-animal)'!$D$28:$Y$32,13,FALSE)-VLOOKUP($C$128,'Calc (ex-animal)'!$D$28:$Y$32,19,FALSE))*F131/100+U131+V131+W131))))</f>
        <v/>
      </c>
      <c r="Y131" s="418" t="str">
        <f>IF(D131="","",(VLOOKUP(D131,'DB technologies'!$N$66:$Y$77,2,FALSE)*'DB additional information '!$S$6/100*'DB additional information '!$V$6*VLOOKUP($C$128,'DB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Z131" s="418" t="str">
        <f>IF(D131="","",(VLOOKUP(D131,'DB technologies'!$N$66:$Y$77,3,FALSE)*'DB additional information '!$S$7/100*'DB additional information '!$V$7*VLOOKUP($C$128,'DB animal categories'!$C$52:$AC$61,27,FALSE)*E131/1000/1000)/VLOOKUP($C$128,'DB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AA131" s="418" t="str">
        <f>IF(D131="","",(VLOOKUP(D131,'DB technologies'!$N$66:$Y$77,4,FALSE)*('DB additional information '!$S$8/100*'DB additional information '!$V$8*E131/1000/1000)))</f>
        <v/>
      </c>
      <c r="AB131" s="261" t="str">
        <f>IF($C$128=0,"",IF('Calc (ex-animal)'!$F$8=1,"",IF(D131="","",((VLOOKUP($C$128,'Calc (ex-animal)'!$D$28:$Y$32,16,FALSE)-VLOOKUP($C$128,'Calc (ex-animal)'!$D$28:$Y$32,20,FALSE))*F131/100+Y131+Z131+AA131))))</f>
        <v/>
      </c>
      <c r="AC131" s="261" t="str">
        <f>IF($C$128=0,"",IF('Calc (ex-animal)'!$F$8=1,"",IF(D131="","",VLOOKUP($C$128,'Calc (ex-animal)'!$D$28:$Y$32,9,FALSE)/VLOOKUP($C$128,'DB animal categories'!$C$52:$AC$61,27,FALSE)*(VLOOKUP($C$128,'DB animal categories'!$C$52:$AC$61,27,FALSE)-VLOOKUP($C$128,'DB animal categories'!$C$52:$AC$61,25,FALSE)*VLOOKUP($C$128,'DB animal categories'!$C$52:$AC$61,26,FALSE)/24)*F131/100*VLOOKUP(D131,'DB technologies'!$N$66:$R$77,5,FALSE)/100)))</f>
        <v/>
      </c>
      <c r="AD131" s="261" t="str">
        <f>IF($C$128=0,"",IF('Calc (ex-animal)'!$F$8=1,"",IF(D131="","",VLOOKUP($C$128,'Calc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categories'!$C$52:$AC$61,26,FALSE)/24)*F131/100*VLOOKUP(D131,'DB technologies'!$N$66:$Y$77,6,FALSE)/100)))</f>
        <v/>
      </c>
      <c r="AE131" s="262" t="str">
        <f>IF($C$128=0,"",IF('Calc (ex-animal)'!$F$8=1,"",IF(D131="","",VLOOKUP($C$128,'Calc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categories'!$C$52:$AC$61,26,FALSE)/24)*F131/100*VLOOKUP(D131,'DB technologies'!$N$66:$Y$77,7,FALSE)/100)))</f>
        <v/>
      </c>
      <c r="AG131" s="698"/>
      <c r="AH131" s="695"/>
      <c r="AI131" s="181" t="str">
        <f>IF(D131="","",VLOOKUP(D131,'DB technologies'!$N$66:$Y$77,10,FALSE))</f>
        <v/>
      </c>
      <c r="AJ131" s="449" t="e">
        <f>VLOOKUP($C$128,'DB animal categories'!$C$52:$AN$61,27,FALSE)-VLOOKUP($C$128,'DB animal categories'!$C$52:$AN$61,26,FALSE)*VLOOKUP($C$128,'DB animal categories'!$C$52:$AN$61,25,FALSE)/24</f>
        <v>#N/A</v>
      </c>
      <c r="AK131" s="442" t="str">
        <f>IF(AI131="","",AL131+AM131)</f>
        <v/>
      </c>
      <c r="AL131" s="442" t="str">
        <f>IF(D131="","",IF(AI131=2,(('Calc (ex-animal)'!$G$28*'DB additional information '!$K$9/100*(1-VLOOKUP(D131,'DB technologies'!$N$66:$Y$77,9,FALSE)/100)*'Calc (ex-housing, ex-storage)'!F131/100+'Calc (ex-animal)'!$H$28*'DB additional information '!$L$9/100*(1-VLOOKUP(D131,'DB technologies'!$N$66:$Y$77,9,FALSE)/100)*'Calc (ex-housing, ex-storage)'!F131/100))/VLOOKUP($C$128,'DB animal categories'!$C$52:$AC$61,27,FALSE)*AJ131+I131+J131+K131,IF(AI131=1,('Calc (ex-animal)'!$H$28*'DB additional information '!$L$9/100*(1-VLOOKUP(D131,'DB technologies'!$N$66:$Y$77,9,FALSE)/100)*'Calc (ex-housing, ex-storage)'!F131/100)/VLOOKUP($C$128,'DB animal categories'!$C$52:$AC$61,27,FALSE)*AJ131,IF(AI131=4,('Calc (ex-animal)'!$G$28*'DB additional information '!$K$9/100+'Calc (ex-animal)'!$H$28*'DB additional information '!$L$9/100)*(1-VLOOKUP(D131,'DB technologies'!$N$66:$Y$77,9,FALSE)/100)*'Calc (ex-housing, ex-storage)'!F131/100*VLOOKUP(D131,'DB technologies'!$N$66:$Y$77,11,FALSE)/100/VLOOKUP($C$128,'DB animal categories'!$C$52:$AC$61,27,FALSE)*AJ131,0))))</f>
        <v/>
      </c>
      <c r="AM131" s="442" t="str">
        <f>IF(D131="","",IF(AI131=2,(('Calc (ex-animal)'!$G$28*(1-'DB additional information '!$K$9/100)*(1-VLOOKUP(D131,'DB technologies'!$N$66:$Y$77,8,FALSE)/100)*'Calc (ex-housing, ex-storage)'!F131/100+'Calc (ex-animal)'!$H$28*(1-'DB additional information '!$L$9/100)*(1-VLOOKUP(D131,'DB technologies'!$N$66:$Y$77,8,FALSE)/100)*'Calc (ex-housing, ex-storage)'!F131/100))/VLOOKUP($C$128,'DB animal categories'!$C$52:$AC$61,27,FALSE)*AJ131+M131+N131+O131,IF(AI131=1,('Calc (ex-animal)'!$H$28*(1-'DB additional information '!$L$9/100)*(1-VLOOKUP(D131,'DB technologies'!$N$66:$Y$77,8,FALSE)/100)*'Calc (ex-housing, ex-storage)'!F131/100)/VLOOKUP($C$128,'DB animal categories'!$C$52:$AC$61,27,FALSE)*AJ131,IF(AI131=4,('Calc (ex-animal)'!$G$28*(1-'DB additional information '!$K$9/100)+'Calc (ex-animal)'!$H$28*(1-'DB additional information '!$L$9/100))*(1-VLOOKUP(D131,'DB technologies'!$N$66:$Y$77,8,FALSE)/100)*'Calc (ex-housing, ex-storage)'!F131/100*VLOOKUP(D131,'DB technologies'!$N$66:$Y$77,11,FALSE)/100/VLOOKUP($C$128,'DB animal categories'!$C$52:$AC$61,27,FALSE)*AJ131,0))))</f>
        <v/>
      </c>
      <c r="AN131" s="442" t="str">
        <f>IF(AI131="","",IF(AL131=0,0,AL131/AK131*100))</f>
        <v/>
      </c>
      <c r="AO131" s="182" t="str">
        <f>IF(D131="","",IF(AI131=2,(('Calc (ex-animal)'!$L$28*'Calc (ex-housing, ex-storage)'!F131/100+'Calc (ex-animal)'!$K$28*'Calc (ex-housing, ex-storage)'!F131/100))/VLOOKUP($C$128,'DB animal categories'!$C$52:$AC$61,27,FALSE)*AJ131+Q131+R131+S131-AC131,IF(AI131=1,('Calc (ex-animal)'!$L$28*'Calc (ex-housing, ex-storage)'!F131/100)/VLOOKUP($C$128,'DB animal categories'!$C$52:$AC$61,27,FALSE)*AJ131-'Calc (ex-housing, ex-storage)'!AC131,IF(AI131=4,('Calc (ex-animal)'!$L$28+'Calc (ex-animal)'!$K$28)*'Calc (ex-housing, ex-storage)'!F131/100*VLOOKUP(D131,'DB technologies'!$N$66:$Y$77,11,FALSE)/100/VLOOKUP($C$128,'DB animal categories'!$C$52:$AC$61,27,FALSE)*AJ131-AC131*VLOOKUP(D131,'DB technologies'!$N$66:$Y$77,11,FALSE)/100,0))))</f>
        <v/>
      </c>
      <c r="AP131" s="182" t="str">
        <f>IF(D131="","",IF(AO131&lt;-0.01,0,IF(AI131=2,(('Calc (ex-animal)'!$L$28*'Calc (ex-housing, ex-storage)'!F131/100+'Calc (ex-animal)'!$K$28*'Calc (ex-housing, ex-storage)'!F131/100))/VLOOKUP($C$128,'DB animal categories'!$C$52:$AC$61,27,FALSE)*AJ131+Q131+R131+S131-AC131,IF(AI131=1,('Calc (ex-animal)'!$L$28*'Calc (ex-housing, ex-storage)'!F131/100)/VLOOKUP($C$128,'DB animal categories'!$C$52:$AC$61,27,FALSE)*AJ131-'Calc (ex-housing, ex-storage)'!AC131,IF(AI131=4,('Calc (ex-animal)'!$L$28+'Calc (ex-animal)'!$K$28)*'Calc (ex-housing, ex-storage)'!F131/100*VLOOKUP(D131,'DB technologies'!$N$66:$Y$77,11,FALSE)/100/VLOOKUP($C$128,'DB animal categories'!$C$52:$AC$61,27,FALSE)*AJ131-AC131*VLOOKUP(D131,'DB technologies'!$N$66:$Y$77,11,FALSE)/100,0)))))</f>
        <v/>
      </c>
      <c r="AQ131" s="182" t="str">
        <f>IF(D131="","",IF(AI131=2,('Calc (ex-animal)'!$O$28*'Calc (ex-housing, ex-storage)'!F131/100+'Calc (ex-animal)'!$N$28*'Calc (ex-housing, ex-storage)'!F131/100)/VLOOKUP($C$128,'DB animal categories'!$C$52:$AC$61,27,FALSE)*AJ131+U131+V131+W131,IF(AI131=1,'Calc (ex-animal)'!$O$28*'Calc (ex-housing, ex-storage)'!F131/100/VLOOKUP($C$128,'DB animal categories'!$C$52:$AC$61,27,FALSE)*AJ131,IF(AI131=4,('Calc (ex-animal)'!$O$28+'Calc (ex-animal)'!$N$28)*'Calc (ex-housing, ex-storage)'!F131/100*VLOOKUP(D131,'DB technologies'!$N$66:$Y$77,11,FALSE)/100/VLOOKUP($C$128,'DB animal categories'!$C$52:$AC$61,27,FALSE)*AJ131,0))))</f>
        <v/>
      </c>
      <c r="AR131" s="182" t="str">
        <f>IF(D131="","",IF(AI131=2,('Calc (ex-animal)'!$R$28*'Calc (ex-housing, ex-storage)'!F131/100+'Calc (ex-animal)'!$Q$28*'Calc (ex-housing, ex-storage)'!F131/100)/VLOOKUP($C$128,'DB animal categories'!$C$52:$AC$61,27,FALSE)*AJ131+Y131+Z131+AA131,IF(AI131=1,'Calc (ex-animal)'!$R$28*'Calc (ex-housing, ex-storage)'!F131/100/VLOOKUP($C$128,'DB animal categories'!$C$52:$AC$61,27,FALSE)*AJ131,IF(AI131=4,('Calc (ex-animal)'!$R$28+'Calc (ex-animal)'!$Q$28)*'Calc (ex-housing, ex-storage)'!F131/100*VLOOKUP(D131,'DB technologies'!$N$66:$Y$77,11,FALSE)/100/VLOOKUP($C$128,'DB animal categories'!$C$52:$AC$61,27,FALSE)*AJ131,0))))</f>
        <v/>
      </c>
      <c r="AS131" s="181" t="str">
        <f>IF(D131="","",VLOOKUP(D131,'DB technologies'!$N$66:$Y$77,10,FALSE))</f>
        <v/>
      </c>
      <c r="AT131" s="442" t="str">
        <f>IF(AS131="","",AU131+AV131)</f>
        <v/>
      </c>
      <c r="AU131" s="442" t="str">
        <f>IF(D131="","",IF(AS131=2,0,IF(AS131=1,'Calc (ex-animal)'!$G$28*'DB additional information '!$K$9/100*(1-VLOOKUP(D131,'DB technologies'!$N$66:$Y$77,8,FALSE)/100)*'Calc (ex-housing, ex-storage)'!F131/100/VLOOKUP($C$128,'DB animal categories'!$C$52:$AC$61,27,FALSE)*AJ131+I131+J131+K131,IF(AS131=5,(('Calc (ex-animal)'!$G$28*'DB additional information '!$K$9/100+'Calc (ex-animal)'!$H$28*'DB additional information '!$L$9/100))*(1-VLOOKUP(D131,'DB technologies'!$N$66:$Y$77,9,FALSE)/100)*'Calc (ex-housing, ex-storage)'!F131/100/VLOOKUP($C$128,'DB animal categories'!$C$52:$AC$61,27,FALSE)*AJ131+I131+J131+K131,IF(AS131=3,('Calc (ex-animal)'!$G$28*'DB additional information '!$K$9/100+'Calc (ex-animal)'!$H$28*'DB additional information '!$L$9/100)*(1-VLOOKUP(D131,'DB technologies'!$N$66:$Y$77,9,FALSE)/100)*'Calc (ex-housing, ex-storage)'!F131/100/VLOOKUP($C$128,'DB animal categories'!$C$52:$AC$61,27,FALSE)*AJ131+I131+J131+K131,IF(AS131=4,('Calc (ex-animal)'!$G$28*'DB additional information '!$K$9/100+'Calc (ex-animal)'!$H$28*'DB additional information '!$L$9/100)*(1-VLOOKUP(D131,'DB technologies'!$N$66:$Y$77,9,FALSE)/100)*'Calc (ex-housing, ex-storage)'!F131/100*VLOOKUP(D131,'DB technologies'!$N$66:$Y$77,12,FALSE)/100/VLOOKUP($C$128,'DB animal categories'!$C$52:$AC$61,27,FALSE)*AJ131+I131+J131+K131,0))))))</f>
        <v/>
      </c>
      <c r="AV131" s="442" t="str">
        <f>IF(D131="","",IF(AS131=2,0,IF(AS131=1,'Calc (ex-animal)'!$G$28*(1-'DB additional information '!$K$9/100)*(1-VLOOKUP(D131,'DB technologies'!$N$66:$Y$77,8,FALSE)/100)*'Calc (ex-housing, ex-storage)'!F131/100/VLOOKUP($C$128,'DB animal categories'!$C$52:$AC$61,27,FALSE)*AJ131+M131+N131+O131,IF(AS131=5,('Calc (ex-animal)'!$G$28*(1-'DB additional information '!$K$9/100)+'Calc (ex-animal)'!$H$28*(1-'DB additional information '!$L$9/100))*(1-VLOOKUP(D131,'DB technologies'!$N$66:$Y$77,8,FALSE)/100)*'Calc (ex-housing, ex-storage)'!F131/100/VLOOKUP($C$128,'DB animal categories'!$C$52:$AC$61,27,FALSE)*AJ131+M131+N131+O131,IF(AS131=3,('Calc (ex-animal)'!$G$28*(1-'DB additional information '!$K$9/100)+'Calc (ex-animal)'!$H$28*(1-'DB additional information '!$L$9/100))*(1-VLOOKUP(D131,'DB technologies'!$N$66:$Y$77,8,FALSE)/100)*'Calc (ex-housing, ex-storage)'!F131/100/VLOOKUP($C$128,'DB animal categories'!$C$52:$AC$61,27,FALSE)*AJ131+M131+N131+O131,IF(AS131=4,('Calc (ex-animal)'!$G$28*(1-'DB additional information '!$K$9/100)+'Calc (ex-animal)'!$H$28*(1-'DB additional information '!$L$9/100))*(1-VLOOKUP(D131,'DB technologies'!$N$66:$Y$77,8,FALSE)/100)*'Calc (ex-housing, ex-storage)'!F131/100*VLOOKUP(D131,'DB technologies'!$N$66:$Y$77,12,FALSE)/100/VLOOKUP($C$128,'DB animal categories'!$C$52:$AC$61,27,FALSE)*AJ131+M131+N131+O131,0))))))</f>
        <v/>
      </c>
      <c r="AW131" s="442" t="str">
        <f>IF(AS131="","",IF(AU131=0,0,AU131/AT131*100))</f>
        <v/>
      </c>
      <c r="AX131" s="182" t="str">
        <f>IF(D131="","",IF(AS131=2,0,IF(AS131=1,'Calc (ex-animal)'!$K$28*'Calc (ex-housing, ex-storage)'!F131/100/VLOOKUP($C$128,'DB animal categories'!$C$52:$AC$61,27,FALSE)*AJ131+Q131+R131+S131,IF(AS131=5,('Calc (ex-animal)'!$K$28+'Calc (ex-animal)'!$L$28)*'Calc (ex-housing, ex-storage)'!F131/100/VLOOKUP($C$128,'DB animal categories'!$C$52:$AC$61,27,FALSE)*AJ131+Q131+R131+S131-'Calc (ex-housing, ex-storage)'!AC131,IF(AS131=3,('Calc (ex-animal)'!$K$28+'Calc (ex-animal)'!$L$28)*'Calc (ex-housing, ex-storage)'!F131/100/VLOOKUP($C$128,'DB animal categories'!$C$52:$AC$61,27,FALSE)*AJ131+Q131+R131+S131-'Calc (ex-housing, ex-storage)'!AC131-AD131-AE131,IF(AI131=4,('Calc (ex-animal)'!$K$28+'Calc (ex-animal)'!$L$28)*'Calc (ex-housing, ex-storage)'!F131/100*VLOOKUP(D131,'DB technologies'!$N$66:$Y$77,12,FALSE)/100/VLOOKUP($C$128,'DB animal categories'!$C$52:$AC$61,27,FALSE)*AJ131+Q131+R131+S131-(VLOOKUP(D131,'DB technologies'!$N$66:$Y$77,12,FALSE)/100*AC131)-AD131-AE131,0))))))</f>
        <v/>
      </c>
      <c r="AY131" s="182" t="str">
        <f>IF(D131="","",IF(AS131=2,0,IF(AS131=1,'Calc (ex-animal)'!$N$28*'Calc (ex-housing, ex-storage)'!F131/100/VLOOKUP($C$128,'DB animal categories'!$C$52:$AC$61,27,FALSE)*AJ131+U131+V131+W131,IF(AS131=5,('Calc (ex-animal)'!$N$28+'Calc (ex-animal)'!$O$28)*'Calc (ex-housing, ex-storage)'!F131/100/VLOOKUP($C$128,'DB animal categories'!$C$52:$AC$61,27,FALSE)*AJ131+U131+V131+W131,IF(AS131=3,('Calc (ex-animal)'!$N$28+'Calc (ex-animal)'!$O$28)*'Calc (ex-housing, ex-storage)'!F131/100/VLOOKUP($C$128,'DB animal categories'!$C$52:$AC$61,27,FALSE)*AJ131+U131+V131+W131,IF(AS131=4,('Calc (ex-animal)'!$N$28+'Calc (ex-animal)'!$O$28)*'Calc (ex-housing, ex-storage)'!F131/100*VLOOKUP(D131,'DB technologies'!$N$66:$Y$77,12,FALSE)/100/VLOOKUP($C$128,'DB animal categories'!$C$52:$AC$61,27,FALSE)*AJ131+U131+V131+W131,0))))))</f>
        <v/>
      </c>
      <c r="AZ131" s="182" t="str">
        <f>IF(D131="","",IF(AS131=2,0,IF(AS131=1,'Calc (ex-animal)'!$Q$28*'Calc (ex-housing, ex-storage)'!F131/100/VLOOKUP($C$128,'DB animal categories'!$C$52:$AC$61,27,FALSE)*AJ131+Y131+Z131+AA131,IF(AS131=5,('Calc (ex-animal)'!$Q$28+'Calc (ex-animal)'!$R$28)*'Calc (ex-housing, ex-storage)'!F131/100/VLOOKUP($C$128,'DB animal categories'!$C$52:$AC$61,27,FALSE)*AJ131+Y131+Z131+AA131,IF(AS131=3,('Calc (ex-animal)'!$Q$28+'Calc (ex-animal)'!$R$28)*'Calc (ex-housing, ex-storage)'!F131/100/VLOOKUP($C$128,'DB animal categories'!$C$52:$AC$61,27,FALSE)*AJ131+Y131+Z131+AA131,IF(AS131=4,('Calc (ex-animal)'!$Q$28+'Calc (ex-animal)'!$R$28)*'Calc (ex-housing, ex-storage)'!F131/100*VLOOKUP(D131,'DB technologies'!$N$66:$Y$77,12,FALSE)/100/VLOOKUP($C$128,'DB animal categories'!$C$52:$AC$61,27,FALSE)*AJ131+Y131+Z131+AA131,0))))))</f>
        <v/>
      </c>
      <c r="BA131" s="506"/>
      <c r="BB131" s="506"/>
      <c r="BC131" s="506"/>
      <c r="BE131" s="111"/>
      <c r="BG131" s="1357"/>
      <c r="BH131" s="1361"/>
      <c r="BI131" s="598" t="str">
        <f>IF(BG131="","",$BA$128*BH131/100-($BB$128*BH131/100*VLOOKUP(BG131,'DB technologies'!$AC$16:$AQ$20,5,FALSE)/100)+(VLOOKUP(BG131,'DB technologies'!$AC$16:$AQ$20,12,FALSE)*$BA$128*BH131/100))</f>
        <v/>
      </c>
      <c r="BJ131" s="551">
        <f>IF(BI131="",0,BI131*BK131/100)</f>
        <v>0</v>
      </c>
      <c r="BK131" s="571" t="str">
        <f>IF(BG131="","",($BB$128*BH131/100)/BI131*(1-(VLOOKUP(BG131,'DB technologies'!$AC$16:$AQ$20,5,FALSE))/100)*100)</f>
        <v/>
      </c>
      <c r="BL131" s="261" t="str">
        <f>IF(BG131="","",$BD$128*BH131/100-BO131-BP131-BQ131-BR131)</f>
        <v/>
      </c>
      <c r="BM131" s="261" t="str">
        <f>IF(BG131="","",$BE$128*BH131/100-BS131)</f>
        <v/>
      </c>
      <c r="BN131" s="261" t="str">
        <f>IF(BG131="","",$BF$128*BH131/100-BT131)</f>
        <v/>
      </c>
      <c r="BO131" s="261" t="str">
        <f>IF(BG131="","",$BD$128*BH131/100*VLOOKUP(BG131,'DB technologies'!$AC$16:$AF$20,2,FALSE)/100)</f>
        <v/>
      </c>
      <c r="BP131" s="261" t="str">
        <f>IF(BG131="","",$BD$128*BH131/100*VLOOKUP(BG131,'DB technologies'!$AC$16:$AN$20,3,FALSE)/100)</f>
        <v/>
      </c>
      <c r="BQ131" s="262" t="str">
        <f>IF(BG131="","",$BD$128*BH131/100*VLOOKUP(BG131,'DB technologies'!$AC$16:$AN$20,4,FALSE)/100)</f>
        <v/>
      </c>
      <c r="BR131" s="264" t="str">
        <f>IF(BG131="","",VLOOKUP(BG131,'DB technologies'!$AC$16:$AQ$20,13,FALSE)/100*$BD$128*BH131/100)</f>
        <v/>
      </c>
      <c r="BS131" s="261" t="str">
        <f>IF(BG131="","",VLOOKUP(BG131,'DB technologies'!$AC$16:$AQ$20,14,FALSE)/100*$BE$128*BH131/100)</f>
        <v/>
      </c>
      <c r="BT131" s="262" t="str">
        <f>IF(BG131="","",VLOOKUP(BG131,'DB technologies'!$AC$16:$AQ$20,15,FALSE)/100*$BF$128*BH131/100)</f>
        <v/>
      </c>
    </row>
    <row r="132" spans="1:72" ht="11.25" customHeight="1" thickBot="1" x14ac:dyDescent="0.25">
      <c r="A132" s="684"/>
      <c r="B132" s="695"/>
      <c r="C132" s="255"/>
      <c r="D132" s="1359"/>
      <c r="E132" s="1360"/>
      <c r="F132" s="481" t="str">
        <f>IF('Calc (ex-animal)'!$F$9=1,"",IF($C$128=0,"",IF(D132="","",E132/'Calc (ex-animal)'!$E$28*100)))</f>
        <v/>
      </c>
      <c r="G132" s="444" t="str">
        <f>IF($C$128=0,"",IF('Calc (ex-animal)'!$F$8=1,"",IF(D132="","",SUM(H132:O132))))</f>
        <v/>
      </c>
      <c r="H132" s="445" t="str">
        <f>IF('Calc (ex-animal)'!$F$8=1,"",IF(D132="","",(((VLOOKUP($C$128,'Calc (ex-animal)'!$D$28:$Y$32,6,FALSE)-VLOOKUP($C$128,'Calc (ex-animal)'!$D$28:$Y$32,17,FALSE))*F132/100))*VLOOKUP($C$128,'Calc (ex-animal)'!$D$28:$Y$32,7,FALSE)/100*(1-VLOOKUP(D132,'DB technologies'!$N$66:$Y$77,9,FALSE)/100)))</f>
        <v/>
      </c>
      <c r="I132" s="445" t="str">
        <f>IF(D132="","",((VLOOKUP(D132,'DB technologies'!$N$66:$Y$77,2,FALSE)*VLOOKUP($C$128,'DB animal categories'!$C$52:$AC$61,27,FALSE)*E132/1000)/VLOOKUP($C$128,'DB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'!$S$6/100*(1-VLOOKUP(D132,'DB technologies'!$N$66:$Y$77,9,FALSE)/100)))</f>
        <v/>
      </c>
      <c r="J132" s="446" t="str">
        <f>IF(D132="","",((VLOOKUP(D132,'DB technologies'!$N$66:$Y$77,3,FALSE)*VLOOKUP($C$128,'DB animal categories'!$C$52:$AC$61,27,FALSE)*E132/1000)/VLOOKUP($C$128,'DB animal categories'!$C$52:$AC$61,27,FALSE)*(VLOOKUP($C$128,'DB animal categories'!$C$52:$AC$61,27,FALSE)-(VLOOKUP($C$128,'DB animal categories'!$C$52:$AC$61,25,FALSE)*VLOOKUP($C$128,'DB animal categories'!$C$52:$AC$61,26,FALSE)/24))*'DB additional information '!$S$7/100*(1-VLOOKUP(D132,'DB technologies'!$N$66:$Y$77,9,FALSE)/100)))</f>
        <v/>
      </c>
      <c r="K132" s="446" t="str">
        <f>IF(D132="","",((VLOOKUP(D132,'DB technologies'!$N$66:$Y$77,4,FALSE)*E132*'DB additional information '!$S$8/100*(1-VLOOKUP(D132,'DB technologies'!$N$66:$Y$77,9,FALSE)/100))/VLOOKUP($C$128,'DB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L132" s="445" t="str">
        <f>IF('Calc (ex-animal)'!$F$8=1,"",IF(D132="","",(((VLOOKUP($C$128,'Calc (ex-animal)'!$D$28:$Y$32,6,FALSE)-VLOOKUP($C$128,'Calc (ex-animal)'!$D$28:$Y$32,17,FALSE))*F132/100))*(1-VLOOKUP($C$128,'Calc (ex-animal)'!$D$28:$Y$32,7,FALSE)/100)*(1-VLOOKUP(D132,'DB technologies'!$N$66:$V$77,8,FALSE)/100)))</f>
        <v/>
      </c>
      <c r="M132" s="446" t="str">
        <f>IF(D132="","",((VLOOKUP(D132,'DB technologies'!$N$66:$Y$77,2,FALSE)*VLOOKUP($C$128,'DB animal categories'!$C$52:$AC$61,27,FALSE)*E132/1000)/VLOOKUP($C$128,'DB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'!$S$6/100)*(1-VLOOKUP(D132,'DB technologies'!$N$66:$Y$77,9,FALSE)/100))</f>
        <v/>
      </c>
      <c r="N132" s="446" t="str">
        <f>IF(D132="","",((VLOOKUP(D132,'DB technologies'!$N$66:$Y$77,3,FALSE)*VLOOKUP($C$128,'DB animal categories'!$C$52:$AC$61,27,FALSE)*E132/1000)/VLOOKUP($C$128,'DB animal categories'!$C$52:$AC$61,27,FALSE)*(VLOOKUP($C$128,'DB animal categories'!$C$52:$AC$61,27,FALSE)-VLOOKUP($C$128,'DB animal categories'!$C$52:$AC$61,25,FALSE)*VLOOKUP($C$128,'DB animal categories'!$C$52:$AC$61,26,FALSE)/24))*(1-'DB additional information '!$S$7/100)*(1-VLOOKUP(D132,'DB technologies'!$N$66:$Y$77,9,FALSE)/100))</f>
        <v/>
      </c>
      <c r="O132" s="445" t="str">
        <f>IF(D132="","",((VLOOKUP(D132,'DB technologies'!$N$66:$Y$77,4,FALSE)*E132*(1-'DB additional information '!$S$8/100)*(1-VLOOKUP(D132,'DB technologies'!$N$66:$Y$77,8,FALSE)/100))/VLOOKUP($C$128,'DB animal categories'!$C$52:$AC$61,27,FALSE)*(VLOOKUP($C$128,'DB animal categories'!$C$52:$AC$61,27,FALSE)-VLOOKUP($C$128,'DB animal categories'!$C$52:$AC$61,25,FALSE)*VLOOKUP($C$128,'DB animal categories'!$C$52:$AC$61,26,FALSE)/24)))</f>
        <v/>
      </c>
      <c r="P132" s="444" t="str">
        <f>IF(G132=0,0,IF(E132="","",IF(F132="","",IF($C$128=0,"",IF(D132="","",SUM(H132:K132)/G132*100)))))</f>
        <v/>
      </c>
      <c r="Q132" s="476" t="str">
        <f>IF(D132="","",(VLOOKUP(D132,'DB technologies'!$N$66:$Y$77,2,FALSE)*'DB additional information '!$S$6/100*'DB additional information '!$T$6*VLOOKUP($C$128,'DB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R132" s="476" t="str">
        <f>IF(D132="","",(VLOOKUP(D132,'DB technologies'!$N$66:$Y$77,3,FALSE)*'DB additional information '!$S$7/100*'DB additional information '!$T$7*VLOOKUP($C$128,'DB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S132" s="494" t="str">
        <f>IF(D132="","",(VLOOKUP(D132,'DB technologies'!$N$66:$Y$77,4,FALSE)*('DB additional information '!$S$8/100*'DB additional information '!$T$8*E132/1000/1000)))</f>
        <v/>
      </c>
      <c r="T132" s="266" t="str">
        <f>IF($C$128=0,"",IF('Calc (ex-animal)'!$F$9=1,"",IF(D132="","",((VLOOKUP($C$128,'Calc (ex-animal)'!$D$28:$Y$32,10,FALSE)-VLOOKUP($C$128,'Calc (ex-animal)'!$D$28:$Y$32,18,FALSE))*F132/100+Q132+R132+S132)-AC132-AD132-AE132)))</f>
        <v/>
      </c>
      <c r="U132" s="477" t="str">
        <f>IF(D132="","",(VLOOKUP(D132,'DB technologies'!$N$66:$Y$77,2,FALSE)*'DB additional information '!$S$6/100*'DB additional information '!$U$6*VLOOKUP($C$128,'DB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V132" s="433" t="str">
        <f>IF(D132="","",(VLOOKUP(D132,'DB technologies'!$N$66:$Y$77,3,FALSE)*'DB additional information '!$S$7/100*'DB additional information '!$U$7*VLOOKUP($C$128,'DB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W132" s="475" t="str">
        <f>IF(D132="","",(VLOOKUP(D132,'DB technologies'!$N$66:$Y$77,4,FALSE)*('DB additional information '!$S$8/100*'DB additional information '!$U$8*E132/1000/1000)))</f>
        <v/>
      </c>
      <c r="X132" s="267" t="str">
        <f>IF($C$128=0,"",IF('Calc (ex-animal)'!$F$9=1,"",IF(D132="","",((VLOOKUP($C$128,'Calc (ex-animal)'!$D$28:$Y$32,13,FALSE)-VLOOKUP($C$128,'Calc (ex-animal)'!$D$28:$Y$32,19,FALSE))*F132/100+U132+V132+W132))))</f>
        <v/>
      </c>
      <c r="Y132" s="433" t="str">
        <f>IF(D132="","",(VLOOKUP(D132,'DB technologies'!$N$66:$Y$77,2,FALSE)*'DB additional information '!$S$6/100*'DB additional information '!$V$6*VLOOKUP($C$128,'DB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Z132" s="433" t="str">
        <f>IF(D132="","",(VLOOKUP(D132,'DB technologies'!$N$66:$Y$77,3,FALSE)*'DB additional information '!$S$7/100*'DB additional information '!$V$7*VLOOKUP($C$128,'DB animal categories'!$C$52:$AC$61,27,FALSE)*E132/1000/1000)/VLOOKUP($C$128,'DB animal categories'!$C$52:$AC$61,27,FALSE)*(VLOOKUP($C$128,'DB animal categories'!$C$52:$AC$61,27,FALSE)-VLOOKUP($C$128,'DB animal categories'!$C$52:$AC$61,25,FALSE)*VLOOKUP($C$128,'DB animal categories'!$C$52:$AC$61,26,FALSE)/24))</f>
        <v/>
      </c>
      <c r="AA132" s="433" t="str">
        <f>IF(D132="","",(VLOOKUP(D132,'DB technologies'!$N$66:$Y$77,4,FALSE)*('DB additional information '!$S$8/100*'DB additional information '!$V$8*E132/1000/1000)))</f>
        <v/>
      </c>
      <c r="AB132" s="267" t="str">
        <f>IF($C$128=0,"",IF('Calc (ex-animal)'!$F$8=1,"",IF(D132="","",((VLOOKUP($C$128,'Calc (ex-animal)'!$D$28:$Y$32,16,FALSE)-VLOOKUP($C$128,'Calc (ex-animal)'!$D$28:$Y$32,20,FALSE))*F132/100+Y132+Z132+AA132))))</f>
        <v/>
      </c>
      <c r="AC132" s="267" t="str">
        <f>IF($C$128=0,"",IF('Calc (ex-animal)'!$F$8=1,"",IF(D132="","",VLOOKUP($C$128,'Calc (ex-animal)'!$D$28:$Y$32,9,FALSE)/VLOOKUP($C$128,'DB animal categories'!$C$52:$AC$61,27,FALSE)*(VLOOKUP($C$128,'DB animal categories'!$C$52:$AC$61,27,FALSE)-VLOOKUP($C$128,'DB animal categories'!$C$52:$AC$61,25,FALSE)*VLOOKUP($C$128,'DB animal categories'!$C$52:$AC$61,26,FALSE)/24)*F132/100*VLOOKUP(D132,'DB technologies'!$N$66:$R$77,5,FALSE)/100)))</f>
        <v/>
      </c>
      <c r="AD132" s="267" t="str">
        <f>IF($C$128=0,"",IF('Calc (ex-animal)'!$F$8=1,"",IF(D132="","",VLOOKUP($C$128,'Calc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categories'!$C$52:$AC$61,26,FALSE)/24)*F132/100*VLOOKUP(D132,'DB technologies'!$N$66:$Y$77,6,FALSE)/100)))</f>
        <v/>
      </c>
      <c r="AE132" s="268" t="str">
        <f>IF($C$128=0,"",IF('Calc (ex-animal)'!$F$8=1,"",IF(D132="","",VLOOKUP($C$128,'Calc (ex-animal)'!$D$28:$Y$32,10,FALSE)/VLOOKUP($C$128,'DB animal categories'!$C$52:$AC$61,27,FALSE)*(VLOOKUP($C$128,'DB animal categories'!$C$52:$AC$61,27,FALSE)-VLOOKUP($C$128,'DB animal categories'!$C$52:$AC$61,25,FALSE)*VLOOKUP($C$128,'DB animal categories'!$C$52:$AC$61,26,FALSE)/24)*F132/100*VLOOKUP(D132,'DB technologies'!$N$66:$Y$77,7,FALSE)/100)))</f>
        <v/>
      </c>
      <c r="AG132" s="698"/>
      <c r="AH132" s="695"/>
      <c r="AI132" s="183" t="str">
        <f>IF(D132="","",VLOOKUP(D132,'DB technologies'!$N$66:$Y$77,10,FALSE))</f>
        <v/>
      </c>
      <c r="AJ132" s="451" t="e">
        <f>VLOOKUP($C$128,'DB animal categories'!$C$52:$AN$61,27,FALSE)-VLOOKUP($C$128,'DB animal categories'!$C$52:$AN$61,26,FALSE)*VLOOKUP($C$128,'DB animal categories'!$C$52:$AN$61,25,FALSE)/24</f>
        <v>#N/A</v>
      </c>
      <c r="AK132" s="452" t="str">
        <f>IF(AI132="","",AL132+AM132)</f>
        <v/>
      </c>
      <c r="AL132" s="452" t="str">
        <f>IF(D132="","",IF(AI132=2,(('Calc (ex-animal)'!$G$28*'DB additional information '!$K$9/100*(1-VLOOKUP(D132,'DB technologies'!$N$66:$Y$77,9,FALSE)/100)*'Calc (ex-housing, ex-storage)'!F132/100+'Calc (ex-animal)'!$H$28*'DB additional information '!$L$9/100*(1-VLOOKUP(D132,'DB technologies'!$N$66:$Y$77,9,FALSE)/100)*'Calc (ex-housing, ex-storage)'!F132/100))/VLOOKUP($C$128,'DB animal categories'!$C$52:$AC$61,27,FALSE)*AJ132+I132+J132+K132,IF(AI132=1,('Calc (ex-animal)'!$H$28*'DB additional information '!$L$9/100*(1-VLOOKUP(D132,'DB technologies'!$N$66:$Y$77,9,FALSE)/100)*'Calc (ex-housing, ex-storage)'!F132/100)/VLOOKUP($C$128,'DB animal categories'!$C$52:$AC$61,27,FALSE)*AJ132,IF(AI132=4,('Calc (ex-animal)'!$G$28*'DB additional information '!$K$9/100+'Calc (ex-animal)'!$H$28*'DB additional information '!$L$9/100)*(1-VLOOKUP(D132,'DB technologies'!$N$66:$Y$77,9,FALSE)/100)*'Calc (ex-housing, ex-storage)'!F132/100*VLOOKUP(D132,'DB technologies'!$N$66:$Y$77,11,FALSE)/100/VLOOKUP($C$128,'DB animal categories'!$C$52:$AC$61,27,FALSE)*AJ132,0))))</f>
        <v/>
      </c>
      <c r="AM132" s="452" t="str">
        <f>IF(D132="","",IF(AI132=2,(('Calc (ex-animal)'!$G$28*(1-'DB additional information '!$K$9/100)*(1-VLOOKUP(D132,'DB technologies'!$N$66:$Y$77,8,FALSE)/100)*'Calc (ex-housing, ex-storage)'!F132/100+'Calc (ex-animal)'!$H$28*(1-'DB additional information '!$L$9/100)*(1-VLOOKUP(D132,'DB technologies'!$N$66:$Y$77,8,FALSE)/100)*'Calc (ex-housing, ex-storage)'!F132/100))/VLOOKUP($C$128,'DB animal categories'!$C$52:$AC$61,27,FALSE)*AJ132+M132+N132+O132,IF(AI132=1,('Calc (ex-animal)'!$H$28*(1-'DB additional information '!$L$9/100)*(1-VLOOKUP(D132,'DB technologies'!$N$66:$Y$77,8,FALSE)/100)*'Calc (ex-housing, ex-storage)'!F132/100)/VLOOKUP($C$128,'DB animal categories'!$C$52:$AC$61,27,FALSE)*AJ132,IF(AI132=4,('Calc (ex-animal)'!$G$28*(1-'DB additional information '!$K$9/100)+'Calc (ex-animal)'!$H$28*(1-'DB additional information '!$L$9/100))*(1-VLOOKUP(D132,'DB technologies'!$N$66:$Y$77,8,FALSE)/100)*'Calc (ex-housing, ex-storage)'!F132/100*VLOOKUP(D132,'DB technologies'!$N$66:$Y$77,11,FALSE)/100/VLOOKUP($C$128,'DB animal categories'!$C$52:$AC$61,27,FALSE)*AJ132,0))))</f>
        <v/>
      </c>
      <c r="AN132" s="452" t="str">
        <f>IF(AI132="","",IF(AL132=0,0,AL132/AK132*100))</f>
        <v/>
      </c>
      <c r="AO132" s="184" t="str">
        <f>IF(D132="","",IF(AI132=2,(('Calc (ex-animal)'!$L$28*'Calc (ex-housing, ex-storage)'!F132/100+'Calc (ex-animal)'!$K$28*'Calc (ex-housing, ex-storage)'!F132/100))/VLOOKUP($C$128,'DB animal categories'!$C$52:$AC$61,27,FALSE)*AJ132+Q132+R132+S132-AC132,IF(AI132=1,('Calc (ex-animal)'!$L$28*'Calc (ex-housing, ex-storage)'!F132/100)/VLOOKUP($C$128,'DB animal categories'!$C$52:$AC$61,27,FALSE)*AJ132-'Calc (ex-housing, ex-storage)'!AC132,IF(AI132=4,('Calc (ex-animal)'!$L$28+'Calc (ex-animal)'!$K$28)*'Calc (ex-housing, ex-storage)'!F132/100*VLOOKUP(D132,'DB technologies'!$N$66:$Y$77,11,FALSE)/100/VLOOKUP($C$128,'DB animal categories'!$C$52:$AC$61,27,FALSE)*AJ132-AC132*VLOOKUP(D132,'DB technologies'!$N$66:$Y$77,11,FALSE)/100,0))))</f>
        <v/>
      </c>
      <c r="AP132" s="184" t="str">
        <f>IF(D132="","",IF(AO132&lt;-0.01,0,IF(AI132=2,(('Calc (ex-animal)'!$L$28*'Calc (ex-housing, ex-storage)'!F132/100+'Calc (ex-animal)'!$K$28*'Calc (ex-housing, ex-storage)'!F132/100))/VLOOKUP($C$128,'DB animal categories'!$C$52:$AC$61,27,FALSE)*AJ132+Q132+R132+S132-AC132,IF(AI132=1,('Calc (ex-animal)'!$L$28*'Calc (ex-housing, ex-storage)'!F132/100)/VLOOKUP($C$128,'DB animal categories'!$C$52:$AC$61,27,FALSE)*AJ132-'Calc (ex-housing, ex-storage)'!AC132,IF(AI132=4,('Calc (ex-animal)'!$L$28+'Calc (ex-animal)'!$K$28)*'Calc (ex-housing, ex-storage)'!F132/100*VLOOKUP(D132,'DB technologies'!$N$66:$Y$77,11,FALSE)/100/VLOOKUP($C$128,'DB animal categories'!$C$52:$AC$61,27,FALSE)*AJ132-AC132*VLOOKUP(D132,'DB technologies'!$N$66:$Y$77,11,FALSE)/100,0)))))</f>
        <v/>
      </c>
      <c r="AQ132" s="184" t="str">
        <f>IF(D132="","",IF(AI132=2,('Calc (ex-animal)'!$O$28*'Calc (ex-housing, ex-storage)'!F132/100+'Calc (ex-animal)'!$N$28*'Calc (ex-housing, ex-storage)'!F132/100)/VLOOKUP($C$128,'DB animal categories'!$C$52:$AC$61,27,FALSE)*AJ132+U132+V132+W132,IF(AI132=1,'Calc (ex-animal)'!$O$28*'Calc (ex-housing, ex-storage)'!F132/100/VLOOKUP($C$128,'DB animal categories'!$C$52:$AC$61,27,FALSE)*AJ132,IF(AI132=4,('Calc (ex-animal)'!$O$28+'Calc (ex-animal)'!$N$28)*'Calc (ex-housing, ex-storage)'!F132/100*VLOOKUP(D132,'DB technologies'!$N$66:$Y$77,11,FALSE)/100/VLOOKUP($C$128,'DB animal categories'!$C$52:$AC$61,27,FALSE)*AJ132,0))))</f>
        <v/>
      </c>
      <c r="AR132" s="184" t="str">
        <f>IF(D132="","",IF(AI132=2,('Calc (ex-animal)'!$R$28*'Calc (ex-housing, ex-storage)'!F132/100+'Calc (ex-animal)'!$Q$28*'Calc (ex-housing, ex-storage)'!F132/100)/VLOOKUP($C$128,'DB animal categories'!$C$52:$AC$61,27,FALSE)*AJ132+Y132+Z132+AA132,IF(AI132=1,'Calc (ex-animal)'!$R$28*'Calc (ex-housing, ex-storage)'!F132/100/VLOOKUP($C$128,'DB animal categories'!$C$52:$AC$61,27,FALSE)*AJ132,IF(AI132=4,('Calc (ex-animal)'!$R$28+'Calc (ex-animal)'!$Q$28)*'Calc (ex-housing, ex-storage)'!F132/100*VLOOKUP(D132,'DB technologies'!$N$66:$Y$77,11,FALSE)/100/VLOOKUP($C$128,'DB animal categories'!$C$52:$AC$61,27,FALSE)*AJ132,0))))</f>
        <v/>
      </c>
      <c r="AS132" s="183" t="str">
        <f>IF(D132="","",VLOOKUP(D132,'DB technologies'!$N$66:$Y$77,10,FALSE))</f>
        <v/>
      </c>
      <c r="AT132" s="452" t="str">
        <f>IF(AS132="","",AU132+AV132)</f>
        <v/>
      </c>
      <c r="AU132" s="452" t="str">
        <f>IF(D132="","",IF(AS132=2,0,IF(AS132=1,'Calc (ex-animal)'!$G$28*'DB additional information '!$K$9/100*(1-VLOOKUP(D132,'DB technologies'!$N$66:$Y$77,8,FALSE)/100)*'Calc (ex-housing, ex-storage)'!F132/100/VLOOKUP($C$128,'DB animal categories'!$C$52:$AC$61,27,FALSE)*AJ132+I132+J132+K132,IF(AS132=5,(('Calc (ex-animal)'!$G$28*'DB additional information '!$K$9/100+'Calc (ex-animal)'!$H$28*'DB additional information '!$L$9/100))*(1-VLOOKUP(D132,'DB technologies'!$N$66:$Y$77,9,FALSE)/100)*'Calc (ex-housing, ex-storage)'!F132/100/VLOOKUP($C$128,'DB animal categories'!$C$52:$AC$61,27,FALSE)*AJ132+I132+J132+K132,IF(AS132=3,('Calc (ex-animal)'!$G$28*'DB additional information '!$K$9/100+'Calc (ex-animal)'!$H$28*'DB additional information '!$L$9/100)*(1-VLOOKUP(D132,'DB technologies'!$N$66:$Y$77,9,FALSE)/100)*'Calc (ex-housing, ex-storage)'!F132/100/VLOOKUP($C$128,'DB animal categories'!$C$52:$AC$61,27,FALSE)*AJ132+I132+J132+K132,IF(AS132=4,('Calc (ex-animal)'!$G$28*'DB additional information '!$K$9/100+'Calc (ex-animal)'!$H$28*'DB additional information '!$L$9/100)*(1-VLOOKUP(D132,'DB technologies'!$N$66:$Y$77,9,FALSE)/100)*'Calc (ex-housing, ex-storage)'!F132/100*VLOOKUP(D132,'DB technologies'!$N$66:$Y$77,12,FALSE)/100/VLOOKUP($C$128,'DB animal categories'!$C$52:$AC$61,27,FALSE)*AJ132+I132+J132+K132,0))))))</f>
        <v/>
      </c>
      <c r="AV132" s="452" t="str">
        <f>IF(D132="","",IF(AS132=2,0,IF(AS132=1,'Calc (ex-animal)'!$G$28*(1-'DB additional information '!$K$9/100)*(1-VLOOKUP(D132,'DB technologies'!$N$66:$Y$77,8,FALSE)/100)*'Calc (ex-housing, ex-storage)'!F132/100/VLOOKUP($C$128,'DB animal categories'!$C$52:$AC$61,27,FALSE)*AJ132+M132+N132+O132,IF(AS132=5,('Calc (ex-animal)'!$G$28*(1-'DB additional information '!$K$9/100)+'Calc (ex-animal)'!$H$28*(1-'DB additional information '!$L$9/100))*(1-VLOOKUP(D132,'DB technologies'!$N$66:$Y$77,8,FALSE)/100)*'Calc (ex-housing, ex-storage)'!F132/100/VLOOKUP($C$128,'DB animal categories'!$C$52:$AC$61,27,FALSE)*AJ132+M132+N132+O132,IF(AS132=3,('Calc (ex-animal)'!$G$28*(1-'DB additional information '!$K$9/100)+'Calc (ex-animal)'!$H$28*(1-'DB additional information '!$L$9/100))*(1-VLOOKUP(D132,'DB technologies'!$N$66:$Y$77,8,FALSE)/100)*'Calc (ex-housing, ex-storage)'!F132/100/VLOOKUP($C$128,'DB animal categories'!$C$52:$AC$61,27,FALSE)*AJ132+M132+N132+O132,IF(AS132=4,('Calc (ex-animal)'!$G$28*(1-'DB additional information '!$K$9/100)+'Calc (ex-animal)'!$H$28*(1-'DB additional information '!$L$9/100))*(1-VLOOKUP(D132,'DB technologies'!$N$66:$Y$77,8,FALSE)/100)*'Calc (ex-housing, ex-storage)'!F132/100*VLOOKUP(D132,'DB technologies'!$N$66:$Y$77,12,FALSE)/100/VLOOKUP($C$128,'DB animal categories'!$C$52:$AC$61,27,FALSE)*AJ132+M132+N132+O132,0))))))</f>
        <v/>
      </c>
      <c r="AW132" s="452" t="str">
        <f>IF(AS132="","",IF(AU132=0,0,AU132/AT132*100))</f>
        <v/>
      </c>
      <c r="AX132" s="184" t="str">
        <f>IF(D132="","",IF(AS132=2,0,IF(AS132=1,'Calc (ex-animal)'!$K$28*'Calc (ex-housing, ex-storage)'!F132/100/VLOOKUP($C$128,'DB animal categories'!$C$52:$AC$61,27,FALSE)*AJ132+Q132+R132+S132,IF(AS132=5,('Calc (ex-animal)'!$K$28+'Calc (ex-animal)'!$L$28)*'Calc (ex-housing, ex-storage)'!F132/100/VLOOKUP($C$128,'DB animal categories'!$C$52:$AC$61,27,FALSE)*AJ132+Q132+R132+S132-'Calc (ex-housing, ex-storage)'!AC132,IF(AS132=3,('Calc (ex-animal)'!$K$28+'Calc (ex-animal)'!$L$28)*'Calc (ex-housing, ex-storage)'!F132/100/VLOOKUP($C$128,'DB animal categories'!$C$52:$AC$61,27,FALSE)*AJ132+Q132+R132+S132-'Calc (ex-housing, ex-storage)'!AC132-AD132-AE132,IF(AI132=4,('Calc (ex-animal)'!$K$28+'Calc (ex-animal)'!$L$28)*'Calc (ex-housing, ex-storage)'!F132/100*VLOOKUP(D132,'DB technologies'!$N$66:$Y$77,12,FALSE)/100/VLOOKUP($C$128,'DB animal categories'!$C$52:$AC$61,27,FALSE)*AJ132+Q132+R132+S132-(VLOOKUP(D132,'DB technologies'!$N$66:$Y$77,12,FALSE)/100*AC132)-AD132-AE132,0))))))</f>
        <v/>
      </c>
      <c r="AY132" s="184" t="str">
        <f>IF(D132="","",IF(AS132=2,0,IF(AS132=1,'Calc (ex-animal)'!$N$28*'Calc (ex-housing, ex-storage)'!F132/100/VLOOKUP($C$128,'DB animal categories'!$C$52:$AC$61,27,FALSE)*AJ132+U132+V132+W132,IF(AS132=5,('Calc (ex-animal)'!$N$28+'Calc (ex-animal)'!$O$28)*'Calc (ex-housing, ex-storage)'!F132/100/VLOOKUP($C$128,'DB animal categories'!$C$52:$AC$61,27,FALSE)*AJ132+U132+V132+W132,IF(AS132=3,('Calc (ex-animal)'!$N$28+'Calc (ex-animal)'!$O$28)*'Calc (ex-housing, ex-storage)'!F132/100/VLOOKUP($C$128,'DB animal categories'!$C$52:$AC$61,27,FALSE)*AJ132+U132+V132+W132,IF(AS132=4,('Calc (ex-animal)'!$N$28+'Calc (ex-animal)'!$O$28)*'Calc (ex-housing, ex-storage)'!F132/100*VLOOKUP(D132,'DB technologies'!$N$66:$Y$77,12,FALSE)/100/VLOOKUP($C$128,'DB animal categories'!$C$52:$AC$61,27,FALSE)*AJ132+U132+V132+W132,0))))))</f>
        <v/>
      </c>
      <c r="AZ132" s="184" t="str">
        <f>IF(D132="","",IF(AS132=2,0,IF(AS132=1,'Calc (ex-animal)'!$Q$28*'Calc (ex-housing, ex-storage)'!F132/100/VLOOKUP($C$128,'DB animal categories'!$C$52:$AC$61,27,FALSE)*AJ132+Y132+Z132+AA132,IF(AS132=5,('Calc (ex-animal)'!$Q$28+'Calc (ex-animal)'!$R$28)*'Calc (ex-housing, ex-storage)'!F132/100/VLOOKUP($C$128,'DB animal categories'!$C$52:$AC$61,27,FALSE)*AJ132+Y132+Z132+AA132,IF(AS132=3,('Calc (ex-animal)'!$Q$28+'Calc (ex-animal)'!$R$28)*'Calc (ex-housing, ex-storage)'!F132/100/VLOOKUP($C$128,'DB animal categories'!$C$52:$AC$61,27,FALSE)*AJ132+Y132+Z132+AA132,IF(AS132=4,('Calc (ex-animal)'!$Q$28+'Calc (ex-animal)'!$R$28)*'Calc (ex-housing, ex-storage)'!F132/100*VLOOKUP(D132,'DB technologies'!$N$66:$Y$77,12,FALSE)/100/VLOOKUP($C$128,'DB animal categories'!$C$52:$AC$61,27,FALSE)*AJ132+Y132+Z132+AA132,0))))))</f>
        <v/>
      </c>
      <c r="BA132" s="506"/>
      <c r="BB132" s="506"/>
      <c r="BC132" s="506"/>
      <c r="BG132" s="1359"/>
      <c r="BH132" s="1362"/>
      <c r="BI132" s="600" t="str">
        <f>IF(BG132="","",$BA$128*BH132/100-($BB$128*BH132/100*VLOOKUP(BG132,'DB technologies'!$AC$16:$AQ$20,5,FALSE)/100)+(VLOOKUP(BG132,'DB technologies'!$AC$16:$AQ$20,12,FALSE)*$BA$128*BH132/100))</f>
        <v/>
      </c>
      <c r="BJ132" s="551">
        <f>IF(BI132="",0,BI132*BK132/100)</f>
        <v>0</v>
      </c>
      <c r="BK132" s="509" t="str">
        <f>IF(BG132="","",($BB$128*BH132/100)/BI132*(1-(VLOOKUP(BG132,'DB technologies'!$AC$16:$AQ$20,5,FALSE))/100)*100)</f>
        <v/>
      </c>
      <c r="BL132" s="267" t="str">
        <f>IF(BG132="","",$BD$128*BH132/100-BO132-BP132-BQ132-BR132)</f>
        <v/>
      </c>
      <c r="BM132" s="267" t="str">
        <f>IF(BG132="","",$BE$128*BH132/100-BS132)</f>
        <v/>
      </c>
      <c r="BN132" s="267" t="str">
        <f>IF(BG132="","",$BF$128*BH132/100-BT132)</f>
        <v/>
      </c>
      <c r="BO132" s="267" t="str">
        <f>IF(BG132="","",$BD$128*BH132/100*VLOOKUP(BG132,'DB technologies'!$AC$16:$AF$20,2,FALSE)/100)</f>
        <v/>
      </c>
      <c r="BP132" s="267" t="str">
        <f>IF(BG132="","",$BD$128*BH132/100*VLOOKUP(BG132,'DB technologies'!$AC$16:$AN$20,3,FALSE)/100)</f>
        <v/>
      </c>
      <c r="BQ132" s="268" t="str">
        <f>IF(BG132="","",$BD$128*BH132/100*VLOOKUP(BG132,'DB technologies'!$AC$16:$AN$20,4,FALSE)/100)</f>
        <v/>
      </c>
      <c r="BR132" s="266" t="str">
        <f>IF(BG132="","",VLOOKUP(BG132,'DB technologies'!$AC$16:$AQ$20,13,FALSE)/100*$BD$128*BH132/100)</f>
        <v/>
      </c>
      <c r="BS132" s="267" t="str">
        <f>IF(BG132="","",VLOOKUP(BG132,'DB technologies'!$AC$16:$AQ$20,14,FALSE)/100*$BE$128*BH132/100)</f>
        <v/>
      </c>
      <c r="BT132" s="268" t="str">
        <f>IF(BG132="","",VLOOKUP(BG132,'DB technologies'!$AC$16:$AQ$20,15,FALSE)/100*$BF$128*BH132/100)</f>
        <v/>
      </c>
    </row>
    <row r="133" spans="1:72" ht="11.25" customHeight="1" thickBot="1" x14ac:dyDescent="0.25">
      <c r="A133" s="684"/>
      <c r="B133" s="695"/>
      <c r="C133" s="256"/>
      <c r="D133" s="269" t="s">
        <v>58</v>
      </c>
      <c r="E133" s="270">
        <f>IF(F133&lt;=100,SUM(E128:E132),"ERROR")</f>
        <v>0</v>
      </c>
      <c r="F133" s="284">
        <f>IF(SUM(F128:F132) &lt;=100,SUM(F128:F132),"ERROR, SUM&gt;100%")</f>
        <v>0</v>
      </c>
      <c r="G133" s="504">
        <f>IF('Calc (ex-animal)'!$F$9=1,"",SUM(G128:G132))</f>
        <v>0</v>
      </c>
      <c r="H133" s="433">
        <f>IF('Calc (ex-animal)'!$F$8=1,"",SUM(H128:H132))</f>
        <v>0</v>
      </c>
      <c r="I133" s="433">
        <f>IF('Calc (ex-animal)'!$F$8=1,"",SUM(I128:I132))</f>
        <v>0</v>
      </c>
      <c r="J133" s="433">
        <f>IF('Calc (ex-animal)'!$F$8=1,"",SUM(J128:J132))</f>
        <v>0</v>
      </c>
      <c r="K133" s="433">
        <f>IF('Calc (ex-animal)'!$F$8=1,"",SUM(K128:K132))</f>
        <v>0</v>
      </c>
      <c r="L133" s="433">
        <f>IF('Calc (ex-animal)'!$F$8=1,"",SUM(L128:L132))</f>
        <v>0</v>
      </c>
      <c r="M133" s="470"/>
      <c r="N133" s="470"/>
      <c r="O133" s="470"/>
      <c r="P133" s="478">
        <f>IF(G133=0,0,IF('Calc (ex-animal)'!$F$9=1,"",IF(D133="","",SUM(H133:K133)/G133*100)))</f>
        <v>0</v>
      </c>
      <c r="Q133" s="271"/>
      <c r="R133" s="271"/>
      <c r="S133" s="271"/>
      <c r="T133" s="278">
        <f>IF('Calc (ex-animal)'!$F$28=1,"",SUM(T128:T132))</f>
        <v>0</v>
      </c>
      <c r="U133" s="279"/>
      <c r="V133" s="279"/>
      <c r="W133" s="279"/>
      <c r="X133" s="279">
        <f>IF('Calc (ex-animal)'!$F$28=1,"",SUM(X128:X132))</f>
        <v>0</v>
      </c>
      <c r="Y133" s="279"/>
      <c r="Z133" s="279"/>
      <c r="AA133" s="279"/>
      <c r="AB133" s="279">
        <f>IF('Calc (ex-animal)'!$F$28=1,"",SUM(AB128:AB132))</f>
        <v>0</v>
      </c>
      <c r="AC133" s="279">
        <f>IF('Calc (ex-animal)'!$F$28=1,"",SUM(AC128:AC132))</f>
        <v>0</v>
      </c>
      <c r="AD133" s="279">
        <f>IF('Calc (ex-animal)'!$F$28=1,"",SUM(AD128:AD132))</f>
        <v>0</v>
      </c>
      <c r="AE133" s="280">
        <f>IF('Calc (ex-animal)'!$F$28=1,"",SUM(AE128:AE132))</f>
        <v>0</v>
      </c>
      <c r="AG133" s="698"/>
      <c r="AH133" s="696"/>
      <c r="BG133" s="556" t="s">
        <v>58</v>
      </c>
      <c r="BH133" s="315">
        <f>IF(SUM(BH128:BH132) &gt;100,"ERROR, SUM&gt;100%",SUM(BH128:BH132))</f>
        <v>0</v>
      </c>
      <c r="BI133" s="601">
        <f>SUM(BI128:BI132)</f>
        <v>0</v>
      </c>
      <c r="BJ133" s="593">
        <f>SUM(BJ128:BJ132)</f>
        <v>0</v>
      </c>
      <c r="BK133" s="597">
        <f>IF(BI133=0,0,BJ133/BI133*100)</f>
        <v>0</v>
      </c>
      <c r="BL133" s="307">
        <f t="shared" ref="BL133:BT133" si="20">SUM(BL128:BL132)</f>
        <v>0</v>
      </c>
      <c r="BM133" s="307">
        <f t="shared" si="20"/>
        <v>0</v>
      </c>
      <c r="BN133" s="307">
        <f t="shared" si="20"/>
        <v>0</v>
      </c>
      <c r="BO133" s="307">
        <f t="shared" si="20"/>
        <v>0</v>
      </c>
      <c r="BP133" s="307">
        <f t="shared" si="20"/>
        <v>0</v>
      </c>
      <c r="BQ133" s="308">
        <f t="shared" si="20"/>
        <v>0</v>
      </c>
      <c r="BR133" s="309">
        <f t="shared" si="20"/>
        <v>0</v>
      </c>
      <c r="BS133" s="307">
        <f t="shared" si="20"/>
        <v>0</v>
      </c>
      <c r="BT133" s="308">
        <f t="shared" si="20"/>
        <v>0</v>
      </c>
    </row>
    <row r="134" spans="1:72" ht="11.25" customHeight="1" x14ac:dyDescent="0.2">
      <c r="A134" s="684"/>
      <c r="B134" s="695"/>
      <c r="C134" s="250">
        <f>'Calc (ex-animal)'!D29</f>
        <v>0</v>
      </c>
      <c r="D134" s="1355"/>
      <c r="E134" s="1356"/>
      <c r="F134" s="479" t="str">
        <f>IF('Calc (ex-animal)'!$F$9=1,"",IF($C$134=0,"",IF(D134="","",E134/'Calc (ex-animal)'!$E$29*100)))</f>
        <v/>
      </c>
      <c r="G134" s="484" t="str">
        <f>IF($C$134=0,"",IF('Calc (ex-animal)'!$F$8=1,"",IF(D134="","",SUM(H134:O134))))</f>
        <v/>
      </c>
      <c r="H134" s="471" t="str">
        <f>IF('Calc (ex-animal)'!$F$8=1,"",IF(D134="","",(((VLOOKUP($C$134,'Calc (ex-animal)'!$D$28:$Y$32,6,FALSE)-VLOOKUP($C$134,'Calc (ex-animal)'!$D$28:$Y$32,17,FALSE))*F134/100))*VLOOKUP($C$134,'Calc (ex-animal)'!$D$28:$Y$32,7,FALSE)/100*(1-VLOOKUP(D134,'DB technologies'!$N$66:$Y$77,9,FALSE)/100)))</f>
        <v/>
      </c>
      <c r="I134" s="471" t="str">
        <f>IF(D134="","",((VLOOKUP(D134,'DB technologies'!$N$66:$Y$77,2,FALSE)*VLOOKUP($C$134,'DB animal categories'!$C$52:$AC$61,27,FALSE)*E134/1000)/VLOOKUP($C$134,'DB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'!$S$6/100*(1-VLOOKUP(D134,'DB technologies'!$N$66:$Y$77,9,FALSE)/100)))</f>
        <v/>
      </c>
      <c r="J134" s="472" t="str">
        <f>IF(D134="","",((VLOOKUP(D134,'DB technologies'!$N$66:$Y$77,3,FALSE)*VLOOKUP($C$134,'DB animal categories'!$C$52:$AC$61,27,FALSE)*E134/1000)/VLOOKUP($C$134,'DB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'!$S$7/100*(1-VLOOKUP(D134,'DB technologies'!$N$66:$Y$77,9,FALSE)/100)))</f>
        <v/>
      </c>
      <c r="K134" s="472" t="str">
        <f>IF(D134="","",((VLOOKUP(D134,'DB technologies'!$N$66:$Y$77,4,FALSE)*E134*'DB additional information '!$S$8/100*(1-VLOOKUP(D134,'DB technologies'!$N$66:$Y$77,9,FALSE)/100))/VLOOKUP($C$134,'DB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L134" s="471" t="str">
        <f>IF('Calc (ex-animal)'!$F$8=1,"",IF(D134="","",(((VLOOKUP($C$134,'Calc (ex-animal)'!$D$28:$Y$32,6,FALSE)-VLOOKUP($C$134,'Calc (ex-animal)'!$D$28:$Y$32,17,FALSE))*F134/100))*(1-VLOOKUP($C$134,'Calc (ex-animal)'!$D$28:$Y$32,7,FALSE)/100)*(1-VLOOKUP(D134,'DB technologies'!$N$66:$V$77,8,FALSE)/100)))</f>
        <v/>
      </c>
      <c r="M134" s="472" t="str">
        <f>IF(D134="","",((VLOOKUP(D134,'DB technologies'!$N$66:$Y$77,2,FALSE)*VLOOKUP($C$134,'DB animal categories'!$C$52:$AC$61,27,FALSE)*E134/1000)/VLOOKUP($C$134,'DB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'!$S$6/100)*(1-VLOOKUP(D134,'DB technologies'!$N$66:$Y$77,9,FALSE)/100))</f>
        <v/>
      </c>
      <c r="N134" s="472" t="str">
        <f>IF(D134="","",((VLOOKUP(D134,'DB technologies'!$N$66:$Y$77,3,FALSE)*VLOOKUP($C$134,'DB animal categories'!$C$52:$AC$61,27,FALSE)*E134/1000)/VLOOKUP($C$134,'DB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'!$S$7/100)*(1-VLOOKUP(D134,'DB technologies'!$N$66:$Y$77,9,FALSE)/100))</f>
        <v/>
      </c>
      <c r="O134" s="471" t="str">
        <f>IF(D134="","",((VLOOKUP(D134,'DB technologies'!$N$66:$Y$77,4,FALSE)*E134*(1-'DB additional information '!$S$8/100)*(1-VLOOKUP(D134,'DB technologies'!$N$66:$Y$77,8,FALSE)/100))/VLOOKUP($C$134,'DB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P134" s="443" t="str">
        <f>IF(G134=0,0,IF(E134="","",IF(F134="","",IF($C$134=0,"",IF(D134="","",SUM(H134:K134)/G134*100)))))</f>
        <v/>
      </c>
      <c r="Q134" s="473" t="str">
        <f>IF(D134="","",(VLOOKUP(D134,'DB technologies'!$N$66:$Y$77,2,FALSE)*'DB additional information '!$S$6/100*'DB additional information '!$T$6*VLOOKUP($C$134,'DB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R134" s="473" t="str">
        <f>IF(D134="","",(VLOOKUP(D134,'DB technologies'!$N$66:$Y$77,3,FALSE)*'DB additional information '!$S$7/100*'DB additional information '!$T$7*VLOOKUP($C$134,'DB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S134" s="490" t="str">
        <f>IF(D134="","",(VLOOKUP(D134,'DB technologies'!$N$66:$Y$77,4,FALSE)*('DB additional information '!$S$8/100*'DB additional information '!$T$8*E134/1000/1000)))</f>
        <v/>
      </c>
      <c r="T134" s="263" t="str">
        <f>IF($C$134=0,"",IF('Calc (ex-animal)'!$F$9=1,"",IF(D134="","",((VLOOKUP($C$134,'Calc (ex-animal)'!$D$28:$Y$32,10,FALSE)-VLOOKUP($C$134,'Calc (ex-animal)'!$D$28:$Y$32,18,FALSE))*F134/100+Q134+R134+S134)-AC134-AD134-AE134)))</f>
        <v/>
      </c>
      <c r="U134" s="474" t="str">
        <f>IF(D134="","",(VLOOKUP(D134,'DB technologies'!$N$66:$Y$77,2,FALSE)*'DB additional information '!$S$6/100*'DB additional information '!$U$6*VLOOKUP($C$134,'DB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V134" s="420" t="str">
        <f>IF(D134="","",(VLOOKUP(D134,'DB technologies'!$N$66:$Y$77,3,FALSE)*'DB additional information '!$S$7/100*'DB additional information '!$U$7*VLOOKUP($C$134,'DB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W134" s="415" t="str">
        <f>IF(D134="","",(VLOOKUP(D134,'DB technologies'!$N$66:$Y$77,4,FALSE)*('DB additional information '!$S$8/100*'DB additional information '!$U$8*E134/1000/1000)))</f>
        <v/>
      </c>
      <c r="X134" s="259" t="str">
        <f>IF($C$134=0,"",IF('Calc (ex-animal)'!$F$9=1,"",IF(D134="","",((VLOOKUP($C$134,'Calc (ex-animal)'!$D$28:$Y$32,13,FALSE)-VLOOKUP($C$134,'Calc (ex-animal)'!$D$28:$Y$32,19,FALSE))*F134/100+U134+V134+W134))))</f>
        <v/>
      </c>
      <c r="Y134" s="420" t="str">
        <f>IF(D134="","",(VLOOKUP(D134,'DB technologies'!$N$66:$Y$77,2,FALSE)*'DB additional information '!$S$6/100*'DB additional information '!$V$6*VLOOKUP($C$134,'DB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Z134" s="420" t="str">
        <f>IF(D134="","",(VLOOKUP(D134,'DB technologies'!$N$66:$Y$77,3,FALSE)*'DB additional information '!$S$7/100*'DB additional information '!$V$7*VLOOKUP($C$134,'DB animal categories'!$C$52:$AC$61,27,FALSE)*E134/1000/1000)/VLOOKUP($C$134,'DB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AA134" s="420" t="str">
        <f>IF(D134="","",(VLOOKUP(D134,'DB technologies'!$N$66:$Y$77,4,FALSE)*('DB additional information '!$S$8/100*'DB additional information '!$V$8*E134/1000/1000)))</f>
        <v/>
      </c>
      <c r="AB134" s="259" t="str">
        <f>IF($C$134=0,"",IF('Calc (ex-animal)'!$F$8=1,"",IF(D134="","",((VLOOKUP($C$134,'Calc (ex-animal)'!$D$28:$Y$32,16,FALSE)-VLOOKUP($C$134,'Calc (ex-animal)'!$D$28:$Y$32,20,FALSE))*F134/100+Y134+Z134+AA134))))</f>
        <v/>
      </c>
      <c r="AC134" s="259" t="str">
        <f>IF($C$134=0,"",IF('Calc (ex-animal)'!$F$8=1,"",IF(D134="","",VLOOKUP($C$134,'Calc (ex-animal)'!$D$28:$Y$32,9,FALSE)/VLOOKUP($C$134,'DB animal categories'!$C$52:$AC$61,27,FALSE)*(VLOOKUP($C$134,'DB animal categories'!$C$52:$AC$61,27,FALSE)-VLOOKUP($C$134,'DB animal categories'!$C$52:$AC$61,25,FALSE)*VLOOKUP($C$134,'DB animal categories'!$C$52:$AC$61,26,FALSE)/24)*F134/100*VLOOKUP(D134,'DB technologies'!$N$66:$R$77,5,FALSE)/100)))</f>
        <v/>
      </c>
      <c r="AD134" s="259" t="str">
        <f>IF($C$134=0,"",IF('Calc (ex-animal)'!$F$8=1,"",IF(D134="","",VLOOKUP($C$134,'Calc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categories'!$C$52:$AC$61,26,FALSE)/24)*F134/100*VLOOKUP(D134,'DB technologies'!$N$66:$Y$77,6,FALSE)/100)))</f>
        <v/>
      </c>
      <c r="AE134" s="260" t="str">
        <f>IF($C$134=0,"",IF('Calc (ex-animal)'!$F$8=1,"",IF(D134="","",VLOOKUP($C$134,'Calc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categories'!$C$52:$AC$61,26,FALSE)/24)*F134/100*VLOOKUP(D134,'DB technologies'!$N$66:$Y$77,7,FALSE)/100)))</f>
        <v/>
      </c>
      <c r="AG134" s="698"/>
      <c r="AH134" s="694" t="s">
        <v>130</v>
      </c>
      <c r="AI134" s="179" t="str">
        <f>IF(D134="","",VLOOKUP(D134,'DB technologies'!$N$66:$Y$77,10,FALSE))</f>
        <v/>
      </c>
      <c r="AJ134" s="482" t="e">
        <f>VLOOKUP($C$134,'DB animal categories'!$C$52:$AN$61,27,FALSE)-VLOOKUP($C$134,'DB animal categories'!$C$52:$AN$61,26,FALSE)*VLOOKUP($C$134,'DB animal categories'!$C$52:$AN$61,25,FALSE)/24</f>
        <v>#N/A</v>
      </c>
      <c r="AK134" s="453" t="str">
        <f>IF(AI134="","",AL134+AM134)</f>
        <v/>
      </c>
      <c r="AL134" s="453" t="str">
        <f>IF(D134="","",IF(AI134=2,(('Calc (ex-animal)'!$G$29*'DB additional information '!$K$9/100*(1-VLOOKUP(D134,'DB technologies'!$N$66:$Y$77,9,FALSE)/100)*'Calc (ex-housing, ex-storage)'!F134/100+'Calc (ex-animal)'!$H$29*'DB additional information '!$L$9/100*(1-VLOOKUP(D134,'DB technologies'!$N$66:$Y$77,9,FALSE)/100)*'Calc (ex-housing, ex-storage)'!F134/100))/VLOOKUP($C$134,'DB animal categories'!$C$52:$AC$61,27,FALSE)*AJ134+I134+J134+K134,IF(AI134=1,('Calc (ex-animal)'!$H$29*'DB additional information '!$L$9/100*(1-VLOOKUP(D134,'DB technologies'!$N$66:$Y$77,9,FALSE)/100)*'Calc (ex-housing, ex-storage)'!F134/100)/VLOOKUP($C$134,'DB animal categories'!$C$52:$AC$61,27,FALSE)*AJ134,IF(AI134=4,('Calc (ex-animal)'!$G$29*'DB additional information '!$K$9/100+'Calc (ex-animal)'!$H$29*'DB additional information '!$L$9/100)*(1-VLOOKUP(D134,'DB technologies'!$N$66:$Y$77,9,FALSE)/100)*'Calc (ex-housing, ex-storage)'!F134/100*VLOOKUP(D134,'DB technologies'!$N$66:$Y$77,11,FALSE)/100/VLOOKUP($C$134,'DB animal categories'!$C$52:$AC$61,27,FALSE)*AJ134,0))))</f>
        <v/>
      </c>
      <c r="AM134" s="453" t="str">
        <f>IF(D134="","",IF(AI134=2,(('Calc (ex-animal)'!$G$29*(1-'DB additional information '!$K$9/100)*(1-VLOOKUP(D134,'DB technologies'!$N$66:$Y$77,8,FALSE)/100)*'Calc (ex-housing, ex-storage)'!F134/100+'Calc (ex-animal)'!$H$29*(1-'DB additional information '!$L$9/100)*(1-VLOOKUP(D134,'DB technologies'!$N$66:$Y$77,8,FALSE)/100)*'Calc (ex-housing, ex-storage)'!F134/100))/VLOOKUP($C$134,'DB animal categories'!$C$52:$AC$61,27,FALSE)*AJ134+M134+N134+O134,IF(AI134=1,('Calc (ex-animal)'!$H$29*(1-'DB additional information '!$L$9/100)*(1-VLOOKUP(D134,'DB technologies'!$N$66:$Y$77,8,FALSE)/100)*'Calc (ex-housing, ex-storage)'!F134/100)/VLOOKUP($C$134,'DB animal categories'!$C$52:$AC$61,27,FALSE)*AJ134,IF(AI134=4,('Calc (ex-animal)'!$G$29*(1-'DB additional information '!$K$9/100)+'Calc (ex-animal)'!$H$29*(1-'DB additional information '!$L$9/100))*(1-VLOOKUP(D134,'DB technologies'!$N$66:$Y$77,8,FALSE)/100)*'Calc (ex-housing, ex-storage)'!F134/100*VLOOKUP(D134,'DB technologies'!$N$66:$Y$77,11,FALSE)/100/VLOOKUP($C$134,'DB animal categories'!$C$52:$AC$61,27,FALSE)*AJ134,0))))</f>
        <v/>
      </c>
      <c r="AN134" s="453" t="str">
        <f>IF(AI134="","",IF(AL134=0,0,AL134/AK134*100))</f>
        <v/>
      </c>
      <c r="AO134" s="180" t="str">
        <f>IF(D134="","",IF(AI134=2,(('Calc (ex-animal)'!$L$29*'Calc (ex-housing, ex-storage)'!F134/100+'Calc (ex-animal)'!$K$29*'Calc (ex-housing, ex-storage)'!F134/100))/VLOOKUP($C$134,'DB animal categories'!$C$52:$AC$61,27,FALSE)*AJ134+Q134+R134+S134-AC134,IF(AI134=1,('Calc (ex-animal)'!$L$29*'Calc (ex-housing, ex-storage)'!F134/100)/VLOOKUP($C$134,'DB animal categories'!$C$52:$AC$61,27,FALSE)*AJ134-'Calc (ex-housing, ex-storage)'!AC134,IF(AI134=4,('Calc (ex-animal)'!$L$29+'Calc (ex-animal)'!$K$29)*'Calc (ex-housing, ex-storage)'!F134/100*VLOOKUP(D134,'DB technologies'!$N$66:$Y$77,11,FALSE)/100/VLOOKUP($C$134,'DB animal categories'!$C$52:$AC$61,27,FALSE)*AJ134-AC134*VLOOKUP(D134,'DB technologies'!$N$66:$Y$77,11,FALSE)/100,0))))</f>
        <v/>
      </c>
      <c r="AP134" s="180" t="str">
        <f>IF(D134="","",IF(AO134&lt;-0.01,0,IF(AI134=2,(('Calc (ex-animal)'!$L$29*'Calc (ex-housing, ex-storage)'!F134/100+'Calc (ex-animal)'!$K$29*'Calc (ex-housing, ex-storage)'!F134/100))/VLOOKUP($C$134,'DB animal categories'!$C$52:$AC$61,27,FALSE)*AJ134+Q134+R134+S134-AC134,IF(AI134=1,('Calc (ex-animal)'!$L$29*'Calc (ex-housing, ex-storage)'!F134/100)/VLOOKUP($C$134,'DB animal categories'!$C$52:$AC$61,27,FALSE)*AJ134-'Calc (ex-housing, ex-storage)'!AC134,IF(AI134=4,('Calc (ex-animal)'!$L$29+'Calc (ex-animal)'!$K$29)*'Calc (ex-housing, ex-storage)'!F134/100*VLOOKUP(D134,'DB technologies'!$N$66:$Y$77,11,FALSE)/100/VLOOKUP($C$134,'DB animal categories'!$C$52:$AC$61,27,FALSE)*AJ134-AC134*VLOOKUP(D134,'DB technologies'!$N$66:$Y$77,11,FALSE)/100,0)))))</f>
        <v/>
      </c>
      <c r="AQ134" s="180" t="str">
        <f>IF(D134="","",IF(AI134=2,('Calc (ex-animal)'!$O$29*'Calc (ex-housing, ex-storage)'!F134/100+'Calc (ex-animal)'!$N$29*'Calc (ex-housing, ex-storage)'!F134/100)/VLOOKUP($C$134,'DB animal categories'!$C$52:$AC$61,27,FALSE)*AJ134+U134+V134+W134,IF(AI134=1,'Calc (ex-animal)'!$O$29*'Calc (ex-housing, ex-storage)'!F134/100/VLOOKUP($C$134,'DB animal categories'!$C$52:$AC$61,27,FALSE)*AJ134,IF(AI134=4,('Calc (ex-animal)'!$O$29+'Calc (ex-animal)'!$N$29)*'Calc (ex-housing, ex-storage)'!F134/100*VLOOKUP(D134,'DB technologies'!$N$66:$Y$77,11,FALSE)/100/VLOOKUP($C$134,'DB animal categories'!$C$52:$AC$61,27,FALSE)*AJ134,0))))</f>
        <v/>
      </c>
      <c r="AR134" s="180" t="str">
        <f>IF(D134="","",IF(AI134=2,('Calc (ex-animal)'!$R$29*'Calc (ex-housing, ex-storage)'!F134/100+'Calc (ex-animal)'!$Q$29*'Calc (ex-housing, ex-storage)'!F134/100)/VLOOKUP($C$134,'DB animal categories'!$C$52:$AC$61,27,FALSE)*AJ134+Y134+Z134+AA134,IF(AI134=1,'Calc (ex-animal)'!$R$29*'Calc (ex-housing, ex-storage)'!F134/100/VLOOKUP($C$134,'DB animal categories'!$C$52:$AC$61,27,FALSE)*AJ134,IF(AI134=4,('Calc (ex-animal)'!$R$29+'Calc (ex-animal)'!$Q$29)*'Calc (ex-housing, ex-storage)'!F134/100*VLOOKUP(D134,'DB technologies'!$N$66:$Y$77,11,FALSE)/100/VLOOKUP($C$134,'DB animal categories'!$C$52:$AC$61,27,FALSE)*AJ134,0))))</f>
        <v/>
      </c>
      <c r="AS134" s="179" t="str">
        <f>IF(D134="","",VLOOKUP(D134,'DB technologies'!$N$66:$Y$77,10,FALSE))</f>
        <v/>
      </c>
      <c r="AT134" s="453" t="str">
        <f>IF(AS134="","",AU134+AV134)</f>
        <v/>
      </c>
      <c r="AU134" s="453" t="str">
        <f>IF(D134="","",IF(AS134=2,0,IF(AS134=1,'Calc (ex-animal)'!$G$29*'DB additional information '!$K$9/100*(1-VLOOKUP(D134,'DB technologies'!$N$66:$Y$77,8,FALSE)/100)*'Calc (ex-housing, ex-storage)'!F134/100/VLOOKUP($C$134,'DB animal categories'!$C$52:$AC$61,27,FALSE)*AJ134+I134+J134+K134,IF(AS134=5,(('Calc (ex-animal)'!$G$29*'DB additional information '!$K$9/100+'Calc (ex-animal)'!$H$29*'DB additional information '!$L$9/100))*(1-VLOOKUP(D134,'DB technologies'!$N$66:$Y$77,9,FALSE)/100)*'Calc (ex-housing, ex-storage)'!F134/100/VLOOKUP($C$134,'DB animal categories'!$C$52:$AC$61,27,FALSE)*AJ134+I134+J134+K134,IF(AS134=3,('Calc (ex-animal)'!$G$29*'DB additional information '!$K$9/100+'Calc (ex-animal)'!$H$29*'DB additional information '!$L$9/100)*(1-VLOOKUP(D134,'DB technologies'!$N$66:$Y$77,9,FALSE)/100)*'Calc (ex-housing, ex-storage)'!F134/100/VLOOKUP($C$134,'DB animal categories'!$C$52:$AC$61,27,FALSE)*AJ134+I134+J134+K134,IF(AS134=4,('Calc (ex-animal)'!$G$29*'DB additional information '!$K$9/100+'Calc (ex-animal)'!$H$29*'DB additional information '!$L$9/100)*(1-VLOOKUP(D134,'DB technologies'!$N$66:$Y$77,9,FALSE)/100)*'Calc (ex-housing, ex-storage)'!F134/100*VLOOKUP(D134,'DB technologies'!$N$66:$Y$77,12,FALSE)/100/VLOOKUP($C$134,'DB animal categories'!$C$52:$AC$61,27,FALSE)*AJ134+I134+J134+K134,0))))))</f>
        <v/>
      </c>
      <c r="AV134" s="453" t="str">
        <f>IF(D134="","",IF(AS134=2,0,IF(AS134=1,'Calc (ex-animal)'!$G$29*(1-'DB additional information '!$K$9/100)*(1-VLOOKUP(D134,'DB technologies'!$N$66:$Y$77,8,FALSE)/100)*'Calc (ex-housing, ex-storage)'!F134/100/VLOOKUP($C$134,'DB animal categories'!$C$52:$AC$61,27,FALSE)*AJ134+M134+N134+O134,IF(AS134=5,('Calc (ex-animal)'!$G$29*(1-'DB additional information '!$K$9/100)+'Calc (ex-animal)'!$H$29*(1-'DB additional information '!$L$9/100))*(1-VLOOKUP(D134,'DB technologies'!$N$66:$Y$77,8,FALSE)/100)*'Calc (ex-housing, ex-storage)'!F134/100/VLOOKUP($C$134,'DB animal categories'!$C$52:$AC$61,27,FALSE)*AJ134+M134+N134+O134,IF(AS134=3,('Calc (ex-animal)'!$G$29*(1-'DB additional information '!$K$9/100)+'Calc (ex-animal)'!$H$29*(1-'DB additional information '!$L$9/100))*(1-VLOOKUP(D134,'DB technologies'!$N$66:$Y$77,8,FALSE)/100)*'Calc (ex-housing, ex-storage)'!F134/100/VLOOKUP($C$134,'DB animal categories'!$C$52:$AC$61,27,FALSE)*AJ134+M134+N134+O134,IF(AS134=4,('Calc (ex-animal)'!$G$29*(1-'DB additional information '!$K$9/100)+'Calc (ex-animal)'!$H$29*(1-'DB additional information '!$L$9/100))*(1-VLOOKUP(D134,'DB technologies'!$N$66:$Y$77,8,FALSE)/100)*'Calc (ex-housing, ex-storage)'!F134/100*VLOOKUP(D134,'DB technologies'!$N$66:$Y$77,12,FALSE)/100/VLOOKUP($C$134,'DB animal categories'!$C$52:$AC$61,27,FALSE)*AJ134+M134+N134+O134,0))))))</f>
        <v/>
      </c>
      <c r="AW134" s="453" t="str">
        <f>IF(AS134="","",IF(AU134=0,0,AU134/AT134*100))</f>
        <v/>
      </c>
      <c r="AX134" s="180" t="str">
        <f>IF(D134="","",IF(AS134=2,0,IF(AS134=1,'Calc (ex-animal)'!$K$29*'Calc (ex-housing, ex-storage)'!F134/100/VLOOKUP($C$134,'DB animal categories'!$C$52:$AC$61,27,FALSE)*AJ134+Q134+R134+S134,IF(AS134=5,('Calc (ex-animal)'!$K$29+'Calc (ex-animal)'!$L$29)*'Calc (ex-housing, ex-storage)'!F134/100/VLOOKUP($C$134,'DB animal categories'!$C$52:$AC$61,27,FALSE)*AJ134+Q134+R134+S134-'Calc (ex-housing, ex-storage)'!AC134,IF(AS134=3,('Calc (ex-animal)'!$K$29+'Calc (ex-animal)'!$L$29)*'Calc (ex-housing, ex-storage)'!F134/100/VLOOKUP($C$134,'DB animal categories'!$C$52:$AC$61,27,FALSE)*AJ134+Q134+R134+S134-'Calc (ex-housing, ex-storage)'!AC134-AD134-AE134,IF(AI134=4,('Calc (ex-animal)'!$K$29+'Calc (ex-animal)'!$L$29)*'Calc (ex-housing, ex-storage)'!F134/100*VLOOKUP(D134,'DB technologies'!$N$66:$Y$77,12,FALSE)/100/VLOOKUP($C$134,'DB animal categories'!$C$52:$AC$61,27,FALSE)*AJ134+Q134+R134+S134-(VLOOKUP(D134,'DB technologies'!$N$66:$Y$77,12,FALSE)/100*AC134)-AD134-AE134,0))))))</f>
        <v/>
      </c>
      <c r="AY134" s="180" t="str">
        <f>IF(D134="","",IF(AS134=2,0,IF(AS134=1,'Calc (ex-animal)'!$N$29*'Calc (ex-housing, ex-storage)'!F134/100/VLOOKUP($C$134,'DB animal categories'!$C$52:$AC$61,27,FALSE)*AJ134+U134+V134+W134,IF(AS134=5,('Calc (ex-animal)'!$N$29+'Calc (ex-animal)'!$O$29)*'Calc (ex-housing, ex-storage)'!F134/100/VLOOKUP($C$134,'DB animal categories'!$C$52:$AC$61,27,FALSE)*AJ134+U134+V134+W134,IF(AS134=3,('Calc (ex-animal)'!$N$29+'Calc (ex-animal)'!$O$29)*'Calc (ex-housing, ex-storage)'!F134/100/VLOOKUP($C$134,'DB animal categories'!$C$52:$AC$61,27,FALSE)*AJ134+U134+V134+W134,IF(AS134=4,('Calc (ex-animal)'!$N$29+'Calc (ex-animal)'!$O$29)*'Calc (ex-housing, ex-storage)'!F134/100*VLOOKUP(D134,'DB technologies'!$N$66:$Y$77,12,FALSE)/100/VLOOKUP($C$134,'DB animal categories'!$C$52:$AC$61,27,FALSE)*AJ134+U134+V134+W134,0))))))</f>
        <v/>
      </c>
      <c r="AZ134" s="180" t="str">
        <f>IF(D134="","",IF(AS134=2,0,IF(AS134=1,'Calc (ex-animal)'!$Q$29*'Calc (ex-housing, ex-storage)'!F134/100/VLOOKUP($C$134,'DB animal categories'!$C$52:$AC$61,27,FALSE)*AJ134+Y134+Z134+AA134,IF(AS134=5,('Calc (ex-animal)'!$Q$29+'Calc (ex-animal)'!$R$29)*'Calc (ex-housing, ex-storage)'!F134/100/VLOOKUP($C$134,'DB animal categories'!$C$52:$AC$61,27,FALSE)*AJ134+Y134+Z134+AA134,IF(AS134=3,('Calc (ex-animal)'!$Q$29+'Calc (ex-animal)'!$R$29)*'Calc (ex-housing, ex-storage)'!F134/100/VLOOKUP($C$134,'DB animal categories'!$C$52:$AC$61,27,FALSE)*AJ134+Y134+Z134+AA134,IF(AS134=4,('Calc (ex-animal)'!$Q$29+'Calc (ex-animal)'!$R$29)*'Calc (ex-housing, ex-storage)'!F134/100*VLOOKUP(D134,'DB technologies'!$N$66:$Y$77,12,FALSE)/100/VLOOKUP($C$134,'DB animal categories'!$C$52:$AC$61,27,FALSE)*AJ134+Y134+Z134+AA134,0))))))</f>
        <v/>
      </c>
      <c r="BA134" s="98">
        <f>(SUMIF(AS607:AS635,3,AT607:AT635)+SUMIF(AS607:AS635,4,AT607:AT635))*(1-('DB technologies'!AR21/100))</f>
        <v>0</v>
      </c>
      <c r="BB134" s="98">
        <f>(SUMIF(AS607:AS635,3,AU607:AU635)+SUMIF(AS607:AS635,4,AU607:AU635))*(1-('DB technologies'!AR21/100))</f>
        <v>0</v>
      </c>
      <c r="BC134" s="506" t="e">
        <f>BB134/BA134*100</f>
        <v>#DIV/0!</v>
      </c>
      <c r="BD134" s="98">
        <f>(SUMIF(AS607:AS635,3,AX607:AX635)+SUMIF(AS607:AS635,4,AX607:AX635))*(1-('DB technologies'!AR21/100))</f>
        <v>0</v>
      </c>
      <c r="BE134" s="98">
        <f>(SUMIF(AS607:AS635,3,AY607:AY635)+SUMIF(AS607:AS635,4,AY607:AY635))*(1-('DB technologies'!AR21/100))</f>
        <v>0</v>
      </c>
      <c r="BF134" s="98">
        <f>(SUMIF(AS607:AS635,3,AZ607:AZ635)+SUMIF(AS607:AS635,4,AZ607:AZ635))*(1-('DB technologies'!AR21/100))</f>
        <v>0</v>
      </c>
      <c r="BG134" s="1355"/>
      <c r="BH134" s="1363"/>
      <c r="BI134" s="599" t="str">
        <f>IF(BG134="","",$BA$134*BH134/100-($BB$134*BH134/100*VLOOKUP(BG134,'DB technologies'!$AC$21:$AT$25,5,FALSE)/100)+(VLOOKUP(BG134,'DB technologies'!$AC$21:$AT$25,12,FALSE)*$BA$134*BH134/100))</f>
        <v/>
      </c>
      <c r="BJ134" s="551">
        <f>IF(BI134="",0,BI134*BK134/100)</f>
        <v>0</v>
      </c>
      <c r="BK134" s="570" t="str">
        <f>IF(BG134="","",IF($BA$134=0,0,($BB$134*BH134/100)/BI134*(1-(VLOOKUP(BG134,'DB technologies'!$AC$21:$AQ$25,5,FALSE))/100)*100))</f>
        <v/>
      </c>
      <c r="BL134" s="259" t="str">
        <f>IF(BG134="","",$BD$134*BH134/100-BO134-BP134-BQ134-BR134)</f>
        <v/>
      </c>
      <c r="BM134" s="259" t="str">
        <f>IF(BG134="","",$BE$134*BH134/100-BS134)</f>
        <v/>
      </c>
      <c r="BN134" s="259" t="str">
        <f>IF(BG134="","",$BF$134*BH134/100-BT134)</f>
        <v/>
      </c>
      <c r="BO134" s="259" t="str">
        <f>IF(BG134="","",$BD$134*BH134/100*VLOOKUP(BG134,'DB technologies'!$AC$16:$AF$20,2,FALSE)/100)</f>
        <v/>
      </c>
      <c r="BP134" s="259" t="str">
        <f>IF(BG134="","",$BD$134*BH134/100*VLOOKUP(BG134,'DB technologies'!$AC$16:$AN$20,3,FALSE)/100)</f>
        <v/>
      </c>
      <c r="BQ134" s="260" t="str">
        <f>IF(BG134="","",$BD$134*BH134/100*VLOOKUP(BG134,'DB technologies'!$AC$16:$AN$20,4,FALSE)/100)</f>
        <v/>
      </c>
      <c r="BR134" s="263" t="str">
        <f>IF(BG134="","",VLOOKUP(BG134,'DB technologies'!$AC$16:$AQ$20,13,FALSE)/100*$BD$134*BH134/100)</f>
        <v/>
      </c>
      <c r="BS134" s="259" t="str">
        <f>IF(BG134="","",VLOOKUP(BG134,'DB technologies'!$AC$16:$AQ$20,14,FALSE)/100*$BE$134*BH134/100)</f>
        <v/>
      </c>
      <c r="BT134" s="260" t="str">
        <f>IF(BG134="","",VLOOKUP(BG134,'DB technologies'!$AC$16:$AQ$20,15,FALSE)/100*$BF$134*BH134/100)</f>
        <v/>
      </c>
    </row>
    <row r="135" spans="1:72" ht="11.25" customHeight="1" x14ac:dyDescent="0.2">
      <c r="A135" s="684"/>
      <c r="B135" s="695"/>
      <c r="C135" s="251"/>
      <c r="D135" s="1357"/>
      <c r="E135" s="1358"/>
      <c r="F135" s="480" t="str">
        <f>IF('Calc (ex-animal)'!$F$9=1,"",IF($C$134=0,"",IF(D135="","",E135/'Calc (ex-animal)'!$E$29*100)))</f>
        <v/>
      </c>
      <c r="G135" s="485" t="str">
        <f>IF($C$134=0,"",IF('Calc (ex-animal)'!$F$8=1,"",IF(D135="","",SUM(H135:O135))))</f>
        <v/>
      </c>
      <c r="H135" s="423" t="str">
        <f>IF('Calc (ex-animal)'!$F$8=1,"",IF(D135="","",(((VLOOKUP($C$134,'Calc (ex-animal)'!$D$28:$Y$32,6,FALSE)-VLOOKUP($C$134,'Calc (ex-animal)'!$D$28:$Y$32,17,FALSE))*F135/100))*VLOOKUP($C$134,'Calc (ex-animal)'!$D$28:$Y$32,7,FALSE)/100*(1-VLOOKUP(D135,'DB technologies'!$N$66:$Y$77,9,FALSE)/100)))</f>
        <v/>
      </c>
      <c r="I135" s="423" t="str">
        <f>IF(D135="","",((VLOOKUP(D135,'DB technologies'!$N$66:$Y$77,2,FALSE)*VLOOKUP($C$134,'DB animal categories'!$C$52:$AC$61,27,FALSE)*E135/1000)/VLOOKUP($C$134,'DB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'!$S$6/100*(1-VLOOKUP(D135,'DB technologies'!$N$66:$Y$77,9,FALSE)/100)))</f>
        <v/>
      </c>
      <c r="J135" s="434" t="str">
        <f>IF(D135="","",((VLOOKUP(D135,'DB technologies'!$N$66:$Y$77,3,FALSE)*VLOOKUP($C$134,'DB animal categories'!$C$52:$AC$61,27,FALSE)*E135/1000)/VLOOKUP($C$134,'DB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'!$S$7/100*(1-VLOOKUP(D135,'DB technologies'!$N$66:$Y$77,9,FALSE)/100)))</f>
        <v/>
      </c>
      <c r="K135" s="434" t="str">
        <f>IF(D135="","",((VLOOKUP(D135,'DB technologies'!$N$66:$Y$77,4,FALSE)*E135*'DB additional information '!$S$8/100*(1-VLOOKUP(D135,'DB technologies'!$N$66:$Y$77,9,FALSE)/100))/VLOOKUP($C$134,'DB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L135" s="423" t="str">
        <f>IF('Calc (ex-animal)'!$F$8=1,"",IF(D135="","",(((VLOOKUP($C$134,'Calc (ex-animal)'!$D$28:$Y$32,6,FALSE)-VLOOKUP($C$134,'Calc (ex-animal)'!$D$28:$Y$32,17,FALSE))*F135/100))*(1-VLOOKUP($C$134,'Calc (ex-animal)'!$D$28:$Y$32,7,FALSE)/100)*(1-VLOOKUP(D135,'DB technologies'!$N$66:$V$77,8,FALSE)/100)))</f>
        <v/>
      </c>
      <c r="M135" s="434" t="str">
        <f>IF(D135="","",((VLOOKUP(D135,'DB technologies'!$N$66:$Y$77,2,FALSE)*VLOOKUP($C$134,'DB animal categories'!$C$52:$AC$61,27,FALSE)*E135/1000)/VLOOKUP($C$134,'DB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'!$S$6/100)*(1-VLOOKUP(D135,'DB technologies'!$N$66:$Y$77,9,FALSE)/100))</f>
        <v/>
      </c>
      <c r="N135" s="434" t="str">
        <f>IF(D135="","",((VLOOKUP(D135,'DB technologies'!$N$66:$Y$77,3,FALSE)*VLOOKUP($C$134,'DB animal categories'!$C$52:$AC$61,27,FALSE)*E135/1000)/VLOOKUP($C$134,'DB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'!$S$7/100)*(1-VLOOKUP(D135,'DB technologies'!$N$66:$Y$77,9,FALSE)/100))</f>
        <v/>
      </c>
      <c r="O135" s="423" t="str">
        <f>IF(D135="","",((VLOOKUP(D135,'DB technologies'!$N$66:$Y$77,4,FALSE)*E135*(1-'DB additional information '!$S$8/100)*(1-VLOOKUP(D135,'DB technologies'!$N$66:$Y$77,8,FALSE)/100))/VLOOKUP($C$134,'DB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P135" s="438" t="str">
        <f>IF(G135=0,0,IF(E135="","",IF(F135="","",IF($C$134=0,"",IF(D135="","",SUM(H135:K135)/G135*100)))))</f>
        <v/>
      </c>
      <c r="Q135" s="416" t="str">
        <f>IF(D135="","",(VLOOKUP(D135,'DB technologies'!$N$66:$Y$77,2,FALSE)*'DB additional information '!$S$6/100*'DB additional information '!$T$6*VLOOKUP($C$134,'DB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R135" s="416" t="str">
        <f>IF(D135="","",(VLOOKUP(D135,'DB technologies'!$N$66:$Y$77,3,FALSE)*'DB additional information '!$S$7/100*'DB additional information '!$T$7*VLOOKUP($C$134,'DB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S135" s="491" t="str">
        <f>IF(D135="","",(VLOOKUP(D135,'DB technologies'!$N$66:$Y$77,4,FALSE)*('DB additional information '!$S$8/100*'DB additional information '!$T$8*E135/1000/1000)))</f>
        <v/>
      </c>
      <c r="T135" s="264" t="str">
        <f>IF($C$134=0,"",IF('Calc (ex-animal)'!$F$9=1,"",IF(D135="","",((VLOOKUP($C$134,'Calc (ex-animal)'!$D$28:$Y$32,10,FALSE)-VLOOKUP($C$134,'Calc (ex-animal)'!$D$28:$Y$32,18,FALSE))*F135/100+Q135+R135+S135)-AC135-AD135-AE135)))</f>
        <v/>
      </c>
      <c r="U135" s="422" t="str">
        <f>IF(D135="","",(VLOOKUP(D135,'DB technologies'!$N$66:$Y$77,2,FALSE)*'DB additional information '!$S$6/100*'DB additional information '!$U$6*VLOOKUP($C$134,'DB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V135" s="418" t="str">
        <f>IF(D135="","",(VLOOKUP(D135,'DB technologies'!$N$66:$Y$77,3,FALSE)*'DB additional information '!$S$7/100*'DB additional information '!$U$7*VLOOKUP($C$134,'DB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W135" s="417" t="str">
        <f>IF(D135="","",(VLOOKUP(D135,'DB technologies'!$N$66:$Y$77,4,FALSE)*('DB additional information '!$S$8/100*'DB additional information '!$U$8*E135/1000/1000)))</f>
        <v/>
      </c>
      <c r="X135" s="261" t="str">
        <f>IF($C$134=0,"",IF('Calc (ex-animal)'!$F$9=1,"",IF(D135="","",((VLOOKUP($C$134,'Calc (ex-animal)'!$D$28:$Y$32,13,FALSE)-VLOOKUP($C$134,'Calc (ex-animal)'!$D$28:$Y$32,19,FALSE))*F135/100+U135+V135+W135))))</f>
        <v/>
      </c>
      <c r="Y135" s="418" t="str">
        <f>IF(D135="","",(VLOOKUP(D135,'DB technologies'!$N$66:$Y$77,2,FALSE)*'DB additional information '!$S$6/100*'DB additional information '!$V$6*VLOOKUP($C$134,'DB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Z135" s="418" t="str">
        <f>IF(D135="","",(VLOOKUP(D135,'DB technologies'!$N$66:$Y$77,3,FALSE)*'DB additional information '!$S$7/100*'DB additional information '!$V$7*VLOOKUP($C$134,'DB animal categories'!$C$52:$AC$61,27,FALSE)*E135/1000/1000)/VLOOKUP($C$134,'DB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AA135" s="418" t="str">
        <f>IF(D135="","",(VLOOKUP(D135,'DB technologies'!$N$66:$Y$77,4,FALSE)*('DB additional information '!$S$8/100*'DB additional information '!$V$8*E135/1000/1000)))</f>
        <v/>
      </c>
      <c r="AB135" s="261" t="str">
        <f>IF($C$134=0,"",IF('Calc (ex-animal)'!$F$8=1,"",IF(D135="","",((VLOOKUP($C$134,'Calc (ex-animal)'!$D$28:$Y$32,16,FALSE)-VLOOKUP($C$134,'Calc (ex-animal)'!$D$28:$Y$32,20,FALSE))*F135/100+Y135+Z135+AA135))))</f>
        <v/>
      </c>
      <c r="AC135" s="261" t="str">
        <f>IF($C$134=0,"",IF('Calc (ex-animal)'!$F$8=1,"",IF(D135="","",VLOOKUP($C$134,'Calc (ex-animal)'!$D$28:$Y$32,9,FALSE)/VLOOKUP($C$134,'DB animal categories'!$C$52:$AC$61,27,FALSE)*(VLOOKUP($C$134,'DB animal categories'!$C$52:$AC$61,27,FALSE)-VLOOKUP($C$134,'DB animal categories'!$C$52:$AC$61,25,FALSE)*VLOOKUP($C$134,'DB animal categories'!$C$52:$AC$61,26,FALSE)/24)*F135/100*VLOOKUP(D135,'DB technologies'!$N$66:$R$77,5,FALSE)/100)))</f>
        <v/>
      </c>
      <c r="AD135" s="261" t="str">
        <f>IF($C$134=0,"",IF('Calc (ex-animal)'!$F$8=1,"",IF(D135="","",VLOOKUP($C$134,'Calc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categories'!$C$52:$AC$61,26,FALSE)/24)*F135/100*VLOOKUP(D135,'DB technologies'!$N$66:$Y$77,6,FALSE)/100)))</f>
        <v/>
      </c>
      <c r="AE135" s="262" t="str">
        <f>IF($C$134=0,"",IF('Calc (ex-animal)'!$F$8=1,"",IF(D135="","",VLOOKUP($C$134,'Calc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categories'!$C$52:$AC$61,26,FALSE)/24)*F135/100*VLOOKUP(D135,'DB technologies'!$N$66:$Y$77,7,FALSE)/100)))</f>
        <v/>
      </c>
      <c r="AG135" s="698"/>
      <c r="AH135" s="695"/>
      <c r="AI135" s="181" t="str">
        <f>IF(D135="","",VLOOKUP(D135,'DB technologies'!$N$66:$Y$77,10,FALSE))</f>
        <v/>
      </c>
      <c r="AJ135" s="449" t="e">
        <f>VLOOKUP($C$134,'DB animal categories'!$C$52:$AN$61,27,FALSE)-VLOOKUP($C$134,'DB animal categories'!$C$52:$AN$61,26,FALSE)*VLOOKUP($C$134,'DB animal categories'!$C$52:$AN$61,25,FALSE)/24</f>
        <v>#N/A</v>
      </c>
      <c r="AK135" s="442" t="str">
        <f>IF(AI135="","",AL135+AM135)</f>
        <v/>
      </c>
      <c r="AL135" s="442" t="str">
        <f>IF(D135="","",IF(AI135=2,(('Calc (ex-animal)'!$G$29*'DB additional information '!$K$9/100*(1-VLOOKUP(D135,'DB technologies'!$N$66:$Y$77,9,FALSE)/100)*'Calc (ex-housing, ex-storage)'!F135/100+'Calc (ex-animal)'!$H$29*'DB additional information '!$L$9/100*(1-VLOOKUP(D135,'DB technologies'!$N$66:$Y$77,9,FALSE)/100)*'Calc (ex-housing, ex-storage)'!F135/100))/VLOOKUP($C$134,'DB animal categories'!$C$52:$AC$61,27,FALSE)*AJ135+I135+J135+K135,IF(AI135=1,('Calc (ex-animal)'!$H$29*'DB additional information '!$L$9/100*(1-VLOOKUP(D135,'DB technologies'!$N$66:$Y$77,9,FALSE)/100)*'Calc (ex-housing, ex-storage)'!F135/100)/VLOOKUP($C$134,'DB animal categories'!$C$52:$AC$61,27,FALSE)*AJ135,IF(AI135=4,('Calc (ex-animal)'!$G$29*'DB additional information '!$K$9/100+'Calc (ex-animal)'!$H$29*'DB additional information '!$L$9/100)*(1-VLOOKUP(D135,'DB technologies'!$N$66:$Y$77,9,FALSE)/100)*'Calc (ex-housing, ex-storage)'!F135/100*VLOOKUP(D135,'DB technologies'!$N$66:$Y$77,11,FALSE)/100/VLOOKUP($C$134,'DB animal categories'!$C$52:$AC$61,27,FALSE)*AJ135,0))))</f>
        <v/>
      </c>
      <c r="AM135" s="442" t="str">
        <f>IF(D135="","",IF(AI135=2,(('Calc (ex-animal)'!$G$29*(1-'DB additional information '!$K$9/100)*(1-VLOOKUP(D135,'DB technologies'!$N$66:$Y$77,8,FALSE)/100)*'Calc (ex-housing, ex-storage)'!F135/100+'Calc (ex-animal)'!$H$29*(1-'DB additional information '!$L$9/100)*(1-VLOOKUP(D135,'DB technologies'!$N$66:$Y$77,8,FALSE)/100)*'Calc (ex-housing, ex-storage)'!F135/100))/VLOOKUP($C$134,'DB animal categories'!$C$52:$AC$61,27,FALSE)*AJ135+M135+N135+O135,IF(AI135=1,('Calc (ex-animal)'!$H$29*(1-'DB additional information '!$L$9/100)*(1-VLOOKUP(D135,'DB technologies'!$N$66:$Y$77,8,FALSE)/100)*'Calc (ex-housing, ex-storage)'!F135/100)/VLOOKUP($C$134,'DB animal categories'!$C$52:$AC$61,27,FALSE)*AJ135,IF(AI135=4,('Calc (ex-animal)'!$G$29*(1-'DB additional information '!$K$9/100)+'Calc (ex-animal)'!$H$29*(1-'DB additional information '!$L$9/100))*(1-VLOOKUP(D135,'DB technologies'!$N$66:$Y$77,8,FALSE)/100)*'Calc (ex-housing, ex-storage)'!F135/100*VLOOKUP(D135,'DB technologies'!$N$66:$Y$77,11,FALSE)/100/VLOOKUP($C$134,'DB animal categories'!$C$52:$AC$61,27,FALSE)*AJ135,0))))</f>
        <v/>
      </c>
      <c r="AN135" s="442" t="str">
        <f>IF(AI135="","",IF(AL135=0,0,AL135/AK135*100))</f>
        <v/>
      </c>
      <c r="AO135" s="182" t="str">
        <f>IF(D135="","",IF(AI135=2,(('Calc (ex-animal)'!$L$29*'Calc (ex-housing, ex-storage)'!F135/100+'Calc (ex-animal)'!$K$29*'Calc (ex-housing, ex-storage)'!F135/100))/VLOOKUP($C$134,'DB animal categories'!$C$52:$AC$61,27,FALSE)*AJ135+Q135+R135+S135-AC135,IF(AI135=1,('Calc (ex-animal)'!$L$29*'Calc (ex-housing, ex-storage)'!F135/100)/VLOOKUP($C$134,'DB animal categories'!$C$52:$AC$61,27,FALSE)*AJ135-'Calc (ex-housing, ex-storage)'!AC135,IF(AI135=4,('Calc (ex-animal)'!$L$29+'Calc (ex-animal)'!$K$29)*'Calc (ex-housing, ex-storage)'!F135/100*VLOOKUP(D135,'DB technologies'!$N$66:$Y$77,11,FALSE)/100/VLOOKUP($C$134,'DB animal categories'!$C$52:$AC$61,27,FALSE)*AJ135-AC135*VLOOKUP(D135,'DB technologies'!$N$66:$Y$77,11,FALSE)/100,0))))</f>
        <v/>
      </c>
      <c r="AP135" s="182" t="str">
        <f>IF(D135="","",IF(AO135&lt;-0.01,0,IF(AI135=2,(('Calc (ex-animal)'!$L$29*'Calc (ex-housing, ex-storage)'!F135/100+'Calc (ex-animal)'!$K$29*'Calc (ex-housing, ex-storage)'!F135/100))/VLOOKUP($C$134,'DB animal categories'!$C$52:$AC$61,27,FALSE)*AJ135+Q135+R135+S135-AC135,IF(AI135=1,('Calc (ex-animal)'!$L$29*'Calc (ex-housing, ex-storage)'!F135/100)/VLOOKUP($C$134,'DB animal categories'!$C$52:$AC$61,27,FALSE)*AJ135-'Calc (ex-housing, ex-storage)'!AC135,IF(AI135=4,('Calc (ex-animal)'!$L$29+'Calc (ex-animal)'!$K$29)*'Calc (ex-housing, ex-storage)'!F135/100*VLOOKUP(D135,'DB technologies'!$N$66:$Y$77,11,FALSE)/100/VLOOKUP($C$134,'DB animal categories'!$C$52:$AC$61,27,FALSE)*AJ135-AC135*VLOOKUP(D135,'DB technologies'!$N$66:$Y$77,11,FALSE)/100,0)))))</f>
        <v/>
      </c>
      <c r="AQ135" s="182" t="str">
        <f>IF(D135="","",IF(AI135=2,('Calc (ex-animal)'!$O$29*'Calc (ex-housing, ex-storage)'!F135/100+'Calc (ex-animal)'!$N$29*'Calc (ex-housing, ex-storage)'!F135/100)/VLOOKUP($C$134,'DB animal categories'!$C$52:$AC$61,27,FALSE)*AJ135+U135+V135+W135,IF(AI135=1,'Calc (ex-animal)'!$O$29*'Calc (ex-housing, ex-storage)'!F135/100/VLOOKUP($C$134,'DB animal categories'!$C$52:$AC$61,27,FALSE)*AJ135,IF(AI135=4,('Calc (ex-animal)'!$O$29+'Calc (ex-animal)'!$N$29)*'Calc (ex-housing, ex-storage)'!F135/100*VLOOKUP(D135,'DB technologies'!$N$66:$Y$77,11,FALSE)/100/VLOOKUP($C$134,'DB animal categories'!$C$52:$AC$61,27,FALSE)*AJ135,0))))</f>
        <v/>
      </c>
      <c r="AR135" s="182" t="str">
        <f>IF(D135="","",IF(AI135=2,('Calc (ex-animal)'!$R$29*'Calc (ex-housing, ex-storage)'!F135/100+'Calc (ex-animal)'!$Q$29*'Calc (ex-housing, ex-storage)'!F135/100)/VLOOKUP($C$134,'DB animal categories'!$C$52:$AC$61,27,FALSE)*AJ135+Y135+Z135+AA135,IF(AI135=1,'Calc (ex-animal)'!$R$29*'Calc (ex-housing, ex-storage)'!F135/100/VLOOKUP($C$134,'DB animal categories'!$C$52:$AC$61,27,FALSE)*AJ135,IF(AI135=4,('Calc (ex-animal)'!$R$29+'Calc (ex-animal)'!$Q$29)*'Calc (ex-housing, ex-storage)'!F135/100*VLOOKUP(D135,'DB technologies'!$N$66:$Y$77,11,FALSE)/100/VLOOKUP($C$134,'DB animal categories'!$C$52:$AC$61,27,FALSE)*AJ135,0))))</f>
        <v/>
      </c>
      <c r="AS135" s="181" t="str">
        <f>IF(D135="","",VLOOKUP(D135,'DB technologies'!$N$66:$Y$77,10,FALSE))</f>
        <v/>
      </c>
      <c r="AT135" s="442" t="str">
        <f>IF(AS135="","",AU135+AV135)</f>
        <v/>
      </c>
      <c r="AU135" s="442" t="str">
        <f>IF(D135="","",IF(AS135=2,0,IF(AS135=1,'Calc (ex-animal)'!$G$29*'DB additional information '!$K$9/100*(1-VLOOKUP(D135,'DB technologies'!$N$66:$Y$77,8,FALSE)/100)*'Calc (ex-housing, ex-storage)'!F135/100/VLOOKUP($C$134,'DB animal categories'!$C$52:$AC$61,27,FALSE)*AJ135+I135+J135+K135,IF(AS135=5,(('Calc (ex-animal)'!$G$29*'DB additional information '!$K$9/100+'Calc (ex-animal)'!$H$29*'DB additional information '!$L$9/100))*(1-VLOOKUP(D135,'DB technologies'!$N$66:$Y$77,9,FALSE)/100)*'Calc (ex-housing, ex-storage)'!F135/100/VLOOKUP($C$134,'DB animal categories'!$C$52:$AC$61,27,FALSE)*AJ135+I135+J135+K135,IF(AS135=3,('Calc (ex-animal)'!$G$29*'DB additional information '!$K$9/100+'Calc (ex-animal)'!$H$29*'DB additional information '!$L$9/100)*(1-VLOOKUP(D135,'DB technologies'!$N$66:$Y$77,9,FALSE)/100)*'Calc (ex-housing, ex-storage)'!F135/100/VLOOKUP($C$134,'DB animal categories'!$C$52:$AC$61,27,FALSE)*AJ135+I135+J135+K135,IF(AS135=4,('Calc (ex-animal)'!$G$29*'DB additional information '!$K$9/100+'Calc (ex-animal)'!$H$29*'DB additional information '!$L$9/100)*(1-VLOOKUP(D135,'DB technologies'!$N$66:$Y$77,9,FALSE)/100)*'Calc (ex-housing, ex-storage)'!F135/100*VLOOKUP(D135,'DB technologies'!$N$66:$Y$77,12,FALSE)/100/VLOOKUP($C$134,'DB animal categories'!$C$52:$AC$61,27,FALSE)*AJ135+I135+J135+K135,0))))))</f>
        <v/>
      </c>
      <c r="AV135" s="442" t="str">
        <f>IF(D135="","",IF(AS135=2,0,IF(AS135=1,'Calc (ex-animal)'!$G$29*(1-'DB additional information '!$K$9/100)*(1-VLOOKUP(D135,'DB technologies'!$N$66:$Y$77,8,FALSE)/100)*'Calc (ex-housing, ex-storage)'!F135/100/VLOOKUP($C$134,'DB animal categories'!$C$52:$AC$61,27,FALSE)*AJ135+M135+N135+O135,IF(AS135=5,('Calc (ex-animal)'!$G$29*(1-'DB additional information '!$K$9/100)+'Calc (ex-animal)'!$H$29*(1-'DB additional information '!$L$9/100))*(1-VLOOKUP(D135,'DB technologies'!$N$66:$Y$77,8,FALSE)/100)*'Calc (ex-housing, ex-storage)'!F135/100/VLOOKUP($C$134,'DB animal categories'!$C$52:$AC$61,27,FALSE)*AJ135+M135+N135+O135,IF(AS135=3,('Calc (ex-animal)'!$G$29*(1-'DB additional information '!$K$9/100)+'Calc (ex-animal)'!$H$29*(1-'DB additional information '!$L$9/100))*(1-VLOOKUP(D135,'DB technologies'!$N$66:$Y$77,8,FALSE)/100)*'Calc (ex-housing, ex-storage)'!F135/100/VLOOKUP($C$134,'DB animal categories'!$C$52:$AC$61,27,FALSE)*AJ135+M135+N135+O135,IF(AS135=4,('Calc (ex-animal)'!$G$29*(1-'DB additional information '!$K$9/100)+'Calc (ex-animal)'!$H$29*(1-'DB additional information '!$L$9/100))*(1-VLOOKUP(D135,'DB technologies'!$N$66:$Y$77,8,FALSE)/100)*'Calc (ex-housing, ex-storage)'!F135/100*VLOOKUP(D135,'DB technologies'!$N$66:$Y$77,12,FALSE)/100/VLOOKUP($C$134,'DB animal categories'!$C$52:$AC$61,27,FALSE)*AJ135+M135+N135+O135,0))))))</f>
        <v/>
      </c>
      <c r="AW135" s="442" t="str">
        <f>IF(AS135="","",IF(AU135=0,0,AU135/AT135*100))</f>
        <v/>
      </c>
      <c r="AX135" s="182" t="str">
        <f>IF(D135="","",IF(AS135=2,0,IF(AS135=1,'Calc (ex-animal)'!$K$29*'Calc (ex-housing, ex-storage)'!F135/100/VLOOKUP($C$134,'DB animal categories'!$C$52:$AC$61,27,FALSE)*AJ135+Q135+R135+S135,IF(AS135=5,('Calc (ex-animal)'!$K$29+'Calc (ex-animal)'!$L$29)*'Calc (ex-housing, ex-storage)'!F135/100/VLOOKUP($C$134,'DB animal categories'!$C$52:$AC$61,27,FALSE)*AJ135+Q135+R135+S135-'Calc (ex-housing, ex-storage)'!AC135,IF(AS135=3,('Calc (ex-animal)'!$K$29+'Calc (ex-animal)'!$L$29)*'Calc (ex-housing, ex-storage)'!F135/100/VLOOKUP($C$134,'DB animal categories'!$C$52:$AC$61,27,FALSE)*AJ135+Q135+R135+S135-'Calc (ex-housing, ex-storage)'!AC135-AD135-AE135,IF(AI135=4,('Calc (ex-animal)'!$K$29+'Calc (ex-animal)'!$L$29)*'Calc (ex-housing, ex-storage)'!F135/100*VLOOKUP(D135,'DB technologies'!$N$66:$Y$77,12,FALSE)/100/VLOOKUP($C$134,'DB animal categories'!$C$52:$AC$61,27,FALSE)*AJ135+Q135+R135+S135-(VLOOKUP(D135,'DB technologies'!$N$66:$Y$77,12,FALSE)/100*AC135)-AD135-AE135,0))))))</f>
        <v/>
      </c>
      <c r="AY135" s="182" t="str">
        <f>IF(D135="","",IF(AS135=2,0,IF(AS135=1,'Calc (ex-animal)'!$N$29*'Calc (ex-housing, ex-storage)'!F135/100/VLOOKUP($C$134,'DB animal categories'!$C$52:$AC$61,27,FALSE)*AJ135+U135+V135+W135,IF(AS135=5,('Calc (ex-animal)'!$N$29+'Calc (ex-animal)'!$O$29)*'Calc (ex-housing, ex-storage)'!F135/100/VLOOKUP($C$134,'DB animal categories'!$C$52:$AC$61,27,FALSE)*AJ135+U135+V135+W135,IF(AS135=3,('Calc (ex-animal)'!$N$29+'Calc (ex-animal)'!$O$29)*'Calc (ex-housing, ex-storage)'!F135/100/VLOOKUP($C$134,'DB animal categories'!$C$52:$AC$61,27,FALSE)*AJ135+U135+V135+W135,IF(AS135=4,('Calc (ex-animal)'!$N$29+'Calc (ex-animal)'!$O$29)*'Calc (ex-housing, ex-storage)'!F135/100*VLOOKUP(D135,'DB technologies'!$N$66:$Y$77,12,FALSE)/100/VLOOKUP($C$134,'DB animal categories'!$C$52:$AC$61,27,FALSE)*AJ135+U135+V135+W135,0))))))</f>
        <v/>
      </c>
      <c r="AZ135" s="182" t="str">
        <f>IF(D135="","",IF(AS135=2,0,IF(AS135=1,'Calc (ex-animal)'!$Q$29*'Calc (ex-housing, ex-storage)'!F135/100/VLOOKUP($C$134,'DB animal categories'!$C$52:$AC$61,27,FALSE)*AJ135+Y135+Z135+AA135,IF(AS135=5,('Calc (ex-animal)'!$Q$29+'Calc (ex-animal)'!$R$29)*'Calc (ex-housing, ex-storage)'!F135/100/VLOOKUP($C$134,'DB animal categories'!$C$52:$AC$61,27,FALSE)*AJ135+Y135+Z135+AA135,IF(AS135=3,('Calc (ex-animal)'!$Q$29+'Calc (ex-animal)'!$R$29)*'Calc (ex-housing, ex-storage)'!F135/100/VLOOKUP($C$134,'DB animal categories'!$C$52:$AC$61,27,FALSE)*AJ135+Y135+Z135+AA135,IF(AS135=4,('Calc (ex-animal)'!$Q$29+'Calc (ex-animal)'!$R$29)*'Calc (ex-housing, ex-storage)'!F135/100*VLOOKUP(D135,'DB technologies'!$N$66:$Y$77,12,FALSE)/100/VLOOKUP($C$134,'DB animal categories'!$C$52:$AC$61,27,FALSE)*AJ135+Y135+Z135+AA135,0))))))</f>
        <v/>
      </c>
      <c r="BA135" s="506"/>
      <c r="BB135" s="506"/>
      <c r="BC135" s="506"/>
      <c r="BG135" s="1357"/>
      <c r="BH135" s="1361"/>
      <c r="BI135" s="598" t="str">
        <f>IF(BG135="","",$BA$134*BH135/100-($BB$134*BH135/100*VLOOKUP(BG135,'DB technologies'!$AC$21:$AT$25,5,FALSE)/100)+(VLOOKUP(BG135,'DB technologies'!$AC$21:$AT$25,12,FALSE)*$BA$134*BH135/100))</f>
        <v/>
      </c>
      <c r="BJ135" s="551">
        <f>IF(BI135="",0,BI135*BK135/100)</f>
        <v>0</v>
      </c>
      <c r="BK135" s="571" t="str">
        <f>IF(BG135="","",IF($BA$134=0,0,($BB$134*BH135/100)/BI135*(1-(VLOOKUP(BG135,'DB technologies'!$AC$21:$AQ$25,5,FALSE))/100)*100))</f>
        <v/>
      </c>
      <c r="BL135" s="261" t="str">
        <f>IF(BG135="","",$BD$134*BH135/100-BO135-BP135-BQ135-BR135)</f>
        <v/>
      </c>
      <c r="BM135" s="261" t="str">
        <f>IF(BG135="","",$BE$134*BH135/100-BS135)</f>
        <v/>
      </c>
      <c r="BN135" s="261" t="str">
        <f>IF(BG135="","",$BF$134*BH135/100-BT135)</f>
        <v/>
      </c>
      <c r="BO135" s="261" t="str">
        <f>IF(BG135="","",$BD$134*BH135/100*VLOOKUP(BG135,'DB technologies'!$AC$16:$AF$20,2,FALSE)/100)</f>
        <v/>
      </c>
      <c r="BP135" s="261" t="str">
        <f>IF(BG135="","",$BD$134*BH135/100*VLOOKUP(BG135,'DB technologies'!$AC$16:$AN$20,3,FALSE)/100)</f>
        <v/>
      </c>
      <c r="BQ135" s="262" t="str">
        <f>IF(BG135="","",$BD$134*BH135/100*VLOOKUP(BG135,'DB technologies'!$AC$16:$AN$20,4,FALSE)/100)</f>
        <v/>
      </c>
      <c r="BR135" s="264" t="str">
        <f>IF(BG135="","",VLOOKUP(BG135,'DB technologies'!$AC$16:$AQ$20,13,FALSE)/100*$BD$134*BH135/100)</f>
        <v/>
      </c>
      <c r="BS135" s="261" t="str">
        <f>IF(BG135="","",VLOOKUP(BG135,'DB technologies'!$AC$16:$AQ$20,14,FALSE)/100*$BE$134*BH135/100)</f>
        <v/>
      </c>
      <c r="BT135" s="262" t="str">
        <f>IF(BG135="","",VLOOKUP(BG135,'DB technologies'!$AC$16:$AQ$20,15,FALSE)/100*$BF$134*BH135/100)</f>
        <v/>
      </c>
    </row>
    <row r="136" spans="1:72" ht="11.25" customHeight="1" x14ac:dyDescent="0.2">
      <c r="A136" s="684"/>
      <c r="B136" s="695"/>
      <c r="C136" s="251"/>
      <c r="D136" s="1357"/>
      <c r="E136" s="1358"/>
      <c r="F136" s="480" t="str">
        <f>IF('Calc (ex-animal)'!$F$9=1,"",IF($C$134=0,"",IF(D136="","",E136/'Calc (ex-animal)'!$E$29*100)))</f>
        <v/>
      </c>
      <c r="G136" s="485" t="str">
        <f>IF($C$134=0,"",IF('Calc (ex-animal)'!$F$8=1,"",IF(D136="","",SUM(H136:O136))))</f>
        <v/>
      </c>
      <c r="H136" s="423" t="str">
        <f>IF('Calc (ex-animal)'!$F$8=1,"",IF(D136="","",(((VLOOKUP($C$134,'Calc (ex-animal)'!$D$28:$Y$32,6,FALSE)-VLOOKUP($C$134,'Calc (ex-animal)'!$D$28:$Y$32,17,FALSE))*F136/100))*VLOOKUP($C$134,'Calc (ex-animal)'!$D$28:$Y$32,7,FALSE)/100*(1-VLOOKUP(D136,'DB technologies'!$N$66:$Y$77,9,FALSE)/100)))</f>
        <v/>
      </c>
      <c r="I136" s="423" t="str">
        <f>IF(D136="","",((VLOOKUP(D136,'DB technologies'!$N$66:$Y$77,2,FALSE)*VLOOKUP($C$134,'DB animal categories'!$C$52:$AC$61,27,FALSE)*E136/1000)/VLOOKUP($C$134,'DB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'!$S$6/100*(1-VLOOKUP(D136,'DB technologies'!$N$66:$Y$77,9,FALSE)/100)))</f>
        <v/>
      </c>
      <c r="J136" s="434" t="str">
        <f>IF(D136="","",((VLOOKUP(D136,'DB technologies'!$N$66:$Y$77,3,FALSE)*VLOOKUP($C$134,'DB animal categories'!$C$52:$AC$61,27,FALSE)*E136/1000)/VLOOKUP($C$134,'DB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'!$S$7/100*(1-VLOOKUP(D136,'DB technologies'!$N$66:$Y$77,9,FALSE)/100)))</f>
        <v/>
      </c>
      <c r="K136" s="434" t="str">
        <f>IF(D136="","",((VLOOKUP(D136,'DB technologies'!$N$66:$Y$77,4,FALSE)*E136*'DB additional information '!$S$8/100*(1-VLOOKUP(D136,'DB technologies'!$N$66:$Y$77,9,FALSE)/100))/VLOOKUP($C$134,'DB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L136" s="423" t="str">
        <f>IF('Calc (ex-animal)'!$F$8=1,"",IF(D136="","",(((VLOOKUP($C$134,'Calc (ex-animal)'!$D$28:$Y$32,6,FALSE)-VLOOKUP($C$134,'Calc (ex-animal)'!$D$28:$Y$32,17,FALSE))*F136/100))*(1-VLOOKUP($C$134,'Calc (ex-animal)'!$D$28:$Y$32,7,FALSE)/100)*(1-VLOOKUP(D136,'DB technologies'!$N$66:$V$77,8,FALSE)/100)))</f>
        <v/>
      </c>
      <c r="M136" s="434" t="str">
        <f>IF(D136="","",((VLOOKUP(D136,'DB technologies'!$N$66:$Y$77,2,FALSE)*VLOOKUP($C$134,'DB animal categories'!$C$52:$AC$61,27,FALSE)*E136/1000)/VLOOKUP($C$134,'DB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'!$S$6/100)*(1-VLOOKUP(D136,'DB technologies'!$N$66:$Y$77,9,FALSE)/100))</f>
        <v/>
      </c>
      <c r="N136" s="434" t="str">
        <f>IF(D136="","",((VLOOKUP(D136,'DB technologies'!$N$66:$Y$77,3,FALSE)*VLOOKUP($C$134,'DB animal categories'!$C$52:$AC$61,27,FALSE)*E136/1000)/VLOOKUP($C$134,'DB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'!$S$7/100)*(1-VLOOKUP(D136,'DB technologies'!$N$66:$Y$77,9,FALSE)/100))</f>
        <v/>
      </c>
      <c r="O136" s="423" t="str">
        <f>IF(D136="","",((VLOOKUP(D136,'DB technologies'!$N$66:$Y$77,4,FALSE)*E136*(1-'DB additional information '!$S$8/100)*(1-VLOOKUP(D136,'DB technologies'!$N$66:$Y$77,8,FALSE)/100))/VLOOKUP($C$134,'DB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P136" s="438" t="str">
        <f>IF(G136=0,0,IF(E136="","",IF(F136="","",IF($C$134=0,"",IF(D136="","",SUM(H136:K136)/G136*100)))))</f>
        <v/>
      </c>
      <c r="Q136" s="416" t="str">
        <f>IF(D136="","",(VLOOKUP(D136,'DB technologies'!$N$66:$Y$77,2,FALSE)*'DB additional information '!$S$6/100*'DB additional information '!$T$6*VLOOKUP($C$134,'DB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R136" s="416" t="str">
        <f>IF(D136="","",(VLOOKUP(D136,'DB technologies'!$N$66:$Y$77,3,FALSE)*'DB additional information '!$S$7/100*'DB additional information '!$T$7*VLOOKUP($C$134,'DB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S136" s="491" t="str">
        <f>IF(D136="","",(VLOOKUP(D136,'DB technologies'!$N$66:$Y$77,4,FALSE)*('DB additional information '!$S$8/100*'DB additional information '!$T$8*E136/1000/1000)))</f>
        <v/>
      </c>
      <c r="T136" s="264" t="str">
        <f>IF($C$134=0,"",IF('Calc (ex-animal)'!$F$9=1,"",IF(D136="","",((VLOOKUP($C$134,'Calc (ex-animal)'!$D$28:$Y$32,10,FALSE)-VLOOKUP($C$134,'Calc (ex-animal)'!$D$28:$Y$32,18,FALSE))*F136/100+Q136+R136+S136)-AC136-AD136-AE136)))</f>
        <v/>
      </c>
      <c r="U136" s="422" t="str">
        <f>IF(D136="","",(VLOOKUP(D136,'DB technologies'!$N$66:$Y$77,2,FALSE)*'DB additional information '!$S$6/100*'DB additional information '!$U$6*VLOOKUP($C$134,'DB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V136" s="418" t="str">
        <f>IF(D136="","",(VLOOKUP(D136,'DB technologies'!$N$66:$Y$77,3,FALSE)*'DB additional information '!$S$7/100*'DB additional information '!$U$7*VLOOKUP($C$134,'DB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W136" s="417" t="str">
        <f>IF(D136="","",(VLOOKUP(D136,'DB technologies'!$N$66:$Y$77,4,FALSE)*('DB additional information '!$S$8/100*'DB additional information '!$U$8*E136/1000/1000)))</f>
        <v/>
      </c>
      <c r="X136" s="261" t="str">
        <f>IF($C$134=0,"",IF('Calc (ex-animal)'!$F$9=1,"",IF(D136="","",((VLOOKUP($C$134,'Calc (ex-animal)'!$D$28:$Y$32,13,FALSE)-VLOOKUP($C$134,'Calc (ex-animal)'!$D$28:$Y$32,19,FALSE))*F136/100+U136+V136+W136))))</f>
        <v/>
      </c>
      <c r="Y136" s="418" t="str">
        <f>IF(D136="","",(VLOOKUP(D136,'DB technologies'!$N$66:$Y$77,2,FALSE)*'DB additional information '!$S$6/100*'DB additional information '!$V$6*VLOOKUP($C$134,'DB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Z136" s="418" t="str">
        <f>IF(D136="","",(VLOOKUP(D136,'DB technologies'!$N$66:$Y$77,3,FALSE)*'DB additional information '!$S$7/100*'DB additional information '!$V$7*VLOOKUP($C$134,'DB animal categories'!$C$52:$AC$61,27,FALSE)*E136/1000/1000)/VLOOKUP($C$134,'DB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AA136" s="418" t="str">
        <f>IF(D136="","",(VLOOKUP(D136,'DB technologies'!$N$66:$Y$77,4,FALSE)*('DB additional information '!$S$8/100*'DB additional information '!$V$8*E136/1000/1000)))</f>
        <v/>
      </c>
      <c r="AB136" s="261" t="str">
        <f>IF($C$134=0,"",IF('Calc (ex-animal)'!$F$8=1,"",IF(D136="","",((VLOOKUP($C$134,'Calc (ex-animal)'!$D$28:$Y$32,16,FALSE)-VLOOKUP($C$134,'Calc (ex-animal)'!$D$28:$Y$32,20,FALSE))*F136/100+Y136+Z136+AA136))))</f>
        <v/>
      </c>
      <c r="AC136" s="261" t="str">
        <f>IF($C$134=0,"",IF('Calc (ex-animal)'!$F$8=1,"",IF(D136="","",VLOOKUP($C$134,'Calc (ex-animal)'!$D$28:$Y$32,9,FALSE)/VLOOKUP($C$134,'DB animal categories'!$C$52:$AC$61,27,FALSE)*(VLOOKUP($C$134,'DB animal categories'!$C$52:$AC$61,27,FALSE)-VLOOKUP($C$134,'DB animal categories'!$C$52:$AC$61,25,FALSE)*VLOOKUP($C$134,'DB animal categories'!$C$52:$AC$61,26,FALSE)/24)*F136/100*VLOOKUP(D136,'DB technologies'!$N$66:$R$77,5,FALSE)/100)))</f>
        <v/>
      </c>
      <c r="AD136" s="261" t="str">
        <f>IF($C$134=0,"",IF('Calc (ex-animal)'!$F$8=1,"",IF(D136="","",VLOOKUP($C$134,'Calc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categories'!$C$52:$AC$61,26,FALSE)/24)*F136/100*VLOOKUP(D136,'DB technologies'!$N$66:$Y$77,6,FALSE)/100)))</f>
        <v/>
      </c>
      <c r="AE136" s="262" t="str">
        <f>IF($C$134=0,"",IF('Calc (ex-animal)'!$F$8=1,"",IF(D136="","",VLOOKUP($C$134,'Calc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categories'!$C$52:$AC$61,26,FALSE)/24)*F136/100*VLOOKUP(D136,'DB technologies'!$N$66:$Y$77,7,FALSE)/100)))</f>
        <v/>
      </c>
      <c r="AG136" s="698"/>
      <c r="AH136" s="695"/>
      <c r="AI136" s="181" t="str">
        <f>IF(D136="","",VLOOKUP(D136,'DB technologies'!$N$66:$Y$77,10,FALSE))</f>
        <v/>
      </c>
      <c r="AJ136" s="449" t="e">
        <f>VLOOKUP($C$134,'DB animal categories'!$C$52:$AN$61,27,FALSE)-VLOOKUP($C$134,'DB animal categories'!$C$52:$AN$61,26,FALSE)*VLOOKUP($C$134,'DB animal categories'!$C$52:$AN$61,25,FALSE)/24</f>
        <v>#N/A</v>
      </c>
      <c r="AK136" s="442" t="str">
        <f>IF(AI136="","",AL136+AM136)</f>
        <v/>
      </c>
      <c r="AL136" s="442" t="str">
        <f>IF(D136="","",IF(AI136=2,(('Calc (ex-animal)'!$G$29*'DB additional information '!$K$9/100*(1-VLOOKUP(D136,'DB technologies'!$N$66:$Y$77,9,FALSE)/100)*'Calc (ex-housing, ex-storage)'!F136/100+'Calc (ex-animal)'!$H$29*'DB additional information '!$L$9/100*(1-VLOOKUP(D136,'DB technologies'!$N$66:$Y$77,9,FALSE)/100)*'Calc (ex-housing, ex-storage)'!F136/100))/VLOOKUP($C$134,'DB animal categories'!$C$52:$AC$61,27,FALSE)*AJ136+I136+J136+K136,IF(AI136=1,('Calc (ex-animal)'!$H$29*'DB additional information '!$L$9/100*(1-VLOOKUP(D136,'DB technologies'!$N$66:$Y$77,9,FALSE)/100)*'Calc (ex-housing, ex-storage)'!F136/100)/VLOOKUP($C$134,'DB animal categories'!$C$52:$AC$61,27,FALSE)*AJ136,IF(AI136=4,('Calc (ex-animal)'!$G$29*'DB additional information '!$K$9/100+'Calc (ex-animal)'!$H$29*'DB additional information '!$L$9/100)*(1-VLOOKUP(D136,'DB technologies'!$N$66:$Y$77,9,FALSE)/100)*'Calc (ex-housing, ex-storage)'!F136/100*VLOOKUP(D136,'DB technologies'!$N$66:$Y$77,11,FALSE)/100/VLOOKUP($C$134,'DB animal categories'!$C$52:$AC$61,27,FALSE)*AJ136,0))))</f>
        <v/>
      </c>
      <c r="AM136" s="442" t="str">
        <f>IF(D136="","",IF(AI136=2,(('Calc (ex-animal)'!$G$29*(1-'DB additional information '!$K$9/100)*(1-VLOOKUP(D136,'DB technologies'!$N$66:$Y$77,8,FALSE)/100)*'Calc (ex-housing, ex-storage)'!F136/100+'Calc (ex-animal)'!$H$29*(1-'DB additional information '!$L$9/100)*(1-VLOOKUP(D136,'DB technologies'!$N$66:$Y$77,8,FALSE)/100)*'Calc (ex-housing, ex-storage)'!F136/100))/VLOOKUP($C$134,'DB animal categories'!$C$52:$AC$61,27,FALSE)*AJ136+M136+N136+O136,IF(AI136=1,('Calc (ex-animal)'!$H$29*(1-'DB additional information '!$L$9/100)*(1-VLOOKUP(D136,'DB technologies'!$N$66:$Y$77,8,FALSE)/100)*'Calc (ex-housing, ex-storage)'!F136/100)/VLOOKUP($C$134,'DB animal categories'!$C$52:$AC$61,27,FALSE)*AJ136,IF(AI136=4,('Calc (ex-animal)'!$G$29*(1-'DB additional information '!$K$9/100)+'Calc (ex-animal)'!$H$29*(1-'DB additional information '!$L$9/100))*(1-VLOOKUP(D136,'DB technologies'!$N$66:$Y$77,8,FALSE)/100)*'Calc (ex-housing, ex-storage)'!F136/100*VLOOKUP(D136,'DB technologies'!$N$66:$Y$77,11,FALSE)/100/VLOOKUP($C$134,'DB animal categories'!$C$52:$AC$61,27,FALSE)*AJ136,0))))</f>
        <v/>
      </c>
      <c r="AN136" s="442" t="str">
        <f>IF(AI136="","",IF(AL136=0,0,AL136/AK136*100))</f>
        <v/>
      </c>
      <c r="AO136" s="182" t="str">
        <f>IF(D136="","",IF(AI136=2,(('Calc (ex-animal)'!$L$29*'Calc (ex-housing, ex-storage)'!F136/100+'Calc (ex-animal)'!$K$29*'Calc (ex-housing, ex-storage)'!F136/100))/VLOOKUP($C$134,'DB animal categories'!$C$52:$AC$61,27,FALSE)*AJ136+Q136+R136+S136-AC136,IF(AI136=1,('Calc (ex-animal)'!$L$29*'Calc (ex-housing, ex-storage)'!F136/100)/VLOOKUP($C$134,'DB animal categories'!$C$52:$AC$61,27,FALSE)*AJ136-'Calc (ex-housing, ex-storage)'!AC136,IF(AI136=4,('Calc (ex-animal)'!$L$29+'Calc (ex-animal)'!$K$29)*'Calc (ex-housing, ex-storage)'!F136/100*VLOOKUP(D136,'DB technologies'!$N$66:$Y$77,11,FALSE)/100/VLOOKUP($C$134,'DB animal categories'!$C$52:$AC$61,27,FALSE)*AJ136-AC136*VLOOKUP(D136,'DB technologies'!$N$66:$Y$77,11,FALSE)/100,0))))</f>
        <v/>
      </c>
      <c r="AP136" s="182" t="str">
        <f>IF(D136="","",IF(AO136&lt;-0.01,0,IF(AI136=2,(('Calc (ex-animal)'!$L$29*'Calc (ex-housing, ex-storage)'!F136/100+'Calc (ex-animal)'!$K$29*'Calc (ex-housing, ex-storage)'!F136/100))/VLOOKUP($C$134,'DB animal categories'!$C$52:$AC$61,27,FALSE)*AJ136+Q136+R136+S136-AC136,IF(AI136=1,('Calc (ex-animal)'!$L$29*'Calc (ex-housing, ex-storage)'!F136/100)/VLOOKUP($C$134,'DB animal categories'!$C$52:$AC$61,27,FALSE)*AJ136-'Calc (ex-housing, ex-storage)'!AC136,IF(AI136=4,('Calc (ex-animal)'!$L$29+'Calc (ex-animal)'!$K$29)*'Calc (ex-housing, ex-storage)'!F136/100*VLOOKUP(D136,'DB technologies'!$N$66:$Y$77,11,FALSE)/100/VLOOKUP($C$134,'DB animal categories'!$C$52:$AC$61,27,FALSE)*AJ136-AC136*VLOOKUP(D136,'DB technologies'!$N$66:$Y$77,11,FALSE)/100,0)))))</f>
        <v/>
      </c>
      <c r="AQ136" s="182" t="str">
        <f>IF(D136="","",IF(AI136=2,('Calc (ex-animal)'!$O$29*'Calc (ex-housing, ex-storage)'!F136/100+'Calc (ex-animal)'!$N$29*'Calc (ex-housing, ex-storage)'!F136/100)/VLOOKUP($C$134,'DB animal categories'!$C$52:$AC$61,27,FALSE)*AJ136+U136+V136+W136,IF(AI136=1,'Calc (ex-animal)'!$O$29*'Calc (ex-housing, ex-storage)'!F136/100/VLOOKUP($C$134,'DB animal categories'!$C$52:$AC$61,27,FALSE)*AJ136,IF(AI136=4,('Calc (ex-animal)'!$O$29+'Calc (ex-animal)'!$N$29)*'Calc (ex-housing, ex-storage)'!F136/100*VLOOKUP(D136,'DB technologies'!$N$66:$Y$77,11,FALSE)/100/VLOOKUP($C$134,'DB animal categories'!$C$52:$AC$61,27,FALSE)*AJ136,0))))</f>
        <v/>
      </c>
      <c r="AR136" s="182" t="str">
        <f>IF(D136="","",IF(AI136=2,('Calc (ex-animal)'!$R$29*'Calc (ex-housing, ex-storage)'!F136/100+'Calc (ex-animal)'!$Q$29*'Calc (ex-housing, ex-storage)'!F136/100)/VLOOKUP($C$134,'DB animal categories'!$C$52:$AC$61,27,FALSE)*AJ136+Y136+Z136+AA136,IF(AI136=1,'Calc (ex-animal)'!$R$29*'Calc (ex-housing, ex-storage)'!F136/100/VLOOKUP($C$134,'DB animal categories'!$C$52:$AC$61,27,FALSE)*AJ136,IF(AI136=4,('Calc (ex-animal)'!$R$29+'Calc (ex-animal)'!$Q$29)*'Calc (ex-housing, ex-storage)'!F136/100*VLOOKUP(D136,'DB technologies'!$N$66:$Y$77,11,FALSE)/100/VLOOKUP($C$134,'DB animal categories'!$C$52:$AC$61,27,FALSE)*AJ136,0))))</f>
        <v/>
      </c>
      <c r="AS136" s="181" t="str">
        <f>IF(D136="","",VLOOKUP(D136,'DB technologies'!$N$66:$Y$77,10,FALSE))</f>
        <v/>
      </c>
      <c r="AT136" s="442" t="str">
        <f>IF(AS136="","",AU136+AV136)</f>
        <v/>
      </c>
      <c r="AU136" s="442" t="str">
        <f>IF(D136="","",IF(AS136=2,0,IF(AS136=1,'Calc (ex-animal)'!$G$29*'DB additional information '!$K$9/100*(1-VLOOKUP(D136,'DB technologies'!$N$66:$Y$77,8,FALSE)/100)*'Calc (ex-housing, ex-storage)'!F136/100/VLOOKUP($C$134,'DB animal categories'!$C$52:$AC$61,27,FALSE)*AJ136+I136+J136+K136,IF(AS136=5,(('Calc (ex-animal)'!$G$29*'DB additional information '!$K$9/100+'Calc (ex-animal)'!$H$29*'DB additional information '!$L$9/100))*(1-VLOOKUP(D136,'DB technologies'!$N$66:$Y$77,9,FALSE)/100)*'Calc (ex-housing, ex-storage)'!F136/100/VLOOKUP($C$134,'DB animal categories'!$C$52:$AC$61,27,FALSE)*AJ136+I136+J136+K136,IF(AS136=3,('Calc (ex-animal)'!$G$29*'DB additional information '!$K$9/100+'Calc (ex-animal)'!$H$29*'DB additional information '!$L$9/100)*(1-VLOOKUP(D136,'DB technologies'!$N$66:$Y$77,9,FALSE)/100)*'Calc (ex-housing, ex-storage)'!F136/100/VLOOKUP($C$134,'DB animal categories'!$C$52:$AC$61,27,FALSE)*AJ136+I136+J136+K136,IF(AS136=4,('Calc (ex-animal)'!$G$29*'DB additional information '!$K$9/100+'Calc (ex-animal)'!$H$29*'DB additional information '!$L$9/100)*(1-VLOOKUP(D136,'DB technologies'!$N$66:$Y$77,9,FALSE)/100)*'Calc (ex-housing, ex-storage)'!F136/100*VLOOKUP(D136,'DB technologies'!$N$66:$Y$77,12,FALSE)/100/VLOOKUP($C$134,'DB animal categories'!$C$52:$AC$61,27,FALSE)*AJ136+I136+J136+K136,0))))))</f>
        <v/>
      </c>
      <c r="AV136" s="442" t="str">
        <f>IF(D136="","",IF(AS136=2,0,IF(AS136=1,'Calc (ex-animal)'!$G$29*(1-'DB additional information '!$K$9/100)*(1-VLOOKUP(D136,'DB technologies'!$N$66:$Y$77,8,FALSE)/100)*'Calc (ex-housing, ex-storage)'!F136/100/VLOOKUP($C$134,'DB animal categories'!$C$52:$AC$61,27,FALSE)*AJ136+M136+N136+O136,IF(AS136=5,('Calc (ex-animal)'!$G$29*(1-'DB additional information '!$K$9/100)+'Calc (ex-animal)'!$H$29*(1-'DB additional information '!$L$9/100))*(1-VLOOKUP(D136,'DB technologies'!$N$66:$Y$77,8,FALSE)/100)*'Calc (ex-housing, ex-storage)'!F136/100/VLOOKUP($C$134,'DB animal categories'!$C$52:$AC$61,27,FALSE)*AJ136+M136+N136+O136,IF(AS136=3,('Calc (ex-animal)'!$G$29*(1-'DB additional information '!$K$9/100)+'Calc (ex-animal)'!$H$29*(1-'DB additional information '!$L$9/100))*(1-VLOOKUP(D136,'DB technologies'!$N$66:$Y$77,8,FALSE)/100)*'Calc (ex-housing, ex-storage)'!F136/100/VLOOKUP($C$134,'DB animal categories'!$C$52:$AC$61,27,FALSE)*AJ136+M136+N136+O136,IF(AS136=4,('Calc (ex-animal)'!$G$29*(1-'DB additional information '!$K$9/100)+'Calc (ex-animal)'!$H$29*(1-'DB additional information '!$L$9/100))*(1-VLOOKUP(D136,'DB technologies'!$N$66:$Y$77,8,FALSE)/100)*'Calc (ex-housing, ex-storage)'!F136/100*VLOOKUP(D136,'DB technologies'!$N$66:$Y$77,12,FALSE)/100/VLOOKUP($C$134,'DB animal categories'!$C$52:$AC$61,27,FALSE)*AJ136+M136+N136+O136,0))))))</f>
        <v/>
      </c>
      <c r="AW136" s="442" t="str">
        <f>IF(AS136="","",IF(AU136=0,0,AU136/AT136*100))</f>
        <v/>
      </c>
      <c r="AX136" s="182" t="str">
        <f>IF(D136="","",IF(AS136=2,0,IF(AS136=1,'Calc (ex-animal)'!$K$29*'Calc (ex-housing, ex-storage)'!F136/100/VLOOKUP($C$134,'DB animal categories'!$C$52:$AC$61,27,FALSE)*AJ136+Q136+R136+S136,IF(AS136=5,('Calc (ex-animal)'!$K$29+'Calc (ex-animal)'!$L$29)*'Calc (ex-housing, ex-storage)'!F136/100/VLOOKUP($C$134,'DB animal categories'!$C$52:$AC$61,27,FALSE)*AJ136+Q136+R136+S136-'Calc (ex-housing, ex-storage)'!AC136,IF(AS136=3,('Calc (ex-animal)'!$K$29+'Calc (ex-animal)'!$L$29)*'Calc (ex-housing, ex-storage)'!F136/100/VLOOKUP($C$134,'DB animal categories'!$C$52:$AC$61,27,FALSE)*AJ136+Q136+R136+S136-'Calc (ex-housing, ex-storage)'!AC136-AD136-AE136,IF(AI136=4,('Calc (ex-animal)'!$K$29+'Calc (ex-animal)'!$L$29)*'Calc (ex-housing, ex-storage)'!F136/100*VLOOKUP(D136,'DB technologies'!$N$66:$Y$77,12,FALSE)/100/VLOOKUP($C$134,'DB animal categories'!$C$52:$AC$61,27,FALSE)*AJ136+Q136+R136+S136-(VLOOKUP(D136,'DB technologies'!$N$66:$Y$77,12,FALSE)/100*AC136)-AD136-AE136,0))))))</f>
        <v/>
      </c>
      <c r="AY136" s="182" t="str">
        <f>IF(D136="","",IF(AS136=2,0,IF(AS136=1,'Calc (ex-animal)'!$N$29*'Calc (ex-housing, ex-storage)'!F136/100/VLOOKUP($C$134,'DB animal categories'!$C$52:$AC$61,27,FALSE)*AJ136+U136+V136+W136,IF(AS136=5,('Calc (ex-animal)'!$N$29+'Calc (ex-animal)'!$O$29)*'Calc (ex-housing, ex-storage)'!F136/100/VLOOKUP($C$134,'DB animal categories'!$C$52:$AC$61,27,FALSE)*AJ136+U136+V136+W136,IF(AS136=3,('Calc (ex-animal)'!$N$29+'Calc (ex-animal)'!$O$29)*'Calc (ex-housing, ex-storage)'!F136/100/VLOOKUP($C$134,'DB animal categories'!$C$52:$AC$61,27,FALSE)*AJ136+U136+V136+W136,IF(AS136=4,('Calc (ex-animal)'!$N$29+'Calc (ex-animal)'!$O$29)*'Calc (ex-housing, ex-storage)'!F136/100*VLOOKUP(D136,'DB technologies'!$N$66:$Y$77,12,FALSE)/100/VLOOKUP($C$134,'DB animal categories'!$C$52:$AC$61,27,FALSE)*AJ136+U136+V136+W136,0))))))</f>
        <v/>
      </c>
      <c r="AZ136" s="182" t="str">
        <f>IF(D136="","",IF(AS136=2,0,IF(AS136=1,'Calc (ex-animal)'!$Q$29*'Calc (ex-housing, ex-storage)'!F136/100/VLOOKUP($C$134,'DB animal categories'!$C$52:$AC$61,27,FALSE)*AJ136+Y136+Z136+AA136,IF(AS136=5,('Calc (ex-animal)'!$Q$29+'Calc (ex-animal)'!$R$29)*'Calc (ex-housing, ex-storage)'!F136/100/VLOOKUP($C$134,'DB animal categories'!$C$52:$AC$61,27,FALSE)*AJ136+Y136+Z136+AA136,IF(AS136=3,('Calc (ex-animal)'!$Q$29+'Calc (ex-animal)'!$R$29)*'Calc (ex-housing, ex-storage)'!F136/100/VLOOKUP($C$134,'DB animal categories'!$C$52:$AC$61,27,FALSE)*AJ136+Y136+Z136+AA136,IF(AS136=4,('Calc (ex-animal)'!$Q$29+'Calc (ex-animal)'!$R$29)*'Calc (ex-housing, ex-storage)'!F136/100*VLOOKUP(D136,'DB technologies'!$N$66:$Y$77,12,FALSE)/100/VLOOKUP($C$134,'DB animal categories'!$C$52:$AC$61,27,FALSE)*AJ136+Y136+Z136+AA136,0))))))</f>
        <v/>
      </c>
      <c r="BA136" s="506"/>
      <c r="BB136" s="506"/>
      <c r="BC136" s="506"/>
      <c r="BG136" s="1357"/>
      <c r="BH136" s="1361"/>
      <c r="BI136" s="598" t="str">
        <f>IF(BG136="","",$BA$134*BH136/100-($BB$134*BH136/100*VLOOKUP(BG136,'DB technologies'!$AC$21:$AT$25,5,FALSE)/100)+(VLOOKUP(BG136,'DB technologies'!$AC$21:$AT$25,12,FALSE)*$BA$134*BH136/100))</f>
        <v/>
      </c>
      <c r="BJ136" s="551">
        <f>IF(BI136="",0,BI136*BK136/100)</f>
        <v>0</v>
      </c>
      <c r="BK136" s="571" t="str">
        <f>IF(BG136="","",IF($BA$134=0,0,($BB$134*BH136/100)/BI136*(1-(VLOOKUP(BG136,'DB technologies'!$AC$21:$AQ$25,5,FALSE))/100)*100))</f>
        <v/>
      </c>
      <c r="BL136" s="261" t="str">
        <f>IF(BG136="","",$BD$134*BH136/100-BO136-BP136-BQ136-BR136)</f>
        <v/>
      </c>
      <c r="BM136" s="261" t="str">
        <f>IF(BG136="","",$BE$134*BH136/100-BS136)</f>
        <v/>
      </c>
      <c r="BN136" s="261" t="str">
        <f>IF(BG136="","",$BF$134*BH136/100-BT136)</f>
        <v/>
      </c>
      <c r="BO136" s="261" t="str">
        <f>IF(BG136="","",$BD$134*BH136/100*VLOOKUP(BG136,'DB technologies'!$AC$16:$AF$20,2,FALSE)/100)</f>
        <v/>
      </c>
      <c r="BP136" s="261" t="str">
        <f>IF(BG136="","",$BD$134*BH136/100*VLOOKUP(BG136,'DB technologies'!$AC$16:$AN$20,3,FALSE)/100)</f>
        <v/>
      </c>
      <c r="BQ136" s="262" t="str">
        <f>IF(BG136="","",$BD$134*BH136/100*VLOOKUP(BG136,'DB technologies'!$AC$16:$AN$20,4,FALSE)/100)</f>
        <v/>
      </c>
      <c r="BR136" s="264" t="str">
        <f>IF(BG136="","",VLOOKUP(BG136,'DB technologies'!$AC$16:$AQ$20,13,FALSE)/100*$BD$134*BH136/100)</f>
        <v/>
      </c>
      <c r="BS136" s="261" t="str">
        <f>IF(BG136="","",VLOOKUP(BG136,'DB technologies'!$AC$16:$AQ$20,14,FALSE)/100*$BE$134*BH136/100)</f>
        <v/>
      </c>
      <c r="BT136" s="262" t="str">
        <f>IF(BG136="","",VLOOKUP(BG136,'DB technologies'!$AC$16:$AQ$20,15,FALSE)/100*$BF$134*BH136/100)</f>
        <v/>
      </c>
    </row>
    <row r="137" spans="1:72" ht="11.25" customHeight="1" x14ac:dyDescent="0.2">
      <c r="A137" s="684"/>
      <c r="B137" s="695"/>
      <c r="C137" s="251"/>
      <c r="D137" s="1357"/>
      <c r="E137" s="1358"/>
      <c r="F137" s="480" t="str">
        <f>IF('Calc (ex-animal)'!$F$9=1,"",IF($C$134=0,"",IF(D137="","",E137/'Calc (ex-animal)'!$E$29*100)))</f>
        <v/>
      </c>
      <c r="G137" s="485" t="str">
        <f>IF($C$134=0,"",IF('Calc (ex-animal)'!$F$8=1,"",IF(D137="","",SUM(H137:O137))))</f>
        <v/>
      </c>
      <c r="H137" s="423" t="str">
        <f>IF('Calc (ex-animal)'!$F$8=1,"",IF(D137="","",(((VLOOKUP($C$134,'Calc (ex-animal)'!$D$28:$Y$32,6,FALSE)-VLOOKUP($C$134,'Calc (ex-animal)'!$D$28:$Y$32,17,FALSE))*F137/100))*VLOOKUP($C$134,'Calc (ex-animal)'!$D$28:$Y$32,7,FALSE)/100*(1-VLOOKUP(D137,'DB technologies'!$N$66:$Y$77,9,FALSE)/100)))</f>
        <v/>
      </c>
      <c r="I137" s="423" t="str">
        <f>IF(D137="","",((VLOOKUP(D137,'DB technologies'!$N$66:$Y$77,2,FALSE)*VLOOKUP($C$134,'DB animal categories'!$C$52:$AC$61,27,FALSE)*E137/1000)/VLOOKUP($C$134,'DB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'!$S$6/100*(1-VLOOKUP(D137,'DB technologies'!$N$66:$Y$77,9,FALSE)/100)))</f>
        <v/>
      </c>
      <c r="J137" s="434" t="str">
        <f>IF(D137="","",((VLOOKUP(D137,'DB technologies'!$N$66:$Y$77,3,FALSE)*VLOOKUP($C$134,'DB animal categories'!$C$52:$AC$61,27,FALSE)*E137/1000)/VLOOKUP($C$134,'DB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'!$S$7/100*(1-VLOOKUP(D137,'DB technologies'!$N$66:$Y$77,9,FALSE)/100)))</f>
        <v/>
      </c>
      <c r="K137" s="434" t="str">
        <f>IF(D137="","",((VLOOKUP(D137,'DB technologies'!$N$66:$Y$77,4,FALSE)*E137*'DB additional information '!$S$8/100*(1-VLOOKUP(D137,'DB technologies'!$N$66:$Y$77,9,FALSE)/100))/VLOOKUP($C$134,'DB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L137" s="423" t="str">
        <f>IF('Calc (ex-animal)'!$F$8=1,"",IF(D137="","",(((VLOOKUP($C$134,'Calc (ex-animal)'!$D$28:$Y$32,6,FALSE)-VLOOKUP($C$134,'Calc (ex-animal)'!$D$28:$Y$32,17,FALSE))*F137/100))*(1-VLOOKUP($C$134,'Calc (ex-animal)'!$D$28:$Y$32,7,FALSE)/100)*(1-VLOOKUP(D137,'DB technologies'!$N$66:$V$77,8,FALSE)/100)))</f>
        <v/>
      </c>
      <c r="M137" s="434" t="str">
        <f>IF(D137="","",((VLOOKUP(D137,'DB technologies'!$N$66:$Y$77,2,FALSE)*VLOOKUP($C$134,'DB animal categories'!$C$52:$AC$61,27,FALSE)*E137/1000)/VLOOKUP($C$134,'DB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'!$S$6/100)*(1-VLOOKUP(D137,'DB technologies'!$N$66:$Y$77,9,FALSE)/100))</f>
        <v/>
      </c>
      <c r="N137" s="434" t="str">
        <f>IF(D137="","",((VLOOKUP(D137,'DB technologies'!$N$66:$Y$77,3,FALSE)*VLOOKUP($C$134,'DB animal categories'!$C$52:$AC$61,27,FALSE)*E137/1000)/VLOOKUP($C$134,'DB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'!$S$7/100)*(1-VLOOKUP(D137,'DB technologies'!$N$66:$Y$77,9,FALSE)/100))</f>
        <v/>
      </c>
      <c r="O137" s="423" t="str">
        <f>IF(D137="","",((VLOOKUP(D137,'DB technologies'!$N$66:$Y$77,4,FALSE)*E137*(1-'DB additional information '!$S$8/100)*(1-VLOOKUP(D137,'DB technologies'!$N$66:$Y$77,8,FALSE)/100))/VLOOKUP($C$134,'DB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P137" s="438" t="str">
        <f>IF(G137=0,0,IF(E137="","",IF(F137="","",IF($C$134=0,"",IF(D137="","",SUM(H137:K137)/G137*100)))))</f>
        <v/>
      </c>
      <c r="Q137" s="416" t="str">
        <f>IF(D137="","",(VLOOKUP(D137,'DB technologies'!$N$66:$Y$77,2,FALSE)*'DB additional information '!$S$6/100*'DB additional information '!$T$6*VLOOKUP($C$134,'DB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R137" s="416" t="str">
        <f>IF(D137="","",(VLOOKUP(D137,'DB technologies'!$N$66:$Y$77,3,FALSE)*'DB additional information '!$S$7/100*'DB additional information '!$T$7*VLOOKUP($C$134,'DB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S137" s="491" t="str">
        <f>IF(D137="","",(VLOOKUP(D137,'DB technologies'!$N$66:$Y$77,4,FALSE)*('DB additional information '!$S$8/100*'DB additional information '!$T$8*E137/1000/1000)))</f>
        <v/>
      </c>
      <c r="T137" s="264" t="str">
        <f>IF($C$134=0,"",IF('Calc (ex-animal)'!$F$9=1,"",IF(D137="","",((VLOOKUP($C$134,'Calc (ex-animal)'!$D$28:$Y$32,10,FALSE)-VLOOKUP($C$134,'Calc (ex-animal)'!$D$28:$Y$32,18,FALSE))*F137/100+Q137+R137+S137)-AC137-AD137-AE137)))</f>
        <v/>
      </c>
      <c r="U137" s="422" t="str">
        <f>IF(D137="","",(VLOOKUP(D137,'DB technologies'!$N$66:$Y$77,2,FALSE)*'DB additional information '!$S$6/100*'DB additional information '!$U$6*VLOOKUP($C$134,'DB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V137" s="418" t="str">
        <f>IF(D137="","",(VLOOKUP(D137,'DB technologies'!$N$66:$Y$77,3,FALSE)*'DB additional information '!$S$7/100*'DB additional information '!$U$7*VLOOKUP($C$134,'DB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W137" s="417" t="str">
        <f>IF(D137="","",(VLOOKUP(D137,'DB technologies'!$N$66:$Y$77,4,FALSE)*('DB additional information '!$S$8/100*'DB additional information '!$U$8*E137/1000/1000)))</f>
        <v/>
      </c>
      <c r="X137" s="261" t="str">
        <f>IF($C$134=0,"",IF('Calc (ex-animal)'!$F$9=1,"",IF(D137="","",((VLOOKUP($C$134,'Calc (ex-animal)'!$D$28:$Y$32,13,FALSE)-VLOOKUP($C$134,'Calc (ex-animal)'!$D$28:$Y$32,19,FALSE))*F137/100+U137+V137+W137))))</f>
        <v/>
      </c>
      <c r="Y137" s="418" t="str">
        <f>IF(D137="","",(VLOOKUP(D137,'DB technologies'!$N$66:$Y$77,2,FALSE)*'DB additional information '!$S$6/100*'DB additional information '!$V$6*VLOOKUP($C$134,'DB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Z137" s="418" t="str">
        <f>IF(D137="","",(VLOOKUP(D137,'DB technologies'!$N$66:$Y$77,3,FALSE)*'DB additional information '!$S$7/100*'DB additional information '!$V$7*VLOOKUP($C$134,'DB animal categories'!$C$52:$AC$61,27,FALSE)*E137/1000/1000)/VLOOKUP($C$134,'DB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AA137" s="418" t="str">
        <f>IF(D137="","",(VLOOKUP(D137,'DB technologies'!$N$66:$Y$77,4,FALSE)*('DB additional information '!$S$8/100*'DB additional information '!$V$8*E137/1000/1000)))</f>
        <v/>
      </c>
      <c r="AB137" s="261" t="str">
        <f>IF($C$134=0,"",IF('Calc (ex-animal)'!$F$8=1,"",IF(D137="","",((VLOOKUP($C$134,'Calc (ex-animal)'!$D$28:$Y$32,16,FALSE)-VLOOKUP($C$134,'Calc (ex-animal)'!$D$28:$Y$32,20,FALSE))*F137/100+Y137+Z137+AA137))))</f>
        <v/>
      </c>
      <c r="AC137" s="261" t="str">
        <f>IF($C$134=0,"",IF('Calc (ex-animal)'!$F$8=1,"",IF(D137="","",VLOOKUP($C$134,'Calc (ex-animal)'!$D$28:$Y$32,9,FALSE)/VLOOKUP($C$134,'DB animal categories'!$C$52:$AC$61,27,FALSE)*(VLOOKUP($C$134,'DB animal categories'!$C$52:$AC$61,27,FALSE)-VLOOKUP($C$134,'DB animal categories'!$C$52:$AC$61,25,FALSE)*VLOOKUP($C$134,'DB animal categories'!$C$52:$AC$61,26,FALSE)/24)*F137/100*VLOOKUP(D137,'DB technologies'!$N$66:$R$77,5,FALSE)/100)))</f>
        <v/>
      </c>
      <c r="AD137" s="261" t="str">
        <f>IF($C$134=0,"",IF('Calc (ex-animal)'!$F$8=1,"",IF(D137="","",VLOOKUP($C$134,'Calc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categories'!$C$52:$AC$61,26,FALSE)/24)*F137/100*VLOOKUP(D137,'DB technologies'!$N$66:$Y$77,6,FALSE)/100)))</f>
        <v/>
      </c>
      <c r="AE137" s="262" t="str">
        <f>IF($C$134=0,"",IF('Calc (ex-animal)'!$F$8=1,"",IF(D137="","",VLOOKUP($C$134,'Calc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categories'!$C$52:$AC$61,26,FALSE)/24)*F137/100*VLOOKUP(D137,'DB technologies'!$N$66:$Y$77,7,FALSE)/100)))</f>
        <v/>
      </c>
      <c r="AG137" s="698"/>
      <c r="AH137" s="695"/>
      <c r="AI137" s="181" t="str">
        <f>IF(D137="","",VLOOKUP(D137,'DB technologies'!$N$66:$Y$77,10,FALSE))</f>
        <v/>
      </c>
      <c r="AJ137" s="449" t="e">
        <f>VLOOKUP($C$134,'DB animal categories'!$C$52:$AN$61,27,FALSE)-VLOOKUP($C$134,'DB animal categories'!$C$52:$AN$61,26,FALSE)*VLOOKUP($C$134,'DB animal categories'!$C$52:$AN$61,25,FALSE)/24</f>
        <v>#N/A</v>
      </c>
      <c r="AK137" s="442" t="str">
        <f>IF(AI137="","",AL137+AM137)</f>
        <v/>
      </c>
      <c r="AL137" s="442" t="str">
        <f>IF(D137="","",IF(AI137=2,(('Calc (ex-animal)'!$G$29*'DB additional information '!$K$9/100*(1-VLOOKUP(D137,'DB technologies'!$N$66:$Y$77,9,FALSE)/100)*'Calc (ex-housing, ex-storage)'!F137/100+'Calc (ex-animal)'!$H$29*'DB additional information '!$L$9/100*(1-VLOOKUP(D137,'DB technologies'!$N$66:$Y$77,9,FALSE)/100)*'Calc (ex-housing, ex-storage)'!F137/100))/VLOOKUP($C$134,'DB animal categories'!$C$52:$AC$61,27,FALSE)*AJ137+I137+J137+K137,IF(AI137=1,('Calc (ex-animal)'!$H$29*'DB additional information '!$L$9/100*(1-VLOOKUP(D137,'DB technologies'!$N$66:$Y$77,9,FALSE)/100)*'Calc (ex-housing, ex-storage)'!F137/100)/VLOOKUP($C$134,'DB animal categories'!$C$52:$AC$61,27,FALSE)*AJ137,IF(AI137=4,('Calc (ex-animal)'!$G$29*'DB additional information '!$K$9/100+'Calc (ex-animal)'!$H$29*'DB additional information '!$L$9/100)*(1-VLOOKUP(D137,'DB technologies'!$N$66:$Y$77,9,FALSE)/100)*'Calc (ex-housing, ex-storage)'!F137/100*VLOOKUP(D137,'DB technologies'!$N$66:$Y$77,11,FALSE)/100/VLOOKUP($C$134,'DB animal categories'!$C$52:$AC$61,27,FALSE)*AJ137,0))))</f>
        <v/>
      </c>
      <c r="AM137" s="442" t="str">
        <f>IF(D137="","",IF(AI137=2,(('Calc (ex-animal)'!$G$29*(1-'DB additional information '!$K$9/100)*(1-VLOOKUP(D137,'DB technologies'!$N$66:$Y$77,8,FALSE)/100)*'Calc (ex-housing, ex-storage)'!F137/100+'Calc (ex-animal)'!$H$29*(1-'DB additional information '!$L$9/100)*(1-VLOOKUP(D137,'DB technologies'!$N$66:$Y$77,8,FALSE)/100)*'Calc (ex-housing, ex-storage)'!F137/100))/VLOOKUP($C$134,'DB animal categories'!$C$52:$AC$61,27,FALSE)*AJ137+M137+N137+O137,IF(AI137=1,('Calc (ex-animal)'!$H$29*(1-'DB additional information '!$L$9/100)*(1-VLOOKUP(D137,'DB technologies'!$N$66:$Y$77,8,FALSE)/100)*'Calc (ex-housing, ex-storage)'!F137/100)/VLOOKUP($C$134,'DB animal categories'!$C$52:$AC$61,27,FALSE)*AJ137,IF(AI137=4,('Calc (ex-animal)'!$G$29*(1-'DB additional information '!$K$9/100)+'Calc (ex-animal)'!$H$29*(1-'DB additional information '!$L$9/100))*(1-VLOOKUP(D137,'DB technologies'!$N$66:$Y$77,8,FALSE)/100)*'Calc (ex-housing, ex-storage)'!F137/100*VLOOKUP(D137,'DB technologies'!$N$66:$Y$77,11,FALSE)/100/VLOOKUP($C$134,'DB animal categories'!$C$52:$AC$61,27,FALSE)*AJ137,0))))</f>
        <v/>
      </c>
      <c r="AN137" s="442" t="str">
        <f>IF(AI137="","",IF(AL137=0,0,AL137/AK137*100))</f>
        <v/>
      </c>
      <c r="AO137" s="182" t="str">
        <f>IF(D137="","",IF(AI137=2,(('Calc (ex-animal)'!$L$29*'Calc (ex-housing, ex-storage)'!F137/100+'Calc (ex-animal)'!$K$29*'Calc (ex-housing, ex-storage)'!F137/100))/VLOOKUP($C$134,'DB animal categories'!$C$52:$AC$61,27,FALSE)*AJ137+Q137+R137+S137-AC137,IF(AI137=1,('Calc (ex-animal)'!$L$29*'Calc (ex-housing, ex-storage)'!F137/100)/VLOOKUP($C$134,'DB animal categories'!$C$52:$AC$61,27,FALSE)*AJ137-'Calc (ex-housing, ex-storage)'!AC137,IF(AI137=4,('Calc (ex-animal)'!$L$29+'Calc (ex-animal)'!$K$29)*'Calc (ex-housing, ex-storage)'!F137/100*VLOOKUP(D137,'DB technologies'!$N$66:$Y$77,11,FALSE)/100/VLOOKUP($C$134,'DB animal categories'!$C$52:$AC$61,27,FALSE)*AJ137-AC137*VLOOKUP(D137,'DB technologies'!$N$66:$Y$77,11,FALSE)/100,0))))</f>
        <v/>
      </c>
      <c r="AP137" s="182" t="str">
        <f>IF(D137="","",IF(AO137&lt;-0.01,0,IF(AI137=2,(('Calc (ex-animal)'!$L$29*'Calc (ex-housing, ex-storage)'!F137/100+'Calc (ex-animal)'!$K$29*'Calc (ex-housing, ex-storage)'!F137/100))/VLOOKUP($C$134,'DB animal categories'!$C$52:$AC$61,27,FALSE)*AJ137+Q137+R137+S137-AC137,IF(AI137=1,('Calc (ex-animal)'!$L$29*'Calc (ex-housing, ex-storage)'!F137/100)/VLOOKUP($C$134,'DB animal categories'!$C$52:$AC$61,27,FALSE)*AJ137-'Calc (ex-housing, ex-storage)'!AC137,IF(AI137=4,('Calc (ex-animal)'!$L$29+'Calc (ex-animal)'!$K$29)*'Calc (ex-housing, ex-storage)'!F137/100*VLOOKUP(D137,'DB technologies'!$N$66:$Y$77,11,FALSE)/100/VLOOKUP($C$134,'DB animal categories'!$C$52:$AC$61,27,FALSE)*AJ137-AC137*VLOOKUP(D137,'DB technologies'!$N$66:$Y$77,11,FALSE)/100,0)))))</f>
        <v/>
      </c>
      <c r="AQ137" s="182" t="str">
        <f>IF(D137="","",IF(AI137=2,('Calc (ex-animal)'!$O$29*'Calc (ex-housing, ex-storage)'!F137/100+'Calc (ex-animal)'!$N$29*'Calc (ex-housing, ex-storage)'!F137/100)/VLOOKUP($C$134,'DB animal categories'!$C$52:$AC$61,27,FALSE)*AJ137+U137+V137+W137,IF(AI137=1,'Calc (ex-animal)'!$O$29*'Calc (ex-housing, ex-storage)'!F137/100/VLOOKUP($C$134,'DB animal categories'!$C$52:$AC$61,27,FALSE)*AJ137,IF(AI137=4,('Calc (ex-animal)'!$O$29+'Calc (ex-animal)'!$N$29)*'Calc (ex-housing, ex-storage)'!F137/100*VLOOKUP(D137,'DB technologies'!$N$66:$Y$77,11,FALSE)/100/VLOOKUP($C$134,'DB animal categories'!$C$52:$AC$61,27,FALSE)*AJ137,0))))</f>
        <v/>
      </c>
      <c r="AR137" s="182" t="str">
        <f>IF(D137="","",IF(AI137=2,('Calc (ex-animal)'!$R$29*'Calc (ex-housing, ex-storage)'!F137/100+'Calc (ex-animal)'!$Q$29*'Calc (ex-housing, ex-storage)'!F137/100)/VLOOKUP($C$134,'DB animal categories'!$C$52:$AC$61,27,FALSE)*AJ137+Y137+Z137+AA137,IF(AI137=1,'Calc (ex-animal)'!$R$29*'Calc (ex-housing, ex-storage)'!F137/100/VLOOKUP($C$134,'DB animal categories'!$C$52:$AC$61,27,FALSE)*AJ137,IF(AI137=4,('Calc (ex-animal)'!$R$29+'Calc (ex-animal)'!$Q$29)*'Calc (ex-housing, ex-storage)'!F137/100*VLOOKUP(D137,'DB technologies'!$N$66:$Y$77,11,FALSE)/100/VLOOKUP($C$134,'DB animal categories'!$C$52:$AC$61,27,FALSE)*AJ137,0))))</f>
        <v/>
      </c>
      <c r="AS137" s="181" t="str">
        <f>IF(D137="","",VLOOKUP(D137,'DB technologies'!$N$66:$Y$77,10,FALSE))</f>
        <v/>
      </c>
      <c r="AT137" s="442" t="str">
        <f>IF(AS137="","",AU137+AV137)</f>
        <v/>
      </c>
      <c r="AU137" s="442" t="str">
        <f>IF(D137="","",IF(AS137=2,0,IF(AS137=1,'Calc (ex-animal)'!$G$29*'DB additional information '!$K$9/100*(1-VLOOKUP(D137,'DB technologies'!$N$66:$Y$77,8,FALSE)/100)*'Calc (ex-housing, ex-storage)'!F137/100/VLOOKUP($C$134,'DB animal categories'!$C$52:$AC$61,27,FALSE)*AJ137+I137+J137+K137,IF(AS137=5,(('Calc (ex-animal)'!$G$29*'DB additional information '!$K$9/100+'Calc (ex-animal)'!$H$29*'DB additional information '!$L$9/100))*(1-VLOOKUP(D137,'DB technologies'!$N$66:$Y$77,9,FALSE)/100)*'Calc (ex-housing, ex-storage)'!F137/100/VLOOKUP($C$134,'DB animal categories'!$C$52:$AC$61,27,FALSE)*AJ137+I137+J137+K137,IF(AS137=3,('Calc (ex-animal)'!$G$29*'DB additional information '!$K$9/100+'Calc (ex-animal)'!$H$29*'DB additional information '!$L$9/100)*(1-VLOOKUP(D137,'DB technologies'!$N$66:$Y$77,9,FALSE)/100)*'Calc (ex-housing, ex-storage)'!F137/100/VLOOKUP($C$134,'DB animal categories'!$C$52:$AC$61,27,FALSE)*AJ137+I137+J137+K137,IF(AS137=4,('Calc (ex-animal)'!$G$29*'DB additional information '!$K$9/100+'Calc (ex-animal)'!$H$29*'DB additional information '!$L$9/100)*(1-VLOOKUP(D137,'DB technologies'!$N$66:$Y$77,9,FALSE)/100)*'Calc (ex-housing, ex-storage)'!F137/100*VLOOKUP(D137,'DB technologies'!$N$66:$Y$77,12,FALSE)/100/VLOOKUP($C$134,'DB animal categories'!$C$52:$AC$61,27,FALSE)*AJ137+I137+J137+K137,0))))))</f>
        <v/>
      </c>
      <c r="AV137" s="442" t="str">
        <f>IF(D137="","",IF(AS137=2,0,IF(AS137=1,'Calc (ex-animal)'!$G$29*(1-'DB additional information '!$K$9/100)*(1-VLOOKUP(D137,'DB technologies'!$N$66:$Y$77,8,FALSE)/100)*'Calc (ex-housing, ex-storage)'!F137/100/VLOOKUP($C$134,'DB animal categories'!$C$52:$AC$61,27,FALSE)*AJ137+M137+N137+O137,IF(AS137=5,('Calc (ex-animal)'!$G$29*(1-'DB additional information '!$K$9/100)+'Calc (ex-animal)'!$H$29*(1-'DB additional information '!$L$9/100))*(1-VLOOKUP(D137,'DB technologies'!$N$66:$Y$77,8,FALSE)/100)*'Calc (ex-housing, ex-storage)'!F137/100/VLOOKUP($C$134,'DB animal categories'!$C$52:$AC$61,27,FALSE)*AJ137+M137+N137+O137,IF(AS137=3,('Calc (ex-animal)'!$G$29*(1-'DB additional information '!$K$9/100)+'Calc (ex-animal)'!$H$29*(1-'DB additional information '!$L$9/100))*(1-VLOOKUP(D137,'DB technologies'!$N$66:$Y$77,8,FALSE)/100)*'Calc (ex-housing, ex-storage)'!F137/100/VLOOKUP($C$134,'DB animal categories'!$C$52:$AC$61,27,FALSE)*AJ137+M137+N137+O137,IF(AS137=4,('Calc (ex-animal)'!$G$29*(1-'DB additional information '!$K$9/100)+'Calc (ex-animal)'!$H$29*(1-'DB additional information '!$L$9/100))*(1-VLOOKUP(D137,'DB technologies'!$N$66:$Y$77,8,FALSE)/100)*'Calc (ex-housing, ex-storage)'!F137/100*VLOOKUP(D137,'DB technologies'!$N$66:$Y$77,12,FALSE)/100/VLOOKUP($C$134,'DB animal categories'!$C$52:$AC$61,27,FALSE)*AJ137+M137+N137+O137,0))))))</f>
        <v/>
      </c>
      <c r="AW137" s="442" t="str">
        <f>IF(AS137="","",IF(AU137=0,0,AU137/AT137*100))</f>
        <v/>
      </c>
      <c r="AX137" s="182" t="str">
        <f>IF(D137="","",IF(AS137=2,0,IF(AS137=1,'Calc (ex-animal)'!$K$29*'Calc (ex-housing, ex-storage)'!F137/100/VLOOKUP($C$134,'DB animal categories'!$C$52:$AC$61,27,FALSE)*AJ137+Q137+R137+S137,IF(AS137=5,('Calc (ex-animal)'!$K$29+'Calc (ex-animal)'!$L$29)*'Calc (ex-housing, ex-storage)'!F137/100/VLOOKUP($C$134,'DB animal categories'!$C$52:$AC$61,27,FALSE)*AJ137+Q137+R137+S137-'Calc (ex-housing, ex-storage)'!AC137,IF(AS137=3,('Calc (ex-animal)'!$K$29+'Calc (ex-animal)'!$L$29)*'Calc (ex-housing, ex-storage)'!F137/100/VLOOKUP($C$134,'DB animal categories'!$C$52:$AC$61,27,FALSE)*AJ137+Q137+R137+S137-'Calc (ex-housing, ex-storage)'!AC137-AD137-AE137,IF(AI137=4,('Calc (ex-animal)'!$K$29+'Calc (ex-animal)'!$L$29)*'Calc (ex-housing, ex-storage)'!F137/100*VLOOKUP(D137,'DB technologies'!$N$66:$Y$77,12,FALSE)/100/VLOOKUP($C$134,'DB animal categories'!$C$52:$AC$61,27,FALSE)*AJ137+Q137+R137+S137-(VLOOKUP(D137,'DB technologies'!$N$66:$Y$77,12,FALSE)/100*AC137)-AD137-AE137,0))))))</f>
        <v/>
      </c>
      <c r="AY137" s="182" t="str">
        <f>IF(D137="","",IF(AS137=2,0,IF(AS137=1,'Calc (ex-animal)'!$N$29*'Calc (ex-housing, ex-storage)'!F137/100/VLOOKUP($C$134,'DB animal categories'!$C$52:$AC$61,27,FALSE)*AJ137+U137+V137+W137,IF(AS137=5,('Calc (ex-animal)'!$N$29+'Calc (ex-animal)'!$O$29)*'Calc (ex-housing, ex-storage)'!F137/100/VLOOKUP($C$134,'DB animal categories'!$C$52:$AC$61,27,FALSE)*AJ137+U137+V137+W137,IF(AS137=3,('Calc (ex-animal)'!$N$29+'Calc (ex-animal)'!$O$29)*'Calc (ex-housing, ex-storage)'!F137/100/VLOOKUP($C$134,'DB animal categories'!$C$52:$AC$61,27,FALSE)*AJ137+U137+V137+W137,IF(AS137=4,('Calc (ex-animal)'!$N$29+'Calc (ex-animal)'!$O$29)*'Calc (ex-housing, ex-storage)'!F137/100*VLOOKUP(D137,'DB technologies'!$N$66:$Y$77,12,FALSE)/100/VLOOKUP($C$134,'DB animal categories'!$C$52:$AC$61,27,FALSE)*AJ137+U137+V137+W137,0))))))</f>
        <v/>
      </c>
      <c r="AZ137" s="182" t="str">
        <f>IF(D137="","",IF(AS137=2,0,IF(AS137=1,'Calc (ex-animal)'!$Q$29*'Calc (ex-housing, ex-storage)'!F137/100/VLOOKUP($C$134,'DB animal categories'!$C$52:$AC$61,27,FALSE)*AJ137+Y137+Z137+AA137,IF(AS137=5,('Calc (ex-animal)'!$Q$29+'Calc (ex-animal)'!$R$29)*'Calc (ex-housing, ex-storage)'!F137/100/VLOOKUP($C$134,'DB animal categories'!$C$52:$AC$61,27,FALSE)*AJ137+Y137+Z137+AA137,IF(AS137=3,('Calc (ex-animal)'!$Q$29+'Calc (ex-animal)'!$R$29)*'Calc (ex-housing, ex-storage)'!F137/100/VLOOKUP($C$134,'DB animal categories'!$C$52:$AC$61,27,FALSE)*AJ137+Y137+Z137+AA137,IF(AS137=4,('Calc (ex-animal)'!$Q$29+'Calc (ex-animal)'!$R$29)*'Calc (ex-housing, ex-storage)'!F137/100*VLOOKUP(D137,'DB technologies'!$N$66:$Y$77,12,FALSE)/100/VLOOKUP($C$134,'DB animal categories'!$C$52:$AC$61,27,FALSE)*AJ137+Y137+Z137+AA137,0))))))</f>
        <v/>
      </c>
      <c r="BA137" s="506"/>
      <c r="BB137" s="506"/>
      <c r="BC137" s="506"/>
      <c r="BG137" s="1357"/>
      <c r="BH137" s="1361"/>
      <c r="BI137" s="598" t="str">
        <f>IF(BG137="","",$BA$134*BH137/100-($BB$134*BH137/100*VLOOKUP(BG137,'DB technologies'!$AC$21:$AT$25,5,FALSE)/100)+(VLOOKUP(BG137,'DB technologies'!$AC$21:$AT$25,12,FALSE)*$BA$134*BH137/100))</f>
        <v/>
      </c>
      <c r="BJ137" s="551">
        <f>IF(BI137="",0,BI137*BK137/100)</f>
        <v>0</v>
      </c>
      <c r="BK137" s="571" t="str">
        <f>IF(BG137="","",IF($BA$134=0,0,($BB$134*BH137/100)/BI137*(1-(VLOOKUP(BG137,'DB technologies'!$AC$21:$AQ$25,5,FALSE))/100)*100))</f>
        <v/>
      </c>
      <c r="BL137" s="261" t="str">
        <f>IF(BG137="","",$BD$134*BH137/100-BO137-BP137-BQ137-BR137)</f>
        <v/>
      </c>
      <c r="BM137" s="261" t="str">
        <f>IF(BG137="","",$BE$134*BH137/100-BS137)</f>
        <v/>
      </c>
      <c r="BN137" s="261" t="str">
        <f>IF(BG137="","",$BF$134*BH137/100-BT137)</f>
        <v/>
      </c>
      <c r="BO137" s="261" t="str">
        <f>IF(BG137="","",$BD$134*BH137/100*VLOOKUP(BG137,'DB technologies'!$AC$16:$AF$20,2,FALSE)/100)</f>
        <v/>
      </c>
      <c r="BP137" s="261" t="str">
        <f>IF(BG137="","",$BD$134*BH137/100*VLOOKUP(BG137,'DB technologies'!$AC$16:$AN$20,3,FALSE)/100)</f>
        <v/>
      </c>
      <c r="BQ137" s="262" t="str">
        <f>IF(BG137="","",$BD$134*BH137/100*VLOOKUP(BG137,'DB technologies'!$AC$16:$AN$20,4,FALSE)/100)</f>
        <v/>
      </c>
      <c r="BR137" s="264" t="str">
        <f>IF(BG137="","",VLOOKUP(BG137,'DB technologies'!$AC$16:$AQ$20,13,FALSE)/100*$BD$134*BH137/100)</f>
        <v/>
      </c>
      <c r="BS137" s="261" t="str">
        <f>IF(BG137="","",VLOOKUP(BG137,'DB technologies'!$AC$16:$AQ$20,14,FALSE)/100*$BE$134*BH137/100)</f>
        <v/>
      </c>
      <c r="BT137" s="262" t="str">
        <f>IF(BG137="","",VLOOKUP(BG137,'DB technologies'!$AC$16:$AQ$20,15,FALSE)/100*$BF$134*BH137/100)</f>
        <v/>
      </c>
    </row>
    <row r="138" spans="1:72" ht="11.25" customHeight="1" thickBot="1" x14ac:dyDescent="0.25">
      <c r="A138" s="684"/>
      <c r="B138" s="695"/>
      <c r="C138" s="251"/>
      <c r="D138" s="1359"/>
      <c r="E138" s="1360"/>
      <c r="F138" s="481" t="str">
        <f>IF('Calc (ex-animal)'!$F$9=1,"",IF($C$134=0,"",IF(D138="","",E138/'Calc (ex-animal)'!$E$29*100)))</f>
        <v/>
      </c>
      <c r="G138" s="483" t="str">
        <f>IF($C$134=0,"",IF('Calc (ex-animal)'!$F$8=1,"",IF(D138="","",SUM(H138:O138))))</f>
        <v/>
      </c>
      <c r="H138" s="445" t="str">
        <f>IF('Calc (ex-animal)'!$F$8=1,"",IF(D138="","",(((VLOOKUP($C$134,'Calc (ex-animal)'!$D$28:$Y$32,6,FALSE)-VLOOKUP($C$134,'Calc (ex-animal)'!$D$28:$Y$32,17,FALSE))*F138/100))*VLOOKUP($C$134,'Calc (ex-animal)'!$D$28:$Y$32,7,FALSE)/100*(1-VLOOKUP(D138,'DB technologies'!$N$66:$Y$77,9,FALSE)/100)))</f>
        <v/>
      </c>
      <c r="I138" s="445" t="str">
        <f>IF(D138="","",((VLOOKUP(D138,'DB technologies'!$N$66:$Y$77,2,FALSE)*VLOOKUP($C$134,'DB animal categories'!$C$52:$AC$61,27,FALSE)*E138/1000)/VLOOKUP($C$134,'DB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'!$S$6/100*(1-VLOOKUP(D138,'DB technologies'!$N$66:$Y$77,9,FALSE)/100)))</f>
        <v/>
      </c>
      <c r="J138" s="446" t="str">
        <f>IF(D138="","",((VLOOKUP(D138,'DB technologies'!$N$66:$Y$77,3,FALSE)*VLOOKUP($C$134,'DB animal categories'!$C$52:$AC$61,27,FALSE)*E138/1000)/VLOOKUP($C$134,'DB animal categories'!$C$52:$AC$61,27,FALSE)*(VLOOKUP($C$134,'DB animal categories'!$C$52:$AC$61,27,FALSE)-(VLOOKUP($C$134,'DB animal categories'!$C$52:$AC$61,25,FALSE)*VLOOKUP($C$134,'DB animal categories'!$C$52:$AC$61,26,FALSE)/24))*'DB additional information '!$S$7/100*(1-VLOOKUP(D138,'DB technologies'!$N$66:$Y$77,9,FALSE)/100)))</f>
        <v/>
      </c>
      <c r="K138" s="446" t="str">
        <f>IF(D138="","",((VLOOKUP(D138,'DB technologies'!$N$66:$Y$77,4,FALSE)*E138*'DB additional information '!$S$8/100*(1-VLOOKUP(D138,'DB technologies'!$N$66:$Y$77,9,FALSE)/100))/VLOOKUP($C$134,'DB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L138" s="445" t="str">
        <f>IF('Calc (ex-animal)'!$F$8=1,"",IF(D138="","",(((VLOOKUP($C$134,'Calc (ex-animal)'!$D$28:$Y$32,6,FALSE)-VLOOKUP($C$134,'Calc (ex-animal)'!$D$28:$Y$32,17,FALSE))*F138/100))*(1-VLOOKUP($C$134,'Calc (ex-animal)'!$D$28:$Y$32,7,FALSE)/100)*(1-VLOOKUP(D138,'DB technologies'!$N$66:$V$77,8,FALSE)/100)))</f>
        <v/>
      </c>
      <c r="M138" s="446" t="str">
        <f>IF(D138="","",((VLOOKUP(D138,'DB technologies'!$N$66:$Y$77,2,FALSE)*VLOOKUP($C$134,'DB animal categories'!$C$52:$AC$61,27,FALSE)*E138/1000)/VLOOKUP($C$134,'DB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'!$S$6/100)*(1-VLOOKUP(D138,'DB technologies'!$N$66:$Y$77,9,FALSE)/100))</f>
        <v/>
      </c>
      <c r="N138" s="446" t="str">
        <f>IF(D138="","",((VLOOKUP(D138,'DB technologies'!$N$66:$Y$77,3,FALSE)*VLOOKUP($C$134,'DB animal categories'!$C$52:$AC$61,27,FALSE)*E138/1000)/VLOOKUP($C$134,'DB animal categories'!$C$52:$AC$61,27,FALSE)*(VLOOKUP($C$134,'DB animal categories'!$C$52:$AC$61,27,FALSE)-VLOOKUP($C$134,'DB animal categories'!$C$52:$AC$61,25,FALSE)*VLOOKUP($C$134,'DB animal categories'!$C$52:$AC$61,26,FALSE)/24))*(1-'DB additional information '!$S$7/100)*(1-VLOOKUP(D138,'DB technologies'!$N$66:$Y$77,9,FALSE)/100))</f>
        <v/>
      </c>
      <c r="O138" s="445" t="str">
        <f>IF(D138="","",((VLOOKUP(D138,'DB technologies'!$N$66:$Y$77,4,FALSE)*E138*(1-'DB additional information '!$S$8/100)*(1-VLOOKUP(D138,'DB technologies'!$N$66:$Y$77,8,FALSE)/100))/VLOOKUP($C$134,'DB animal categories'!$C$52:$AC$61,27,FALSE)*(VLOOKUP($C$134,'DB animal categories'!$C$52:$AC$61,27,FALSE)-VLOOKUP($C$134,'DB animal categories'!$C$52:$AC$61,25,FALSE)*VLOOKUP($C$134,'DB animal categories'!$C$52:$AC$61,26,FALSE)/24)))</f>
        <v/>
      </c>
      <c r="P138" s="444" t="str">
        <f>IF(G138=0,0,IF(E138="","",IF(F138="","",IF($C$134=0,"",IF(D138="","",SUM(H138:K138)/G138*100)))))</f>
        <v/>
      </c>
      <c r="Q138" s="476" t="str">
        <f>IF(D138="","",(VLOOKUP(D138,'DB technologies'!$N$66:$Y$77,2,FALSE)*'DB additional information '!$S$6/100*'DB additional information '!$T$6*VLOOKUP($C$134,'DB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R138" s="476" t="str">
        <f>IF(D138="","",(VLOOKUP(D138,'DB technologies'!$N$66:$Y$77,3,FALSE)*'DB additional information '!$S$7/100*'DB additional information '!$T$7*VLOOKUP($C$134,'DB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S138" s="494" t="str">
        <f>IF(D138="","",(VLOOKUP(D138,'DB technologies'!$N$66:$Y$77,4,FALSE)*('DB additional information '!$S$8/100*'DB additional information '!$T$8*E138/1000/1000)))</f>
        <v/>
      </c>
      <c r="T138" s="266" t="str">
        <f>IF($C$134=0,"",IF('Calc (ex-animal)'!$F$9=1,"",IF(D138="","",((VLOOKUP($C$134,'Calc (ex-animal)'!$D$28:$Y$32,10,FALSE)-VLOOKUP($C$134,'Calc (ex-animal)'!$D$28:$Y$32,18,FALSE))*F138/100+Q138+R138+S138)-AC138-AD138-AE138)))</f>
        <v/>
      </c>
      <c r="U138" s="477" t="str">
        <f>IF(D138="","",(VLOOKUP(D138,'DB technologies'!$N$66:$Y$77,2,FALSE)*'DB additional information '!$S$6/100*'DB additional information '!$U$6*VLOOKUP($C$134,'DB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V138" s="433" t="str">
        <f>IF(D138="","",(VLOOKUP(D138,'DB technologies'!$N$66:$Y$77,3,FALSE)*'DB additional information '!$S$7/100*'DB additional information '!$U$7*VLOOKUP($C$134,'DB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W138" s="475" t="str">
        <f>IF(D138="","",(VLOOKUP(D138,'DB technologies'!$N$66:$Y$77,4,FALSE)*('DB additional information '!$S$8/100*'DB additional information '!$U$8*E138/1000/1000)))</f>
        <v/>
      </c>
      <c r="X138" s="267" t="str">
        <f>IF($C$134=0,"",IF('Calc (ex-animal)'!$F$9=1,"",IF(D138="","",((VLOOKUP($C$134,'Calc (ex-animal)'!$D$28:$Y$32,13,FALSE)-VLOOKUP($C$134,'Calc (ex-animal)'!$D$28:$Y$32,19,FALSE))*F138/100+U138+V138+W138))))</f>
        <v/>
      </c>
      <c r="Y138" s="433" t="str">
        <f>IF(D138="","",(VLOOKUP(D138,'DB technologies'!$N$66:$Y$77,2,FALSE)*'DB additional information '!$S$6/100*'DB additional information '!$V$6*VLOOKUP($C$134,'DB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Z138" s="433" t="str">
        <f>IF(D138="","",(VLOOKUP(D138,'DB technologies'!$N$66:$Y$77,3,FALSE)*'DB additional information '!$S$7/100*'DB additional information '!$V$7*VLOOKUP($C$134,'DB animal categories'!$C$52:$AC$61,27,FALSE)*E138/1000/1000)/VLOOKUP($C$134,'DB animal categories'!$C$52:$AC$61,27,FALSE)*(VLOOKUP($C$134,'DB animal categories'!$C$52:$AC$61,27,FALSE)-VLOOKUP($C$134,'DB animal categories'!$C$52:$AC$61,25,FALSE)*VLOOKUP($C$134,'DB animal categories'!$C$52:$AC$61,26,FALSE)/24))</f>
        <v/>
      </c>
      <c r="AA138" s="433" t="str">
        <f>IF(D138="","",(VLOOKUP(D138,'DB technologies'!$N$66:$Y$77,4,FALSE)*('DB additional information '!$S$8/100*'DB additional information '!$V$8*E138/1000/1000)))</f>
        <v/>
      </c>
      <c r="AB138" s="267" t="str">
        <f>IF($C$134=0,"",IF('Calc (ex-animal)'!$F$8=1,"",IF(D138="","",((VLOOKUP($C$134,'Calc (ex-animal)'!$D$28:$Y$32,16,FALSE)-VLOOKUP($C$134,'Calc (ex-animal)'!$D$28:$Y$32,20,FALSE))*F138/100+Y138+Z138+AA138))))</f>
        <v/>
      </c>
      <c r="AC138" s="267" t="str">
        <f>IF($C$134=0,"",IF('Calc (ex-animal)'!$F$8=1,"",IF(D138="","",VLOOKUP($C$134,'Calc (ex-animal)'!$D$28:$Y$32,9,FALSE)/VLOOKUP($C$134,'DB animal categories'!$C$52:$AC$61,27,FALSE)*(VLOOKUP($C$134,'DB animal categories'!$C$52:$AC$61,27,FALSE)-VLOOKUP($C$134,'DB animal categories'!$C$52:$AC$61,25,FALSE)*VLOOKUP($C$134,'DB animal categories'!$C$52:$AC$61,26,FALSE)/24)*F138/100*VLOOKUP(D138,'DB technologies'!$N$66:$R$77,5,FALSE)/100)))</f>
        <v/>
      </c>
      <c r="AD138" s="267" t="str">
        <f>IF($C$134=0,"",IF('Calc (ex-animal)'!$F$8=1,"",IF(D138="","",VLOOKUP($C$134,'Calc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categories'!$C$52:$AC$61,26,FALSE)/24)*F138/100*VLOOKUP(D138,'DB technologies'!$N$66:$Y$77,6,FALSE)/100)))</f>
        <v/>
      </c>
      <c r="AE138" s="268" t="str">
        <f>IF($C$134=0,"",IF('Calc (ex-animal)'!$F$8=1,"",IF(D138="","",VLOOKUP($C$134,'Calc (ex-animal)'!$D$28:$Y$32,10,FALSE)/VLOOKUP($C$134,'DB animal categories'!$C$52:$AC$61,27,FALSE)*(VLOOKUP($C$134,'DB animal categories'!$C$52:$AC$61,27,FALSE)-VLOOKUP($C$134,'DB animal categories'!$C$52:$AC$61,25,FALSE)*VLOOKUP($C$134,'DB animal categories'!$C$52:$AC$61,26,FALSE)/24)*F138/100*VLOOKUP(D138,'DB technologies'!$N$66:$Y$77,7,FALSE)/100)))</f>
        <v/>
      </c>
      <c r="AG138" s="698"/>
      <c r="AH138" s="695"/>
      <c r="AI138" s="183" t="str">
        <f>IF(D138="","",VLOOKUP(D138,'DB technologies'!$N$66:$Y$77,10,FALSE))</f>
        <v/>
      </c>
      <c r="AJ138" s="451" t="e">
        <f>VLOOKUP($C$134,'DB animal categories'!$C$52:$AN$61,27,FALSE)-VLOOKUP($C$134,'DB animal categories'!$C$52:$AN$61,26,FALSE)*VLOOKUP($C$134,'DB animal categories'!$C$52:$AN$61,25,FALSE)/24</f>
        <v>#N/A</v>
      </c>
      <c r="AK138" s="452" t="str">
        <f>IF(AI138="","",AL138+AM138)</f>
        <v/>
      </c>
      <c r="AL138" s="452" t="str">
        <f>IF(D138="","",IF(AI138=2,(('Calc (ex-animal)'!$G$29*'DB additional information '!$K$9/100*(1-VLOOKUP(D138,'DB technologies'!$N$66:$Y$77,9,FALSE)/100)*'Calc (ex-housing, ex-storage)'!F138/100+'Calc (ex-animal)'!$H$29*'DB additional information '!$L$9/100*(1-VLOOKUP(D138,'DB technologies'!$N$66:$Y$77,9,FALSE)/100)*'Calc (ex-housing, ex-storage)'!F138/100))/VLOOKUP($C$134,'DB animal categories'!$C$52:$AC$61,27,FALSE)*AJ138+I138+J138+K138,IF(AI138=1,('Calc (ex-animal)'!$H$29*'DB additional information '!$L$9/100*(1-VLOOKUP(D138,'DB technologies'!$N$66:$Y$77,9,FALSE)/100)*'Calc (ex-housing, ex-storage)'!F138/100)/VLOOKUP($C$134,'DB animal categories'!$C$52:$AC$61,27,FALSE)*AJ138,IF(AI138=4,('Calc (ex-animal)'!$G$29*'DB additional information '!$K$9/100+'Calc (ex-animal)'!$H$29*'DB additional information '!$L$9/100)*(1-VLOOKUP(D138,'DB technologies'!$N$66:$Y$77,9,FALSE)/100)*'Calc (ex-housing, ex-storage)'!F138/100*VLOOKUP(D138,'DB technologies'!$N$66:$Y$77,11,FALSE)/100/VLOOKUP($C$134,'DB animal categories'!$C$52:$AC$61,27,FALSE)*AJ138,0))))</f>
        <v/>
      </c>
      <c r="AM138" s="452" t="str">
        <f>IF(D138="","",IF(AI138=2,(('Calc (ex-animal)'!$G$29*(1-'DB additional information '!$K$9/100)*(1-VLOOKUP(D138,'DB technologies'!$N$66:$Y$77,8,FALSE)/100)*'Calc (ex-housing, ex-storage)'!F138/100+'Calc (ex-animal)'!$H$29*(1-'DB additional information '!$L$9/100)*(1-VLOOKUP(D138,'DB technologies'!$N$66:$Y$77,8,FALSE)/100)*'Calc (ex-housing, ex-storage)'!F138/100))/VLOOKUP($C$134,'DB animal categories'!$C$52:$AC$61,27,FALSE)*AJ138+M138+N138+O138,IF(AI138=1,('Calc (ex-animal)'!$H$29*(1-'DB additional information '!$L$9/100)*(1-VLOOKUP(D138,'DB technologies'!$N$66:$Y$77,8,FALSE)/100)*'Calc (ex-housing, ex-storage)'!F138/100)/VLOOKUP($C$134,'DB animal categories'!$C$52:$AC$61,27,FALSE)*AJ138,IF(AI138=4,('Calc (ex-animal)'!$G$29*(1-'DB additional information '!$K$9/100)+'Calc (ex-animal)'!$H$29*(1-'DB additional information '!$L$9/100))*(1-VLOOKUP(D138,'DB technologies'!$N$66:$Y$77,8,FALSE)/100)*'Calc (ex-housing, ex-storage)'!F138/100*VLOOKUP(D138,'DB technologies'!$N$66:$Y$77,11,FALSE)/100/VLOOKUP($C$134,'DB animal categories'!$C$52:$AC$61,27,FALSE)*AJ138,0))))</f>
        <v/>
      </c>
      <c r="AN138" s="452" t="str">
        <f>IF(AI138="","",IF(AL138=0,0,AL138/AK138*100))</f>
        <v/>
      </c>
      <c r="AO138" s="184" t="str">
        <f>IF(D138="","",IF(AI138=2,(('Calc (ex-animal)'!$L$29*'Calc (ex-housing, ex-storage)'!F138/100+'Calc (ex-animal)'!$K$29*'Calc (ex-housing, ex-storage)'!F138/100))/VLOOKUP($C$134,'DB animal categories'!$C$52:$AC$61,27,FALSE)*AJ138+Q138+R138+S138-AC138,IF(AI138=1,('Calc (ex-animal)'!$L$29*'Calc (ex-housing, ex-storage)'!F138/100)/VLOOKUP($C$134,'DB animal categories'!$C$52:$AC$61,27,FALSE)*AJ138-'Calc (ex-housing, ex-storage)'!AC138,IF(AI138=4,('Calc (ex-animal)'!$L$29+'Calc (ex-animal)'!$K$29)*'Calc (ex-housing, ex-storage)'!F138/100*VLOOKUP(D138,'DB technologies'!$N$66:$Y$77,11,FALSE)/100/VLOOKUP($C$134,'DB animal categories'!$C$52:$AC$61,27,FALSE)*AJ138-AC138*VLOOKUP(D138,'DB technologies'!$N$66:$Y$77,11,FALSE)/100,0))))</f>
        <v/>
      </c>
      <c r="AP138" s="184" t="str">
        <f>IF(D138="","",IF(AO138&lt;-0.01,0,IF(AI138=2,(('Calc (ex-animal)'!$L$29*'Calc (ex-housing, ex-storage)'!F138/100+'Calc (ex-animal)'!$K$29*'Calc (ex-housing, ex-storage)'!F138/100))/VLOOKUP($C$134,'DB animal categories'!$C$52:$AC$61,27,FALSE)*AJ138+Q138+R138+S138-AC138,IF(AI138=1,('Calc (ex-animal)'!$L$29*'Calc (ex-housing, ex-storage)'!F138/100)/VLOOKUP($C$134,'DB animal categories'!$C$52:$AC$61,27,FALSE)*AJ138-'Calc (ex-housing, ex-storage)'!AC138,IF(AI138=4,('Calc (ex-animal)'!$L$29+'Calc (ex-animal)'!$K$29)*'Calc (ex-housing, ex-storage)'!F138/100*VLOOKUP(D138,'DB technologies'!$N$66:$Y$77,11,FALSE)/100/VLOOKUP($C$134,'DB animal categories'!$C$52:$AC$61,27,FALSE)*AJ138-AC138*VLOOKUP(D138,'DB technologies'!$N$66:$Y$77,11,FALSE)/100,0)))))</f>
        <v/>
      </c>
      <c r="AQ138" s="184" t="str">
        <f>IF(D138="","",IF(AI138=2,('Calc (ex-animal)'!$O$29*'Calc (ex-housing, ex-storage)'!F138/100+'Calc (ex-animal)'!$N$29*'Calc (ex-housing, ex-storage)'!F138/100)/VLOOKUP($C$134,'DB animal categories'!$C$52:$AC$61,27,FALSE)*AJ138+U138+V138+W138,IF(AI138=1,'Calc (ex-animal)'!$O$29*'Calc (ex-housing, ex-storage)'!F138/100/VLOOKUP($C$134,'DB animal categories'!$C$52:$AC$61,27,FALSE)*AJ138,IF(AI138=4,('Calc (ex-animal)'!$O$29+'Calc (ex-animal)'!$N$29)*'Calc (ex-housing, ex-storage)'!F138/100*VLOOKUP(D138,'DB technologies'!$N$66:$Y$77,11,FALSE)/100/VLOOKUP($C$134,'DB animal categories'!$C$52:$AC$61,27,FALSE)*AJ138,0))))</f>
        <v/>
      </c>
      <c r="AR138" s="184" t="str">
        <f>IF(D138="","",IF(AI138=2,('Calc (ex-animal)'!$R$29*'Calc (ex-housing, ex-storage)'!F138/100+'Calc (ex-animal)'!$Q$29*'Calc (ex-housing, ex-storage)'!F138/100)/VLOOKUP($C$134,'DB animal categories'!$C$52:$AC$61,27,FALSE)*AJ138+Y138+Z138+AA138,IF(AI138=1,'Calc (ex-animal)'!$R$29*'Calc (ex-housing, ex-storage)'!F138/100/VLOOKUP($C$134,'DB animal categories'!$C$52:$AC$61,27,FALSE)*AJ138,IF(AI138=4,('Calc (ex-animal)'!$R$29+'Calc (ex-animal)'!$Q$29)*'Calc (ex-housing, ex-storage)'!F138/100*VLOOKUP(D138,'DB technologies'!$N$66:$Y$77,11,FALSE)/100/VLOOKUP($C$134,'DB animal categories'!$C$52:$AC$61,27,FALSE)*AJ138,0))))</f>
        <v/>
      </c>
      <c r="AS138" s="183" t="str">
        <f>IF(D138="","",VLOOKUP(D138,'DB technologies'!$N$66:$Y$77,10,FALSE))</f>
        <v/>
      </c>
      <c r="AT138" s="452" t="str">
        <f>IF(AS138="","",AU138+AV138)</f>
        <v/>
      </c>
      <c r="AU138" s="452" t="str">
        <f>IF(D138="","",IF(AS138=2,0,IF(AS138=1,'Calc (ex-animal)'!$G$29*'DB additional information '!$K$9/100*(1-VLOOKUP(D138,'DB technologies'!$N$66:$Y$77,8,FALSE)/100)*'Calc (ex-housing, ex-storage)'!F138/100/VLOOKUP($C$134,'DB animal categories'!$C$52:$AC$61,27,FALSE)*AJ138+I138+J138+K138,IF(AS138=5,(('Calc (ex-animal)'!$G$29*'DB additional information '!$K$9/100+'Calc (ex-animal)'!$H$29*'DB additional information '!$L$9/100))*(1-VLOOKUP(D138,'DB technologies'!$N$66:$Y$77,9,FALSE)/100)*'Calc (ex-housing, ex-storage)'!F138/100/VLOOKUP($C$134,'DB animal categories'!$C$52:$AC$61,27,FALSE)*AJ138+I138+J138+K138,IF(AS138=3,('Calc (ex-animal)'!$G$29*'DB additional information '!$K$9/100+'Calc (ex-animal)'!$H$29*'DB additional information '!$L$9/100)*(1-VLOOKUP(D138,'DB technologies'!$N$66:$Y$77,9,FALSE)/100)*'Calc (ex-housing, ex-storage)'!F138/100/VLOOKUP($C$134,'DB animal categories'!$C$52:$AC$61,27,FALSE)*AJ138+I138+J138+K138,IF(AS138=4,('Calc (ex-animal)'!$G$29*'DB additional information '!$K$9/100+'Calc (ex-animal)'!$H$29*'DB additional information '!$L$9/100)*(1-VLOOKUP(D138,'DB technologies'!$N$66:$Y$77,9,FALSE)/100)*'Calc (ex-housing, ex-storage)'!F138/100*VLOOKUP(D138,'DB technologies'!$N$66:$Y$77,12,FALSE)/100/VLOOKUP($C$134,'DB animal categories'!$C$52:$AC$61,27,FALSE)*AJ138+I138+J138+K138,0))))))</f>
        <v/>
      </c>
      <c r="AV138" s="452" t="str">
        <f>IF(D138="","",IF(AS138=2,0,IF(AS138=1,'Calc (ex-animal)'!$G$29*(1-'DB additional information '!$K$9/100)*(1-VLOOKUP(D138,'DB technologies'!$N$66:$Y$77,8,FALSE)/100)*'Calc (ex-housing, ex-storage)'!F138/100/VLOOKUP($C$134,'DB animal categories'!$C$52:$AC$61,27,FALSE)*AJ138+M138+N138+O138,IF(AS138=5,('Calc (ex-animal)'!$G$29*(1-'DB additional information '!$K$9/100)+'Calc (ex-animal)'!$H$29*(1-'DB additional information '!$L$9/100))*(1-VLOOKUP(D138,'DB technologies'!$N$66:$Y$77,8,FALSE)/100)*'Calc (ex-housing, ex-storage)'!F138/100/VLOOKUP($C$134,'DB animal categories'!$C$52:$AC$61,27,FALSE)*AJ138+M138+N138+O138,IF(AS138=3,('Calc (ex-animal)'!$G$29*(1-'DB additional information '!$K$9/100)+'Calc (ex-animal)'!$H$29*(1-'DB additional information '!$L$9/100))*(1-VLOOKUP(D138,'DB technologies'!$N$66:$Y$77,8,FALSE)/100)*'Calc (ex-housing, ex-storage)'!F138/100/VLOOKUP($C$134,'DB animal categories'!$C$52:$AC$61,27,FALSE)*AJ138+M138+N138+O138,IF(AS138=4,('Calc (ex-animal)'!$G$29*(1-'DB additional information '!$K$9/100)+'Calc (ex-animal)'!$H$29*(1-'DB additional information '!$L$9/100))*(1-VLOOKUP(D138,'DB technologies'!$N$66:$Y$77,8,FALSE)/100)*'Calc (ex-housing, ex-storage)'!F138/100*VLOOKUP(D138,'DB technologies'!$N$66:$Y$77,12,FALSE)/100/VLOOKUP($C$134,'DB animal categories'!$C$52:$AC$61,27,FALSE)*AJ138+M138+N138+O138,0))))))</f>
        <v/>
      </c>
      <c r="AW138" s="452" t="str">
        <f>IF(AS138="","",IF(AU138=0,0,AU138/AT138*100))</f>
        <v/>
      </c>
      <c r="AX138" s="184" t="str">
        <f>IF(D138="","",IF(AS138=2,0,IF(AS138=1,'Calc (ex-animal)'!$K$29*'Calc (ex-housing, ex-storage)'!F138/100/VLOOKUP($C$134,'DB animal categories'!$C$52:$AC$61,27,FALSE)*AJ138+Q138+R138+S138,IF(AS138=5,('Calc (ex-animal)'!$K$29+'Calc (ex-animal)'!$L$29)*'Calc (ex-housing, ex-storage)'!F138/100/VLOOKUP($C$134,'DB animal categories'!$C$52:$AC$61,27,FALSE)*AJ138+Q138+R138+S138-'Calc (ex-housing, ex-storage)'!AC138,IF(AS138=3,('Calc (ex-animal)'!$K$29+'Calc (ex-animal)'!$L$29)*'Calc (ex-housing, ex-storage)'!F138/100/VLOOKUP($C$134,'DB animal categories'!$C$52:$AC$61,27,FALSE)*AJ138+Q138+R138+S138-'Calc (ex-housing, ex-storage)'!AC138-AD138-AE138,IF(AI138=4,('Calc (ex-animal)'!$K$29+'Calc (ex-animal)'!$L$29)*'Calc (ex-housing, ex-storage)'!F138/100*VLOOKUP(D138,'DB technologies'!$N$66:$Y$77,12,FALSE)/100/VLOOKUP($C$134,'DB animal categories'!$C$52:$AC$61,27,FALSE)*AJ138+Q138+R138+S138-(VLOOKUP(D138,'DB technologies'!$N$66:$Y$77,12,FALSE)/100*AC138)-AD138-AE138,0))))))</f>
        <v/>
      </c>
      <c r="AY138" s="184" t="str">
        <f>IF(D138="","",IF(AS138=2,0,IF(AS138=1,'Calc (ex-animal)'!$N$29*'Calc (ex-housing, ex-storage)'!F138/100/VLOOKUP($C$134,'DB animal categories'!$C$52:$AC$61,27,FALSE)*AJ138+U138+V138+W138,IF(AS138=5,('Calc (ex-animal)'!$N$29+'Calc (ex-animal)'!$O$29)*'Calc (ex-housing, ex-storage)'!F138/100/VLOOKUP($C$134,'DB animal categories'!$C$52:$AC$61,27,FALSE)*AJ138+U138+V138+W138,IF(AS138=3,('Calc (ex-animal)'!$N$29+'Calc (ex-animal)'!$O$29)*'Calc (ex-housing, ex-storage)'!F138/100/VLOOKUP($C$134,'DB animal categories'!$C$52:$AC$61,27,FALSE)*AJ138+U138+V138+W138,IF(AS138=4,('Calc (ex-animal)'!$N$29+'Calc (ex-animal)'!$O$29)*'Calc (ex-housing, ex-storage)'!F138/100*VLOOKUP(D138,'DB technologies'!$N$66:$Y$77,12,FALSE)/100/VLOOKUP($C$134,'DB animal categories'!$C$52:$AC$61,27,FALSE)*AJ138+U138+V138+W138,0))))))</f>
        <v/>
      </c>
      <c r="AZ138" s="184" t="str">
        <f>IF(D138="","",IF(AS138=2,0,IF(AS138=1,'Calc (ex-animal)'!$Q$29*'Calc (ex-housing, ex-storage)'!F138/100/VLOOKUP($C$134,'DB animal categories'!$C$52:$AC$61,27,FALSE)*AJ138+Y138+Z138+AA138,IF(AS138=5,('Calc (ex-animal)'!$Q$29+'Calc (ex-animal)'!$R$29)*'Calc (ex-housing, ex-storage)'!F138/100/VLOOKUP($C$134,'DB animal categories'!$C$52:$AC$61,27,FALSE)*AJ138+Y138+Z138+AA138,IF(AS138=3,('Calc (ex-animal)'!$Q$29+'Calc (ex-animal)'!$R$29)*'Calc (ex-housing, ex-storage)'!F138/100/VLOOKUP($C$134,'DB animal categories'!$C$52:$AC$61,27,FALSE)*AJ138+Y138+Z138+AA138,IF(AS138=4,('Calc (ex-animal)'!$Q$29+'Calc (ex-animal)'!$R$29)*'Calc (ex-housing, ex-storage)'!F138/100*VLOOKUP(D138,'DB technologies'!$N$66:$Y$77,12,FALSE)/100/VLOOKUP($C$134,'DB animal categories'!$C$52:$AC$61,27,FALSE)*AJ138+Y138+Z138+AA138,0))))))</f>
        <v/>
      </c>
      <c r="BA138" s="506"/>
      <c r="BB138" s="506"/>
      <c r="BC138" s="506"/>
      <c r="BG138" s="1359"/>
      <c r="BH138" s="1362"/>
      <c r="BI138" s="600" t="str">
        <f>IF(BG138="","",$BA$134*BH138/100-($BB$134*BH138/100*VLOOKUP(BG138,'DB technologies'!$AC$21:$AT$25,5,FALSE)/100)+(VLOOKUP(BG138,'DB technologies'!$AC$21:$AT$25,12,FALSE)*$BA$134*BH138/100))</f>
        <v/>
      </c>
      <c r="BJ138" s="551">
        <f>IF(BI138="",0,BI138*BK138/100)</f>
        <v>0</v>
      </c>
      <c r="BK138" s="509" t="str">
        <f>IF(BG138="","",IF($BA$134=0,0,($BB$134*BH138/100)/BI138*(1-(VLOOKUP(BG138,'DB technologies'!$AC$21:$AQ$25,5,FALSE))/100)*100))</f>
        <v/>
      </c>
      <c r="BL138" s="267" t="str">
        <f>IF(BG138="","",$BD$134*BH138/100-BO138-BP138-BQ138-BR138)</f>
        <v/>
      </c>
      <c r="BM138" s="267" t="str">
        <f>IF(BG138="","",$BE$134*BH138/100-BS138)</f>
        <v/>
      </c>
      <c r="BN138" s="267" t="str">
        <f>IF(BG138="","",$BF$134*BH138/100-BT138)</f>
        <v/>
      </c>
      <c r="BO138" s="267" t="str">
        <f>IF(BG138="","",$BD$134*BH138/100*VLOOKUP(BG138,'DB technologies'!$AC$16:$AF$20,2,FALSE)/100)</f>
        <v/>
      </c>
      <c r="BP138" s="267" t="str">
        <f>IF(BG138="","",$BD$134*BH138/100*VLOOKUP(BG138,'DB technologies'!$AC$16:$AN$20,3,FALSE)/100)</f>
        <v/>
      </c>
      <c r="BQ138" s="268" t="str">
        <f>IF(BG138="","",$BD$134*BH138/100*VLOOKUP(BG138,'DB technologies'!$AC$16:$AN$20,4,FALSE)/100)</f>
        <v/>
      </c>
      <c r="BR138" s="266" t="str">
        <f>IF(BG138="","",VLOOKUP(BG138,'DB technologies'!$AC$16:$AQ$20,13,FALSE)/100*$BD$134*BH138/100)</f>
        <v/>
      </c>
      <c r="BS138" s="267" t="str">
        <f>IF(BG138="","",VLOOKUP(BG138,'DB technologies'!$AC$16:$AQ$20,14,FALSE)/100*$BE$134*BH138/100)</f>
        <v/>
      </c>
      <c r="BT138" s="268" t="str">
        <f>IF(BG138="","",VLOOKUP(BG138,'DB technologies'!$AC$16:$AQ$20,15,FALSE)/100*$BF$134*BH138/100)</f>
        <v/>
      </c>
    </row>
    <row r="139" spans="1:72" ht="11.25" customHeight="1" thickBot="1" x14ac:dyDescent="0.25">
      <c r="A139" s="684"/>
      <c r="B139" s="695"/>
      <c r="C139" s="252"/>
      <c r="D139" s="269" t="s">
        <v>58</v>
      </c>
      <c r="E139" s="270">
        <f>IF(F139&lt;=100,SUM(E134:E138),"ERROR")</f>
        <v>0</v>
      </c>
      <c r="F139" s="284">
        <f>IF(SUM(F134:F138) &lt;=100,SUM(F134:F138),"ERROR, SUM&gt;100%")</f>
        <v>0</v>
      </c>
      <c r="G139" s="504">
        <f>IF('Calc (ex-animal)'!$F$9=1,"",SUM(G134:G138))</f>
        <v>0</v>
      </c>
      <c r="H139" s="433">
        <f>IF('Calc (ex-animal)'!$F$8=1,"",SUM(H134:H138))</f>
        <v>0</v>
      </c>
      <c r="I139" s="433">
        <f>IF('Calc (ex-animal)'!$F$8=1,"",SUM(I134:I138))</f>
        <v>0</v>
      </c>
      <c r="J139" s="433">
        <f>IF('Calc (ex-animal)'!$F$8=1,"",SUM(J134:J138))</f>
        <v>0</v>
      </c>
      <c r="K139" s="433">
        <f>IF('Calc (ex-animal)'!$F$8=1,"",SUM(K134:K138))</f>
        <v>0</v>
      </c>
      <c r="L139" s="433">
        <f>IF('Calc (ex-animal)'!$F$8=1,"",SUM(L134:L138))</f>
        <v>0</v>
      </c>
      <c r="M139" s="470"/>
      <c r="N139" s="470"/>
      <c r="O139" s="470"/>
      <c r="P139" s="478">
        <f>IF(G139=0,0,IF('Calc (ex-animal)'!$F$9=1,"",IF(D139="","",SUM(H139:K139)/G139*100)))</f>
        <v>0</v>
      </c>
      <c r="Q139" s="271"/>
      <c r="R139" s="271"/>
      <c r="S139" s="271"/>
      <c r="T139" s="278">
        <f>IF('Calc (ex-animal)'!$F$29=1,"",SUM(T134:T138))</f>
        <v>0</v>
      </c>
      <c r="U139" s="279"/>
      <c r="V139" s="279"/>
      <c r="W139" s="279"/>
      <c r="X139" s="279">
        <f>IF('Calc (ex-animal)'!$F$29=1,"",SUM(X134:X138))</f>
        <v>0</v>
      </c>
      <c r="Y139" s="279"/>
      <c r="Z139" s="279"/>
      <c r="AA139" s="279"/>
      <c r="AB139" s="279">
        <f>IF('Calc (ex-animal)'!$F$29=1,"",SUM(AB134:AB138))</f>
        <v>0</v>
      </c>
      <c r="AC139" s="279">
        <f>IF('Calc (ex-animal)'!$F$29=1,"",SUM(AC134:AC138))</f>
        <v>0</v>
      </c>
      <c r="AD139" s="279">
        <f>IF('Calc (ex-animal)'!$F$29=1,"",SUM(AD134:AD138))</f>
        <v>0</v>
      </c>
      <c r="AE139" s="280">
        <f>IF('Calc (ex-animal)'!$F$29=1,"",SUM(AE134:AE138))</f>
        <v>0</v>
      </c>
      <c r="AG139" s="699"/>
      <c r="AH139" s="696"/>
      <c r="BG139" s="556" t="s">
        <v>58</v>
      </c>
      <c r="BH139" s="315">
        <f>IF(SUM(BH134:BH138) &gt;100,"ERROR, SUM&gt;100%",SUM(BH134:BH138))</f>
        <v>0</v>
      </c>
      <c r="BI139" s="601">
        <f>SUM(BI134:BI138)</f>
        <v>0</v>
      </c>
      <c r="BJ139" s="593">
        <f>SUM(BJ134:BJ138)</f>
        <v>0</v>
      </c>
      <c r="BK139" s="597">
        <f>IF(BI139=0,0,BJ139/BI139*100)</f>
        <v>0</v>
      </c>
      <c r="BL139" s="307">
        <f t="shared" ref="BL139:BT139" si="21">SUM(BL134:BL138)</f>
        <v>0</v>
      </c>
      <c r="BM139" s="307">
        <f t="shared" si="21"/>
        <v>0</v>
      </c>
      <c r="BN139" s="307">
        <f t="shared" si="21"/>
        <v>0</v>
      </c>
      <c r="BO139" s="307">
        <f t="shared" si="21"/>
        <v>0</v>
      </c>
      <c r="BP139" s="307">
        <f t="shared" si="21"/>
        <v>0</v>
      </c>
      <c r="BQ139" s="308">
        <f t="shared" si="21"/>
        <v>0</v>
      </c>
      <c r="BR139" s="309">
        <f t="shared" si="21"/>
        <v>0</v>
      </c>
      <c r="BS139" s="307">
        <f t="shared" si="21"/>
        <v>0</v>
      </c>
      <c r="BT139" s="308">
        <f t="shared" si="21"/>
        <v>0</v>
      </c>
    </row>
    <row r="140" spans="1:72" ht="11.25" customHeight="1" x14ac:dyDescent="0.2">
      <c r="A140" s="684"/>
      <c r="B140" s="695"/>
      <c r="C140" s="250">
        <f>'Calc (ex-animal)'!D30</f>
        <v>0</v>
      </c>
      <c r="D140" s="1355"/>
      <c r="E140" s="1356"/>
      <c r="F140" s="479" t="str">
        <f>IF('Calc (ex-animal)'!$F$9=1,"",IF($C$140=0,"",IF(D140="","",E140/'Calc (ex-animal)'!$E$30*100)))</f>
        <v/>
      </c>
      <c r="G140" s="443" t="str">
        <f>IF($C$140=0,"",IF('Calc (ex-animal)'!$F$8=1,"",IF(D140="","",SUM(H140:O140))))</f>
        <v/>
      </c>
      <c r="H140" s="471" t="str">
        <f>IF('Calc (ex-animal)'!$F$8=1,"",IF(D140="","",(((VLOOKUP($C$140,'Calc (ex-animal)'!$D$28:$Y$32,6,FALSE)-VLOOKUP($C$140,'Calc (ex-animal)'!$D$28:$Y$32,17,FALSE))*F140/100))*VLOOKUP($C$140,'Calc (ex-animal)'!$D$28:$Y$32,7,FALSE)/100*(1-VLOOKUP(D140,'DB technologies'!$N$66:$Y$77,9,FALSE)/100)))</f>
        <v/>
      </c>
      <c r="I140" s="471" t="str">
        <f>IF(D140="","",((VLOOKUP(D140,'DB technologies'!$N$66:$Y$77,2,FALSE)*VLOOKUP($C$140,'DB animal categories'!$C$52:$AC$61,27,FALSE)*E140/1000)/VLOOKUP($C$140,'DB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'!$S$6/100*(1-VLOOKUP(D140,'DB technologies'!$N$66:$Y$77,9,FALSE)/100)))</f>
        <v/>
      </c>
      <c r="J140" s="472" t="str">
        <f>IF(D140="","",((VLOOKUP(D140,'DB technologies'!$N$66:$Y$77,3,FALSE)*VLOOKUP($C$140,'DB animal categories'!$C$52:$AC$61,27,FALSE)*E140/1000)/VLOOKUP($C$140,'DB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'!$S$7/100*(1-VLOOKUP(D140,'DB technologies'!$N$66:$Y$77,9,FALSE)/100)))</f>
        <v/>
      </c>
      <c r="K140" s="472" t="str">
        <f>IF(D140="","",((VLOOKUP(D140,'DB technologies'!$N$66:$Y$77,4,FALSE)*E140*'DB additional information '!$S$8/100*(1-VLOOKUP(D140,'DB technologies'!$N$66:$Y$77,9,FALSE)/100))/VLOOKUP($C$140,'DB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L140" s="471" t="str">
        <f>IF('Calc (ex-animal)'!$F$8=1,"",IF(D140="","",(((VLOOKUP($C$140,'Calc (ex-animal)'!$D$28:$Y$32,6,FALSE)-VLOOKUP($C$140,'Calc (ex-animal)'!$D$28:$Y$32,17,FALSE))*F140/100))*(1-VLOOKUP($C$140,'Calc (ex-animal)'!$D$28:$Y$32,7,FALSE)/100)*(1-VLOOKUP(D140,'DB technologies'!$N$66:$V$77,8,FALSE)/100)))</f>
        <v/>
      </c>
      <c r="M140" s="472" t="str">
        <f>IF(D140="","",((VLOOKUP(D140,'DB technologies'!$N$66:$Y$77,2,FALSE)*VLOOKUP($C$140,'DB animal categories'!$C$52:$AC$61,27,FALSE)*E140/1000)/VLOOKUP($C$140,'DB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'!$S$6/100)*(1-VLOOKUP(D140,'DB technologies'!$N$66:$Y$77,9,FALSE)/100))</f>
        <v/>
      </c>
      <c r="N140" s="472" t="str">
        <f>IF(D140="","",((VLOOKUP(D140,'DB technologies'!$N$66:$Y$77,3,FALSE)*VLOOKUP($C$140,'DB animal categories'!$C$52:$AC$61,27,FALSE)*E140/1000)/VLOOKUP($C$140,'DB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'!$S$7/100)*(1-VLOOKUP(D140,'DB technologies'!$N$66:$Y$77,9,FALSE)/100))</f>
        <v/>
      </c>
      <c r="O140" s="471" t="str">
        <f>IF(D140="","",((VLOOKUP(D140,'DB technologies'!$N$66:$Y$77,4,FALSE)*E140*(1-'DB additional information '!$S$8/100)*(1-VLOOKUP(D140,'DB technologies'!$N$66:$Y$77,8,FALSE)/100))/VLOOKUP($C$140,'DB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P140" s="443" t="str">
        <f>IF(G140=0,0,IF(E140="","",IF(F140="","",IF($C$140=0,"",IF(D140="","",SUM(H140:K140)/G140*100)))))</f>
        <v/>
      </c>
      <c r="Q140" s="473" t="str">
        <f>IF(D140="","",(VLOOKUP(D140,'DB technologies'!$N$66:$Y$77,2,FALSE)*'DB additional information '!$S$6/100*'DB additional information '!$T$6*VLOOKUP($C$140,'DB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R140" s="473" t="str">
        <f>IF(D140="","",(VLOOKUP(D140,'DB technologies'!$N$66:$Y$77,3,FALSE)*'DB additional information '!$S$7/100*'DB additional information '!$T$7*VLOOKUP($C$140,'DB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S140" s="490" t="str">
        <f>IF(D140="","",(VLOOKUP(D140,'DB technologies'!$N$66:$Y$77,4,FALSE)*('DB additional information '!$S$8/100*'DB additional information '!$T$8*E140/1000/1000)))</f>
        <v/>
      </c>
      <c r="T140" s="263" t="str">
        <f>IF($C$140=0,"",IF('Calc (ex-animal)'!$F$9=1,"",IF(D140="","",((VLOOKUP($C$140,'Calc (ex-animal)'!$D$28:$Y$32,10,FALSE)-VLOOKUP($C$140,'Calc (ex-animal)'!$D$28:$Y$32,18,FALSE))*F140/100+Q140+R140+S140)-AC140-AD140-AE140)))</f>
        <v/>
      </c>
      <c r="U140" s="474" t="str">
        <f>IF(D140="","",(VLOOKUP(D140,'DB technologies'!$N$66:$Y$77,2,FALSE)*'DB additional information '!$S$6/100*'DB additional information '!$U$6*VLOOKUP($C$140,'DB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V140" s="420" t="str">
        <f>IF(D140="","",(VLOOKUP(D140,'DB technologies'!$N$66:$Y$77,3,FALSE)*'DB additional information '!$S$7/100*'DB additional information '!$U$7*VLOOKUP($C$140,'DB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W140" s="415" t="str">
        <f>IF(D140="","",(VLOOKUP(D140,'DB technologies'!$N$66:$Y$77,4,FALSE)*('DB additional information '!$S$8/100*'DB additional information '!$U$8*E140/1000/1000)))</f>
        <v/>
      </c>
      <c r="X140" s="259" t="str">
        <f>IF($C$140=0,"",IF('Calc (ex-animal)'!$F$9=1,"",IF(D140="","",((VLOOKUP($C$140,'Calc (ex-animal)'!$D$28:$Y$32,13,FALSE)-VLOOKUP($C$140,'Calc (ex-animal)'!$D$28:$Y$32,19,FALSE))*F140/100+U140+V140+W140))))</f>
        <v/>
      </c>
      <c r="Y140" s="420" t="str">
        <f>IF(D140="","",(VLOOKUP(D140,'DB technologies'!$N$66:$Y$77,2,FALSE)*'DB additional information '!$S$6/100*'DB additional information '!$V$6*VLOOKUP($C$140,'DB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Z140" s="420" t="str">
        <f>IF(D140="","",(VLOOKUP(D140,'DB technologies'!$N$66:$Y$77,3,FALSE)*'DB additional information '!$S$7/100*'DB additional information '!$V$7*VLOOKUP($C$140,'DB animal categories'!$C$52:$AC$61,27,FALSE)*E140/1000/1000)/VLOOKUP($C$140,'DB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AA140" s="420" t="str">
        <f>IF(D140="","",(VLOOKUP(D140,'DB technologies'!$N$66:$Y$77,4,FALSE)*('DB additional information '!$S$8/100*'DB additional information '!$V$8*E140/1000/1000)))</f>
        <v/>
      </c>
      <c r="AB140" s="259" t="str">
        <f>IF($C$140=0,"",IF('Calc (ex-animal)'!$F$8=1,"",IF(D140="","",((VLOOKUP($C$140,'Calc (ex-animal)'!$D$28:$Y$32,16,FALSE)-VLOOKUP($C$140,'Calc (ex-animal)'!$D$28:$Y$32,20,FALSE))*F140/100+Y140+Z140+AA140))))</f>
        <v/>
      </c>
      <c r="AC140" s="259" t="str">
        <f>IF($C$140=0,"",IF('Calc (ex-animal)'!$F$8=1,"",IF(D140="","",VLOOKUP($C$140,'Calc (ex-animal)'!$D$28:$Y$32,9,FALSE)/VLOOKUP($C$140,'DB animal categories'!$C$52:$AC$61,27,FALSE)*(VLOOKUP($C$140,'DB animal categories'!$C$52:$AC$61,27,FALSE)-VLOOKUP($C$140,'DB animal categories'!$C$52:$AC$61,25,FALSE)*VLOOKUP($C$140,'DB animal categories'!$C$52:$AC$61,26,FALSE)/24)*F140/100*VLOOKUP(D140,'DB technologies'!$N$66:$R$77,5,FALSE)/100)))</f>
        <v/>
      </c>
      <c r="AD140" s="259" t="str">
        <f>IF($C$140=0,"",IF('Calc (ex-animal)'!$F$8=1,"",IF(D140="","",VLOOKUP($C$140,'Calc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categories'!$C$52:$AC$61,26,FALSE)/24)*F140/100*VLOOKUP(D140,'DB technologies'!$N$66:$Y$77,6,FALSE)/100)))</f>
        <v/>
      </c>
      <c r="AE140" s="260" t="str">
        <f>IF($C$140=0,"",IF('Calc (ex-animal)'!$F$8=1,"",IF(D140="","",VLOOKUP($C$140,'Calc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categories'!$C$52:$AC$61,26,FALSE)/24)*F140/100*VLOOKUP(D140,'DB technologies'!$N$66:$Y$77,7,FALSE)/100)))</f>
        <v/>
      </c>
      <c r="AI140" s="179" t="str">
        <f>IF(D140="","",VLOOKUP(D140,'DB technologies'!$N$66:$Y$77,10,FALSE))</f>
        <v/>
      </c>
      <c r="AJ140" s="482" t="e">
        <f>VLOOKUP($C$140,'DB animal categories'!$C$52:$AN$61,27,FALSE)-VLOOKUP($C$140,'DB animal categories'!$C$52:$AN$61,26,FALSE)*VLOOKUP($C$140,'DB animal categories'!$C$52:$AN$61,25,FALSE)/24</f>
        <v>#N/A</v>
      </c>
      <c r="AK140" s="453" t="str">
        <f>IF(AI140="","",AL140+AM140)</f>
        <v/>
      </c>
      <c r="AL140" s="453" t="str">
        <f>IF(D140="","",IF(AI140=2,(('Calc (ex-animal)'!$G$30*'DB additional information '!$K$9/100*(1-VLOOKUP(D140,'DB technologies'!$N$66:$Y$77,9,FALSE)/100)*'Calc (ex-housing, ex-storage)'!F140/100+'Calc (ex-animal)'!$H$30*'DB additional information '!$L$9/100*(1-VLOOKUP(D140,'DB technologies'!$N$66:$Y$77,9,FALSE)/100)*'Calc (ex-housing, ex-storage)'!F140/100))/VLOOKUP($C$140,'DB animal categories'!$C$52:$AC$61,27,FALSE)*AJ140+I140+J140+K140,IF(AI140=1,('Calc (ex-animal)'!$H$30*'DB additional information '!$L$9/100*(1-VLOOKUP(D140,'DB technologies'!$N$66:$Y$77,9,FALSE)/100)*'Calc (ex-housing, ex-storage)'!F140/100)/VLOOKUP($C$140,'DB animal categories'!$C$52:$AC$61,27,FALSE)*AJ140,IF(AI140=4,('Calc (ex-animal)'!$G$30*'DB additional information '!$K$9/100+'Calc (ex-animal)'!$H$30*'DB additional information '!$L$9/100)*(1-VLOOKUP(D140,'DB technologies'!$N$66:$Y$77,9,FALSE)/100)*'Calc (ex-housing, ex-storage)'!F140/100*VLOOKUP(D140,'DB technologies'!$N$66:$Y$77,11,FALSE)/100/VLOOKUP($C$140,'DB animal categories'!$C$52:$AC$61,27,FALSE)*AJ140,0))))</f>
        <v/>
      </c>
      <c r="AM140" s="453" t="str">
        <f>IF(D140="","",IF(AI140=2,(('Calc (ex-animal)'!$G$30*(1-'DB additional information '!$K$9/100)*(1-VLOOKUP(D140,'DB technologies'!$N$66:$Y$77,8,FALSE)/100)*'Calc (ex-housing, ex-storage)'!F140/100+'Calc (ex-animal)'!$H$30*(1-'DB additional information '!$L$9/100)*(1-VLOOKUP(D140,'DB technologies'!$N$66:$Y$77,8,FALSE)/100)*'Calc (ex-housing, ex-storage)'!F140/100))/VLOOKUP($C$140,'DB animal categories'!$C$52:$AC$61,27,FALSE)*AJ140+M140+N140+O140,IF(AI140=1,('Calc (ex-animal)'!$H$30*(1-'DB additional information '!$L$9/100)*(1-VLOOKUP(D140,'DB technologies'!$N$66:$Y$77,8,FALSE)/100)*'Calc (ex-housing, ex-storage)'!F140/100)/VLOOKUP($C$140,'DB animal categories'!$C$52:$AC$61,27,FALSE)*AJ140,IF(AI140=4,('Calc (ex-animal)'!$G$30*(1-'DB additional information '!$K$9/100)+'Calc (ex-animal)'!$H$30*(1-'DB additional information '!$L$9/100))*(1-VLOOKUP(D140,'DB technologies'!$N$66:$Y$77,8,FALSE)/100)*'Calc (ex-housing, ex-storage)'!F140/100*VLOOKUP(D140,'DB technologies'!$N$66:$Y$77,11,FALSE)/100/VLOOKUP($C$140,'DB animal categories'!$C$52:$AC$61,27,FALSE)*AJ140,0))))</f>
        <v/>
      </c>
      <c r="AN140" s="453" t="str">
        <f>IF(AI140="","",IF(AL140=0,0,AL140/AK140*100))</f>
        <v/>
      </c>
      <c r="AO140" s="180" t="str">
        <f>IF(D140="","",IF(AI140=2,(('Calc (ex-animal)'!$L$30*'Calc (ex-housing, ex-storage)'!F140/100+'Calc (ex-animal)'!$K$30*'Calc (ex-housing, ex-storage)'!F140/100))/VLOOKUP($C$140,'DB animal categories'!$C$52:$AC$61,27,FALSE)*AJ140+Q140+R140+S140-AC140,IF(AI140=1,('Calc (ex-animal)'!$L$30*'Calc (ex-housing, ex-storage)'!F140/100)/VLOOKUP($C$140,'DB animal categories'!$C$52:$AC$61,27,FALSE)*AJ140-'Calc (ex-housing, ex-storage)'!AC140,IF(AI140=4,('Calc (ex-animal)'!$L$30+'Calc (ex-animal)'!$K$30)*'Calc (ex-housing, ex-storage)'!F140/100*VLOOKUP(D140,'DB technologies'!$N$66:$Y$77,11,FALSE)/100/VLOOKUP($C$140,'DB animal categories'!$C$52:$AC$61,27,FALSE)*AJ140-AC140*VLOOKUP(D140,'DB technologies'!$N$66:$Y$77,11,FALSE)/100,0))))</f>
        <v/>
      </c>
      <c r="AP140" s="180" t="str">
        <f>IF(D140="","",IF(AO140&lt;-0.01,0,IF(AI140=2,(('Calc (ex-animal)'!$L$30*'Calc (ex-housing, ex-storage)'!F140/100+'Calc (ex-animal)'!$K$30*'Calc (ex-housing, ex-storage)'!F140/100))/VLOOKUP($C$140,'DB animal categories'!$C$52:$AC$61,27,FALSE)*AJ140+Q140+R140+S140-AC140,IF(AI140=1,('Calc (ex-animal)'!$L$30*'Calc (ex-housing, ex-storage)'!F140/100)/VLOOKUP($C$140,'DB animal categories'!$C$52:$AC$61,27,FALSE)*AJ140-'Calc (ex-housing, ex-storage)'!AC140,IF(AI140=4,('Calc (ex-animal)'!$L$30+'Calc (ex-animal)'!$K$30)*'Calc (ex-housing, ex-storage)'!F140/100*VLOOKUP(D140,'DB technologies'!$N$66:$Y$77,11,FALSE)/100/VLOOKUP($C$140,'DB animal categories'!$C$52:$AC$61,27,FALSE)*AJ140-AC140*VLOOKUP(D140,'DB technologies'!$N$66:$Y$77,11,FALSE)/100,0)))))</f>
        <v/>
      </c>
      <c r="AQ140" s="180" t="str">
        <f>IF(D140="","",IF(AI140=2,('Calc (ex-animal)'!$O$30*'Calc (ex-housing, ex-storage)'!F140/100+'Calc (ex-animal)'!$N$30*'Calc (ex-housing, ex-storage)'!F140/100)/VLOOKUP($C$140,'DB animal categories'!$C$52:$AC$61,27,FALSE)*AJ140+U140+V140+W140,IF(AI140=1,'Calc (ex-animal)'!$O$30*'Calc (ex-housing, ex-storage)'!F140/100/VLOOKUP($C$140,'DB animal categories'!$C$52:$AC$61,27,FALSE)*AJ140,IF(AI140=4,('Calc (ex-animal)'!$O$30+'Calc (ex-animal)'!$N$30)*'Calc (ex-housing, ex-storage)'!F140/100*VLOOKUP(D140,'DB technologies'!$N$66:$Y$77,11,FALSE)/100/VLOOKUP($C$140,'DB animal categories'!$C$52:$AC$61,27,FALSE)*AJ140,0))))</f>
        <v/>
      </c>
      <c r="AR140" s="180" t="str">
        <f>IF(D140="","",IF(AI140=2,('Calc (ex-animal)'!$R$30*'Calc (ex-housing, ex-storage)'!F140/100+'Calc (ex-animal)'!$Q$30*'Calc (ex-housing, ex-storage)'!F140/100)/VLOOKUP($C$140,'DB animal categories'!$C$52:$AC$61,27,FALSE)*AJ140+Y140+Z140+AA140,IF(AI140=1,'Calc (ex-animal)'!$R$30*'Calc (ex-housing, ex-storage)'!F140/100/VLOOKUP($C$140,'DB animal categories'!$C$52:$AC$61,27,FALSE)*AJ140,IF(AI140=4,('Calc (ex-animal)'!$R$30+'Calc (ex-animal)'!$Q$30)*'Calc (ex-housing, ex-storage)'!F140/100*VLOOKUP(D140,'DB technologies'!$N$66:$Y$77,11,FALSE)/100/VLOOKUP($C$140,'DB animal categories'!$C$52:$AC$61,27,FALSE)*AJ140,0))))</f>
        <v/>
      </c>
      <c r="AS140" s="179" t="str">
        <f>IF(D140="","",VLOOKUP(D140,'DB technologies'!$N$66:$Y$77,10,FALSE))</f>
        <v/>
      </c>
      <c r="AT140" s="453" t="str">
        <f>IF(AS140="","",AU140+AV140)</f>
        <v/>
      </c>
      <c r="AU140" s="453" t="str">
        <f>IF(D140="","",IF(AS140=2,0,IF(AS140=1,'Calc (ex-animal)'!$G$30*'DB additional information '!$K$9/100*(1-VLOOKUP(D140,'DB technologies'!$N$66:$Y$77,8,FALSE)/100)*'Calc (ex-housing, ex-storage)'!F140/100/VLOOKUP($C$140,'DB animal categories'!$C$52:$AC$61,27,FALSE)*AJ140+I140+J140+K140,IF(AS140=5,(('Calc (ex-animal)'!$G$30*'DB additional information '!$K$9/100+'Calc (ex-animal)'!$H$30*'DB additional information '!$L$9/100))*(1-VLOOKUP(D140,'DB technologies'!$N$66:$Y$77,9,FALSE)/100)*'Calc (ex-housing, ex-storage)'!F140/100/VLOOKUP($C$140,'DB animal categories'!$C$52:$AC$61,27,FALSE)*AJ140+I140+J140+K140,IF(AS140=3,('Calc (ex-animal)'!$G$30*'DB additional information '!$K$9/100+'Calc (ex-animal)'!$H$30*'DB additional information '!$L$9/100)*(1-VLOOKUP(D140,'DB technologies'!$N$66:$Y$77,9,FALSE)/100)*'Calc (ex-housing, ex-storage)'!F140/100/VLOOKUP($C$140,'DB animal categories'!$C$52:$AC$61,27,FALSE)*AJ140+I140+J140+K140,IF(AS140=4,('Calc (ex-animal)'!$G$30*'DB additional information '!$K$9/100+'Calc (ex-animal)'!$H$30*'DB additional information '!$L$9/100)*(1-VLOOKUP(D140,'DB technologies'!$N$66:$Y$77,9,FALSE)/100)*'Calc (ex-housing, ex-storage)'!F140/100*VLOOKUP(D140,'DB technologies'!$N$66:$Y$77,12,FALSE)/100/VLOOKUP($C$140,'DB animal categories'!$C$52:$AC$61,27,FALSE)*AJ140+I140+J140+K140,0))))))</f>
        <v/>
      </c>
      <c r="AV140" s="453" t="str">
        <f>IF(D140="","",IF(AS140=2,0,IF(AS140=1,'Calc (ex-animal)'!$G$30*(1-'DB additional information '!$K$9/100)*(1-VLOOKUP(D140,'DB technologies'!$N$66:$Y$77,8,FALSE)/100)*'Calc (ex-housing, ex-storage)'!F140/100/VLOOKUP($C$140,'DB animal categories'!$C$52:$AC$61,27,FALSE)*AJ140+M140+N140+O140,IF(AS140=5,('Calc (ex-animal)'!$G$30*(1-'DB additional information '!$K$9/100)+'Calc (ex-animal)'!$H$30*(1-'DB additional information '!$L$9/100))*(1-VLOOKUP(D140,'DB technologies'!$N$66:$Y$77,8,FALSE)/100)*'Calc (ex-housing, ex-storage)'!F140/100/VLOOKUP($C$140,'DB animal categories'!$C$52:$AC$61,27,FALSE)*AJ140+M140+N140+O140,IF(AS140=3,('Calc (ex-animal)'!$G$30*(1-'DB additional information '!$K$9/100)+'Calc (ex-animal)'!$H$30*(1-'DB additional information '!$L$9/100))*(1-VLOOKUP(D140,'DB technologies'!$N$66:$Y$77,8,FALSE)/100)*'Calc (ex-housing, ex-storage)'!F140/100/VLOOKUP($C$140,'DB animal categories'!$C$52:$AC$61,27,FALSE)*AJ140+M140+N140+O140,IF(AS140=4,('Calc (ex-animal)'!$G$30*(1-'DB additional information '!$K$9/100)+'Calc (ex-animal)'!$H$30*(1-'DB additional information '!$L$9/100))*(1-VLOOKUP(D140,'DB technologies'!$N$66:$Y$77,8,FALSE)/100)*'Calc (ex-housing, ex-storage)'!F140/100*VLOOKUP(D140,'DB technologies'!$N$66:$Y$77,12,FALSE)/100/VLOOKUP($C$140,'DB animal categories'!$C$52:$AC$61,27,FALSE)*AJ140+M140+N140+O140,0))))))</f>
        <v/>
      </c>
      <c r="AW140" s="453" t="str">
        <f>IF(AS140="","",IF(AU140=0,0,AU140/AT140*100))</f>
        <v/>
      </c>
      <c r="AX140" s="180" t="str">
        <f>IF(D140="","",IF(AS140=2,0,IF(AS140=1,'Calc (ex-animal)'!$K$30*'Calc (ex-housing, ex-storage)'!F140/100/VLOOKUP($C$140,'DB animal categories'!$C$52:$AC$61,27,FALSE)*AJ140+Q140+R140+S140,IF(AS140=5,('Calc (ex-animal)'!$K$30+'Calc (ex-animal)'!$L$30)*'Calc (ex-housing, ex-storage)'!F140/100/VLOOKUP($C$140,'DB animal categories'!$C$52:$AC$61,27,FALSE)*AJ140+Q140+R140+S140-'Calc (ex-housing, ex-storage)'!AC140,IF(AS140=3,('Calc (ex-animal)'!$K$30+'Calc (ex-animal)'!$L$30)*'Calc (ex-housing, ex-storage)'!F140/100/VLOOKUP($C$140,'DB animal categories'!$C$52:$AC$61,27,FALSE)*AJ140+Q140+R140+S140-'Calc (ex-housing, ex-storage)'!AC140-AD140-AE140,IF(AI140=4,('Calc (ex-animal)'!$K$30+'Calc (ex-animal)'!$L$30)*'Calc (ex-housing, ex-storage)'!F140/100*VLOOKUP(D140,'DB technologies'!$N$66:$Y$77,12,FALSE)/100/VLOOKUP($C$140,'DB animal categories'!$C$52:$AC$61,27,FALSE)*AJ140+Q140+R140+S140-(VLOOKUP(D140,'DB technologies'!$N$66:$Y$77,12,FALSE)/100*AC140)-AD140-AE140,0))))))</f>
        <v/>
      </c>
      <c r="AY140" s="180" t="str">
        <f>IF(D140="","",IF(AS140=2,0,IF(AS140=1,'Calc (ex-animal)'!$N$30*'Calc (ex-housing, ex-storage)'!F140/100/VLOOKUP($C$140,'DB animal categories'!$C$52:$AC$61,27,FALSE)*AJ140+U140+V140+W140,IF(AS140=5,('Calc (ex-animal)'!$N$30+'Calc (ex-animal)'!$O$30)*'Calc (ex-housing, ex-storage)'!F140/100/VLOOKUP($C$140,'DB animal categories'!$C$52:$AC$61,27,FALSE)*AJ140+U140+V140+W140,IF(AS140=3,('Calc (ex-animal)'!$N$30+'Calc (ex-animal)'!$O$30)*'Calc (ex-housing, ex-storage)'!F140/100/VLOOKUP($C$140,'DB animal categories'!$C$52:$AC$61,27,FALSE)*AJ140+U140+V140+W140,IF(AS140=4,('Calc (ex-animal)'!$N$30+'Calc (ex-animal)'!$O$30)*'Calc (ex-housing, ex-storage)'!F140/100*VLOOKUP(D140,'DB technologies'!$N$66:$Y$77,12,FALSE)/100/VLOOKUP($C$140,'DB animal categories'!$C$52:$AC$61,27,FALSE)*AJ140+U140+V140+W140,0))))))</f>
        <v/>
      </c>
      <c r="AZ140" s="180" t="str">
        <f>IF(D140="","",IF(AS140=2,0,IF(AS140=1,'Calc (ex-animal)'!$Q$30*'Calc (ex-housing, ex-storage)'!F140/100/VLOOKUP($C$140,'DB animal categories'!$C$52:$AC$61,27,FALSE)*AJ140+Y140+Z140+AA140,IF(AS140=5,('Calc (ex-animal)'!$Q$30+'Calc (ex-animal)'!$R$30)*'Calc (ex-housing, ex-storage)'!F140/100/VLOOKUP($C$140,'DB animal categories'!$C$52:$AC$61,27,FALSE)*AJ140+Y140+Z140+AA140,IF(AS140=3,('Calc (ex-animal)'!$Q$30+'Calc (ex-animal)'!$R$30)*'Calc (ex-housing, ex-storage)'!F140/100/VLOOKUP($C$140,'DB animal categories'!$C$52:$AC$61,27,FALSE)*AJ140+Y140+Z140+AA140,IF(AS140=4,('Calc (ex-animal)'!$Q$30+'Calc (ex-animal)'!$R$30)*'Calc (ex-housing, ex-storage)'!F140/100*VLOOKUP(D140,'DB technologies'!$N$66:$Y$77,12,FALSE)/100/VLOOKUP($C$140,'DB animal categories'!$C$52:$AC$61,27,FALSE)*AJ140+Y140+Z140+AA140,0))))))</f>
        <v/>
      </c>
      <c r="BA140" s="506"/>
      <c r="BB140" s="506"/>
      <c r="BC140" s="506"/>
    </row>
    <row r="141" spans="1:72" ht="11.25" customHeight="1" x14ac:dyDescent="0.2">
      <c r="A141" s="684"/>
      <c r="B141" s="695"/>
      <c r="C141" s="251"/>
      <c r="D141" s="1357"/>
      <c r="E141" s="1358"/>
      <c r="F141" s="480" t="str">
        <f>IF('Calc (ex-animal)'!$F$9=1,"",IF($C$140=0,"",IF(D141="","",E141/'Calc (ex-animal)'!$E$30*100)))</f>
        <v/>
      </c>
      <c r="G141" s="438" t="str">
        <f>IF($C$140=0,"",IF('Calc (ex-animal)'!$F$8=1,"",IF(D141="","",SUM(H141:O141))))</f>
        <v/>
      </c>
      <c r="H141" s="423" t="str">
        <f>IF('Calc (ex-animal)'!$F$8=1,"",IF(D141="","",(((VLOOKUP($C$140,'Calc (ex-animal)'!$D$28:$Y$32,6,FALSE)-VLOOKUP($C$140,'Calc (ex-animal)'!$D$28:$Y$32,17,FALSE))*F141/100))*VLOOKUP($C$140,'Calc (ex-animal)'!$D$28:$Y$32,7,FALSE)/100*(1-VLOOKUP(D141,'DB technologies'!$N$66:$Y$77,9,FALSE)/100)))</f>
        <v/>
      </c>
      <c r="I141" s="423" t="str">
        <f>IF(D141="","",((VLOOKUP(D141,'DB technologies'!$N$66:$Y$77,2,FALSE)*VLOOKUP($C$140,'DB animal categories'!$C$52:$AC$61,27,FALSE)*E141/1000)/VLOOKUP($C$140,'DB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'!$S$6/100*(1-VLOOKUP(D141,'DB technologies'!$N$66:$Y$77,9,FALSE)/100)))</f>
        <v/>
      </c>
      <c r="J141" s="434" t="str">
        <f>IF(D141="","",((VLOOKUP(D141,'DB technologies'!$N$66:$Y$77,3,FALSE)*VLOOKUP($C$140,'DB animal categories'!$C$52:$AC$61,27,FALSE)*E141/1000)/VLOOKUP($C$140,'DB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'!$S$7/100*(1-VLOOKUP(D141,'DB technologies'!$N$66:$Y$77,9,FALSE)/100)))</f>
        <v/>
      </c>
      <c r="K141" s="434" t="str">
        <f>IF(D141="","",((VLOOKUP(D141,'DB technologies'!$N$66:$Y$77,4,FALSE)*E141*'DB additional information '!$S$8/100*(1-VLOOKUP(D141,'DB technologies'!$N$66:$Y$77,9,FALSE)/100))/VLOOKUP($C$140,'DB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L141" s="423" t="str">
        <f>IF('Calc (ex-animal)'!$F$8=1,"",IF(D141="","",(((VLOOKUP($C$140,'Calc (ex-animal)'!$D$28:$Y$32,6,FALSE)-VLOOKUP($C$140,'Calc (ex-animal)'!$D$28:$Y$32,17,FALSE))*F141/100))*(1-VLOOKUP($C$140,'Calc (ex-animal)'!$D$28:$Y$32,7,FALSE)/100)*(1-VLOOKUP(D141,'DB technologies'!$N$66:$V$77,8,FALSE)/100)))</f>
        <v/>
      </c>
      <c r="M141" s="434" t="str">
        <f>IF(D141="","",((VLOOKUP(D141,'DB technologies'!$N$66:$Y$77,2,FALSE)*VLOOKUP($C$140,'DB animal categories'!$C$52:$AC$61,27,FALSE)*E141/1000)/VLOOKUP($C$140,'DB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'!$S$6/100)*(1-VLOOKUP(D141,'DB technologies'!$N$66:$Y$77,9,FALSE)/100))</f>
        <v/>
      </c>
      <c r="N141" s="434" t="str">
        <f>IF(D141="","",((VLOOKUP(D141,'DB technologies'!$N$66:$Y$77,3,FALSE)*VLOOKUP($C$140,'DB animal categories'!$C$52:$AC$61,27,FALSE)*E141/1000)/VLOOKUP($C$140,'DB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'!$S$7/100)*(1-VLOOKUP(D141,'DB technologies'!$N$66:$Y$77,9,FALSE)/100))</f>
        <v/>
      </c>
      <c r="O141" s="423" t="str">
        <f>IF(D141="","",((VLOOKUP(D141,'DB technologies'!$N$66:$Y$77,4,FALSE)*E141*(1-'DB additional information '!$S$8/100)*(1-VLOOKUP(D141,'DB technologies'!$N$66:$Y$77,8,FALSE)/100))/VLOOKUP($C$140,'DB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P141" s="438" t="str">
        <f>IF(G141=0,0,IF(E141="","",IF(F141="","",IF($C$140=0,"",IF(D141="","",SUM(H141:K141)/G141*100)))))</f>
        <v/>
      </c>
      <c r="Q141" s="416" t="str">
        <f>IF(D141="","",(VLOOKUP(D141,'DB technologies'!$N$66:$Y$77,2,FALSE)*'DB additional information '!$S$6/100*'DB additional information '!$T$6*VLOOKUP($C$140,'DB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R141" s="416" t="str">
        <f>IF(D141="","",(VLOOKUP(D141,'DB technologies'!$N$66:$Y$77,3,FALSE)*'DB additional information '!$S$7/100*'DB additional information '!$T$7*VLOOKUP($C$140,'DB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S141" s="491" t="str">
        <f>IF(D141="","",(VLOOKUP(D141,'DB technologies'!$N$66:$Y$77,4,FALSE)*('DB additional information '!$S$8/100*'DB additional information '!$T$8*E141/1000/1000)))</f>
        <v/>
      </c>
      <c r="T141" s="264" t="str">
        <f>IF($C$140=0,"",IF('Calc (ex-animal)'!$F$9=1,"",IF(D141="","",((VLOOKUP($C$140,'Calc (ex-animal)'!$D$28:$Y$32,10,FALSE)-VLOOKUP($C$140,'Calc (ex-animal)'!$D$28:$Y$32,18,FALSE))*F141/100+Q141+R141+S141)-AC141-AD141-AE141)))</f>
        <v/>
      </c>
      <c r="U141" s="422" t="str">
        <f>IF(D141="","",(VLOOKUP(D141,'DB technologies'!$N$66:$Y$77,2,FALSE)*'DB additional information '!$S$6/100*'DB additional information '!$U$6*VLOOKUP($C$140,'DB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V141" s="418" t="str">
        <f>IF(D141="","",(VLOOKUP(D141,'DB technologies'!$N$66:$Y$77,3,FALSE)*'DB additional information '!$S$7/100*'DB additional information '!$U$7*VLOOKUP($C$140,'DB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W141" s="417" t="str">
        <f>IF(D141="","",(VLOOKUP(D141,'DB technologies'!$N$66:$Y$77,4,FALSE)*('DB additional information '!$S$8/100*'DB additional information '!$U$8*E141/1000/1000)))</f>
        <v/>
      </c>
      <c r="X141" s="261" t="str">
        <f>IF($C$140=0,"",IF('Calc (ex-animal)'!$F$9=1,"",IF(D141="","",((VLOOKUP($C$140,'Calc (ex-animal)'!$D$28:$Y$32,13,FALSE)-VLOOKUP($C$140,'Calc (ex-animal)'!$D$28:$Y$32,19,FALSE))*F141/100+U141+V141+W141))))</f>
        <v/>
      </c>
      <c r="Y141" s="418" t="str">
        <f>IF(D141="","",(VLOOKUP(D141,'DB technologies'!$N$66:$Y$77,2,FALSE)*'DB additional information '!$S$6/100*'DB additional information '!$V$6*VLOOKUP($C$140,'DB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Z141" s="418" t="str">
        <f>IF(D141="","",(VLOOKUP(D141,'DB technologies'!$N$66:$Y$77,3,FALSE)*'DB additional information '!$S$7/100*'DB additional information '!$V$7*VLOOKUP($C$140,'DB animal categories'!$C$52:$AC$61,27,FALSE)*E141/1000/1000)/VLOOKUP($C$140,'DB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AA141" s="418" t="str">
        <f>IF(D141="","",(VLOOKUP(D141,'DB technologies'!$N$66:$Y$77,4,FALSE)*('DB additional information '!$S$8/100*'DB additional information '!$V$8*E141/1000/1000)))</f>
        <v/>
      </c>
      <c r="AB141" s="261" t="str">
        <f>IF($C$140=0,"",IF('Calc (ex-animal)'!$F$8=1,"",IF(D141="","",((VLOOKUP($C$140,'Calc (ex-animal)'!$D$28:$Y$32,16,FALSE)-VLOOKUP($C$140,'Calc (ex-animal)'!$D$28:$Y$32,20,FALSE))*F141/100+Y141+Z141+AA141))))</f>
        <v/>
      </c>
      <c r="AC141" s="261" t="str">
        <f>IF($C$140=0,"",IF('Calc (ex-animal)'!$F$8=1,"",IF(D141="","",VLOOKUP($C$140,'Calc (ex-animal)'!$D$28:$Y$32,9,FALSE)/VLOOKUP($C$140,'DB animal categories'!$C$52:$AC$61,27,FALSE)*(VLOOKUP($C$140,'DB animal categories'!$C$52:$AC$61,27,FALSE)-VLOOKUP($C$140,'DB animal categories'!$C$52:$AC$61,25,FALSE)*VLOOKUP($C$140,'DB animal categories'!$C$52:$AC$61,26,FALSE)/24)*F141/100*VLOOKUP(D141,'DB technologies'!$N$66:$R$77,5,FALSE)/100)))</f>
        <v/>
      </c>
      <c r="AD141" s="261" t="str">
        <f>IF($C$140=0,"",IF('Calc (ex-animal)'!$F$8=1,"",IF(D141="","",VLOOKUP($C$140,'Calc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categories'!$C$52:$AC$61,26,FALSE)/24)*F141/100*VLOOKUP(D141,'DB technologies'!$N$66:$Y$77,6,FALSE)/100)))</f>
        <v/>
      </c>
      <c r="AE141" s="262" t="str">
        <f>IF($C$140=0,"",IF('Calc (ex-animal)'!$F$8=1,"",IF(D141="","",VLOOKUP($C$140,'Calc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categories'!$C$52:$AC$61,26,FALSE)/24)*F141/100*VLOOKUP(D141,'DB technologies'!$N$66:$Y$77,7,FALSE)/100)))</f>
        <v/>
      </c>
      <c r="AI141" s="181" t="str">
        <f>IF(D141="","",VLOOKUP(D141,'DB technologies'!$N$66:$Y$77,10,FALSE))</f>
        <v/>
      </c>
      <c r="AJ141" s="449" t="e">
        <f>VLOOKUP($C$140,'DB animal categories'!$C$52:$AN$61,27,FALSE)-VLOOKUP($C$140,'DB animal categories'!$C$52:$AN$61,26,FALSE)*VLOOKUP($C$140,'DB animal categories'!$C$52:$AN$61,25,FALSE)/24</f>
        <v>#N/A</v>
      </c>
      <c r="AK141" s="442" t="str">
        <f>IF(AI141="","",AL141+AM141)</f>
        <v/>
      </c>
      <c r="AL141" s="442" t="str">
        <f>IF(D141="","",IF(AI141=2,(('Calc (ex-animal)'!$G$30*'DB additional information '!$K$9/100*(1-VLOOKUP(D141,'DB technologies'!$N$66:$Y$77,9,FALSE)/100)*'Calc (ex-housing, ex-storage)'!F141/100+'Calc (ex-animal)'!$H$30*'DB additional information '!$L$9/100*(1-VLOOKUP(D141,'DB technologies'!$N$66:$Y$77,9,FALSE)/100)*'Calc (ex-housing, ex-storage)'!F141/100))/VLOOKUP($C$140,'DB animal categories'!$C$52:$AC$61,27,FALSE)*AJ141+I141+J141+K141,IF(AI141=1,('Calc (ex-animal)'!$H$30*'DB additional information '!$L$9/100*(1-VLOOKUP(D141,'DB technologies'!$N$66:$Y$77,9,FALSE)/100)*'Calc (ex-housing, ex-storage)'!F141/100)/VLOOKUP($C$140,'DB animal categories'!$C$52:$AC$61,27,FALSE)*AJ141,IF(AI141=4,('Calc (ex-animal)'!$G$30*'DB additional information '!$K$9/100+'Calc (ex-animal)'!$H$30*'DB additional information '!$L$9/100)*(1-VLOOKUP(D141,'DB technologies'!$N$66:$Y$77,9,FALSE)/100)*'Calc (ex-housing, ex-storage)'!F141/100*VLOOKUP(D141,'DB technologies'!$N$66:$Y$77,11,FALSE)/100/VLOOKUP($C$140,'DB animal categories'!$C$52:$AC$61,27,FALSE)*AJ141,0))))</f>
        <v/>
      </c>
      <c r="AM141" s="442" t="str">
        <f>IF(D141="","",IF(AI141=2,(('Calc (ex-animal)'!$G$30*(1-'DB additional information '!$K$9/100)*(1-VLOOKUP(D141,'DB technologies'!$N$66:$Y$77,8,FALSE)/100)*'Calc (ex-housing, ex-storage)'!F141/100+'Calc (ex-animal)'!$H$30*(1-'DB additional information '!$L$9/100)*(1-VLOOKUP(D141,'DB technologies'!$N$66:$Y$77,8,FALSE)/100)*'Calc (ex-housing, ex-storage)'!F141/100))/VLOOKUP($C$140,'DB animal categories'!$C$52:$AC$61,27,FALSE)*AJ141+M141+N141+O141,IF(AI141=1,('Calc (ex-animal)'!$H$30*(1-'DB additional information '!$L$9/100)*(1-VLOOKUP(D141,'DB technologies'!$N$66:$Y$77,8,FALSE)/100)*'Calc (ex-housing, ex-storage)'!F141/100)/VLOOKUP($C$140,'DB animal categories'!$C$52:$AC$61,27,FALSE)*AJ141,IF(AI141=4,('Calc (ex-animal)'!$G$30*(1-'DB additional information '!$K$9/100)+'Calc (ex-animal)'!$H$30*(1-'DB additional information '!$L$9/100))*(1-VLOOKUP(D141,'DB technologies'!$N$66:$Y$77,8,FALSE)/100)*'Calc (ex-housing, ex-storage)'!F141/100*VLOOKUP(D141,'DB technologies'!$N$66:$Y$77,11,FALSE)/100/VLOOKUP($C$140,'DB animal categories'!$C$52:$AC$61,27,FALSE)*AJ141,0))))</f>
        <v/>
      </c>
      <c r="AN141" s="442" t="str">
        <f>IF(AI141="","",IF(AL141=0,0,AL141/AK141*100))</f>
        <v/>
      </c>
      <c r="AO141" s="182" t="str">
        <f>IF(D141="","",IF(AI141=2,(('Calc (ex-animal)'!$L$30*'Calc (ex-housing, ex-storage)'!F141/100+'Calc (ex-animal)'!$K$30*'Calc (ex-housing, ex-storage)'!F141/100))/VLOOKUP($C$140,'DB animal categories'!$C$52:$AC$61,27,FALSE)*AJ141+Q141+R141+S141-AC141,IF(AI141=1,('Calc (ex-animal)'!$L$30*'Calc (ex-housing, ex-storage)'!F141/100)/VLOOKUP($C$140,'DB animal categories'!$C$52:$AC$61,27,FALSE)*AJ141-'Calc (ex-housing, ex-storage)'!AC141,IF(AI141=4,('Calc (ex-animal)'!$L$30+'Calc (ex-animal)'!$K$30)*'Calc (ex-housing, ex-storage)'!F141/100*VLOOKUP(D141,'DB technologies'!$N$66:$Y$77,11,FALSE)/100/VLOOKUP($C$140,'DB animal categories'!$C$52:$AC$61,27,FALSE)*AJ141-AC141*VLOOKUP(D141,'DB technologies'!$N$66:$Y$77,11,FALSE)/100,0))))</f>
        <v/>
      </c>
      <c r="AP141" s="182" t="str">
        <f>IF(D141="","",IF(AO141&lt;-0.01,0,IF(AI141=2,(('Calc (ex-animal)'!$L$30*'Calc (ex-housing, ex-storage)'!F141/100+'Calc (ex-animal)'!$K$30*'Calc (ex-housing, ex-storage)'!F141/100))/VLOOKUP($C$140,'DB animal categories'!$C$52:$AC$61,27,FALSE)*AJ141+Q141+R141+S141-AC141,IF(AI141=1,('Calc (ex-animal)'!$L$30*'Calc (ex-housing, ex-storage)'!F141/100)/VLOOKUP($C$140,'DB animal categories'!$C$52:$AC$61,27,FALSE)*AJ141-'Calc (ex-housing, ex-storage)'!AC141,IF(AI141=4,('Calc (ex-animal)'!$L$30+'Calc (ex-animal)'!$K$30)*'Calc (ex-housing, ex-storage)'!F141/100*VLOOKUP(D141,'DB technologies'!$N$66:$Y$77,11,FALSE)/100/VLOOKUP($C$140,'DB animal categories'!$C$52:$AC$61,27,FALSE)*AJ141-AC141*VLOOKUP(D141,'DB technologies'!$N$66:$Y$77,11,FALSE)/100,0)))))</f>
        <v/>
      </c>
      <c r="AQ141" s="182" t="str">
        <f>IF(D141="","",IF(AI141=2,('Calc (ex-animal)'!$O$30*'Calc (ex-housing, ex-storage)'!F141/100+'Calc (ex-animal)'!$N$30*'Calc (ex-housing, ex-storage)'!F141/100)/VLOOKUP($C$140,'DB animal categories'!$C$52:$AC$61,27,FALSE)*AJ141+U141+V141+W141,IF(AI141=1,'Calc (ex-animal)'!$O$30*'Calc (ex-housing, ex-storage)'!F141/100/VLOOKUP($C$140,'DB animal categories'!$C$52:$AC$61,27,FALSE)*AJ141,IF(AI141=4,('Calc (ex-animal)'!$O$30+'Calc (ex-animal)'!$N$30)*'Calc (ex-housing, ex-storage)'!F141/100*VLOOKUP(D141,'DB technologies'!$N$66:$Y$77,11,FALSE)/100/VLOOKUP($C$140,'DB animal categories'!$C$52:$AC$61,27,FALSE)*AJ141,0))))</f>
        <v/>
      </c>
      <c r="AR141" s="182" t="str">
        <f>IF(D141="","",IF(AI141=2,('Calc (ex-animal)'!$R$30*'Calc (ex-housing, ex-storage)'!F141/100+'Calc (ex-animal)'!$Q$30*'Calc (ex-housing, ex-storage)'!F141/100)/VLOOKUP($C$140,'DB animal categories'!$C$52:$AC$61,27,FALSE)*AJ141+Y141+Z141+AA141,IF(AI141=1,'Calc (ex-animal)'!$R$30*'Calc (ex-housing, ex-storage)'!F141/100/VLOOKUP($C$140,'DB animal categories'!$C$52:$AC$61,27,FALSE)*AJ141,IF(AI141=4,('Calc (ex-animal)'!$R$30+'Calc (ex-animal)'!$Q$30)*'Calc (ex-housing, ex-storage)'!F141/100*VLOOKUP(D141,'DB technologies'!$N$66:$Y$77,11,FALSE)/100/VLOOKUP($C$140,'DB animal categories'!$C$52:$AC$61,27,FALSE)*AJ141,0))))</f>
        <v/>
      </c>
      <c r="AS141" s="181" t="str">
        <f>IF(D141="","",VLOOKUP(D141,'DB technologies'!$N$66:$Y$77,10,FALSE))</f>
        <v/>
      </c>
      <c r="AT141" s="442" t="str">
        <f>IF(AS141="","",AU141+AV141)</f>
        <v/>
      </c>
      <c r="AU141" s="442" t="str">
        <f>IF(D141="","",IF(AS141=2,0,IF(AS141=1,'Calc (ex-animal)'!$G$30*'DB additional information '!$K$9/100*(1-VLOOKUP(D141,'DB technologies'!$N$66:$Y$77,8,FALSE)/100)*'Calc (ex-housing, ex-storage)'!F141/100/VLOOKUP($C$140,'DB animal categories'!$C$52:$AC$61,27,FALSE)*AJ141+I141+J141+K141,IF(AS141=5,(('Calc (ex-animal)'!$G$30*'DB additional information '!$K$9/100+'Calc (ex-animal)'!$H$30*'DB additional information '!$L$9/100))*(1-VLOOKUP(D141,'DB technologies'!$N$66:$Y$77,9,FALSE)/100)*'Calc (ex-housing, ex-storage)'!F141/100/VLOOKUP($C$140,'DB animal categories'!$C$52:$AC$61,27,FALSE)*AJ141+I141+J141+K141,IF(AS141=3,('Calc (ex-animal)'!$G$30*'DB additional information '!$K$9/100+'Calc (ex-animal)'!$H$30*'DB additional information '!$L$9/100)*(1-VLOOKUP(D141,'DB technologies'!$N$66:$Y$77,9,FALSE)/100)*'Calc (ex-housing, ex-storage)'!F141/100/VLOOKUP($C$140,'DB animal categories'!$C$52:$AC$61,27,FALSE)*AJ141+I141+J141+K141,IF(AS141=4,('Calc (ex-animal)'!$G$30*'DB additional information '!$K$9/100+'Calc (ex-animal)'!$H$30*'DB additional information '!$L$9/100)*(1-VLOOKUP(D141,'DB technologies'!$N$66:$Y$77,9,FALSE)/100)*'Calc (ex-housing, ex-storage)'!F141/100*VLOOKUP(D141,'DB technologies'!$N$66:$Y$77,12,FALSE)/100/VLOOKUP($C$140,'DB animal categories'!$C$52:$AC$61,27,FALSE)*AJ141+I141+J141+K141,0))))))</f>
        <v/>
      </c>
      <c r="AV141" s="442" t="str">
        <f>IF(D141="","",IF(AS141=2,0,IF(AS141=1,'Calc (ex-animal)'!$G$30*(1-'DB additional information '!$K$9/100)*(1-VLOOKUP(D141,'DB technologies'!$N$66:$Y$77,8,FALSE)/100)*'Calc (ex-housing, ex-storage)'!F141/100/VLOOKUP($C$140,'DB animal categories'!$C$52:$AC$61,27,FALSE)*AJ141+M141+N141+O141,IF(AS141=5,('Calc (ex-animal)'!$G$30*(1-'DB additional information '!$K$9/100)+'Calc (ex-animal)'!$H$30*(1-'DB additional information '!$L$9/100))*(1-VLOOKUP(D141,'DB technologies'!$N$66:$Y$77,8,FALSE)/100)*'Calc (ex-housing, ex-storage)'!F141/100/VLOOKUP($C$140,'DB animal categories'!$C$52:$AC$61,27,FALSE)*AJ141+M141+N141+O141,IF(AS141=3,('Calc (ex-animal)'!$G$30*(1-'DB additional information '!$K$9/100)+'Calc (ex-animal)'!$H$30*(1-'DB additional information '!$L$9/100))*(1-VLOOKUP(D141,'DB technologies'!$N$66:$Y$77,8,FALSE)/100)*'Calc (ex-housing, ex-storage)'!F141/100/VLOOKUP($C$140,'DB animal categories'!$C$52:$AC$61,27,FALSE)*AJ141+M141+N141+O141,IF(AS141=4,('Calc (ex-animal)'!$G$30*(1-'DB additional information '!$K$9/100)+'Calc (ex-animal)'!$H$30*(1-'DB additional information '!$L$9/100))*(1-VLOOKUP(D141,'DB technologies'!$N$66:$Y$77,8,FALSE)/100)*'Calc (ex-housing, ex-storage)'!F141/100*VLOOKUP(D141,'DB technologies'!$N$66:$Y$77,12,FALSE)/100/VLOOKUP($C$140,'DB animal categories'!$C$52:$AC$61,27,FALSE)*AJ141+M141+N141+O141,0))))))</f>
        <v/>
      </c>
      <c r="AW141" s="442" t="str">
        <f>IF(AS141="","",IF(AU141=0,0,AU141/AT141*100))</f>
        <v/>
      </c>
      <c r="AX141" s="182" t="str">
        <f>IF(D141="","",IF(AS141=2,0,IF(AS141=1,'Calc (ex-animal)'!$K$30*'Calc (ex-housing, ex-storage)'!F141/100/VLOOKUP($C$140,'DB animal categories'!$C$52:$AC$61,27,FALSE)*AJ141+Q141+R141+S141,IF(AS141=5,('Calc (ex-animal)'!$K$30+'Calc (ex-animal)'!$L$30)*'Calc (ex-housing, ex-storage)'!F141/100/VLOOKUP($C$140,'DB animal categories'!$C$52:$AC$61,27,FALSE)*AJ141+Q141+R141+S141-'Calc (ex-housing, ex-storage)'!AC141,IF(AS141=3,('Calc (ex-animal)'!$K$30+'Calc (ex-animal)'!$L$30)*'Calc (ex-housing, ex-storage)'!F141/100/VLOOKUP($C$140,'DB animal categories'!$C$52:$AC$61,27,FALSE)*AJ141+Q141+R141+S141-'Calc (ex-housing, ex-storage)'!AC141-AD141-AE141,IF(AI141=4,('Calc (ex-animal)'!$K$30+'Calc (ex-animal)'!$L$30)*'Calc (ex-housing, ex-storage)'!F141/100*VLOOKUP(D141,'DB technologies'!$N$66:$Y$77,12,FALSE)/100/VLOOKUP($C$140,'DB animal categories'!$C$52:$AC$61,27,FALSE)*AJ141+Q141+R141+S141-(VLOOKUP(D141,'DB technologies'!$N$66:$Y$77,12,FALSE)/100*AC141)-AD141-AE141,0))))))</f>
        <v/>
      </c>
      <c r="AY141" s="182" t="str">
        <f>IF(D141="","",IF(AS141=2,0,IF(AS141=1,'Calc (ex-animal)'!$N$30*'Calc (ex-housing, ex-storage)'!F141/100/VLOOKUP($C$140,'DB animal categories'!$C$52:$AC$61,27,FALSE)*AJ141+U141+V141+W141,IF(AS141=5,('Calc (ex-animal)'!$N$30+'Calc (ex-animal)'!$O$30)*'Calc (ex-housing, ex-storage)'!F141/100/VLOOKUP($C$140,'DB animal categories'!$C$52:$AC$61,27,FALSE)*AJ141+U141+V141+W141,IF(AS141=3,('Calc (ex-animal)'!$N$30+'Calc (ex-animal)'!$O$30)*'Calc (ex-housing, ex-storage)'!F141/100/VLOOKUP($C$140,'DB animal categories'!$C$52:$AC$61,27,FALSE)*AJ141+U141+V141+W141,IF(AS141=4,('Calc (ex-animal)'!$N$30+'Calc (ex-animal)'!$O$30)*'Calc (ex-housing, ex-storage)'!F141/100*VLOOKUP(D141,'DB technologies'!$N$66:$Y$77,12,FALSE)/100/VLOOKUP($C$140,'DB animal categories'!$C$52:$AC$61,27,FALSE)*AJ141+U141+V141+W141,0))))))</f>
        <v/>
      </c>
      <c r="AZ141" s="182" t="str">
        <f>IF(D141="","",IF(AS141=2,0,IF(AS141=1,'Calc (ex-animal)'!$Q$30*'Calc (ex-housing, ex-storage)'!F141/100/VLOOKUP($C$140,'DB animal categories'!$C$52:$AC$61,27,FALSE)*AJ141+Y141+Z141+AA141,IF(AS141=5,('Calc (ex-animal)'!$Q$30+'Calc (ex-animal)'!$R$30)*'Calc (ex-housing, ex-storage)'!F141/100/VLOOKUP($C$140,'DB animal categories'!$C$52:$AC$61,27,FALSE)*AJ141+Y141+Z141+AA141,IF(AS141=3,('Calc (ex-animal)'!$Q$30+'Calc (ex-animal)'!$R$30)*'Calc (ex-housing, ex-storage)'!F141/100/VLOOKUP($C$140,'DB animal categories'!$C$52:$AC$61,27,FALSE)*AJ141+Y141+Z141+AA141,IF(AS141=4,('Calc (ex-animal)'!$Q$30+'Calc (ex-animal)'!$R$30)*'Calc (ex-housing, ex-storage)'!F141/100*VLOOKUP(D141,'DB technologies'!$N$66:$Y$77,12,FALSE)/100/VLOOKUP($C$140,'DB animal categories'!$C$52:$AC$61,27,FALSE)*AJ141+Y141+Z141+AA141,0))))))</f>
        <v/>
      </c>
      <c r="BA141" s="506"/>
      <c r="BB141" s="506"/>
      <c r="BC141" s="506"/>
    </row>
    <row r="142" spans="1:72" ht="11.25" customHeight="1" x14ac:dyDescent="0.2">
      <c r="A142" s="684"/>
      <c r="B142" s="695"/>
      <c r="C142" s="251"/>
      <c r="D142" s="1357"/>
      <c r="E142" s="1358"/>
      <c r="F142" s="480" t="str">
        <f>IF('Calc (ex-animal)'!$F$9=1,"",IF($C$140=0,"",IF(D142="","",E142/'Calc (ex-animal)'!$E$30*100)))</f>
        <v/>
      </c>
      <c r="G142" s="438" t="str">
        <f>IF($C$140=0,"",IF('Calc (ex-animal)'!$F$8=1,"",IF(D142="","",SUM(H142:O142))))</f>
        <v/>
      </c>
      <c r="H142" s="423" t="str">
        <f>IF('Calc (ex-animal)'!$F$8=1,"",IF(D142="","",(((VLOOKUP($C$140,'Calc (ex-animal)'!$D$28:$Y$32,6,FALSE)-VLOOKUP($C$140,'Calc (ex-animal)'!$D$28:$Y$32,17,FALSE))*F142/100))*VLOOKUP($C$140,'Calc (ex-animal)'!$D$28:$Y$32,7,FALSE)/100*(1-VLOOKUP(D142,'DB technologies'!$N$66:$Y$77,9,FALSE)/100)))</f>
        <v/>
      </c>
      <c r="I142" s="423" t="str">
        <f>IF(D142="","",((VLOOKUP(D142,'DB technologies'!$N$66:$Y$77,2,FALSE)*VLOOKUP($C$140,'DB animal categories'!$C$52:$AC$61,27,FALSE)*E142/1000)/VLOOKUP($C$140,'DB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'!$S$6/100*(1-VLOOKUP(D142,'DB technologies'!$N$66:$Y$77,9,FALSE)/100)))</f>
        <v/>
      </c>
      <c r="J142" s="434" t="str">
        <f>IF(D142="","",((VLOOKUP(D142,'DB technologies'!$N$66:$Y$77,3,FALSE)*VLOOKUP($C$140,'DB animal categories'!$C$52:$AC$61,27,FALSE)*E142/1000)/VLOOKUP($C$140,'DB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'!$S$7/100*(1-VLOOKUP(D142,'DB technologies'!$N$66:$Y$77,9,FALSE)/100)))</f>
        <v/>
      </c>
      <c r="K142" s="434" t="str">
        <f>IF(D142="","",((VLOOKUP(D142,'DB technologies'!$N$66:$Y$77,4,FALSE)*E142*'DB additional information '!$S$8/100*(1-VLOOKUP(D142,'DB technologies'!$N$66:$Y$77,9,FALSE)/100))/VLOOKUP($C$140,'DB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L142" s="423" t="str">
        <f>IF('Calc (ex-animal)'!$F$8=1,"",IF(D142="","",(((VLOOKUP($C$140,'Calc (ex-animal)'!$D$28:$Y$32,6,FALSE)-VLOOKUP($C$140,'Calc (ex-animal)'!$D$28:$Y$32,17,FALSE))*F142/100))*(1-VLOOKUP($C$140,'Calc (ex-animal)'!$D$28:$Y$32,7,FALSE)/100)*(1-VLOOKUP(D142,'DB technologies'!$N$66:$V$77,8,FALSE)/100)))</f>
        <v/>
      </c>
      <c r="M142" s="434" t="str">
        <f>IF(D142="","",((VLOOKUP(D142,'DB technologies'!$N$66:$Y$77,2,FALSE)*VLOOKUP($C$140,'DB animal categories'!$C$52:$AC$61,27,FALSE)*E142/1000)/VLOOKUP($C$140,'DB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'!$S$6/100)*(1-VLOOKUP(D142,'DB technologies'!$N$66:$Y$77,9,FALSE)/100))</f>
        <v/>
      </c>
      <c r="N142" s="434" t="str">
        <f>IF(D142="","",((VLOOKUP(D142,'DB technologies'!$N$66:$Y$77,3,FALSE)*VLOOKUP($C$140,'DB animal categories'!$C$52:$AC$61,27,FALSE)*E142/1000)/VLOOKUP($C$140,'DB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'!$S$7/100)*(1-VLOOKUP(D142,'DB technologies'!$N$66:$Y$77,9,FALSE)/100))</f>
        <v/>
      </c>
      <c r="O142" s="423" t="str">
        <f>IF(D142="","",((VLOOKUP(D142,'DB technologies'!$N$66:$Y$77,4,FALSE)*E142*(1-'DB additional information '!$S$8/100)*(1-VLOOKUP(D142,'DB technologies'!$N$66:$Y$77,8,FALSE)/100))/VLOOKUP($C$140,'DB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P142" s="438" t="str">
        <f>IF(G142=0,0,IF(E142="","",IF(F142="","",IF($C$140=0,"",IF(D142="","",SUM(H142:K142)/G142*100)))))</f>
        <v/>
      </c>
      <c r="Q142" s="416" t="str">
        <f>IF(D142="","",(VLOOKUP(D142,'DB technologies'!$N$66:$Y$77,2,FALSE)*'DB additional information '!$S$6/100*'DB additional information '!$T$6*VLOOKUP($C$140,'DB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R142" s="416" t="str">
        <f>IF(D142="","",(VLOOKUP(D142,'DB technologies'!$N$66:$Y$77,3,FALSE)*'DB additional information '!$S$7/100*'DB additional information '!$T$7*VLOOKUP($C$140,'DB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S142" s="491" t="str">
        <f>IF(D142="","",(VLOOKUP(D142,'DB technologies'!$N$66:$Y$77,4,FALSE)*('DB additional information '!$S$8/100*'DB additional information '!$T$8*E142/1000/1000)))</f>
        <v/>
      </c>
      <c r="T142" s="264" t="str">
        <f>IF($C$140=0,"",IF('Calc (ex-animal)'!$F$9=1,"",IF(D142="","",((VLOOKUP($C$140,'Calc (ex-animal)'!$D$28:$Y$32,10,FALSE)-VLOOKUP($C$140,'Calc (ex-animal)'!$D$28:$Y$32,18,FALSE))*F142/100+Q142+R142+S142)-AC142-AD142-AE142)))</f>
        <v/>
      </c>
      <c r="U142" s="422" t="str">
        <f>IF(D142="","",(VLOOKUP(D142,'DB technologies'!$N$66:$Y$77,2,FALSE)*'DB additional information '!$S$6/100*'DB additional information '!$U$6*VLOOKUP($C$140,'DB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V142" s="418" t="str">
        <f>IF(D142="","",(VLOOKUP(D142,'DB technologies'!$N$66:$Y$77,3,FALSE)*'DB additional information '!$S$7/100*'DB additional information '!$U$7*VLOOKUP($C$140,'DB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W142" s="417" t="str">
        <f>IF(D142="","",(VLOOKUP(D142,'DB technologies'!$N$66:$Y$77,4,FALSE)*('DB additional information '!$S$8/100*'DB additional information '!$U$8*E142/1000/1000)))</f>
        <v/>
      </c>
      <c r="X142" s="261" t="str">
        <f>IF($C$140=0,"",IF('Calc (ex-animal)'!$F$9=1,"",IF(D142="","",((VLOOKUP($C$140,'Calc (ex-animal)'!$D$28:$Y$32,13,FALSE)-VLOOKUP($C$140,'Calc (ex-animal)'!$D$28:$Y$32,19,FALSE))*F142/100+U142+V142+W142))))</f>
        <v/>
      </c>
      <c r="Y142" s="418" t="str">
        <f>IF(D142="","",(VLOOKUP(D142,'DB technologies'!$N$66:$Y$77,2,FALSE)*'DB additional information '!$S$6/100*'DB additional information '!$V$6*VLOOKUP($C$140,'DB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Z142" s="418" t="str">
        <f>IF(D142="","",(VLOOKUP(D142,'DB technologies'!$N$66:$Y$77,3,FALSE)*'DB additional information '!$S$7/100*'DB additional information '!$V$7*VLOOKUP($C$140,'DB animal categories'!$C$52:$AC$61,27,FALSE)*E142/1000/1000)/VLOOKUP($C$140,'DB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AA142" s="418" t="str">
        <f>IF(D142="","",(VLOOKUP(D142,'DB technologies'!$N$66:$Y$77,4,FALSE)*('DB additional information '!$S$8/100*'DB additional information '!$V$8*E142/1000/1000)))</f>
        <v/>
      </c>
      <c r="AB142" s="261" t="str">
        <f>IF($C$140=0,"",IF('Calc (ex-animal)'!$F$8=1,"",IF(D142="","",((VLOOKUP($C$140,'Calc (ex-animal)'!$D$28:$Y$32,16,FALSE)-VLOOKUP($C$140,'Calc (ex-animal)'!$D$28:$Y$32,20,FALSE))*F142/100+Y142+Z142+AA142))))</f>
        <v/>
      </c>
      <c r="AC142" s="261" t="str">
        <f>IF($C$140=0,"",IF('Calc (ex-animal)'!$F$8=1,"",IF(D142="","",VLOOKUP($C$140,'Calc (ex-animal)'!$D$28:$Y$32,9,FALSE)/VLOOKUP($C$140,'DB animal categories'!$C$52:$AC$61,27,FALSE)*(VLOOKUP($C$140,'DB animal categories'!$C$52:$AC$61,27,FALSE)-VLOOKUP($C$140,'DB animal categories'!$C$52:$AC$61,25,FALSE)*VLOOKUP($C$140,'DB animal categories'!$C$52:$AC$61,26,FALSE)/24)*F142/100*VLOOKUP(D142,'DB technologies'!$N$66:$R$77,5,FALSE)/100)))</f>
        <v/>
      </c>
      <c r="AD142" s="261" t="str">
        <f>IF($C$140=0,"",IF('Calc (ex-animal)'!$F$8=1,"",IF(D142="","",VLOOKUP($C$140,'Calc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categories'!$C$52:$AC$61,26,FALSE)/24)*F142/100*VLOOKUP(D142,'DB technologies'!$N$66:$Y$77,6,FALSE)/100)))</f>
        <v/>
      </c>
      <c r="AE142" s="262" t="str">
        <f>IF($C$140=0,"",IF('Calc (ex-animal)'!$F$8=1,"",IF(D142="","",VLOOKUP($C$140,'Calc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categories'!$C$52:$AC$61,26,FALSE)/24)*F142/100*VLOOKUP(D142,'DB technologies'!$N$66:$Y$77,7,FALSE)/100)))</f>
        <v/>
      </c>
      <c r="AI142" s="181" t="str">
        <f>IF(D142="","",VLOOKUP(D142,'DB technologies'!$N$66:$Y$77,10,FALSE))</f>
        <v/>
      </c>
      <c r="AJ142" s="449" t="e">
        <f>VLOOKUP($C$140,'DB animal categories'!$C$52:$AN$61,27,FALSE)-VLOOKUP($C$140,'DB animal categories'!$C$52:$AN$61,26,FALSE)*VLOOKUP($C$140,'DB animal categories'!$C$52:$AN$61,25,FALSE)/24</f>
        <v>#N/A</v>
      </c>
      <c r="AK142" s="442" t="str">
        <f>IF(AI142="","",AL142+AM142)</f>
        <v/>
      </c>
      <c r="AL142" s="442" t="str">
        <f>IF(D142="","",IF(AI142=2,(('Calc (ex-animal)'!$G$30*'DB additional information '!$K$9/100*(1-VLOOKUP(D142,'DB technologies'!$N$66:$Y$77,9,FALSE)/100)*'Calc (ex-housing, ex-storage)'!F142/100+'Calc (ex-animal)'!$H$30*'DB additional information '!$L$9/100*(1-VLOOKUP(D142,'DB technologies'!$N$66:$Y$77,9,FALSE)/100)*'Calc (ex-housing, ex-storage)'!F142/100))/VLOOKUP($C$140,'DB animal categories'!$C$52:$AC$61,27,FALSE)*AJ142+I142+J142+K142,IF(AI142=1,('Calc (ex-animal)'!$H$30*'DB additional information '!$L$9/100*(1-VLOOKUP(D142,'DB technologies'!$N$66:$Y$77,9,FALSE)/100)*'Calc (ex-housing, ex-storage)'!F142/100)/VLOOKUP($C$140,'DB animal categories'!$C$52:$AC$61,27,FALSE)*AJ142,IF(AI142=4,('Calc (ex-animal)'!$G$30*'DB additional information '!$K$9/100+'Calc (ex-animal)'!$H$30*'DB additional information '!$L$9/100)*(1-VLOOKUP(D142,'DB technologies'!$N$66:$Y$77,9,FALSE)/100)*'Calc (ex-housing, ex-storage)'!F142/100*VLOOKUP(D142,'DB technologies'!$N$66:$Y$77,11,FALSE)/100/VLOOKUP($C$140,'DB animal categories'!$C$52:$AC$61,27,FALSE)*AJ142,0))))</f>
        <v/>
      </c>
      <c r="AM142" s="442" t="str">
        <f>IF(D142="","",IF(AI142=2,(('Calc (ex-animal)'!$G$30*(1-'DB additional information '!$K$9/100)*(1-VLOOKUP(D142,'DB technologies'!$N$66:$Y$77,8,FALSE)/100)*'Calc (ex-housing, ex-storage)'!F142/100+'Calc (ex-animal)'!$H$30*(1-'DB additional information '!$L$9/100)*(1-VLOOKUP(D142,'DB technologies'!$N$66:$Y$77,8,FALSE)/100)*'Calc (ex-housing, ex-storage)'!F142/100))/VLOOKUP($C$140,'DB animal categories'!$C$52:$AC$61,27,FALSE)*AJ142+M142+N142+O142,IF(AI142=1,('Calc (ex-animal)'!$H$30*(1-'DB additional information '!$L$9/100)*(1-VLOOKUP(D142,'DB technologies'!$N$66:$Y$77,8,FALSE)/100)*'Calc (ex-housing, ex-storage)'!F142/100)/VLOOKUP($C$140,'DB animal categories'!$C$52:$AC$61,27,FALSE)*AJ142,IF(AI142=4,('Calc (ex-animal)'!$G$30*(1-'DB additional information '!$K$9/100)+'Calc (ex-animal)'!$H$30*(1-'DB additional information '!$L$9/100))*(1-VLOOKUP(D142,'DB technologies'!$N$66:$Y$77,8,FALSE)/100)*'Calc (ex-housing, ex-storage)'!F142/100*VLOOKUP(D142,'DB technologies'!$N$66:$Y$77,11,FALSE)/100/VLOOKUP($C$140,'DB animal categories'!$C$52:$AC$61,27,FALSE)*AJ142,0))))</f>
        <v/>
      </c>
      <c r="AN142" s="442" t="str">
        <f>IF(AI142="","",IF(AL142=0,0,AL142/AK142*100))</f>
        <v/>
      </c>
      <c r="AO142" s="182" t="str">
        <f>IF(D142="","",IF(AI142=2,(('Calc (ex-animal)'!$L$30*'Calc (ex-housing, ex-storage)'!F142/100+'Calc (ex-animal)'!$K$30*'Calc (ex-housing, ex-storage)'!F142/100))/VLOOKUP($C$140,'DB animal categories'!$C$52:$AC$61,27,FALSE)*AJ142+Q142+R142+S142-AC142,IF(AI142=1,('Calc (ex-animal)'!$L$30*'Calc (ex-housing, ex-storage)'!F142/100)/VLOOKUP($C$140,'DB animal categories'!$C$52:$AC$61,27,FALSE)*AJ142-'Calc (ex-housing, ex-storage)'!AC142,IF(AI142=4,('Calc (ex-animal)'!$L$30+'Calc (ex-animal)'!$K$30)*'Calc (ex-housing, ex-storage)'!F142/100*VLOOKUP(D142,'DB technologies'!$N$66:$Y$77,11,FALSE)/100/VLOOKUP($C$140,'DB animal categories'!$C$52:$AC$61,27,FALSE)*AJ142-AC142*VLOOKUP(D142,'DB technologies'!$N$66:$Y$77,11,FALSE)/100,0))))</f>
        <v/>
      </c>
      <c r="AP142" s="182" t="str">
        <f>IF(D142="","",IF(AO142&lt;-0.01,0,IF(AI142=2,(('Calc (ex-animal)'!$L$30*'Calc (ex-housing, ex-storage)'!F142/100+'Calc (ex-animal)'!$K$30*'Calc (ex-housing, ex-storage)'!F142/100))/VLOOKUP($C$140,'DB animal categories'!$C$52:$AC$61,27,FALSE)*AJ142+Q142+R142+S142-AC142,IF(AI142=1,('Calc (ex-animal)'!$L$30*'Calc (ex-housing, ex-storage)'!F142/100)/VLOOKUP($C$140,'DB animal categories'!$C$52:$AC$61,27,FALSE)*AJ142-'Calc (ex-housing, ex-storage)'!AC142,IF(AI142=4,('Calc (ex-animal)'!$L$30+'Calc (ex-animal)'!$K$30)*'Calc (ex-housing, ex-storage)'!F142/100*VLOOKUP(D142,'DB technologies'!$N$66:$Y$77,11,FALSE)/100/VLOOKUP($C$140,'DB animal categories'!$C$52:$AC$61,27,FALSE)*AJ142-AC142*VLOOKUP(D142,'DB technologies'!$N$66:$Y$77,11,FALSE)/100,0)))))</f>
        <v/>
      </c>
      <c r="AQ142" s="182" t="str">
        <f>IF(D142="","",IF(AI142=2,('Calc (ex-animal)'!$O$30*'Calc (ex-housing, ex-storage)'!F142/100+'Calc (ex-animal)'!$N$30*'Calc (ex-housing, ex-storage)'!F142/100)/VLOOKUP($C$140,'DB animal categories'!$C$52:$AC$61,27,FALSE)*AJ142+U142+V142+W142,IF(AI142=1,'Calc (ex-animal)'!$O$30*'Calc (ex-housing, ex-storage)'!F142/100/VLOOKUP($C$140,'DB animal categories'!$C$52:$AC$61,27,FALSE)*AJ142,IF(AI142=4,('Calc (ex-animal)'!$O$30+'Calc (ex-animal)'!$N$30)*'Calc (ex-housing, ex-storage)'!F142/100*VLOOKUP(D142,'DB technologies'!$N$66:$Y$77,11,FALSE)/100/VLOOKUP($C$140,'DB animal categories'!$C$52:$AC$61,27,FALSE)*AJ142,0))))</f>
        <v/>
      </c>
      <c r="AR142" s="182" t="str">
        <f>IF(D142="","",IF(AI142=2,('Calc (ex-animal)'!$R$30*'Calc (ex-housing, ex-storage)'!F142/100+'Calc (ex-animal)'!$Q$30*'Calc (ex-housing, ex-storage)'!F142/100)/VLOOKUP($C$140,'DB animal categories'!$C$52:$AC$61,27,FALSE)*AJ142+Y142+Z142+AA142,IF(AI142=1,'Calc (ex-animal)'!$R$30*'Calc (ex-housing, ex-storage)'!F142/100/VLOOKUP($C$140,'DB animal categories'!$C$52:$AC$61,27,FALSE)*AJ142,IF(AI142=4,('Calc (ex-animal)'!$R$30+'Calc (ex-animal)'!$Q$30)*'Calc (ex-housing, ex-storage)'!F142/100*VLOOKUP(D142,'DB technologies'!$N$66:$Y$77,11,FALSE)/100/VLOOKUP($C$140,'DB animal categories'!$C$52:$AC$61,27,FALSE)*AJ142,0))))</f>
        <v/>
      </c>
      <c r="AS142" s="181" t="str">
        <f>IF(D142="","",VLOOKUP(D142,'DB technologies'!$N$66:$Y$77,10,FALSE))</f>
        <v/>
      </c>
      <c r="AT142" s="442" t="str">
        <f>IF(AS142="","",AU142+AV142)</f>
        <v/>
      </c>
      <c r="AU142" s="442" t="str">
        <f>IF(D142="","",IF(AS142=2,0,IF(AS142=1,'Calc (ex-animal)'!$G$30*'DB additional information '!$K$9/100*(1-VLOOKUP(D142,'DB technologies'!$N$66:$Y$77,8,FALSE)/100)*'Calc (ex-housing, ex-storage)'!F142/100/VLOOKUP($C$140,'DB animal categories'!$C$52:$AC$61,27,FALSE)*AJ142+I142+J142+K142,IF(AS142=5,(('Calc (ex-animal)'!$G$30*'DB additional information '!$K$9/100+'Calc (ex-animal)'!$H$30*'DB additional information '!$L$9/100))*(1-VLOOKUP(D142,'DB technologies'!$N$66:$Y$77,9,FALSE)/100)*'Calc (ex-housing, ex-storage)'!F142/100/VLOOKUP($C$140,'DB animal categories'!$C$52:$AC$61,27,FALSE)*AJ142+I142+J142+K142,IF(AS142=3,('Calc (ex-animal)'!$G$30*'DB additional information '!$K$9/100+'Calc (ex-animal)'!$H$30*'DB additional information '!$L$9/100)*(1-VLOOKUP(D142,'DB technologies'!$N$66:$Y$77,9,FALSE)/100)*'Calc (ex-housing, ex-storage)'!F142/100/VLOOKUP($C$140,'DB animal categories'!$C$52:$AC$61,27,FALSE)*AJ142+I142+J142+K142,IF(AS142=4,('Calc (ex-animal)'!$G$30*'DB additional information '!$K$9/100+'Calc (ex-animal)'!$H$30*'DB additional information '!$L$9/100)*(1-VLOOKUP(D142,'DB technologies'!$N$66:$Y$77,9,FALSE)/100)*'Calc (ex-housing, ex-storage)'!F142/100*VLOOKUP(D142,'DB technologies'!$N$66:$Y$77,12,FALSE)/100/VLOOKUP($C$140,'DB animal categories'!$C$52:$AC$61,27,FALSE)*AJ142+I142+J142+K142,0))))))</f>
        <v/>
      </c>
      <c r="AV142" s="442" t="str">
        <f>IF(D142="","",IF(AS142=2,0,IF(AS142=1,'Calc (ex-animal)'!$G$30*(1-'DB additional information '!$K$9/100)*(1-VLOOKUP(D142,'DB technologies'!$N$66:$Y$77,8,FALSE)/100)*'Calc (ex-housing, ex-storage)'!F142/100/VLOOKUP($C$140,'DB animal categories'!$C$52:$AC$61,27,FALSE)*AJ142+M142+N142+O142,IF(AS142=5,('Calc (ex-animal)'!$G$30*(1-'DB additional information '!$K$9/100)+'Calc (ex-animal)'!$H$30*(1-'DB additional information '!$L$9/100))*(1-VLOOKUP(D142,'DB technologies'!$N$66:$Y$77,8,FALSE)/100)*'Calc (ex-housing, ex-storage)'!F142/100/VLOOKUP($C$140,'DB animal categories'!$C$52:$AC$61,27,FALSE)*AJ142+M142+N142+O142,IF(AS142=3,('Calc (ex-animal)'!$G$30*(1-'DB additional information '!$K$9/100)+'Calc (ex-animal)'!$H$30*(1-'DB additional information '!$L$9/100))*(1-VLOOKUP(D142,'DB technologies'!$N$66:$Y$77,8,FALSE)/100)*'Calc (ex-housing, ex-storage)'!F142/100/VLOOKUP($C$140,'DB animal categories'!$C$52:$AC$61,27,FALSE)*AJ142+M142+N142+O142,IF(AS142=4,('Calc (ex-animal)'!$G$30*(1-'DB additional information '!$K$9/100)+'Calc (ex-animal)'!$H$30*(1-'DB additional information '!$L$9/100))*(1-VLOOKUP(D142,'DB technologies'!$N$66:$Y$77,8,FALSE)/100)*'Calc (ex-housing, ex-storage)'!F142/100*VLOOKUP(D142,'DB technologies'!$N$66:$Y$77,12,FALSE)/100/VLOOKUP($C$140,'DB animal categories'!$C$52:$AC$61,27,FALSE)*AJ142+M142+N142+O142,0))))))</f>
        <v/>
      </c>
      <c r="AW142" s="442" t="str">
        <f>IF(AS142="","",IF(AU142=0,0,AU142/AT142*100))</f>
        <v/>
      </c>
      <c r="AX142" s="182" t="str">
        <f>IF(D142="","",IF(AS142=2,0,IF(AS142=1,'Calc (ex-animal)'!$K$30*'Calc (ex-housing, ex-storage)'!F142/100/VLOOKUP($C$140,'DB animal categories'!$C$52:$AC$61,27,FALSE)*AJ142+Q142+R142+S142,IF(AS142=5,('Calc (ex-animal)'!$K$30+'Calc (ex-animal)'!$L$30)*'Calc (ex-housing, ex-storage)'!F142/100/VLOOKUP($C$140,'DB animal categories'!$C$52:$AC$61,27,FALSE)*AJ142+Q142+R142+S142-'Calc (ex-housing, ex-storage)'!AC142,IF(AS142=3,('Calc (ex-animal)'!$K$30+'Calc (ex-animal)'!$L$30)*'Calc (ex-housing, ex-storage)'!F142/100/VLOOKUP($C$140,'DB animal categories'!$C$52:$AC$61,27,FALSE)*AJ142+Q142+R142+S142-'Calc (ex-housing, ex-storage)'!AC142-AD142-AE142,IF(AI142=4,('Calc (ex-animal)'!$K$30+'Calc (ex-animal)'!$L$30)*'Calc (ex-housing, ex-storage)'!F142/100*VLOOKUP(D142,'DB technologies'!$N$66:$Y$77,12,FALSE)/100/VLOOKUP($C$140,'DB animal categories'!$C$52:$AC$61,27,FALSE)*AJ142+Q142+R142+S142-(VLOOKUP(D142,'DB technologies'!$N$66:$Y$77,12,FALSE)/100*AC142)-AD142-AE142,0))))))</f>
        <v/>
      </c>
      <c r="AY142" s="182" t="str">
        <f>IF(D142="","",IF(AS142=2,0,IF(AS142=1,'Calc (ex-animal)'!$N$30*'Calc (ex-housing, ex-storage)'!F142/100/VLOOKUP($C$140,'DB animal categories'!$C$52:$AC$61,27,FALSE)*AJ142+U142+V142+W142,IF(AS142=5,('Calc (ex-animal)'!$N$30+'Calc (ex-animal)'!$O$30)*'Calc (ex-housing, ex-storage)'!F142/100/VLOOKUP($C$140,'DB animal categories'!$C$52:$AC$61,27,FALSE)*AJ142+U142+V142+W142,IF(AS142=3,('Calc (ex-animal)'!$N$30+'Calc (ex-animal)'!$O$30)*'Calc (ex-housing, ex-storage)'!F142/100/VLOOKUP($C$140,'DB animal categories'!$C$52:$AC$61,27,FALSE)*AJ142+U142+V142+W142,IF(AS142=4,('Calc (ex-animal)'!$N$30+'Calc (ex-animal)'!$O$30)*'Calc (ex-housing, ex-storage)'!F142/100*VLOOKUP(D142,'DB technologies'!$N$66:$Y$77,12,FALSE)/100/VLOOKUP($C$140,'DB animal categories'!$C$52:$AC$61,27,FALSE)*AJ142+U142+V142+W142,0))))))</f>
        <v/>
      </c>
      <c r="AZ142" s="182" t="str">
        <f>IF(D142="","",IF(AS142=2,0,IF(AS142=1,'Calc (ex-animal)'!$Q$30*'Calc (ex-housing, ex-storage)'!F142/100/VLOOKUP($C$140,'DB animal categories'!$C$52:$AC$61,27,FALSE)*AJ142+Y142+Z142+AA142,IF(AS142=5,('Calc (ex-animal)'!$Q$30+'Calc (ex-animal)'!$R$30)*'Calc (ex-housing, ex-storage)'!F142/100/VLOOKUP($C$140,'DB animal categories'!$C$52:$AC$61,27,FALSE)*AJ142+Y142+Z142+AA142,IF(AS142=3,('Calc (ex-animal)'!$Q$30+'Calc (ex-animal)'!$R$30)*'Calc (ex-housing, ex-storage)'!F142/100/VLOOKUP($C$140,'DB animal categories'!$C$52:$AC$61,27,FALSE)*AJ142+Y142+Z142+AA142,IF(AS142=4,('Calc (ex-animal)'!$Q$30+'Calc (ex-animal)'!$R$30)*'Calc (ex-housing, ex-storage)'!F142/100*VLOOKUP(D142,'DB technologies'!$N$66:$Y$77,12,FALSE)/100/VLOOKUP($C$140,'DB animal categories'!$C$52:$AC$61,27,FALSE)*AJ142+Y142+Z142+AA142,0))))))</f>
        <v/>
      </c>
      <c r="BA142" s="506"/>
      <c r="BB142" s="506"/>
      <c r="BC142" s="506"/>
    </row>
    <row r="143" spans="1:72" ht="11.25" customHeight="1" x14ac:dyDescent="0.2">
      <c r="A143" s="684"/>
      <c r="B143" s="695"/>
      <c r="C143" s="251"/>
      <c r="D143" s="1357"/>
      <c r="E143" s="1358"/>
      <c r="F143" s="480" t="str">
        <f>IF('Calc (ex-animal)'!$F$9=1,"",IF($C$140=0,"",IF(D143="","",E143/'Calc (ex-animal)'!$E$30*100)))</f>
        <v/>
      </c>
      <c r="G143" s="438" t="str">
        <f>IF($C$140=0,"",IF('Calc (ex-animal)'!$F$8=1,"",IF(D143="","",SUM(H143:O143))))</f>
        <v/>
      </c>
      <c r="H143" s="423" t="str">
        <f>IF('Calc (ex-animal)'!$F$8=1,"",IF(D143="","",(((VLOOKUP($C$140,'Calc (ex-animal)'!$D$28:$Y$32,6,FALSE)-VLOOKUP($C$140,'Calc (ex-animal)'!$D$28:$Y$32,17,FALSE))*F143/100))*VLOOKUP($C$140,'Calc (ex-animal)'!$D$28:$Y$32,7,FALSE)/100*(1-VLOOKUP(D143,'DB technologies'!$N$66:$Y$77,9,FALSE)/100)))</f>
        <v/>
      </c>
      <c r="I143" s="423" t="str">
        <f>IF(D143="","",((VLOOKUP(D143,'DB technologies'!$N$66:$Y$77,2,FALSE)*VLOOKUP($C$140,'DB animal categories'!$C$52:$AC$61,27,FALSE)*E143/1000)/VLOOKUP($C$140,'DB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'!$S$6/100*(1-VLOOKUP(D143,'DB technologies'!$N$66:$Y$77,9,FALSE)/100)))</f>
        <v/>
      </c>
      <c r="J143" s="434" t="str">
        <f>IF(D143="","",((VLOOKUP(D143,'DB technologies'!$N$66:$Y$77,3,FALSE)*VLOOKUP($C$140,'DB animal categories'!$C$52:$AC$61,27,FALSE)*E143/1000)/VLOOKUP($C$140,'DB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'!$S$7/100*(1-VLOOKUP(D143,'DB technologies'!$N$66:$Y$77,9,FALSE)/100)))</f>
        <v/>
      </c>
      <c r="K143" s="434" t="str">
        <f>IF(D143="","",((VLOOKUP(D143,'DB technologies'!$N$66:$Y$77,4,FALSE)*E143*'DB additional information '!$S$8/100*(1-VLOOKUP(D143,'DB technologies'!$N$66:$Y$77,9,FALSE)/100))/VLOOKUP($C$140,'DB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L143" s="423" t="str">
        <f>IF('Calc (ex-animal)'!$F$8=1,"",IF(D143="","",(((VLOOKUP($C$140,'Calc (ex-animal)'!$D$28:$Y$32,6,FALSE)-VLOOKUP($C$140,'Calc (ex-animal)'!$D$28:$Y$32,17,FALSE))*F143/100))*(1-VLOOKUP($C$140,'Calc (ex-animal)'!$D$28:$Y$32,7,FALSE)/100)*(1-VLOOKUP(D143,'DB technologies'!$N$66:$V$77,8,FALSE)/100)))</f>
        <v/>
      </c>
      <c r="M143" s="434" t="str">
        <f>IF(D143="","",((VLOOKUP(D143,'DB technologies'!$N$66:$Y$77,2,FALSE)*VLOOKUP($C$140,'DB animal categories'!$C$52:$AC$61,27,FALSE)*E143/1000)/VLOOKUP($C$140,'DB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'!$S$6/100)*(1-VLOOKUP(D143,'DB technologies'!$N$66:$Y$77,9,FALSE)/100))</f>
        <v/>
      </c>
      <c r="N143" s="434" t="str">
        <f>IF(D143="","",((VLOOKUP(D143,'DB technologies'!$N$66:$Y$77,3,FALSE)*VLOOKUP($C$140,'DB animal categories'!$C$52:$AC$61,27,FALSE)*E143/1000)/VLOOKUP($C$140,'DB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'!$S$7/100)*(1-VLOOKUP(D143,'DB technologies'!$N$66:$Y$77,9,FALSE)/100))</f>
        <v/>
      </c>
      <c r="O143" s="423" t="str">
        <f>IF(D143="","",((VLOOKUP(D143,'DB technologies'!$N$66:$Y$77,4,FALSE)*E143*(1-'DB additional information '!$S$8/100)*(1-VLOOKUP(D143,'DB technologies'!$N$66:$Y$77,8,FALSE)/100))/VLOOKUP($C$140,'DB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P143" s="438" t="str">
        <f>IF(G143=0,0,IF(E143="","",IF(F143="","",IF($C$140=0,"",IF(D143="","",SUM(H143:K143)/G143*100)))))</f>
        <v/>
      </c>
      <c r="Q143" s="416" t="str">
        <f>IF(D143="","",(VLOOKUP(D143,'DB technologies'!$N$66:$Y$77,2,FALSE)*'DB additional information '!$S$6/100*'DB additional information '!$T$6*VLOOKUP($C$140,'DB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R143" s="416" t="str">
        <f>IF(D143="","",(VLOOKUP(D143,'DB technologies'!$N$66:$Y$77,3,FALSE)*'DB additional information '!$S$7/100*'DB additional information '!$T$7*VLOOKUP($C$140,'DB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S143" s="491" t="str">
        <f>IF(D143="","",(VLOOKUP(D143,'DB technologies'!$N$66:$Y$77,4,FALSE)*('DB additional information '!$S$8/100*'DB additional information '!$T$8*E143/1000/1000)))</f>
        <v/>
      </c>
      <c r="T143" s="264" t="str">
        <f>IF($C$140=0,"",IF('Calc (ex-animal)'!$F$9=1,"",IF(D143="","",((VLOOKUP($C$140,'Calc (ex-animal)'!$D$28:$Y$32,10,FALSE)-VLOOKUP($C$140,'Calc (ex-animal)'!$D$28:$Y$32,18,FALSE))*F143/100+Q143+R143+S143)-AC143-AD143-AE143)))</f>
        <v/>
      </c>
      <c r="U143" s="422" t="str">
        <f>IF(D143="","",(VLOOKUP(D143,'DB technologies'!$N$66:$Y$77,2,FALSE)*'DB additional information '!$S$6/100*'DB additional information '!$U$6*VLOOKUP($C$140,'DB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V143" s="418" t="str">
        <f>IF(D143="","",(VLOOKUP(D143,'DB technologies'!$N$66:$Y$77,3,FALSE)*'DB additional information '!$S$7/100*'DB additional information '!$U$7*VLOOKUP($C$140,'DB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W143" s="417" t="str">
        <f>IF(D143="","",(VLOOKUP(D143,'DB technologies'!$N$66:$Y$77,4,FALSE)*('DB additional information '!$S$8/100*'DB additional information '!$U$8*E143/1000/1000)))</f>
        <v/>
      </c>
      <c r="X143" s="261" t="str">
        <f>IF($C$140=0,"",IF('Calc (ex-animal)'!$F$9=1,"",IF(D143="","",((VLOOKUP($C$140,'Calc (ex-animal)'!$D$28:$Y$32,13,FALSE)-VLOOKUP($C$140,'Calc (ex-animal)'!$D$28:$Y$32,19,FALSE))*F143/100+U143+V143+W143))))</f>
        <v/>
      </c>
      <c r="Y143" s="418" t="str">
        <f>IF(D143="","",(VLOOKUP(D143,'DB technologies'!$N$66:$Y$77,2,FALSE)*'DB additional information '!$S$6/100*'DB additional information '!$V$6*VLOOKUP($C$140,'DB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Z143" s="418" t="str">
        <f>IF(D143="","",(VLOOKUP(D143,'DB technologies'!$N$66:$Y$77,3,FALSE)*'DB additional information '!$S$7/100*'DB additional information '!$V$7*VLOOKUP($C$140,'DB animal categories'!$C$52:$AC$61,27,FALSE)*E143/1000/1000)/VLOOKUP($C$140,'DB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AA143" s="418" t="str">
        <f>IF(D143="","",(VLOOKUP(D143,'DB technologies'!$N$66:$Y$77,4,FALSE)*('DB additional information '!$S$8/100*'DB additional information '!$V$8*E143/1000/1000)))</f>
        <v/>
      </c>
      <c r="AB143" s="261" t="str">
        <f>IF($C$140=0,"",IF('Calc (ex-animal)'!$F$8=1,"",IF(D143="","",((VLOOKUP($C$140,'Calc (ex-animal)'!$D$28:$Y$32,16,FALSE)-VLOOKUP($C$140,'Calc (ex-animal)'!$D$28:$Y$32,20,FALSE))*F143/100+Y143+Z143+AA143))))</f>
        <v/>
      </c>
      <c r="AC143" s="261" t="str">
        <f>IF($C$140=0,"",IF('Calc (ex-animal)'!$F$8=1,"",IF(D143="","",VLOOKUP($C$140,'Calc (ex-animal)'!$D$28:$Y$32,9,FALSE)/VLOOKUP($C$140,'DB animal categories'!$C$52:$AC$61,27,FALSE)*(VLOOKUP($C$140,'DB animal categories'!$C$52:$AC$61,27,FALSE)-VLOOKUP($C$140,'DB animal categories'!$C$52:$AC$61,25,FALSE)*VLOOKUP($C$140,'DB animal categories'!$C$52:$AC$61,26,FALSE)/24)*F143/100*VLOOKUP(D143,'DB technologies'!$N$66:$R$77,5,FALSE)/100)))</f>
        <v/>
      </c>
      <c r="AD143" s="261" t="str">
        <f>IF($C$140=0,"",IF('Calc (ex-animal)'!$F$8=1,"",IF(D143="","",VLOOKUP($C$140,'Calc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categories'!$C$52:$AC$61,26,FALSE)/24)*F143/100*VLOOKUP(D143,'DB technologies'!$N$66:$Y$77,6,FALSE)/100)))</f>
        <v/>
      </c>
      <c r="AE143" s="262" t="str">
        <f>IF($C$140=0,"",IF('Calc (ex-animal)'!$F$8=1,"",IF(D143="","",VLOOKUP($C$140,'Calc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categories'!$C$52:$AC$61,26,FALSE)/24)*F143/100*VLOOKUP(D143,'DB technologies'!$N$66:$Y$77,7,FALSE)/100)))</f>
        <v/>
      </c>
      <c r="AI143" s="181" t="str">
        <f>IF(D143="","",VLOOKUP(D143,'DB technologies'!$N$66:$Y$77,10,FALSE))</f>
        <v/>
      </c>
      <c r="AJ143" s="449" t="e">
        <f>VLOOKUP($C$140,'DB animal categories'!$C$52:$AN$61,27,FALSE)-VLOOKUP($C$140,'DB animal categories'!$C$52:$AN$61,26,FALSE)*VLOOKUP($C$140,'DB animal categories'!$C$52:$AN$61,25,FALSE)/24</f>
        <v>#N/A</v>
      </c>
      <c r="AK143" s="442" t="str">
        <f>IF(AI143="","",AL143+AM143)</f>
        <v/>
      </c>
      <c r="AL143" s="442" t="str">
        <f>IF(D143="","",IF(AI143=2,(('Calc (ex-animal)'!$G$30*'DB additional information '!$K$9/100*(1-VLOOKUP(D143,'DB technologies'!$N$66:$Y$77,9,FALSE)/100)*'Calc (ex-housing, ex-storage)'!F143/100+'Calc (ex-animal)'!$H$30*'DB additional information '!$L$9/100*(1-VLOOKUP(D143,'DB technologies'!$N$66:$Y$77,9,FALSE)/100)*'Calc (ex-housing, ex-storage)'!F143/100))/VLOOKUP($C$140,'DB animal categories'!$C$52:$AC$61,27,FALSE)*AJ143+I143+J143+K143,IF(AI143=1,('Calc (ex-animal)'!$H$30*'DB additional information '!$L$9/100*(1-VLOOKUP(D143,'DB technologies'!$N$66:$Y$77,9,FALSE)/100)*'Calc (ex-housing, ex-storage)'!F143/100)/VLOOKUP($C$140,'DB animal categories'!$C$52:$AC$61,27,FALSE)*AJ143,IF(AI143=4,('Calc (ex-animal)'!$G$30*'DB additional information '!$K$9/100+'Calc (ex-animal)'!$H$30*'DB additional information '!$L$9/100)*(1-VLOOKUP(D143,'DB technologies'!$N$66:$Y$77,9,FALSE)/100)*'Calc (ex-housing, ex-storage)'!F143/100*VLOOKUP(D143,'DB technologies'!$N$66:$Y$77,11,FALSE)/100/VLOOKUP($C$140,'DB animal categories'!$C$52:$AC$61,27,FALSE)*AJ143,0))))</f>
        <v/>
      </c>
      <c r="AM143" s="442" t="str">
        <f>IF(D143="","",IF(AI143=2,(('Calc (ex-animal)'!$G$30*(1-'DB additional information '!$K$9/100)*(1-VLOOKUP(D143,'DB technologies'!$N$66:$Y$77,8,FALSE)/100)*'Calc (ex-housing, ex-storage)'!F143/100+'Calc (ex-animal)'!$H$30*(1-'DB additional information '!$L$9/100)*(1-VLOOKUP(D143,'DB technologies'!$N$66:$Y$77,8,FALSE)/100)*'Calc (ex-housing, ex-storage)'!F143/100))/VLOOKUP($C$140,'DB animal categories'!$C$52:$AC$61,27,FALSE)*AJ143+M143+N143+O143,IF(AI143=1,('Calc (ex-animal)'!$H$30*(1-'DB additional information '!$L$9/100)*(1-VLOOKUP(D143,'DB technologies'!$N$66:$Y$77,8,FALSE)/100)*'Calc (ex-housing, ex-storage)'!F143/100)/VLOOKUP($C$140,'DB animal categories'!$C$52:$AC$61,27,FALSE)*AJ143,IF(AI143=4,('Calc (ex-animal)'!$G$30*(1-'DB additional information '!$K$9/100)+'Calc (ex-animal)'!$H$30*(1-'DB additional information '!$L$9/100))*(1-VLOOKUP(D143,'DB technologies'!$N$66:$Y$77,8,FALSE)/100)*'Calc (ex-housing, ex-storage)'!F143/100*VLOOKUP(D143,'DB technologies'!$N$66:$Y$77,11,FALSE)/100/VLOOKUP($C$140,'DB animal categories'!$C$52:$AC$61,27,FALSE)*AJ143,0))))</f>
        <v/>
      </c>
      <c r="AN143" s="442" t="str">
        <f>IF(AI143="","",IF(AL143=0,0,AL143/AK143*100))</f>
        <v/>
      </c>
      <c r="AO143" s="182" t="str">
        <f>IF(D143="","",IF(AI143=2,(('Calc (ex-animal)'!$L$30*'Calc (ex-housing, ex-storage)'!F143/100+'Calc (ex-animal)'!$K$30*'Calc (ex-housing, ex-storage)'!F143/100))/VLOOKUP($C$140,'DB animal categories'!$C$52:$AC$61,27,FALSE)*AJ143+Q143+R143+S143-AC143,IF(AI143=1,('Calc (ex-animal)'!$L$30*'Calc (ex-housing, ex-storage)'!F143/100)/VLOOKUP($C$140,'DB animal categories'!$C$52:$AC$61,27,FALSE)*AJ143-'Calc (ex-housing, ex-storage)'!AC143,IF(AI143=4,('Calc (ex-animal)'!$L$30+'Calc (ex-animal)'!$K$30)*'Calc (ex-housing, ex-storage)'!F143/100*VLOOKUP(D143,'DB technologies'!$N$66:$Y$77,11,FALSE)/100/VLOOKUP($C$140,'DB animal categories'!$C$52:$AC$61,27,FALSE)*AJ143-AC143*VLOOKUP(D143,'DB technologies'!$N$66:$Y$77,11,FALSE)/100,0))))</f>
        <v/>
      </c>
      <c r="AP143" s="182" t="str">
        <f>IF(D143="","",IF(AO143&lt;-0.01,0,IF(AI143=2,(('Calc (ex-animal)'!$L$30*'Calc (ex-housing, ex-storage)'!F143/100+'Calc (ex-animal)'!$K$30*'Calc (ex-housing, ex-storage)'!F143/100))/VLOOKUP($C$140,'DB animal categories'!$C$52:$AC$61,27,FALSE)*AJ143+Q143+R143+S143-AC143,IF(AI143=1,('Calc (ex-animal)'!$L$30*'Calc (ex-housing, ex-storage)'!F143/100)/VLOOKUP($C$140,'DB animal categories'!$C$52:$AC$61,27,FALSE)*AJ143-'Calc (ex-housing, ex-storage)'!AC143,IF(AI143=4,('Calc (ex-animal)'!$L$30+'Calc (ex-animal)'!$K$30)*'Calc (ex-housing, ex-storage)'!F143/100*VLOOKUP(D143,'DB technologies'!$N$66:$Y$77,11,FALSE)/100/VLOOKUP($C$140,'DB animal categories'!$C$52:$AC$61,27,FALSE)*AJ143-AC143*VLOOKUP(D143,'DB technologies'!$N$66:$Y$77,11,FALSE)/100,0)))))</f>
        <v/>
      </c>
      <c r="AQ143" s="182" t="str">
        <f>IF(D143="","",IF(AI143=2,('Calc (ex-animal)'!$O$30*'Calc (ex-housing, ex-storage)'!F143/100+'Calc (ex-animal)'!$N$30*'Calc (ex-housing, ex-storage)'!F143/100)/VLOOKUP($C$140,'DB animal categories'!$C$52:$AC$61,27,FALSE)*AJ143+U143+V143+W143,IF(AI143=1,'Calc (ex-animal)'!$O$30*'Calc (ex-housing, ex-storage)'!F143/100/VLOOKUP($C$140,'DB animal categories'!$C$52:$AC$61,27,FALSE)*AJ143,IF(AI143=4,('Calc (ex-animal)'!$O$30+'Calc (ex-animal)'!$N$30)*'Calc (ex-housing, ex-storage)'!F143/100*VLOOKUP(D143,'DB technologies'!$N$66:$Y$77,11,FALSE)/100/VLOOKUP($C$140,'DB animal categories'!$C$52:$AC$61,27,FALSE)*AJ143,0))))</f>
        <v/>
      </c>
      <c r="AR143" s="182" t="str">
        <f>IF(D143="","",IF(AI143=2,('Calc (ex-animal)'!$R$30*'Calc (ex-housing, ex-storage)'!F143/100+'Calc (ex-animal)'!$Q$30*'Calc (ex-housing, ex-storage)'!F143/100)/VLOOKUP($C$140,'DB animal categories'!$C$52:$AC$61,27,FALSE)*AJ143+Y143+Z143+AA143,IF(AI143=1,'Calc (ex-animal)'!$R$30*'Calc (ex-housing, ex-storage)'!F143/100/VLOOKUP($C$140,'DB animal categories'!$C$52:$AC$61,27,FALSE)*AJ143,IF(AI143=4,('Calc (ex-animal)'!$R$30+'Calc (ex-animal)'!$Q$30)*'Calc (ex-housing, ex-storage)'!F143/100*VLOOKUP(D143,'DB technologies'!$N$66:$Y$77,11,FALSE)/100/VLOOKUP($C$140,'DB animal categories'!$C$52:$AC$61,27,FALSE)*AJ143,0))))</f>
        <v/>
      </c>
      <c r="AS143" s="181" t="str">
        <f>IF(D143="","",VLOOKUP(D143,'DB technologies'!$N$66:$Y$77,10,FALSE))</f>
        <v/>
      </c>
      <c r="AT143" s="442" t="str">
        <f>IF(AS143="","",AU143+AV143)</f>
        <v/>
      </c>
      <c r="AU143" s="442" t="str">
        <f>IF(D143="","",IF(AS143=2,0,IF(AS143=1,'Calc (ex-animal)'!$G$30*'DB additional information '!$K$9/100*(1-VLOOKUP(D143,'DB technologies'!$N$66:$Y$77,8,FALSE)/100)*'Calc (ex-housing, ex-storage)'!F143/100/VLOOKUP($C$140,'DB animal categories'!$C$52:$AC$61,27,FALSE)*AJ143+I143+J143+K143,IF(AS143=5,(('Calc (ex-animal)'!$G$30*'DB additional information '!$K$9/100+'Calc (ex-animal)'!$H$30*'DB additional information '!$L$9/100))*(1-VLOOKUP(D143,'DB technologies'!$N$66:$Y$77,9,FALSE)/100)*'Calc (ex-housing, ex-storage)'!F143/100/VLOOKUP($C$140,'DB animal categories'!$C$52:$AC$61,27,FALSE)*AJ143+I143+J143+K143,IF(AS143=3,('Calc (ex-animal)'!$G$30*'DB additional information '!$K$9/100+'Calc (ex-animal)'!$H$30*'DB additional information '!$L$9/100)*(1-VLOOKUP(D143,'DB technologies'!$N$66:$Y$77,9,FALSE)/100)*'Calc (ex-housing, ex-storage)'!F143/100/VLOOKUP($C$140,'DB animal categories'!$C$52:$AC$61,27,FALSE)*AJ143+I143+J143+K143,IF(AS143=4,('Calc (ex-animal)'!$G$30*'DB additional information '!$K$9/100+'Calc (ex-animal)'!$H$30*'DB additional information '!$L$9/100)*(1-VLOOKUP(D143,'DB technologies'!$N$66:$Y$77,9,FALSE)/100)*'Calc (ex-housing, ex-storage)'!F143/100*VLOOKUP(D143,'DB technologies'!$N$66:$Y$77,12,FALSE)/100/VLOOKUP($C$140,'DB animal categories'!$C$52:$AC$61,27,FALSE)*AJ143+I143+J143+K143,0))))))</f>
        <v/>
      </c>
      <c r="AV143" s="442" t="str">
        <f>IF(D143="","",IF(AS143=2,0,IF(AS143=1,'Calc (ex-animal)'!$G$30*(1-'DB additional information '!$K$9/100)*(1-VLOOKUP(D143,'DB technologies'!$N$66:$Y$77,8,FALSE)/100)*'Calc (ex-housing, ex-storage)'!F143/100/VLOOKUP($C$140,'DB animal categories'!$C$52:$AC$61,27,FALSE)*AJ143+M143+N143+O143,IF(AS143=5,('Calc (ex-animal)'!$G$30*(1-'DB additional information '!$K$9/100)+'Calc (ex-animal)'!$H$30*(1-'DB additional information '!$L$9/100))*(1-VLOOKUP(D143,'DB technologies'!$N$66:$Y$77,8,FALSE)/100)*'Calc (ex-housing, ex-storage)'!F143/100/VLOOKUP($C$140,'DB animal categories'!$C$52:$AC$61,27,FALSE)*AJ143+M143+N143+O143,IF(AS143=3,('Calc (ex-animal)'!$G$30*(1-'DB additional information '!$K$9/100)+'Calc (ex-animal)'!$H$30*(1-'DB additional information '!$L$9/100))*(1-VLOOKUP(D143,'DB technologies'!$N$66:$Y$77,8,FALSE)/100)*'Calc (ex-housing, ex-storage)'!F143/100/VLOOKUP($C$140,'DB animal categories'!$C$52:$AC$61,27,FALSE)*AJ143+M143+N143+O143,IF(AS143=4,('Calc (ex-animal)'!$G$30*(1-'DB additional information '!$K$9/100)+'Calc (ex-animal)'!$H$30*(1-'DB additional information '!$L$9/100))*(1-VLOOKUP(D143,'DB technologies'!$N$66:$Y$77,8,FALSE)/100)*'Calc (ex-housing, ex-storage)'!F143/100*VLOOKUP(D143,'DB technologies'!$N$66:$Y$77,12,FALSE)/100/VLOOKUP($C$140,'DB animal categories'!$C$52:$AC$61,27,FALSE)*AJ143+M143+N143+O143,0))))))</f>
        <v/>
      </c>
      <c r="AW143" s="442" t="str">
        <f>IF(AS143="","",IF(AU143=0,0,AU143/AT143*100))</f>
        <v/>
      </c>
      <c r="AX143" s="182" t="str">
        <f>IF(D143="","",IF(AS143=2,0,IF(AS143=1,'Calc (ex-animal)'!$K$30*'Calc (ex-housing, ex-storage)'!F143/100/VLOOKUP($C$140,'DB animal categories'!$C$52:$AC$61,27,FALSE)*AJ143+Q143+R143+S143,IF(AS143=5,('Calc (ex-animal)'!$K$30+'Calc (ex-animal)'!$L$30)*'Calc (ex-housing, ex-storage)'!F143/100/VLOOKUP($C$140,'DB animal categories'!$C$52:$AC$61,27,FALSE)*AJ143+Q143+R143+S143-'Calc (ex-housing, ex-storage)'!AC143,IF(AS143=3,('Calc (ex-animal)'!$K$30+'Calc (ex-animal)'!$L$30)*'Calc (ex-housing, ex-storage)'!F143/100/VLOOKUP($C$140,'DB animal categories'!$C$52:$AC$61,27,FALSE)*AJ143+Q143+R143+S143-'Calc (ex-housing, ex-storage)'!AC143-AD143-AE143,IF(AI143=4,('Calc (ex-animal)'!$K$30+'Calc (ex-animal)'!$L$30)*'Calc (ex-housing, ex-storage)'!F143/100*VLOOKUP(D143,'DB technologies'!$N$66:$Y$77,12,FALSE)/100/VLOOKUP($C$140,'DB animal categories'!$C$52:$AC$61,27,FALSE)*AJ143+Q143+R143+S143-(VLOOKUP(D143,'DB technologies'!$N$66:$Y$77,12,FALSE)/100*AC143)-AD143-AE143,0))))))</f>
        <v/>
      </c>
      <c r="AY143" s="182" t="str">
        <f>IF(D143="","",IF(AS143=2,0,IF(AS143=1,'Calc (ex-animal)'!$N$30*'Calc (ex-housing, ex-storage)'!F143/100/VLOOKUP($C$140,'DB animal categories'!$C$52:$AC$61,27,FALSE)*AJ143+U143+V143+W143,IF(AS143=5,('Calc (ex-animal)'!$N$30+'Calc (ex-animal)'!$O$30)*'Calc (ex-housing, ex-storage)'!F143/100/VLOOKUP($C$140,'DB animal categories'!$C$52:$AC$61,27,FALSE)*AJ143+U143+V143+W143,IF(AS143=3,('Calc (ex-animal)'!$N$30+'Calc (ex-animal)'!$O$30)*'Calc (ex-housing, ex-storage)'!F143/100/VLOOKUP($C$140,'DB animal categories'!$C$52:$AC$61,27,FALSE)*AJ143+U143+V143+W143,IF(AS143=4,('Calc (ex-animal)'!$N$30+'Calc (ex-animal)'!$O$30)*'Calc (ex-housing, ex-storage)'!F143/100*VLOOKUP(D143,'DB technologies'!$N$66:$Y$77,12,FALSE)/100/VLOOKUP($C$140,'DB animal categories'!$C$52:$AC$61,27,FALSE)*AJ143+U143+V143+W143,0))))))</f>
        <v/>
      </c>
      <c r="AZ143" s="182" t="str">
        <f>IF(D143="","",IF(AS143=2,0,IF(AS143=1,'Calc (ex-animal)'!$Q$30*'Calc (ex-housing, ex-storage)'!F143/100/VLOOKUP($C$140,'DB animal categories'!$C$52:$AC$61,27,FALSE)*AJ143+Y143+Z143+AA143,IF(AS143=5,('Calc (ex-animal)'!$Q$30+'Calc (ex-animal)'!$R$30)*'Calc (ex-housing, ex-storage)'!F143/100/VLOOKUP($C$140,'DB animal categories'!$C$52:$AC$61,27,FALSE)*AJ143+Y143+Z143+AA143,IF(AS143=3,('Calc (ex-animal)'!$Q$30+'Calc (ex-animal)'!$R$30)*'Calc (ex-housing, ex-storage)'!F143/100/VLOOKUP($C$140,'DB animal categories'!$C$52:$AC$61,27,FALSE)*AJ143+Y143+Z143+AA143,IF(AS143=4,('Calc (ex-animal)'!$Q$30+'Calc (ex-animal)'!$R$30)*'Calc (ex-housing, ex-storage)'!F143/100*VLOOKUP(D143,'DB technologies'!$N$66:$Y$77,12,FALSE)/100/VLOOKUP($C$140,'DB animal categories'!$C$52:$AC$61,27,FALSE)*AJ143+Y143+Z143+AA143,0))))))</f>
        <v/>
      </c>
      <c r="BA143" s="506"/>
      <c r="BB143" s="506"/>
      <c r="BC143" s="506"/>
    </row>
    <row r="144" spans="1:72" ht="11.25" customHeight="1" thickBot="1" x14ac:dyDescent="0.25">
      <c r="A144" s="684"/>
      <c r="B144" s="695"/>
      <c r="C144" s="251"/>
      <c r="D144" s="1359"/>
      <c r="E144" s="1360"/>
      <c r="F144" s="481" t="str">
        <f>IF('Calc (ex-animal)'!$F$9=1,"",IF($C$140=0,"",IF(D144="","",E144/'Calc (ex-animal)'!$E$30*100)))</f>
        <v/>
      </c>
      <c r="G144" s="444" t="str">
        <f>IF($C$140=0,"",IF('Calc (ex-animal)'!$F$8=1,"",IF(D144="","",SUM(H144:O144))))</f>
        <v/>
      </c>
      <c r="H144" s="445" t="str">
        <f>IF('Calc (ex-animal)'!$F$8=1,"",IF(D144="","",(((VLOOKUP($C$140,'Calc (ex-animal)'!$D$28:$Y$32,6,FALSE)-VLOOKUP($C$140,'Calc (ex-animal)'!$D$28:$Y$32,17,FALSE))*F144/100))*VLOOKUP($C$140,'Calc (ex-animal)'!$D$28:$Y$32,7,FALSE)/100*(1-VLOOKUP(D144,'DB technologies'!$N$66:$Y$77,9,FALSE)/100)))</f>
        <v/>
      </c>
      <c r="I144" s="445" t="str">
        <f>IF(D144="","",((VLOOKUP(D144,'DB technologies'!$N$66:$Y$77,2,FALSE)*VLOOKUP($C$140,'DB animal categories'!$C$52:$AC$61,27,FALSE)*E144/1000)/VLOOKUP($C$140,'DB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'!$S$6/100*(1-VLOOKUP(D144,'DB technologies'!$N$66:$Y$77,9,FALSE)/100)))</f>
        <v/>
      </c>
      <c r="J144" s="446" t="str">
        <f>IF(D144="","",((VLOOKUP(D144,'DB technologies'!$N$66:$Y$77,3,FALSE)*VLOOKUP($C$140,'DB animal categories'!$C$52:$AC$61,27,FALSE)*E144/1000)/VLOOKUP($C$140,'DB animal categories'!$C$52:$AC$61,27,FALSE)*(VLOOKUP($C$140,'DB animal categories'!$C$52:$AC$61,27,FALSE)-(VLOOKUP($C$140,'DB animal categories'!$C$52:$AC$61,25,FALSE)*VLOOKUP($C$140,'DB animal categories'!$C$52:$AC$61,26,FALSE)/24))*'DB additional information '!$S$7/100*(1-VLOOKUP(D144,'DB technologies'!$N$66:$Y$77,9,FALSE)/100)))</f>
        <v/>
      </c>
      <c r="K144" s="446" t="str">
        <f>IF(D144="","",((VLOOKUP(D144,'DB technologies'!$N$66:$Y$77,4,FALSE)*E144*'DB additional information '!$S$8/100*(1-VLOOKUP(D144,'DB technologies'!$N$66:$Y$77,9,FALSE)/100))/VLOOKUP($C$140,'DB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L144" s="445" t="str">
        <f>IF('Calc (ex-animal)'!$F$8=1,"",IF(D144="","",(((VLOOKUP($C$140,'Calc (ex-animal)'!$D$28:$Y$32,6,FALSE)-VLOOKUP($C$140,'Calc (ex-animal)'!$D$28:$Y$32,17,FALSE))*F144/100))*(1-VLOOKUP($C$140,'Calc (ex-animal)'!$D$28:$Y$32,7,FALSE)/100)*(1-VLOOKUP(D144,'DB technologies'!$N$66:$V$77,8,FALSE)/100)))</f>
        <v/>
      </c>
      <c r="M144" s="446" t="str">
        <f>IF(D144="","",((VLOOKUP(D144,'DB technologies'!$N$66:$Y$77,2,FALSE)*VLOOKUP($C$140,'DB animal categories'!$C$52:$AC$61,27,FALSE)*E144/1000)/VLOOKUP($C$140,'DB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'!$S$6/100)*(1-VLOOKUP(D144,'DB technologies'!$N$66:$Y$77,9,FALSE)/100))</f>
        <v/>
      </c>
      <c r="N144" s="446" t="str">
        <f>IF(D144="","",((VLOOKUP(D144,'DB technologies'!$N$66:$Y$77,3,FALSE)*VLOOKUP($C$140,'DB animal categories'!$C$52:$AC$61,27,FALSE)*E144/1000)/VLOOKUP($C$140,'DB animal categories'!$C$52:$AC$61,27,FALSE)*(VLOOKUP($C$140,'DB animal categories'!$C$52:$AC$61,27,FALSE)-VLOOKUP($C$140,'DB animal categories'!$C$52:$AC$61,25,FALSE)*VLOOKUP($C$140,'DB animal categories'!$C$52:$AC$61,26,FALSE)/24))*(1-'DB additional information '!$S$7/100)*(1-VLOOKUP(D144,'DB technologies'!$N$66:$Y$77,9,FALSE)/100))</f>
        <v/>
      </c>
      <c r="O144" s="445" t="str">
        <f>IF(D144="","",((VLOOKUP(D144,'DB technologies'!$N$66:$Y$77,4,FALSE)*E144*(1-'DB additional information '!$S$8/100)*(1-VLOOKUP(D144,'DB technologies'!$N$66:$Y$77,8,FALSE)/100))/VLOOKUP($C$140,'DB animal categories'!$C$52:$AC$61,27,FALSE)*(VLOOKUP($C$140,'DB animal categories'!$C$52:$AC$61,27,FALSE)-VLOOKUP($C$140,'DB animal categories'!$C$52:$AC$61,25,FALSE)*VLOOKUP($C$140,'DB animal categories'!$C$52:$AC$61,26,FALSE)/24)))</f>
        <v/>
      </c>
      <c r="P144" s="444" t="str">
        <f>IF(G144=0,0,IF(E144="","",IF(F144="","",IF($C$140=0,"",IF(D144="","",SUM(H144:K144)/G144*100)))))</f>
        <v/>
      </c>
      <c r="Q144" s="476" t="str">
        <f>IF(D144="","",(VLOOKUP(D144,'DB technologies'!$N$66:$Y$77,2,FALSE)*'DB additional information '!$S$6/100*'DB additional information '!$T$6*VLOOKUP($C$140,'DB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R144" s="476" t="str">
        <f>IF(D144="","",(VLOOKUP(D144,'DB technologies'!$N$66:$Y$77,3,FALSE)*'DB additional information '!$S$7/100*'DB additional information '!$T$7*VLOOKUP($C$140,'DB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S144" s="494" t="str">
        <f>IF(D144="","",(VLOOKUP(D144,'DB technologies'!$N$66:$Y$77,4,FALSE)*('DB additional information '!$S$8/100*'DB additional information '!$T$8*E144/1000/1000)))</f>
        <v/>
      </c>
      <c r="T144" s="266" t="str">
        <f>IF($C$140=0,"",IF('Calc (ex-animal)'!$F$9=1,"",IF(D144="","",((VLOOKUP($C$140,'Calc (ex-animal)'!$D$28:$Y$32,10,FALSE)-VLOOKUP($C$140,'Calc (ex-animal)'!$D$28:$Y$32,18,FALSE))*F144/100+Q144+R144+S144)-AC144-AD144-AE144)))</f>
        <v/>
      </c>
      <c r="U144" s="477" t="str">
        <f>IF(D144="","",(VLOOKUP(D144,'DB technologies'!$N$66:$Y$77,2,FALSE)*'DB additional information '!$S$6/100*'DB additional information '!$U$6*VLOOKUP($C$140,'DB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V144" s="433" t="str">
        <f>IF(D144="","",(VLOOKUP(D144,'DB technologies'!$N$66:$Y$77,3,FALSE)*'DB additional information '!$S$7/100*'DB additional information '!$U$7*VLOOKUP($C$140,'DB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W144" s="475" t="str">
        <f>IF(D144="","",(VLOOKUP(D144,'DB technologies'!$N$66:$Y$77,4,FALSE)*('DB additional information '!$S$8/100*'DB additional information '!$U$8*E144/1000/1000)))</f>
        <v/>
      </c>
      <c r="X144" s="267" t="str">
        <f>IF($C$140=0,"",IF('Calc (ex-animal)'!$F$9=1,"",IF(D144="","",((VLOOKUP($C$140,'Calc (ex-animal)'!$D$28:$Y$32,13,FALSE)-VLOOKUP($C$140,'Calc (ex-animal)'!$D$28:$Y$32,19,FALSE))*F144/100+U144+V144+W144))))</f>
        <v/>
      </c>
      <c r="Y144" s="433" t="str">
        <f>IF(D144="","",(VLOOKUP(D144,'DB technologies'!$N$66:$Y$77,2,FALSE)*'DB additional information '!$S$6/100*'DB additional information '!$V$6*VLOOKUP($C$140,'DB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Z144" s="433" t="str">
        <f>IF(D144="","",(VLOOKUP(D144,'DB technologies'!$N$66:$Y$77,3,FALSE)*'DB additional information '!$S$7/100*'DB additional information '!$V$7*VLOOKUP($C$140,'DB animal categories'!$C$52:$AC$61,27,FALSE)*E144/1000/1000)/VLOOKUP($C$140,'DB animal categories'!$C$52:$AC$61,27,FALSE)*(VLOOKUP($C$140,'DB animal categories'!$C$52:$AC$61,27,FALSE)-VLOOKUP($C$140,'DB animal categories'!$C$52:$AC$61,25,FALSE)*VLOOKUP($C$140,'DB animal categories'!$C$52:$AC$61,26,FALSE)/24))</f>
        <v/>
      </c>
      <c r="AA144" s="433" t="str">
        <f>IF(D144="","",(VLOOKUP(D144,'DB technologies'!$N$66:$Y$77,4,FALSE)*('DB additional information '!$S$8/100*'DB additional information '!$V$8*E144/1000/1000)))</f>
        <v/>
      </c>
      <c r="AB144" s="267" t="str">
        <f>IF($C$140=0,"",IF('Calc (ex-animal)'!$F$8=1,"",IF(D144="","",((VLOOKUP($C$140,'Calc (ex-animal)'!$D$28:$Y$32,16,FALSE)-VLOOKUP($C$140,'Calc (ex-animal)'!$D$28:$Y$32,20,FALSE))*F144/100+Y144+Z144+AA144))))</f>
        <v/>
      </c>
      <c r="AC144" s="267" t="str">
        <f>IF($C$140=0,"",IF('Calc (ex-animal)'!$F$8=1,"",IF(D144="","",VLOOKUP($C$140,'Calc (ex-animal)'!$D$28:$Y$32,9,FALSE)/VLOOKUP($C$140,'DB animal categories'!$C$52:$AC$61,27,FALSE)*(VLOOKUP($C$140,'DB animal categories'!$C$52:$AC$61,27,FALSE)-VLOOKUP($C$140,'DB animal categories'!$C$52:$AC$61,25,FALSE)*VLOOKUP($C$140,'DB animal categories'!$C$52:$AC$61,26,FALSE)/24)*F144/100*VLOOKUP(D144,'DB technologies'!$N$66:$R$77,5,FALSE)/100)))</f>
        <v/>
      </c>
      <c r="AD144" s="267" t="str">
        <f>IF($C$140=0,"",IF('Calc (ex-animal)'!$F$8=1,"",IF(D144="","",VLOOKUP($C$140,'Calc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categories'!$C$52:$AC$61,26,FALSE)/24)*F144/100*VLOOKUP(D144,'DB technologies'!$N$66:$Y$77,6,FALSE)/100)))</f>
        <v/>
      </c>
      <c r="AE144" s="268" t="str">
        <f>IF($C$140=0,"",IF('Calc (ex-animal)'!$F$8=1,"",IF(D144="","",VLOOKUP($C$140,'Calc (ex-animal)'!$D$28:$Y$32,10,FALSE)/VLOOKUP($C$140,'DB animal categories'!$C$52:$AC$61,27,FALSE)*(VLOOKUP($C$140,'DB animal categories'!$C$52:$AC$61,27,FALSE)-VLOOKUP($C$140,'DB animal categories'!$C$52:$AC$61,25,FALSE)*VLOOKUP($C$140,'DB animal categories'!$C$52:$AC$61,26,FALSE)/24)*F144/100*VLOOKUP(D144,'DB technologies'!$N$66:$Y$77,7,FALSE)/100)))</f>
        <v/>
      </c>
      <c r="AI144" s="183" t="str">
        <f>IF(D144="","",VLOOKUP(D144,'DB technologies'!$N$66:$Y$77,10,FALSE))</f>
        <v/>
      </c>
      <c r="AJ144" s="451" t="e">
        <f>VLOOKUP($C$140,'DB animal categories'!$C$52:$AN$61,27,FALSE)-VLOOKUP($C$140,'DB animal categories'!$C$52:$AN$61,26,FALSE)*VLOOKUP($C$140,'DB animal categories'!$C$52:$AN$61,25,FALSE)/24</f>
        <v>#N/A</v>
      </c>
      <c r="AK144" s="452" t="str">
        <f>IF(AI144="","",AL144+AM144)</f>
        <v/>
      </c>
      <c r="AL144" s="452" t="str">
        <f>IF(D144="","",IF(AI144=2,(('Calc (ex-animal)'!$G$30*'DB additional information '!$K$9/100*(1-VLOOKUP(D144,'DB technologies'!$N$66:$Y$77,9,FALSE)/100)*'Calc (ex-housing, ex-storage)'!F144/100+'Calc (ex-animal)'!$H$30*'DB additional information '!$L$9/100*(1-VLOOKUP(D144,'DB technologies'!$N$66:$Y$77,9,FALSE)/100)*'Calc (ex-housing, ex-storage)'!F144/100))/VLOOKUP($C$140,'DB animal categories'!$C$52:$AC$61,27,FALSE)*AJ144+I144+J144+K144,IF(AI144=1,('Calc (ex-animal)'!$H$30*'DB additional information '!$L$9/100*(1-VLOOKUP(D144,'DB technologies'!$N$66:$Y$77,9,FALSE)/100)*'Calc (ex-housing, ex-storage)'!F144/100)/VLOOKUP($C$140,'DB animal categories'!$C$52:$AC$61,27,FALSE)*AJ144,IF(AI144=4,('Calc (ex-animal)'!$G$30*'DB additional information '!$K$9/100+'Calc (ex-animal)'!$H$30*'DB additional information '!$L$9/100)*(1-VLOOKUP(D144,'DB technologies'!$N$66:$Y$77,9,FALSE)/100)*'Calc (ex-housing, ex-storage)'!F144/100*VLOOKUP(D144,'DB technologies'!$N$66:$Y$77,11,FALSE)/100/VLOOKUP($C$140,'DB animal categories'!$C$52:$AC$61,27,FALSE)*AJ144,0))))</f>
        <v/>
      </c>
      <c r="AM144" s="452" t="str">
        <f>IF(D144="","",IF(AI144=2,(('Calc (ex-animal)'!$G$30*(1-'DB additional information '!$K$9/100)*(1-VLOOKUP(D144,'DB technologies'!$N$66:$Y$77,8,FALSE)/100)*'Calc (ex-housing, ex-storage)'!F144/100+'Calc (ex-animal)'!$H$30*(1-'DB additional information '!$L$9/100)*(1-VLOOKUP(D144,'DB technologies'!$N$66:$Y$77,8,FALSE)/100)*'Calc (ex-housing, ex-storage)'!F144/100))/VLOOKUP($C$140,'DB animal categories'!$C$52:$AC$61,27,FALSE)*AJ144+M144+N144+O144,IF(AI144=1,('Calc (ex-animal)'!$H$30*(1-'DB additional information '!$L$9/100)*(1-VLOOKUP(D144,'DB technologies'!$N$66:$Y$77,8,FALSE)/100)*'Calc (ex-housing, ex-storage)'!F144/100)/VLOOKUP($C$140,'DB animal categories'!$C$52:$AC$61,27,FALSE)*AJ144,IF(AI144=4,('Calc (ex-animal)'!$G$30*(1-'DB additional information '!$K$9/100)+'Calc (ex-animal)'!$H$30*(1-'DB additional information '!$L$9/100))*(1-VLOOKUP(D144,'DB technologies'!$N$66:$Y$77,8,FALSE)/100)*'Calc (ex-housing, ex-storage)'!F144/100*VLOOKUP(D144,'DB technologies'!$N$66:$Y$77,11,FALSE)/100/VLOOKUP($C$140,'DB animal categories'!$C$52:$AC$61,27,FALSE)*AJ144,0))))</f>
        <v/>
      </c>
      <c r="AN144" s="452" t="str">
        <f>IF(AI144="","",IF(AL144=0,0,AL144/AK144*100))</f>
        <v/>
      </c>
      <c r="AO144" s="184" t="str">
        <f>IF(D144="","",IF(AI144=2,(('Calc (ex-animal)'!$L$30*'Calc (ex-housing, ex-storage)'!F144/100+'Calc (ex-animal)'!$K$30*'Calc (ex-housing, ex-storage)'!F144/100))/VLOOKUP($C$140,'DB animal categories'!$C$52:$AC$61,27,FALSE)*AJ144+Q144+R144+S144-AC144,IF(AI144=1,('Calc (ex-animal)'!$L$30*'Calc (ex-housing, ex-storage)'!F144/100)/VLOOKUP($C$140,'DB animal categories'!$C$52:$AC$61,27,FALSE)*AJ144-'Calc (ex-housing, ex-storage)'!AC144,IF(AI144=4,('Calc (ex-animal)'!$L$30+'Calc (ex-animal)'!$K$30)*'Calc (ex-housing, ex-storage)'!F144/100*VLOOKUP(D144,'DB technologies'!$N$66:$Y$77,11,FALSE)/100/VLOOKUP($C$140,'DB animal categories'!$C$52:$AC$61,27,FALSE)*AJ144-AC144*VLOOKUP(D144,'DB technologies'!$N$66:$Y$77,11,FALSE)/100,0))))</f>
        <v/>
      </c>
      <c r="AP144" s="184" t="str">
        <f>IF(D144="","",IF(AO144&lt;-0.01,0,IF(AI144=2,(('Calc (ex-animal)'!$L$30*'Calc (ex-housing, ex-storage)'!F144/100+'Calc (ex-animal)'!$K$30*'Calc (ex-housing, ex-storage)'!F144/100))/VLOOKUP($C$140,'DB animal categories'!$C$52:$AC$61,27,FALSE)*AJ144+Q144+R144+S144-AC144,IF(AI144=1,('Calc (ex-animal)'!$L$30*'Calc (ex-housing, ex-storage)'!F144/100)/VLOOKUP($C$140,'DB animal categories'!$C$52:$AC$61,27,FALSE)*AJ144-'Calc (ex-housing, ex-storage)'!AC144,IF(AI144=4,('Calc (ex-animal)'!$L$30+'Calc (ex-animal)'!$K$30)*'Calc (ex-housing, ex-storage)'!F144/100*VLOOKUP(D144,'DB technologies'!$N$66:$Y$77,11,FALSE)/100/VLOOKUP($C$140,'DB animal categories'!$C$52:$AC$61,27,FALSE)*AJ144-AC144*VLOOKUP(D144,'DB technologies'!$N$66:$Y$77,11,FALSE)/100,0)))))</f>
        <v/>
      </c>
      <c r="AQ144" s="184" t="str">
        <f>IF(D144="","",IF(AI144=2,('Calc (ex-animal)'!$O$30*'Calc (ex-housing, ex-storage)'!F144/100+'Calc (ex-animal)'!$N$30*'Calc (ex-housing, ex-storage)'!F144/100)/VLOOKUP($C$140,'DB animal categories'!$C$52:$AC$61,27,FALSE)*AJ144+U144+V144+W144,IF(AI144=1,'Calc (ex-animal)'!$O$30*'Calc (ex-housing, ex-storage)'!F144/100/VLOOKUP($C$140,'DB animal categories'!$C$52:$AC$61,27,FALSE)*AJ144,IF(AI144=4,('Calc (ex-animal)'!$O$30+'Calc (ex-animal)'!$N$30)*'Calc (ex-housing, ex-storage)'!F144/100*VLOOKUP(D144,'DB technologies'!$N$66:$Y$77,11,FALSE)/100/VLOOKUP($C$140,'DB animal categories'!$C$52:$AC$61,27,FALSE)*AJ144,0))))</f>
        <v/>
      </c>
      <c r="AR144" s="184" t="str">
        <f>IF(D144="","",IF(AI144=2,('Calc (ex-animal)'!$R$30*'Calc (ex-housing, ex-storage)'!F144/100+'Calc (ex-animal)'!$Q$30*'Calc (ex-housing, ex-storage)'!F144/100)/VLOOKUP($C$140,'DB animal categories'!$C$52:$AC$61,27,FALSE)*AJ144+Y144+Z144+AA144,IF(AI144=1,'Calc (ex-animal)'!$R$30*'Calc (ex-housing, ex-storage)'!F144/100/VLOOKUP($C$140,'DB animal categories'!$C$52:$AC$61,27,FALSE)*AJ144,IF(AI144=4,('Calc (ex-animal)'!$R$30+'Calc (ex-animal)'!$Q$30)*'Calc (ex-housing, ex-storage)'!F144/100*VLOOKUP(D144,'DB technologies'!$N$66:$Y$77,11,FALSE)/100/VLOOKUP($C$140,'DB animal categories'!$C$52:$AC$61,27,FALSE)*AJ144,0))))</f>
        <v/>
      </c>
      <c r="AS144" s="183" t="str">
        <f>IF(D144="","",VLOOKUP(D144,'DB technologies'!$N$66:$Y$77,10,FALSE))</f>
        <v/>
      </c>
      <c r="AT144" s="452" t="str">
        <f>IF(AS144="","",AU144+AV144)</f>
        <v/>
      </c>
      <c r="AU144" s="452" t="str">
        <f>IF(D144="","",IF(AS144=2,0,IF(AS144=1,'Calc (ex-animal)'!$G$30*'DB additional information '!$K$9/100*(1-VLOOKUP(D144,'DB technologies'!$N$66:$Y$77,8,FALSE)/100)*'Calc (ex-housing, ex-storage)'!F144/100/VLOOKUP($C$140,'DB animal categories'!$C$52:$AC$61,27,FALSE)*AJ144+I144+J144+K144,IF(AS144=5,(('Calc (ex-animal)'!$G$30*'DB additional information '!$K$9/100+'Calc (ex-animal)'!$H$30*'DB additional information '!$L$9/100))*(1-VLOOKUP(D144,'DB technologies'!$N$66:$Y$77,9,FALSE)/100)*'Calc (ex-housing, ex-storage)'!F144/100/VLOOKUP($C$140,'DB animal categories'!$C$52:$AC$61,27,FALSE)*AJ144+I144+J144+K144,IF(AS144=3,('Calc (ex-animal)'!$G$30*'DB additional information '!$K$9/100+'Calc (ex-animal)'!$H$30*'DB additional information '!$L$9/100)*(1-VLOOKUP(D144,'DB technologies'!$N$66:$Y$77,9,FALSE)/100)*'Calc (ex-housing, ex-storage)'!F144/100/VLOOKUP($C$140,'DB animal categories'!$C$52:$AC$61,27,FALSE)*AJ144+I144+J144+K144,IF(AS144=4,('Calc (ex-animal)'!$G$30*'DB additional information '!$K$9/100+'Calc (ex-animal)'!$H$30*'DB additional information '!$L$9/100)*(1-VLOOKUP(D144,'DB technologies'!$N$66:$Y$77,9,FALSE)/100)*'Calc (ex-housing, ex-storage)'!F144/100*VLOOKUP(D144,'DB technologies'!$N$66:$Y$77,12,FALSE)/100/VLOOKUP($C$140,'DB animal categories'!$C$52:$AC$61,27,FALSE)*AJ144+I144+J144+K144,0))))))</f>
        <v/>
      </c>
      <c r="AV144" s="452" t="str">
        <f>IF(D144="","",IF(AS144=2,0,IF(AS144=1,'Calc (ex-animal)'!$G$30*(1-'DB additional information '!$K$9/100)*(1-VLOOKUP(D144,'DB technologies'!$N$66:$Y$77,8,FALSE)/100)*'Calc (ex-housing, ex-storage)'!F144/100/VLOOKUP($C$140,'DB animal categories'!$C$52:$AC$61,27,FALSE)*AJ144+M144+N144+O144,IF(AS144=5,('Calc (ex-animal)'!$G$30*(1-'DB additional information '!$K$9/100)+'Calc (ex-animal)'!$H$30*(1-'DB additional information '!$L$9/100))*(1-VLOOKUP(D144,'DB technologies'!$N$66:$Y$77,8,FALSE)/100)*'Calc (ex-housing, ex-storage)'!F144/100/VLOOKUP($C$140,'DB animal categories'!$C$52:$AC$61,27,FALSE)*AJ144+M144+N144+O144,IF(AS144=3,('Calc (ex-animal)'!$G$30*(1-'DB additional information '!$K$9/100)+'Calc (ex-animal)'!$H$30*(1-'DB additional information '!$L$9/100))*(1-VLOOKUP(D144,'DB technologies'!$N$66:$Y$77,8,FALSE)/100)*'Calc (ex-housing, ex-storage)'!F144/100/VLOOKUP($C$140,'DB animal categories'!$C$52:$AC$61,27,FALSE)*AJ144+M144+N144+O144,IF(AS144=4,('Calc (ex-animal)'!$G$30*(1-'DB additional information '!$K$9/100)+'Calc (ex-animal)'!$H$30*(1-'DB additional information '!$L$9/100))*(1-VLOOKUP(D144,'DB technologies'!$N$66:$Y$77,8,FALSE)/100)*'Calc (ex-housing, ex-storage)'!F144/100*VLOOKUP(D144,'DB technologies'!$N$66:$Y$77,12,FALSE)/100/VLOOKUP($C$140,'DB animal categories'!$C$52:$AC$61,27,FALSE)*AJ144+M144+N144+O144,0))))))</f>
        <v/>
      </c>
      <c r="AW144" s="452" t="str">
        <f>IF(AS144="","",IF(AU144=0,0,AU144/AT144*100))</f>
        <v/>
      </c>
      <c r="AX144" s="184" t="str">
        <f>IF(D144="","",IF(AS144=2,0,IF(AS144=1,'Calc (ex-animal)'!$K$30*'Calc (ex-housing, ex-storage)'!F144/100/VLOOKUP($C$140,'DB animal categories'!$C$52:$AC$61,27,FALSE)*AJ144+Q144+R144+S144,IF(AS144=5,('Calc (ex-animal)'!$K$30+'Calc (ex-animal)'!$L$30)*'Calc (ex-housing, ex-storage)'!F144/100/VLOOKUP($C$140,'DB animal categories'!$C$52:$AC$61,27,FALSE)*AJ144+Q144+R144+S144-'Calc (ex-housing, ex-storage)'!AC144,IF(AS144=3,('Calc (ex-animal)'!$K$30+'Calc (ex-animal)'!$L$30)*'Calc (ex-housing, ex-storage)'!F144/100/VLOOKUP($C$140,'DB animal categories'!$C$52:$AC$61,27,FALSE)*AJ144+Q144+R144+S144-'Calc (ex-housing, ex-storage)'!AC144-AD144-AE144,IF(AI144=4,('Calc (ex-animal)'!$K$30+'Calc (ex-animal)'!$L$30)*'Calc (ex-housing, ex-storage)'!F144/100*VLOOKUP(D144,'DB technologies'!$N$66:$Y$77,12,FALSE)/100/VLOOKUP($C$140,'DB animal categories'!$C$52:$AC$61,27,FALSE)*AJ144+Q144+R144+S144-(VLOOKUP(D144,'DB technologies'!$N$66:$Y$77,12,FALSE)/100*AC144)-AD144-AE144,0))))))</f>
        <v/>
      </c>
      <c r="AY144" s="184" t="str">
        <f>IF(D144="","",IF(AS144=2,0,IF(AS144=1,'Calc (ex-animal)'!$N$30*'Calc (ex-housing, ex-storage)'!F144/100/VLOOKUP($C$140,'DB animal categories'!$C$52:$AC$61,27,FALSE)*AJ144+U144+V144+W144,IF(AS144=5,('Calc (ex-animal)'!$N$30+'Calc (ex-animal)'!$O$30)*'Calc (ex-housing, ex-storage)'!F144/100/VLOOKUP($C$140,'DB animal categories'!$C$52:$AC$61,27,FALSE)*AJ144+U144+V144+W144,IF(AS144=3,('Calc (ex-animal)'!$N$30+'Calc (ex-animal)'!$O$30)*'Calc (ex-housing, ex-storage)'!F144/100/VLOOKUP($C$140,'DB animal categories'!$C$52:$AC$61,27,FALSE)*AJ144+U144+V144+W144,IF(AS144=4,('Calc (ex-animal)'!$N$30+'Calc (ex-animal)'!$O$30)*'Calc (ex-housing, ex-storage)'!F144/100*VLOOKUP(D144,'DB technologies'!$N$66:$Y$77,12,FALSE)/100/VLOOKUP($C$140,'DB animal categories'!$C$52:$AC$61,27,FALSE)*AJ144+U144+V144+W144,0))))))</f>
        <v/>
      </c>
      <c r="AZ144" s="184" t="str">
        <f>IF(D144="","",IF(AS144=2,0,IF(AS144=1,'Calc (ex-animal)'!$Q$30*'Calc (ex-housing, ex-storage)'!F144/100/VLOOKUP($C$140,'DB animal categories'!$C$52:$AC$61,27,FALSE)*AJ144+Y144+Z144+AA144,IF(AS144=5,('Calc (ex-animal)'!$Q$30+'Calc (ex-animal)'!$R$30)*'Calc (ex-housing, ex-storage)'!F144/100/VLOOKUP($C$140,'DB animal categories'!$C$52:$AC$61,27,FALSE)*AJ144+Y144+Z144+AA144,IF(AS144=3,('Calc (ex-animal)'!$Q$30+'Calc (ex-animal)'!$R$30)*'Calc (ex-housing, ex-storage)'!F144/100/VLOOKUP($C$140,'DB animal categories'!$C$52:$AC$61,27,FALSE)*AJ144+Y144+Z144+AA144,IF(AS144=4,('Calc (ex-animal)'!$Q$30+'Calc (ex-animal)'!$R$30)*'Calc (ex-housing, ex-storage)'!F144/100*VLOOKUP(D144,'DB technologies'!$N$66:$Y$77,12,FALSE)/100/VLOOKUP($C$140,'DB animal categories'!$C$52:$AC$61,27,FALSE)*AJ144+Y144+Z144+AA144,0))))))</f>
        <v/>
      </c>
      <c r="BA144" s="506"/>
      <c r="BB144" s="506"/>
      <c r="BC144" s="506"/>
    </row>
    <row r="145" spans="1:55" ht="11.25" customHeight="1" thickBot="1" x14ac:dyDescent="0.25">
      <c r="A145" s="684"/>
      <c r="B145" s="695"/>
      <c r="C145" s="252"/>
      <c r="D145" s="269" t="s">
        <v>58</v>
      </c>
      <c r="E145" s="270">
        <f>IF(F145&lt;=100,SUM(E140:E144),"ERROR")</f>
        <v>0</v>
      </c>
      <c r="F145" s="284">
        <f>IF(SUM(F140:F144) &lt;=100,SUM(F140:F144),"ERROR, SUM&gt;100%")</f>
        <v>0</v>
      </c>
      <c r="G145" s="504">
        <f>IF('Calc (ex-animal)'!$F$9=1,"",SUM(G140:G144))</f>
        <v>0</v>
      </c>
      <c r="H145" s="433">
        <f>IF('Calc (ex-animal)'!$F$8=1,"",SUM(H140:H144))</f>
        <v>0</v>
      </c>
      <c r="I145" s="433">
        <f>IF('Calc (ex-animal)'!$F$8=1,"",SUM(I140:I144))</f>
        <v>0</v>
      </c>
      <c r="J145" s="433">
        <f>IF('Calc (ex-animal)'!$F$8=1,"",SUM(J140:J144))</f>
        <v>0</v>
      </c>
      <c r="K145" s="433">
        <f>IF('Calc (ex-animal)'!$F$8=1,"",SUM(K140:K144))</f>
        <v>0</v>
      </c>
      <c r="L145" s="433">
        <f>IF('Calc (ex-animal)'!$F$8=1,"",SUM(L140:L144))</f>
        <v>0</v>
      </c>
      <c r="M145" s="470"/>
      <c r="N145" s="470"/>
      <c r="O145" s="470"/>
      <c r="P145" s="478">
        <f>IF(G145=0,0,IF('Calc (ex-animal)'!$F$9=1,"",IF(D145="","",SUM(H145:K145)/G145*100)))</f>
        <v>0</v>
      </c>
      <c r="Q145" s="271"/>
      <c r="R145" s="271"/>
      <c r="S145" s="271"/>
      <c r="T145" s="278">
        <f>IF('Calc (ex-animal)'!$F$30=1,"",SUM(T140:T144))</f>
        <v>0</v>
      </c>
      <c r="U145" s="279"/>
      <c r="V145" s="279"/>
      <c r="W145" s="279"/>
      <c r="X145" s="279">
        <f>IF('Calc (ex-animal)'!$F$30=1,"",SUM(X140:X144))</f>
        <v>0</v>
      </c>
      <c r="Y145" s="279"/>
      <c r="Z145" s="279"/>
      <c r="AA145" s="279"/>
      <c r="AB145" s="279">
        <f>IF('Calc (ex-animal)'!$F$30=1,"",SUM(AB140:AB144))</f>
        <v>0</v>
      </c>
      <c r="AC145" s="279">
        <f>IF('Calc (ex-animal)'!$F$30=1,"",SUM(AC140:AC144))</f>
        <v>0</v>
      </c>
      <c r="AD145" s="279">
        <f>IF('Calc (ex-animal)'!$F$30=1,"",SUM(AD140:AD144))</f>
        <v>0</v>
      </c>
      <c r="AE145" s="280">
        <f>IF('Calc (ex-animal)'!$F$30=1,"",SUM(AE140:AE144))</f>
        <v>0</v>
      </c>
    </row>
    <row r="146" spans="1:55" ht="11.25" customHeight="1" x14ac:dyDescent="0.2">
      <c r="A146" s="684"/>
      <c r="B146" s="695"/>
      <c r="C146" s="250">
        <f>'Calc (ex-animal)'!D31</f>
        <v>0</v>
      </c>
      <c r="D146" s="1355"/>
      <c r="E146" s="1356"/>
      <c r="F146" s="479" t="str">
        <f>IF('Calc (ex-animal)'!$F$9=1,"",IF($C$146=0,"",IF(D146="","",E146/'Calc (ex-animal)'!$E$31*100)))</f>
        <v/>
      </c>
      <c r="G146" s="484" t="str">
        <f>IF($C$146=0,"",IF('Calc (ex-animal)'!$F$8=1,"",IF(D146="","",SUM(H146:O146))))</f>
        <v/>
      </c>
      <c r="H146" s="471" t="str">
        <f>IF('Calc (ex-animal)'!$F$8=1,"",IF(D146="","",(((VLOOKUP($C$146,'Calc (ex-animal)'!$D$28:$Y$32,6,FALSE)-VLOOKUP($C$146,'Calc (ex-animal)'!$D$28:$Y$32,17,FALSE))*F146/100))*VLOOKUP($C$146,'Calc (ex-animal)'!$D$28:$Y$32,7,FALSE)/100*(1-VLOOKUP(D146,'DB technologies'!$N$66:$Y$77,9,FALSE)/100)))</f>
        <v/>
      </c>
      <c r="I146" s="471" t="str">
        <f>IF(D146="","",((VLOOKUP(D146,'DB technologies'!$N$66:$Y$77,2,FALSE)*VLOOKUP($C$146,'DB animal categories'!$C$52:$AC$61,27,FALSE)*E146/1000)/VLOOKUP($C$146,'DB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'!$S$6/100*(1-VLOOKUP(D146,'DB technologies'!$N$66:$Y$77,9,FALSE)/100)))</f>
        <v/>
      </c>
      <c r="J146" s="472" t="str">
        <f>IF(D146="","",((VLOOKUP(D146,'DB technologies'!$N$66:$Y$77,3,FALSE)*VLOOKUP($C$146,'DB animal categories'!$C$52:$AC$61,27,FALSE)*E146/1000)/VLOOKUP($C$146,'DB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'!$S$7/100*(1-VLOOKUP(D146,'DB technologies'!$N$66:$Y$77,9,FALSE)/100)))</f>
        <v/>
      </c>
      <c r="K146" s="472" t="str">
        <f>IF(D146="","",((VLOOKUP(D146,'DB technologies'!$N$66:$Y$77,4,FALSE)*E146*'DB additional information '!$S$8/100*(1-VLOOKUP(D146,'DB technologies'!$N$66:$Y$77,9,FALSE)/100))/VLOOKUP($C$146,'DB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L146" s="471" t="str">
        <f>IF('Calc (ex-animal)'!$F$8=1,"",IF(D146="","",(((VLOOKUP($C$146,'Calc (ex-animal)'!$D$28:$Y$32,6,FALSE)-VLOOKUP($C$146,'Calc (ex-animal)'!$D$28:$Y$32,17,FALSE))*F146/100))*(1-VLOOKUP($C$146,'Calc (ex-animal)'!$D$28:$Y$32,7,FALSE)/100)*(1-VLOOKUP(D146,'DB technologies'!$N$66:$V$77,8,FALSE)/100)))</f>
        <v/>
      </c>
      <c r="M146" s="472" t="str">
        <f>IF(D146="","",((VLOOKUP(D146,'DB technologies'!$N$66:$Y$77,2,FALSE)*VLOOKUP($C$146,'DB animal categories'!$C$52:$AC$61,27,FALSE)*E146/1000)/VLOOKUP($C$146,'DB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'!$S$6/100)*(1-VLOOKUP(D146,'DB technologies'!$N$66:$Y$77,9,FALSE)/100))</f>
        <v/>
      </c>
      <c r="N146" s="472" t="str">
        <f>IF(D146="","",((VLOOKUP(D146,'DB technologies'!$N$66:$Y$77,3,FALSE)*VLOOKUP($C$146,'DB animal categories'!$C$52:$AC$61,27,FALSE)*E146/1000)/VLOOKUP($C$146,'DB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'!$S$7/100)*(1-VLOOKUP(D146,'DB technologies'!$N$66:$Y$77,9,FALSE)/100))</f>
        <v/>
      </c>
      <c r="O146" s="471" t="str">
        <f>IF(D146="","",((VLOOKUP(D146,'DB technologies'!$N$66:$Y$77,4,FALSE)*E146*(1-'DB additional information '!$S$8/100)*(1-VLOOKUP(D146,'DB technologies'!$N$66:$Y$77,8,FALSE)/100))/VLOOKUP($C$146,'DB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P146" s="443" t="str">
        <f>IF(G146=0,0,IF(E146="","",IF(F146="","",IF($C$146=0,"",IF(D146="","",SUM(H146:K146)/G146*100)))))</f>
        <v/>
      </c>
      <c r="Q146" s="473" t="str">
        <f>IF(D146="","",(VLOOKUP(D146,'DB technologies'!$N$66:$Y$77,2,FALSE)*'DB additional information '!$S$6/100*'DB additional information '!$T$6*VLOOKUP($C$146,'DB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R146" s="473" t="str">
        <f>IF(D146="","",(VLOOKUP(D146,'DB technologies'!$N$66:$Y$77,3,FALSE)*'DB additional information '!$S$7/100*'DB additional information '!$T$7*VLOOKUP($C$146,'DB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S146" s="490" t="str">
        <f>IF(D146="","",(VLOOKUP(D146,'DB technologies'!$N$66:$Y$77,4,FALSE)*('DB additional information '!$S$8/100*'DB additional information '!$T$8*E146/1000/1000)))</f>
        <v/>
      </c>
      <c r="T146" s="263" t="str">
        <f>IF($C$146=0,"",IF('Calc (ex-animal)'!$F$9=1,"",IF(D146="","",((VLOOKUP($C$146,'Calc (ex-animal)'!$D$28:$Y$32,10,FALSE)-VLOOKUP($C$146,'Calc (ex-animal)'!$D$28:$Y$32,18,FALSE))*F146/100+Q146+R146+S146)-AC146-AD146-AE146)))</f>
        <v/>
      </c>
      <c r="U146" s="474" t="str">
        <f>IF(D146="","",(VLOOKUP(D146,'DB technologies'!$N$66:$Y$77,2,FALSE)*'DB additional information '!$S$6/100*'DB additional information '!$U$6*VLOOKUP($C$146,'DB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V146" s="420" t="str">
        <f>IF(D146="","",(VLOOKUP(D146,'DB technologies'!$N$66:$Y$77,3,FALSE)*'DB additional information '!$S$7/100*'DB additional information '!$U$7*VLOOKUP($C$146,'DB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W146" s="415" t="str">
        <f>IF(D146="","",(VLOOKUP(D146,'DB technologies'!$N$66:$Y$77,4,FALSE)*('DB additional information '!$S$8/100*'DB additional information '!$U$8*E146/1000/1000)))</f>
        <v/>
      </c>
      <c r="X146" s="259" t="str">
        <f>IF($C$146=0,"",IF('Calc (ex-animal)'!$F$9=1,"",IF(D146="","",((VLOOKUP($C$146,'Calc (ex-animal)'!$D$28:$Y$32,13,FALSE)-VLOOKUP($C$146,'Calc (ex-animal)'!$D$28:$Y$32,19,FALSE))*F146/100+U146+V146+W146))))</f>
        <v/>
      </c>
      <c r="Y146" s="420" t="str">
        <f>IF(D146="","",(VLOOKUP(D146,'DB technologies'!$N$66:$Y$77,2,FALSE)*'DB additional information '!$S$6/100*'DB additional information '!$V$6*VLOOKUP($C$146,'DB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Z146" s="420" t="str">
        <f>IF(D146="","",(VLOOKUP(D146,'DB technologies'!$N$66:$Y$77,3,FALSE)*'DB additional information '!$S$7/100*'DB additional information '!$V$7*VLOOKUP($C$146,'DB animal categories'!$C$52:$AC$61,27,FALSE)*E146/1000/1000)/VLOOKUP($C$146,'DB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AA146" s="420" t="str">
        <f>IF(D146="","",(VLOOKUP(D146,'DB technologies'!$N$66:$Y$77,4,FALSE)*('DB additional information '!$S$8/100*'DB additional information '!$V$8*E146/1000/1000)))</f>
        <v/>
      </c>
      <c r="AB146" s="259" t="str">
        <f>IF($C$146=0,"",IF('Calc (ex-animal)'!$F$8=1,"",IF(D146="","",((VLOOKUP($C$146,'Calc (ex-animal)'!$D$28:$Y$32,16,FALSE)-VLOOKUP($C$146,'Calc (ex-animal)'!$D$28:$Y$32,20,FALSE))*F146/100+Y146+Z146+AA146))))</f>
        <v/>
      </c>
      <c r="AC146" s="259" t="str">
        <f>IF($C$146=0,"",IF('Calc (ex-animal)'!$F$8=1,"",IF(D146="","",VLOOKUP($C$146,'Calc (ex-animal)'!$D$28:$Y$32,9,FALSE)/VLOOKUP($C$146,'DB animal categories'!$C$52:$AC$61,27,FALSE)*(VLOOKUP($C$146,'DB animal categories'!$C$52:$AC$61,27,FALSE)-VLOOKUP($C$146,'DB animal categories'!$C$52:$AC$61,25,FALSE)*VLOOKUP($C$146,'DB animal categories'!$C$52:$AC$61,26,FALSE)/24)*F146/100*VLOOKUP(D146,'DB technologies'!$N$66:$R$77,5,FALSE)/100)))</f>
        <v/>
      </c>
      <c r="AD146" s="259" t="str">
        <f>IF($C$146=0,"",IF('Calc (ex-animal)'!$F$8=1,"",IF(D146="","",VLOOKUP($C$146,'Calc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categories'!$C$52:$AC$61,26,FALSE)/24)*F146/100*VLOOKUP(D146,'DB technologies'!$N$66:$Y$77,6,FALSE)/100)))</f>
        <v/>
      </c>
      <c r="AE146" s="260" t="str">
        <f>IF($C$146=0,"",IF('Calc (ex-animal)'!$F$8=1,"",IF(D146="","",VLOOKUP($C$146,'Calc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categories'!$C$52:$AC$61,26,FALSE)/24)*F146/100*VLOOKUP(D146,'DB technologies'!$N$66:$Y$77,7,FALSE)/100)))</f>
        <v/>
      </c>
      <c r="AI146" s="179" t="str">
        <f>IF(D146="","",VLOOKUP(D146,'DB technologies'!$N$66:$Y$77,10,FALSE))</f>
        <v/>
      </c>
      <c r="AJ146" s="482" t="e">
        <f>VLOOKUP($C$146,'DB animal categories'!$C$52:$AN$61,27,FALSE)-VLOOKUP($C$146,'DB animal categories'!$C$52:$AN$61,26,FALSE)*VLOOKUP($C$146,'DB animal categories'!$C$52:$AN$61,25,FALSE)/24</f>
        <v>#N/A</v>
      </c>
      <c r="AK146" s="453" t="str">
        <f>IF(AI146="","",AL146+AM146)</f>
        <v/>
      </c>
      <c r="AL146" s="453" t="str">
        <f>IF(D146="","",IF(AI146=2,(('Calc (ex-animal)'!$G$31*'DB additional information '!$K$9/100*(1-VLOOKUP(D146,'DB technologies'!$N$66:$Y$77,9,FALSE)/100)*'Calc (ex-housing, ex-storage)'!F146/100+'Calc (ex-animal)'!$H$31*'DB additional information '!$L$9/100*(1-VLOOKUP(D146,'DB technologies'!$N$66:$Y$77,9,FALSE)/100)*'Calc (ex-housing, ex-storage)'!F146/100))/VLOOKUP($C$146,'DB animal categories'!$C$52:$AC$61,27,FALSE)*AJ146+I146+J146+K146,IF(AI146=1,('Calc (ex-animal)'!$H$31*'DB additional information '!$L$9/100*(1-VLOOKUP(D146,'DB technologies'!$N$66:$Y$77,9,FALSE)/100)*'Calc (ex-housing, ex-storage)'!F146/100)/VLOOKUP($C$146,'DB animal categories'!$C$52:$AC$61,27,FALSE)*AJ146,IF(AI146=4,('Calc (ex-animal)'!$G$31*'DB additional information '!$K$9/100+'Calc (ex-animal)'!$H$31*'DB additional information '!$L$9/100)*(1-VLOOKUP(D146,'DB technologies'!$N$66:$Y$77,9,FALSE)/100)*'Calc (ex-housing, ex-storage)'!F146/100*VLOOKUP(D146,'DB technologies'!$N$66:$Y$77,11,FALSE)/100/VLOOKUP($C$146,'DB animal categories'!$C$52:$AC$61,27,FALSE)*AJ146,0))))</f>
        <v/>
      </c>
      <c r="AM146" s="453" t="str">
        <f>IF(D146="","",IF(AI146=2,(('Calc (ex-animal)'!$G$31*(1-'DB additional information '!$K$9/100)*(1-VLOOKUP(D146,'DB technologies'!$N$66:$Y$77,8,FALSE)/100)*'Calc (ex-housing, ex-storage)'!F146/100+'Calc (ex-animal)'!$H$31*(1-'DB additional information '!$L$9/100)*(1-VLOOKUP(D146,'DB technologies'!$N$66:$Y$77,8,FALSE)/100)*'Calc (ex-housing, ex-storage)'!F146/100))/VLOOKUP($C$146,'DB animal categories'!$C$52:$AC$61,27,FALSE)*AJ146+M146+N146+O146,IF(AI146=1,('Calc (ex-animal)'!$H$31*(1-'DB additional information '!$L$9/100)*(1-VLOOKUP(D146,'DB technologies'!$N$66:$Y$77,8,FALSE)/100)*'Calc (ex-housing, ex-storage)'!F146/100)/VLOOKUP($C$146,'DB animal categories'!$C$52:$AC$61,27,FALSE)*AJ146,IF(AI146=4,('Calc (ex-animal)'!$G$31*(1-'DB additional information '!$K$9/100)+'Calc (ex-animal)'!$H$31*(1-'DB additional information '!$L$9/100))*(1-VLOOKUP(D146,'DB technologies'!$N$66:$Y$77,8,FALSE)/100)*'Calc (ex-housing, ex-storage)'!F146/100*VLOOKUP(D146,'DB technologies'!$N$66:$Y$77,11,FALSE)/100/VLOOKUP($C$146,'DB animal categories'!$C$52:$AC$61,27,FALSE)*AJ146,0))))</f>
        <v/>
      </c>
      <c r="AN146" s="453" t="str">
        <f>IF(AI146="","",IF(AL146=0,0,AL146/AK146*100))</f>
        <v/>
      </c>
      <c r="AO146" s="180" t="str">
        <f>IF(D146="","",IF(AI146=2,(('Calc (ex-animal)'!$L$31*'Calc (ex-housing, ex-storage)'!F146/100+'Calc (ex-animal)'!$K$31*'Calc (ex-housing, ex-storage)'!F146/100))/VLOOKUP($C$146,'DB animal categories'!$C$52:$AC$61,27,FALSE)*AJ146+Q146+R146+S146-AC146,IF(AI146=1,('Calc (ex-animal)'!$L$31*'Calc (ex-housing, ex-storage)'!F146/100)/VLOOKUP($C$146,'DB animal categories'!$C$52:$AC$61,27,FALSE)*AJ146-'Calc (ex-housing, ex-storage)'!AC146,IF(AI146=4,('Calc (ex-animal)'!$L$31+'Calc (ex-animal)'!$K$31)*'Calc (ex-housing, ex-storage)'!F146/100*VLOOKUP(D146,'DB technologies'!$N$66:$Y$77,11,FALSE)/100/VLOOKUP($C$146,'DB animal categories'!$C$52:$AC$61,27,FALSE)*AJ146-AC146*VLOOKUP(D146,'DB technologies'!$N$66:$Y$77,11,FALSE)/100,0))))</f>
        <v/>
      </c>
      <c r="AP146" s="180" t="str">
        <f>IF(D146="","",IF(AO146&lt;-0.01,0,IF(AI146=2,(('Calc (ex-animal)'!$L$31*'Calc (ex-housing, ex-storage)'!F146/100+'Calc (ex-animal)'!$K$31*'Calc (ex-housing, ex-storage)'!F146/100))/VLOOKUP($C$146,'DB animal categories'!$C$52:$AC$61,27,FALSE)*AJ146+Q146+R146+S146-AC146,IF(AI146=1,('Calc (ex-animal)'!$L$31*'Calc (ex-housing, ex-storage)'!F146/100)/VLOOKUP($C$146,'DB animal categories'!$C$52:$AC$61,27,FALSE)*AJ146-'Calc (ex-housing, ex-storage)'!AC146,IF(AI146=4,('Calc (ex-animal)'!$L$31+'Calc (ex-animal)'!$K$31)*'Calc (ex-housing, ex-storage)'!F146/100*VLOOKUP(D146,'DB technologies'!$N$66:$Y$77,11,FALSE)/100/VLOOKUP($C$146,'DB animal categories'!$C$52:$AC$61,27,FALSE)*AJ146-AC146*VLOOKUP(D146,'DB technologies'!$N$66:$Y$77,11,FALSE)/100,0)))))</f>
        <v/>
      </c>
      <c r="AQ146" s="180" t="str">
        <f>IF(D146="","",IF(AI146=2,('Calc (ex-animal)'!$O$31*'Calc (ex-housing, ex-storage)'!F146/100+'Calc (ex-animal)'!$N$31*'Calc (ex-housing, ex-storage)'!F146/100)/VLOOKUP($C$146,'DB animal categories'!$C$52:$AC$61,27,FALSE)*AJ146+U146+V146+W146,IF(AI146=1,'Calc (ex-animal)'!$O$31*'Calc (ex-housing, ex-storage)'!F146/100/VLOOKUP($C$146,'DB animal categories'!$C$52:$AC$61,27,FALSE)*AJ146,IF(AI146=4,('Calc (ex-animal)'!$O$31+'Calc (ex-animal)'!$N$31)*'Calc (ex-housing, ex-storage)'!F146/100*VLOOKUP(D146,'DB technologies'!$N$66:$Y$77,11,FALSE)/100/VLOOKUP($C$146,'DB animal categories'!$C$52:$AC$61,27,FALSE)*AJ146,0))))</f>
        <v/>
      </c>
      <c r="AR146" s="180" t="str">
        <f>IF(D146="","",IF(AI146=2,('Calc (ex-animal)'!$R$31*'Calc (ex-housing, ex-storage)'!F146/100+'Calc (ex-animal)'!$Q$31*'Calc (ex-housing, ex-storage)'!F146/100)/VLOOKUP($C$146,'DB animal categories'!$C$52:$AC$61,27,FALSE)*AJ146+Y146+Z146+AA146,IF(AI146=1,'Calc (ex-animal)'!$R$31*'Calc (ex-housing, ex-storage)'!F146/100/VLOOKUP($C$146,'DB animal categories'!$C$52:$AC$61,27,FALSE)*AJ146,IF(AI146=4,('Calc (ex-animal)'!$R$31+'Calc (ex-animal)'!$Q$31)*'Calc (ex-housing, ex-storage)'!F146/100*VLOOKUP(D146,'DB technologies'!$N$66:$Y$77,11,FALSE)/100/VLOOKUP($C$146,'DB animal categories'!$C$52:$AC$61,27,FALSE)*AJ146,0))))</f>
        <v/>
      </c>
      <c r="AS146" s="179" t="str">
        <f>IF(D146="","",VLOOKUP(D146,'DB technologies'!$N$66:$Y$77,10,FALSE))</f>
        <v/>
      </c>
      <c r="AT146" s="453" t="str">
        <f>IF(AS146="","",AU146+AV146)</f>
        <v/>
      </c>
      <c r="AU146" s="453" t="str">
        <f>IF(D146="","",IF(AS146=2,0,IF(AS146=1,'Calc (ex-animal)'!$G$31*'DB additional information '!$K$9/100*(1-VLOOKUP(D146,'DB technologies'!$N$66:$Y$77,8,FALSE)/100)*'Calc (ex-housing, ex-storage)'!F146/100/VLOOKUP($C$146,'DB animal categories'!$C$52:$AC$61,27,FALSE)*AJ146+I146+J146+K146,IF(AS146=5,(('Calc (ex-animal)'!$G$31*'DB additional information '!$K$9/100+'Calc (ex-animal)'!$H$31*'DB additional information '!$L$9/100))*(1-VLOOKUP(D146,'DB technologies'!$N$66:$Y$77,9,FALSE)/100)*'Calc (ex-housing, ex-storage)'!F146/100/VLOOKUP($C$146,'DB animal categories'!$C$52:$AC$61,27,FALSE)*AJ146+I146+J146+K146,IF(AS146=3,('Calc (ex-animal)'!$G$31*'DB additional information '!$K$9/100+'Calc (ex-animal)'!$H$31*'DB additional information '!$L$9/100)*(1-VLOOKUP(D146,'DB technologies'!$N$66:$Y$77,9,FALSE)/100)*'Calc (ex-housing, ex-storage)'!F146/100/VLOOKUP($C$146,'DB animal categories'!$C$52:$AC$61,27,FALSE)*AJ146+I146+J146+K146,IF(AS146=4,('Calc (ex-animal)'!$G$31*'DB additional information '!$K$9/100+'Calc (ex-animal)'!$H$31*'DB additional information '!$L$9/100)*(1-VLOOKUP(D146,'DB technologies'!$N$66:$Y$77,9,FALSE)/100)*'Calc (ex-housing, ex-storage)'!F146/100*VLOOKUP(D146,'DB technologies'!$N$66:$Y$77,12,FALSE)/100/VLOOKUP($C$146,'DB animal categories'!$C$52:$AC$61,27,FALSE)*AJ146+I146+J146+K146,0))))))</f>
        <v/>
      </c>
      <c r="AV146" s="453" t="str">
        <f>IF(D146="","",IF(AS146=2,0,IF(AS146=1,'Calc (ex-animal)'!$G$31*(1-'DB additional information '!$K$9/100)*(1-VLOOKUP(D146,'DB technologies'!$N$66:$Y$77,8,FALSE)/100)*'Calc (ex-housing, ex-storage)'!F146/100/VLOOKUP($C$146,'DB animal categories'!$C$52:$AC$61,27,FALSE)*AJ146+M146+N146+O146,IF(AS146=5,('Calc (ex-animal)'!$G$31*(1-'DB additional information '!$K$9/100)+'Calc (ex-animal)'!$H$31*(1-'DB additional information '!$L$9/100))*(1-VLOOKUP(D146,'DB technologies'!$N$66:$Y$77,8,FALSE)/100)*'Calc (ex-housing, ex-storage)'!F146/100/VLOOKUP($C$146,'DB animal categories'!$C$52:$AC$61,27,FALSE)*AJ146+M146+N146+O146,IF(AS146=3,('Calc (ex-animal)'!$G$31*(1-'DB additional information '!$K$9/100)+'Calc (ex-animal)'!$H$31*(1-'DB additional information '!$L$9/100))*(1-VLOOKUP(D146,'DB technologies'!$N$66:$Y$77,8,FALSE)/100)*'Calc (ex-housing, ex-storage)'!F146/100/VLOOKUP($C$146,'DB animal categories'!$C$52:$AC$61,27,FALSE)*AJ146+M146+N146+O146,IF(AS146=4,('Calc (ex-animal)'!$G$31*(1-'DB additional information '!$K$9/100)+'Calc (ex-animal)'!$H$31*(1-'DB additional information '!$L$9/100))*(1-VLOOKUP(D146,'DB technologies'!$N$66:$Y$77,8,FALSE)/100)*'Calc (ex-housing, ex-storage)'!F146/100*VLOOKUP(D146,'DB technologies'!$N$66:$Y$77,12,FALSE)/100/VLOOKUP($C$146,'DB animal categories'!$C$52:$AC$61,27,FALSE)*AJ146+M146+N146+O146,0))))))</f>
        <v/>
      </c>
      <c r="AW146" s="453" t="str">
        <f>IF(AS146="","",IF(AU146=0,0,AU146/AT146*100))</f>
        <v/>
      </c>
      <c r="AX146" s="180" t="str">
        <f>IF(D146="","",IF(AS146=2,0,IF(AS146=1,'Calc (ex-animal)'!$K$31*'Calc (ex-housing, ex-storage)'!F146/100/VLOOKUP($C$146,'DB animal categories'!$C$52:$AC$61,27,FALSE)*AJ146+Q146+R146+S146,IF(AS146=5,('Calc (ex-animal)'!$K$31+'Calc (ex-animal)'!$L$31)*'Calc (ex-housing, ex-storage)'!F146/100/VLOOKUP($C$146,'DB animal categories'!$C$52:$AC$61,27,FALSE)*AJ146+Q146+R146+S146-'Calc (ex-housing, ex-storage)'!AC146,IF(AS146=3,('Calc (ex-animal)'!$K$31+'Calc (ex-animal)'!$L$31)*'Calc (ex-housing, ex-storage)'!F146/100/VLOOKUP($C$146,'DB animal categories'!$C$52:$AC$61,27,FALSE)*AJ146+Q146+R146+S146-'Calc (ex-housing, ex-storage)'!AC146-AD146-AE146,IF(AI146=4,('Calc (ex-animal)'!$K$31+'Calc (ex-animal)'!$L$31)*'Calc (ex-housing, ex-storage)'!F146/100*VLOOKUP(D146,'DB technologies'!$N$66:$Y$77,12,FALSE)/100/VLOOKUP($C$146,'DB animal categories'!$C$52:$AC$61,27,FALSE)*AJ146+Q146+R146+S146-(VLOOKUP(D146,'DB technologies'!$N$66:$Y$77,12,FALSE)/100*AC146)-AD146-AE146,0))))))</f>
        <v/>
      </c>
      <c r="AY146" s="180" t="str">
        <f>IF(D146="","",IF(AS146=2,0,IF(AS146=1,'Calc (ex-animal)'!$N$31*'Calc (ex-housing, ex-storage)'!F146/100/VLOOKUP($C$146,'DB animal categories'!$C$52:$AC$61,27,FALSE)*AJ146+U146+V146+W146,IF(AS146=5,('Calc (ex-animal)'!$N$31+'Calc (ex-animal)'!$O$31)*'Calc (ex-housing, ex-storage)'!F146/100/VLOOKUP($C$146,'DB animal categories'!$C$52:$AC$61,27,FALSE)*AJ146+U146+V146+W146,IF(AS146=3,('Calc (ex-animal)'!$N$31+'Calc (ex-animal)'!$O$31)*'Calc (ex-housing, ex-storage)'!F146/100/VLOOKUP($C$146,'DB animal categories'!$C$52:$AC$61,27,FALSE)*AJ146+U146+V146+W146,IF(AS146=4,('Calc (ex-animal)'!$N$31+'Calc (ex-animal)'!$O$31)*'Calc (ex-housing, ex-storage)'!F146/100*VLOOKUP(D146,'DB technologies'!$N$66:$Y$77,12,FALSE)/100/VLOOKUP($C$146,'DB animal categories'!$C$52:$AC$61,27,FALSE)*AJ146+U146+V146+W146,0))))))</f>
        <v/>
      </c>
      <c r="AZ146" s="180" t="str">
        <f>IF(D146="","",IF(AS146=2,0,IF(AS146=1,'Calc (ex-animal)'!$Q$31*'Calc (ex-housing, ex-storage)'!F146/100/VLOOKUP($C$146,'DB animal categories'!$C$52:$AC$61,27,FALSE)*AJ146+Y146+Z146+AA146,IF(AS146=5,('Calc (ex-animal)'!$Q$31+'Calc (ex-animal)'!$R$31)*'Calc (ex-housing, ex-storage)'!F146/100/VLOOKUP($C$146,'DB animal categories'!$C$52:$AC$61,27,FALSE)*AJ146+Y146+Z146+AA146,IF(AS146=3,('Calc (ex-animal)'!$Q$31+'Calc (ex-animal)'!$R$31)*'Calc (ex-housing, ex-storage)'!F146/100/VLOOKUP($C$146,'DB animal categories'!$C$52:$AC$61,27,FALSE)*AJ146+Y146+Z146+AA146,IF(AS146=4,('Calc (ex-animal)'!$Q$31+'Calc (ex-animal)'!$R$31)*'Calc (ex-housing, ex-storage)'!F146/100*VLOOKUP(D146,'DB technologies'!$N$66:$Y$77,12,FALSE)/100/VLOOKUP($C$146,'DB animal categories'!$C$52:$AC$61,27,FALSE)*AJ146+Y146+Z146+AA146,0))))))</f>
        <v/>
      </c>
      <c r="BA146" s="506"/>
      <c r="BB146" s="506"/>
      <c r="BC146" s="506"/>
    </row>
    <row r="147" spans="1:55" ht="11.25" customHeight="1" x14ac:dyDescent="0.2">
      <c r="A147" s="684"/>
      <c r="B147" s="695"/>
      <c r="C147" s="251"/>
      <c r="D147" s="1357"/>
      <c r="E147" s="1358"/>
      <c r="F147" s="480" t="str">
        <f>IF('Calc (ex-animal)'!$F$9=1,"",IF($C$146=0,"",IF(D147="","",E147/'Calc (ex-animal)'!$E$31*100)))</f>
        <v/>
      </c>
      <c r="G147" s="485" t="str">
        <f>IF($C$146=0,"",IF('Calc (ex-animal)'!$F$8=1,"",IF(D147="","",SUM(H147:O147))))</f>
        <v/>
      </c>
      <c r="H147" s="423" t="str">
        <f>IF('Calc (ex-animal)'!$F$8=1,"",IF(D147="","",(((VLOOKUP($C$146,'Calc (ex-animal)'!$D$28:$Y$32,6,FALSE)-VLOOKUP($C$146,'Calc (ex-animal)'!$D$28:$Y$32,17,FALSE))*F147/100))*VLOOKUP($C$146,'Calc (ex-animal)'!$D$28:$Y$32,7,FALSE)/100*(1-VLOOKUP(D147,'DB technologies'!$N$66:$Y$77,9,FALSE)/100)))</f>
        <v/>
      </c>
      <c r="I147" s="423" t="str">
        <f>IF(D147="","",((VLOOKUP(D147,'DB technologies'!$N$66:$Y$77,2,FALSE)*VLOOKUP($C$146,'DB animal categories'!$C$52:$AC$61,27,FALSE)*E147/1000)/VLOOKUP($C$146,'DB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'!$S$6/100*(1-VLOOKUP(D147,'DB technologies'!$N$66:$Y$77,9,FALSE)/100)))</f>
        <v/>
      </c>
      <c r="J147" s="434" t="str">
        <f>IF(D147="","",((VLOOKUP(D147,'DB technologies'!$N$66:$Y$77,3,FALSE)*VLOOKUP($C$146,'DB animal categories'!$C$52:$AC$61,27,FALSE)*E147/1000)/VLOOKUP($C$146,'DB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'!$S$7/100*(1-VLOOKUP(D147,'DB technologies'!$N$66:$Y$77,9,FALSE)/100)))</f>
        <v/>
      </c>
      <c r="K147" s="434" t="str">
        <f>IF(D147="","",((VLOOKUP(D147,'DB technologies'!$N$66:$Y$77,4,FALSE)*E147*'DB additional information '!$S$8/100*(1-VLOOKUP(D147,'DB technologies'!$N$66:$Y$77,9,FALSE)/100))/VLOOKUP($C$146,'DB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L147" s="423" t="str">
        <f>IF('Calc (ex-animal)'!$F$8=1,"",IF(D147="","",(((VLOOKUP($C$146,'Calc (ex-animal)'!$D$28:$Y$32,6,FALSE)-VLOOKUP($C$146,'Calc (ex-animal)'!$D$28:$Y$32,17,FALSE))*F147/100))*(1-VLOOKUP($C$146,'Calc (ex-animal)'!$D$28:$Y$32,7,FALSE)/100)*(1-VLOOKUP(D147,'DB technologies'!$N$66:$V$77,8,FALSE)/100)))</f>
        <v/>
      </c>
      <c r="M147" s="434" t="str">
        <f>IF(D147="","",((VLOOKUP(D147,'DB technologies'!$N$66:$Y$77,2,FALSE)*VLOOKUP($C$146,'DB animal categories'!$C$52:$AC$61,27,FALSE)*E147/1000)/VLOOKUP($C$146,'DB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'!$S$6/100)*(1-VLOOKUP(D147,'DB technologies'!$N$66:$Y$77,9,FALSE)/100))</f>
        <v/>
      </c>
      <c r="N147" s="434" t="str">
        <f>IF(D147="","",((VLOOKUP(D147,'DB technologies'!$N$66:$Y$77,3,FALSE)*VLOOKUP($C$146,'DB animal categories'!$C$52:$AC$61,27,FALSE)*E147/1000)/VLOOKUP($C$146,'DB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'!$S$7/100)*(1-VLOOKUP(D147,'DB technologies'!$N$66:$Y$77,9,FALSE)/100))</f>
        <v/>
      </c>
      <c r="O147" s="423" t="str">
        <f>IF(D147="","",((VLOOKUP(D147,'DB technologies'!$N$66:$Y$77,4,FALSE)*E147*(1-'DB additional information '!$S$8/100)*(1-VLOOKUP(D147,'DB technologies'!$N$66:$Y$77,8,FALSE)/100))/VLOOKUP($C$146,'DB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P147" s="438" t="str">
        <f>IF(G147=0,0,IF(E147="","",IF(F147="","",IF($C$146=0,"",IF(D147="","",SUM(H147:K147)/G147*100)))))</f>
        <v/>
      </c>
      <c r="Q147" s="416" t="str">
        <f>IF(D147="","",(VLOOKUP(D147,'DB technologies'!$N$66:$Y$77,2,FALSE)*'DB additional information '!$S$6/100*'DB additional information '!$T$6*VLOOKUP($C$146,'DB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R147" s="416" t="str">
        <f>IF(D147="","",(VLOOKUP(D147,'DB technologies'!$N$66:$Y$77,3,FALSE)*'DB additional information '!$S$7/100*'DB additional information '!$T$7*VLOOKUP($C$146,'DB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S147" s="491" t="str">
        <f>IF(D147="","",(VLOOKUP(D147,'DB technologies'!$N$66:$Y$77,4,FALSE)*('DB additional information '!$S$8/100*'DB additional information '!$T$8*E147/1000/1000)))</f>
        <v/>
      </c>
      <c r="T147" s="264" t="str">
        <f>IF($C$146=0,"",IF('Calc (ex-animal)'!$F$9=1,"",IF(D147="","",((VLOOKUP($C$146,'Calc (ex-animal)'!$D$28:$Y$32,10,FALSE)-VLOOKUP($C$146,'Calc (ex-animal)'!$D$28:$Y$32,18,FALSE))*F147/100+Q147+R147+S147)-AC147-AD147-AE147)))</f>
        <v/>
      </c>
      <c r="U147" s="422" t="str">
        <f>IF(D147="","",(VLOOKUP(D147,'DB technologies'!$N$66:$Y$77,2,FALSE)*'DB additional information '!$S$6/100*'DB additional information '!$U$6*VLOOKUP($C$146,'DB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V147" s="418" t="str">
        <f>IF(D147="","",(VLOOKUP(D147,'DB technologies'!$N$66:$Y$77,3,FALSE)*'DB additional information '!$S$7/100*'DB additional information '!$U$7*VLOOKUP($C$146,'DB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W147" s="417" t="str">
        <f>IF(D147="","",(VLOOKUP(D147,'DB technologies'!$N$66:$Y$77,4,FALSE)*('DB additional information '!$S$8/100*'DB additional information '!$U$8*E147/1000/1000)))</f>
        <v/>
      </c>
      <c r="X147" s="261" t="str">
        <f>IF($C$146=0,"",IF('Calc (ex-animal)'!$F$9=1,"",IF(D147="","",((VLOOKUP($C$146,'Calc (ex-animal)'!$D$28:$Y$32,13,FALSE)-VLOOKUP($C$146,'Calc (ex-animal)'!$D$28:$Y$32,19,FALSE))*F147/100+U147+V147+W147))))</f>
        <v/>
      </c>
      <c r="Y147" s="418" t="str">
        <f>IF(D147="","",(VLOOKUP(D147,'DB technologies'!$N$66:$Y$77,2,FALSE)*'DB additional information '!$S$6/100*'DB additional information '!$V$6*VLOOKUP($C$146,'DB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Z147" s="418" t="str">
        <f>IF(D147="","",(VLOOKUP(D147,'DB technologies'!$N$66:$Y$77,3,FALSE)*'DB additional information '!$S$7/100*'DB additional information '!$V$7*VLOOKUP($C$146,'DB animal categories'!$C$52:$AC$61,27,FALSE)*E147/1000/1000)/VLOOKUP($C$146,'DB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AA147" s="418" t="str">
        <f>IF(D147="","",(VLOOKUP(D147,'DB technologies'!$N$66:$Y$77,4,FALSE)*('DB additional information '!$S$8/100*'DB additional information '!$V$8*E147/1000/1000)))</f>
        <v/>
      </c>
      <c r="AB147" s="261" t="str">
        <f>IF($C$146=0,"",IF('Calc (ex-animal)'!$F$8=1,"",IF(D147="","",((VLOOKUP($C$146,'Calc (ex-animal)'!$D$28:$Y$32,16,FALSE)-VLOOKUP($C$146,'Calc (ex-animal)'!$D$28:$Y$32,20,FALSE))*F147/100+Y147+Z147+AA147))))</f>
        <v/>
      </c>
      <c r="AC147" s="261" t="str">
        <f>IF($C$146=0,"",IF('Calc (ex-animal)'!$F$8=1,"",IF(D147="","",VLOOKUP($C$146,'Calc (ex-animal)'!$D$28:$Y$32,9,FALSE)/VLOOKUP($C$146,'DB animal categories'!$C$52:$AC$61,27,FALSE)*(VLOOKUP($C$146,'DB animal categories'!$C$52:$AC$61,27,FALSE)-VLOOKUP($C$146,'DB animal categories'!$C$52:$AC$61,25,FALSE)*VLOOKUP($C$146,'DB animal categories'!$C$52:$AC$61,26,FALSE)/24)*F147/100*VLOOKUP(D147,'DB technologies'!$N$66:$R$77,5,FALSE)/100)))</f>
        <v/>
      </c>
      <c r="AD147" s="261" t="str">
        <f>IF($C$146=0,"",IF('Calc (ex-animal)'!$F$8=1,"",IF(D147="","",VLOOKUP($C$146,'Calc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categories'!$C$52:$AC$61,26,FALSE)/24)*F147/100*VLOOKUP(D147,'DB technologies'!$N$66:$Y$77,6,FALSE)/100)))</f>
        <v/>
      </c>
      <c r="AE147" s="262" t="str">
        <f>IF($C$146=0,"",IF('Calc (ex-animal)'!$F$8=1,"",IF(D147="","",VLOOKUP($C$146,'Calc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categories'!$C$52:$AC$61,26,FALSE)/24)*F147/100*VLOOKUP(D147,'DB technologies'!$N$66:$Y$77,7,FALSE)/100)))</f>
        <v/>
      </c>
      <c r="AI147" s="181" t="str">
        <f>IF(D147="","",VLOOKUP(D147,'DB technologies'!$N$66:$Y$77,10,FALSE))</f>
        <v/>
      </c>
      <c r="AJ147" s="449" t="e">
        <f>VLOOKUP($C$146,'DB animal categories'!$C$52:$AN$61,27,FALSE)-VLOOKUP($C$146,'DB animal categories'!$C$52:$AN$61,26,FALSE)*VLOOKUP($C$146,'DB animal categories'!$C$52:$AN$61,25,FALSE)/24</f>
        <v>#N/A</v>
      </c>
      <c r="AK147" s="442" t="str">
        <f>IF(AI147="","",AL147+AM147)</f>
        <v/>
      </c>
      <c r="AL147" s="442" t="str">
        <f>IF(D147="","",IF(AI147=2,(('Calc (ex-animal)'!$G$31*'DB additional information '!$K$9/100*(1-VLOOKUP(D147,'DB technologies'!$N$66:$Y$77,9,FALSE)/100)*'Calc (ex-housing, ex-storage)'!F147/100+'Calc (ex-animal)'!$H$31*'DB additional information '!$L$9/100*(1-VLOOKUP(D147,'DB technologies'!$N$66:$Y$77,9,FALSE)/100)*'Calc (ex-housing, ex-storage)'!F147/100))/VLOOKUP($C$146,'DB animal categories'!$C$52:$AC$61,27,FALSE)*AJ147+I147+J147+K147,IF(AI147=1,('Calc (ex-animal)'!$H$31*'DB additional information '!$L$9/100*(1-VLOOKUP(D147,'DB technologies'!$N$66:$Y$77,9,FALSE)/100)*'Calc (ex-housing, ex-storage)'!F147/100)/VLOOKUP($C$146,'DB animal categories'!$C$52:$AC$61,27,FALSE)*AJ147,IF(AI147=4,('Calc (ex-animal)'!$G$31*'DB additional information '!$K$9/100+'Calc (ex-animal)'!$H$31*'DB additional information '!$L$9/100)*(1-VLOOKUP(D147,'DB technologies'!$N$66:$Y$77,9,FALSE)/100)*'Calc (ex-housing, ex-storage)'!F147/100*VLOOKUP(D147,'DB technologies'!$N$66:$Y$77,11,FALSE)/100/VLOOKUP($C$146,'DB animal categories'!$C$52:$AC$61,27,FALSE)*AJ147,0))))</f>
        <v/>
      </c>
      <c r="AM147" s="442" t="str">
        <f>IF(D147="","",IF(AI147=2,(('Calc (ex-animal)'!$G$31*(1-'DB additional information '!$K$9/100)*(1-VLOOKUP(D147,'DB technologies'!$N$66:$Y$77,8,FALSE)/100)*'Calc (ex-housing, ex-storage)'!F147/100+'Calc (ex-animal)'!$H$31*(1-'DB additional information '!$L$9/100)*(1-VLOOKUP(D147,'DB technologies'!$N$66:$Y$77,8,FALSE)/100)*'Calc (ex-housing, ex-storage)'!F147/100))/VLOOKUP($C$146,'DB animal categories'!$C$52:$AC$61,27,FALSE)*AJ147+M147+N147+O147,IF(AI147=1,('Calc (ex-animal)'!$H$31*(1-'DB additional information '!$L$9/100)*(1-VLOOKUP(D147,'DB technologies'!$N$66:$Y$77,8,FALSE)/100)*'Calc (ex-housing, ex-storage)'!F147/100)/VLOOKUP($C$146,'DB animal categories'!$C$52:$AC$61,27,FALSE)*AJ147,IF(AI147=4,('Calc (ex-animal)'!$G$31*(1-'DB additional information '!$K$9/100)+'Calc (ex-animal)'!$H$31*(1-'DB additional information '!$L$9/100))*(1-VLOOKUP(D147,'DB technologies'!$N$66:$Y$77,8,FALSE)/100)*'Calc (ex-housing, ex-storage)'!F147/100*VLOOKUP(D147,'DB technologies'!$N$66:$Y$77,11,FALSE)/100/VLOOKUP($C$146,'DB animal categories'!$C$52:$AC$61,27,FALSE)*AJ147,0))))</f>
        <v/>
      </c>
      <c r="AN147" s="442" t="str">
        <f>IF(AI147="","",IF(AL147=0,0,AL147/AK147*100))</f>
        <v/>
      </c>
      <c r="AO147" s="182" t="str">
        <f>IF(D147="","",IF(AI147=2,(('Calc (ex-animal)'!$L$31*'Calc (ex-housing, ex-storage)'!F147/100+'Calc (ex-animal)'!$K$31*'Calc (ex-housing, ex-storage)'!F147/100))/VLOOKUP($C$146,'DB animal categories'!$C$52:$AC$61,27,FALSE)*AJ147+Q147+R147+S147-AC147,IF(AI147=1,('Calc (ex-animal)'!$L$31*'Calc (ex-housing, ex-storage)'!F147/100)/VLOOKUP($C$146,'DB animal categories'!$C$52:$AC$61,27,FALSE)*AJ147-'Calc (ex-housing, ex-storage)'!AC147,IF(AI147=4,('Calc (ex-animal)'!$L$31+'Calc (ex-animal)'!$K$31)*'Calc (ex-housing, ex-storage)'!F147/100*VLOOKUP(D147,'DB technologies'!$N$66:$Y$77,11,FALSE)/100/VLOOKUP($C$146,'DB animal categories'!$C$52:$AC$61,27,FALSE)*AJ147-AC147*VLOOKUP(D147,'DB technologies'!$N$66:$Y$77,11,FALSE)/100,0))))</f>
        <v/>
      </c>
      <c r="AP147" s="182" t="str">
        <f>IF(D147="","",IF(AO147&lt;-0.01,0,IF(AI147=2,(('Calc (ex-animal)'!$L$31*'Calc (ex-housing, ex-storage)'!F147/100+'Calc (ex-animal)'!$K$31*'Calc (ex-housing, ex-storage)'!F147/100))/VLOOKUP($C$146,'DB animal categories'!$C$52:$AC$61,27,FALSE)*AJ147+Q147+R147+S147-AC147,IF(AI147=1,('Calc (ex-animal)'!$L$31*'Calc (ex-housing, ex-storage)'!F147/100)/VLOOKUP($C$146,'DB animal categories'!$C$52:$AC$61,27,FALSE)*AJ147-'Calc (ex-housing, ex-storage)'!AC147,IF(AI147=4,('Calc (ex-animal)'!$L$31+'Calc (ex-animal)'!$K$31)*'Calc (ex-housing, ex-storage)'!F147/100*VLOOKUP(D147,'DB technologies'!$N$66:$Y$77,11,FALSE)/100/VLOOKUP($C$146,'DB animal categories'!$C$52:$AC$61,27,FALSE)*AJ147-AC147*VLOOKUP(D147,'DB technologies'!$N$66:$Y$77,11,FALSE)/100,0)))))</f>
        <v/>
      </c>
      <c r="AQ147" s="182" t="str">
        <f>IF(D147="","",IF(AI147=2,('Calc (ex-animal)'!$O$31*'Calc (ex-housing, ex-storage)'!F147/100+'Calc (ex-animal)'!$N$31*'Calc (ex-housing, ex-storage)'!F147/100)/VLOOKUP($C$146,'DB animal categories'!$C$52:$AC$61,27,FALSE)*AJ147+U147+V147+W147,IF(AI147=1,'Calc (ex-animal)'!$O$31*'Calc (ex-housing, ex-storage)'!F147/100/VLOOKUP($C$146,'DB animal categories'!$C$52:$AC$61,27,FALSE)*AJ147,IF(AI147=4,('Calc (ex-animal)'!$O$31+'Calc (ex-animal)'!$N$31)*'Calc (ex-housing, ex-storage)'!F147/100*VLOOKUP(D147,'DB technologies'!$N$66:$Y$77,11,FALSE)/100/VLOOKUP($C$146,'DB animal categories'!$C$52:$AC$61,27,FALSE)*AJ147,0))))</f>
        <v/>
      </c>
      <c r="AR147" s="182" t="str">
        <f>IF(D147="","",IF(AI147=2,('Calc (ex-animal)'!$R$31*'Calc (ex-housing, ex-storage)'!F147/100+'Calc (ex-animal)'!$Q$31*'Calc (ex-housing, ex-storage)'!F147/100)/VLOOKUP($C$146,'DB animal categories'!$C$52:$AC$61,27,FALSE)*AJ147+Y147+Z147+AA147,IF(AI147=1,'Calc (ex-animal)'!$R$31*'Calc (ex-housing, ex-storage)'!F147/100/VLOOKUP($C$146,'DB animal categories'!$C$52:$AC$61,27,FALSE)*AJ147,IF(AI147=4,('Calc (ex-animal)'!$R$31+'Calc (ex-animal)'!$Q$31)*'Calc (ex-housing, ex-storage)'!F147/100*VLOOKUP(D147,'DB technologies'!$N$66:$Y$77,11,FALSE)/100/VLOOKUP($C$146,'DB animal categories'!$C$52:$AC$61,27,FALSE)*AJ147,0))))</f>
        <v/>
      </c>
      <c r="AS147" s="181" t="str">
        <f>IF(D147="","",VLOOKUP(D147,'DB technologies'!$N$66:$Y$77,10,FALSE))</f>
        <v/>
      </c>
      <c r="AT147" s="442" t="str">
        <f>IF(AS147="","",AU147+AV147)</f>
        <v/>
      </c>
      <c r="AU147" s="442" t="str">
        <f>IF(D147="","",IF(AS147=2,0,IF(AS147=1,'Calc (ex-animal)'!$G$31*'DB additional information '!$K$9/100*(1-VLOOKUP(D147,'DB technologies'!$N$66:$Y$77,8,FALSE)/100)*'Calc (ex-housing, ex-storage)'!F147/100/VLOOKUP($C$146,'DB animal categories'!$C$52:$AC$61,27,FALSE)*AJ147+I147+J147+K147,IF(AS147=5,(('Calc (ex-animal)'!$G$31*'DB additional information '!$K$9/100+'Calc (ex-animal)'!$H$31*'DB additional information '!$L$9/100))*(1-VLOOKUP(D147,'DB technologies'!$N$66:$Y$77,9,FALSE)/100)*'Calc (ex-housing, ex-storage)'!F147/100/VLOOKUP($C$146,'DB animal categories'!$C$52:$AC$61,27,FALSE)*AJ147+I147+J147+K147,IF(AS147=3,('Calc (ex-animal)'!$G$31*'DB additional information '!$K$9/100+'Calc (ex-animal)'!$H$31*'DB additional information '!$L$9/100)*(1-VLOOKUP(D147,'DB technologies'!$N$66:$Y$77,9,FALSE)/100)*'Calc (ex-housing, ex-storage)'!F147/100/VLOOKUP($C$146,'DB animal categories'!$C$52:$AC$61,27,FALSE)*AJ147+I147+J147+K147,IF(AS147=4,('Calc (ex-animal)'!$G$31*'DB additional information '!$K$9/100+'Calc (ex-animal)'!$H$31*'DB additional information '!$L$9/100)*(1-VLOOKUP(D147,'DB technologies'!$N$66:$Y$77,9,FALSE)/100)*'Calc (ex-housing, ex-storage)'!F147/100*VLOOKUP(D147,'DB technologies'!$N$66:$Y$77,12,FALSE)/100/VLOOKUP($C$146,'DB animal categories'!$C$52:$AC$61,27,FALSE)*AJ147+I147+J147+K147,0))))))</f>
        <v/>
      </c>
      <c r="AV147" s="442" t="str">
        <f>IF(D147="","",IF(AS147=2,0,IF(AS147=1,'Calc (ex-animal)'!$G$31*(1-'DB additional information '!$K$9/100)*(1-VLOOKUP(D147,'DB technologies'!$N$66:$Y$77,8,FALSE)/100)*'Calc (ex-housing, ex-storage)'!F147/100/VLOOKUP($C$146,'DB animal categories'!$C$52:$AC$61,27,FALSE)*AJ147+M147+N147+O147,IF(AS147=5,('Calc (ex-animal)'!$G$31*(1-'DB additional information '!$K$9/100)+'Calc (ex-animal)'!$H$31*(1-'DB additional information '!$L$9/100))*(1-VLOOKUP(D147,'DB technologies'!$N$66:$Y$77,8,FALSE)/100)*'Calc (ex-housing, ex-storage)'!F147/100/VLOOKUP($C$146,'DB animal categories'!$C$52:$AC$61,27,FALSE)*AJ147+M147+N147+O147,IF(AS147=3,('Calc (ex-animal)'!$G$31*(1-'DB additional information '!$K$9/100)+'Calc (ex-animal)'!$H$31*(1-'DB additional information '!$L$9/100))*(1-VLOOKUP(D147,'DB technologies'!$N$66:$Y$77,8,FALSE)/100)*'Calc (ex-housing, ex-storage)'!F147/100/VLOOKUP($C$146,'DB animal categories'!$C$52:$AC$61,27,FALSE)*AJ147+M147+N147+O147,IF(AS147=4,('Calc (ex-animal)'!$G$31*(1-'DB additional information '!$K$9/100)+'Calc (ex-animal)'!$H$31*(1-'DB additional information '!$L$9/100))*(1-VLOOKUP(D147,'DB technologies'!$N$66:$Y$77,8,FALSE)/100)*'Calc (ex-housing, ex-storage)'!F147/100*VLOOKUP(D147,'DB technologies'!$N$66:$Y$77,12,FALSE)/100/VLOOKUP($C$146,'DB animal categories'!$C$52:$AC$61,27,FALSE)*AJ147+M147+N147+O147,0))))))</f>
        <v/>
      </c>
      <c r="AW147" s="442" t="str">
        <f>IF(AS147="","",IF(AU147=0,0,AU147/AT147*100))</f>
        <v/>
      </c>
      <c r="AX147" s="182" t="str">
        <f>IF(D147="","",IF(AS147=2,0,IF(AS147=1,'Calc (ex-animal)'!$K$31*'Calc (ex-housing, ex-storage)'!F147/100/VLOOKUP($C$146,'DB animal categories'!$C$52:$AC$61,27,FALSE)*AJ147+Q147+R147+S147,IF(AS147=5,('Calc (ex-animal)'!$K$31+'Calc (ex-animal)'!$L$31)*'Calc (ex-housing, ex-storage)'!F147/100/VLOOKUP($C$146,'DB animal categories'!$C$52:$AC$61,27,FALSE)*AJ147+Q147+R147+S147-'Calc (ex-housing, ex-storage)'!AC147,IF(AS147=3,('Calc (ex-animal)'!$K$31+'Calc (ex-animal)'!$L$31)*'Calc (ex-housing, ex-storage)'!F147/100/VLOOKUP($C$146,'DB animal categories'!$C$52:$AC$61,27,FALSE)*AJ147+Q147+R147+S147-'Calc (ex-housing, ex-storage)'!AC147-AD147-AE147,IF(AI147=4,('Calc (ex-animal)'!$K$31+'Calc (ex-animal)'!$L$31)*'Calc (ex-housing, ex-storage)'!F147/100*VLOOKUP(D147,'DB technologies'!$N$66:$Y$77,12,FALSE)/100/VLOOKUP($C$146,'DB animal categories'!$C$52:$AC$61,27,FALSE)*AJ147+Q147+R147+S147-(VLOOKUP(D147,'DB technologies'!$N$66:$Y$77,12,FALSE)/100*AC147)-AD147-AE147,0))))))</f>
        <v/>
      </c>
      <c r="AY147" s="182" t="str">
        <f>IF(D147="","",IF(AS147=2,0,IF(AS147=1,'Calc (ex-animal)'!$N$31*'Calc (ex-housing, ex-storage)'!F147/100/VLOOKUP($C$146,'DB animal categories'!$C$52:$AC$61,27,FALSE)*AJ147+U147+V147+W147,IF(AS147=5,('Calc (ex-animal)'!$N$31+'Calc (ex-animal)'!$O$31)*'Calc (ex-housing, ex-storage)'!F147/100/VLOOKUP($C$146,'DB animal categories'!$C$52:$AC$61,27,FALSE)*AJ147+U147+V147+W147,IF(AS147=3,('Calc (ex-animal)'!$N$31+'Calc (ex-animal)'!$O$31)*'Calc (ex-housing, ex-storage)'!F147/100/VLOOKUP($C$146,'DB animal categories'!$C$52:$AC$61,27,FALSE)*AJ147+U147+V147+W147,IF(AS147=4,('Calc (ex-animal)'!$N$31+'Calc (ex-animal)'!$O$31)*'Calc (ex-housing, ex-storage)'!F147/100*VLOOKUP(D147,'DB technologies'!$N$66:$Y$77,12,FALSE)/100/VLOOKUP($C$146,'DB animal categories'!$C$52:$AC$61,27,FALSE)*AJ147+U147+V147+W147,0))))))</f>
        <v/>
      </c>
      <c r="AZ147" s="182" t="str">
        <f>IF(D147="","",IF(AS147=2,0,IF(AS147=1,'Calc (ex-animal)'!$Q$31*'Calc (ex-housing, ex-storage)'!F147/100/VLOOKUP($C$146,'DB animal categories'!$C$52:$AC$61,27,FALSE)*AJ147+Y147+Z147+AA147,IF(AS147=5,('Calc (ex-animal)'!$Q$31+'Calc (ex-animal)'!$R$31)*'Calc (ex-housing, ex-storage)'!F147/100/VLOOKUP($C$146,'DB animal categories'!$C$52:$AC$61,27,FALSE)*AJ147+Y147+Z147+AA147,IF(AS147=3,('Calc (ex-animal)'!$Q$31+'Calc (ex-animal)'!$R$31)*'Calc (ex-housing, ex-storage)'!F147/100/VLOOKUP($C$146,'DB animal categories'!$C$52:$AC$61,27,FALSE)*AJ147+Y147+Z147+AA147,IF(AS147=4,('Calc (ex-animal)'!$Q$31+'Calc (ex-animal)'!$R$31)*'Calc (ex-housing, ex-storage)'!F147/100*VLOOKUP(D147,'DB technologies'!$N$66:$Y$77,12,FALSE)/100/VLOOKUP($C$146,'DB animal categories'!$C$52:$AC$61,27,FALSE)*AJ147+Y147+Z147+AA147,0))))))</f>
        <v/>
      </c>
      <c r="BA147" s="506"/>
      <c r="BB147" s="506"/>
      <c r="BC147" s="506"/>
    </row>
    <row r="148" spans="1:55" ht="11.25" customHeight="1" x14ac:dyDescent="0.2">
      <c r="A148" s="684"/>
      <c r="B148" s="695"/>
      <c r="C148" s="251"/>
      <c r="D148" s="1357"/>
      <c r="E148" s="1358"/>
      <c r="F148" s="480" t="str">
        <f>IF('Calc (ex-animal)'!$F$9=1,"",IF($C$146=0,"",IF(D148="","",E148/'Calc (ex-animal)'!$E$31*100)))</f>
        <v/>
      </c>
      <c r="G148" s="485" t="str">
        <f>IF($C$146=0,"",IF('Calc (ex-animal)'!$F$8=1,"",IF(D148="","",SUM(H148:O148))))</f>
        <v/>
      </c>
      <c r="H148" s="423" t="str">
        <f>IF('Calc (ex-animal)'!$F$8=1,"",IF(D148="","",(((VLOOKUP($C$146,'Calc (ex-animal)'!$D$28:$Y$32,6,FALSE)-VLOOKUP($C$146,'Calc (ex-animal)'!$D$28:$Y$32,17,FALSE))*F148/100))*VLOOKUP($C$146,'Calc (ex-animal)'!$D$28:$Y$32,7,FALSE)/100*(1-VLOOKUP(D148,'DB technologies'!$N$66:$Y$77,9,FALSE)/100)))</f>
        <v/>
      </c>
      <c r="I148" s="423" t="str">
        <f>IF(D148="","",((VLOOKUP(D148,'DB technologies'!$N$66:$Y$77,2,FALSE)*VLOOKUP($C$146,'DB animal categories'!$C$52:$AC$61,27,FALSE)*E148/1000)/VLOOKUP($C$146,'DB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'!$S$6/100*(1-VLOOKUP(D148,'DB technologies'!$N$66:$Y$77,9,FALSE)/100)))</f>
        <v/>
      </c>
      <c r="J148" s="434" t="str">
        <f>IF(D148="","",((VLOOKUP(D148,'DB technologies'!$N$66:$Y$77,3,FALSE)*VLOOKUP($C$146,'DB animal categories'!$C$52:$AC$61,27,FALSE)*E148/1000)/VLOOKUP($C$146,'DB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'!$S$7/100*(1-VLOOKUP(D148,'DB technologies'!$N$66:$Y$77,9,FALSE)/100)))</f>
        <v/>
      </c>
      <c r="K148" s="434" t="str">
        <f>IF(D148="","",((VLOOKUP(D148,'DB technologies'!$N$66:$Y$77,4,FALSE)*E148*'DB additional information '!$S$8/100*(1-VLOOKUP(D148,'DB technologies'!$N$66:$Y$77,9,FALSE)/100))/VLOOKUP($C$146,'DB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L148" s="423" t="str">
        <f>IF('Calc (ex-animal)'!$F$8=1,"",IF(D148="","",(((VLOOKUP($C$146,'Calc (ex-animal)'!$D$28:$Y$32,6,FALSE)-VLOOKUP($C$146,'Calc (ex-animal)'!$D$28:$Y$32,17,FALSE))*F148/100))*(1-VLOOKUP($C$146,'Calc (ex-animal)'!$D$28:$Y$32,7,FALSE)/100)*(1-VLOOKUP(D148,'DB technologies'!$N$66:$V$77,8,FALSE)/100)))</f>
        <v/>
      </c>
      <c r="M148" s="434" t="str">
        <f>IF(D148="","",((VLOOKUP(D148,'DB technologies'!$N$66:$Y$77,2,FALSE)*VLOOKUP($C$146,'DB animal categories'!$C$52:$AC$61,27,FALSE)*E148/1000)/VLOOKUP($C$146,'DB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'!$S$6/100)*(1-VLOOKUP(D148,'DB technologies'!$N$66:$Y$77,9,FALSE)/100))</f>
        <v/>
      </c>
      <c r="N148" s="434" t="str">
        <f>IF(D148="","",((VLOOKUP(D148,'DB technologies'!$N$66:$Y$77,3,FALSE)*VLOOKUP($C$146,'DB animal categories'!$C$52:$AC$61,27,FALSE)*E148/1000)/VLOOKUP($C$146,'DB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'!$S$7/100)*(1-VLOOKUP(D148,'DB technologies'!$N$66:$Y$77,9,FALSE)/100))</f>
        <v/>
      </c>
      <c r="O148" s="423" t="str">
        <f>IF(D148="","",((VLOOKUP(D148,'DB technologies'!$N$66:$Y$77,4,FALSE)*E148*(1-'DB additional information '!$S$8/100)*(1-VLOOKUP(D148,'DB technologies'!$N$66:$Y$77,8,FALSE)/100))/VLOOKUP($C$146,'DB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P148" s="438" t="str">
        <f>IF(G148=0,0,IF(E148="","",IF(F148="","",IF($C$146=0,"",IF(D148="","",SUM(H148:K148)/G148*100)))))</f>
        <v/>
      </c>
      <c r="Q148" s="416" t="str">
        <f>IF(D148="","",(VLOOKUP(D148,'DB technologies'!$N$66:$Y$77,2,FALSE)*'DB additional information '!$S$6/100*'DB additional information '!$T$6*VLOOKUP($C$146,'DB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R148" s="416" t="str">
        <f>IF(D148="","",(VLOOKUP(D148,'DB technologies'!$N$66:$Y$77,3,FALSE)*'DB additional information '!$S$7/100*'DB additional information '!$T$7*VLOOKUP($C$146,'DB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S148" s="491" t="str">
        <f>IF(D148="","",(VLOOKUP(D148,'DB technologies'!$N$66:$Y$77,4,FALSE)*('DB additional information '!$S$8/100*'DB additional information '!$T$8*E148/1000/1000)))</f>
        <v/>
      </c>
      <c r="T148" s="264" t="str">
        <f>IF($C$146=0,"",IF('Calc (ex-animal)'!$F$9=1,"",IF(D148="","",((VLOOKUP($C$146,'Calc (ex-animal)'!$D$28:$Y$32,10,FALSE)-VLOOKUP($C$146,'Calc (ex-animal)'!$D$28:$Y$32,18,FALSE))*F148/100+Q148+R148+S148)-AC148-AD148-AE148)))</f>
        <v/>
      </c>
      <c r="U148" s="422" t="str">
        <f>IF(D148="","",(VLOOKUP(D148,'DB technologies'!$N$66:$Y$77,2,FALSE)*'DB additional information '!$S$6/100*'DB additional information '!$U$6*VLOOKUP($C$146,'DB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V148" s="418" t="str">
        <f>IF(D148="","",(VLOOKUP(D148,'DB technologies'!$N$66:$Y$77,3,FALSE)*'DB additional information '!$S$7/100*'DB additional information '!$U$7*VLOOKUP($C$146,'DB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W148" s="417" t="str">
        <f>IF(D148="","",(VLOOKUP(D148,'DB technologies'!$N$66:$Y$77,4,FALSE)*('DB additional information '!$S$8/100*'DB additional information '!$U$8*E148/1000/1000)))</f>
        <v/>
      </c>
      <c r="X148" s="261" t="str">
        <f>IF($C$146=0,"",IF('Calc (ex-animal)'!$F$9=1,"",IF(D148="","",((VLOOKUP($C$146,'Calc (ex-animal)'!$D$28:$Y$32,13,FALSE)-VLOOKUP($C$146,'Calc (ex-animal)'!$D$28:$Y$32,19,FALSE))*F148/100+U148+V148+W148))))</f>
        <v/>
      </c>
      <c r="Y148" s="418" t="str">
        <f>IF(D148="","",(VLOOKUP(D148,'DB technologies'!$N$66:$Y$77,2,FALSE)*'DB additional information '!$S$6/100*'DB additional information '!$V$6*VLOOKUP($C$146,'DB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Z148" s="418" t="str">
        <f>IF(D148="","",(VLOOKUP(D148,'DB technologies'!$N$66:$Y$77,3,FALSE)*'DB additional information '!$S$7/100*'DB additional information '!$V$7*VLOOKUP($C$146,'DB animal categories'!$C$52:$AC$61,27,FALSE)*E148/1000/1000)/VLOOKUP($C$146,'DB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AA148" s="418" t="str">
        <f>IF(D148="","",(VLOOKUP(D148,'DB technologies'!$N$66:$Y$77,4,FALSE)*('DB additional information '!$S$8/100*'DB additional information '!$V$8*E148/1000/1000)))</f>
        <v/>
      </c>
      <c r="AB148" s="261" t="str">
        <f>IF($C$146=0,"",IF('Calc (ex-animal)'!$F$8=1,"",IF(D148="","",((VLOOKUP($C$146,'Calc (ex-animal)'!$D$28:$Y$32,16,FALSE)-VLOOKUP($C$146,'Calc (ex-animal)'!$D$28:$Y$32,20,FALSE))*F148/100+Y148+Z148+AA148))))</f>
        <v/>
      </c>
      <c r="AC148" s="261" t="str">
        <f>IF($C$146=0,"",IF('Calc (ex-animal)'!$F$8=1,"",IF(D148="","",VLOOKUP($C$146,'Calc (ex-animal)'!$D$28:$Y$32,9,FALSE)/VLOOKUP($C$146,'DB animal categories'!$C$52:$AC$61,27,FALSE)*(VLOOKUP($C$146,'DB animal categories'!$C$52:$AC$61,27,FALSE)-VLOOKUP($C$146,'DB animal categories'!$C$52:$AC$61,25,FALSE)*VLOOKUP($C$146,'DB animal categories'!$C$52:$AC$61,26,FALSE)/24)*F148/100*VLOOKUP(D148,'DB technologies'!$N$66:$R$77,5,FALSE)/100)))</f>
        <v/>
      </c>
      <c r="AD148" s="261" t="str">
        <f>IF($C$146=0,"",IF('Calc (ex-animal)'!$F$8=1,"",IF(D148="","",VLOOKUP($C$146,'Calc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categories'!$C$52:$AC$61,26,FALSE)/24)*F148/100*VLOOKUP(D148,'DB technologies'!$N$66:$Y$77,6,FALSE)/100)))</f>
        <v/>
      </c>
      <c r="AE148" s="262" t="str">
        <f>IF($C$146=0,"",IF('Calc (ex-animal)'!$F$8=1,"",IF(D148="","",VLOOKUP($C$146,'Calc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categories'!$C$52:$AC$61,26,FALSE)/24)*F148/100*VLOOKUP(D148,'DB technologies'!$N$66:$Y$77,7,FALSE)/100)))</f>
        <v/>
      </c>
      <c r="AI148" s="181" t="str">
        <f>IF(D148="","",VLOOKUP(D148,'DB technologies'!$N$66:$Y$77,10,FALSE))</f>
        <v/>
      </c>
      <c r="AJ148" s="449" t="e">
        <f>VLOOKUP($C$146,'DB animal categories'!$C$52:$AN$61,27,FALSE)-VLOOKUP($C$146,'DB animal categories'!$C$52:$AN$61,26,FALSE)*VLOOKUP($C$146,'DB animal categories'!$C$52:$AN$61,25,FALSE)/24</f>
        <v>#N/A</v>
      </c>
      <c r="AK148" s="442" t="str">
        <f>IF(AI148="","",AL148+AM148)</f>
        <v/>
      </c>
      <c r="AL148" s="442" t="str">
        <f>IF(D148="","",IF(AI148=2,(('Calc (ex-animal)'!$G$31*'DB additional information '!$K$9/100*(1-VLOOKUP(D148,'DB technologies'!$N$66:$Y$77,9,FALSE)/100)*'Calc (ex-housing, ex-storage)'!F148/100+'Calc (ex-animal)'!$H$31*'DB additional information '!$L$9/100*(1-VLOOKUP(D148,'DB technologies'!$N$66:$Y$77,9,FALSE)/100)*'Calc (ex-housing, ex-storage)'!F148/100))/VLOOKUP($C$146,'DB animal categories'!$C$52:$AC$61,27,FALSE)*AJ148+I148+J148+K148,IF(AI148=1,('Calc (ex-animal)'!$H$31*'DB additional information '!$L$9/100*(1-VLOOKUP(D148,'DB technologies'!$N$66:$Y$77,9,FALSE)/100)*'Calc (ex-housing, ex-storage)'!F148/100)/VLOOKUP($C$146,'DB animal categories'!$C$52:$AC$61,27,FALSE)*AJ148,IF(AI148=4,('Calc (ex-animal)'!$G$31*'DB additional information '!$K$9/100+'Calc (ex-animal)'!$H$31*'DB additional information '!$L$9/100)*(1-VLOOKUP(D148,'DB technologies'!$N$66:$Y$77,9,FALSE)/100)*'Calc (ex-housing, ex-storage)'!F148/100*VLOOKUP(D148,'DB technologies'!$N$66:$Y$77,11,FALSE)/100/VLOOKUP($C$146,'DB animal categories'!$C$52:$AC$61,27,FALSE)*AJ148,0))))</f>
        <v/>
      </c>
      <c r="AM148" s="442" t="str">
        <f>IF(D148="","",IF(AI148=2,(('Calc (ex-animal)'!$G$31*(1-'DB additional information '!$K$9/100)*(1-VLOOKUP(D148,'DB technologies'!$N$66:$Y$77,8,FALSE)/100)*'Calc (ex-housing, ex-storage)'!F148/100+'Calc (ex-animal)'!$H$31*(1-'DB additional information '!$L$9/100)*(1-VLOOKUP(D148,'DB technologies'!$N$66:$Y$77,8,FALSE)/100)*'Calc (ex-housing, ex-storage)'!F148/100))/VLOOKUP($C$146,'DB animal categories'!$C$52:$AC$61,27,FALSE)*AJ148+M148+N148+O148,IF(AI148=1,('Calc (ex-animal)'!$H$31*(1-'DB additional information '!$L$9/100)*(1-VLOOKUP(D148,'DB technologies'!$N$66:$Y$77,8,FALSE)/100)*'Calc (ex-housing, ex-storage)'!F148/100)/VLOOKUP($C$146,'DB animal categories'!$C$52:$AC$61,27,FALSE)*AJ148,IF(AI148=4,('Calc (ex-animal)'!$G$31*(1-'DB additional information '!$K$9/100)+'Calc (ex-animal)'!$H$31*(1-'DB additional information '!$L$9/100))*(1-VLOOKUP(D148,'DB technologies'!$N$66:$Y$77,8,FALSE)/100)*'Calc (ex-housing, ex-storage)'!F148/100*VLOOKUP(D148,'DB technologies'!$N$66:$Y$77,11,FALSE)/100/VLOOKUP($C$146,'DB animal categories'!$C$52:$AC$61,27,FALSE)*AJ148,0))))</f>
        <v/>
      </c>
      <c r="AN148" s="442" t="str">
        <f>IF(AI148="","",IF(AL148=0,0,AL148/AK148*100))</f>
        <v/>
      </c>
      <c r="AO148" s="182" t="str">
        <f>IF(D148="","",IF(AI148=2,(('Calc (ex-animal)'!$L$31*'Calc (ex-housing, ex-storage)'!F148/100+'Calc (ex-animal)'!$K$31*'Calc (ex-housing, ex-storage)'!F148/100))/VLOOKUP($C$146,'DB animal categories'!$C$52:$AC$61,27,FALSE)*AJ148+Q148+R148+S148-AC148,IF(AI148=1,('Calc (ex-animal)'!$L$31*'Calc (ex-housing, ex-storage)'!F148/100)/VLOOKUP($C$146,'DB animal categories'!$C$52:$AC$61,27,FALSE)*AJ148-'Calc (ex-housing, ex-storage)'!AC148,IF(AI148=4,('Calc (ex-animal)'!$L$31+'Calc (ex-animal)'!$K$31)*'Calc (ex-housing, ex-storage)'!F148/100*VLOOKUP(D148,'DB technologies'!$N$66:$Y$77,11,FALSE)/100/VLOOKUP($C$146,'DB animal categories'!$C$52:$AC$61,27,FALSE)*AJ148-AC148*VLOOKUP(D148,'DB technologies'!$N$66:$Y$77,11,FALSE)/100,0))))</f>
        <v/>
      </c>
      <c r="AP148" s="182" t="str">
        <f>IF(D148="","",IF(AO148&lt;-0.01,0,IF(AI148=2,(('Calc (ex-animal)'!$L$31*'Calc (ex-housing, ex-storage)'!F148/100+'Calc (ex-animal)'!$K$31*'Calc (ex-housing, ex-storage)'!F148/100))/VLOOKUP($C$146,'DB animal categories'!$C$52:$AC$61,27,FALSE)*AJ148+Q148+R148+S148-AC148,IF(AI148=1,('Calc (ex-animal)'!$L$31*'Calc (ex-housing, ex-storage)'!F148/100)/VLOOKUP($C$146,'DB animal categories'!$C$52:$AC$61,27,FALSE)*AJ148-'Calc (ex-housing, ex-storage)'!AC148,IF(AI148=4,('Calc (ex-animal)'!$L$31+'Calc (ex-animal)'!$K$31)*'Calc (ex-housing, ex-storage)'!F148/100*VLOOKUP(D148,'DB technologies'!$N$66:$Y$77,11,FALSE)/100/VLOOKUP($C$146,'DB animal categories'!$C$52:$AC$61,27,FALSE)*AJ148-AC148*VLOOKUP(D148,'DB technologies'!$N$66:$Y$77,11,FALSE)/100,0)))))</f>
        <v/>
      </c>
      <c r="AQ148" s="182" t="str">
        <f>IF(D148="","",IF(AI148=2,('Calc (ex-animal)'!$O$31*'Calc (ex-housing, ex-storage)'!F148/100+'Calc (ex-animal)'!$N$31*'Calc (ex-housing, ex-storage)'!F148/100)/VLOOKUP($C$146,'DB animal categories'!$C$52:$AC$61,27,FALSE)*AJ148+U148+V148+W148,IF(AI148=1,'Calc (ex-animal)'!$O$31*'Calc (ex-housing, ex-storage)'!F148/100/VLOOKUP($C$146,'DB animal categories'!$C$52:$AC$61,27,FALSE)*AJ148,IF(AI148=4,('Calc (ex-animal)'!$O$31+'Calc (ex-animal)'!$N$31)*'Calc (ex-housing, ex-storage)'!F148/100*VLOOKUP(D148,'DB technologies'!$N$66:$Y$77,11,FALSE)/100/VLOOKUP($C$146,'DB animal categories'!$C$52:$AC$61,27,FALSE)*AJ148,0))))</f>
        <v/>
      </c>
      <c r="AR148" s="182" t="str">
        <f>IF(D148="","",IF(AI148=2,('Calc (ex-animal)'!$R$31*'Calc (ex-housing, ex-storage)'!F148/100+'Calc (ex-animal)'!$Q$31*'Calc (ex-housing, ex-storage)'!F148/100)/VLOOKUP($C$146,'DB animal categories'!$C$52:$AC$61,27,FALSE)*AJ148+Y148+Z148+AA148,IF(AI148=1,'Calc (ex-animal)'!$R$31*'Calc (ex-housing, ex-storage)'!F148/100/VLOOKUP($C$146,'DB animal categories'!$C$52:$AC$61,27,FALSE)*AJ148,IF(AI148=4,('Calc (ex-animal)'!$R$31+'Calc (ex-animal)'!$Q$31)*'Calc (ex-housing, ex-storage)'!F148/100*VLOOKUP(D148,'DB technologies'!$N$66:$Y$77,11,FALSE)/100/VLOOKUP($C$146,'DB animal categories'!$C$52:$AC$61,27,FALSE)*AJ148,0))))</f>
        <v/>
      </c>
      <c r="AS148" s="181" t="str">
        <f>IF(D148="","",VLOOKUP(D148,'DB technologies'!$N$66:$Y$77,10,FALSE))</f>
        <v/>
      </c>
      <c r="AT148" s="442" t="str">
        <f>IF(AS148="","",AU148+AV148)</f>
        <v/>
      </c>
      <c r="AU148" s="442" t="str">
        <f>IF(D148="","",IF(AS148=2,0,IF(AS148=1,'Calc (ex-animal)'!$G$31*'DB additional information '!$K$9/100*(1-VLOOKUP(D148,'DB technologies'!$N$66:$Y$77,8,FALSE)/100)*'Calc (ex-housing, ex-storage)'!F148/100/VLOOKUP($C$146,'DB animal categories'!$C$52:$AC$61,27,FALSE)*AJ148+I148+J148+K148,IF(AS148=5,(('Calc (ex-animal)'!$G$31*'DB additional information '!$K$9/100+'Calc (ex-animal)'!$H$31*'DB additional information '!$L$9/100))*(1-VLOOKUP(D148,'DB technologies'!$N$66:$Y$77,9,FALSE)/100)*'Calc (ex-housing, ex-storage)'!F148/100/VLOOKUP($C$146,'DB animal categories'!$C$52:$AC$61,27,FALSE)*AJ148+I148+J148+K148,IF(AS148=3,('Calc (ex-animal)'!$G$31*'DB additional information '!$K$9/100+'Calc (ex-animal)'!$H$31*'DB additional information '!$L$9/100)*(1-VLOOKUP(D148,'DB technologies'!$N$66:$Y$77,9,FALSE)/100)*'Calc (ex-housing, ex-storage)'!F148/100/VLOOKUP($C$146,'DB animal categories'!$C$52:$AC$61,27,FALSE)*AJ148+I148+J148+K148,IF(AS148=4,('Calc (ex-animal)'!$G$31*'DB additional information '!$K$9/100+'Calc (ex-animal)'!$H$31*'DB additional information '!$L$9/100)*(1-VLOOKUP(D148,'DB technologies'!$N$66:$Y$77,9,FALSE)/100)*'Calc (ex-housing, ex-storage)'!F148/100*VLOOKUP(D148,'DB technologies'!$N$66:$Y$77,12,FALSE)/100/VLOOKUP($C$146,'DB animal categories'!$C$52:$AC$61,27,FALSE)*AJ148+I148+J148+K148,0))))))</f>
        <v/>
      </c>
      <c r="AV148" s="442" t="str">
        <f>IF(D148="","",IF(AS148=2,0,IF(AS148=1,'Calc (ex-animal)'!$G$31*(1-'DB additional information '!$K$9/100)*(1-VLOOKUP(D148,'DB technologies'!$N$66:$Y$77,8,FALSE)/100)*'Calc (ex-housing, ex-storage)'!F148/100/VLOOKUP($C$146,'DB animal categories'!$C$52:$AC$61,27,FALSE)*AJ148+M148+N148+O148,IF(AS148=5,('Calc (ex-animal)'!$G$31*(1-'DB additional information '!$K$9/100)+'Calc (ex-animal)'!$H$31*(1-'DB additional information '!$L$9/100))*(1-VLOOKUP(D148,'DB technologies'!$N$66:$Y$77,8,FALSE)/100)*'Calc (ex-housing, ex-storage)'!F148/100/VLOOKUP($C$146,'DB animal categories'!$C$52:$AC$61,27,FALSE)*AJ148+M148+N148+O148,IF(AS148=3,('Calc (ex-animal)'!$G$31*(1-'DB additional information '!$K$9/100)+'Calc (ex-animal)'!$H$31*(1-'DB additional information '!$L$9/100))*(1-VLOOKUP(D148,'DB technologies'!$N$66:$Y$77,8,FALSE)/100)*'Calc (ex-housing, ex-storage)'!F148/100/VLOOKUP($C$146,'DB animal categories'!$C$52:$AC$61,27,FALSE)*AJ148+M148+N148+O148,IF(AS148=4,('Calc (ex-animal)'!$G$31*(1-'DB additional information '!$K$9/100)+'Calc (ex-animal)'!$H$31*(1-'DB additional information '!$L$9/100))*(1-VLOOKUP(D148,'DB technologies'!$N$66:$Y$77,8,FALSE)/100)*'Calc (ex-housing, ex-storage)'!F148/100*VLOOKUP(D148,'DB technologies'!$N$66:$Y$77,12,FALSE)/100/VLOOKUP($C$146,'DB animal categories'!$C$52:$AC$61,27,FALSE)*AJ148+M148+N148+O148,0))))))</f>
        <v/>
      </c>
      <c r="AW148" s="442" t="str">
        <f>IF(AS148="","",IF(AU148=0,0,AU148/AT148*100))</f>
        <v/>
      </c>
      <c r="AX148" s="182" t="str">
        <f>IF(D148="","",IF(AS148=2,0,IF(AS148=1,'Calc (ex-animal)'!$K$31*'Calc (ex-housing, ex-storage)'!F148/100/VLOOKUP($C$146,'DB animal categories'!$C$52:$AC$61,27,FALSE)*AJ148+Q148+R148+S148,IF(AS148=5,('Calc (ex-animal)'!$K$31+'Calc (ex-animal)'!$L$31)*'Calc (ex-housing, ex-storage)'!F148/100/VLOOKUP($C$146,'DB animal categories'!$C$52:$AC$61,27,FALSE)*AJ148+Q148+R148+S148-'Calc (ex-housing, ex-storage)'!AC148,IF(AS148=3,('Calc (ex-animal)'!$K$31+'Calc (ex-animal)'!$L$31)*'Calc (ex-housing, ex-storage)'!F148/100/VLOOKUP($C$146,'DB animal categories'!$C$52:$AC$61,27,FALSE)*AJ148+Q148+R148+S148-'Calc (ex-housing, ex-storage)'!AC148-AD148-AE148,IF(AI148=4,('Calc (ex-animal)'!$K$31+'Calc (ex-animal)'!$L$31)*'Calc (ex-housing, ex-storage)'!F148/100*VLOOKUP(D148,'DB technologies'!$N$66:$Y$77,12,FALSE)/100/VLOOKUP($C$146,'DB animal categories'!$C$52:$AC$61,27,FALSE)*AJ148+Q148+R148+S148-(VLOOKUP(D148,'DB technologies'!$N$66:$Y$77,12,FALSE)/100*AC148)-AD148-AE148,0))))))</f>
        <v/>
      </c>
      <c r="AY148" s="182" t="str">
        <f>IF(D148="","",IF(AS148=2,0,IF(AS148=1,'Calc (ex-animal)'!$N$31*'Calc (ex-housing, ex-storage)'!F148/100/VLOOKUP($C$146,'DB animal categories'!$C$52:$AC$61,27,FALSE)*AJ148+U148+V148+W148,IF(AS148=5,('Calc (ex-animal)'!$N$31+'Calc (ex-animal)'!$O$31)*'Calc (ex-housing, ex-storage)'!F148/100/VLOOKUP($C$146,'DB animal categories'!$C$52:$AC$61,27,FALSE)*AJ148+U148+V148+W148,IF(AS148=3,('Calc (ex-animal)'!$N$31+'Calc (ex-animal)'!$O$31)*'Calc (ex-housing, ex-storage)'!F148/100/VLOOKUP($C$146,'DB animal categories'!$C$52:$AC$61,27,FALSE)*AJ148+U148+V148+W148,IF(AS148=4,('Calc (ex-animal)'!$N$31+'Calc (ex-animal)'!$O$31)*'Calc (ex-housing, ex-storage)'!F148/100*VLOOKUP(D148,'DB technologies'!$N$66:$Y$77,12,FALSE)/100/VLOOKUP($C$146,'DB animal categories'!$C$52:$AC$61,27,FALSE)*AJ148+U148+V148+W148,0))))))</f>
        <v/>
      </c>
      <c r="AZ148" s="182" t="str">
        <f>IF(D148="","",IF(AS148=2,0,IF(AS148=1,'Calc (ex-animal)'!$Q$31*'Calc (ex-housing, ex-storage)'!F148/100/VLOOKUP($C$146,'DB animal categories'!$C$52:$AC$61,27,FALSE)*AJ148+Y148+Z148+AA148,IF(AS148=5,('Calc (ex-animal)'!$Q$31+'Calc (ex-animal)'!$R$31)*'Calc (ex-housing, ex-storage)'!F148/100/VLOOKUP($C$146,'DB animal categories'!$C$52:$AC$61,27,FALSE)*AJ148+Y148+Z148+AA148,IF(AS148=3,('Calc (ex-animal)'!$Q$31+'Calc (ex-animal)'!$R$31)*'Calc (ex-housing, ex-storage)'!F148/100/VLOOKUP($C$146,'DB animal categories'!$C$52:$AC$61,27,FALSE)*AJ148+Y148+Z148+AA148,IF(AS148=4,('Calc (ex-animal)'!$Q$31+'Calc (ex-animal)'!$R$31)*'Calc (ex-housing, ex-storage)'!F148/100*VLOOKUP(D148,'DB technologies'!$N$66:$Y$77,12,FALSE)/100/VLOOKUP($C$146,'DB animal categories'!$C$52:$AC$61,27,FALSE)*AJ148+Y148+Z148+AA148,0))))))</f>
        <v/>
      </c>
      <c r="BA148" s="506"/>
      <c r="BB148" s="506"/>
      <c r="BC148" s="506"/>
    </row>
    <row r="149" spans="1:55" ht="11.25" customHeight="1" x14ac:dyDescent="0.2">
      <c r="A149" s="684"/>
      <c r="B149" s="695"/>
      <c r="C149" s="251"/>
      <c r="D149" s="1357"/>
      <c r="E149" s="1358"/>
      <c r="F149" s="480" t="str">
        <f>IF('Calc (ex-animal)'!$F$9=1,"",IF($C$146=0,"",IF(D149="","",E149/'Calc (ex-animal)'!$E$31*100)))</f>
        <v/>
      </c>
      <c r="G149" s="485" t="str">
        <f>IF($C$146=0,"",IF('Calc (ex-animal)'!$F$8=1,"",IF(D149="","",SUM(H149:O149))))</f>
        <v/>
      </c>
      <c r="H149" s="423" t="str">
        <f>IF('Calc (ex-animal)'!$F$8=1,"",IF(D149="","",(((VLOOKUP($C$146,'Calc (ex-animal)'!$D$28:$Y$32,6,FALSE)-VLOOKUP($C$146,'Calc (ex-animal)'!$D$28:$Y$32,17,FALSE))*F149/100))*VLOOKUP($C$146,'Calc (ex-animal)'!$D$28:$Y$32,7,FALSE)/100*(1-VLOOKUP(D149,'DB technologies'!$N$66:$Y$77,9,FALSE)/100)))</f>
        <v/>
      </c>
      <c r="I149" s="423" t="str">
        <f>IF(D149="","",((VLOOKUP(D149,'DB technologies'!$N$66:$Y$77,2,FALSE)*VLOOKUP($C$146,'DB animal categories'!$C$52:$AC$61,27,FALSE)*E149/1000)/VLOOKUP($C$146,'DB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'!$S$6/100*(1-VLOOKUP(D149,'DB technologies'!$N$66:$Y$77,9,FALSE)/100)))</f>
        <v/>
      </c>
      <c r="J149" s="434" t="str">
        <f>IF(D149="","",((VLOOKUP(D149,'DB technologies'!$N$66:$Y$77,3,FALSE)*VLOOKUP($C$146,'DB animal categories'!$C$52:$AC$61,27,FALSE)*E149/1000)/VLOOKUP($C$146,'DB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'!$S$7/100*(1-VLOOKUP(D149,'DB technologies'!$N$66:$Y$77,9,FALSE)/100)))</f>
        <v/>
      </c>
      <c r="K149" s="434" t="str">
        <f>IF(D149="","",((VLOOKUP(D149,'DB technologies'!$N$66:$Y$77,4,FALSE)*E149*'DB additional information '!$S$8/100*(1-VLOOKUP(D149,'DB technologies'!$N$66:$Y$77,9,FALSE)/100))/VLOOKUP($C$146,'DB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L149" s="423" t="str">
        <f>IF('Calc (ex-animal)'!$F$8=1,"",IF(D149="","",(((VLOOKUP($C$146,'Calc (ex-animal)'!$D$28:$Y$32,6,FALSE)-VLOOKUP($C$146,'Calc (ex-animal)'!$D$28:$Y$32,17,FALSE))*F149/100))*(1-VLOOKUP($C$146,'Calc (ex-animal)'!$D$28:$Y$32,7,FALSE)/100)*(1-VLOOKUP(D149,'DB technologies'!$N$66:$V$77,8,FALSE)/100)))</f>
        <v/>
      </c>
      <c r="M149" s="434" t="str">
        <f>IF(D149="","",((VLOOKUP(D149,'DB technologies'!$N$66:$Y$77,2,FALSE)*VLOOKUP($C$146,'DB animal categories'!$C$52:$AC$61,27,FALSE)*E149/1000)/VLOOKUP($C$146,'DB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'!$S$6/100)*(1-VLOOKUP(D149,'DB technologies'!$N$66:$Y$77,9,FALSE)/100))</f>
        <v/>
      </c>
      <c r="N149" s="434" t="str">
        <f>IF(D149="","",((VLOOKUP(D149,'DB technologies'!$N$66:$Y$77,3,FALSE)*VLOOKUP($C$146,'DB animal categories'!$C$52:$AC$61,27,FALSE)*E149/1000)/VLOOKUP($C$146,'DB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'!$S$7/100)*(1-VLOOKUP(D149,'DB technologies'!$N$66:$Y$77,9,FALSE)/100))</f>
        <v/>
      </c>
      <c r="O149" s="423" t="str">
        <f>IF(D149="","",((VLOOKUP(D149,'DB technologies'!$N$66:$Y$77,4,FALSE)*E149*(1-'DB additional information '!$S$8/100)*(1-VLOOKUP(D149,'DB technologies'!$N$66:$Y$77,8,FALSE)/100))/VLOOKUP($C$146,'DB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P149" s="438" t="str">
        <f>IF(G149=0,0,IF(E149="","",IF(F149="","",IF($C$146=0,"",IF(D149="","",SUM(H149:K149)/G149*100)))))</f>
        <v/>
      </c>
      <c r="Q149" s="416" t="str">
        <f>IF(D149="","",(VLOOKUP(D149,'DB technologies'!$N$66:$Y$77,2,FALSE)*'DB additional information '!$S$6/100*'DB additional information '!$T$6*VLOOKUP($C$146,'DB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R149" s="416" t="str">
        <f>IF(D149="","",(VLOOKUP(D149,'DB technologies'!$N$66:$Y$77,3,FALSE)*'DB additional information '!$S$7/100*'DB additional information '!$T$7*VLOOKUP($C$146,'DB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S149" s="491" t="str">
        <f>IF(D149="","",(VLOOKUP(D149,'DB technologies'!$N$66:$Y$77,4,FALSE)*('DB additional information '!$S$8/100*'DB additional information '!$T$8*E149/1000/1000)))</f>
        <v/>
      </c>
      <c r="T149" s="264" t="str">
        <f>IF($C$146=0,"",IF('Calc (ex-animal)'!$F$9=1,"",IF(D149="","",((VLOOKUP($C$146,'Calc (ex-animal)'!$D$28:$Y$32,10,FALSE)-VLOOKUP($C$146,'Calc (ex-animal)'!$D$28:$Y$32,18,FALSE))*F149/100+Q149+R149+S149)-AC149-AD149-AE149)))</f>
        <v/>
      </c>
      <c r="U149" s="422" t="str">
        <f>IF(D149="","",(VLOOKUP(D149,'DB technologies'!$N$66:$Y$77,2,FALSE)*'DB additional information '!$S$6/100*'DB additional information '!$U$6*VLOOKUP($C$146,'DB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V149" s="418" t="str">
        <f>IF(D149="","",(VLOOKUP(D149,'DB technologies'!$N$66:$Y$77,3,FALSE)*'DB additional information '!$S$7/100*'DB additional information '!$U$7*VLOOKUP($C$146,'DB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W149" s="417" t="str">
        <f>IF(D149="","",(VLOOKUP(D149,'DB technologies'!$N$66:$Y$77,4,FALSE)*('DB additional information '!$S$8/100*'DB additional information '!$U$8*E149/1000/1000)))</f>
        <v/>
      </c>
      <c r="X149" s="261" t="str">
        <f>IF($C$146=0,"",IF('Calc (ex-animal)'!$F$9=1,"",IF(D149="","",((VLOOKUP($C$146,'Calc (ex-animal)'!$D$28:$Y$32,13,FALSE)-VLOOKUP($C$146,'Calc (ex-animal)'!$D$28:$Y$32,19,FALSE))*F149/100+U149+V149+W149))))</f>
        <v/>
      </c>
      <c r="Y149" s="418" t="str">
        <f>IF(D149="","",(VLOOKUP(D149,'DB technologies'!$N$66:$Y$77,2,FALSE)*'DB additional information '!$S$6/100*'DB additional information '!$V$6*VLOOKUP($C$146,'DB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Z149" s="418" t="str">
        <f>IF(D149="","",(VLOOKUP(D149,'DB technologies'!$N$66:$Y$77,3,FALSE)*'DB additional information '!$S$7/100*'DB additional information '!$V$7*VLOOKUP($C$146,'DB animal categories'!$C$52:$AC$61,27,FALSE)*E149/1000/1000)/VLOOKUP($C$146,'DB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AA149" s="418" t="str">
        <f>IF(D149="","",(VLOOKUP(D149,'DB technologies'!$N$66:$Y$77,4,FALSE)*('DB additional information '!$S$8/100*'DB additional information '!$V$8*E149/1000/1000)))</f>
        <v/>
      </c>
      <c r="AB149" s="261" t="str">
        <f>IF($C$146=0,"",IF('Calc (ex-animal)'!$F$8=1,"",IF(D149="","",((VLOOKUP($C$146,'Calc (ex-animal)'!$D$28:$Y$32,16,FALSE)-VLOOKUP($C$146,'Calc (ex-animal)'!$D$28:$Y$32,20,FALSE))*F149/100+Y149+Z149+AA149))))</f>
        <v/>
      </c>
      <c r="AC149" s="261" t="str">
        <f>IF($C$146=0,"",IF('Calc (ex-animal)'!$F$8=1,"",IF(D149="","",VLOOKUP($C$146,'Calc (ex-animal)'!$D$28:$Y$32,9,FALSE)/VLOOKUP($C$146,'DB animal categories'!$C$52:$AC$61,27,FALSE)*(VLOOKUP($C$146,'DB animal categories'!$C$52:$AC$61,27,FALSE)-VLOOKUP($C$146,'DB animal categories'!$C$52:$AC$61,25,FALSE)*VLOOKUP($C$146,'DB animal categories'!$C$52:$AC$61,26,FALSE)/24)*F149/100*VLOOKUP(D149,'DB technologies'!$N$66:$R$77,5,FALSE)/100)))</f>
        <v/>
      </c>
      <c r="AD149" s="261" t="str">
        <f>IF($C$146=0,"",IF('Calc (ex-animal)'!$F$8=1,"",IF(D149="","",VLOOKUP($C$146,'Calc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categories'!$C$52:$AC$61,26,FALSE)/24)*F149/100*VLOOKUP(D149,'DB technologies'!$N$66:$Y$77,6,FALSE)/100)))</f>
        <v/>
      </c>
      <c r="AE149" s="262" t="str">
        <f>IF($C$146=0,"",IF('Calc (ex-animal)'!$F$8=1,"",IF(D149="","",VLOOKUP($C$146,'Calc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categories'!$C$52:$AC$61,26,FALSE)/24)*F149/100*VLOOKUP(D149,'DB technologies'!$N$66:$Y$77,7,FALSE)/100)))</f>
        <v/>
      </c>
      <c r="AI149" s="181" t="str">
        <f>IF(D149="","",VLOOKUP(D149,'DB technologies'!$N$66:$Y$77,10,FALSE))</f>
        <v/>
      </c>
      <c r="AJ149" s="449" t="e">
        <f>VLOOKUP($C$146,'DB animal categories'!$C$52:$AN$61,27,FALSE)-VLOOKUP($C$146,'DB animal categories'!$C$52:$AN$61,26,FALSE)*VLOOKUP($C$146,'DB animal categories'!$C$52:$AN$61,25,FALSE)/24</f>
        <v>#N/A</v>
      </c>
      <c r="AK149" s="442" t="str">
        <f>IF(AI149="","",AL149+AM149)</f>
        <v/>
      </c>
      <c r="AL149" s="442" t="str">
        <f>IF(D149="","",IF(AI149=2,(('Calc (ex-animal)'!$G$31*'DB additional information '!$K$9/100*(1-VLOOKUP(D149,'DB technologies'!$N$66:$Y$77,9,FALSE)/100)*'Calc (ex-housing, ex-storage)'!F149/100+'Calc (ex-animal)'!$H$31*'DB additional information '!$L$9/100*(1-VLOOKUP(D149,'DB technologies'!$N$66:$Y$77,9,FALSE)/100)*'Calc (ex-housing, ex-storage)'!F149/100))/VLOOKUP($C$146,'DB animal categories'!$C$52:$AC$61,27,FALSE)*AJ149+I149+J149+K149,IF(AI149=1,('Calc (ex-animal)'!$H$31*'DB additional information '!$L$9/100*(1-VLOOKUP(D149,'DB technologies'!$N$66:$Y$77,9,FALSE)/100)*'Calc (ex-housing, ex-storage)'!F149/100)/VLOOKUP($C$146,'DB animal categories'!$C$52:$AC$61,27,FALSE)*AJ149,IF(AI149=4,('Calc (ex-animal)'!$G$31*'DB additional information '!$K$9/100+'Calc (ex-animal)'!$H$31*'DB additional information '!$L$9/100)*(1-VLOOKUP(D149,'DB technologies'!$N$66:$Y$77,9,FALSE)/100)*'Calc (ex-housing, ex-storage)'!F149/100*VLOOKUP(D149,'DB technologies'!$N$66:$Y$77,11,FALSE)/100/VLOOKUP($C$146,'DB animal categories'!$C$52:$AC$61,27,FALSE)*AJ149,0))))</f>
        <v/>
      </c>
      <c r="AM149" s="442" t="str">
        <f>IF(D149="","",IF(AI149=2,(('Calc (ex-animal)'!$G$31*(1-'DB additional information '!$K$9/100)*(1-VLOOKUP(D149,'DB technologies'!$N$66:$Y$77,8,FALSE)/100)*'Calc (ex-housing, ex-storage)'!F149/100+'Calc (ex-animal)'!$H$31*(1-'DB additional information '!$L$9/100)*(1-VLOOKUP(D149,'DB technologies'!$N$66:$Y$77,8,FALSE)/100)*'Calc (ex-housing, ex-storage)'!F149/100))/VLOOKUP($C$146,'DB animal categories'!$C$52:$AC$61,27,FALSE)*AJ149+M149+N149+O149,IF(AI149=1,('Calc (ex-animal)'!$H$31*(1-'DB additional information '!$L$9/100)*(1-VLOOKUP(D149,'DB technologies'!$N$66:$Y$77,8,FALSE)/100)*'Calc (ex-housing, ex-storage)'!F149/100)/VLOOKUP($C$146,'DB animal categories'!$C$52:$AC$61,27,FALSE)*AJ149,IF(AI149=4,('Calc (ex-animal)'!$G$31*(1-'DB additional information '!$K$9/100)+'Calc (ex-animal)'!$H$31*(1-'DB additional information '!$L$9/100))*(1-VLOOKUP(D149,'DB technologies'!$N$66:$Y$77,8,FALSE)/100)*'Calc (ex-housing, ex-storage)'!F149/100*VLOOKUP(D149,'DB technologies'!$N$66:$Y$77,11,FALSE)/100/VLOOKUP($C$146,'DB animal categories'!$C$52:$AC$61,27,FALSE)*AJ149,0))))</f>
        <v/>
      </c>
      <c r="AN149" s="442" t="str">
        <f>IF(AI149="","",IF(AL149=0,0,AL149/AK149*100))</f>
        <v/>
      </c>
      <c r="AO149" s="182" t="str">
        <f>IF(D149="","",IF(AI149=2,(('Calc (ex-animal)'!$L$31*'Calc (ex-housing, ex-storage)'!F149/100+'Calc (ex-animal)'!$K$31*'Calc (ex-housing, ex-storage)'!F149/100))/VLOOKUP($C$146,'DB animal categories'!$C$52:$AC$61,27,FALSE)*AJ149+Q149+R149+S149-AC149,IF(AI149=1,('Calc (ex-animal)'!$L$31*'Calc (ex-housing, ex-storage)'!F149/100)/VLOOKUP($C$146,'DB animal categories'!$C$52:$AC$61,27,FALSE)*AJ149-'Calc (ex-housing, ex-storage)'!AC149,IF(AI149=4,('Calc (ex-animal)'!$L$31+'Calc (ex-animal)'!$K$31)*'Calc (ex-housing, ex-storage)'!F149/100*VLOOKUP(D149,'DB technologies'!$N$66:$Y$77,11,FALSE)/100/VLOOKUP($C$146,'DB animal categories'!$C$52:$AC$61,27,FALSE)*AJ149-AC149*VLOOKUP(D149,'DB technologies'!$N$66:$Y$77,11,FALSE)/100,0))))</f>
        <v/>
      </c>
      <c r="AP149" s="182" t="str">
        <f>IF(D149="","",IF(AO149&lt;-0.01,0,IF(AI149=2,(('Calc (ex-animal)'!$L$31*'Calc (ex-housing, ex-storage)'!F149/100+'Calc (ex-animal)'!$K$31*'Calc (ex-housing, ex-storage)'!F149/100))/VLOOKUP($C$146,'DB animal categories'!$C$52:$AC$61,27,FALSE)*AJ149+Q149+R149+S149-AC149,IF(AI149=1,('Calc (ex-animal)'!$L$31*'Calc (ex-housing, ex-storage)'!F149/100)/VLOOKUP($C$146,'DB animal categories'!$C$52:$AC$61,27,FALSE)*AJ149-'Calc (ex-housing, ex-storage)'!AC149,IF(AI149=4,('Calc (ex-animal)'!$L$31+'Calc (ex-animal)'!$K$31)*'Calc (ex-housing, ex-storage)'!F149/100*VLOOKUP(D149,'DB technologies'!$N$66:$Y$77,11,FALSE)/100/VLOOKUP($C$146,'DB animal categories'!$C$52:$AC$61,27,FALSE)*AJ149-AC149*VLOOKUP(D149,'DB technologies'!$N$66:$Y$77,11,FALSE)/100,0)))))</f>
        <v/>
      </c>
      <c r="AQ149" s="182" t="str">
        <f>IF(D149="","",IF(AI149=2,('Calc (ex-animal)'!$O$31*'Calc (ex-housing, ex-storage)'!F149/100+'Calc (ex-animal)'!$N$31*'Calc (ex-housing, ex-storage)'!F149/100)/VLOOKUP($C$146,'DB animal categories'!$C$52:$AC$61,27,FALSE)*AJ149+U149+V149+W149,IF(AI149=1,'Calc (ex-animal)'!$O$31*'Calc (ex-housing, ex-storage)'!F149/100/VLOOKUP($C$146,'DB animal categories'!$C$52:$AC$61,27,FALSE)*AJ149,IF(AI149=4,('Calc (ex-animal)'!$O$31+'Calc (ex-animal)'!$N$31)*'Calc (ex-housing, ex-storage)'!F149/100*VLOOKUP(D149,'DB technologies'!$N$66:$Y$77,11,FALSE)/100/VLOOKUP($C$146,'DB animal categories'!$C$52:$AC$61,27,FALSE)*AJ149,0))))</f>
        <v/>
      </c>
      <c r="AR149" s="182" t="str">
        <f>IF(D149="","",IF(AI149=2,('Calc (ex-animal)'!$R$31*'Calc (ex-housing, ex-storage)'!F149/100+'Calc (ex-animal)'!$Q$31*'Calc (ex-housing, ex-storage)'!F149/100)/VLOOKUP($C$146,'DB animal categories'!$C$52:$AC$61,27,FALSE)*AJ149+Y149+Z149+AA149,IF(AI149=1,'Calc (ex-animal)'!$R$31*'Calc (ex-housing, ex-storage)'!F149/100/VLOOKUP($C$146,'DB animal categories'!$C$52:$AC$61,27,FALSE)*AJ149,IF(AI149=4,('Calc (ex-animal)'!$R$31+'Calc (ex-animal)'!$Q$31)*'Calc (ex-housing, ex-storage)'!F149/100*VLOOKUP(D149,'DB technologies'!$N$66:$Y$77,11,FALSE)/100/VLOOKUP($C$146,'DB animal categories'!$C$52:$AC$61,27,FALSE)*AJ149,0))))</f>
        <v/>
      </c>
      <c r="AS149" s="181" t="str">
        <f>IF(D149="","",VLOOKUP(D149,'DB technologies'!$N$66:$Y$77,10,FALSE))</f>
        <v/>
      </c>
      <c r="AT149" s="442" t="str">
        <f>IF(AS149="","",AU149+AV149)</f>
        <v/>
      </c>
      <c r="AU149" s="442" t="str">
        <f>IF(D149="","",IF(AS149=2,0,IF(AS149=1,'Calc (ex-animal)'!$G$31*'DB additional information '!$K$9/100*(1-VLOOKUP(D149,'DB technologies'!$N$66:$Y$77,8,FALSE)/100)*'Calc (ex-housing, ex-storage)'!F149/100/VLOOKUP($C$146,'DB animal categories'!$C$52:$AC$61,27,FALSE)*AJ149+I149+J149+K149,IF(AS149=5,(('Calc (ex-animal)'!$G$31*'DB additional information '!$K$9/100+'Calc (ex-animal)'!$H$31*'DB additional information '!$L$9/100))*(1-VLOOKUP(D149,'DB technologies'!$N$66:$Y$77,9,FALSE)/100)*'Calc (ex-housing, ex-storage)'!F149/100/VLOOKUP($C$146,'DB animal categories'!$C$52:$AC$61,27,FALSE)*AJ149+I149+J149+K149,IF(AS149=3,('Calc (ex-animal)'!$G$31*'DB additional information '!$K$9/100+'Calc (ex-animal)'!$H$31*'DB additional information '!$L$9/100)*(1-VLOOKUP(D149,'DB technologies'!$N$66:$Y$77,9,FALSE)/100)*'Calc (ex-housing, ex-storage)'!F149/100/VLOOKUP($C$146,'DB animal categories'!$C$52:$AC$61,27,FALSE)*AJ149+I149+J149+K149,IF(AS149=4,('Calc (ex-animal)'!$G$31*'DB additional information '!$K$9/100+'Calc (ex-animal)'!$H$31*'DB additional information '!$L$9/100)*(1-VLOOKUP(D149,'DB technologies'!$N$66:$Y$77,9,FALSE)/100)*'Calc (ex-housing, ex-storage)'!F149/100*VLOOKUP(D149,'DB technologies'!$N$66:$Y$77,12,FALSE)/100/VLOOKUP($C$146,'DB animal categories'!$C$52:$AC$61,27,FALSE)*AJ149+I149+J149+K149,0))))))</f>
        <v/>
      </c>
      <c r="AV149" s="442" t="str">
        <f>IF(D149="","",IF(AS149=2,0,IF(AS149=1,'Calc (ex-animal)'!$G$31*(1-'DB additional information '!$K$9/100)*(1-VLOOKUP(D149,'DB technologies'!$N$66:$Y$77,8,FALSE)/100)*'Calc (ex-housing, ex-storage)'!F149/100/VLOOKUP($C$146,'DB animal categories'!$C$52:$AC$61,27,FALSE)*AJ149+M149+N149+O149,IF(AS149=5,('Calc (ex-animal)'!$G$31*(1-'DB additional information '!$K$9/100)+'Calc (ex-animal)'!$H$31*(1-'DB additional information '!$L$9/100))*(1-VLOOKUP(D149,'DB technologies'!$N$66:$Y$77,8,FALSE)/100)*'Calc (ex-housing, ex-storage)'!F149/100/VLOOKUP($C$146,'DB animal categories'!$C$52:$AC$61,27,FALSE)*AJ149+M149+N149+O149,IF(AS149=3,('Calc (ex-animal)'!$G$31*(1-'DB additional information '!$K$9/100)+'Calc (ex-animal)'!$H$31*(1-'DB additional information '!$L$9/100))*(1-VLOOKUP(D149,'DB technologies'!$N$66:$Y$77,8,FALSE)/100)*'Calc (ex-housing, ex-storage)'!F149/100/VLOOKUP($C$146,'DB animal categories'!$C$52:$AC$61,27,FALSE)*AJ149+M149+N149+O149,IF(AS149=4,('Calc (ex-animal)'!$G$31*(1-'DB additional information '!$K$9/100)+'Calc (ex-animal)'!$H$31*(1-'DB additional information '!$L$9/100))*(1-VLOOKUP(D149,'DB technologies'!$N$66:$Y$77,8,FALSE)/100)*'Calc (ex-housing, ex-storage)'!F149/100*VLOOKUP(D149,'DB technologies'!$N$66:$Y$77,12,FALSE)/100/VLOOKUP($C$146,'DB animal categories'!$C$52:$AC$61,27,FALSE)*AJ149+M149+N149+O149,0))))))</f>
        <v/>
      </c>
      <c r="AW149" s="442" t="str">
        <f>IF(AS149="","",IF(AU149=0,0,AU149/AT149*100))</f>
        <v/>
      </c>
      <c r="AX149" s="182" t="str">
        <f>IF(D149="","",IF(AS149=2,0,IF(AS149=1,'Calc (ex-animal)'!$K$31*'Calc (ex-housing, ex-storage)'!F149/100/VLOOKUP($C$146,'DB animal categories'!$C$52:$AC$61,27,FALSE)*AJ149+Q149+R149+S149,IF(AS149=5,('Calc (ex-animal)'!$K$31+'Calc (ex-animal)'!$L$31)*'Calc (ex-housing, ex-storage)'!F149/100/VLOOKUP($C$146,'DB animal categories'!$C$52:$AC$61,27,FALSE)*AJ149+Q149+R149+S149-'Calc (ex-housing, ex-storage)'!AC149,IF(AS149=3,('Calc (ex-animal)'!$K$31+'Calc (ex-animal)'!$L$31)*'Calc (ex-housing, ex-storage)'!F149/100/VLOOKUP($C$146,'DB animal categories'!$C$52:$AC$61,27,FALSE)*AJ149+Q149+R149+S149-'Calc (ex-housing, ex-storage)'!AC149-AD149-AE149,IF(AI149=4,('Calc (ex-animal)'!$K$31+'Calc (ex-animal)'!$L$31)*'Calc (ex-housing, ex-storage)'!F149/100*VLOOKUP(D149,'DB technologies'!$N$66:$Y$77,12,FALSE)/100/VLOOKUP($C$146,'DB animal categories'!$C$52:$AC$61,27,FALSE)*AJ149+Q149+R149+S149-(VLOOKUP(D149,'DB technologies'!$N$66:$Y$77,12,FALSE)/100*AC149)-AD149-AE149,0))))))</f>
        <v/>
      </c>
      <c r="AY149" s="182" t="str">
        <f>IF(D149="","",IF(AS149=2,0,IF(AS149=1,'Calc (ex-animal)'!$N$31*'Calc (ex-housing, ex-storage)'!F149/100/VLOOKUP($C$146,'DB animal categories'!$C$52:$AC$61,27,FALSE)*AJ149+U149+V149+W149,IF(AS149=5,('Calc (ex-animal)'!$N$31+'Calc (ex-animal)'!$O$31)*'Calc (ex-housing, ex-storage)'!F149/100/VLOOKUP($C$146,'DB animal categories'!$C$52:$AC$61,27,FALSE)*AJ149+U149+V149+W149,IF(AS149=3,('Calc (ex-animal)'!$N$31+'Calc (ex-animal)'!$O$31)*'Calc (ex-housing, ex-storage)'!F149/100/VLOOKUP($C$146,'DB animal categories'!$C$52:$AC$61,27,FALSE)*AJ149+U149+V149+W149,IF(AS149=4,('Calc (ex-animal)'!$N$31+'Calc (ex-animal)'!$O$31)*'Calc (ex-housing, ex-storage)'!F149/100*VLOOKUP(D149,'DB technologies'!$N$66:$Y$77,12,FALSE)/100/VLOOKUP($C$146,'DB animal categories'!$C$52:$AC$61,27,FALSE)*AJ149+U149+V149+W149,0))))))</f>
        <v/>
      </c>
      <c r="AZ149" s="182" t="str">
        <f>IF(D149="","",IF(AS149=2,0,IF(AS149=1,'Calc (ex-animal)'!$Q$31*'Calc (ex-housing, ex-storage)'!F149/100/VLOOKUP($C$146,'DB animal categories'!$C$52:$AC$61,27,FALSE)*AJ149+Y149+Z149+AA149,IF(AS149=5,('Calc (ex-animal)'!$Q$31+'Calc (ex-animal)'!$R$31)*'Calc (ex-housing, ex-storage)'!F149/100/VLOOKUP($C$146,'DB animal categories'!$C$52:$AC$61,27,FALSE)*AJ149+Y149+Z149+AA149,IF(AS149=3,('Calc (ex-animal)'!$Q$31+'Calc (ex-animal)'!$R$31)*'Calc (ex-housing, ex-storage)'!F149/100/VLOOKUP($C$146,'DB animal categories'!$C$52:$AC$61,27,FALSE)*AJ149+Y149+Z149+AA149,IF(AS149=4,('Calc (ex-animal)'!$Q$31+'Calc (ex-animal)'!$R$31)*'Calc (ex-housing, ex-storage)'!F149/100*VLOOKUP(D149,'DB technologies'!$N$66:$Y$77,12,FALSE)/100/VLOOKUP($C$146,'DB animal categories'!$C$52:$AC$61,27,FALSE)*AJ149+Y149+Z149+AA149,0))))))</f>
        <v/>
      </c>
      <c r="BA149" s="506"/>
      <c r="BB149" s="506"/>
      <c r="BC149" s="506"/>
    </row>
    <row r="150" spans="1:55" ht="11.25" customHeight="1" thickBot="1" x14ac:dyDescent="0.25">
      <c r="A150" s="684"/>
      <c r="B150" s="695"/>
      <c r="C150" s="251"/>
      <c r="D150" s="1359"/>
      <c r="E150" s="1360"/>
      <c r="F150" s="481" t="str">
        <f>IF('Calc (ex-animal)'!$F$9=1,"",IF($C$146=0,"",IF(D150="","",E150/'Calc (ex-animal)'!$E$31*100)))</f>
        <v/>
      </c>
      <c r="G150" s="483" t="str">
        <f>IF($C$146=0,"",IF('Calc (ex-animal)'!$F$8=1,"",IF(D150="","",SUM(H150:O150))))</f>
        <v/>
      </c>
      <c r="H150" s="445" t="str">
        <f>IF('Calc (ex-animal)'!$F$8=1,"",IF(D150="","",(((VLOOKUP($C$146,'Calc (ex-animal)'!$D$28:$Y$32,6,FALSE)-VLOOKUP($C$146,'Calc (ex-animal)'!$D$28:$Y$32,17,FALSE))*F150/100))*VLOOKUP($C$146,'Calc (ex-animal)'!$D$28:$Y$32,7,FALSE)/100*(1-VLOOKUP(D150,'DB technologies'!$N$66:$Y$77,9,FALSE)/100)))</f>
        <v/>
      </c>
      <c r="I150" s="445" t="str">
        <f>IF(D150="","",((VLOOKUP(D150,'DB technologies'!$N$66:$Y$77,2,FALSE)*VLOOKUP($C$146,'DB animal categories'!$C$52:$AC$61,27,FALSE)*E150/1000)/VLOOKUP($C$146,'DB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'!$S$6/100*(1-VLOOKUP(D150,'DB technologies'!$N$66:$Y$77,9,FALSE)/100)))</f>
        <v/>
      </c>
      <c r="J150" s="446" t="str">
        <f>IF(D150="","",((VLOOKUP(D150,'DB technologies'!$N$66:$Y$77,3,FALSE)*VLOOKUP($C$146,'DB animal categories'!$C$52:$AC$61,27,FALSE)*E150/1000)/VLOOKUP($C$146,'DB animal categories'!$C$52:$AC$61,27,FALSE)*(VLOOKUP($C$146,'DB animal categories'!$C$52:$AC$61,27,FALSE)-(VLOOKUP($C$146,'DB animal categories'!$C$52:$AC$61,25,FALSE)*VLOOKUP($C$146,'DB animal categories'!$C$52:$AC$61,26,FALSE)/24))*'DB additional information '!$S$7/100*(1-VLOOKUP(D150,'DB technologies'!$N$66:$Y$77,9,FALSE)/100)))</f>
        <v/>
      </c>
      <c r="K150" s="446" t="str">
        <f>IF(D150="","",((VLOOKUP(D150,'DB technologies'!$N$66:$Y$77,4,FALSE)*E150*'DB additional information '!$S$8/100*(1-VLOOKUP(D150,'DB technologies'!$N$66:$Y$77,9,FALSE)/100))/VLOOKUP($C$146,'DB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L150" s="445" t="str">
        <f>IF('Calc (ex-animal)'!$F$8=1,"",IF(D150="","",(((VLOOKUP($C$146,'Calc (ex-animal)'!$D$28:$Y$32,6,FALSE)-VLOOKUP($C$146,'Calc (ex-animal)'!$D$28:$Y$32,17,FALSE))*F150/100))*(1-VLOOKUP($C$146,'Calc (ex-animal)'!$D$28:$Y$32,7,FALSE)/100)*(1-VLOOKUP(D150,'DB technologies'!$N$66:$V$77,8,FALSE)/100)))</f>
        <v/>
      </c>
      <c r="M150" s="446" t="str">
        <f>IF(D150="","",((VLOOKUP(D150,'DB technologies'!$N$66:$Y$77,2,FALSE)*VLOOKUP($C$146,'DB animal categories'!$C$52:$AC$61,27,FALSE)*E150/1000)/VLOOKUP($C$146,'DB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'!$S$6/100)*(1-VLOOKUP(D150,'DB technologies'!$N$66:$Y$77,9,FALSE)/100))</f>
        <v/>
      </c>
      <c r="N150" s="446" t="str">
        <f>IF(D150="","",((VLOOKUP(D150,'DB technologies'!$N$66:$Y$77,3,FALSE)*VLOOKUP($C$146,'DB animal categories'!$C$52:$AC$61,27,FALSE)*E150/1000)/VLOOKUP($C$146,'DB animal categories'!$C$52:$AC$61,27,FALSE)*(VLOOKUP($C$146,'DB animal categories'!$C$52:$AC$61,27,FALSE)-VLOOKUP($C$146,'DB animal categories'!$C$52:$AC$61,25,FALSE)*VLOOKUP($C$146,'DB animal categories'!$C$52:$AC$61,26,FALSE)/24))*(1-'DB additional information '!$S$7/100)*(1-VLOOKUP(D150,'DB technologies'!$N$66:$Y$77,9,FALSE)/100))</f>
        <v/>
      </c>
      <c r="O150" s="445" t="str">
        <f>IF(D150="","",((VLOOKUP(D150,'DB technologies'!$N$66:$Y$77,4,FALSE)*E150*(1-'DB additional information '!$S$8/100)*(1-VLOOKUP(D150,'DB technologies'!$N$66:$Y$77,8,FALSE)/100))/VLOOKUP($C$146,'DB animal categories'!$C$52:$AC$61,27,FALSE)*(VLOOKUP($C$146,'DB animal categories'!$C$52:$AC$61,27,FALSE)-VLOOKUP($C$146,'DB animal categories'!$C$52:$AC$61,25,FALSE)*VLOOKUP($C$146,'DB animal categories'!$C$52:$AC$61,26,FALSE)/24)))</f>
        <v/>
      </c>
      <c r="P150" s="444" t="str">
        <f>IF(G150=0,0,IF(E150="","",IF(F150="","",IF($C$146=0,"",IF(D150="","",SUM(H150:K150)/G150*100)))))</f>
        <v/>
      </c>
      <c r="Q150" s="476" t="str">
        <f>IF(D150="","",(VLOOKUP(D150,'DB technologies'!$N$66:$Y$77,2,FALSE)*'DB additional information '!$S$6/100*'DB additional information '!$T$6*VLOOKUP($C$146,'DB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R150" s="476" t="str">
        <f>IF(D150="","",(VLOOKUP(D150,'DB technologies'!$N$66:$Y$77,3,FALSE)*'DB additional information '!$S$7/100*'DB additional information '!$T$7*VLOOKUP($C$146,'DB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S150" s="494" t="str">
        <f>IF(D150="","",(VLOOKUP(D150,'DB technologies'!$N$66:$Y$77,4,FALSE)*('DB additional information '!$S$8/100*'DB additional information '!$T$8*E150/1000/1000)))</f>
        <v/>
      </c>
      <c r="T150" s="266" t="str">
        <f>IF($C$146=0,"",IF('Calc (ex-animal)'!$F$9=1,"",IF(D150="","",((VLOOKUP($C$146,'Calc (ex-animal)'!$D$28:$Y$32,10,FALSE)-VLOOKUP($C$146,'Calc (ex-animal)'!$D$28:$Y$32,18,FALSE))*F150/100+Q150+R150+S150)-AC150-AD150-AE150)))</f>
        <v/>
      </c>
      <c r="U150" s="477" t="str">
        <f>IF(D150="","",(VLOOKUP(D150,'DB technologies'!$N$66:$Y$77,2,FALSE)*'DB additional information '!$S$6/100*'DB additional information '!$U$6*VLOOKUP($C$146,'DB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V150" s="433" t="str">
        <f>IF(D150="","",(VLOOKUP(D150,'DB technologies'!$N$66:$Y$77,3,FALSE)*'DB additional information '!$S$7/100*'DB additional information '!$U$7*VLOOKUP($C$146,'DB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W150" s="475" t="str">
        <f>IF(D150="","",(VLOOKUP(D150,'DB technologies'!$N$66:$Y$77,4,FALSE)*('DB additional information '!$S$8/100*'DB additional information '!$U$8*E150/1000/1000)))</f>
        <v/>
      </c>
      <c r="X150" s="267" t="str">
        <f>IF($C$146=0,"",IF('Calc (ex-animal)'!$F$9=1,"",IF(D150="","",((VLOOKUP($C$146,'Calc (ex-animal)'!$D$28:$Y$32,13,FALSE)-VLOOKUP($C$146,'Calc (ex-animal)'!$D$28:$Y$32,19,FALSE))*F150/100+U150+V150+W150))))</f>
        <v/>
      </c>
      <c r="Y150" s="433" t="str">
        <f>IF(D150="","",(VLOOKUP(D150,'DB technologies'!$N$66:$Y$77,2,FALSE)*'DB additional information '!$S$6/100*'DB additional information '!$V$6*VLOOKUP($C$146,'DB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Z150" s="433" t="str">
        <f>IF(D150="","",(VLOOKUP(D150,'DB technologies'!$N$66:$Y$77,3,FALSE)*'DB additional information '!$S$7/100*'DB additional information '!$V$7*VLOOKUP($C$146,'DB animal categories'!$C$52:$AC$61,27,FALSE)*E150/1000/1000)/VLOOKUP($C$146,'DB animal categories'!$C$52:$AC$61,27,FALSE)*(VLOOKUP($C$146,'DB animal categories'!$C$52:$AC$61,27,FALSE)-VLOOKUP($C$146,'DB animal categories'!$C$52:$AC$61,25,FALSE)*VLOOKUP($C$146,'DB animal categories'!$C$52:$AC$61,26,FALSE)/24))</f>
        <v/>
      </c>
      <c r="AA150" s="433" t="str">
        <f>IF(D150="","",(VLOOKUP(D150,'DB technologies'!$N$66:$Y$77,4,FALSE)*('DB additional information '!$S$8/100*'DB additional information '!$V$8*E150/1000/1000)))</f>
        <v/>
      </c>
      <c r="AB150" s="267" t="str">
        <f>IF($C$146=0,"",IF('Calc (ex-animal)'!$F$8=1,"",IF(D150="","",((VLOOKUP($C$146,'Calc (ex-animal)'!$D$28:$Y$32,16,FALSE)-VLOOKUP($C$146,'Calc (ex-animal)'!$D$28:$Y$32,20,FALSE))*F150/100+Y150+Z150+AA150))))</f>
        <v/>
      </c>
      <c r="AC150" s="267" t="str">
        <f>IF($C$146=0,"",IF('Calc (ex-animal)'!$F$8=1,"",IF(D150="","",VLOOKUP($C$146,'Calc (ex-animal)'!$D$28:$Y$32,9,FALSE)/VLOOKUP($C$146,'DB animal categories'!$C$52:$AC$61,27,FALSE)*(VLOOKUP($C$146,'DB animal categories'!$C$52:$AC$61,27,FALSE)-VLOOKUP($C$146,'DB animal categories'!$C$52:$AC$61,25,FALSE)*VLOOKUP($C$146,'DB animal categories'!$C$52:$AC$61,26,FALSE)/24)*F150/100*VLOOKUP(D150,'DB technologies'!$N$66:$R$77,5,FALSE)/100)))</f>
        <v/>
      </c>
      <c r="AD150" s="267" t="str">
        <f>IF($C$146=0,"",IF('Calc (ex-animal)'!$F$8=1,"",IF(D150="","",VLOOKUP($C$146,'Calc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categories'!$C$52:$AC$61,26,FALSE)/24)*F150/100*VLOOKUP(D150,'DB technologies'!$N$66:$Y$77,6,FALSE)/100)))</f>
        <v/>
      </c>
      <c r="AE150" s="268" t="str">
        <f>IF($C$146=0,"",IF('Calc (ex-animal)'!$F$8=1,"",IF(D150="","",VLOOKUP($C$146,'Calc (ex-animal)'!$D$28:$Y$32,10,FALSE)/VLOOKUP($C$146,'DB animal categories'!$C$52:$AC$61,27,FALSE)*(VLOOKUP($C$146,'DB animal categories'!$C$52:$AC$61,27,FALSE)-VLOOKUP($C$146,'DB animal categories'!$C$52:$AC$61,25,FALSE)*VLOOKUP($C$146,'DB animal categories'!$C$52:$AC$61,26,FALSE)/24)*F150/100*VLOOKUP(D150,'DB technologies'!$N$66:$Y$77,7,FALSE)/100)))</f>
        <v/>
      </c>
      <c r="AI150" s="183" t="str">
        <f>IF(D150="","",VLOOKUP(D150,'DB technologies'!$N$66:$Y$77,10,FALSE))</f>
        <v/>
      </c>
      <c r="AJ150" s="451" t="e">
        <f>VLOOKUP($C$146,'DB animal categories'!$C$52:$AN$61,27,FALSE)-VLOOKUP($C$146,'DB animal categories'!$C$52:$AN$61,26,FALSE)*VLOOKUP($C$146,'DB animal categories'!$C$52:$AN$61,25,FALSE)/24</f>
        <v>#N/A</v>
      </c>
      <c r="AK150" s="452" t="str">
        <f>IF(AI150="","",AL150+AM150)</f>
        <v/>
      </c>
      <c r="AL150" s="452" t="str">
        <f>IF(D150="","",IF(AI150=2,(('Calc (ex-animal)'!$G$31*'DB additional information '!$K$9/100*(1-VLOOKUP(D150,'DB technologies'!$N$66:$Y$77,9,FALSE)/100)*'Calc (ex-housing, ex-storage)'!F150/100+'Calc (ex-animal)'!$H$31*'DB additional information '!$L$9/100*(1-VLOOKUP(D150,'DB technologies'!$N$66:$Y$77,9,FALSE)/100)*'Calc (ex-housing, ex-storage)'!F150/100))/VLOOKUP($C$146,'DB animal categories'!$C$52:$AC$61,27,FALSE)*AJ150+I150+J150+K150,IF(AI150=1,('Calc (ex-animal)'!$H$31*'DB additional information '!$L$9/100*(1-VLOOKUP(D150,'DB technologies'!$N$66:$Y$77,9,FALSE)/100)*'Calc (ex-housing, ex-storage)'!F150/100)/VLOOKUP($C$146,'DB animal categories'!$C$52:$AC$61,27,FALSE)*AJ150,IF(AI150=4,('Calc (ex-animal)'!$G$31*'DB additional information '!$K$9/100+'Calc (ex-animal)'!$H$31*'DB additional information '!$L$9/100)*(1-VLOOKUP(D150,'DB technologies'!$N$66:$Y$77,9,FALSE)/100)*'Calc (ex-housing, ex-storage)'!F150/100*VLOOKUP(D150,'DB technologies'!$N$66:$Y$77,11,FALSE)/100/VLOOKUP($C$146,'DB animal categories'!$C$52:$AC$61,27,FALSE)*AJ150,0))))</f>
        <v/>
      </c>
      <c r="AM150" s="452" t="str">
        <f>IF(D150="","",IF(AI150=2,(('Calc (ex-animal)'!$G$31*(1-'DB additional information '!$K$9/100)*(1-VLOOKUP(D150,'DB technologies'!$N$66:$Y$77,8,FALSE)/100)*'Calc (ex-housing, ex-storage)'!F150/100+'Calc (ex-animal)'!$H$31*(1-'DB additional information '!$L$9/100)*(1-VLOOKUP(D150,'DB technologies'!$N$66:$Y$77,8,FALSE)/100)*'Calc (ex-housing, ex-storage)'!F150/100))/VLOOKUP($C$146,'DB animal categories'!$C$52:$AC$61,27,FALSE)*AJ150+M150+N150+O150,IF(AI150=1,('Calc (ex-animal)'!$H$31*(1-'DB additional information '!$L$9/100)*(1-VLOOKUP(D150,'DB technologies'!$N$66:$Y$77,8,FALSE)/100)*'Calc (ex-housing, ex-storage)'!F150/100)/VLOOKUP($C$146,'DB animal categories'!$C$52:$AC$61,27,FALSE)*AJ150,IF(AI150=4,('Calc (ex-animal)'!$G$31*(1-'DB additional information '!$K$9/100)+'Calc (ex-animal)'!$H$31*(1-'DB additional information '!$L$9/100))*(1-VLOOKUP(D150,'DB technologies'!$N$66:$Y$77,8,FALSE)/100)*'Calc (ex-housing, ex-storage)'!F150/100*VLOOKUP(D150,'DB technologies'!$N$66:$Y$77,11,FALSE)/100/VLOOKUP($C$146,'DB animal categories'!$C$52:$AC$61,27,FALSE)*AJ150,0))))</f>
        <v/>
      </c>
      <c r="AN150" s="452" t="str">
        <f>IF(AI150="","",IF(AL150=0,0,AL150/AK150*100))</f>
        <v/>
      </c>
      <c r="AO150" s="184" t="str">
        <f>IF(D150="","",IF(AI150=2,(('Calc (ex-animal)'!$L$31*'Calc (ex-housing, ex-storage)'!F150/100+'Calc (ex-animal)'!$K$31*'Calc (ex-housing, ex-storage)'!F150/100))/VLOOKUP($C$146,'DB animal categories'!$C$52:$AC$61,27,FALSE)*AJ150+Q150+R150+S150-AC150,IF(AI150=1,('Calc (ex-animal)'!$L$31*'Calc (ex-housing, ex-storage)'!F150/100)/VLOOKUP($C$146,'DB animal categories'!$C$52:$AC$61,27,FALSE)*AJ150-'Calc (ex-housing, ex-storage)'!AC150,IF(AI150=4,('Calc (ex-animal)'!$L$31+'Calc (ex-animal)'!$K$31)*'Calc (ex-housing, ex-storage)'!F150/100*VLOOKUP(D150,'DB technologies'!$N$66:$Y$77,11,FALSE)/100/VLOOKUP($C$146,'DB animal categories'!$C$52:$AC$61,27,FALSE)*AJ150-AC150*VLOOKUP(D150,'DB technologies'!$N$66:$Y$77,11,FALSE)/100,0))))</f>
        <v/>
      </c>
      <c r="AP150" s="184" t="str">
        <f>IF(D150="","",IF(AO150&lt;-0.01,0,IF(AI150=2,(('Calc (ex-animal)'!$L$31*'Calc (ex-housing, ex-storage)'!F150/100+'Calc (ex-animal)'!$K$31*'Calc (ex-housing, ex-storage)'!F150/100))/VLOOKUP($C$146,'DB animal categories'!$C$52:$AC$61,27,FALSE)*AJ150+Q150+R150+S150-AC150,IF(AI150=1,('Calc (ex-animal)'!$L$31*'Calc (ex-housing, ex-storage)'!F150/100)/VLOOKUP($C$146,'DB animal categories'!$C$52:$AC$61,27,FALSE)*AJ150-'Calc (ex-housing, ex-storage)'!AC150,IF(AI150=4,('Calc (ex-animal)'!$L$31+'Calc (ex-animal)'!$K$31)*'Calc (ex-housing, ex-storage)'!F150/100*VLOOKUP(D150,'DB technologies'!$N$66:$Y$77,11,FALSE)/100/VLOOKUP($C$146,'DB animal categories'!$C$52:$AC$61,27,FALSE)*AJ150-AC150*VLOOKUP(D150,'DB technologies'!$N$66:$Y$77,11,FALSE)/100,0)))))</f>
        <v/>
      </c>
      <c r="AQ150" s="184" t="str">
        <f>IF(D150="","",IF(AI150=2,('Calc (ex-animal)'!$O$31*'Calc (ex-housing, ex-storage)'!F150/100+'Calc (ex-animal)'!$N$31*'Calc (ex-housing, ex-storage)'!F150/100)/VLOOKUP($C$146,'DB animal categories'!$C$52:$AC$61,27,FALSE)*AJ150+U150+V150+W150,IF(AI150=1,'Calc (ex-animal)'!$O$31*'Calc (ex-housing, ex-storage)'!F150/100/VLOOKUP($C$146,'DB animal categories'!$C$52:$AC$61,27,FALSE)*AJ150,IF(AI150=4,('Calc (ex-animal)'!$O$31+'Calc (ex-animal)'!$N$31)*'Calc (ex-housing, ex-storage)'!F150/100*VLOOKUP(D150,'DB technologies'!$N$66:$Y$77,11,FALSE)/100/VLOOKUP($C$146,'DB animal categories'!$C$52:$AC$61,27,FALSE)*AJ150,0))))</f>
        <v/>
      </c>
      <c r="AR150" s="184" t="str">
        <f>IF(D150="","",IF(AI150=2,('Calc (ex-animal)'!$R$31*'Calc (ex-housing, ex-storage)'!F150/100+'Calc (ex-animal)'!$Q$31*'Calc (ex-housing, ex-storage)'!F150/100)/VLOOKUP($C$146,'DB animal categories'!$C$52:$AC$61,27,FALSE)*AJ150+Y150+Z150+AA150,IF(AI150=1,'Calc (ex-animal)'!$R$31*'Calc (ex-housing, ex-storage)'!F150/100/VLOOKUP($C$146,'DB animal categories'!$C$52:$AC$61,27,FALSE)*AJ150,IF(AI150=4,('Calc (ex-animal)'!$R$31+'Calc (ex-animal)'!$Q$31)*'Calc (ex-housing, ex-storage)'!F150/100*VLOOKUP(D150,'DB technologies'!$N$66:$Y$77,11,FALSE)/100/VLOOKUP($C$146,'DB animal categories'!$C$52:$AC$61,27,FALSE)*AJ150,0))))</f>
        <v/>
      </c>
      <c r="AS150" s="183" t="str">
        <f>IF(D150="","",VLOOKUP(D150,'DB technologies'!$N$66:$Y$77,10,FALSE))</f>
        <v/>
      </c>
      <c r="AT150" s="452" t="str">
        <f>IF(AS150="","",AU150+AV150)</f>
        <v/>
      </c>
      <c r="AU150" s="452" t="str">
        <f>IF(D150="","",IF(AS150=2,0,IF(AS150=1,'Calc (ex-animal)'!$G$31*'DB additional information '!$K$9/100*(1-VLOOKUP(D150,'DB technologies'!$N$66:$Y$77,8,FALSE)/100)*'Calc (ex-housing, ex-storage)'!F150/100/VLOOKUP($C$146,'DB animal categories'!$C$52:$AC$61,27,FALSE)*AJ150+I150+J150+K150,IF(AS150=5,(('Calc (ex-animal)'!$G$31*'DB additional information '!$K$9/100+'Calc (ex-animal)'!$H$31*'DB additional information '!$L$9/100))*(1-VLOOKUP(D150,'DB technologies'!$N$66:$Y$77,9,FALSE)/100)*'Calc (ex-housing, ex-storage)'!F150/100/VLOOKUP($C$146,'DB animal categories'!$C$52:$AC$61,27,FALSE)*AJ150+I150+J150+K150,IF(AS150=3,('Calc (ex-animal)'!$G$31*'DB additional information '!$K$9/100+'Calc (ex-animal)'!$H$31*'DB additional information '!$L$9/100)*(1-VLOOKUP(D150,'DB technologies'!$N$66:$Y$77,9,FALSE)/100)*'Calc (ex-housing, ex-storage)'!F150/100/VLOOKUP($C$146,'DB animal categories'!$C$52:$AC$61,27,FALSE)*AJ150+I150+J150+K150,IF(AS150=4,('Calc (ex-animal)'!$G$31*'DB additional information '!$K$9/100+'Calc (ex-animal)'!$H$31*'DB additional information '!$L$9/100)*(1-VLOOKUP(D150,'DB technologies'!$N$66:$Y$77,9,FALSE)/100)*'Calc (ex-housing, ex-storage)'!F150/100*VLOOKUP(D150,'DB technologies'!$N$66:$Y$77,12,FALSE)/100/VLOOKUP($C$146,'DB animal categories'!$C$52:$AC$61,27,FALSE)*AJ150+I150+J150+K150,0))))))</f>
        <v/>
      </c>
      <c r="AV150" s="452" t="str">
        <f>IF(D150="","",IF(AS150=2,0,IF(AS150=1,'Calc (ex-animal)'!$G$31*(1-'DB additional information '!$K$9/100)*(1-VLOOKUP(D150,'DB technologies'!$N$66:$Y$77,8,FALSE)/100)*'Calc (ex-housing, ex-storage)'!F150/100/VLOOKUP($C$146,'DB animal categories'!$C$52:$AC$61,27,FALSE)*AJ150+M150+N150+O150,IF(AS150=5,('Calc (ex-animal)'!$G$31*(1-'DB additional information '!$K$9/100)+'Calc (ex-animal)'!$H$31*(1-'DB additional information '!$L$9/100))*(1-VLOOKUP(D150,'DB technologies'!$N$66:$Y$77,8,FALSE)/100)*'Calc (ex-housing, ex-storage)'!F150/100/VLOOKUP($C$146,'DB animal categories'!$C$52:$AC$61,27,FALSE)*AJ150+M150+N150+O150,IF(AS150=3,('Calc (ex-animal)'!$G$31*(1-'DB additional information '!$K$9/100)+'Calc (ex-animal)'!$H$31*(1-'DB additional information '!$L$9/100))*(1-VLOOKUP(D150,'DB technologies'!$N$66:$Y$77,8,FALSE)/100)*'Calc (ex-housing, ex-storage)'!F150/100/VLOOKUP($C$146,'DB animal categories'!$C$52:$AC$61,27,FALSE)*AJ150+M150+N150+O150,IF(AS150=4,('Calc (ex-animal)'!$G$31*(1-'DB additional information '!$K$9/100)+'Calc (ex-animal)'!$H$31*(1-'DB additional information '!$L$9/100))*(1-VLOOKUP(D150,'DB technologies'!$N$66:$Y$77,8,FALSE)/100)*'Calc (ex-housing, ex-storage)'!F150/100*VLOOKUP(D150,'DB technologies'!$N$66:$Y$77,12,FALSE)/100/VLOOKUP($C$146,'DB animal categories'!$C$52:$AC$61,27,FALSE)*AJ150+M150+N150+O150,0))))))</f>
        <v/>
      </c>
      <c r="AW150" s="452" t="str">
        <f>IF(AS150="","",IF(AU150=0,0,AU150/AT150*100))</f>
        <v/>
      </c>
      <c r="AX150" s="184" t="str">
        <f>IF(D150="","",IF(AS150=2,0,IF(AS150=1,'Calc (ex-animal)'!$K$31*'Calc (ex-housing, ex-storage)'!F150/100/VLOOKUP($C$146,'DB animal categories'!$C$52:$AC$61,27,FALSE)*AJ150+Q150+R150+S150,IF(AS150=5,('Calc (ex-animal)'!$K$31+'Calc (ex-animal)'!$L$31)*'Calc (ex-housing, ex-storage)'!F150/100/VLOOKUP($C$146,'DB animal categories'!$C$52:$AC$61,27,FALSE)*AJ150+Q150+R150+S150-'Calc (ex-housing, ex-storage)'!AC150,IF(AS150=3,('Calc (ex-animal)'!$K$31+'Calc (ex-animal)'!$L$31)*'Calc (ex-housing, ex-storage)'!F150/100/VLOOKUP($C$146,'DB animal categories'!$C$52:$AC$61,27,FALSE)*AJ150+Q150+R150+S150-'Calc (ex-housing, ex-storage)'!AC150-AD150-AE150,IF(AI150=4,('Calc (ex-animal)'!$K$31+'Calc (ex-animal)'!$L$31)*'Calc (ex-housing, ex-storage)'!F150/100*VLOOKUP(D150,'DB technologies'!$N$66:$Y$77,12,FALSE)/100/VLOOKUP($C$146,'DB animal categories'!$C$52:$AC$61,27,FALSE)*AJ150+Q150+R150+S150-(VLOOKUP(D150,'DB technologies'!$N$66:$Y$77,12,FALSE)/100*AC150)-AD150-AE150,0))))))</f>
        <v/>
      </c>
      <c r="AY150" s="184" t="str">
        <f>IF(D150="","",IF(AS150=2,0,IF(AS150=1,'Calc (ex-animal)'!$N$31*'Calc (ex-housing, ex-storage)'!F150/100/VLOOKUP($C$146,'DB animal categories'!$C$52:$AC$61,27,FALSE)*AJ150+U150+V150+W150,IF(AS150=5,('Calc (ex-animal)'!$N$31+'Calc (ex-animal)'!$O$31)*'Calc (ex-housing, ex-storage)'!F150/100/VLOOKUP($C$146,'DB animal categories'!$C$52:$AC$61,27,FALSE)*AJ150+U150+V150+W150,IF(AS150=3,('Calc (ex-animal)'!$N$31+'Calc (ex-animal)'!$O$31)*'Calc (ex-housing, ex-storage)'!F150/100/VLOOKUP($C$146,'DB animal categories'!$C$52:$AC$61,27,FALSE)*AJ150+U150+V150+W150,IF(AS150=4,('Calc (ex-animal)'!$N$31+'Calc (ex-animal)'!$O$31)*'Calc (ex-housing, ex-storage)'!F150/100*VLOOKUP(D150,'DB technologies'!$N$66:$Y$77,12,FALSE)/100/VLOOKUP($C$146,'DB animal categories'!$C$52:$AC$61,27,FALSE)*AJ150+U150+V150+W150,0))))))</f>
        <v/>
      </c>
      <c r="AZ150" s="184" t="str">
        <f>IF(D150="","",IF(AS150=2,0,IF(AS150=1,'Calc (ex-animal)'!$Q$31*'Calc (ex-housing, ex-storage)'!F150/100/VLOOKUP($C$146,'DB animal categories'!$C$52:$AC$61,27,FALSE)*AJ150+Y150+Z150+AA150,IF(AS150=5,('Calc (ex-animal)'!$Q$31+'Calc (ex-animal)'!$R$31)*'Calc (ex-housing, ex-storage)'!F150/100/VLOOKUP($C$146,'DB animal categories'!$C$52:$AC$61,27,FALSE)*AJ150+Y150+Z150+AA150,IF(AS150=3,('Calc (ex-animal)'!$Q$31+'Calc (ex-animal)'!$R$31)*'Calc (ex-housing, ex-storage)'!F150/100/VLOOKUP($C$146,'DB animal categories'!$C$52:$AC$61,27,FALSE)*AJ150+Y150+Z150+AA150,IF(AS150=4,('Calc (ex-animal)'!$Q$31+'Calc (ex-animal)'!$R$31)*'Calc (ex-housing, ex-storage)'!F150/100*VLOOKUP(D150,'DB technologies'!$N$66:$Y$77,12,FALSE)/100/VLOOKUP($C$146,'DB animal categories'!$C$52:$AC$61,27,FALSE)*AJ150+Y150+Z150+AA150,0))))))</f>
        <v/>
      </c>
      <c r="BA150" s="506"/>
      <c r="BB150" s="506"/>
      <c r="BC150" s="506"/>
    </row>
    <row r="151" spans="1:55" ht="11.25" customHeight="1" thickBot="1" x14ac:dyDescent="0.25">
      <c r="A151" s="684"/>
      <c r="B151" s="695"/>
      <c r="C151" s="252"/>
      <c r="D151" s="269" t="s">
        <v>58</v>
      </c>
      <c r="E151" s="270">
        <f>IF(F151&lt;=100,SUM(E146:E150),"ERROR")</f>
        <v>0</v>
      </c>
      <c r="F151" s="284">
        <f>IF(SUM(F146:F150) &lt;=100,SUM(F146:F150),"ERROR, SUM&gt;100%")</f>
        <v>0</v>
      </c>
      <c r="G151" s="504">
        <f>IF('Calc (ex-animal)'!$F$9=1,"",SUM(G146:G150))</f>
        <v>0</v>
      </c>
      <c r="H151" s="433">
        <f>IF('Calc (ex-animal)'!$F$8=1,"",SUM(H146:H150))</f>
        <v>0</v>
      </c>
      <c r="I151" s="433">
        <f>IF('Calc (ex-animal)'!$F$8=1,"",SUM(I146:I150))</f>
        <v>0</v>
      </c>
      <c r="J151" s="433">
        <f>IF('Calc (ex-animal)'!$F$8=1,"",SUM(J146:J150))</f>
        <v>0</v>
      </c>
      <c r="K151" s="433">
        <f>IF('Calc (ex-animal)'!$F$8=1,"",SUM(K146:K150))</f>
        <v>0</v>
      </c>
      <c r="L151" s="433">
        <f>IF('Calc (ex-animal)'!$F$8=1,"",SUM(L146:L150))</f>
        <v>0</v>
      </c>
      <c r="M151" s="470"/>
      <c r="N151" s="470"/>
      <c r="O151" s="470"/>
      <c r="P151" s="478">
        <f>IF(G151=0,0,IF('Calc (ex-animal)'!$F$9=1,"",IF(D151="","",SUM(H151:K151)/G151*100)))</f>
        <v>0</v>
      </c>
      <c r="Q151" s="271"/>
      <c r="R151" s="271"/>
      <c r="S151" s="271"/>
      <c r="T151" s="278">
        <f>IF('Calc (ex-animal)'!$F$31=1,"",SUM(T146:T150))</f>
        <v>0</v>
      </c>
      <c r="U151" s="279"/>
      <c r="V151" s="279"/>
      <c r="W151" s="279"/>
      <c r="X151" s="279">
        <f>IF('Calc (ex-animal)'!$F$31=1,"",SUM(X146:X150))</f>
        <v>0</v>
      </c>
      <c r="Y151" s="279"/>
      <c r="Z151" s="279"/>
      <c r="AA151" s="279"/>
      <c r="AB151" s="279">
        <f>IF('Calc (ex-animal)'!$F$31=1,"",SUM(AB146:AB150))</f>
        <v>0</v>
      </c>
      <c r="AC151" s="279">
        <f>IF('Calc (ex-animal)'!$F$31=1,"",SUM(AC146:AC150))</f>
        <v>0</v>
      </c>
      <c r="AD151" s="279">
        <f>IF('Calc (ex-animal)'!$F$31=1,"",SUM(AD146:AD150))</f>
        <v>0</v>
      </c>
      <c r="AE151" s="280">
        <f>IF('Calc (ex-animal)'!$F$31=1,"",SUM(AE146:AE150))</f>
        <v>0</v>
      </c>
    </row>
    <row r="152" spans="1:55" ht="11.25" customHeight="1" x14ac:dyDescent="0.2">
      <c r="A152" s="684"/>
      <c r="B152" s="695"/>
      <c r="C152" s="250">
        <f>'Calc (ex-animal)'!D32</f>
        <v>0</v>
      </c>
      <c r="D152" s="1355"/>
      <c r="E152" s="1356"/>
      <c r="F152" s="479" t="str">
        <f>IF('Calc (ex-animal)'!$F$9=1,"",IF($C$152=0,"",IF(D152="","",E152/'Calc (ex-animal)'!$E$32*100)))</f>
        <v/>
      </c>
      <c r="G152" s="484" t="str">
        <f>IF($C$152=0,"",IF('Calc (ex-animal)'!$F$8=1,"",IF(D152="","",SUM(H152:O152))))</f>
        <v/>
      </c>
      <c r="H152" s="471" t="str">
        <f>IF('Calc (ex-animal)'!$F$8=1,"",IF(D152="","",(((VLOOKUP($C$152,'Calc (ex-animal)'!$D$28:$Y$32,6,FALSE)-VLOOKUP($C$152,'Calc (ex-animal)'!$D$28:$Y$32,17,FALSE))*F152/100))*VLOOKUP($C$152,'Calc (ex-animal)'!$D$28:$Y$32,7,FALSE)/100*(1-VLOOKUP(D152,'DB technologies'!$N$66:$Y$77,9,FALSE)/100)))</f>
        <v/>
      </c>
      <c r="I152" s="471" t="str">
        <f>IF(D152="","",((VLOOKUP(D152,'DB technologies'!$N$66:$Y$77,2,FALSE)*VLOOKUP($C$152,'DB animal categories'!$C$52:$AC$61,27,FALSE)*E152/1000)/VLOOKUP($C$152,'DB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'!$S$6/100*(1-VLOOKUP(D152,'DB technologies'!$N$66:$Y$77,9,FALSE)/100)))</f>
        <v/>
      </c>
      <c r="J152" s="472" t="str">
        <f>IF(D152="","",((VLOOKUP(D152,'DB technologies'!$N$66:$Y$77,3,FALSE)*VLOOKUP($C$152,'DB animal categories'!$C$52:$AC$61,27,FALSE)*E152/1000)/VLOOKUP($C$152,'DB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'!$S$7/100*(1-VLOOKUP(D152,'DB technologies'!$N$66:$Y$77,9,FALSE)/100)))</f>
        <v/>
      </c>
      <c r="K152" s="472" t="str">
        <f>IF(D152="","",((VLOOKUP(D152,'DB technologies'!$N$66:$Y$77,4,FALSE)*E152*'DB additional information '!$S$8/100*(1-VLOOKUP(D152,'DB technologies'!$N$66:$Y$77,9,FALSE)/100))/VLOOKUP($C$152,'DB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L152" s="471" t="str">
        <f>IF('Calc (ex-animal)'!$F$8=1,"",IF(D152="","",(((VLOOKUP($C$152,'Calc (ex-animal)'!$D$28:$Y$32,6,FALSE)-VLOOKUP($C$152,'Calc (ex-animal)'!$D$28:$Y$32,17,FALSE))*F152/100))*(1-VLOOKUP($C$152,'Calc (ex-animal)'!$D$28:$Y$32,7,FALSE)/100)*(1-VLOOKUP(D152,'DB technologies'!$N$66:$V$77,8,FALSE)/100)))</f>
        <v/>
      </c>
      <c r="M152" s="472" t="str">
        <f>IF(D152="","",((VLOOKUP(D152,'DB technologies'!$N$66:$Y$77,2,FALSE)*VLOOKUP($C$152,'DB animal categories'!$C$52:$AC$61,27,FALSE)*E152/1000)/VLOOKUP($C$152,'DB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'!$S$6/100)*(1-VLOOKUP(D152,'DB technologies'!$N$66:$Y$77,9,FALSE)/100))</f>
        <v/>
      </c>
      <c r="N152" s="472" t="str">
        <f>IF(D152="","",((VLOOKUP(D152,'DB technologies'!$N$66:$Y$77,3,FALSE)*VLOOKUP($C$152,'DB animal categories'!$C$52:$AC$61,27,FALSE)*E152/1000)/VLOOKUP($C$152,'DB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'!$S$7/100)*(1-VLOOKUP(D152,'DB technologies'!$N$66:$Y$77,9,FALSE)/100))</f>
        <v/>
      </c>
      <c r="O152" s="471" t="str">
        <f>IF(D152="","",((VLOOKUP(D152,'DB technologies'!$N$66:$Y$77,4,FALSE)*E152*(1-'DB additional information '!$S$8/100)*(1-VLOOKUP(D152,'DB technologies'!$N$66:$Y$77,8,FALSE)/100))/VLOOKUP($C$152,'DB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P152" s="443" t="str">
        <f>IF(G152=0,0,IF(E152="","",IF(F152="","",IF($C$152=0,"",IF(D152="","",SUM(H152:K152)/G152*100)))))</f>
        <v/>
      </c>
      <c r="Q152" s="473" t="str">
        <f>IF(D152="","",(VLOOKUP(D152,'DB technologies'!$N$66:$Y$77,2,FALSE)*'DB additional information '!$S$6/100*'DB additional information '!$T$6*VLOOKUP($C$152,'DB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R152" s="473" t="str">
        <f>IF(D152="","",(VLOOKUP(D152,'DB technologies'!$N$66:$Y$77,3,FALSE)*'DB additional information '!$S$7/100*'DB additional information '!$T$7*VLOOKUP($C$152,'DB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S152" s="490" t="str">
        <f>IF(D152="","",(VLOOKUP(D152,'DB technologies'!$N$66:$Y$77,4,FALSE)*('DB additional information '!$S$8/100*'DB additional information '!$T$8*E152/1000/1000)))</f>
        <v/>
      </c>
      <c r="T152" s="263" t="str">
        <f>IF($C$152=0,"",IF('Calc (ex-animal)'!$F$9=1,"",IF(D152="","",((VLOOKUP($C$152,'Calc (ex-animal)'!$D$28:$Y$32,10,FALSE)-VLOOKUP($C$152,'Calc (ex-animal)'!$D$28:$Y$32,18,FALSE))*F152/100+Q152+R152+S152)-AC152-AD152-AE152)))</f>
        <v/>
      </c>
      <c r="U152" s="474" t="str">
        <f>IF(D152="","",(VLOOKUP(D152,'DB technologies'!$N$66:$Y$77,2,FALSE)*'DB additional information '!$S$6/100*'DB additional information '!$U$6*VLOOKUP($C$152,'DB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V152" s="420" t="str">
        <f>IF(D152="","",(VLOOKUP(D152,'DB technologies'!$N$66:$Y$77,3,FALSE)*'DB additional information '!$S$7/100*'DB additional information '!$U$7*VLOOKUP($C$152,'DB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W152" s="415" t="str">
        <f>IF(D152="","",(VLOOKUP(D152,'DB technologies'!$N$66:$Y$77,4,FALSE)*('DB additional information '!$S$8/100*'DB additional information '!$U$8*E152/1000/1000)))</f>
        <v/>
      </c>
      <c r="X152" s="259" t="str">
        <f>IF($C$152=0,"",IF('Calc (ex-animal)'!$F$9=1,"",IF(D152="","",((VLOOKUP($C$152,'Calc (ex-animal)'!$D$28:$Y$32,13,FALSE)-VLOOKUP($C$152,'Calc (ex-animal)'!$D$28:$Y$32,19,FALSE))*F152/100+U152+V152+W152))))</f>
        <v/>
      </c>
      <c r="Y152" s="420" t="str">
        <f>IF(D152="","",(VLOOKUP(D152,'DB technologies'!$N$66:$Y$77,2,FALSE)*'DB additional information '!$S$6/100*'DB additional information '!$V$6*VLOOKUP($C$152,'DB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Z152" s="420" t="str">
        <f>IF(D152="","",(VLOOKUP(D152,'DB technologies'!$N$66:$Y$77,3,FALSE)*'DB additional information '!$S$7/100*'DB additional information '!$V$7*VLOOKUP($C$152,'DB animal categories'!$C$52:$AC$61,27,FALSE)*E152/1000/1000)/VLOOKUP($C$152,'DB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AA152" s="420" t="str">
        <f>IF(D152="","",(VLOOKUP(D152,'DB technologies'!$N$66:$Y$77,4,FALSE)*('DB additional information '!$S$8/100*'DB additional information '!$V$8*E152/1000/1000)))</f>
        <v/>
      </c>
      <c r="AB152" s="259" t="str">
        <f>IF($C$152=0,"",IF('Calc (ex-animal)'!$F$8=1,"",IF(D152="","",((VLOOKUP($C$152,'Calc (ex-animal)'!$D$28:$Y$32,16,FALSE)-VLOOKUP($C$152,'Calc (ex-animal)'!$D$28:$Y$32,20,FALSE))*F152/100+Y152+Z152+AA152))))</f>
        <v/>
      </c>
      <c r="AC152" s="259" t="str">
        <f>IF($C$152=0,"",IF('Calc (ex-animal)'!$F$8=1,"",IF(D152="","",VLOOKUP($C$152,'Calc (ex-animal)'!$D$28:$Y$32,9,FALSE)/VLOOKUP($C$152,'DB animal categories'!$C$52:$AC$61,27,FALSE)*(VLOOKUP($C$152,'DB animal categories'!$C$52:$AC$61,27,FALSE)-VLOOKUP($C$152,'DB animal categories'!$C$52:$AC$61,25,FALSE)*VLOOKUP($C$152,'DB animal categories'!$C$52:$AC$61,26,FALSE)/24)*F152/100*VLOOKUP(D152,'DB technologies'!$N$66:$R$77,5,FALSE)/100)))</f>
        <v/>
      </c>
      <c r="AD152" s="259" t="str">
        <f>IF($C$152=0,"",IF('Calc (ex-animal)'!$F$8=1,"",IF(D152="","",VLOOKUP($C$152,'Calc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categories'!$C$52:$AC$61,26,FALSE)/24)*F152/100*VLOOKUP(D152,'DB technologies'!$N$66:$Y$77,6,FALSE)/100)))</f>
        <v/>
      </c>
      <c r="AE152" s="260" t="str">
        <f>IF($C$152=0,"",IF('Calc (ex-animal)'!$F$8=1,"",IF(D152="","",VLOOKUP($C$152,'Calc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categories'!$C$52:$AC$61,26,FALSE)/24)*F152/100*VLOOKUP(D152,'DB technologies'!$N$66:$Y$77,7,FALSE)/100)))</f>
        <v/>
      </c>
      <c r="AI152" s="179" t="str">
        <f>IF(D152="","",VLOOKUP(D152,'DB technologies'!$N$66:$Y$77,10,FALSE))</f>
        <v/>
      </c>
      <c r="AJ152" s="482" t="e">
        <f>VLOOKUP($C$152,'DB animal categories'!$C$52:$AN$61,27,FALSE)-VLOOKUP($C$152,'DB animal categories'!$C$52:$AN$61,26,FALSE)*VLOOKUP($C$152,'DB animal categories'!$C$52:$AN$61,25,FALSE)/24</f>
        <v>#N/A</v>
      </c>
      <c r="AK152" s="453" t="str">
        <f>IF(AI152="","",AL152+AM152)</f>
        <v/>
      </c>
      <c r="AL152" s="453" t="str">
        <f>IF(D152="","",IF(AI152=2,(('Calc (ex-animal)'!$G$32*'DB additional information '!$K$9/100*(1-VLOOKUP(D152,'DB technologies'!$N$66:$Y$77,9,FALSE)/100)*'Calc (ex-housing, ex-storage)'!F152/100+'Calc (ex-animal)'!$H$32*'DB additional information '!$L$9/100*(1-VLOOKUP(D152,'DB technologies'!$N$66:$Y$77,9,FALSE)/100)*'Calc (ex-housing, ex-storage)'!F152/100))/VLOOKUP($C$152,'DB animal categories'!$C$52:$AC$61,27,FALSE)*AJ152+I152+J152+K152,IF(AI152=1,('Calc (ex-animal)'!$H$32*'DB additional information '!$L$9/100*(1-VLOOKUP(D152,'DB technologies'!$N$66:$Y$77,9,FALSE)/100)*'Calc (ex-housing, ex-storage)'!F152/100)/VLOOKUP($C$152,'DB animal categories'!$C$52:$AC$61,27,FALSE)*AJ152,IF(AI152=4,('Calc (ex-animal)'!$G$32*'DB additional information '!$K$9/100+'Calc (ex-animal)'!$H$32*'DB additional information '!$L$9/100)*(1-VLOOKUP(D152,'DB technologies'!$N$66:$Y$77,9,FALSE)/100)*'Calc (ex-housing, ex-storage)'!F152/100*VLOOKUP(D152,'DB technologies'!$N$66:$Y$77,11,FALSE)/100/VLOOKUP($C$152,'DB animal categories'!$C$52:$AC$61,27,FALSE)*AJ152,0))))</f>
        <v/>
      </c>
      <c r="AM152" s="453" t="str">
        <f>IF(D152="","",IF(AI152=2,(('Calc (ex-animal)'!$G$32*(1-'DB additional information '!$K$9/100)*(1-VLOOKUP(D152,'DB technologies'!$N$66:$Y$77,8,FALSE)/100)*'Calc (ex-housing, ex-storage)'!F152/100+'Calc (ex-animal)'!$H$32*(1-'DB additional information '!$L$9/100)*(1-VLOOKUP(D152,'DB technologies'!$N$66:$Y$77,8,FALSE)/100)*'Calc (ex-housing, ex-storage)'!F152/100))/VLOOKUP($C$152,'DB animal categories'!$C$52:$AC$61,27,FALSE)*AJ152+M152+N152+O152,IF(AI152=1,('Calc (ex-animal)'!$H$32*(1-'DB additional information '!$L$9/100)*(1-VLOOKUP(D152,'DB technologies'!$N$66:$Y$77,8,FALSE)/100)*'Calc (ex-housing, ex-storage)'!F152/100)/VLOOKUP($C$152,'DB animal categories'!$C$52:$AC$61,27,FALSE)*AJ152,IF(AI152=4,('Calc (ex-animal)'!$G$32*(1-'DB additional information '!$K$9/100)+'Calc (ex-animal)'!$H$32*(1-'DB additional information '!$L$9/100))*(1-VLOOKUP(D152,'DB technologies'!$N$66:$Y$77,8,FALSE)/100)*'Calc (ex-housing, ex-storage)'!F152/100*VLOOKUP(D152,'DB technologies'!$N$66:$Y$77,11,FALSE)/100/VLOOKUP($C$152,'DB animal categories'!$C$52:$AC$61,27,FALSE)*AJ152,0))))</f>
        <v/>
      </c>
      <c r="AN152" s="453" t="str">
        <f>IF(AI152="","",IF(AL152=0,0,AL152/AK152*100))</f>
        <v/>
      </c>
      <c r="AO152" s="180" t="str">
        <f>IF(D152="","",IF(AI152=2,(('Calc (ex-animal)'!$L$32*'Calc (ex-housing, ex-storage)'!F152/100+'Calc (ex-animal)'!$K$32*'Calc (ex-housing, ex-storage)'!F152/100))/VLOOKUP($C$152,'DB animal categories'!$C$52:$AC$61,27,FALSE)*AJ152+Q152+R152+S152-AC152,IF(AI152=1,('Calc (ex-animal)'!$L$32*'Calc (ex-housing, ex-storage)'!F152/100)/VLOOKUP($C$152,'DB animal categories'!$C$52:$AC$61,27,FALSE)*AJ152-'Calc (ex-housing, ex-storage)'!AC152,IF(AI152=4,('Calc (ex-animal)'!$L$32+'Calc (ex-animal)'!$K$32)*'Calc (ex-housing, ex-storage)'!F152/100*VLOOKUP(D152,'DB technologies'!$N$66:$Y$77,11,FALSE)/100/VLOOKUP($C$152,'DB animal categories'!$C$52:$AC$61,27,FALSE)*AJ152-AC152*VLOOKUP(D152,'DB technologies'!$N$66:$Y$77,11,FALSE)/100,0))))</f>
        <v/>
      </c>
      <c r="AP152" s="180" t="str">
        <f>IF(D152="","",IF(AO152&lt;-0.01,0,IF(AI152=2,(('Calc (ex-animal)'!$L$32*'Calc (ex-housing, ex-storage)'!F152/100+'Calc (ex-animal)'!$K$32*'Calc (ex-housing, ex-storage)'!F152/100))/VLOOKUP($C$152,'DB animal categories'!$C$52:$AC$61,27,FALSE)*AJ152+Q152+R152+S152-AC152,IF(AI152=1,('Calc (ex-animal)'!$L$32*'Calc (ex-housing, ex-storage)'!F152/100)/VLOOKUP($C$152,'DB animal categories'!$C$52:$AC$61,27,FALSE)*AJ152-'Calc (ex-housing, ex-storage)'!AC152,IF(AI152=4,('Calc (ex-animal)'!$L$32+'Calc (ex-animal)'!$K$32)*'Calc (ex-housing, ex-storage)'!F152/100*VLOOKUP(D152,'DB technologies'!$N$66:$Y$77,11,FALSE)/100/VLOOKUP($C$152,'DB animal categories'!$C$52:$AC$61,27,FALSE)*AJ152-AC152*VLOOKUP(D152,'DB technologies'!$N$66:$Y$77,11,FALSE)/100,0)))))</f>
        <v/>
      </c>
      <c r="AQ152" s="180" t="str">
        <f>IF(D152="","",IF(AI152=2,('Calc (ex-animal)'!$O$32*'Calc (ex-housing, ex-storage)'!F152/100+'Calc (ex-animal)'!$N$32*'Calc (ex-housing, ex-storage)'!F152/100)/VLOOKUP($C$152,'DB animal categories'!$C$52:$AC$61,27,FALSE)*AJ152+U152+V152+W152,IF(AI152=1,'Calc (ex-animal)'!$O$32*'Calc (ex-housing, ex-storage)'!F152/100/VLOOKUP($C$152,'DB animal categories'!$C$52:$AC$61,27,FALSE)*AJ152,IF(AI152=4,('Calc (ex-animal)'!$O$32+'Calc (ex-animal)'!$N$32)*'Calc (ex-housing, ex-storage)'!F152/100*VLOOKUP(D152,'DB technologies'!$N$66:$Y$77,11,FALSE)/100/VLOOKUP($C$152,'DB animal categories'!$C$52:$AC$61,27,FALSE)*AJ152,0))))</f>
        <v/>
      </c>
      <c r="AR152" s="180" t="str">
        <f>IF(D152="","",IF(AI152=2,('Calc (ex-animal)'!$R$32*'Calc (ex-housing, ex-storage)'!F152/100+'Calc (ex-animal)'!$Q$32*'Calc (ex-housing, ex-storage)'!F152/100)/VLOOKUP($C$152,'DB animal categories'!$C$52:$AC$61,27,FALSE)*AJ152+Y152+Z152+AA152,IF(AI152=1,'Calc (ex-animal)'!$R$32*'Calc (ex-housing, ex-storage)'!F152/100/VLOOKUP($C$152,'DB animal categories'!$C$52:$AC$61,27,FALSE)*AJ152,IF(AI152=4,('Calc (ex-animal)'!$R$32+'Calc (ex-animal)'!$Q$32)*'Calc (ex-housing, ex-storage)'!F152/100*VLOOKUP(D152,'DB technologies'!$N$66:$Y$77,11,FALSE)/100/VLOOKUP($C$152,'DB animal categories'!$C$52:$AC$61,27,FALSE)*AJ152,0))))</f>
        <v/>
      </c>
      <c r="AS152" s="179" t="str">
        <f>IF(D152="","",VLOOKUP(D152,'DB technologies'!$N$66:$Y$77,10,FALSE))</f>
        <v/>
      </c>
      <c r="AT152" s="453" t="str">
        <f>IF(AS152="","",AU152+AV152)</f>
        <v/>
      </c>
      <c r="AU152" s="453" t="str">
        <f>IF(D152="","",IF(AS152=2,0,IF(AS152=1,'Calc (ex-animal)'!$G$32*'DB additional information '!$K$9/100*(1-VLOOKUP(D152,'DB technologies'!$N$66:$Y$77,8,FALSE)/100)*'Calc (ex-housing, ex-storage)'!F152/100/VLOOKUP($C$152,'DB animal categories'!$C$52:$AC$61,27,FALSE)*AJ152+I152+J152+K152,IF(AS152=5,(('Calc (ex-animal)'!$G$32*'DB additional information '!$K$9/100+'Calc (ex-animal)'!$H$32*'DB additional information '!$L$9/100))*(1-VLOOKUP(D152,'DB technologies'!$N$66:$Y$77,9,FALSE)/100)*'Calc (ex-housing, ex-storage)'!F152/100/VLOOKUP($C$152,'DB animal categories'!$C$52:$AC$61,27,FALSE)*AJ152+I152+J152+K152,IF(AS152=3,('Calc (ex-animal)'!$G$32*'DB additional information '!$K$9/100+'Calc (ex-animal)'!$H$32*'DB additional information '!$L$9/100)*(1-VLOOKUP(D152,'DB technologies'!$N$66:$Y$77,9,FALSE)/100)*'Calc (ex-housing, ex-storage)'!F152/100/VLOOKUP($C$152,'DB animal categories'!$C$52:$AC$61,27,FALSE)*AJ152+I152+J152+K152,IF(AS152=4,('Calc (ex-animal)'!$G$32*'DB additional information '!$K$9/100+'Calc (ex-animal)'!$H$32*'DB additional information '!$L$9/100)*(1-VLOOKUP(D152,'DB technologies'!$N$66:$Y$77,9,FALSE)/100)*'Calc (ex-housing, ex-storage)'!F152/100*VLOOKUP(D152,'DB technologies'!$N$66:$Y$77,12,FALSE)/100/VLOOKUP($C$152,'DB animal categories'!$C$52:$AC$61,27,FALSE)*AJ152+I152+J152+K152,0))))))</f>
        <v/>
      </c>
      <c r="AV152" s="453" t="str">
        <f>IF(D152="","",IF(AS152=2,0,IF(AS152=1,'Calc (ex-animal)'!$G$32*(1-'DB additional information '!$K$9/100)*(1-VLOOKUP(D152,'DB technologies'!$N$66:$Y$77,8,FALSE)/100)*'Calc (ex-housing, ex-storage)'!F152/100/VLOOKUP($C$152,'DB animal categories'!$C$52:$AC$61,27,FALSE)*AJ152+M152+N152+O152,IF(AS152=5,('Calc (ex-animal)'!$G$32*(1-'DB additional information '!$K$9/100)+'Calc (ex-animal)'!$H$32*(1-'DB additional information '!$L$9/100))*(1-VLOOKUP(D152,'DB technologies'!$N$66:$Y$77,8,FALSE)/100)*'Calc (ex-housing, ex-storage)'!F152/100/VLOOKUP($C$152,'DB animal categories'!$C$52:$AC$61,27,FALSE)*AJ152+M152+N152+O152,IF(AS152=3,('Calc (ex-animal)'!$G$32*(1-'DB additional information '!$K$9/100)+'Calc (ex-animal)'!$H$32*(1-'DB additional information '!$L$9/100))*(1-VLOOKUP(D152,'DB technologies'!$N$66:$Y$77,8,FALSE)/100)*'Calc (ex-housing, ex-storage)'!F152/100/VLOOKUP($C$152,'DB animal categories'!$C$52:$AC$61,27,FALSE)*AJ152+M152+N152+O152,IF(AS152=4,('Calc (ex-animal)'!$G$32*(1-'DB additional information '!$K$9/100)+'Calc (ex-animal)'!$H$32*(1-'DB additional information '!$L$9/100))*(1-VLOOKUP(D152,'DB technologies'!$N$66:$Y$77,8,FALSE)/100)*'Calc (ex-housing, ex-storage)'!F152/100*VLOOKUP(D152,'DB technologies'!$N$66:$Y$77,12,FALSE)/100/VLOOKUP($C$152,'DB animal categories'!$C$52:$AC$61,27,FALSE)*AJ152+M152+N152+O152,0))))))</f>
        <v/>
      </c>
      <c r="AW152" s="453" t="str">
        <f>IF(AS152="","",IF(AU152=0,0,AU152/AT152*100))</f>
        <v/>
      </c>
      <c r="AX152" s="180" t="str">
        <f>IF(D152="","",IF(AS152=2,0,IF(AS152=1,'Calc (ex-animal)'!$K$32*'Calc (ex-housing, ex-storage)'!F152/100/VLOOKUP($C$152,'DB animal categories'!$C$52:$AC$61,27,FALSE)*AJ152+Q152+R152+S152,IF(AS152=5,('Calc (ex-animal)'!$K$32+'Calc (ex-animal)'!$L$32)*'Calc (ex-housing, ex-storage)'!F152/100/VLOOKUP($C$152,'DB animal categories'!$C$52:$AC$61,27,FALSE)*AJ152+Q152+R152+S152-'Calc (ex-housing, ex-storage)'!AC152,IF(AS152=3,('Calc (ex-animal)'!$K$32+'Calc (ex-animal)'!$L$32)*'Calc (ex-housing, ex-storage)'!F152/100/VLOOKUP($C$152,'DB animal categories'!$C$52:$AC$61,27,FALSE)*AJ152+Q152+R152+S152-'Calc (ex-housing, ex-storage)'!AC152-AD152-AE152,IF(AI152=4,('Calc (ex-animal)'!$K$32+'Calc (ex-animal)'!$L$32)*'Calc (ex-housing, ex-storage)'!F152/100*VLOOKUP(D152,'DB technologies'!$N$66:$Y$77,12,FALSE)/100/VLOOKUP($C$152,'DB animal categories'!$C$52:$AC$61,27,FALSE)*AJ152+Q152+R152+S152-(VLOOKUP(D152,'DB technologies'!$N$66:$Y$77,12,FALSE)/100*AC152)-AD152-AE152,0))))))</f>
        <v/>
      </c>
      <c r="AY152" s="180" t="str">
        <f>IF(D152="","",IF(AS152=2,0,IF(AS152=1,'Calc (ex-animal)'!$N$32*'Calc (ex-housing, ex-storage)'!F152/100/VLOOKUP($C$152,'DB animal categories'!$C$52:$AC$61,27,FALSE)*AJ152+U152+V152+W152,IF(AS152=5,('Calc (ex-animal)'!$N$32+'Calc (ex-animal)'!$O$32)*'Calc (ex-housing, ex-storage)'!F152/100/VLOOKUP($C$152,'DB animal categories'!$C$52:$AC$61,27,FALSE)*AJ152+U152+V152+W152,IF(AS152=3,('Calc (ex-animal)'!$N$32+'Calc (ex-animal)'!$O$32)*'Calc (ex-housing, ex-storage)'!F152/100/VLOOKUP($C$152,'DB animal categories'!$C$52:$AC$61,27,FALSE)*AJ152+U152+V152+W152,IF(AS152=4,('Calc (ex-animal)'!$N$32+'Calc (ex-animal)'!$O$32)*'Calc (ex-housing, ex-storage)'!F152/100*VLOOKUP(D152,'DB technologies'!$N$66:$Y$77,12,FALSE)/100/VLOOKUP($C$152,'DB animal categories'!$C$52:$AC$61,27,FALSE)*AJ152+U152+V152+W152,0))))))</f>
        <v/>
      </c>
      <c r="AZ152" s="180" t="str">
        <f>IF(D152="","",IF(AS152=2,0,IF(AS152=1,'Calc (ex-animal)'!$Q$32*'Calc (ex-housing, ex-storage)'!F152/100/VLOOKUP($C$152,'DB animal categories'!$C$52:$AC$61,27,FALSE)*AJ152+Y152+Z152+AA152,IF(AS152=5,('Calc (ex-animal)'!$Q$32+'Calc (ex-animal)'!$R$32)*'Calc (ex-housing, ex-storage)'!F152/100/VLOOKUP($C$152,'DB animal categories'!$C$52:$AC$61,27,FALSE)*AJ152+Y152+Z152+AA152,IF(AS152=3,('Calc (ex-animal)'!$Q$32+'Calc (ex-animal)'!$R$32)*'Calc (ex-housing, ex-storage)'!F152/100/VLOOKUP($C$152,'DB animal categories'!$C$52:$AC$61,27,FALSE)*AJ152+Y152+Z152+AA152,IF(AS152=4,('Calc (ex-animal)'!$Q$32+'Calc (ex-animal)'!$R$32)*'Calc (ex-housing, ex-storage)'!F152/100*VLOOKUP(D152,'DB technologies'!$N$66:$Y$77,12,FALSE)/100/VLOOKUP($C$152,'DB animal categories'!$C$52:$AC$61,27,FALSE)*AJ152+Y152+Z152+AA152,0))))))</f>
        <v/>
      </c>
      <c r="BA152" s="506"/>
      <c r="BB152" s="506"/>
      <c r="BC152" s="506"/>
    </row>
    <row r="153" spans="1:55" ht="11.25" customHeight="1" x14ac:dyDescent="0.2">
      <c r="A153" s="684"/>
      <c r="B153" s="695"/>
      <c r="C153" s="251"/>
      <c r="D153" s="1357"/>
      <c r="E153" s="1358"/>
      <c r="F153" s="480" t="str">
        <f>IF('Calc (ex-animal)'!$F$9=1,"",IF($C$152=0,"",IF(D153="","",E153/'Calc (ex-animal)'!$E$32*100)))</f>
        <v/>
      </c>
      <c r="G153" s="485" t="str">
        <f>IF($C$152=0,"",IF('Calc (ex-animal)'!$F$8=1,"",IF(D153="","",SUM(H153:O153))))</f>
        <v/>
      </c>
      <c r="H153" s="423" t="str">
        <f>IF('Calc (ex-animal)'!$F$8=1,"",IF(D153="","",(((VLOOKUP($C$152,'Calc (ex-animal)'!$D$28:$Y$32,6,FALSE)-VLOOKUP($C$152,'Calc (ex-animal)'!$D$28:$Y$32,17,FALSE))*F153/100))*VLOOKUP($C$152,'Calc (ex-animal)'!$D$28:$Y$32,7,FALSE)/100*(1-VLOOKUP(D153,'DB technologies'!$N$66:$Y$77,9,FALSE)/100)))</f>
        <v/>
      </c>
      <c r="I153" s="423" t="str">
        <f>IF(D153="","",((VLOOKUP(D153,'DB technologies'!$N$66:$Y$77,2,FALSE)*VLOOKUP($C$152,'DB animal categories'!$C$52:$AC$61,27,FALSE)*E153/1000)/VLOOKUP($C$152,'DB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'!$S$6/100*(1-VLOOKUP(D153,'DB technologies'!$N$66:$Y$77,9,FALSE)/100)))</f>
        <v/>
      </c>
      <c r="J153" s="434" t="str">
        <f>IF(D153="","",((VLOOKUP(D153,'DB technologies'!$N$66:$Y$77,3,FALSE)*VLOOKUP($C$152,'DB animal categories'!$C$52:$AC$61,27,FALSE)*E153/1000)/VLOOKUP($C$152,'DB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'!$S$7/100*(1-VLOOKUP(D153,'DB technologies'!$N$66:$Y$77,9,FALSE)/100)))</f>
        <v/>
      </c>
      <c r="K153" s="434" t="str">
        <f>IF(D153="","",((VLOOKUP(D153,'DB technologies'!$N$66:$Y$77,4,FALSE)*E153*'DB additional information '!$S$8/100*(1-VLOOKUP(D153,'DB technologies'!$N$66:$Y$77,9,FALSE)/100))/VLOOKUP($C$152,'DB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L153" s="423" t="str">
        <f>IF('Calc (ex-animal)'!$F$8=1,"",IF(D153="","",(((VLOOKUP($C$152,'Calc (ex-animal)'!$D$28:$Y$32,6,FALSE)-VLOOKUP($C$152,'Calc (ex-animal)'!$D$28:$Y$32,17,FALSE))*F153/100))*(1-VLOOKUP($C$152,'Calc (ex-animal)'!$D$28:$Y$32,7,FALSE)/100)*(1-VLOOKUP(D153,'DB technologies'!$N$66:$V$77,8,FALSE)/100)))</f>
        <v/>
      </c>
      <c r="M153" s="434" t="str">
        <f>IF(D153="","",((VLOOKUP(D153,'DB technologies'!$N$66:$Y$77,2,FALSE)*VLOOKUP($C$152,'DB animal categories'!$C$52:$AC$61,27,FALSE)*E153/1000)/VLOOKUP($C$152,'DB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'!$S$6/100)*(1-VLOOKUP(D153,'DB technologies'!$N$66:$Y$77,9,FALSE)/100))</f>
        <v/>
      </c>
      <c r="N153" s="434" t="str">
        <f>IF(D153="","",((VLOOKUP(D153,'DB technologies'!$N$66:$Y$77,3,FALSE)*VLOOKUP($C$152,'DB animal categories'!$C$52:$AC$61,27,FALSE)*E153/1000)/VLOOKUP($C$152,'DB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'!$S$7/100)*(1-VLOOKUP(D153,'DB technologies'!$N$66:$Y$77,9,FALSE)/100))</f>
        <v/>
      </c>
      <c r="O153" s="423" t="str">
        <f>IF(D153="","",((VLOOKUP(D153,'DB technologies'!$N$66:$Y$77,4,FALSE)*E153*(1-'DB additional information '!$S$8/100)*(1-VLOOKUP(D153,'DB technologies'!$N$66:$Y$77,8,FALSE)/100))/VLOOKUP($C$152,'DB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P153" s="438" t="str">
        <f>IF(G153=0,0,IF(E153="","",IF(F153="","",IF($C$152=0,"",IF(D153="","",SUM(H153:K153)/G153*100)))))</f>
        <v/>
      </c>
      <c r="Q153" s="416" t="str">
        <f>IF(D153="","",(VLOOKUP(D153,'DB technologies'!$N$66:$Y$77,2,FALSE)*'DB additional information '!$S$6/100*'DB additional information '!$T$6*VLOOKUP($C$152,'DB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R153" s="416" t="str">
        <f>IF(D153="","",(VLOOKUP(D153,'DB technologies'!$N$66:$Y$77,3,FALSE)*'DB additional information '!$S$7/100*'DB additional information '!$T$7*VLOOKUP($C$152,'DB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S153" s="491" t="str">
        <f>IF(D153="","",(VLOOKUP(D153,'DB technologies'!$N$66:$Y$77,4,FALSE)*('DB additional information '!$S$8/100*'DB additional information '!$T$8*E153/1000/1000)))</f>
        <v/>
      </c>
      <c r="T153" s="264" t="str">
        <f>IF($C$152=0,"",IF('Calc (ex-animal)'!$F$9=1,"",IF(D153="","",((VLOOKUP($C$152,'Calc (ex-animal)'!$D$28:$Y$32,10,FALSE)-VLOOKUP($C$152,'Calc (ex-animal)'!$D$28:$Y$32,18,FALSE))*F153/100+Q153+R153+S153)-AC153-AD153-AE153)))</f>
        <v/>
      </c>
      <c r="U153" s="422" t="str">
        <f>IF(D153="","",(VLOOKUP(D153,'DB technologies'!$N$66:$Y$77,2,FALSE)*'DB additional information '!$S$6/100*'DB additional information '!$U$6*VLOOKUP($C$152,'DB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V153" s="418" t="str">
        <f>IF(D153="","",(VLOOKUP(D153,'DB technologies'!$N$66:$Y$77,3,FALSE)*'DB additional information '!$S$7/100*'DB additional information '!$U$7*VLOOKUP($C$152,'DB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W153" s="417" t="str">
        <f>IF(D153="","",(VLOOKUP(D153,'DB technologies'!$N$66:$Y$77,4,FALSE)*('DB additional information '!$S$8/100*'DB additional information '!$U$8*E153/1000/1000)))</f>
        <v/>
      </c>
      <c r="X153" s="261" t="str">
        <f>IF($C$152=0,"",IF('Calc (ex-animal)'!$F$9=1,"",IF(D153="","",((VLOOKUP($C$152,'Calc (ex-animal)'!$D$28:$Y$32,13,FALSE)-VLOOKUP($C$152,'Calc (ex-animal)'!$D$28:$Y$32,19,FALSE))*F153/100+U153+V153+W153))))</f>
        <v/>
      </c>
      <c r="Y153" s="418" t="str">
        <f>IF(D153="","",(VLOOKUP(D153,'DB technologies'!$N$66:$Y$77,2,FALSE)*'DB additional information '!$S$6/100*'DB additional information '!$V$6*VLOOKUP($C$152,'DB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Z153" s="418" t="str">
        <f>IF(D153="","",(VLOOKUP(D153,'DB technologies'!$N$66:$Y$77,3,FALSE)*'DB additional information '!$S$7/100*'DB additional information '!$V$7*VLOOKUP($C$152,'DB animal categories'!$C$52:$AC$61,27,FALSE)*E153/1000/1000)/VLOOKUP($C$152,'DB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AA153" s="418" t="str">
        <f>IF(D153="","",(VLOOKUP(D153,'DB technologies'!$N$66:$Y$77,4,FALSE)*('DB additional information '!$S$8/100*'DB additional information '!$V$8*E153/1000/1000)))</f>
        <v/>
      </c>
      <c r="AB153" s="261" t="str">
        <f>IF($C$152=0,"",IF('Calc (ex-animal)'!$F$8=1,"",IF(D153="","",((VLOOKUP($C$152,'Calc (ex-animal)'!$D$28:$Y$32,16,FALSE)-VLOOKUP($C$152,'Calc (ex-animal)'!$D$28:$Y$32,20,FALSE))*F153/100+Y153+Z153+AA153))))</f>
        <v/>
      </c>
      <c r="AC153" s="261" t="str">
        <f>IF($C$152=0,"",IF('Calc (ex-animal)'!$F$8=1,"",IF(D153="","",VLOOKUP($C$152,'Calc (ex-animal)'!$D$28:$Y$32,9,FALSE)/VLOOKUP($C$152,'DB animal categories'!$C$52:$AC$61,27,FALSE)*(VLOOKUP($C$152,'DB animal categories'!$C$52:$AC$61,27,FALSE)-VLOOKUP($C$152,'DB animal categories'!$C$52:$AC$61,25,FALSE)*VLOOKUP($C$152,'DB animal categories'!$C$52:$AC$61,26,FALSE)/24)*F153/100*VLOOKUP(D153,'DB technologies'!$N$66:$R$77,5,FALSE)/100)))</f>
        <v/>
      </c>
      <c r="AD153" s="261" t="str">
        <f>IF($C$152=0,"",IF('Calc (ex-animal)'!$F$8=1,"",IF(D153="","",VLOOKUP($C$152,'Calc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categories'!$C$52:$AC$61,26,FALSE)/24)*F153/100*VLOOKUP(D153,'DB technologies'!$N$66:$Y$77,6,FALSE)/100)))</f>
        <v/>
      </c>
      <c r="AE153" s="262" t="str">
        <f>IF($C$152=0,"",IF('Calc (ex-animal)'!$F$8=1,"",IF(D153="","",VLOOKUP($C$152,'Calc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categories'!$C$52:$AC$61,26,FALSE)/24)*F153/100*VLOOKUP(D153,'DB technologies'!$N$66:$Y$77,7,FALSE)/100)))</f>
        <v/>
      </c>
      <c r="AI153" s="181" t="str">
        <f>IF(D153="","",VLOOKUP(D153,'DB technologies'!$N$66:$Y$77,10,FALSE))</f>
        <v/>
      </c>
      <c r="AJ153" s="449" t="e">
        <f>VLOOKUP($C$152,'DB animal categories'!$C$52:$AN$61,27,FALSE)-VLOOKUP($C$152,'DB animal categories'!$C$52:$AN$61,26,FALSE)*VLOOKUP($C$152,'DB animal categories'!$C$52:$AN$61,25,FALSE)/24</f>
        <v>#N/A</v>
      </c>
      <c r="AK153" s="442" t="str">
        <f>IF(AI153="","",AL153+AM153)</f>
        <v/>
      </c>
      <c r="AL153" s="442" t="str">
        <f>IF(D153="","",IF(AI153=2,(('Calc (ex-animal)'!$G$32*'DB additional information '!$K$9/100*(1-VLOOKUP(D153,'DB technologies'!$N$66:$Y$77,9,FALSE)/100)*'Calc (ex-housing, ex-storage)'!F153/100+'Calc (ex-animal)'!$H$32*'DB additional information '!$L$9/100*(1-VLOOKUP(D153,'DB technologies'!$N$66:$Y$77,9,FALSE)/100)*'Calc (ex-housing, ex-storage)'!F153/100))/VLOOKUP($C$152,'DB animal categories'!$C$52:$AC$61,27,FALSE)*AJ153+I153+J153+K153,IF(AI153=1,('Calc (ex-animal)'!$H$32*'DB additional information '!$L$9/100*(1-VLOOKUP(D153,'DB technologies'!$N$66:$Y$77,9,FALSE)/100)*'Calc (ex-housing, ex-storage)'!F153/100)/VLOOKUP($C$152,'DB animal categories'!$C$52:$AC$61,27,FALSE)*AJ153,IF(AI153=4,('Calc (ex-animal)'!$G$32*'DB additional information '!$K$9/100+'Calc (ex-animal)'!$H$32*'DB additional information '!$L$9/100)*(1-VLOOKUP(D153,'DB technologies'!$N$66:$Y$77,9,FALSE)/100)*'Calc (ex-housing, ex-storage)'!F153/100*VLOOKUP(D153,'DB technologies'!$N$66:$Y$77,11,FALSE)/100/VLOOKUP($C$152,'DB animal categories'!$C$52:$AC$61,27,FALSE)*AJ153,0))))</f>
        <v/>
      </c>
      <c r="AM153" s="442" t="str">
        <f>IF(D153="","",IF(AI153=2,(('Calc (ex-animal)'!$G$32*(1-'DB additional information '!$K$9/100)*(1-VLOOKUP(D153,'DB technologies'!$N$66:$Y$77,8,FALSE)/100)*'Calc (ex-housing, ex-storage)'!F153/100+'Calc (ex-animal)'!$H$32*(1-'DB additional information '!$L$9/100)*(1-VLOOKUP(D153,'DB technologies'!$N$66:$Y$77,8,FALSE)/100)*'Calc (ex-housing, ex-storage)'!F153/100))/VLOOKUP($C$152,'DB animal categories'!$C$52:$AC$61,27,FALSE)*AJ153+M153+N153+O153,IF(AI153=1,('Calc (ex-animal)'!$H$32*(1-'DB additional information '!$L$9/100)*(1-VLOOKUP(D153,'DB technologies'!$N$66:$Y$77,8,FALSE)/100)*'Calc (ex-housing, ex-storage)'!F153/100)/VLOOKUP($C$152,'DB animal categories'!$C$52:$AC$61,27,FALSE)*AJ153,IF(AI153=4,('Calc (ex-animal)'!$G$32*(1-'DB additional information '!$K$9/100)+'Calc (ex-animal)'!$H$32*(1-'DB additional information '!$L$9/100))*(1-VLOOKUP(D153,'DB technologies'!$N$66:$Y$77,8,FALSE)/100)*'Calc (ex-housing, ex-storage)'!F153/100*VLOOKUP(D153,'DB technologies'!$N$66:$Y$77,11,FALSE)/100/VLOOKUP($C$152,'DB animal categories'!$C$52:$AC$61,27,FALSE)*AJ153,0))))</f>
        <v/>
      </c>
      <c r="AN153" s="442" t="str">
        <f>IF(AI153="","",IF(AL153=0,0,AL153/AK153*100))</f>
        <v/>
      </c>
      <c r="AO153" s="182" t="str">
        <f>IF(D153="","",IF(AI153=2,(('Calc (ex-animal)'!$L$32*'Calc (ex-housing, ex-storage)'!F153/100+'Calc (ex-animal)'!$K$32*'Calc (ex-housing, ex-storage)'!F153/100))/VLOOKUP($C$152,'DB animal categories'!$C$52:$AC$61,27,FALSE)*AJ153+Q153+R153+S153-AC153,IF(AI153=1,('Calc (ex-animal)'!$L$32*'Calc (ex-housing, ex-storage)'!F153/100)/VLOOKUP($C$152,'DB animal categories'!$C$52:$AC$61,27,FALSE)*AJ153-'Calc (ex-housing, ex-storage)'!AC153,IF(AI153=4,('Calc (ex-animal)'!$L$32+'Calc (ex-animal)'!$K$32)*'Calc (ex-housing, ex-storage)'!F153/100*VLOOKUP(D153,'DB technologies'!$N$66:$Y$77,11,FALSE)/100/VLOOKUP($C$152,'DB animal categories'!$C$52:$AC$61,27,FALSE)*AJ153-AC153*VLOOKUP(D153,'DB technologies'!$N$66:$Y$77,11,FALSE)/100,0))))</f>
        <v/>
      </c>
      <c r="AP153" s="182" t="str">
        <f>IF(D153="","",IF(AO153&lt;-0.01,0,IF(AI153=2,(('Calc (ex-animal)'!$L$32*'Calc (ex-housing, ex-storage)'!F153/100+'Calc (ex-animal)'!$K$32*'Calc (ex-housing, ex-storage)'!F153/100))/VLOOKUP($C$152,'DB animal categories'!$C$52:$AC$61,27,FALSE)*AJ153+Q153+R153+S153-AC153,IF(AI153=1,('Calc (ex-animal)'!$L$32*'Calc (ex-housing, ex-storage)'!F153/100)/VLOOKUP($C$152,'DB animal categories'!$C$52:$AC$61,27,FALSE)*AJ153-'Calc (ex-housing, ex-storage)'!AC153,IF(AI153=4,('Calc (ex-animal)'!$L$32+'Calc (ex-animal)'!$K$32)*'Calc (ex-housing, ex-storage)'!F153/100*VLOOKUP(D153,'DB technologies'!$N$66:$Y$77,11,FALSE)/100/VLOOKUP($C$152,'DB animal categories'!$C$52:$AC$61,27,FALSE)*AJ153-AC153*VLOOKUP(D153,'DB technologies'!$N$66:$Y$77,11,FALSE)/100,0)))))</f>
        <v/>
      </c>
      <c r="AQ153" s="182" t="str">
        <f>IF(D153="","",IF(AI153=2,('Calc (ex-animal)'!$O$32*'Calc (ex-housing, ex-storage)'!F153/100+'Calc (ex-animal)'!$N$32*'Calc (ex-housing, ex-storage)'!F153/100)/VLOOKUP($C$152,'DB animal categories'!$C$52:$AC$61,27,FALSE)*AJ153+U153+V153+W153,IF(AI153=1,'Calc (ex-animal)'!$O$32*'Calc (ex-housing, ex-storage)'!F153/100/VLOOKUP($C$152,'DB animal categories'!$C$52:$AC$61,27,FALSE)*AJ153,IF(AI153=4,('Calc (ex-animal)'!$O$32+'Calc (ex-animal)'!$N$32)*'Calc (ex-housing, ex-storage)'!F153/100*VLOOKUP(D153,'DB technologies'!$N$66:$Y$77,11,FALSE)/100/VLOOKUP($C$152,'DB animal categories'!$C$52:$AC$61,27,FALSE)*AJ153,0))))</f>
        <v/>
      </c>
      <c r="AR153" s="182" t="str">
        <f>IF(D153="","",IF(AI153=2,('Calc (ex-animal)'!$R$32*'Calc (ex-housing, ex-storage)'!F153/100+'Calc (ex-animal)'!$Q$32*'Calc (ex-housing, ex-storage)'!F153/100)/VLOOKUP($C$152,'DB animal categories'!$C$52:$AC$61,27,FALSE)*AJ153+Y153+Z153+AA153,IF(AI153=1,'Calc (ex-animal)'!$R$32*'Calc (ex-housing, ex-storage)'!F153/100/VLOOKUP($C$152,'DB animal categories'!$C$52:$AC$61,27,FALSE)*AJ153,IF(AI153=4,('Calc (ex-animal)'!$R$32+'Calc (ex-animal)'!$Q$32)*'Calc (ex-housing, ex-storage)'!F153/100*VLOOKUP(D153,'DB technologies'!$N$66:$Y$77,11,FALSE)/100/VLOOKUP($C$152,'DB animal categories'!$C$52:$AC$61,27,FALSE)*AJ153,0))))</f>
        <v/>
      </c>
      <c r="AS153" s="181" t="str">
        <f>IF(D153="","",VLOOKUP(D153,'DB technologies'!$N$66:$Y$77,10,FALSE))</f>
        <v/>
      </c>
      <c r="AT153" s="442" t="str">
        <f>IF(AS153="","",AU153+AV153)</f>
        <v/>
      </c>
      <c r="AU153" s="442" t="str">
        <f>IF(D153="","",IF(AS153=2,0,IF(AS153=1,'Calc (ex-animal)'!$G$32*'DB additional information '!$K$9/100*(1-VLOOKUP(D153,'DB technologies'!$N$66:$Y$77,8,FALSE)/100)*'Calc (ex-housing, ex-storage)'!F153/100/VLOOKUP($C$152,'DB animal categories'!$C$52:$AC$61,27,FALSE)*AJ153+I153+J153+K153,IF(AS153=5,(('Calc (ex-animal)'!$G$32*'DB additional information '!$K$9/100+'Calc (ex-animal)'!$H$32*'DB additional information '!$L$9/100))*(1-VLOOKUP(D153,'DB technologies'!$N$66:$Y$77,9,FALSE)/100)*'Calc (ex-housing, ex-storage)'!F153/100/VLOOKUP($C$152,'DB animal categories'!$C$52:$AC$61,27,FALSE)*AJ153+I153+J153+K153,IF(AS153=3,('Calc (ex-animal)'!$G$32*'DB additional information '!$K$9/100+'Calc (ex-animal)'!$H$32*'DB additional information '!$L$9/100)*(1-VLOOKUP(D153,'DB technologies'!$N$66:$Y$77,9,FALSE)/100)*'Calc (ex-housing, ex-storage)'!F153/100/VLOOKUP($C$152,'DB animal categories'!$C$52:$AC$61,27,FALSE)*AJ153+I153+J153+K153,IF(AS153=4,('Calc (ex-animal)'!$G$32*'DB additional information '!$K$9/100+'Calc (ex-animal)'!$H$32*'DB additional information '!$L$9/100)*(1-VLOOKUP(D153,'DB technologies'!$N$66:$Y$77,9,FALSE)/100)*'Calc (ex-housing, ex-storage)'!F153/100*VLOOKUP(D153,'DB technologies'!$N$66:$Y$77,12,FALSE)/100/VLOOKUP($C$152,'DB animal categories'!$C$52:$AC$61,27,FALSE)*AJ153+I153+J153+K153,0))))))</f>
        <v/>
      </c>
      <c r="AV153" s="442" t="str">
        <f>IF(D153="","",IF(AS153=2,0,IF(AS153=1,'Calc (ex-animal)'!$G$32*(1-'DB additional information '!$K$9/100)*(1-VLOOKUP(D153,'DB technologies'!$N$66:$Y$77,8,FALSE)/100)*'Calc (ex-housing, ex-storage)'!F153/100/VLOOKUP($C$152,'DB animal categories'!$C$52:$AC$61,27,FALSE)*AJ153+M153+N153+O153,IF(AS153=5,('Calc (ex-animal)'!$G$32*(1-'DB additional information '!$K$9/100)+'Calc (ex-animal)'!$H$32*(1-'DB additional information '!$L$9/100))*(1-VLOOKUP(D153,'DB technologies'!$N$66:$Y$77,8,FALSE)/100)*'Calc (ex-housing, ex-storage)'!F153/100/VLOOKUP($C$152,'DB animal categories'!$C$52:$AC$61,27,FALSE)*AJ153+M153+N153+O153,IF(AS153=3,('Calc (ex-animal)'!$G$32*(1-'DB additional information '!$K$9/100)+'Calc (ex-animal)'!$H$32*(1-'DB additional information '!$L$9/100))*(1-VLOOKUP(D153,'DB technologies'!$N$66:$Y$77,8,FALSE)/100)*'Calc (ex-housing, ex-storage)'!F153/100/VLOOKUP($C$152,'DB animal categories'!$C$52:$AC$61,27,FALSE)*AJ153+M153+N153+O153,IF(AS153=4,('Calc (ex-animal)'!$G$32*(1-'DB additional information '!$K$9/100)+'Calc (ex-animal)'!$H$32*(1-'DB additional information '!$L$9/100))*(1-VLOOKUP(D153,'DB technologies'!$N$66:$Y$77,8,FALSE)/100)*'Calc (ex-housing, ex-storage)'!F153/100*VLOOKUP(D153,'DB technologies'!$N$66:$Y$77,12,FALSE)/100/VLOOKUP($C$152,'DB animal categories'!$C$52:$AC$61,27,FALSE)*AJ153+M153+N153+O153,0))))))</f>
        <v/>
      </c>
      <c r="AW153" s="442" t="str">
        <f>IF(AS153="","",IF(AU153=0,0,AU153/AT153*100))</f>
        <v/>
      </c>
      <c r="AX153" s="182" t="str">
        <f>IF(D153="","",IF(AS153=2,0,IF(AS153=1,'Calc (ex-animal)'!$K$32*'Calc (ex-housing, ex-storage)'!F153/100/VLOOKUP($C$152,'DB animal categories'!$C$52:$AC$61,27,FALSE)*AJ153+Q153+R153+S153,IF(AS153=5,('Calc (ex-animal)'!$K$32+'Calc (ex-animal)'!$L$32)*'Calc (ex-housing, ex-storage)'!F153/100/VLOOKUP($C$152,'DB animal categories'!$C$52:$AC$61,27,FALSE)*AJ153+Q153+R153+S153-'Calc (ex-housing, ex-storage)'!AC153,IF(AS153=3,('Calc (ex-animal)'!$K$32+'Calc (ex-animal)'!$L$32)*'Calc (ex-housing, ex-storage)'!F153/100/VLOOKUP($C$152,'DB animal categories'!$C$52:$AC$61,27,FALSE)*AJ153+Q153+R153+S153-'Calc (ex-housing, ex-storage)'!AC153-AD153-AE153,IF(AI153=4,('Calc (ex-animal)'!$K$32+'Calc (ex-animal)'!$L$32)*'Calc (ex-housing, ex-storage)'!F153/100*VLOOKUP(D153,'DB technologies'!$N$66:$Y$77,12,FALSE)/100/VLOOKUP($C$152,'DB animal categories'!$C$52:$AC$61,27,FALSE)*AJ153+Q153+R153+S153-(VLOOKUP(D153,'DB technologies'!$N$66:$Y$77,12,FALSE)/100*AC153)-AD153-AE153,0))))))</f>
        <v/>
      </c>
      <c r="AY153" s="182" t="str">
        <f>IF(D153="","",IF(AS153=2,0,IF(AS153=1,'Calc (ex-animal)'!$N$32*'Calc (ex-housing, ex-storage)'!F153/100/VLOOKUP($C$152,'DB animal categories'!$C$52:$AC$61,27,FALSE)*AJ153+U153+V153+W153,IF(AS153=5,('Calc (ex-animal)'!$N$32+'Calc (ex-animal)'!$O$32)*'Calc (ex-housing, ex-storage)'!F153/100/VLOOKUP($C$152,'DB animal categories'!$C$52:$AC$61,27,FALSE)*AJ153+U153+V153+W153,IF(AS153=3,('Calc (ex-animal)'!$N$32+'Calc (ex-animal)'!$O$32)*'Calc (ex-housing, ex-storage)'!F153/100/VLOOKUP($C$152,'DB animal categories'!$C$52:$AC$61,27,FALSE)*AJ153+U153+V153+W153,IF(AS153=4,('Calc (ex-animal)'!$N$32+'Calc (ex-animal)'!$O$32)*'Calc (ex-housing, ex-storage)'!F153/100*VLOOKUP(D153,'DB technologies'!$N$66:$Y$77,12,FALSE)/100/VLOOKUP($C$152,'DB animal categories'!$C$52:$AC$61,27,FALSE)*AJ153+U153+V153+W153,0))))))</f>
        <v/>
      </c>
      <c r="AZ153" s="182" t="str">
        <f>IF(D153="","",IF(AS153=2,0,IF(AS153=1,'Calc (ex-animal)'!$Q$32*'Calc (ex-housing, ex-storage)'!F153/100/VLOOKUP($C$152,'DB animal categories'!$C$52:$AC$61,27,FALSE)*AJ153+Y153+Z153+AA153,IF(AS153=5,('Calc (ex-animal)'!$Q$32+'Calc (ex-animal)'!$R$32)*'Calc (ex-housing, ex-storage)'!F153/100/VLOOKUP($C$152,'DB animal categories'!$C$52:$AC$61,27,FALSE)*AJ153+Y153+Z153+AA153,IF(AS153=3,('Calc (ex-animal)'!$Q$32+'Calc (ex-animal)'!$R$32)*'Calc (ex-housing, ex-storage)'!F153/100/VLOOKUP($C$152,'DB animal categories'!$C$52:$AC$61,27,FALSE)*AJ153+Y153+Z153+AA153,IF(AS153=4,('Calc (ex-animal)'!$Q$32+'Calc (ex-animal)'!$R$32)*'Calc (ex-housing, ex-storage)'!F153/100*VLOOKUP(D153,'DB technologies'!$N$66:$Y$77,12,FALSE)/100/VLOOKUP($C$152,'DB animal categories'!$C$52:$AC$61,27,FALSE)*AJ153+Y153+Z153+AA153,0))))))</f>
        <v/>
      </c>
      <c r="BA153" s="506"/>
      <c r="BB153" s="506"/>
      <c r="BC153" s="506"/>
    </row>
    <row r="154" spans="1:55" ht="11.25" customHeight="1" thickBot="1" x14ac:dyDescent="0.25">
      <c r="A154" s="684"/>
      <c r="B154" s="695"/>
      <c r="C154" s="251"/>
      <c r="D154" s="1357"/>
      <c r="E154" s="1358"/>
      <c r="F154" s="480" t="str">
        <f>IF('Calc (ex-animal)'!$F$9=1,"",IF($C$152=0,"",IF(D154="","",E154/'Calc (ex-animal)'!$E$32*100)))</f>
        <v/>
      </c>
      <c r="G154" s="485" t="str">
        <f>IF($C$152=0,"",IF('Calc (ex-animal)'!$F$8=1,"",IF(D154="","",SUM(H154:O154))))</f>
        <v/>
      </c>
      <c r="H154" s="423" t="str">
        <f>IF('Calc (ex-animal)'!$F$8=1,"",IF(D154="","",(((VLOOKUP($C$152,'Calc (ex-animal)'!$D$28:$Y$32,6,FALSE)-VLOOKUP($C$152,'Calc (ex-animal)'!$D$28:$Y$32,17,FALSE))*F154/100))*VLOOKUP($C$152,'Calc (ex-animal)'!$D$28:$Y$32,7,FALSE)/100*(1-VLOOKUP(D154,'DB technologies'!$N$66:$Y$77,9,FALSE)/100)))</f>
        <v/>
      </c>
      <c r="I154" s="423" t="str">
        <f>IF(D154="","",((VLOOKUP(D154,'DB technologies'!$N$66:$Y$77,2,FALSE)*VLOOKUP($C$152,'DB animal categories'!$C$52:$AC$61,27,FALSE)*E154/1000)/VLOOKUP($C$152,'DB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'!$S$6/100*(1-VLOOKUP(D154,'DB technologies'!$N$66:$Y$77,9,FALSE)/100)))</f>
        <v/>
      </c>
      <c r="J154" s="434" t="str">
        <f>IF(D154="","",((VLOOKUP(D154,'DB technologies'!$N$66:$Y$77,3,FALSE)*VLOOKUP($C$152,'DB animal categories'!$C$52:$AC$61,27,FALSE)*E154/1000)/VLOOKUP($C$152,'DB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'!$S$7/100*(1-VLOOKUP(D154,'DB technologies'!$N$66:$Y$77,9,FALSE)/100)))</f>
        <v/>
      </c>
      <c r="K154" s="434" t="str">
        <f>IF(D154="","",((VLOOKUP(D154,'DB technologies'!$N$66:$Y$77,4,FALSE)*E154*'DB additional information '!$S$8/100*(1-VLOOKUP(D154,'DB technologies'!$N$66:$Y$77,9,FALSE)/100))/VLOOKUP($C$152,'DB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L154" s="423" t="str">
        <f>IF('Calc (ex-animal)'!$F$8=1,"",IF(D154="","",(((VLOOKUP($C$152,'Calc (ex-animal)'!$D$28:$Y$32,6,FALSE)-VLOOKUP($C$152,'Calc (ex-animal)'!$D$28:$Y$32,17,FALSE))*F154/100))*(1-VLOOKUP($C$152,'Calc (ex-animal)'!$D$28:$Y$32,7,FALSE)/100)*(1-VLOOKUP(D154,'DB technologies'!$N$66:$V$77,8,FALSE)/100)))</f>
        <v/>
      </c>
      <c r="M154" s="434" t="str">
        <f>IF(D154="","",((VLOOKUP(D154,'DB technologies'!$N$66:$Y$77,2,FALSE)*VLOOKUP($C$152,'DB animal categories'!$C$52:$AC$61,27,FALSE)*E154/1000)/VLOOKUP($C$152,'DB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'!$S$6/100)*(1-VLOOKUP(D154,'DB technologies'!$N$66:$Y$77,9,FALSE)/100))</f>
        <v/>
      </c>
      <c r="N154" s="434" t="str">
        <f>IF(D154="","",((VLOOKUP(D154,'DB technologies'!$N$66:$Y$77,3,FALSE)*VLOOKUP($C$152,'DB animal categories'!$C$52:$AC$61,27,FALSE)*E154/1000)/VLOOKUP($C$152,'DB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'!$S$7/100)*(1-VLOOKUP(D154,'DB technologies'!$N$66:$Y$77,9,FALSE)/100))</f>
        <v/>
      </c>
      <c r="O154" s="423" t="str">
        <f>IF(D154="","",((VLOOKUP(D154,'DB technologies'!$N$66:$Y$77,4,FALSE)*E154*(1-'DB additional information '!$S$8/100)*(1-VLOOKUP(D154,'DB technologies'!$N$66:$Y$77,8,FALSE)/100))/VLOOKUP($C$152,'DB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P154" s="438" t="str">
        <f>IF(G154=0,0,IF(E154="","",IF(F154="","",IF($C$152=0,"",IF(D154="","",SUM(H154:K154)/G154*100)))))</f>
        <v/>
      </c>
      <c r="Q154" s="416" t="str">
        <f>IF(D154="","",(VLOOKUP(D154,'DB technologies'!$N$66:$Y$77,2,FALSE)*'DB additional information '!$S$6/100*'DB additional information '!$T$6*VLOOKUP($C$152,'DB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R154" s="416" t="str">
        <f>IF(D154="","",(VLOOKUP(D154,'DB technologies'!$N$66:$Y$77,3,FALSE)*'DB additional information '!$S$7/100*'DB additional information '!$T$7*VLOOKUP($C$152,'DB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S154" s="491" t="str">
        <f>IF(D154="","",(VLOOKUP(D154,'DB technologies'!$N$66:$Y$77,4,FALSE)*('DB additional information '!$S$8/100*'DB additional information '!$T$8*E154/1000/1000)))</f>
        <v/>
      </c>
      <c r="T154" s="264" t="str">
        <f>IF($C$152=0,"",IF('Calc (ex-animal)'!$F$9=1,"",IF(D154="","",((VLOOKUP($C$152,'Calc (ex-animal)'!$D$28:$Y$32,10,FALSE)-VLOOKUP($C$152,'Calc (ex-animal)'!$D$28:$Y$32,18,FALSE))*F154/100+Q154+R154+S154)-AC154-AD154-AE154)))</f>
        <v/>
      </c>
      <c r="U154" s="422" t="str">
        <f>IF(D154="","",(VLOOKUP(D154,'DB technologies'!$N$66:$Y$77,2,FALSE)*'DB additional information '!$S$6/100*'DB additional information '!$U$6*VLOOKUP($C$152,'DB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V154" s="418" t="str">
        <f>IF(D154="","",(VLOOKUP(D154,'DB technologies'!$N$66:$Y$77,3,FALSE)*'DB additional information '!$S$7/100*'DB additional information '!$U$7*VLOOKUP($C$152,'DB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W154" s="417" t="str">
        <f>IF(D154="","",(VLOOKUP(D154,'DB technologies'!$N$66:$Y$77,4,FALSE)*('DB additional information '!$S$8/100*'DB additional information '!$U$8*E154/1000/1000)))</f>
        <v/>
      </c>
      <c r="X154" s="261" t="str">
        <f>IF($C$152=0,"",IF('Calc (ex-animal)'!$F$9=1,"",IF(D154="","",((VLOOKUP($C$152,'Calc (ex-animal)'!$D$28:$Y$32,13,FALSE)-VLOOKUP($C$152,'Calc (ex-animal)'!$D$28:$Y$32,19,FALSE))*F154/100+U154+V154+W154))))</f>
        <v/>
      </c>
      <c r="Y154" s="418" t="str">
        <f>IF(D154="","",(VLOOKUP(D154,'DB technologies'!$N$66:$Y$77,2,FALSE)*'DB additional information '!$S$6/100*'DB additional information '!$V$6*VLOOKUP($C$152,'DB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Z154" s="418" t="str">
        <f>IF(D154="","",(VLOOKUP(D154,'DB technologies'!$N$66:$Y$77,3,FALSE)*'DB additional information '!$S$7/100*'DB additional information '!$V$7*VLOOKUP($C$152,'DB animal categories'!$C$52:$AC$61,27,FALSE)*E154/1000/1000)/VLOOKUP($C$152,'DB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AA154" s="418" t="str">
        <f>IF(D154="","",(VLOOKUP(D154,'DB technologies'!$N$66:$Y$77,4,FALSE)*('DB additional information '!$S$8/100*'DB additional information '!$V$8*E154/1000/1000)))</f>
        <v/>
      </c>
      <c r="AB154" s="261" t="str">
        <f>IF($C$152=0,"",IF('Calc (ex-animal)'!$F$8=1,"",IF(D154="","",((VLOOKUP($C$152,'Calc (ex-animal)'!$D$28:$Y$32,16,FALSE)-VLOOKUP($C$152,'Calc (ex-animal)'!$D$28:$Y$32,20,FALSE))*F154/100+Y154+Z154+AA154))))</f>
        <v/>
      </c>
      <c r="AC154" s="261" t="str">
        <f>IF($C$152=0,"",IF('Calc (ex-animal)'!$F$8=1,"",IF(D154="","",VLOOKUP($C$152,'Calc (ex-animal)'!$D$28:$Y$32,9,FALSE)/VLOOKUP($C$152,'DB animal categories'!$C$52:$AC$61,27,FALSE)*(VLOOKUP($C$152,'DB animal categories'!$C$52:$AC$61,27,FALSE)-VLOOKUP($C$152,'DB animal categories'!$C$52:$AC$61,25,FALSE)*VLOOKUP($C$152,'DB animal categories'!$C$52:$AC$61,26,FALSE)/24)*F154/100*VLOOKUP(D154,'DB technologies'!$N$66:$R$77,5,FALSE)/100)))</f>
        <v/>
      </c>
      <c r="AD154" s="261" t="str">
        <f>IF($C$152=0,"",IF('Calc (ex-animal)'!$F$8=1,"",IF(D154="","",VLOOKUP($C$152,'Calc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categories'!$C$52:$AC$61,26,FALSE)/24)*F154/100*VLOOKUP(D154,'DB technologies'!$N$66:$Y$77,6,FALSE)/100)))</f>
        <v/>
      </c>
      <c r="AE154" s="262" t="str">
        <f>IF($C$152=0,"",IF('Calc (ex-animal)'!$F$8=1,"",IF(D154="","",VLOOKUP($C$152,'Calc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categories'!$C$52:$AC$61,26,FALSE)/24)*F154/100*VLOOKUP(D154,'DB technologies'!$N$66:$Y$77,7,FALSE)/100)))</f>
        <v/>
      </c>
      <c r="AI154" s="181" t="str">
        <f>IF(D154="","",VLOOKUP(D154,'DB technologies'!$N$66:$Y$77,10,FALSE))</f>
        <v/>
      </c>
      <c r="AJ154" s="449" t="e">
        <f>VLOOKUP($C$152,'DB animal categories'!$C$52:$AN$61,27,FALSE)-VLOOKUP($C$152,'DB animal categories'!$C$52:$AN$61,26,FALSE)*VLOOKUP($C$152,'DB animal categories'!$C$52:$AN$61,25,FALSE)/24</f>
        <v>#N/A</v>
      </c>
      <c r="AK154" s="442" t="str">
        <f>IF(AI154="","",AL154+AM154)</f>
        <v/>
      </c>
      <c r="AL154" s="442" t="str">
        <f>IF(D154="","",IF(AI154=2,(('Calc (ex-animal)'!$G$32*'DB additional information '!$K$9/100*(1-VLOOKUP(D154,'DB technologies'!$N$66:$Y$77,9,FALSE)/100)*'Calc (ex-housing, ex-storage)'!F154/100+'Calc (ex-animal)'!$H$32*'DB additional information '!$L$9/100*(1-VLOOKUP(D154,'DB technologies'!$N$66:$Y$77,9,FALSE)/100)*'Calc (ex-housing, ex-storage)'!F154/100))/VLOOKUP($C$152,'DB animal categories'!$C$52:$AC$61,27,FALSE)*AJ154+I154+J154+K154,IF(AI154=1,('Calc (ex-animal)'!$H$32*'DB additional information '!$L$9/100*(1-VLOOKUP(D154,'DB technologies'!$N$66:$Y$77,9,FALSE)/100)*'Calc (ex-housing, ex-storage)'!F154/100)/VLOOKUP($C$152,'DB animal categories'!$C$52:$AC$61,27,FALSE)*AJ154,IF(AI154=4,('Calc (ex-animal)'!$G$32*'DB additional information '!$K$9/100+'Calc (ex-animal)'!$H$32*'DB additional information '!$L$9/100)*(1-VLOOKUP(D154,'DB technologies'!$N$66:$Y$77,9,FALSE)/100)*'Calc (ex-housing, ex-storage)'!F154/100*VLOOKUP(D154,'DB technologies'!$N$66:$Y$77,11,FALSE)/100/VLOOKUP($C$152,'DB animal categories'!$C$52:$AC$61,27,FALSE)*AJ154,0))))</f>
        <v/>
      </c>
      <c r="AM154" s="442" t="str">
        <f>IF(D154="","",IF(AI154=2,(('Calc (ex-animal)'!$G$32*(1-'DB additional information '!$K$9/100)*(1-VLOOKUP(D154,'DB technologies'!$N$66:$Y$77,8,FALSE)/100)*'Calc (ex-housing, ex-storage)'!F154/100+'Calc (ex-animal)'!$H$32*(1-'DB additional information '!$L$9/100)*(1-VLOOKUP(D154,'DB technologies'!$N$66:$Y$77,8,FALSE)/100)*'Calc (ex-housing, ex-storage)'!F154/100))/VLOOKUP($C$152,'DB animal categories'!$C$52:$AC$61,27,FALSE)*AJ154+M154+N154+O154,IF(AI154=1,('Calc (ex-animal)'!$H$32*(1-'DB additional information '!$L$9/100)*(1-VLOOKUP(D154,'DB technologies'!$N$66:$Y$77,8,FALSE)/100)*'Calc (ex-housing, ex-storage)'!F154/100)/VLOOKUP($C$152,'DB animal categories'!$C$52:$AC$61,27,FALSE)*AJ154,IF(AI154=4,('Calc (ex-animal)'!$G$32*(1-'DB additional information '!$K$9/100)+'Calc (ex-animal)'!$H$32*(1-'DB additional information '!$L$9/100))*(1-VLOOKUP(D154,'DB technologies'!$N$66:$Y$77,8,FALSE)/100)*'Calc (ex-housing, ex-storage)'!F154/100*VLOOKUP(D154,'DB technologies'!$N$66:$Y$77,11,FALSE)/100/VLOOKUP($C$152,'DB animal categories'!$C$52:$AC$61,27,FALSE)*AJ154,0))))</f>
        <v/>
      </c>
      <c r="AN154" s="442" t="str">
        <f>IF(AI154="","",IF(AL154=0,0,AL154/AK154*100))</f>
        <v/>
      </c>
      <c r="AO154" s="182" t="str">
        <f>IF(D154="","",IF(AI154=2,(('Calc (ex-animal)'!$L$32*'Calc (ex-housing, ex-storage)'!F154/100+'Calc (ex-animal)'!$K$32*'Calc (ex-housing, ex-storage)'!F154/100))/VLOOKUP($C$152,'DB animal categories'!$C$52:$AC$61,27,FALSE)*AJ154+Q154+R154+S154-AC154,IF(AI154=1,('Calc (ex-animal)'!$L$32*'Calc (ex-housing, ex-storage)'!F154/100)/VLOOKUP($C$152,'DB animal categories'!$C$52:$AC$61,27,FALSE)*AJ154-'Calc (ex-housing, ex-storage)'!AC154,IF(AI154=4,('Calc (ex-animal)'!$L$32+'Calc (ex-animal)'!$K$32)*'Calc (ex-housing, ex-storage)'!F154/100*VLOOKUP(D154,'DB technologies'!$N$66:$Y$77,11,FALSE)/100/VLOOKUP($C$152,'DB animal categories'!$C$52:$AC$61,27,FALSE)*AJ154-AC154*VLOOKUP(D154,'DB technologies'!$N$66:$Y$77,11,FALSE)/100,0))))</f>
        <v/>
      </c>
      <c r="AP154" s="182" t="str">
        <f>IF(D154="","",IF(AO154&lt;-0.01,0,IF(AI154=2,(('Calc (ex-animal)'!$L$32*'Calc (ex-housing, ex-storage)'!F154/100+'Calc (ex-animal)'!$K$32*'Calc (ex-housing, ex-storage)'!F154/100))/VLOOKUP($C$152,'DB animal categories'!$C$52:$AC$61,27,FALSE)*AJ154+Q154+R154+S154-AC154,IF(AI154=1,('Calc (ex-animal)'!$L$32*'Calc (ex-housing, ex-storage)'!F154/100)/VLOOKUP($C$152,'DB animal categories'!$C$52:$AC$61,27,FALSE)*AJ154-'Calc (ex-housing, ex-storage)'!AC154,IF(AI154=4,('Calc (ex-animal)'!$L$32+'Calc (ex-animal)'!$K$32)*'Calc (ex-housing, ex-storage)'!F154/100*VLOOKUP(D154,'DB technologies'!$N$66:$Y$77,11,FALSE)/100/VLOOKUP($C$152,'DB animal categories'!$C$52:$AC$61,27,FALSE)*AJ154-AC154*VLOOKUP(D154,'DB technologies'!$N$66:$Y$77,11,FALSE)/100,0)))))</f>
        <v/>
      </c>
      <c r="AQ154" s="182" t="str">
        <f>IF(D154="","",IF(AI154=2,('Calc (ex-animal)'!$O$32*'Calc (ex-housing, ex-storage)'!F154/100+'Calc (ex-animal)'!$N$32*'Calc (ex-housing, ex-storage)'!F154/100)/VLOOKUP($C$152,'DB animal categories'!$C$52:$AC$61,27,FALSE)*AJ154+U154+V154+W154,IF(AI154=1,'Calc (ex-animal)'!$O$32*'Calc (ex-housing, ex-storage)'!F154/100/VLOOKUP($C$152,'DB animal categories'!$C$52:$AC$61,27,FALSE)*AJ154,IF(AI154=4,('Calc (ex-animal)'!$O$32+'Calc (ex-animal)'!$N$32)*'Calc (ex-housing, ex-storage)'!F154/100*VLOOKUP(D154,'DB technologies'!$N$66:$Y$77,11,FALSE)/100/VLOOKUP($C$152,'DB animal categories'!$C$52:$AC$61,27,FALSE)*AJ154,0))))</f>
        <v/>
      </c>
      <c r="AR154" s="182" t="str">
        <f>IF(D154="","",IF(AI154=2,('Calc (ex-animal)'!$R$32*'Calc (ex-housing, ex-storage)'!F154/100+'Calc (ex-animal)'!$Q$32*'Calc (ex-housing, ex-storage)'!F154/100)/VLOOKUP($C$152,'DB animal categories'!$C$52:$AC$61,27,FALSE)*AJ154+Y154+Z154+AA154,IF(AI154=1,'Calc (ex-animal)'!$R$32*'Calc (ex-housing, ex-storage)'!F154/100/VLOOKUP($C$152,'DB animal categories'!$C$52:$AC$61,27,FALSE)*AJ154,IF(AI154=4,('Calc (ex-animal)'!$R$32+'Calc (ex-animal)'!$Q$32)*'Calc (ex-housing, ex-storage)'!F154/100*VLOOKUP(D154,'DB technologies'!$N$66:$Y$77,11,FALSE)/100/VLOOKUP($C$152,'DB animal categories'!$C$52:$AC$61,27,FALSE)*AJ154,0))))</f>
        <v/>
      </c>
      <c r="AS154" s="181" t="str">
        <f>IF(D154="","",VLOOKUP(D154,'DB technologies'!$N$66:$Y$77,10,FALSE))</f>
        <v/>
      </c>
      <c r="AT154" s="442" t="str">
        <f>IF(AS154="","",AU154+AV154)</f>
        <v/>
      </c>
      <c r="AU154" s="442" t="str">
        <f>IF(D154="","",IF(AS154=2,0,IF(AS154=1,'Calc (ex-animal)'!$G$32*'DB additional information '!$K$9/100*(1-VLOOKUP(D154,'DB technologies'!$N$66:$Y$77,8,FALSE)/100)*'Calc (ex-housing, ex-storage)'!F154/100/VLOOKUP($C$152,'DB animal categories'!$C$52:$AC$61,27,FALSE)*AJ154+I154+J154+K154,IF(AS154=5,(('Calc (ex-animal)'!$G$32*'DB additional information '!$K$9/100+'Calc (ex-animal)'!$H$32*'DB additional information '!$L$9/100))*(1-VLOOKUP(D154,'DB technologies'!$N$66:$Y$77,9,FALSE)/100)*'Calc (ex-housing, ex-storage)'!F154/100/VLOOKUP($C$152,'DB animal categories'!$C$52:$AC$61,27,FALSE)*AJ154+I154+J154+K154,IF(AS154=3,('Calc (ex-animal)'!$G$32*'DB additional information '!$K$9/100+'Calc (ex-animal)'!$H$32*'DB additional information '!$L$9/100)*(1-VLOOKUP(D154,'DB technologies'!$N$66:$Y$77,9,FALSE)/100)*'Calc (ex-housing, ex-storage)'!F154/100/VLOOKUP($C$152,'DB animal categories'!$C$52:$AC$61,27,FALSE)*AJ154+I154+J154+K154,IF(AS154=4,('Calc (ex-animal)'!$G$32*'DB additional information '!$K$9/100+'Calc (ex-animal)'!$H$32*'DB additional information '!$L$9/100)*(1-VLOOKUP(D154,'DB technologies'!$N$66:$Y$77,9,FALSE)/100)*'Calc (ex-housing, ex-storage)'!F154/100*VLOOKUP(D154,'DB technologies'!$N$66:$Y$77,12,FALSE)/100/VLOOKUP($C$152,'DB animal categories'!$C$52:$AC$61,27,FALSE)*AJ154+I154+J154+K154,0))))))</f>
        <v/>
      </c>
      <c r="AV154" s="442" t="str">
        <f>IF(D154="","",IF(AS154=2,0,IF(AS154=1,'Calc (ex-animal)'!$G$32*(1-'DB additional information '!$K$9/100)*(1-VLOOKUP(D154,'DB technologies'!$N$66:$Y$77,8,FALSE)/100)*'Calc (ex-housing, ex-storage)'!F154/100/VLOOKUP($C$152,'DB animal categories'!$C$52:$AC$61,27,FALSE)*AJ154+M154+N154+O154,IF(AS154=5,('Calc (ex-animal)'!$G$32*(1-'DB additional information '!$K$9/100)+'Calc (ex-animal)'!$H$32*(1-'DB additional information '!$L$9/100))*(1-VLOOKUP(D154,'DB technologies'!$N$66:$Y$77,8,FALSE)/100)*'Calc (ex-housing, ex-storage)'!F154/100/VLOOKUP($C$152,'DB animal categories'!$C$52:$AC$61,27,FALSE)*AJ154+M154+N154+O154,IF(AS154=3,('Calc (ex-animal)'!$G$32*(1-'DB additional information '!$K$9/100)+'Calc (ex-animal)'!$H$32*(1-'DB additional information '!$L$9/100))*(1-VLOOKUP(D154,'DB technologies'!$N$66:$Y$77,8,FALSE)/100)*'Calc (ex-housing, ex-storage)'!F154/100/VLOOKUP($C$152,'DB animal categories'!$C$52:$AC$61,27,FALSE)*AJ154+M154+N154+O154,IF(AS154=4,('Calc (ex-animal)'!$G$32*(1-'DB additional information '!$K$9/100)+'Calc (ex-animal)'!$H$32*(1-'DB additional information '!$L$9/100))*(1-VLOOKUP(D154,'DB technologies'!$N$66:$Y$77,8,FALSE)/100)*'Calc (ex-housing, ex-storage)'!F154/100*VLOOKUP(D154,'DB technologies'!$N$66:$Y$77,12,FALSE)/100/VLOOKUP($C$152,'DB animal categories'!$C$52:$AC$61,27,FALSE)*AJ154+M154+N154+O154,0))))))</f>
        <v/>
      </c>
      <c r="AW154" s="442" t="str">
        <f>IF(AS154="","",IF(AU154=0,0,AU154/AT154*100))</f>
        <v/>
      </c>
      <c r="AX154" s="182" t="str">
        <f>IF(D154="","",IF(AS154=2,0,IF(AS154=1,'Calc (ex-animal)'!$K$32*'Calc (ex-housing, ex-storage)'!F154/100/VLOOKUP($C$152,'DB animal categories'!$C$52:$AC$61,27,FALSE)*AJ154+Q154+R154+S154,IF(AS154=5,('Calc (ex-animal)'!$K$32+'Calc (ex-animal)'!$L$32)*'Calc (ex-housing, ex-storage)'!F154/100/VLOOKUP($C$152,'DB animal categories'!$C$52:$AC$61,27,FALSE)*AJ154+Q154+R154+S154-'Calc (ex-housing, ex-storage)'!AC154,IF(AS154=3,('Calc (ex-animal)'!$K$32+'Calc (ex-animal)'!$L$32)*'Calc (ex-housing, ex-storage)'!F154/100/VLOOKUP($C$152,'DB animal categories'!$C$52:$AC$61,27,FALSE)*AJ154+Q154+R154+S154-'Calc (ex-housing, ex-storage)'!AC154-AD154-AE154,IF(AI154=4,('Calc (ex-animal)'!$K$32+'Calc (ex-animal)'!$L$32)*'Calc (ex-housing, ex-storage)'!F154/100*VLOOKUP(D154,'DB technologies'!$N$66:$Y$77,12,FALSE)/100/VLOOKUP($C$152,'DB animal categories'!$C$52:$AC$61,27,FALSE)*AJ154+Q154+R154+S154-(VLOOKUP(D154,'DB technologies'!$N$66:$Y$77,12,FALSE)/100*AC154)-AD154-AE154,0))))))</f>
        <v/>
      </c>
      <c r="AY154" s="182" t="str">
        <f>IF(D154="","",IF(AS154=2,0,IF(AS154=1,'Calc (ex-animal)'!$N$32*'Calc (ex-housing, ex-storage)'!F154/100/VLOOKUP($C$152,'DB animal categories'!$C$52:$AC$61,27,FALSE)*AJ154+U154+V154+W154,IF(AS154=5,('Calc (ex-animal)'!$N$32+'Calc (ex-animal)'!$O$32)*'Calc (ex-housing, ex-storage)'!F154/100/VLOOKUP($C$152,'DB animal categories'!$C$52:$AC$61,27,FALSE)*AJ154+U154+V154+W154,IF(AS154=3,('Calc (ex-animal)'!$N$32+'Calc (ex-animal)'!$O$32)*'Calc (ex-housing, ex-storage)'!F154/100/VLOOKUP($C$152,'DB animal categories'!$C$52:$AC$61,27,FALSE)*AJ154+U154+V154+W154,IF(AS154=4,('Calc (ex-animal)'!$N$32+'Calc (ex-animal)'!$O$32)*'Calc (ex-housing, ex-storage)'!F154/100*VLOOKUP(D154,'DB technologies'!$N$66:$Y$77,12,FALSE)/100/VLOOKUP($C$152,'DB animal categories'!$C$52:$AC$61,27,FALSE)*AJ154+U154+V154+W154,0))))))</f>
        <v/>
      </c>
      <c r="AZ154" s="182" t="str">
        <f>IF(D154="","",IF(AS154=2,0,IF(AS154=1,'Calc (ex-animal)'!$Q$32*'Calc (ex-housing, ex-storage)'!F154/100/VLOOKUP($C$152,'DB animal categories'!$C$52:$AC$61,27,FALSE)*AJ154+Y154+Z154+AA154,IF(AS154=5,('Calc (ex-animal)'!$Q$32+'Calc (ex-animal)'!$R$32)*'Calc (ex-housing, ex-storage)'!F154/100/VLOOKUP($C$152,'DB animal categories'!$C$52:$AC$61,27,FALSE)*AJ154+Y154+Z154+AA154,IF(AS154=3,('Calc (ex-animal)'!$Q$32+'Calc (ex-animal)'!$R$32)*'Calc (ex-housing, ex-storage)'!F154/100/VLOOKUP($C$152,'DB animal categories'!$C$52:$AC$61,27,FALSE)*AJ154+Y154+Z154+AA154,IF(AS154=4,('Calc (ex-animal)'!$Q$32+'Calc (ex-animal)'!$R$32)*'Calc (ex-housing, ex-storage)'!F154/100*VLOOKUP(D154,'DB technologies'!$N$66:$Y$77,12,FALSE)/100/VLOOKUP($C$152,'DB animal categories'!$C$52:$AC$61,27,FALSE)*AJ154+Y154+Z154+AA154,0))))))</f>
        <v/>
      </c>
      <c r="BA154" s="506"/>
      <c r="BB154" s="506"/>
      <c r="BC154" s="506"/>
    </row>
    <row r="155" spans="1:55" ht="11.25" customHeight="1" x14ac:dyDescent="0.2">
      <c r="A155" s="684"/>
      <c r="B155" s="695"/>
      <c r="C155" s="251"/>
      <c r="D155" s="1357"/>
      <c r="E155" s="1358"/>
      <c r="F155" s="480" t="str">
        <f>IF('Calc (ex-animal)'!$F$9=1,"",IF($C$152=0,"",IF(D155="","",E155/'Calc (ex-animal)'!$E$32*100)))</f>
        <v/>
      </c>
      <c r="G155" s="485" t="str">
        <f>IF($C$152=0,"",IF('Calc (ex-animal)'!$F$8=1,"",IF(D155="","",SUM(H155:O155))))</f>
        <v/>
      </c>
      <c r="H155" s="423" t="str">
        <f>IF('Calc (ex-animal)'!$F$8=1,"",IF(D155="","",(((VLOOKUP($C$152,'Calc (ex-animal)'!$D$28:$Y$32,6,FALSE)-VLOOKUP($C$152,'Calc (ex-animal)'!$D$28:$Y$32,17,FALSE))*F155/100))*VLOOKUP($C$152,'Calc (ex-animal)'!$D$28:$Y$32,7,FALSE)/100*(1-VLOOKUP(D155,'DB technologies'!$N$66:$Y$77,9,FALSE)/100)))</f>
        <v/>
      </c>
      <c r="I155" s="423" t="str">
        <f>IF(D155="","",((VLOOKUP(D155,'DB technologies'!$N$66:$Y$77,2,FALSE)*VLOOKUP($C$152,'DB animal categories'!$C$52:$AC$61,27,FALSE)*E155/1000)/VLOOKUP($C$152,'DB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'!$S$6/100*(1-VLOOKUP(D155,'DB technologies'!$N$66:$Y$77,9,FALSE)/100)))</f>
        <v/>
      </c>
      <c r="J155" s="434" t="str">
        <f>IF(D155="","",((VLOOKUP(D155,'DB technologies'!$N$66:$Y$77,3,FALSE)*VLOOKUP($C$152,'DB animal categories'!$C$52:$AC$61,27,FALSE)*E155/1000)/VLOOKUP($C$152,'DB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'!$S$7/100*(1-VLOOKUP(D155,'DB technologies'!$N$66:$Y$77,9,FALSE)/100)))</f>
        <v/>
      </c>
      <c r="K155" s="434" t="str">
        <f>IF(D155="","",((VLOOKUP(D155,'DB technologies'!$N$66:$Y$77,4,FALSE)*E155*'DB additional information '!$S$8/100*(1-VLOOKUP(D155,'DB technologies'!$N$66:$Y$77,9,FALSE)/100))/VLOOKUP($C$152,'DB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L155" s="423" t="str">
        <f>IF('Calc (ex-animal)'!$F$8=1,"",IF(D155="","",(((VLOOKUP($C$152,'Calc (ex-animal)'!$D$28:$Y$32,6,FALSE)-VLOOKUP($C$152,'Calc (ex-animal)'!$D$28:$Y$32,17,FALSE))*F155/100))*(1-VLOOKUP($C$152,'Calc (ex-animal)'!$D$28:$Y$32,7,FALSE)/100)*(1-VLOOKUP(D155,'DB technologies'!$N$66:$V$77,8,FALSE)/100)))</f>
        <v/>
      </c>
      <c r="M155" s="434" t="str">
        <f>IF(D155="","",((VLOOKUP(D155,'DB technologies'!$N$66:$Y$77,2,FALSE)*VLOOKUP($C$152,'DB animal categories'!$C$52:$AC$61,27,FALSE)*E155/1000)/VLOOKUP($C$152,'DB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'!$S$6/100)*(1-VLOOKUP(D155,'DB technologies'!$N$66:$Y$77,9,FALSE)/100))</f>
        <v/>
      </c>
      <c r="N155" s="434" t="str">
        <f>IF(D155="","",((VLOOKUP(D155,'DB technologies'!$N$66:$Y$77,3,FALSE)*VLOOKUP($C$152,'DB animal categories'!$C$52:$AC$61,27,FALSE)*E155/1000)/VLOOKUP($C$152,'DB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'!$S$7/100)*(1-VLOOKUP(D155,'DB technologies'!$N$66:$Y$77,9,FALSE)/100))</f>
        <v/>
      </c>
      <c r="O155" s="423" t="str">
        <f>IF(D155="","",((VLOOKUP(D155,'DB technologies'!$N$66:$Y$77,4,FALSE)*E155*(1-'DB additional information '!$S$8/100)*(1-VLOOKUP(D155,'DB technologies'!$N$66:$Y$77,8,FALSE)/100))/VLOOKUP($C$152,'DB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P155" s="438" t="str">
        <f>IF(G155=0,0,IF(E155="","",IF(F155="","",IF($C$152=0,"",IF(D155="","",SUM(H155:K155)/G155*100)))))</f>
        <v/>
      </c>
      <c r="Q155" s="416" t="str">
        <f>IF(D155="","",(VLOOKUP(D155,'DB technologies'!$N$66:$Y$77,2,FALSE)*'DB additional information '!$S$6/100*'DB additional information '!$T$6*VLOOKUP($C$152,'DB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R155" s="416" t="str">
        <f>IF(D155="","",(VLOOKUP(D155,'DB technologies'!$N$66:$Y$77,3,FALSE)*'DB additional information '!$S$7/100*'DB additional information '!$T$7*VLOOKUP($C$152,'DB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S155" s="491" t="str">
        <f>IF(D155="","",(VLOOKUP(D155,'DB technologies'!$N$66:$Y$77,4,FALSE)*('DB additional information '!$S$8/100*'DB additional information '!$T$8*E155/1000/1000)))</f>
        <v/>
      </c>
      <c r="T155" s="264" t="str">
        <f>IF($C$152=0,"",IF('Calc (ex-animal)'!$F$9=1,"",IF(D155="","",((VLOOKUP($C$152,'Calc (ex-animal)'!$D$28:$Y$32,10,FALSE)-VLOOKUP($C$152,'Calc (ex-animal)'!$D$28:$Y$32,18,FALSE))*F155/100+Q155+R155+S155)-AC155-AD155-AE155)))</f>
        <v/>
      </c>
      <c r="U155" s="422" t="str">
        <f>IF(D155="","",(VLOOKUP(D155,'DB technologies'!$N$66:$Y$77,2,FALSE)*'DB additional information '!$S$6/100*'DB additional information '!$U$6*VLOOKUP($C$152,'DB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V155" s="418" t="str">
        <f>IF(D155="","",(VLOOKUP(D155,'DB technologies'!$N$66:$Y$77,3,FALSE)*'DB additional information '!$S$7/100*'DB additional information '!$U$7*VLOOKUP($C$152,'DB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W155" s="417" t="str">
        <f>IF(D155="","",(VLOOKUP(D155,'DB technologies'!$N$66:$Y$77,4,FALSE)*('DB additional information '!$S$8/100*'DB additional information '!$U$8*E155/1000/1000)))</f>
        <v/>
      </c>
      <c r="X155" s="261" t="str">
        <f>IF($C$152=0,"",IF('Calc (ex-animal)'!$F$9=1,"",IF(D155="","",((VLOOKUP($C$152,'Calc (ex-animal)'!$D$28:$Y$32,13,FALSE)-VLOOKUP($C$152,'Calc (ex-animal)'!$D$28:$Y$32,19,FALSE))*F155/100+U155+V155+W155))))</f>
        <v/>
      </c>
      <c r="Y155" s="418" t="str">
        <f>IF(D155="","",(VLOOKUP(D155,'DB technologies'!$N$66:$Y$77,2,FALSE)*'DB additional information '!$S$6/100*'DB additional information '!$V$6*VLOOKUP($C$152,'DB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Z155" s="418" t="str">
        <f>IF(D155="","",(VLOOKUP(D155,'DB technologies'!$N$66:$Y$77,3,FALSE)*'DB additional information '!$S$7/100*'DB additional information '!$V$7*VLOOKUP($C$152,'DB animal categories'!$C$52:$AC$61,27,FALSE)*E155/1000/1000)/VLOOKUP($C$152,'DB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AA155" s="418" t="str">
        <f>IF(D155="","",(VLOOKUP(D155,'DB technologies'!$N$66:$Y$77,4,FALSE)*('DB additional information '!$S$8/100*'DB additional information '!$V$8*E155/1000/1000)))</f>
        <v/>
      </c>
      <c r="AB155" s="261" t="str">
        <f>IF($C$152=0,"",IF('Calc (ex-animal)'!$F$8=1,"",IF(D155="","",((VLOOKUP($C$152,'Calc (ex-animal)'!$D$28:$Y$32,16,FALSE)-VLOOKUP($C$152,'Calc (ex-animal)'!$D$28:$Y$32,20,FALSE))*F155/100+Y155+Z155+AA155))))</f>
        <v/>
      </c>
      <c r="AC155" s="261" t="str">
        <f>IF($C$152=0,"",IF('Calc (ex-animal)'!$F$8=1,"",IF(D155="","",VLOOKUP($C$152,'Calc (ex-animal)'!$D$28:$Y$32,9,FALSE)/VLOOKUP($C$152,'DB animal categories'!$C$52:$AC$61,27,FALSE)*(VLOOKUP($C$152,'DB animal categories'!$C$52:$AC$61,27,FALSE)-VLOOKUP($C$152,'DB animal categories'!$C$52:$AC$61,25,FALSE)*VLOOKUP($C$152,'DB animal categories'!$C$52:$AC$61,26,FALSE)/24)*F155/100*VLOOKUP(D155,'DB technologies'!$N$66:$R$77,5,FALSE)/100)))</f>
        <v/>
      </c>
      <c r="AD155" s="261" t="str">
        <f>IF($C$152=0,"",IF('Calc (ex-animal)'!$F$8=1,"",IF(D155="","",VLOOKUP($C$152,'Calc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categories'!$C$52:$AC$61,26,FALSE)/24)*F155/100*VLOOKUP(D155,'DB technologies'!$N$66:$Y$77,6,FALSE)/100)))</f>
        <v/>
      </c>
      <c r="AE155" s="262" t="str">
        <f>IF($C$152=0,"",IF('Calc (ex-animal)'!$F$8=1,"",IF(D155="","",VLOOKUP($C$152,'Calc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categories'!$C$52:$AC$61,26,FALSE)/24)*F155/100*VLOOKUP(D155,'DB technologies'!$N$66:$Y$77,7,FALSE)/100)))</f>
        <v/>
      </c>
      <c r="AG155" s="739" t="s">
        <v>170</v>
      </c>
      <c r="AH155" s="723" t="s">
        <v>171</v>
      </c>
      <c r="AI155" s="181" t="str">
        <f>IF(D155="","",VLOOKUP(D155,'DB technologies'!$N$66:$Y$77,10,FALSE))</f>
        <v/>
      </c>
      <c r="AJ155" s="449" t="e">
        <f>VLOOKUP($C$152,'DB animal categories'!$C$52:$AN$61,27,FALSE)-VLOOKUP($C$152,'DB animal categories'!$C$52:$AN$61,26,FALSE)*VLOOKUP($C$152,'DB animal categories'!$C$52:$AN$61,25,FALSE)/24</f>
        <v>#N/A</v>
      </c>
      <c r="AK155" s="442" t="str">
        <f>IF(AI155="","",AL155+AM155)</f>
        <v/>
      </c>
      <c r="AL155" s="442" t="str">
        <f>IF(D155="","",IF(AI155=2,(('Calc (ex-animal)'!$G$32*'DB additional information '!$K$9/100*(1-VLOOKUP(D155,'DB technologies'!$N$66:$Y$77,9,FALSE)/100)*'Calc (ex-housing, ex-storage)'!F155/100+'Calc (ex-animal)'!$H$32*'DB additional information '!$L$9/100*(1-VLOOKUP(D155,'DB technologies'!$N$66:$Y$77,9,FALSE)/100)*'Calc (ex-housing, ex-storage)'!F155/100))/VLOOKUP($C$152,'DB animal categories'!$C$52:$AC$61,27,FALSE)*AJ155+I155+J155+K155,IF(AI155=1,('Calc (ex-animal)'!$H$32*'DB additional information '!$L$9/100*(1-VLOOKUP(D155,'DB technologies'!$N$66:$Y$77,9,FALSE)/100)*'Calc (ex-housing, ex-storage)'!F155/100)/VLOOKUP($C$152,'DB animal categories'!$C$52:$AC$61,27,FALSE)*AJ155,IF(AI155=4,('Calc (ex-animal)'!$G$32*'DB additional information '!$K$9/100+'Calc (ex-animal)'!$H$32*'DB additional information '!$L$9/100)*(1-VLOOKUP(D155,'DB technologies'!$N$66:$Y$77,9,FALSE)/100)*'Calc (ex-housing, ex-storage)'!F155/100*VLOOKUP(D155,'DB technologies'!$N$66:$Y$77,11,FALSE)/100/VLOOKUP($C$152,'DB animal categories'!$C$52:$AC$61,27,FALSE)*AJ155,0))))</f>
        <v/>
      </c>
      <c r="AM155" s="442" t="str">
        <f>IF(D155="","",IF(AI155=2,(('Calc (ex-animal)'!$G$32*(1-'DB additional information '!$K$9/100)*(1-VLOOKUP(D155,'DB technologies'!$N$66:$Y$77,8,FALSE)/100)*'Calc (ex-housing, ex-storage)'!F155/100+'Calc (ex-animal)'!$H$32*(1-'DB additional information '!$L$9/100)*(1-VLOOKUP(D155,'DB technologies'!$N$66:$Y$77,8,FALSE)/100)*'Calc (ex-housing, ex-storage)'!F155/100))/VLOOKUP($C$152,'DB animal categories'!$C$52:$AC$61,27,FALSE)*AJ155+M155+N155+O155,IF(AI155=1,('Calc (ex-animal)'!$H$32*(1-'DB additional information '!$L$9/100)*(1-VLOOKUP(D155,'DB technologies'!$N$66:$Y$77,8,FALSE)/100)*'Calc (ex-housing, ex-storage)'!F155/100)/VLOOKUP($C$152,'DB animal categories'!$C$52:$AC$61,27,FALSE)*AJ155,IF(AI155=4,('Calc (ex-animal)'!$G$32*(1-'DB additional information '!$K$9/100)+'Calc (ex-animal)'!$H$32*(1-'DB additional information '!$L$9/100))*(1-VLOOKUP(D155,'DB technologies'!$N$66:$Y$77,8,FALSE)/100)*'Calc (ex-housing, ex-storage)'!F155/100*VLOOKUP(D155,'DB technologies'!$N$66:$Y$77,11,FALSE)/100/VLOOKUP($C$152,'DB animal categories'!$C$52:$AC$61,27,FALSE)*AJ155,0))))</f>
        <v/>
      </c>
      <c r="AN155" s="442" t="str">
        <f>IF(AI155="","",IF(AL155=0,0,AL155/AK155*100))</f>
        <v/>
      </c>
      <c r="AO155" s="182" t="str">
        <f>IF(D155="","",IF(AI155=2,(('Calc (ex-animal)'!$L$32*'Calc (ex-housing, ex-storage)'!F155/100+'Calc (ex-animal)'!$K$32*'Calc (ex-housing, ex-storage)'!F155/100))/VLOOKUP($C$152,'DB animal categories'!$C$52:$AC$61,27,FALSE)*AJ155+Q155+R155+S155-AC155,IF(AI155=1,('Calc (ex-animal)'!$L$32*'Calc (ex-housing, ex-storage)'!F155/100)/VLOOKUP($C$152,'DB animal categories'!$C$52:$AC$61,27,FALSE)*AJ155-'Calc (ex-housing, ex-storage)'!AC155,IF(AI155=4,('Calc (ex-animal)'!$L$32+'Calc (ex-animal)'!$K$32)*'Calc (ex-housing, ex-storage)'!F155/100*VLOOKUP(D155,'DB technologies'!$N$66:$Y$77,11,FALSE)/100/VLOOKUP($C$152,'DB animal categories'!$C$52:$AC$61,27,FALSE)*AJ155-AC155*VLOOKUP(D155,'DB technologies'!$N$66:$Y$77,11,FALSE)/100,0))))</f>
        <v/>
      </c>
      <c r="AP155" s="182" t="str">
        <f>IF(D155="","",IF(AO155&lt;-0.01,0,IF(AI155=2,(('Calc (ex-animal)'!$L$32*'Calc (ex-housing, ex-storage)'!F155/100+'Calc (ex-animal)'!$K$32*'Calc (ex-housing, ex-storage)'!F155/100))/VLOOKUP($C$152,'DB animal categories'!$C$52:$AC$61,27,FALSE)*AJ155+Q155+R155+S155-AC155,IF(AI155=1,('Calc (ex-animal)'!$L$32*'Calc (ex-housing, ex-storage)'!F155/100)/VLOOKUP($C$152,'DB animal categories'!$C$52:$AC$61,27,FALSE)*AJ155-'Calc (ex-housing, ex-storage)'!AC155,IF(AI155=4,('Calc (ex-animal)'!$L$32+'Calc (ex-animal)'!$K$32)*'Calc (ex-housing, ex-storage)'!F155/100*VLOOKUP(D155,'DB technologies'!$N$66:$Y$77,11,FALSE)/100/VLOOKUP($C$152,'DB animal categories'!$C$52:$AC$61,27,FALSE)*AJ155-AC155*VLOOKUP(D155,'DB technologies'!$N$66:$Y$77,11,FALSE)/100,0)))))</f>
        <v/>
      </c>
      <c r="AQ155" s="182" t="str">
        <f>IF(D155="","",IF(AI155=2,('Calc (ex-animal)'!$O$32*'Calc (ex-housing, ex-storage)'!F155/100+'Calc (ex-animal)'!$N$32*'Calc (ex-housing, ex-storage)'!F155/100)/VLOOKUP($C$152,'DB animal categories'!$C$52:$AC$61,27,FALSE)*AJ155+U155+V155+W155,IF(AI155=1,'Calc (ex-animal)'!$O$32*'Calc (ex-housing, ex-storage)'!F155/100/VLOOKUP($C$152,'DB animal categories'!$C$52:$AC$61,27,FALSE)*AJ155,IF(AI155=4,('Calc (ex-animal)'!$O$32+'Calc (ex-animal)'!$N$32)*'Calc (ex-housing, ex-storage)'!F155/100*VLOOKUP(D155,'DB technologies'!$N$66:$Y$77,11,FALSE)/100/VLOOKUP($C$152,'DB animal categories'!$C$52:$AC$61,27,FALSE)*AJ155,0))))</f>
        <v/>
      </c>
      <c r="AR155" s="182" t="str">
        <f>IF(D155="","",IF(AI155=2,('Calc (ex-animal)'!$R$32*'Calc (ex-housing, ex-storage)'!F155/100+'Calc (ex-animal)'!$Q$32*'Calc (ex-housing, ex-storage)'!F155/100)/VLOOKUP($C$152,'DB animal categories'!$C$52:$AC$61,27,FALSE)*AJ155+Y155+Z155+AA155,IF(AI155=1,'Calc (ex-animal)'!$R$32*'Calc (ex-housing, ex-storage)'!F155/100/VLOOKUP($C$152,'DB animal categories'!$C$52:$AC$61,27,FALSE)*AJ155,IF(AI155=4,('Calc (ex-animal)'!$R$32+'Calc (ex-animal)'!$Q$32)*'Calc (ex-housing, ex-storage)'!F155/100*VLOOKUP(D155,'DB technologies'!$N$66:$Y$77,11,FALSE)/100/VLOOKUP($C$152,'DB animal categories'!$C$52:$AC$61,27,FALSE)*AJ155,0))))</f>
        <v/>
      </c>
      <c r="AS155" s="181" t="str">
        <f>IF(D155="","",VLOOKUP(D155,'DB technologies'!$N$66:$Y$77,10,FALSE))</f>
        <v/>
      </c>
      <c r="AT155" s="442" t="str">
        <f>IF(AS155="","",AU155+AV155)</f>
        <v/>
      </c>
      <c r="AU155" s="442" t="str">
        <f>IF(D155="","",IF(AS155=2,0,IF(AS155=1,'Calc (ex-animal)'!$G$32*'DB additional information '!$K$9/100*(1-VLOOKUP(D155,'DB technologies'!$N$66:$Y$77,8,FALSE)/100)*'Calc (ex-housing, ex-storage)'!F155/100/VLOOKUP($C$152,'DB animal categories'!$C$52:$AC$61,27,FALSE)*AJ155+I155+J155+K155,IF(AS155=5,(('Calc (ex-animal)'!$G$32*'DB additional information '!$K$9/100+'Calc (ex-animal)'!$H$32*'DB additional information '!$L$9/100))*(1-VLOOKUP(D155,'DB technologies'!$N$66:$Y$77,9,FALSE)/100)*'Calc (ex-housing, ex-storage)'!F155/100/VLOOKUP($C$152,'DB animal categories'!$C$52:$AC$61,27,FALSE)*AJ155+I155+J155+K155,IF(AS155=3,('Calc (ex-animal)'!$G$32*'DB additional information '!$K$9/100+'Calc (ex-animal)'!$H$32*'DB additional information '!$L$9/100)*(1-VLOOKUP(D155,'DB technologies'!$N$66:$Y$77,9,FALSE)/100)*'Calc (ex-housing, ex-storage)'!F155/100/VLOOKUP($C$152,'DB animal categories'!$C$52:$AC$61,27,FALSE)*AJ155+I155+J155+K155,IF(AS155=4,('Calc (ex-animal)'!$G$32*'DB additional information '!$K$9/100+'Calc (ex-animal)'!$H$32*'DB additional information '!$L$9/100)*(1-VLOOKUP(D155,'DB technologies'!$N$66:$Y$77,9,FALSE)/100)*'Calc (ex-housing, ex-storage)'!F155/100*VLOOKUP(D155,'DB technologies'!$N$66:$Y$77,12,FALSE)/100/VLOOKUP($C$152,'DB animal categories'!$C$52:$AC$61,27,FALSE)*AJ155+I155+J155+K155,0))))))</f>
        <v/>
      </c>
      <c r="AV155" s="442" t="str">
        <f>IF(D155="","",IF(AS155=2,0,IF(AS155=1,'Calc (ex-animal)'!$G$32*(1-'DB additional information '!$K$9/100)*(1-VLOOKUP(D155,'DB technologies'!$N$66:$Y$77,8,FALSE)/100)*'Calc (ex-housing, ex-storage)'!F155/100/VLOOKUP($C$152,'DB animal categories'!$C$52:$AC$61,27,FALSE)*AJ155+M155+N155+O155,IF(AS155=5,('Calc (ex-animal)'!$G$32*(1-'DB additional information '!$K$9/100)+'Calc (ex-animal)'!$H$32*(1-'DB additional information '!$L$9/100))*(1-VLOOKUP(D155,'DB technologies'!$N$66:$Y$77,8,FALSE)/100)*'Calc (ex-housing, ex-storage)'!F155/100/VLOOKUP($C$152,'DB animal categories'!$C$52:$AC$61,27,FALSE)*AJ155+M155+N155+O155,IF(AS155=3,('Calc (ex-animal)'!$G$32*(1-'DB additional information '!$K$9/100)+'Calc (ex-animal)'!$H$32*(1-'DB additional information '!$L$9/100))*(1-VLOOKUP(D155,'DB technologies'!$N$66:$Y$77,8,FALSE)/100)*'Calc (ex-housing, ex-storage)'!F155/100/VLOOKUP($C$152,'DB animal categories'!$C$52:$AC$61,27,FALSE)*AJ155+M155+N155+O155,IF(AS155=4,('Calc (ex-animal)'!$G$32*(1-'DB additional information '!$K$9/100)+'Calc (ex-animal)'!$H$32*(1-'DB additional information '!$L$9/100))*(1-VLOOKUP(D155,'DB technologies'!$N$66:$Y$77,8,FALSE)/100)*'Calc (ex-housing, ex-storage)'!F155/100*VLOOKUP(D155,'DB technologies'!$N$66:$Y$77,12,FALSE)/100/VLOOKUP($C$152,'DB animal categories'!$C$52:$AC$61,27,FALSE)*AJ155+M155+N155+O155,0))))))</f>
        <v/>
      </c>
      <c r="AW155" s="442" t="str">
        <f>IF(AS155="","",IF(AU155=0,0,AU155/AT155*100))</f>
        <v/>
      </c>
      <c r="AX155" s="182" t="str">
        <f>IF(D155="","",IF(AS155=2,0,IF(AS155=1,'Calc (ex-animal)'!$K$32*'Calc (ex-housing, ex-storage)'!F155/100/VLOOKUP($C$152,'DB animal categories'!$C$52:$AC$61,27,FALSE)*AJ155+Q155+R155+S155,IF(AS155=5,('Calc (ex-animal)'!$K$32+'Calc (ex-animal)'!$L$32)*'Calc (ex-housing, ex-storage)'!F155/100/VLOOKUP($C$152,'DB animal categories'!$C$52:$AC$61,27,FALSE)*AJ155+Q155+R155+S155-'Calc (ex-housing, ex-storage)'!AC155,IF(AS155=3,('Calc (ex-animal)'!$K$32+'Calc (ex-animal)'!$L$32)*'Calc (ex-housing, ex-storage)'!F155/100/VLOOKUP($C$152,'DB animal categories'!$C$52:$AC$61,27,FALSE)*AJ155+Q155+R155+S155-'Calc (ex-housing, ex-storage)'!AC155-AD155-AE155,IF(AI155=4,('Calc (ex-animal)'!$K$32+'Calc (ex-animal)'!$L$32)*'Calc (ex-housing, ex-storage)'!F155/100*VLOOKUP(D155,'DB technologies'!$N$66:$Y$77,12,FALSE)/100/VLOOKUP($C$152,'DB animal categories'!$C$52:$AC$61,27,FALSE)*AJ155+Q155+R155+S155-(VLOOKUP(D155,'DB technologies'!$N$66:$Y$77,12,FALSE)/100*AC155)-AD155-AE155,0))))))</f>
        <v/>
      </c>
      <c r="AY155" s="182" t="str">
        <f>IF(D155="","",IF(AS155=2,0,IF(AS155=1,'Calc (ex-animal)'!$N$32*'Calc (ex-housing, ex-storage)'!F155/100/VLOOKUP($C$152,'DB animal categories'!$C$52:$AC$61,27,FALSE)*AJ155+U155+V155+W155,IF(AS155=5,('Calc (ex-animal)'!$N$32+'Calc (ex-animal)'!$O$32)*'Calc (ex-housing, ex-storage)'!F155/100/VLOOKUP($C$152,'DB animal categories'!$C$52:$AC$61,27,FALSE)*AJ155+U155+V155+W155,IF(AS155=3,('Calc (ex-animal)'!$N$32+'Calc (ex-animal)'!$O$32)*'Calc (ex-housing, ex-storage)'!F155/100/VLOOKUP($C$152,'DB animal categories'!$C$52:$AC$61,27,FALSE)*AJ155+U155+V155+W155,IF(AS155=4,('Calc (ex-animal)'!$N$32+'Calc (ex-animal)'!$O$32)*'Calc (ex-housing, ex-storage)'!F155/100*VLOOKUP(D155,'DB technologies'!$N$66:$Y$77,12,FALSE)/100/VLOOKUP($C$152,'DB animal categories'!$C$52:$AC$61,27,FALSE)*AJ155+U155+V155+W155,0))))))</f>
        <v/>
      </c>
      <c r="AZ155" s="182" t="str">
        <f>IF(D155="","",IF(AS155=2,0,IF(AS155=1,'Calc (ex-animal)'!$Q$32*'Calc (ex-housing, ex-storage)'!F155/100/VLOOKUP($C$152,'DB animal categories'!$C$52:$AC$61,27,FALSE)*AJ155+Y155+Z155+AA155,IF(AS155=5,('Calc (ex-animal)'!$Q$32+'Calc (ex-animal)'!$R$32)*'Calc (ex-housing, ex-storage)'!F155/100/VLOOKUP($C$152,'DB animal categories'!$C$52:$AC$61,27,FALSE)*AJ155+Y155+Z155+AA155,IF(AS155=3,('Calc (ex-animal)'!$Q$32+'Calc (ex-animal)'!$R$32)*'Calc (ex-housing, ex-storage)'!F155/100/VLOOKUP($C$152,'DB animal categories'!$C$52:$AC$61,27,FALSE)*AJ155+Y155+Z155+AA155,IF(AS155=4,('Calc (ex-animal)'!$Q$32+'Calc (ex-animal)'!$R$32)*'Calc (ex-housing, ex-storage)'!F155/100*VLOOKUP(D155,'DB technologies'!$N$66:$Y$77,12,FALSE)/100/VLOOKUP($C$152,'DB animal categories'!$C$52:$AC$61,27,FALSE)*AJ155+Y155+Z155+AA155,0))))))</f>
        <v/>
      </c>
      <c r="BA155" s="506"/>
      <c r="BB155" s="506"/>
      <c r="BC155" s="506"/>
    </row>
    <row r="156" spans="1:55" ht="11.25" customHeight="1" thickBot="1" x14ac:dyDescent="0.25">
      <c r="A156" s="684"/>
      <c r="B156" s="695"/>
      <c r="C156" s="251"/>
      <c r="D156" s="1359"/>
      <c r="E156" s="1360"/>
      <c r="F156" s="481" t="str">
        <f>IF('Calc (ex-animal)'!$F$9=1,"",IF($C$152=0,"",IF(D156="","",E156/'Calc (ex-animal)'!$E$32*100)))</f>
        <v/>
      </c>
      <c r="G156" s="483" t="str">
        <f>IF($C$152=0,"",IF('Calc (ex-animal)'!$F$8=1,"",IF(D156="","",SUM(H156:O156))))</f>
        <v/>
      </c>
      <c r="H156" s="445" t="str">
        <f>IF('Calc (ex-animal)'!$F$8=1,"",IF(D156="","",(((VLOOKUP($C$152,'Calc (ex-animal)'!$D$28:$Y$32,6,FALSE)-VLOOKUP($C$152,'Calc (ex-animal)'!$D$28:$Y$32,17,FALSE))*F156/100))*VLOOKUP($C$152,'Calc (ex-animal)'!$D$28:$Y$32,7,FALSE)/100*(1-VLOOKUP(D156,'DB technologies'!$N$66:$Y$77,9,FALSE)/100)))</f>
        <v/>
      </c>
      <c r="I156" s="445" t="str">
        <f>IF(D156="","",((VLOOKUP(D156,'DB technologies'!$N$66:$Y$77,2,FALSE)*VLOOKUP($C$152,'DB animal categories'!$C$52:$AC$61,27,FALSE)*E156/1000)/VLOOKUP($C$152,'DB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'!$S$6/100*(1-VLOOKUP(D156,'DB technologies'!$N$66:$Y$77,9,FALSE)/100)))</f>
        <v/>
      </c>
      <c r="J156" s="446" t="str">
        <f>IF(D156="","",((VLOOKUP(D156,'DB technologies'!$N$66:$Y$77,3,FALSE)*VLOOKUP($C$152,'DB animal categories'!$C$52:$AC$61,27,FALSE)*E156/1000)/VLOOKUP($C$152,'DB animal categories'!$C$52:$AC$61,27,FALSE)*(VLOOKUP($C$152,'DB animal categories'!$C$52:$AC$61,27,FALSE)-(VLOOKUP($C$152,'DB animal categories'!$C$52:$AC$61,25,FALSE)*VLOOKUP($C$152,'DB animal categories'!$C$52:$AC$61,26,FALSE)/24))*'DB additional information '!$S$7/100*(1-VLOOKUP(D156,'DB technologies'!$N$66:$Y$77,9,FALSE)/100)))</f>
        <v/>
      </c>
      <c r="K156" s="446" t="str">
        <f>IF(D156="","",((VLOOKUP(D156,'DB technologies'!$N$66:$Y$77,4,FALSE)*E156*'DB additional information '!$S$8/100*(1-VLOOKUP(D156,'DB technologies'!$N$66:$Y$77,9,FALSE)/100))/VLOOKUP($C$152,'DB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L156" s="445" t="str">
        <f>IF('Calc (ex-animal)'!$F$8=1,"",IF(D156="","",(((VLOOKUP($C$152,'Calc (ex-animal)'!$D$28:$Y$32,6,FALSE)-VLOOKUP($C$152,'Calc (ex-animal)'!$D$28:$Y$32,17,FALSE))*F156/100))*(1-VLOOKUP($C$152,'Calc (ex-animal)'!$D$28:$Y$32,7,FALSE)/100)*(1-VLOOKUP(D156,'DB technologies'!$N$66:$V$77,8,FALSE)/100)))</f>
        <v/>
      </c>
      <c r="M156" s="446" t="str">
        <f>IF(D156="","",((VLOOKUP(D156,'DB technologies'!$N$66:$Y$77,2,FALSE)*VLOOKUP($C$152,'DB animal categories'!$C$52:$AC$61,27,FALSE)*E156/1000)/VLOOKUP($C$152,'DB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'!$S$6/100)*(1-VLOOKUP(D156,'DB technologies'!$N$66:$Y$77,9,FALSE)/100))</f>
        <v/>
      </c>
      <c r="N156" s="446" t="str">
        <f>IF(D156="","",((VLOOKUP(D156,'DB technologies'!$N$66:$Y$77,3,FALSE)*VLOOKUP($C$152,'DB animal categories'!$C$52:$AC$61,27,FALSE)*E156/1000)/VLOOKUP($C$152,'DB animal categories'!$C$52:$AC$61,27,FALSE)*(VLOOKUP($C$152,'DB animal categories'!$C$52:$AC$61,27,FALSE)-VLOOKUP($C$152,'DB animal categories'!$C$52:$AC$61,25,FALSE)*VLOOKUP($C$152,'DB animal categories'!$C$52:$AC$61,26,FALSE)/24))*(1-'DB additional information '!$S$7/100)*(1-VLOOKUP(D156,'DB technologies'!$N$66:$Y$77,9,FALSE)/100))</f>
        <v/>
      </c>
      <c r="O156" s="445" t="str">
        <f>IF(D156="","",((VLOOKUP(D156,'DB technologies'!$N$66:$Y$77,4,FALSE)*E156*(1-'DB additional information '!$S$8/100)*(1-VLOOKUP(D156,'DB technologies'!$N$66:$Y$77,8,FALSE)/100))/VLOOKUP($C$152,'DB animal categories'!$C$52:$AC$61,27,FALSE)*(VLOOKUP($C$152,'DB animal categories'!$C$52:$AC$61,27,FALSE)-VLOOKUP($C$152,'DB animal categories'!$C$52:$AC$61,25,FALSE)*VLOOKUP($C$152,'DB animal categories'!$C$52:$AC$61,26,FALSE)/24)))</f>
        <v/>
      </c>
      <c r="P156" s="444" t="str">
        <f>IF(G156=0,0,IF(E156="","",IF(F156="","",IF($C$152=0,"",IF(D156="","",SUM(H156:K156)/G156*100)))))</f>
        <v/>
      </c>
      <c r="Q156" s="476" t="str">
        <f>IF(D156="","",(VLOOKUP(D156,'DB technologies'!$N$66:$Y$77,2,FALSE)*'DB additional information '!$S$6/100*'DB additional information '!$T$6*VLOOKUP($C$152,'DB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R156" s="476" t="str">
        <f>IF(D156="","",(VLOOKUP(D156,'DB technologies'!$N$66:$Y$77,3,FALSE)*'DB additional information '!$S$7/100*'DB additional information '!$T$7*VLOOKUP($C$152,'DB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S156" s="494" t="str">
        <f>IF(D156="","",(VLOOKUP(D156,'DB technologies'!$N$66:$Y$77,4,FALSE)*('DB additional information '!$S$8/100*'DB additional information '!$T$8*E156/1000/1000)))</f>
        <v/>
      </c>
      <c r="T156" s="266" t="str">
        <f>IF($C$152=0,"",IF('Calc (ex-animal)'!$F$9=1,"",IF(D156="","",((VLOOKUP($C$152,'Calc (ex-animal)'!$D$28:$Y$32,10,FALSE)-VLOOKUP($C$152,'Calc (ex-animal)'!$D$28:$Y$32,18,FALSE))*F156/100+Q156+R156+S156)-AC156-AD156-AE156)))</f>
        <v/>
      </c>
      <c r="U156" s="477" t="str">
        <f>IF(D156="","",(VLOOKUP(D156,'DB technologies'!$N$66:$Y$77,2,FALSE)*'DB additional information '!$S$6/100*'DB additional information '!$U$6*VLOOKUP($C$152,'DB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V156" s="433" t="str">
        <f>IF(D156="","",(VLOOKUP(D156,'DB technologies'!$N$66:$Y$77,3,FALSE)*'DB additional information '!$S$7/100*'DB additional information '!$U$7*VLOOKUP($C$152,'DB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W156" s="475" t="str">
        <f>IF(D156="","",(VLOOKUP(D156,'DB technologies'!$N$66:$Y$77,4,FALSE)*('DB additional information '!$S$8/100*'DB additional information '!$U$8*E156/1000/1000)))</f>
        <v/>
      </c>
      <c r="X156" s="267" t="str">
        <f>IF($C$152=0,"",IF('Calc (ex-animal)'!$F$9=1,"",IF(D156="","",((VLOOKUP($C$152,'Calc (ex-animal)'!$D$28:$Y$32,13,FALSE)-VLOOKUP($C$152,'Calc (ex-animal)'!$D$28:$Y$32,19,FALSE))*F156/100+U156+V156+W156))))</f>
        <v/>
      </c>
      <c r="Y156" s="433" t="str">
        <f>IF(D156="","",(VLOOKUP(D156,'DB technologies'!$N$66:$Y$77,2,FALSE)*'DB additional information '!$S$6/100*'DB additional information '!$V$6*VLOOKUP($C$152,'DB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Z156" s="433" t="str">
        <f>IF(D156="","",(VLOOKUP(D156,'DB technologies'!$N$66:$Y$77,3,FALSE)*'DB additional information '!$S$7/100*'DB additional information '!$V$7*VLOOKUP($C$152,'DB animal categories'!$C$52:$AC$61,27,FALSE)*E156/1000/1000)/VLOOKUP($C$152,'DB animal categories'!$C$52:$AC$61,27,FALSE)*(VLOOKUP($C$152,'DB animal categories'!$C$52:$AC$61,27,FALSE)-VLOOKUP($C$152,'DB animal categories'!$C$52:$AC$61,25,FALSE)*VLOOKUP($C$152,'DB animal categories'!$C$52:$AC$61,26,FALSE)/24))</f>
        <v/>
      </c>
      <c r="AA156" s="433" t="str">
        <f>IF(D156="","",(VLOOKUP(D156,'DB technologies'!$N$66:$Y$77,4,FALSE)*('DB additional information '!$S$8/100*'DB additional information '!$V$8*E156/1000/1000)))</f>
        <v/>
      </c>
      <c r="AB156" s="267" t="str">
        <f>IF($C$152=0,"",IF('Calc (ex-animal)'!$F$8=1,"",IF(D156="","",((VLOOKUP($C$152,'Calc (ex-animal)'!$D$28:$Y$32,16,FALSE)-VLOOKUP($C$152,'Calc (ex-animal)'!$D$28:$Y$32,20,FALSE))*F156/100+Y156+Z156+AA156))))</f>
        <v/>
      </c>
      <c r="AC156" s="267" t="str">
        <f>IF($C$152=0,"",IF('Calc (ex-animal)'!$F$8=1,"",IF(D156="","",VLOOKUP($C$152,'Calc (ex-animal)'!$D$28:$Y$32,9,FALSE)/VLOOKUP($C$152,'DB animal categories'!$C$52:$AC$61,27,FALSE)*(VLOOKUP($C$152,'DB animal categories'!$C$52:$AC$61,27,FALSE)-VLOOKUP($C$152,'DB animal categories'!$C$52:$AC$61,25,FALSE)*VLOOKUP($C$152,'DB animal categories'!$C$52:$AC$61,26,FALSE)/24)*F156/100*VLOOKUP(D156,'DB technologies'!$N$66:$R$77,5,FALSE)/100)))</f>
        <v/>
      </c>
      <c r="AD156" s="267" t="str">
        <f>IF($C$152=0,"",IF('Calc (ex-animal)'!$F$8=1,"",IF(D156="","",VLOOKUP($C$152,'Calc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categories'!$C$52:$AC$61,26,FALSE)/24)*F156/100*VLOOKUP(D156,'DB technologies'!$N$66:$Y$77,6,FALSE)/100)))</f>
        <v/>
      </c>
      <c r="AE156" s="268" t="str">
        <f>IF($C$152=0,"",IF('Calc (ex-animal)'!$F$8=1,"",IF(D156="","",VLOOKUP($C$152,'Calc (ex-animal)'!$D$28:$Y$32,10,FALSE)/VLOOKUP($C$152,'DB animal categories'!$C$52:$AC$61,27,FALSE)*(VLOOKUP($C$152,'DB animal categories'!$C$52:$AC$61,27,FALSE)-VLOOKUP($C$152,'DB animal categories'!$C$52:$AC$61,25,FALSE)*VLOOKUP($C$152,'DB animal categories'!$C$52:$AC$61,26,FALSE)/24)*F156/100*VLOOKUP(D156,'DB technologies'!$N$66:$Y$77,7,FALSE)/100)))</f>
        <v/>
      </c>
      <c r="AG156" s="690"/>
      <c r="AH156" s="724"/>
      <c r="AI156" s="183" t="str">
        <f>IF(D156="","",VLOOKUP(D156,'DB technologies'!$N$66:$Y$77,10,FALSE))</f>
        <v/>
      </c>
      <c r="AJ156" s="451" t="e">
        <f>VLOOKUP($C$152,'DB animal categories'!$C$52:$AN$61,27,FALSE)-VLOOKUP($C$152,'DB animal categories'!$C$52:$AN$61,26,FALSE)*VLOOKUP($C$152,'DB animal categories'!$C$52:$AN$61,25,FALSE)/24</f>
        <v>#N/A</v>
      </c>
      <c r="AK156" s="452" t="str">
        <f>IF(AI156="","",AL156+AM156)</f>
        <v/>
      </c>
      <c r="AL156" s="452" t="str">
        <f>IF(D156="","",IF(AI156=2,(('Calc (ex-animal)'!$G$32*'DB additional information '!$K$9/100*(1-VLOOKUP(D156,'DB technologies'!$N$66:$Y$77,9,FALSE)/100)*'Calc (ex-housing, ex-storage)'!F156/100+'Calc (ex-animal)'!$H$32*'DB additional information '!$L$9/100*(1-VLOOKUP(D156,'DB technologies'!$N$66:$Y$77,9,FALSE)/100)*'Calc (ex-housing, ex-storage)'!F156/100))/VLOOKUP($C$152,'DB animal categories'!$C$52:$AC$61,27,FALSE)*AJ156+I156+J156+K156,IF(AI156=1,('Calc (ex-animal)'!$H$32*'DB additional information '!$L$9/100*(1-VLOOKUP(D156,'DB technologies'!$N$66:$Y$77,9,FALSE)/100)*'Calc (ex-housing, ex-storage)'!F156/100)/VLOOKUP($C$152,'DB animal categories'!$C$52:$AC$61,27,FALSE)*AJ156,IF(AI156=4,('Calc (ex-animal)'!$G$32*'DB additional information '!$K$9/100+'Calc (ex-animal)'!$H$32*'DB additional information '!$L$9/100)*(1-VLOOKUP(D156,'DB technologies'!$N$66:$Y$77,9,FALSE)/100)*'Calc (ex-housing, ex-storage)'!F156/100*VLOOKUP(D156,'DB technologies'!$N$66:$Y$77,11,FALSE)/100/VLOOKUP($C$152,'DB animal categories'!$C$52:$AC$61,27,FALSE)*AJ156,0))))</f>
        <v/>
      </c>
      <c r="AM156" s="452" t="str">
        <f>IF(D156="","",IF(AI156=2,(('Calc (ex-animal)'!$G$32*(1-'DB additional information '!$K$9/100)*(1-VLOOKUP(D156,'DB technologies'!$N$66:$Y$77,8,FALSE)/100)*'Calc (ex-housing, ex-storage)'!F156/100+'Calc (ex-animal)'!$H$32*(1-'DB additional information '!$L$9/100)*(1-VLOOKUP(D156,'DB technologies'!$N$66:$Y$77,8,FALSE)/100)*'Calc (ex-housing, ex-storage)'!F156/100))/VLOOKUP($C$152,'DB animal categories'!$C$52:$AC$61,27,FALSE)*AJ156+M156+N156+O156,IF(AI156=1,('Calc (ex-animal)'!$H$32*(1-'DB additional information '!$L$9/100)*(1-VLOOKUP(D156,'DB technologies'!$N$66:$Y$77,8,FALSE)/100)*'Calc (ex-housing, ex-storage)'!F156/100)/VLOOKUP($C$152,'DB animal categories'!$C$52:$AC$61,27,FALSE)*AJ156,IF(AI156=4,('Calc (ex-animal)'!$G$32*(1-'DB additional information '!$K$9/100)+'Calc (ex-animal)'!$H$32*(1-'DB additional information '!$L$9/100))*(1-VLOOKUP(D156,'DB technologies'!$N$66:$Y$77,8,FALSE)/100)*'Calc (ex-housing, ex-storage)'!F156/100*VLOOKUP(D156,'DB technologies'!$N$66:$Y$77,11,FALSE)/100/VLOOKUP($C$152,'DB animal categories'!$C$52:$AC$61,27,FALSE)*AJ156,0))))</f>
        <v/>
      </c>
      <c r="AN156" s="452" t="str">
        <f>IF(AI156="","",IF(AL156=0,0,AL156/AK156*100))</f>
        <v/>
      </c>
      <c r="AO156" s="184" t="str">
        <f>IF(D156="","",IF(AI156=2,(('Calc (ex-animal)'!$L$32*'Calc (ex-housing, ex-storage)'!F156/100+'Calc (ex-animal)'!$K$32*'Calc (ex-housing, ex-storage)'!F156/100))/VLOOKUP($C$152,'DB animal categories'!$C$52:$AC$61,27,FALSE)*AJ156+Q156+R156+S156-AC156,IF(AI156=1,('Calc (ex-animal)'!$L$32*'Calc (ex-housing, ex-storage)'!F156/100)/VLOOKUP($C$152,'DB animal categories'!$C$52:$AC$61,27,FALSE)*AJ156-'Calc (ex-housing, ex-storage)'!AC156,IF(AI156=4,('Calc (ex-animal)'!$L$32+'Calc (ex-animal)'!$K$32)*'Calc (ex-housing, ex-storage)'!F156/100*VLOOKUP(D156,'DB technologies'!$N$66:$Y$77,11,FALSE)/100/VLOOKUP($C$152,'DB animal categories'!$C$52:$AC$61,27,FALSE)*AJ156-AC156*VLOOKUP(D156,'DB technologies'!$N$66:$Y$77,11,FALSE)/100,0))))</f>
        <v/>
      </c>
      <c r="AP156" s="184" t="str">
        <f>IF(D156="","",IF(AO156&lt;-0.01,0,IF(AI156=2,(('Calc (ex-animal)'!$L$32*'Calc (ex-housing, ex-storage)'!F156/100+'Calc (ex-animal)'!$K$32*'Calc (ex-housing, ex-storage)'!F156/100))/VLOOKUP($C$152,'DB animal categories'!$C$52:$AC$61,27,FALSE)*AJ156+Q156+R156+S156-AC156,IF(AI156=1,('Calc (ex-animal)'!$L$32*'Calc (ex-housing, ex-storage)'!F156/100)/VLOOKUP($C$152,'DB animal categories'!$C$52:$AC$61,27,FALSE)*AJ156-'Calc (ex-housing, ex-storage)'!AC156,IF(AI156=4,('Calc (ex-animal)'!$L$32+'Calc (ex-animal)'!$K$32)*'Calc (ex-housing, ex-storage)'!F156/100*VLOOKUP(D156,'DB technologies'!$N$66:$Y$77,11,FALSE)/100/VLOOKUP($C$152,'DB animal categories'!$C$52:$AC$61,27,FALSE)*AJ156-AC156*VLOOKUP(D156,'DB technologies'!$N$66:$Y$77,11,FALSE)/100,0)))))</f>
        <v/>
      </c>
      <c r="AQ156" s="184" t="str">
        <f>IF(D156="","",IF(AI156=2,('Calc (ex-animal)'!$O$32*'Calc (ex-housing, ex-storage)'!F156/100+'Calc (ex-animal)'!$N$32*'Calc (ex-housing, ex-storage)'!F156/100)/VLOOKUP($C$152,'DB animal categories'!$C$52:$AC$61,27,FALSE)*AJ156+U156+V156+W156,IF(AI156=1,'Calc (ex-animal)'!$O$32*'Calc (ex-housing, ex-storage)'!F156/100/VLOOKUP($C$152,'DB animal categories'!$C$52:$AC$61,27,FALSE)*AJ156,IF(AI156=4,('Calc (ex-animal)'!$O$32+'Calc (ex-animal)'!$N$32)*'Calc (ex-housing, ex-storage)'!F156/100*VLOOKUP(D156,'DB technologies'!$N$66:$Y$77,11,FALSE)/100/VLOOKUP($C$152,'DB animal categories'!$C$52:$AC$61,27,FALSE)*AJ156,0))))</f>
        <v/>
      </c>
      <c r="AR156" s="184" t="str">
        <f>IF(D156="","",IF(AI156=2,('Calc (ex-animal)'!$R$32*'Calc (ex-housing, ex-storage)'!F156/100+'Calc (ex-animal)'!$Q$32*'Calc (ex-housing, ex-storage)'!F156/100)/VLOOKUP($C$152,'DB animal categories'!$C$52:$AC$61,27,FALSE)*AJ156+Y156+Z156+AA156,IF(AI156=1,'Calc (ex-animal)'!$R$32*'Calc (ex-housing, ex-storage)'!F156/100/VLOOKUP($C$152,'DB animal categories'!$C$52:$AC$61,27,FALSE)*AJ156,IF(AI156=4,('Calc (ex-animal)'!$R$32+'Calc (ex-animal)'!$Q$32)*'Calc (ex-housing, ex-storage)'!F156/100*VLOOKUP(D156,'DB technologies'!$N$66:$Y$77,11,FALSE)/100/VLOOKUP($C$152,'DB animal categories'!$C$52:$AC$61,27,FALSE)*AJ156,0))))</f>
        <v/>
      </c>
      <c r="AS156" s="183" t="str">
        <f>IF(D156="","",VLOOKUP(D156,'DB technologies'!$N$66:$Y$77,10,FALSE))</f>
        <v/>
      </c>
      <c r="AT156" s="452" t="str">
        <f>IF(AS156="","",AU156+AV156)</f>
        <v/>
      </c>
      <c r="AU156" s="452" t="str">
        <f>IF(D156="","",IF(AS156=2,0,IF(AS156=1,'Calc (ex-animal)'!$G$32*'DB additional information '!$K$9/100*(1-VLOOKUP(D156,'DB technologies'!$N$66:$Y$77,8,FALSE)/100)*'Calc (ex-housing, ex-storage)'!F156/100/VLOOKUP($C$152,'DB animal categories'!$C$52:$AC$61,27,FALSE)*AJ156+I156+J156+K156,IF(AS156=5,(('Calc (ex-animal)'!$G$32*'DB additional information '!$K$9/100+'Calc (ex-animal)'!$H$32*'DB additional information '!$L$9/100))*(1-VLOOKUP(D156,'DB technologies'!$N$66:$Y$77,9,FALSE)/100)*'Calc (ex-housing, ex-storage)'!F156/100/VLOOKUP($C$152,'DB animal categories'!$C$52:$AC$61,27,FALSE)*AJ156+I156+J156+K156,IF(AS156=3,('Calc (ex-animal)'!$G$32*'DB additional information '!$K$9/100+'Calc (ex-animal)'!$H$32*'DB additional information '!$L$9/100)*(1-VLOOKUP(D156,'DB technologies'!$N$66:$Y$77,9,FALSE)/100)*'Calc (ex-housing, ex-storage)'!F156/100/VLOOKUP($C$152,'DB animal categories'!$C$52:$AC$61,27,FALSE)*AJ156+I156+J156+K156,IF(AS156=4,('Calc (ex-animal)'!$G$32*'DB additional information '!$K$9/100+'Calc (ex-animal)'!$H$32*'DB additional information '!$L$9/100)*(1-VLOOKUP(D156,'DB technologies'!$N$66:$Y$77,9,FALSE)/100)*'Calc (ex-housing, ex-storage)'!F156/100*VLOOKUP(D156,'DB technologies'!$N$66:$Y$77,12,FALSE)/100/VLOOKUP($C$152,'DB animal categories'!$C$52:$AC$61,27,FALSE)*AJ156+I156+J156+K156,0))))))</f>
        <v/>
      </c>
      <c r="AV156" s="452" t="str">
        <f>IF(D156="","",IF(AS156=2,0,IF(AS156=1,'Calc (ex-animal)'!$G$32*(1-'DB additional information '!$K$9/100)*(1-VLOOKUP(D156,'DB technologies'!$N$66:$Y$77,8,FALSE)/100)*'Calc (ex-housing, ex-storage)'!F156/100/VLOOKUP($C$152,'DB animal categories'!$C$52:$AC$61,27,FALSE)*AJ156+M156+N156+O156,IF(AS156=5,('Calc (ex-animal)'!$G$32*(1-'DB additional information '!$K$9/100)+'Calc (ex-animal)'!$H$32*(1-'DB additional information '!$L$9/100))*(1-VLOOKUP(D156,'DB technologies'!$N$66:$Y$77,8,FALSE)/100)*'Calc (ex-housing, ex-storage)'!F156/100/VLOOKUP($C$152,'DB animal categories'!$C$52:$AC$61,27,FALSE)*AJ156+M156+N156+O156,IF(AS156=3,('Calc (ex-animal)'!$G$32*(1-'DB additional information '!$K$9/100)+'Calc (ex-animal)'!$H$32*(1-'DB additional information '!$L$9/100))*(1-VLOOKUP(D156,'DB technologies'!$N$66:$Y$77,8,FALSE)/100)*'Calc (ex-housing, ex-storage)'!F156/100/VLOOKUP($C$152,'DB animal categories'!$C$52:$AC$61,27,FALSE)*AJ156+M156+N156+O156,IF(AS156=4,('Calc (ex-animal)'!$G$32*(1-'DB additional information '!$K$9/100)+'Calc (ex-animal)'!$H$32*(1-'DB additional information '!$L$9/100))*(1-VLOOKUP(D156,'DB technologies'!$N$66:$Y$77,8,FALSE)/100)*'Calc (ex-housing, ex-storage)'!F156/100*VLOOKUP(D156,'DB technologies'!$N$66:$Y$77,12,FALSE)/100/VLOOKUP($C$152,'DB animal categories'!$C$52:$AC$61,27,FALSE)*AJ156+M156+N156+O156,0))))))</f>
        <v/>
      </c>
      <c r="AW156" s="452" t="str">
        <f>IF(AS156="","",IF(AU156=0,0,AU156/AT156*100))</f>
        <v/>
      </c>
      <c r="AX156" s="184" t="str">
        <f>IF(D156="","",IF(AS156=2,0,IF(AS156=1,'Calc (ex-animal)'!$K$32*'Calc (ex-housing, ex-storage)'!F156/100/VLOOKUP($C$152,'DB animal categories'!$C$52:$AC$61,27,FALSE)*AJ156+Q156+R156+S156,IF(AS156=5,('Calc (ex-animal)'!$K$32+'Calc (ex-animal)'!$L$32)*'Calc (ex-housing, ex-storage)'!F156/100/VLOOKUP($C$152,'DB animal categories'!$C$52:$AC$61,27,FALSE)*AJ156+Q156+R156+S156-'Calc (ex-housing, ex-storage)'!AC156,IF(AS156=3,('Calc (ex-animal)'!$K$32+'Calc (ex-animal)'!$L$32)*'Calc (ex-housing, ex-storage)'!F156/100/VLOOKUP($C$152,'DB animal categories'!$C$52:$AC$61,27,FALSE)*AJ156+Q156+R156+S156-'Calc (ex-housing, ex-storage)'!AC156-AD156-AE156,IF(AI156=4,('Calc (ex-animal)'!$K$32+'Calc (ex-animal)'!$L$32)*'Calc (ex-housing, ex-storage)'!F156/100*VLOOKUP(D156,'DB technologies'!$N$66:$Y$77,12,FALSE)/100/VLOOKUP($C$152,'DB animal categories'!$C$52:$AC$61,27,FALSE)*AJ156+Q156+R156+S156-(VLOOKUP(D156,'DB technologies'!$N$66:$Y$77,12,FALSE)/100*AC156)-AD156-AE156,0))))))</f>
        <v/>
      </c>
      <c r="AY156" s="184" t="str">
        <f>IF(D156="","",IF(AS156=2,0,IF(AS156=1,'Calc (ex-animal)'!$N$32*'Calc (ex-housing, ex-storage)'!F156/100/VLOOKUP($C$152,'DB animal categories'!$C$52:$AC$61,27,FALSE)*AJ156+U156+V156+W156,IF(AS156=5,('Calc (ex-animal)'!$N$32+'Calc (ex-animal)'!$O$32)*'Calc (ex-housing, ex-storage)'!F156/100/VLOOKUP($C$152,'DB animal categories'!$C$52:$AC$61,27,FALSE)*AJ156+U156+V156+W156,IF(AS156=3,('Calc (ex-animal)'!$N$32+'Calc (ex-animal)'!$O$32)*'Calc (ex-housing, ex-storage)'!F156/100/VLOOKUP($C$152,'DB animal categories'!$C$52:$AC$61,27,FALSE)*AJ156+U156+V156+W156,IF(AS156=4,('Calc (ex-animal)'!$N$32+'Calc (ex-animal)'!$O$32)*'Calc (ex-housing, ex-storage)'!F156/100*VLOOKUP(D156,'DB technologies'!$N$66:$Y$77,12,FALSE)/100/VLOOKUP($C$152,'DB animal categories'!$C$52:$AC$61,27,FALSE)*AJ156+U156+V156+W156,0))))))</f>
        <v/>
      </c>
      <c r="AZ156" s="184" t="str">
        <f>IF(D156="","",IF(AS156=2,0,IF(AS156=1,'Calc (ex-animal)'!$Q$32*'Calc (ex-housing, ex-storage)'!F156/100/VLOOKUP($C$152,'DB animal categories'!$C$52:$AC$61,27,FALSE)*AJ156+Y156+Z156+AA156,IF(AS156=5,('Calc (ex-animal)'!$Q$32+'Calc (ex-animal)'!$R$32)*'Calc (ex-housing, ex-storage)'!F156/100/VLOOKUP($C$152,'DB animal categories'!$C$52:$AC$61,27,FALSE)*AJ156+Y156+Z156+AA156,IF(AS156=3,('Calc (ex-animal)'!$Q$32+'Calc (ex-animal)'!$R$32)*'Calc (ex-housing, ex-storage)'!F156/100/VLOOKUP($C$152,'DB animal categories'!$C$52:$AC$61,27,FALSE)*AJ156+Y156+Z156+AA156,IF(AS156=4,('Calc (ex-animal)'!$Q$32+'Calc (ex-animal)'!$R$32)*'Calc (ex-housing, ex-storage)'!F156/100*VLOOKUP(D156,'DB technologies'!$N$66:$Y$77,12,FALSE)/100/VLOOKUP($C$152,'DB animal categories'!$C$52:$AC$61,27,FALSE)*AJ156+Y156+Z156+AA156,0))))))</f>
        <v/>
      </c>
      <c r="BA156" s="506"/>
      <c r="BB156" s="506"/>
      <c r="BC156" s="506"/>
    </row>
    <row r="157" spans="1:55" ht="11.25" customHeight="1" thickBot="1" x14ac:dyDescent="0.25">
      <c r="A157" s="684"/>
      <c r="B157" s="696"/>
      <c r="C157" s="251"/>
      <c r="D157" s="281" t="s">
        <v>58</v>
      </c>
      <c r="E157" s="282">
        <f>IF(F157&lt;=100,SUM(E152:E156),"ERROR")</f>
        <v>0</v>
      </c>
      <c r="F157" s="283">
        <f>IF(SUM(F152:F156) &lt;=100,SUM(F152:F156),"ERROR, SUM&gt;100%")</f>
        <v>0</v>
      </c>
      <c r="G157" s="504">
        <f>IF('Calc (ex-animal)'!$F$9=1,"",SUM(G152:G156))</f>
        <v>0</v>
      </c>
      <c r="H157" s="433">
        <f>IF('Calc (ex-animal)'!$F$8=1,"",SUM(H152:H156))</f>
        <v>0</v>
      </c>
      <c r="I157" s="433">
        <f>IF('Calc (ex-animal)'!$F$8=1,"",SUM(I152:I156))</f>
        <v>0</v>
      </c>
      <c r="J157" s="433">
        <f>IF('Calc (ex-animal)'!$F$8=1,"",SUM(J152:J156))</f>
        <v>0</v>
      </c>
      <c r="K157" s="433">
        <f>IF('Calc (ex-animal)'!$F$8=1,"",SUM(K152:K156))</f>
        <v>0</v>
      </c>
      <c r="L157" s="433">
        <f>IF('Calc (ex-animal)'!$F$8=1,"",SUM(L152:L156))</f>
        <v>0</v>
      </c>
      <c r="M157" s="470"/>
      <c r="N157" s="470"/>
      <c r="O157" s="470"/>
      <c r="P157" s="478">
        <f>IF(G157=0,0,IF('Calc (ex-animal)'!$F$9=1,"",IF(D157="","",SUM(H157:K157)/G157*100)))</f>
        <v>0</v>
      </c>
      <c r="Q157" s="394"/>
      <c r="R157" s="394"/>
      <c r="S157" s="394"/>
      <c r="T157" s="278">
        <f>IF('Calc (ex-animal)'!$F$32=1,"",SUM(T152:T156))</f>
        <v>0</v>
      </c>
      <c r="U157" s="279"/>
      <c r="V157" s="279"/>
      <c r="W157" s="279"/>
      <c r="X157" s="279">
        <f>IF('Calc (ex-animal)'!$F$32=1,"",SUM(X152:X156))</f>
        <v>0</v>
      </c>
      <c r="Y157" s="279"/>
      <c r="Z157" s="279"/>
      <c r="AA157" s="279"/>
      <c r="AB157" s="279">
        <f>IF('Calc (ex-animal)'!$F$32=1,"",SUM(AB152:AB156))</f>
        <v>0</v>
      </c>
      <c r="AC157" s="279">
        <f>IF('Calc (ex-animal)'!$F$32=1,"",SUM(AC152:AC156))</f>
        <v>0</v>
      </c>
      <c r="AD157" s="279">
        <f>IF('Calc (ex-animal)'!$F$32=1,"",SUM(AD152:AD156))</f>
        <v>0</v>
      </c>
      <c r="AE157" s="280">
        <f>IF('Calc (ex-animal)'!$F$32=1,"",SUM(AE152:AE156))</f>
        <v>0</v>
      </c>
      <c r="AG157" s="690"/>
      <c r="AH157" s="724"/>
      <c r="AI157" s="43"/>
      <c r="AJ157" s="43"/>
      <c r="AK157" s="43"/>
      <c r="AL157" s="43"/>
      <c r="AM157" s="43"/>
      <c r="AN157" s="43"/>
      <c r="AO157" s="43"/>
      <c r="AP157" s="43"/>
    </row>
    <row r="158" spans="1:55" ht="11.1" customHeight="1" x14ac:dyDescent="0.2">
      <c r="A158" s="684"/>
      <c r="B158" s="741" t="s">
        <v>164</v>
      </c>
      <c r="C158" s="169">
        <f>'Calc (ex-animal)'!D33</f>
        <v>0</v>
      </c>
      <c r="D158" s="295" t="s">
        <v>58</v>
      </c>
      <c r="E158" s="296" t="str">
        <f>IF('Calc (ex-animal)'!F33=1,'Calc (ex-animal)'!E33,"")</f>
        <v/>
      </c>
      <c r="F158" s="297" t="str">
        <f>IF('Calc (ex-animal)'!F33=1,100,"")</f>
        <v/>
      </c>
      <c r="G158" s="395"/>
      <c r="H158" s="395"/>
      <c r="I158" s="395"/>
      <c r="J158" s="395"/>
      <c r="K158" s="395"/>
      <c r="L158" s="395"/>
      <c r="M158" s="395"/>
      <c r="N158" s="395"/>
      <c r="O158" s="395"/>
      <c r="P158" s="395"/>
      <c r="Q158" s="395"/>
      <c r="R158" s="395"/>
      <c r="S158" s="395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1"/>
      <c r="AG158" s="743"/>
      <c r="AH158" s="725"/>
      <c r="AI158" s="175"/>
      <c r="AJ158" s="175"/>
      <c r="AK158" s="175"/>
      <c r="AL158" s="175"/>
      <c r="AM158" s="175"/>
      <c r="AN158" s="175"/>
      <c r="AO158" s="175"/>
      <c r="AP158" s="175"/>
    </row>
    <row r="159" spans="1:55" ht="11.1" customHeight="1" thickBot="1" x14ac:dyDescent="0.25">
      <c r="A159" s="685"/>
      <c r="B159" s="742"/>
      <c r="C159" s="172">
        <f>'Calc (ex-animal)'!D34</f>
        <v>0</v>
      </c>
      <c r="D159" s="292" t="s">
        <v>58</v>
      </c>
      <c r="E159" s="293" t="str">
        <f>IF('Calc (ex-animal)'!F34=1,'Calc (ex-animal)'!E34,"")</f>
        <v/>
      </c>
      <c r="F159" s="294" t="str">
        <f>IF('Calc (ex-animal)'!F34=1,100,"")</f>
        <v/>
      </c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4"/>
      <c r="AG159" s="744" t="s">
        <v>30</v>
      </c>
      <c r="AH159" s="745"/>
      <c r="AI159" s="553"/>
      <c r="AJ159" s="215"/>
      <c r="AK159" s="215"/>
      <c r="AL159" s="215"/>
      <c r="AM159" s="215"/>
      <c r="AN159" s="215"/>
      <c r="AO159" s="215"/>
      <c r="AP159" s="21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</row>
    <row r="160" spans="1:55" ht="11.25" customHeight="1" x14ac:dyDescent="0.2">
      <c r="A160" s="683" t="s">
        <v>76</v>
      </c>
      <c r="B160" s="694" t="s">
        <v>32</v>
      </c>
      <c r="C160" s="251">
        <f>'Calc (ex-animal)'!D38</f>
        <v>0</v>
      </c>
      <c r="D160" s="1355"/>
      <c r="E160" s="1368"/>
      <c r="F160" s="750" t="str">
        <f>IF('Calc (ex-animal)'!$F$38=1,"",IF($C$160=0,"",IF(D160="","",E160/'Calc (ex-animal)'!$E$38*100)))</f>
        <v/>
      </c>
      <c r="G160" s="484" t="str">
        <f>IF($C$160=0,"",IF('Calc (ex-animal)'!$F$38=1,"",IF(D160="","",SUM(H160:O160))))</f>
        <v/>
      </c>
      <c r="H160" s="471" t="str">
        <f>IF('Calc (ex-animal)'!$F$38=1,"",IF(D160="","",(((VLOOKUP($C$160,'Calc (ex-animal)'!$D$38:$Y$42,6,FALSE)-VLOOKUP($C$160,'Calc (ex-animal)'!$D$38:$Y$42,17,FALSE))*F160/100*AG160/100))*VLOOKUP($C$160,'Calc (ex-animal)'!$D$38:$Y$42,7,FALSE)/100*(1-VLOOKUP(D160,'DB technologies'!$N$83:$Y$94,9,FALSE)/100)))</f>
        <v/>
      </c>
      <c r="I160" s="471" t="str">
        <f>IF(D160="","",((VLOOKUP(D160,'DB technologies'!$N$83:$Y$94,2,FALSE)*VLOOKUP($C$160,'DB animal categories'!$C$68:$AC$80,27,FALSE)*E160/1000*AG160/100)/VLOOKUP($C$160,'DB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'!$S$6/100*(1-VLOOKUP(D160,'DB technologies'!$N$83:$Y$94,9,FALSE)/100)))</f>
        <v/>
      </c>
      <c r="J160" s="472" t="str">
        <f>IF(D160="","",((VLOOKUP(D160,'DB technologies'!$N$83:$Y$94,3,FALSE)*VLOOKUP($C$160,'DB animal categories'!$C$68:$AC$80,27,FALSE)*E160/1000*AG160/100)/VLOOKUP($C$160,'DB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'!$S$7/100*(1-VLOOKUP(D160,'DB technologies'!$N$83:$Y$94,9,FALSE)/100)))</f>
        <v/>
      </c>
      <c r="K160" s="525" t="str">
        <f>IF(D160="","",((VLOOKUP(D160,'DB technologies'!$N$83:$Y$94,4,FALSE)*E160*AG160/100*'DB additional information '!$S$8/100*(1-VLOOKUP(D160,'DB technologies'!$N$83:$Y$94,9,FALSE)/100))/VLOOKUP($C$160,'DB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0" s="471" t="str">
        <f>IF('Calc (ex-animal)'!$F$38=1,"",IF(D160="","",(((VLOOKUP($C$160,'Calc (ex-animal)'!$D$38:$Y$42,6,FALSE)-VLOOKUP($C$160,'Calc (ex-animal)'!$D$38:$Y$42,17,FALSE))*F160/100*AG160/100))*(1-VLOOKUP($C$160,'Calc (ex-animal)'!$D$38:$Y$42,7,FALSE)/100)*(1-VLOOKUP(D160,'DB technologies'!$N$83:$V$94,8,FALSE)/100)))</f>
        <v/>
      </c>
      <c r="M160" s="472" t="str">
        <f>IF(D160="","",((VLOOKUP(D160,'DB technologies'!$N$83:$Y$94,2,FALSE)*VLOOKUP($C$160,'DB animal categories'!$C$68:$AC$80,27,FALSE)*E160/1000*AG160/100)/VLOOKUP($C$160,'DB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'!$S$6/100)*(1-VLOOKUP(D160,'DB technologies'!$N$83:$Y$94,9,FALSE)/100))</f>
        <v/>
      </c>
      <c r="N160" s="472" t="str">
        <f>IF(D160="","",((VLOOKUP(D160,'DB technologies'!$N$83:$Y$94,3,FALSE)*VLOOKUP($C$160,'DB animal categories'!$C$68:$AC$80,27,FALSE)*E160/1000*AG160/100)/VLOOKUP($C$160,'DB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'!$S$7/100)*(1-VLOOKUP(D160,'DB technologies'!$N$83:$Y$94,9,FALSE)/100))</f>
        <v/>
      </c>
      <c r="O160" s="471" t="str">
        <f>IF(D160="","",((VLOOKUP(D160,'DB technologies'!$N$83:$Y$94,4,FALSE)*E160*AG160/100*(1-'DB additional information '!$S$8/100)*(1-VLOOKUP(D160,'DB technologies'!$N$83:$Y$94,8,FALSE)/100))/VLOOKUP($C$160,'DB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0" s="443" t="str">
        <f>IF(G160=0,0,IF(E160="","",IF(F160="","",IF($C$160=0,"",IF(D160="","",SUM(H160:K160)/G160*100)))))</f>
        <v/>
      </c>
      <c r="Q160" s="473" t="str">
        <f>IF(D160="","",(VLOOKUP(D160,'DB technologies'!$N$83:$Y$94,2,FALSE)*'DB additional information '!$S$6/100*'DB additional information '!$T$6*VLOOKUP($C$160,'DB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0" s="473" t="str">
        <f>IF(D160="","",(VLOOKUP(D160,'DB technologies'!$N$83:$Y$94,3,FALSE)*'DB additional information '!$S$7/100*'DB additional information '!$T$7*VLOOKUP($C$160,'DB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0" s="490" t="str">
        <f>IF(D160="","",(VLOOKUP(D160,'DB technologies'!$N$83:$Y$94,4,FALSE)*('DB additional information '!$S$8/100*'DB additional information '!$T$8*E160/1000/1000*AG160/100)))</f>
        <v/>
      </c>
      <c r="T160" s="263" t="str">
        <f>IF($C$160=0,"",IF('Calc (ex-animal)'!$F$38=1,"",IF(D160="","",((VLOOKUP($C$160,'Calc (ex-animal)'!$D$38:$Y$42,10,FALSE)-VLOOKUP($C$160,'Calc (ex-animal)'!$D$38:$Y$42,18,FALSE))*F160/100*AG160/100+Q160+R160+S160)-AC160-AD160-AE160)))</f>
        <v/>
      </c>
      <c r="U160" s="474" t="str">
        <f>IF(D160="","",(VLOOKUP(D160,'DB technologies'!$N$83:$Y$94,2,FALSE)*'DB additional information '!$S$6/100*'DB additional information '!$U$6*VLOOKUP($C$160,'DB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0" s="420" t="str">
        <f>IF(D160="","",(VLOOKUP(D160,'DB technologies'!$N$83:$Y$94,3,FALSE)*'DB additional information '!$S$7/100*'DB additional information '!$U$7*VLOOKUP($C$160,'DB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0" s="415" t="str">
        <f>IF(D160="","",(VLOOKUP(D160,'DB technologies'!$N$83:$Y$94,4,FALSE)*('DB additional information '!$S$8/100*'DB additional information '!$U$8*E160/1000/1000*AG160/100)))</f>
        <v/>
      </c>
      <c r="X160" s="259" t="str">
        <f>IF($C$160=0,"",IF('Calc (ex-animal)'!$F$38=1,"",IF(D160="","",((VLOOKUP($C$160,'Calc (ex-animal)'!$D$38:$Y$42,13,FALSE)-VLOOKUP($C$160,'Calc (ex-animal)'!$D$38:$Y$42,19,FALSE))*F160/100*AG160/100+U160+V160+W160))))</f>
        <v/>
      </c>
      <c r="Y160" s="420" t="str">
        <f>IF(D160="","",(VLOOKUP(D160,'DB technologies'!$N$83:$Y$94,2,FALSE)*'DB additional information '!$S$6/100*'DB additional information '!$V$6*VLOOKUP($C$160,'DB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0" s="420" t="str">
        <f>IF(D160="","",(VLOOKUP(D160,'DB technologies'!$N$83:$Y$94,3,FALSE)*'DB additional information '!$S$7/100*'DB additional information '!$V$7*VLOOKUP($C$160,'DB animal categories'!$C$68:$AC$80,27,FALSE)*E160/1000/1000*AG160/100)/VLOOKUP($C$160,'DB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0" s="420" t="str">
        <f>IF(D160="","",(VLOOKUP(D160,'DB technologies'!$N$83:$Y$94,4,FALSE)*('DB additional information '!$S$8/100*'DB additional information '!$V$8*E160/1000/1000*AG160/100)))</f>
        <v/>
      </c>
      <c r="AB160" s="259" t="str">
        <f>IF($C$160=0,"",IF('Calc (ex-animal)'!$F$38=1,"",IF(D160="","",((VLOOKUP($C$160,'Calc (ex-animal)'!$D$38:$Y$42,16,FALSE)-VLOOKUP($C$160,'Calc (ex-animal)'!$D$38:$Y$42,20,FALSE))*F160/100*AG160/100+Y160+Z160+AA160))))</f>
        <v/>
      </c>
      <c r="AC160" s="259" t="str">
        <f>IF($C$160=0,"",IF('Calc (ex-animal)'!$F$38=1,"",IF(D160="","",VLOOKUP($C$160,'Calc (ex-animal)'!$D$38:$Y$42,9,FALSE)*AG160/100/VLOOKUP($C$160,'DB animal categories'!$C$68:$AC$80,27,FALSE)*(VLOOKUP($C$160,'DB animal categories'!$C$68:$AC$80,27,FALSE)-VLOOKUP($C$160,'DB animal categories'!$C$68:$AC$80,25,FALSE)*VLOOKUP($C$160,'DB animal categories'!$C$68:$AC$80,26,FALSE)/24)*F160/100*VLOOKUP(D160,'DB technologies'!$N$83:$R$94,5,FALSE)/100)))</f>
        <v/>
      </c>
      <c r="AD160" s="259" t="str">
        <f>IF($C$160=0,"",IF('Calc (ex-animal)'!$F$38=1,"",IF(D160="","",VLOOKUP($C$160,'Calc (ex-animal)'!$D$38:$Y$42,10,FALSE)*AG160/100/VLOOKUP($C$160,'DB animal categories'!$C$68:$AC$80,27,FALSE)*(VLOOKUP($C$160,'DB animal categories'!$C$68:$AC$80,27,FALSE)-VLOOKUP($C$160,'DB animal categories'!$C$68:$AC$80,25,FALSE)*VLOOKUP($C$160,'DB animal categories'!$C$68:$AC$80,26,FALSE)/24)*F160/100*VLOOKUP(D160,'DB technologies'!$N$83:$Y$94,6,FALSE)/100)))</f>
        <v/>
      </c>
      <c r="AE160" s="260" t="str">
        <f>IF($C$160=0,"",IF('Calc (ex-animal)'!$F$38=1,"",IF(D160="","",VLOOKUP($C$160,'Calc (ex-animal)'!$D$38:$Y$42,10,FALSE)*AG160/100/VLOOKUP($C$160,'DB animal categories'!$C$68:$AC$80,27,FALSE)*(VLOOKUP($C$160,'DB animal categories'!$C$68:$AC$80,27,FALSE)-VLOOKUP($C$160,'DB animal categories'!$C$68:$AC$80,25,FALSE)*VLOOKUP($C$160,'DB animal categories'!$C$68:$AC$80,26,FALSE)/24)*F160/100*VLOOKUP(D160,'DB technologies'!$N$83:$Y$94,7,FALSE)/100)))</f>
        <v/>
      </c>
      <c r="AG160" s="1377"/>
      <c r="AH160" s="1378"/>
      <c r="AI160" s="181" t="str">
        <f>IF(D160="","",VLOOKUP(D160,'DB technologies'!$N$82:$Y$94,10,FALSE))</f>
        <v/>
      </c>
      <c r="AJ160" s="449" t="e">
        <f>VLOOKUP($C$160,'DB animal categories'!$C$68:$AN$80,27,FALSE)-VLOOKUP($C$160,'DB animal categories'!$C$68:$AN$80,26,FALSE)*VLOOKUP($C$160,'DB animal categories'!$C$68:$AN$80,25,FALSE)/24</f>
        <v>#N/A</v>
      </c>
      <c r="AK160" s="442" t="str">
        <f>IF(AI160="","",AL160+AM160)</f>
        <v/>
      </c>
      <c r="AL160" s="442" t="str">
        <f>IF(D160="","",IF(AI160=2,(('Calc (ex-animal)'!$G$38*'DB additional information '!$K$12/100*AG160/100*(1-VLOOKUP(D160,'DB technologies'!$N$82:$Y$94,9,FALSE)/100)*'Calc (ex-housing, ex-storage)'!F160/100+'Calc (ex-animal)'!$H$38*'DB additional information '!$L$12/100*AG160/100*(1-VLOOKUP(D160,'DB technologies'!$N$82:$Y$94,9,FALSE)/100)*'Calc (ex-housing, ex-storage)'!F160/100))/VLOOKUP($C$160,'DB animal categories'!$C$68:$AC$80,27,FALSE)*AJ160+I160+J160+K160,IF(AI160=1,('Calc (ex-animal)'!$H$38*AG160/100*'DB additional information '!$L$12/100*(1-VLOOKUP(D160,'DB technologies'!$N$82:$Y$94,9,FALSE)/100)*'Calc (ex-housing, ex-storage)'!F160/100)/VLOOKUP($C$160,'DB animal categories'!$C$68:$AC$80,27,FALSE)*AJ160,IF(AI160=4,('Calc (ex-animal)'!$G$38*'DB additional information '!$K$12/100+'Calc (ex-animal)'!$H$38*'DB additional information '!$L$12/100)*AG160/100*(1-VLOOKUP(D160,'DB technologies'!$N$82:$Y$94,9,FALSE)/100)*'Calc (ex-housing, ex-storage)'!F160/100*VLOOKUP(D160,'DB technologies'!$N$82:$Y$94,11,FALSE)/100/VLOOKUP($C$160,'DB animal categories'!$C$68:$AC$80,27,FALSE)*AJ160,0))))</f>
        <v/>
      </c>
      <c r="AM160" s="442" t="str">
        <f>IF(D160="","",IF(AI160=2,(('Calc (ex-animal)'!$G$38*(1-'DB additional information '!$K$12/100)*AG160/100*(1-VLOOKUP(D160,'DB technologies'!$N$82:$Y$94,8,FALSE)/100)*'Calc (ex-housing, ex-storage)'!F160/100+'Calc (ex-animal)'!$H$38*(1-'DB additional information '!$L$12/100)*AG160/100*(1-VLOOKUP(D160,'DB technologies'!$N$82:$Y$94,8,FALSE)/100)*'Calc (ex-housing, ex-storage)'!F160/100))/VLOOKUP($C$160,'DB animal categories'!$C$68:$AC$80,27,FALSE)*AJ160+M160+N160+O160,IF(AI160=1,('Calc (ex-animal)'!$H$38*(1-'DB additional information '!$L$12/100)*AG160/100*(1-VLOOKUP(D160,'DB technologies'!$N$82:$Y$94,8,FALSE)/100)*'Calc (ex-housing, ex-storage)'!F160/100)/VLOOKUP($C$160,'DB animal categories'!$C$68:$AC$80,27,FALSE)*AJ160,IF(AI160=4,('Calc (ex-animal)'!$G$38*(1-'DB additional information '!$K$12/100)+'Calc (ex-animal)'!$H$38*(1-'DB additional information '!$L$12/100))*AG160/100*(1-VLOOKUP(D160,'DB technologies'!$N$82:$Y$94,8,FALSE)/100)*'Calc (ex-housing, ex-storage)'!F160/100*VLOOKUP(D160,'DB technologies'!$N$82:$Y$94,11,FALSE)/100/VLOOKUP($C$160,'DB animal categories'!$C$68:$AC$80,27,FALSE)*AJ160,0))))</f>
        <v/>
      </c>
      <c r="AN160" s="442" t="str">
        <f>IF(AI160="","",IF(AL160=0,0,AL160/AK160*100))</f>
        <v/>
      </c>
      <c r="AO160" s="182" t="str">
        <f>IF(D160="","",IF(AI160=2,(('Calc (ex-animal)'!$L$38*'Calc (ex-housing, ex-storage)'!F160/100+'Calc (ex-animal)'!$K$38*'Calc (ex-housing, ex-storage)'!F160/100))*AG160/100/VLOOKUP($C$160,'DB animal categories'!$C$68:$AC$80,27,FALSE)*AJ160+Q160+R160+S160-AC160,IF(AI160=1,('Calc (ex-animal)'!$L$38*'Calc (ex-housing, ex-storage)'!F160/100)*AG160/100/VLOOKUP($C$160,'DB animal categories'!$C$68:$AC$80,27,FALSE)*AJ160-'Calc (ex-housing, ex-storage)'!AC160,IF(AI160=4,('Calc (ex-animal)'!$L$38+'Calc (ex-animal)'!$K$38)*'Calc (ex-housing, ex-storage)'!F160/100*AG160/100*VLOOKUP(D160,'DB technologies'!$N$82:$Y$94,11,FALSE)/100/VLOOKUP($C$160,'DB animal categories'!$C$68:$AC$80,27,FALSE)*AJ160-AC160*VLOOKUP(D160,'DB technologies'!$N$82:$Y$94,11,FALSE)/100,0))))</f>
        <v/>
      </c>
      <c r="AP160" s="182" t="str">
        <f>IF(D160="","",IF(AO160&lt;-0.01,0,IF(AI160=2,(('Calc (ex-animal)'!$L$38*'Calc (ex-housing, ex-storage)'!F160/100+'Calc (ex-animal)'!$K$38*'Calc (ex-housing, ex-storage)'!F160/100))*AG160/100/VLOOKUP($C$160,'DB animal categories'!$C$68:$AC$80,27,FALSE)*AJ160+Q160+R160+S160-AC160,IF(AI160=1,('Calc (ex-animal)'!$L$38*'Calc (ex-housing, ex-storage)'!F160/100)*AG160/100/VLOOKUP($C$160,'DB animal categories'!$C$68:$AC$80,27,FALSE)*AJ160-'Calc (ex-housing, ex-storage)'!AC160,IF(AI160=4,('Calc (ex-animal)'!$L$38+'Calc (ex-animal)'!$K$38)*'Calc (ex-housing, ex-storage)'!F160/100*AG160/100*VLOOKUP(D160,'DB technologies'!$N$82:$Y$94,11,FALSE)/100/VLOOKUP($C$160,'DB animal categories'!$C$68:$AC$80,27,FALSE)*AJ160-AC160*VLOOKUP(D160,'DB technologies'!$N$82:$Y$94,11,FALSE)/100,0)))))</f>
        <v/>
      </c>
      <c r="AQ160" s="182" t="str">
        <f>IF(D160="","",IF(AI160=2,('Calc (ex-animal)'!$O$38*'Calc (ex-housing, ex-storage)'!F160/100+'Calc (ex-animal)'!$N$38*'Calc (ex-housing, ex-storage)'!F160/100)*AG160/100/VLOOKUP($C$160,'DB animal categories'!$C$68:$AC$80,27,FALSE)*AJ160+U160+V160+W160,IF(AI160=1,'Calc (ex-animal)'!$O$38*'Calc (ex-housing, ex-storage)'!F160/100*AG160/100/VLOOKUP($C$160,'DB animal categories'!$C$68:$AC$80,27,FALSE)*AJ160,IF(AI160=4,('Calc (ex-animal)'!$O$38+'Calc (ex-animal)'!$N$38)*'Calc (ex-housing, ex-storage)'!F160/100*AG160/100*VLOOKUP(D160,'DB technologies'!$N$82:$Y$94,11,FALSE)/100/VLOOKUP($C$160,'DB animal categories'!$C$68:$AC$80,27,FALSE)*AJ160,0))))</f>
        <v/>
      </c>
      <c r="AR160" s="182" t="str">
        <f>IF(D160="","",IF(AI160=2,('Calc (ex-animal)'!$R$38*'Calc (ex-housing, ex-storage)'!F160/100+'Calc (ex-animal)'!$Q$38*'Calc (ex-housing, ex-storage)'!F160/100)*AG160/100/VLOOKUP($C$160,'DB animal categories'!$C$68:$AC$80,27,FALSE)*AJ160+Y160+Z160+AA160,IF(AI160=1,'Calc (ex-animal)'!$R$38*'Calc (ex-housing, ex-storage)'!F160/100*AG160/100/VLOOKUP($C$160,'DB animal categories'!$C$68:$AC$80,27,FALSE)*AJ160,IF(AI160=4,('Calc (ex-animal)'!$R$38+'Calc (ex-animal)'!$Q$38)*'Calc (ex-housing, ex-storage)'!F160/100*AG160/100*VLOOKUP(D160,'DB technologies'!$N$82:$Y$94,11,FALSE)/100/VLOOKUP($C$160,'DB animal categories'!$C$68:$AC$80,27,FALSE)*AJ160,0))))</f>
        <v/>
      </c>
      <c r="AS160" s="181" t="str">
        <f>IF(D160="","",VLOOKUP(D160,'DB technologies'!$N$82:$Y$94,10,FALSE))</f>
        <v/>
      </c>
      <c r="AT160" s="442" t="str">
        <f>IF(AS160="","",AU160+AV160)</f>
        <v/>
      </c>
      <c r="AU160" s="442" t="str">
        <f>IF(D160="","",IF(AS160=2,0,IF(AS160=1,'Calc (ex-animal)'!$G$38*'DB additional information '!$K$12/100*AG160/100*(1-VLOOKUP(D160,'DB technologies'!$N$82:$Y$94,8,FALSE)/100)*'Calc (ex-housing, ex-storage)'!F160/100/VLOOKUP($C$160,'DB animal categories'!$C$68:$AC$80,27,FALSE)*AJ160+I160+J160+K160,IF(AS160=5,(('Calc (ex-animal)'!$G$38*'DB additional information '!$K$12/100+'Calc (ex-animal)'!$H$38*'DB additional information '!$L$12/100))*AG160/100*(1-VLOOKUP(D160,'DB technologies'!$N$82:$Y$94,9,FALSE)/100)*'Calc (ex-housing, ex-storage)'!F160/100/VLOOKUP($C$160,'DB animal categories'!$C$68:$AC$80,27,FALSE)*AJ160+I160+J160+K160,IF(AS160=3,('Calc (ex-animal)'!$G$38*'DB additional information '!$K$12/100+'Calc (ex-animal)'!$H$38*'DB additional information '!$L$12/100)*AG160/100*(1-VLOOKUP(D160,'DB technologies'!$N$82:$Y$94,9,FALSE)/100)*'Calc (ex-housing, ex-storage)'!F160/100/VLOOKUP($C$160,'DB animal categories'!$C$68:$AC$80,27,FALSE)*AJ160+I160+J160+K160,IF(AS160=4,('Calc (ex-animal)'!$G$38*'DB additional information '!$K$12/100+'Calc (ex-animal)'!$H$38*'DB additional information '!$L$12/100)*AG160/100*(1-VLOOKUP(D160,'DB technologies'!$N$82:$Y$94,9,FALSE)/100)*'Calc (ex-housing, ex-storage)'!F160/100*VLOOKUP(D160,'DB technologies'!$N$82:$Y$94,12,FALSE)/100/VLOOKUP($C$160,'DB animal categories'!$C$68:$AC$80,27,FALSE)*AJ160+I160+J160+K160,0))))))</f>
        <v/>
      </c>
      <c r="AV160" s="442" t="str">
        <f>IF(D160="","",IF(AS160=2,0,IF(AS160=1,'Calc (ex-animal)'!$G$38*(1-'DB additional information '!$K$12/100)*AG160/100*(1-VLOOKUP(D160,'DB technologies'!$N$82:$Y$94,8,FALSE)/100)*'Calc (ex-housing, ex-storage)'!F160/100/VLOOKUP($C$160,'DB animal categories'!$C$68:$AC$80,27,FALSE)*AJ160+M160+N160+O160,IF(AS160=5,('Calc (ex-animal)'!$G$38*(1-'DB additional information '!$K$12/100)+'Calc (ex-animal)'!$H$38*(1-'DB additional information '!$L$12/100))*AG160/100*(1-VLOOKUP(D160,'DB technologies'!$N$82:$Y$94,8,FALSE)/100)*'Calc (ex-housing, ex-storage)'!F160/100/VLOOKUP($C$160,'DB animal categories'!$C$68:$AC$80,27,FALSE)*AJ160+M160+N160+O160,IF(AS160=3,('Calc (ex-animal)'!$G$38*(1-'DB additional information '!$K$12/100)+'Calc (ex-animal)'!$H$38*(1-'DB additional information '!$L$12/100))*AG160/100*(1-VLOOKUP(D160,'DB technologies'!$N$82:$Y$94,8,FALSE)/100)*'Calc (ex-housing, ex-storage)'!F160/100/VLOOKUP($C$160,'DB animal categories'!$C$68:$AC$80,27,FALSE)*AJ160+M160+N160+O160,IF(AS160=4,('Calc (ex-animal)'!$G$38*(1-'DB additional information '!$K$12/100)+'Calc (ex-animal)'!$H$38*(1-'DB additional information '!$L$12/100))*AG160/100*(1-VLOOKUP(D160,'DB technologies'!$N$82:$Y$94,8,FALSE)/100)*'Calc (ex-housing, ex-storage)'!F160/100*VLOOKUP(D160,'DB technologies'!$N$82:$Y$94,12,FALSE)/100/VLOOKUP($C$160,'DB animal categories'!$C$68:$AC$80,27,FALSE)*AJ160+M160+N160+O160,0))))))</f>
        <v/>
      </c>
      <c r="AW160" s="442" t="str">
        <f>IF(AS160="","",IF(AU160=0,0,AU160/AT160*100))</f>
        <v/>
      </c>
      <c r="AX160" s="182" t="str">
        <f>IF(D160="","",IF(AS160=2,0,IF(AS160=1,'Calc (ex-animal)'!$K$38*'Calc (ex-housing, ex-storage)'!F160/100*AG160/100/VLOOKUP($C$160,'DB animal categories'!$C$68:$AC$80,27,FALSE)*AJ160+Q160+R160+S160,IF(AS160=5,('Calc (ex-animal)'!$K$38+'Calc (ex-animal)'!$L$38)*AG160/100*'Calc (ex-housing, ex-storage)'!F160/100/VLOOKUP($C$160,'DB animal categories'!$C$68:$AC$80,27,FALSE)*AJ160+Q160+R160+S160-'Calc (ex-housing, ex-storage)'!AC160,IF(AS160=3,('Calc (ex-animal)'!$K$38+'Calc (ex-animal)'!$L$38)*AG160/100*'Calc (ex-housing, ex-storage)'!F160/100/VLOOKUP($C$160,'DB animal categories'!$C$68:$AC$80,27,FALSE)*AJ160+Q160+R160+S160-'Calc (ex-housing, ex-storage)'!AC160-AD160-AE160,IF(AI160=4,('Calc (ex-animal)'!$K$38+'Calc (ex-animal)'!$L$38)*AG160/100*'Calc (ex-housing, ex-storage)'!F160/100*VLOOKUP(D160,'DB technologies'!$N$82:$Y$94,12,FALSE)/100/VLOOKUP($C$160,'DB animal categories'!$C$68:$AC$80,27,FALSE)*AJ160+Q160+R160+S160-(VLOOKUP(D160,'DB technologies'!$N$82:$Y$94,12,FALSE)/100*AC160)-AD160-AE160,0))))))</f>
        <v/>
      </c>
      <c r="AY160" s="182" t="str">
        <f>IF(D160="","",IF(AS160=2,0,IF(AS160=1,'Calc (ex-animal)'!$N$38*AG160/100*'Calc (ex-housing, ex-storage)'!F160/100/VLOOKUP($C$160,'DB animal categories'!$C$68:$AC$80,27,FALSE)*AJ160+U160+V160+W160,IF(AS160=5,('Calc (ex-animal)'!$N$38+'Calc (ex-animal)'!$O$38)*AG160/100*'Calc (ex-housing, ex-storage)'!F160/100/VLOOKUP($C$160,'DB animal categories'!$C$68:$AC$80,27,FALSE)*AJ160+U160+V160+W160,IF(AS160=3,('Calc (ex-animal)'!$N$38+'Calc (ex-animal)'!$O$38)*AG160/100*'Calc (ex-housing, ex-storage)'!F160/100/VLOOKUP($C$160,'DB animal categories'!$C$68:$AC$80,27,FALSE)*AJ160+U160+V160+W160,IF(AS160=4,('Calc (ex-animal)'!$N$38+'Calc (ex-animal)'!$O$38)*AG160/100*'Calc (ex-housing, ex-storage)'!F160/100*VLOOKUP(D160,'DB technologies'!$N$82:$Y$94,12,FALSE)/100/VLOOKUP($C$160,'DB animal categories'!$C$68:$AC$80,27,FALSE)*AJ160+U160+V160+W160,0))))))</f>
        <v/>
      </c>
      <c r="AZ160" s="182" t="str">
        <f>IF(D160="","",IF(AS160=2,0,IF(AS160=1,'Calc (ex-animal)'!$Q$38*AG160/100*'Calc (ex-housing, ex-storage)'!F160/100/VLOOKUP($C$160,'DB animal categories'!$C$68:$AC$80,27,FALSE)*AJ160+Y160+Z160+AA160,IF(AS160=5,('Calc (ex-animal)'!$Q$38+'Calc (ex-animal)'!$R$38)*AG160/100*'Calc (ex-housing, ex-storage)'!F160/100/VLOOKUP($C$160,'DB animal categories'!$C$68:$AC$80,27,FALSE)*AJ160+Y160+Z160+AA160,IF(AS160=3,('Calc (ex-animal)'!$Q$38+'Calc (ex-animal)'!$R$38)*AG160/100*'Calc (ex-housing, ex-storage)'!F160/100/VLOOKUP($C$160,'DB animal categories'!$C$68:$AC$80,27,FALSE)*AJ160+Y160+Z160+AA160,IF(AS160=4,('Calc (ex-animal)'!$Q$38+'Calc (ex-animal)'!$R$38)*AG160/100*'Calc (ex-housing, ex-storage)'!F160/100*VLOOKUP(D160,'DB technologies'!$N$82:$Y$94,12,FALSE)/100/VLOOKUP($C$160,'DB animal categories'!$C$68:$AC$80,27,FALSE)*AJ160+Y160+Z160+AA160,0))))))</f>
        <v/>
      </c>
      <c r="BA160" s="506"/>
      <c r="BB160" s="506"/>
      <c r="BC160" s="506"/>
    </row>
    <row r="161" spans="1:55" x14ac:dyDescent="0.2">
      <c r="A161" s="684"/>
      <c r="B161" s="695"/>
      <c r="C161" s="251"/>
      <c r="D161" s="1367"/>
      <c r="E161" s="1369"/>
      <c r="F161" s="751" t="str">
        <f>IF('Calc (ex-animal)'!$F$9=1,"",IF($C$152=0,"",IF(D161="","",E161/'Calc (ex-animal)'!$E$32*100)))</f>
        <v/>
      </c>
      <c r="G161" s="485" t="str">
        <f>IF($C$160=0,"",IF('Calc (ex-animal)'!$F$38=1,"",IF(D161="","",SUM(H161:O161))))</f>
        <v/>
      </c>
      <c r="H161" s="423" t="str">
        <f>IF('Calc (ex-animal)'!$F$38=1,"",IF(D161="","",(((VLOOKUP($C$160,'Calc (ex-animal)'!$D$38:$Y$42,6,FALSE)-VLOOKUP($C$160,'Calc (ex-animal)'!$D$38:$Y$42,17,FALSE))*F160/100*AH160/100))*VLOOKUP($C$160,'Calc (ex-animal)'!$D$38:$Y$42,7,FALSE)/100*(1-VLOOKUP(D161,'DB technologies'!$N$96:$Y$107,9,FALSE)/100)))</f>
        <v/>
      </c>
      <c r="I161" s="423" t="str">
        <f>IF(D161="","",((VLOOKUP(D161,'DB technologies'!$N$96:$Y$107,2,FALSE)*VLOOKUP($C$160,'DB animal categories'!$C$68:$AC$80,27,FALSE)*F160/1000*AH160/100)/VLOOKUP($C$160,'DB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'!$S$6/100*(1-VLOOKUP(D161,'DB technologies'!$N$96:$Y$107,9,FALSE)/100)))</f>
        <v/>
      </c>
      <c r="J161" s="434" t="str">
        <f>IF(D161="","",((VLOOKUP(D161,'DB technologies'!$N$96:$Y$107,3,FALSE)*VLOOKUP($C$160,'DB animal categories'!$C$68:$AC$80,27,FALSE)*E160/1000*AH160/100)/VLOOKUP($C$160,'DB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'!$S$7/100*(1-VLOOKUP(D161,'DB technologies'!$N$96:$Y$107,9,FALSE)/100)))</f>
        <v/>
      </c>
      <c r="K161" s="526" t="str">
        <f>IF(D161="","",((VLOOKUP(D161,'DB technologies'!$N$96:$Y$107,4,FALSE)*E160*AH160/100*'DB additional information '!$S$8/100*(1-VLOOKUP(D161,'DB technologies'!$N$96:$Y$107,9,FALSE)/100))/VLOOKUP($C$160,'DB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1" s="423" t="str">
        <f>IF('Calc (ex-animal)'!$F$38=1,"",IF(D161="","",(((VLOOKUP($C$160,'Calc (ex-animal)'!$D$38:$Y$42,6,FALSE)-VLOOKUP($C$160,'Calc (ex-animal)'!$D$38:$Y$42,17,FALSE))*F160/100*AH160/100))*(1-VLOOKUP($C$160,'Calc (ex-animal)'!$D$38:$Y$42,7,FALSE)/100)*(1-VLOOKUP(D161,'DB technologies'!$N$96:$V$107,8,FALSE)/100)))</f>
        <v/>
      </c>
      <c r="M161" s="434" t="str">
        <f>IF(D161="","",((VLOOKUP(D161,'DB technologies'!$N$96:$Y$107,2,FALSE)*VLOOKUP($C$160,'DB animal categories'!$C$68:$AC$80,27,FALSE)*E160/1000*AH160/100)/VLOOKUP($C$160,'DB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'!$S$6/100)*(1-VLOOKUP(D161,'DB technologies'!$N$96:$Y$107,9,FALSE)/100))</f>
        <v/>
      </c>
      <c r="N161" s="434" t="str">
        <f>IF(D161="","",((VLOOKUP(D161,'DB technologies'!$N$96:$Y$107,3,FALSE)*VLOOKUP($C$160,'DB animal categories'!$C$68:$AC$80,27,FALSE)*E160/1000*AH160/100)/VLOOKUP($C$160,'DB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'!$S$7/100)*(1-VLOOKUP(D161,'DB technologies'!$N$96:$Y$107,9,FALSE)/100))</f>
        <v/>
      </c>
      <c r="O161" s="423" t="str">
        <f>IF(D161="","",((VLOOKUP(D161,'DB technologies'!$N$96:$Y$107,4,FALSE)*E160*AH160/100*(1-'DB additional information '!$S$8/100)*(1-VLOOKUP(D161,'DB technologies'!$N$96:$Y$107,8,FALSE)/100))/VLOOKUP($C$160,'DB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1" s="438" t="str">
        <f>IF(G161=0,0,IF(E160="","",IF(F160="","",IF($C$160=0,"",IF(D161="","",SUM(H161:K161)/G161*100)))))</f>
        <v/>
      </c>
      <c r="Q161" s="416" t="str">
        <f>IF(D161="","",(VLOOKUP(D161,'DB technologies'!$N$96:$Y$107,2,FALSE)*'DB additional information '!$S$6/100*'DB additional information '!$T$6*VLOOKUP($C$160,'DB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1" s="416" t="str">
        <f>IF(D161="","",(VLOOKUP(D161,'DB technologies'!$N$96:$Y$107,3,FALSE)*'DB additional information '!$S$7/100*'DB additional information '!$T$7*VLOOKUP($C$160,'DB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1" s="491" t="str">
        <f>IF(D161="","",(VLOOKUP(D161,'DB technologies'!$N$96:$Y$107,4,FALSE)*('DB additional information '!$S$8/100*'DB additional information '!$T$8*E160/1000/1000*AH160/100)))</f>
        <v/>
      </c>
      <c r="T161" s="303" t="str">
        <f>IF($C$160=0,"",IF('Calc (ex-animal)'!$F$38=1,"",IF(D161="","",((VLOOKUP($C$160,'Calc (ex-animal)'!$D$38:$Y$42,10,FALSE)-VLOOKUP($C$160,'Calc (ex-animal)'!$D$38:$Y$42,18,FALSE))*F160/100*AH160/100+Q161+R161+S161)-AC161-AD161-AE161)))</f>
        <v/>
      </c>
      <c r="U161" s="542" t="str">
        <f>IF(D161="","",(VLOOKUP(D161,'DB technologies'!$N$96:$Y$107,2,FALSE)*'DB additional information '!$S$6/100*'DB additional information '!$U$6*VLOOKUP($C$160,'DB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1" s="524" t="str">
        <f>IF(D161="","",(VLOOKUP(D161,'DB technologies'!$N$96:$Y$107,3,FALSE)*'DB additional information '!$S$7/100*'DB additional information '!$U$7*VLOOKUP($C$160,'DB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1" s="543" t="str">
        <f>IF(D161="","",(VLOOKUP(D161,'DB technologies'!$N$96:$Y$107,4,FALSE)*('DB additional information '!$S$8/100*'DB additional information '!$U$8*E160/1000/1000*AH160/100)))</f>
        <v/>
      </c>
      <c r="X161" s="304" t="str">
        <f>IF($C$160=0,"",IF('Calc (ex-animal)'!$F$38=1,"",IF(D161="","",((VLOOKUP($C$160,'Calc (ex-animal)'!$D$38:$Y$42,13,FALSE)-VLOOKUP($C$160,'Calc (ex-animal)'!$D$38:$Y$42,19,FALSE))*F160/100*AH160/100+U161+V161+W161))))</f>
        <v/>
      </c>
      <c r="Y161" s="524" t="str">
        <f>IF(D161="","",(VLOOKUP(D161,'DB technologies'!$N$96:$Y$107,2,FALSE)*'DB additional information '!$S$6/100*'DB additional information '!$V$6*VLOOKUP($C$160,'DB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1" s="524" t="str">
        <f>IF(D161="","",(VLOOKUP(D161,'DB technologies'!$N$96:$Y$107,3,FALSE)*'DB additional information '!$S$7/100*'DB additional information '!$V$7*VLOOKUP($C$160,'DB animal categories'!$C$68:$AC$80,27,FALSE)*E160/1000/1000*AH160/100)/VLOOKUP($C$160,'DB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1" s="524" t="str">
        <f>IF(D161="","",(VLOOKUP(D161,'DB technologies'!$N$96:$Y$107,4,FALSE)*('DB additional information '!$S$8/100*'DB additional information '!$V$8*E160/1000/1000*AH160/100)))</f>
        <v/>
      </c>
      <c r="AB161" s="304" t="str">
        <f>IF($C$160=0,"",IF('Calc (ex-animal)'!$F$38=1,"",IF(D161="","",((VLOOKUP($C$160,'Calc (ex-animal)'!$D$38:$Y$42,16,FALSE)-VLOOKUP($C$160,'Calc (ex-animal)'!$D$38:$Y$42,20,FALSE))*F160/100*AH160/100+Y161+Z161+AA161))))</f>
        <v/>
      </c>
      <c r="AC161" s="304" t="str">
        <f>IF($C$160=0,"",IF('Calc (ex-animal)'!$F$38=1,"",IF(D161="","",VLOOKUP($C$160,'Calc (ex-animal)'!$D$38:$Y$42,9,FALSE)*AH160/100/VLOOKUP($C$160,'DB animal categories'!$C$68:$AC$80,27,FALSE)*(VLOOKUP($C$160,'DB animal categories'!$C$68:$AC$80,27,FALSE)-VLOOKUP($C$160,'DB animal categories'!$C$68:$AC$80,25,FALSE)*VLOOKUP($C$160,'DB animal categories'!$C$68:$AC$80,26,FALSE)/24)*F160/100*VLOOKUP(D161,'DB technologies'!$N$96:$R$107,5,FALSE)/100)))</f>
        <v/>
      </c>
      <c r="AD161" s="304" t="str">
        <f>IF($C$160=0,"",IF('Calc (ex-animal)'!$F$38=1,"",IF(D161="","",VLOOKUP($C$160,'Calc (ex-animal)'!$D$38:$Y$42,10,FALSE)*AH160/100/VLOOKUP($C$160,'DB animal categories'!$C$68:$AC$80,27,FALSE)*(VLOOKUP($C$160,'DB animal categories'!$C$68:$AC$80,27,FALSE)-VLOOKUP($C$160,'DB animal categories'!$C$68:$AC$80,25,FALSE)*VLOOKUP($C$160,'DB animal categories'!$C$68:$AC$80,26,FALSE)/24)*F160/100*VLOOKUP(D161,'DB technologies'!$N$96:$Y$107,6,FALSE)/100)))</f>
        <v/>
      </c>
      <c r="AE161" s="305" t="str">
        <f>IF($C$160=0,"",IF('Calc (ex-animal)'!$F$38=1,"",IF(D161="","",VLOOKUP($C$160,'Calc (ex-animal)'!$D$38:$Y$42,10,FALSE)*AH160/100/VLOOKUP($C$160,'DB animal categories'!$C$68:$AC$80,27,FALSE)*(VLOOKUP($C$160,'DB animal categories'!$C$68:$AC$80,27,FALSE)-VLOOKUP($C$160,'DB animal categories'!$C$68:$AC$80,25,FALSE)*VLOOKUP($C$160,'DB animal categories'!$C$68:$AC$80,26,FALSE)/24)*F160/100*VLOOKUP(D161,'DB technologies'!$N$96:$Y$107,7,FALSE)/100)))</f>
        <v/>
      </c>
      <c r="AG161" s="1379"/>
      <c r="AH161" s="1380"/>
      <c r="AI161" s="187" t="str">
        <f>IF(D161="","",VLOOKUP(D161,'DB technologies'!$N$96:$Y$107,10,FALSE))</f>
        <v/>
      </c>
      <c r="AJ161" s="451" t="e">
        <f>VLOOKUP($C$160,'DB animal categories'!$C$68:$AN$80,27,FALSE)-VLOOKUP($C$160,'DB animal categories'!$C$68:$AN$80,26,FALSE)*VLOOKUP($C$160,'DB animal categories'!$C$68:$AN$80,25,FALSE)/24</f>
        <v>#N/A</v>
      </c>
      <c r="AK161" s="452" t="str">
        <f>IF(AI161="","",AL161+AM161)</f>
        <v/>
      </c>
      <c r="AL161" s="452" t="str">
        <f>IF(D161="","",IF(AI161=2,(('Calc (ex-animal)'!$G$38*'DB additional information '!$K$12/100*AH160/100*(1-VLOOKUP(D161,'DB technologies'!$N$96:$Y$107,9,FALSE)/100)*'Calc (ex-housing, ex-storage)'!F160/100+'Calc (ex-animal)'!$H$38*'DB additional information '!$L$12/100*AH160/100*(1-VLOOKUP(D161,'DB technologies'!$N$96:$Y$107,9,FALSE)/100)*'Calc (ex-housing, ex-storage)'!F160/100))/VLOOKUP($C$160,'DB animal categories'!$C$68:$AC$80,27,FALSE)*AJ161+I161+J161+K161,IF(AI161=1,('Calc (ex-animal)'!$H$38*AH160/100*'DB additional information '!$L$12/100*(1-VLOOKUP(D161,'DB technologies'!$N$96:$Y$107,9,FALSE)/100)*'Calc (ex-housing, ex-storage)'!F160/100)/VLOOKUP($C$160,'DB animal categories'!$C$68:$AC$80,27,FALSE)*AJ161,IF(AI161=4,('Calc (ex-animal)'!$G$38*'DB additional information '!$K$12/100+'Calc (ex-animal)'!$H$38*'DB additional information '!$L$12/100)*AH160/100*(1-VLOOKUP(D161,'DB technologies'!$N$96:$Y$107,9,FALSE)/100)*'Calc (ex-housing, ex-storage)'!F160/100*VLOOKUP(D161,'DB technologies'!$N$96:$Y$107,11,FALSE)/100/VLOOKUP($C$160,'DB animal categories'!$C$68:$AC$80,27,FALSE)*AJ161,0))))</f>
        <v/>
      </c>
      <c r="AM161" s="452" t="str">
        <f>IF(D161="","",IF(AI161=2,(('Calc (ex-animal)'!$G$38*(1-'DB additional information '!$K$12/100)*AH160/100*(1-VLOOKUP(D161,'DB technologies'!$N$96:$Y$107,8,FALSE)/100)*'Calc (ex-housing, ex-storage)'!F160/100+'Calc (ex-animal)'!$H$38*(1-'DB additional information '!$L$12/100)*AH160/100*(1-VLOOKUP(D161,'DB technologies'!$N$96:$Y$107,8,FALSE)/100)*'Calc (ex-housing, ex-storage)'!F160/100))/VLOOKUP($C$160,'DB animal categories'!$C$68:$AC$80,27,FALSE)*AJ161+M161+N161+O161,IF(AI161=1,('Calc (ex-animal)'!$H$38*(1-'DB additional information '!$L$12/100)*AH160/100*(1-VLOOKUP(D161,'DB technologies'!$N$96:$Y$107,8,FALSE)/100)*'Calc (ex-housing, ex-storage)'!F160/100)/VLOOKUP($C$160,'DB animal categories'!$C$68:$AC$80,27,FALSE)*AJ161,IF(AI161=4,('Calc (ex-animal)'!$G$38*(1-'DB additional information '!$K$12/100)+'Calc (ex-animal)'!$H$38*(1-'DB additional information '!$L$12/100))*AH160/100*(1-VLOOKUP(D161,'DB technologies'!$N$96:$Y$107,8,FALSE)/100)*'Calc (ex-housing, ex-storage)'!F160/100*VLOOKUP(D161,'DB technologies'!$N$96:$Y$107,11,FALSE)/100/VLOOKUP($C$160,'DB animal categories'!$C$68:$AC$80,27,FALSE)*AJ161,0))))</f>
        <v/>
      </c>
      <c r="AN161" s="452" t="str">
        <f>IF(AI161="","",IF(AL161=0,0,AL161/AK161*100))</f>
        <v/>
      </c>
      <c r="AO161" s="184" t="str">
        <f>IF(D161="","",IF(AI161=2,(('Calc (ex-animal)'!$L$38*'Calc (ex-housing, ex-storage)'!F160/100+'Calc (ex-animal)'!$K$38*'Calc (ex-housing, ex-storage)'!F160/100))*AH160/100/VLOOKUP($C$160,'DB animal categories'!$C$68:$AC$80,27,FALSE)*AJ161+Q161+R161+S161-AC161,IF(AI161=1,('Calc (ex-animal)'!$L$38*'Calc (ex-housing, ex-storage)'!F160/100)*AH160/100/VLOOKUP($C$160,'DB animal categories'!$C$68:$AC$80,27,FALSE)*AJ161-'Calc (ex-housing, ex-storage)'!AC161,IF(AI161=4,('Calc (ex-animal)'!$L$38+'Calc (ex-animal)'!$K$38)*'Calc (ex-housing, ex-storage)'!F160/100*AH160/100*VLOOKUP(D161,'DB technologies'!$N$96:$Y$107,11,FALSE)/100/VLOOKUP($C$160,'DB animal categories'!$C$68:$AC$80,27,FALSE)*AJ161-AC161*VLOOKUP(D161,'DB technologies'!$N$96:$Y$107,11,FALSE)/100,0))))</f>
        <v/>
      </c>
      <c r="AP161" s="184" t="str">
        <f>IF(D161="","",IF(AO161&lt;-0.01,0,IF(AI161=2,(('Calc (ex-animal)'!$L$38*'Calc (ex-housing, ex-storage)'!F160/100+'Calc (ex-animal)'!$K$38*'Calc (ex-housing, ex-storage)'!F160/100))*AH160/100/VLOOKUP($C$160,'DB animal categories'!$C$68:$AC$80,27,FALSE)*AJ161+Q161+R161+S161-AC161,IF(AI161=1,('Calc (ex-animal)'!$L$38*'Calc (ex-housing, ex-storage)'!F160/100)*AH160/100/VLOOKUP($C$160,'DB animal categories'!$C$68:$AC$80,27,FALSE)*AJ161-'Calc (ex-housing, ex-storage)'!AC161,IF(AI161=4,('Calc (ex-animal)'!$L$38+'Calc (ex-animal)'!$K$38)*'Calc (ex-housing, ex-storage)'!F160/100*AH160/100*VLOOKUP(D161,'DB technologies'!$N$96:$Y$107,11,FALSE)/100/VLOOKUP($C$160,'DB animal categories'!$C$68:$AC$80,27,FALSE)*AJ161-AC161*VLOOKUP(D161,'DB technologies'!$N$96:$Y$107,11,FALSE)/100,0)))))</f>
        <v/>
      </c>
      <c r="AQ161" s="184" t="str">
        <f>IF(D161="","",IF(AI161=2,('Calc (ex-animal)'!$O$38*'Calc (ex-housing, ex-storage)'!F160/100+'Calc (ex-animal)'!$N$38*'Calc (ex-housing, ex-storage)'!F160/100)*AH160/100/VLOOKUP($C$160,'DB animal categories'!$C$68:$AC$80,27,FALSE)*AJ161+U161+V161+W161,IF(AI161=1,'Calc (ex-animal)'!$O$38*'Calc (ex-housing, ex-storage)'!F160/100*AH160/100/VLOOKUP($C$160,'DB animal categories'!$C$68:$AC$80,27,FALSE)*AJ161,IF(AI161=4,('Calc (ex-animal)'!$O$38+'Calc (ex-animal)'!$N$38)*'Calc (ex-housing, ex-storage)'!F160/100*AH160/100*VLOOKUP(D161,'DB technologies'!$N$96:$Y$107,11,FALSE)/100/VLOOKUP($C$160,'DB animal categories'!$C$68:$AC$80,27,FALSE)*AJ161,0))))</f>
        <v/>
      </c>
      <c r="AR161" s="184" t="str">
        <f>IF(D161="","",IF(AI161=2,('Calc (ex-animal)'!$R$38*'Calc (ex-housing, ex-storage)'!F160/100+'Calc (ex-animal)'!$Q$38*'Calc (ex-housing, ex-storage)'!F160/100)*AH160/100/VLOOKUP($C$160,'DB animal categories'!$C$68:$AC$80,27,FALSE)*AJ161+Y161+Z161+AA161,IF(AI161=1,'Calc (ex-animal)'!$R$38*'Calc (ex-housing, ex-storage)'!F160/100*AH160/100/VLOOKUP($C$160,'DB animal categories'!$C$68:$AC$80,27,FALSE)*AJ161,IF(AI161=4,('Calc (ex-animal)'!$R$38+'Calc (ex-animal)'!$Q$38)*'Calc (ex-housing, ex-storage)'!F160/100*AH160/100*VLOOKUP(D161,'DB technologies'!$N$96:$Y$107,11,FALSE)/100/VLOOKUP($C$160,'DB animal categories'!$C$68:$AC$80,27,FALSE)*AJ161,0))))</f>
        <v/>
      </c>
      <c r="AS161" s="183" t="str">
        <f>IF(D161="","",VLOOKUP(D161,'DB technologies'!$N$96:$Y$107,10,FALSE))</f>
        <v/>
      </c>
      <c r="AT161" s="452" t="str">
        <f>IF(AS161="","",AU161+AV161)</f>
        <v/>
      </c>
      <c r="AU161" s="452" t="str">
        <f>IF(D161="","",IF(AS161=2,0,IF(AS161=1,'Calc (ex-animal)'!$G$38*'DB additional information '!$K$12/100*AH160/100*(1-VLOOKUP(D161,'DB technologies'!$N$96:$Y$107,8,FALSE)/100)*'Calc (ex-housing, ex-storage)'!F160/100/VLOOKUP($C$160,'DB animal categories'!$C$68:$AC$80,27,FALSE)*AJ161+I161+J161+K161,IF(AS161=5,(('Calc (ex-animal)'!$G$38*'DB additional information '!$K$12/100+'Calc (ex-animal)'!$H$38*'DB additional information '!$L$12/100))*AH160/100*(1-VLOOKUP(D161,'DB technologies'!$N$96:$Y$107,9,FALSE)/100)*'Calc (ex-housing, ex-storage)'!F160/100/VLOOKUP($C$160,'DB animal categories'!$C$68:$AC$80,27,FALSE)*AJ161+I161+J161+K161,IF(AS161=3,('Calc (ex-animal)'!$G$38*'DB additional information '!$K$12/100+'Calc (ex-animal)'!$H$38*'DB additional information '!$L$12/100)*AH160/100*(1-VLOOKUP(D161,'DB technologies'!$N$96:$Y$107,9,FALSE)/100)*'Calc (ex-housing, ex-storage)'!F160/100/VLOOKUP($C$160,'DB animal categories'!$C$68:$AC$80,27,FALSE)*AJ161+I161+J161+K161,IF(AS161=4,('Calc (ex-animal)'!$G$38*'DB additional information '!$K$12/100+'Calc (ex-animal)'!$H$38*'DB additional information '!$L$12/100)*AH160/100*(1-VLOOKUP(D161,'DB technologies'!$N$96:$Y$107,9,FALSE)/100)*'Calc (ex-housing, ex-storage)'!F160/100*VLOOKUP(D161,'DB technologies'!$N$96:$Y$107,12,FALSE)/100/VLOOKUP($C$160,'DB animal categories'!$C$68:$AC$80,27,FALSE)*AJ161+I161+J161+K161,0))))))</f>
        <v/>
      </c>
      <c r="AV161" s="452" t="str">
        <f>IF(D161="","",IF(AS161=2,0,IF(AS161=1,'Calc (ex-animal)'!$G$38*(1-'DB additional information '!$K$12/100)*AH160/100*(1-VLOOKUP(D161,'DB technologies'!$N$96:$Y$107,8,FALSE)/100)*'Calc (ex-housing, ex-storage)'!F160/100/VLOOKUP($C$160,'DB animal categories'!$C$68:$AC$80,27,FALSE)*AJ161+M161+N161+O161,IF(AS161=5,('Calc (ex-animal)'!$G$38*(1-'DB additional information '!$K$12/100)+'Calc (ex-animal)'!$H$38*(1-'DB additional information '!$L$12/100))*AH160/100*(1-VLOOKUP(D161,'DB technologies'!$N$96:$Y$107,8,FALSE)/100)*'Calc (ex-housing, ex-storage)'!F160/100/VLOOKUP($C$160,'DB animal categories'!$C$68:$AC$80,27,FALSE)*AJ161+M161+N161+O161,IF(AS161=3,('Calc (ex-animal)'!$G$38*(1-'DB additional information '!$K$12/100)+'Calc (ex-animal)'!$H$38*(1-'DB additional information '!$L$12/100))*AH160/100*(1-VLOOKUP(D161,'DB technologies'!$N$96:$Y$107,8,FALSE)/100)*'Calc (ex-housing, ex-storage)'!F160/100/VLOOKUP($C$160,'DB animal categories'!$C$68:$AC$80,27,FALSE)*AJ161+M161+N161+O161,IF(AS161=4,('Calc (ex-animal)'!$G$38*(1-'DB additional information '!$K$12/100)+'Calc (ex-animal)'!$H$38*(1-'DB additional information '!$L$12/100))*AH160/100*(1-VLOOKUP(D161,'DB technologies'!$N$96:$Y$107,8,FALSE)/100)*'Calc (ex-housing, ex-storage)'!F160/100*VLOOKUP(D161,'DB technologies'!$N$96:$Y$107,12,FALSE)/100/VLOOKUP($C$160,'DB animal categories'!$C$68:$AC$80,27,FALSE)*AJ161+M161+N161+O161,0))))))</f>
        <v/>
      </c>
      <c r="AW161" s="452" t="str">
        <f>IF(AS161="","",IF(AU161=0,0,AU161/AT161*100))</f>
        <v/>
      </c>
      <c r="AX161" s="184" t="str">
        <f>IF(D161="","",IF(AS161=2,0,IF(AS161=1,'Calc (ex-animal)'!$K$38*'Calc (ex-housing, ex-storage)'!F160/100*AH160/100/VLOOKUP($C$160,'DB animal categories'!$C$68:$AC$80,27,FALSE)*AJ161+Q161+R161+S161,IF(AS161=5,('Calc (ex-animal)'!$K$38+'Calc (ex-animal)'!$L$38)*AH160/100*'Calc (ex-housing, ex-storage)'!F160/100/VLOOKUP($C$160,'DB animal categories'!$C$68:$AC$80,27,FALSE)*AJ161+Q161+R161+S161-'Calc (ex-housing, ex-storage)'!AC161,IF(AS161=3,('Calc (ex-animal)'!$K$38+'Calc (ex-animal)'!$L$38)*AH160/100*'Calc (ex-housing, ex-storage)'!F160/100/VLOOKUP($C$160,'DB animal categories'!$C$68:$AC$80,27,FALSE)*AJ161+Q161+R161+S161-'Calc (ex-housing, ex-storage)'!AC161-AD161-AE161,IF(AI161=4,('Calc (ex-animal)'!$K$38+'Calc (ex-animal)'!$L$38)*AH160/100*'Calc (ex-housing, ex-storage)'!F160/100*VLOOKUP(D161,'DB technologies'!$N$96:$Y$107,12,FALSE)/100/VLOOKUP($C$160,'DB animal categories'!$C$68:$AC$80,27,FALSE)*AJ161+Q161+R161+S161-(VLOOKUP(D161,'DB technologies'!$N$96:$Y$107,12,FALSE)/100*AC161)-AD161-AE161,0))))))</f>
        <v/>
      </c>
      <c r="AY161" s="184" t="str">
        <f>IF(D161="","",IF(AS161=2,0,IF(AS161=1,'Calc (ex-animal)'!$N$38*AH160/100*'Calc (ex-housing, ex-storage)'!F160/100/VLOOKUP($C$160,'DB animal categories'!$C$68:$AC$80,27,FALSE)*AJ161+U161+V161+W161,IF(AS161=5,('Calc (ex-animal)'!$N$38+'Calc (ex-animal)'!$O$38)*AH160/100*'Calc (ex-housing, ex-storage)'!F160/100/VLOOKUP($C$160,'DB animal categories'!$C$68:$AC$80,27,FALSE)*AJ161+U161+V161+W161,IF(AS161=3,('Calc (ex-animal)'!$N$38+'Calc (ex-animal)'!$O$38)*AH160/100*'Calc (ex-housing, ex-storage)'!F160/100/VLOOKUP($C$160,'DB animal categories'!$C$68:$AC$80,27,FALSE)*AJ161+U161+V161+W161,IF(AS161=4,('Calc (ex-animal)'!$N$38+'Calc (ex-animal)'!$O$38)*AH160/100*'Calc (ex-housing, ex-storage)'!F160/100*VLOOKUP(D161,'DB technologies'!$N$96:$Y$107,12,FALSE)/100/VLOOKUP($C$160,'DB animal categories'!$C$68:$AC$80,27,FALSE)*AJ161+U161+V161+W161,0))))))</f>
        <v/>
      </c>
      <c r="AZ161" s="184" t="str">
        <f>IF(D161="","",IF(AS161=2,0,IF(AS161=1,'Calc (ex-animal)'!$Q$38*AH160/100*'Calc (ex-housing, ex-storage)'!F160/100/VLOOKUP($C$160,'DB animal categories'!$C$68:$AC$80,27,FALSE)*AJ161+Y161+Z161+AA161,IF(AS161=5,('Calc (ex-animal)'!$Q$38+'Calc (ex-animal)'!$R$38)*AH160/100*'Calc (ex-housing, ex-storage)'!F160/100/VLOOKUP($C$160,'DB animal categories'!$C$68:$AC$80,27,FALSE)*AJ161+Y161+Z161+AA161,IF(AS161=3,('Calc (ex-animal)'!$Q$38+'Calc (ex-animal)'!$R$38)*AH160/100*'Calc (ex-housing, ex-storage)'!F160/100/VLOOKUP($C$160,'DB animal categories'!$C$68:$AC$80,27,FALSE)*AJ161+Y161+Z161+AA161,IF(AS161=4,('Calc (ex-animal)'!$Q$38+'Calc (ex-animal)'!$R$38)*AH160/100*'Calc (ex-housing, ex-storage)'!F160/100*VLOOKUP(D161,'DB technologies'!$N$96:$Y$107,12,FALSE)/100/VLOOKUP($C$160,'DB animal categories'!$C$68:$AC$80,27,FALSE)*AJ161+Y161+Z161+AA161,0))))))</f>
        <v/>
      </c>
      <c r="BA161" s="506"/>
      <c r="BB161" s="506"/>
      <c r="BC161" s="506"/>
    </row>
    <row r="162" spans="1:55" x14ac:dyDescent="0.2">
      <c r="A162" s="684"/>
      <c r="B162" s="695"/>
      <c r="C162" s="251"/>
      <c r="D162" s="1357"/>
      <c r="E162" s="1370"/>
      <c r="F162" s="740" t="str">
        <f>IF('Calc (ex-animal)'!$F$38=1,"",IF($C$160=0,"",IF(D162="","",E162/'Calc (ex-animal)'!$E$38*100)))</f>
        <v/>
      </c>
      <c r="G162" s="537" t="str">
        <f>IF($C$160=0,"",IF('Calc (ex-animal)'!$F$38=1,"",IF(D162="","",SUM(H162:O162))))</f>
        <v/>
      </c>
      <c r="H162" s="527" t="str">
        <f>IF('Calc (ex-animal)'!$F$38=1,"",IF(D162="","",(((VLOOKUP($C$160,'Calc (ex-animal)'!$D$38:$Y$42,6,FALSE)-VLOOKUP($C$160,'Calc (ex-animal)'!$D$38:$Y$42,17,FALSE))*F162/100*AG162/100))*VLOOKUP($C$160,'Calc (ex-animal)'!$D$38:$Y$42,7,FALSE)/100*(1-VLOOKUP(D162,'DB technologies'!$N$83:$Y$94,9,FALSE)/100)))</f>
        <v/>
      </c>
      <c r="I162" s="527" t="str">
        <f>IF(D162="","",((VLOOKUP(D162,'DB technologies'!$N$83:$Y$94,2,FALSE)*VLOOKUP($C$160,'DB animal categories'!$C$68:$AC$80,27,FALSE)*E162/1000*AG162/100)/VLOOKUP($C$160,'DB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'!$S$6/100*(1-VLOOKUP(D162,'DB technologies'!$N$83:$Y$94,9,FALSE)/100)))</f>
        <v/>
      </c>
      <c r="J162" s="528" t="str">
        <f>IF(D162="","",((VLOOKUP(D162,'DB technologies'!$N$83:$Y$94,3,FALSE)*VLOOKUP($C$160,'DB animal categories'!$C$68:$AC$80,27,FALSE)*E162/1000*AG162/100)/VLOOKUP($C$160,'DB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'!$S$7/100*(1-VLOOKUP(D162,'DB technologies'!$N$83:$Y$94,9,FALSE)/100)))</f>
        <v/>
      </c>
      <c r="K162" s="529" t="str">
        <f>IF(D162="","",((VLOOKUP(D162,'DB technologies'!$N$83:$Y$94,4,FALSE)*E162*AG162/100*'DB additional information '!$S$8/100*(1-VLOOKUP(D162,'DB technologies'!$N$83:$Y$94,9,FALSE)/100))/VLOOKUP($C$160,'DB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2" s="527" t="str">
        <f>IF('Calc (ex-animal)'!$F$38=1,"",IF(D162="","",(((VLOOKUP($C$160,'Calc (ex-animal)'!$D$38:$Y$42,6,FALSE)-VLOOKUP($C$160,'Calc (ex-animal)'!$D$38:$Y$42,17,FALSE))*F162/100*AG162/100))*(1-VLOOKUP($C$160,'Calc (ex-animal)'!$D$38:$Y$42,7,FALSE)/100)*(1-VLOOKUP(D162,'DB technologies'!$N$83:$V$94,8,FALSE)/100)))</f>
        <v/>
      </c>
      <c r="M162" s="528" t="str">
        <f>IF(D162="","",((VLOOKUP(D162,'DB technologies'!$N$83:$Y$94,2,FALSE)*VLOOKUP($C$160,'DB animal categories'!$C$68:$AC$80,27,FALSE)*E162/1000*AG162/100)/VLOOKUP($C$160,'DB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'!$S$6/100)*(1-VLOOKUP(D162,'DB technologies'!$N$83:$Y$94,9,FALSE)/100))</f>
        <v/>
      </c>
      <c r="N162" s="528" t="str">
        <f>IF(D162="","",((VLOOKUP(D162,'DB technologies'!$N$83:$Y$94,3,FALSE)*VLOOKUP($C$160,'DB animal categories'!$C$68:$AC$80,27,FALSE)*E162/1000*AG162/100)/VLOOKUP($C$160,'DB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'!$S$7/100)*(1-VLOOKUP(D162,'DB technologies'!$N$83:$Y$94,9,FALSE)/100))</f>
        <v/>
      </c>
      <c r="O162" s="527" t="str">
        <f>IF(D162="","",((VLOOKUP(D162,'DB technologies'!$N$83:$Y$94,4,FALSE)*E162*AG162/100*(1-'DB additional information '!$S$8/100)*(1-VLOOKUP(D162,'DB technologies'!$N$83:$Y$94,8,FALSE)/100))/VLOOKUP($C$160,'DB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2" s="530" t="str">
        <f>IF(G162=0,0,IF(E162="","",IF(F162="","",IF($C$160=0,"",IF(D162="","",SUM(H162:K162)/G162*100)))))</f>
        <v/>
      </c>
      <c r="Q162" s="531" t="str">
        <f>IF(D162="","",(VLOOKUP(D162,'DB technologies'!$N$83:$Y$94,2,FALSE)*'DB additional information '!$S$6/100*'DB additional information '!$T$6*VLOOKUP($C$160,'DB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2" s="531" t="str">
        <f>IF(D162="","",(VLOOKUP(D162,'DB technologies'!$N$83:$Y$94,3,FALSE)*'DB additional information '!$S$7/100*'DB additional information '!$T$7*VLOOKUP($C$160,'DB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2" s="538" t="str">
        <f>IF(D162="","",(VLOOKUP(D162,'DB technologies'!$N$83:$Y$94,4,FALSE)*('DB additional information '!$S$8/100*'DB additional information '!$T$8*E162/1000/1000*AG162/100)))</f>
        <v/>
      </c>
      <c r="T162" s="300" t="str">
        <f>IF($C$160=0,"",IF('Calc (ex-animal)'!$F$38=1,"",IF(D162="","",((VLOOKUP($C$160,'Calc (ex-animal)'!$D$38:$Y$42,10,FALSE)-VLOOKUP($C$160,'Calc (ex-animal)'!$D$38:$Y$42,18,FALSE))*F162/100*AG162/100+Q162+R162+S162)-AC162-AD162-AE162)))</f>
        <v/>
      </c>
      <c r="U162" s="544" t="str">
        <f>IF(D162="","",(VLOOKUP(D162,'DB technologies'!$N$83:$Y$94,2,FALSE)*'DB additional information '!$S$6/100*'DB additional information '!$U$6*VLOOKUP($C$160,'DB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2" s="523" t="str">
        <f>IF(D162="","",(VLOOKUP(D162,'DB technologies'!$N$83:$Y$94,3,FALSE)*'DB additional information '!$S$7/100*'DB additional information '!$U$7*VLOOKUP($C$160,'DB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2" s="545" t="str">
        <f>IF(D162="","",(VLOOKUP(D162,'DB technologies'!$N$83:$Y$94,4,FALSE)*('DB additional information '!$S$8/100*'DB additional information '!$U$8*E162/1000/1000*AG162/100)))</f>
        <v/>
      </c>
      <c r="X162" s="301" t="str">
        <f>IF($C$160=0,"",IF('Calc (ex-animal)'!$F$38=1,"",IF(D162="","",((VLOOKUP($C$160,'Calc (ex-animal)'!$D$38:$Y$42,13,FALSE)-VLOOKUP($C$160,'Calc (ex-animal)'!$D$38:$Y$42,19,FALSE))*F162/100*AG162/100+U162+V162+W162))))</f>
        <v/>
      </c>
      <c r="Y162" s="523" t="str">
        <f>IF(D162="","",(VLOOKUP(D162,'DB technologies'!$N$83:$Y$94,2,FALSE)*'DB additional information '!$S$6/100*'DB additional information '!$V$6*VLOOKUP($C$160,'DB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2" s="523" t="str">
        <f>IF(D162="","",(VLOOKUP(D162,'DB technologies'!$N$83:$Y$94,3,FALSE)*'DB additional information '!$S$7/100*'DB additional information '!$V$7*VLOOKUP($C$160,'DB animal categories'!$C$68:$AC$80,27,FALSE)*E162/1000/1000*AG162/100)/VLOOKUP($C$160,'DB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2" s="523" t="str">
        <f>IF(D162="","",(VLOOKUP(D162,'DB technologies'!$N$83:$Y$94,4,FALSE)*('DB additional information '!$S$8/100*'DB additional information '!$V$8*E162/1000/1000*AG162/100)))</f>
        <v/>
      </c>
      <c r="AB162" s="301" t="str">
        <f>IF($C$160=0,"",IF('Calc (ex-animal)'!$F$38=1,"",IF(D162="","",((VLOOKUP($C$160,'Calc (ex-animal)'!$D$38:$Y$42,16,FALSE)-VLOOKUP($C$160,'Calc (ex-animal)'!$D$38:$Y$42,20,FALSE))*F162/100*AG162/100+Y162+Z162+AA162))))</f>
        <v/>
      </c>
      <c r="AC162" s="301" t="str">
        <f>IF($C$160=0,"",IF('Calc (ex-animal)'!$F$38=1,"",IF(D162="","",VLOOKUP($C$160,'Calc (ex-animal)'!$D$38:$Y$42,9,FALSE)*AG162/100/VLOOKUP($C$160,'DB animal categories'!$C$68:$AC$80,27,FALSE)*(VLOOKUP($C$160,'DB animal categories'!$C$68:$AC$80,27,FALSE)-VLOOKUP($C$160,'DB animal categories'!$C$68:$AC$80,25,FALSE)*VLOOKUP($C$160,'DB animal categories'!$C$68:$AC$80,26,FALSE)/24)*F162/100*VLOOKUP(D162,'DB technologies'!$N$83:$R$94,5,FALSE)/100)))</f>
        <v/>
      </c>
      <c r="AD162" s="301" t="str">
        <f>IF($C$160=0,"",IF('Calc (ex-animal)'!$F$38=1,"",IF(D162="","",VLOOKUP($C$160,'Calc (ex-animal)'!$D$38:$Y$42,10,FALSE)*AG162/100/VLOOKUP($C$160,'DB animal categories'!$C$68:$AC$80,27,FALSE)*(VLOOKUP($C$160,'DB animal categories'!$C$68:$AC$80,27,FALSE)-VLOOKUP($C$160,'DB animal categories'!$C$68:$AC$80,25,FALSE)*VLOOKUP($C$160,'DB animal categories'!$C$68:$AC$80,26,FALSE)/24)*F162/100*VLOOKUP(D162,'DB technologies'!$N$83:$Y$94,6,FALSE)/100)))</f>
        <v/>
      </c>
      <c r="AE162" s="302" t="str">
        <f>IF($C$160=0,"",IF('Calc (ex-animal)'!$F$38=1,"",IF(D162="","",VLOOKUP($C$160,'Calc (ex-animal)'!$D$38:$Y$42,10,FALSE)*AG162/100/VLOOKUP($C$160,'DB animal categories'!$C$68:$AC$80,27,FALSE)*(VLOOKUP($C$160,'DB animal categories'!$C$68:$AC$80,27,FALSE)-VLOOKUP($C$160,'DB animal categories'!$C$68:$AC$80,25,FALSE)*VLOOKUP($C$160,'DB animal categories'!$C$68:$AC$80,26,FALSE)/24)*F162/100*VLOOKUP(D162,'DB technologies'!$N$83:$Y$94,7,FALSE)/100)))</f>
        <v/>
      </c>
      <c r="AG162" s="1381"/>
      <c r="AH162" s="1382"/>
      <c r="AI162" s="181" t="str">
        <f>IF(D162="","",VLOOKUP(D162,'DB technologies'!$N$82:$Y$94,10,FALSE))</f>
        <v/>
      </c>
      <c r="AJ162" s="449" t="e">
        <f>VLOOKUP($C$160,'DB animal categories'!$C$68:$AN$80,27,FALSE)-VLOOKUP($C$160,'DB animal categories'!$C$68:$AN$80,26,FALSE)*VLOOKUP($C$160,'DB animal categories'!$C$68:$AN$80,25,FALSE)/24</f>
        <v>#N/A</v>
      </c>
      <c r="AK162" s="442" t="str">
        <f t="shared" ref="AK162:AK169" si="22">IF(AI162="","",AL162+AM162)</f>
        <v/>
      </c>
      <c r="AL162" s="442" t="str">
        <f>IF(D162="","",IF(AI162=2,(('Calc (ex-animal)'!$G$38*'DB additional information '!$K$12/100*AG162/100*(1-VLOOKUP(D162,'DB technologies'!$N$82:$Y$94,9,FALSE)/100)*'Calc (ex-housing, ex-storage)'!F162/100+'Calc (ex-animal)'!$H$38*'DB additional information '!$L$12/100*AG162/100*(1-VLOOKUP(D162,'DB technologies'!$N$82:$Y$94,9,FALSE)/100)*'Calc (ex-housing, ex-storage)'!F162/100))/VLOOKUP($C$160,'DB animal categories'!$C$68:$AC$80,27,FALSE)*AJ162+I162+J162+K162,IF(AI162=1,('Calc (ex-animal)'!$H$38*AG162/100*'DB additional information '!$L$12/100*(1-VLOOKUP(D162,'DB technologies'!$N$82:$Y$94,9,FALSE)/100)*'Calc (ex-housing, ex-storage)'!F162/100)/VLOOKUP($C$160,'DB animal categories'!$C$68:$AC$80,27,FALSE)*AJ162,IF(AI162=4,('Calc (ex-animal)'!$G$38*'DB additional information '!$K$12/100+'Calc (ex-animal)'!$H$38*'DB additional information '!$L$12/100)*AG162/100*(1-VLOOKUP(D162,'DB technologies'!$N$82:$Y$94,9,FALSE)/100)*'Calc (ex-housing, ex-storage)'!F162/100*VLOOKUP(D162,'DB technologies'!$N$82:$Y$94,11,FALSE)/100/VLOOKUP($C$160,'DB animal categories'!$C$68:$AC$80,27,FALSE)*AJ162,0))))</f>
        <v/>
      </c>
      <c r="AM162" s="442" t="str">
        <f>IF(D162="","",IF(AI162=2,(('Calc (ex-animal)'!$G$38*(1-'DB additional information '!$K$12/100)*AG162/100*(1-VLOOKUP(D162,'DB technologies'!$N$82:$Y$94,8,FALSE)/100)*'Calc (ex-housing, ex-storage)'!F162/100+'Calc (ex-animal)'!$H$38*(1-'DB additional information '!$L$12/100)*AG162/100*(1-VLOOKUP(D162,'DB technologies'!$N$82:$Y$94,8,FALSE)/100)*'Calc (ex-housing, ex-storage)'!F162/100))/VLOOKUP($C$160,'DB animal categories'!$C$68:$AC$80,27,FALSE)*AJ162+M162+N162+O162,IF(AI162=1,('Calc (ex-animal)'!$H$38*(1-'DB additional information '!$L$12/100)*AG162/100*(1-VLOOKUP(D162,'DB technologies'!$N$82:$Y$94,8,FALSE)/100)*'Calc (ex-housing, ex-storage)'!F162/100)/VLOOKUP($C$160,'DB animal categories'!$C$68:$AC$80,27,FALSE)*AJ162,IF(AI162=4,('Calc (ex-animal)'!$G$38*(1-'DB additional information '!$K$12/100)+'Calc (ex-animal)'!$H$38*(1-'DB additional information '!$L$12/100))*AG162/100*(1-VLOOKUP(D162,'DB technologies'!$N$82:$Y$94,8,FALSE)/100)*'Calc (ex-housing, ex-storage)'!F162/100*VLOOKUP(D162,'DB technologies'!$N$82:$Y$94,11,FALSE)/100/VLOOKUP($C$160,'DB animal categories'!$C$68:$AC$80,27,FALSE)*AJ162,0))))</f>
        <v/>
      </c>
      <c r="AN162" s="442" t="str">
        <f t="shared" ref="AN162:AN169" si="23">IF(AI162="","",IF(AL162=0,0,AL162/AK162*100))</f>
        <v/>
      </c>
      <c r="AO162" s="182" t="str">
        <f>IF(D162="","",IF(AI162=2,(('Calc (ex-animal)'!$L$38*'Calc (ex-housing, ex-storage)'!F162/100+'Calc (ex-animal)'!$K$38*'Calc (ex-housing, ex-storage)'!F162/100))*AG162/100/VLOOKUP($C$160,'DB animal categories'!$C$68:$AC$80,27,FALSE)*AJ162+Q162+R162+S162-AC162,IF(AI162=1,('Calc (ex-animal)'!$L$38*'Calc (ex-housing, ex-storage)'!F162/100)*AG162/100/VLOOKUP($C$160,'DB animal categories'!$C$68:$AC$80,27,FALSE)*AJ162-'Calc (ex-housing, ex-storage)'!AC162,IF(AI162=4,('Calc (ex-animal)'!$L$38+'Calc (ex-animal)'!$K$38)*'Calc (ex-housing, ex-storage)'!F162/100*AG162/100*VLOOKUP(D162,'DB technologies'!$N$82:$Y$94,11,FALSE)/100/VLOOKUP($C$160,'DB animal categories'!$C$68:$AC$80,27,FALSE)*AJ162-AC162*VLOOKUP(D162,'DB technologies'!$N$82:$Y$94,11,FALSE)/100,0))))</f>
        <v/>
      </c>
      <c r="AP162" s="182" t="str">
        <f>IF(D162="","",IF(AO162&lt;-0.01,0,IF(AI162=2,(('Calc (ex-animal)'!$L$38*'Calc (ex-housing, ex-storage)'!F162/100+'Calc (ex-animal)'!$K$38*'Calc (ex-housing, ex-storage)'!F162/100))*AG162/100/VLOOKUP($C$160,'DB animal categories'!$C$68:$AC$80,27,FALSE)*AJ162+Q162+R162+S162-AC162,IF(AI162=1,('Calc (ex-animal)'!$L$38*'Calc (ex-housing, ex-storage)'!F162/100)*AG162/100/VLOOKUP($C$160,'DB animal categories'!$C$68:$AC$80,27,FALSE)*AJ162-'Calc (ex-housing, ex-storage)'!AC162,IF(AI162=4,('Calc (ex-animal)'!$L$38+'Calc (ex-animal)'!$K$38)*'Calc (ex-housing, ex-storage)'!F162/100*AG162/100*VLOOKUP(D162,'DB technologies'!$N$82:$Y$94,11,FALSE)/100/VLOOKUP($C$160,'DB animal categories'!$C$68:$AC$80,27,FALSE)*AJ162-AC162*VLOOKUP(D162,'DB technologies'!$N$82:$Y$94,11,FALSE)/100,0)))))</f>
        <v/>
      </c>
      <c r="AQ162" s="182" t="str">
        <f>IF(D162="","",IF(AI162=2,('Calc (ex-animal)'!$O$38*'Calc (ex-housing, ex-storage)'!F162/100+'Calc (ex-animal)'!$N$38*'Calc (ex-housing, ex-storage)'!F162/100)*AG162/100/VLOOKUP($C$160,'DB animal categories'!$C$68:$AC$80,27,FALSE)*AJ162+U162+V162+W162,IF(AI162=1,'Calc (ex-animal)'!$O$38*'Calc (ex-housing, ex-storage)'!F162/100*AG162/100/VLOOKUP($C$160,'DB animal categories'!$C$68:$AC$80,27,FALSE)*AJ162,IF(AI162=4,('Calc (ex-animal)'!$O$38+'Calc (ex-animal)'!$N$38)*'Calc (ex-housing, ex-storage)'!F162/100*AG162/100*VLOOKUP(D162,'DB technologies'!$N$82:$Y$94,11,FALSE)/100/VLOOKUP($C$160,'DB animal categories'!$C$68:$AC$80,27,FALSE)*AJ162,0))))</f>
        <v/>
      </c>
      <c r="AR162" s="182" t="str">
        <f>IF(D162="","",IF(AI162=2,('Calc (ex-animal)'!$R$38*'Calc (ex-housing, ex-storage)'!F162/100+'Calc (ex-animal)'!$Q$38*'Calc (ex-housing, ex-storage)'!F162/100)*AG162/100/VLOOKUP($C$160,'DB animal categories'!$C$68:$AC$80,27,FALSE)*AJ162+Y162+Z162+AA162,IF(AI162=1,'Calc (ex-animal)'!$R$38*'Calc (ex-housing, ex-storage)'!F162/100*AG162/100/VLOOKUP($C$160,'DB animal categories'!$C$68:$AC$80,27,FALSE)*AJ162,IF(AI162=4,('Calc (ex-animal)'!$R$38+'Calc (ex-animal)'!$Q$38)*'Calc (ex-housing, ex-storage)'!F162/100*AG162/100*VLOOKUP(D162,'DB technologies'!$N$82:$Y$94,11,FALSE)/100/VLOOKUP($C$160,'DB animal categories'!$C$68:$AC$80,27,FALSE)*AJ162,0))))</f>
        <v/>
      </c>
      <c r="AS162" s="181" t="str">
        <f>IF(D162="","",VLOOKUP(D162,'DB technologies'!$N$82:$Y$94,10,FALSE))</f>
        <v/>
      </c>
      <c r="AT162" s="442" t="str">
        <f t="shared" ref="AT162:AT169" si="24">IF(AS162="","",AU162+AV162)</f>
        <v/>
      </c>
      <c r="AU162" s="442" t="str">
        <f>IF(D162="","",IF(AS162=2,0,IF(AS162=1,'Calc (ex-animal)'!$G$38*'DB additional information '!$K$12/100*AG162/100*(1-VLOOKUP(D162,'DB technologies'!$N$82:$Y$94,8,FALSE)/100)*'Calc (ex-housing, ex-storage)'!F162/100/VLOOKUP($C$160,'DB animal categories'!$C$68:$AC$80,27,FALSE)*AJ162+I162+J162+K162,IF(AS162=5,(('Calc (ex-animal)'!$G$38*'DB additional information '!$K$12/100+'Calc (ex-animal)'!$H$38*'DB additional information '!$L$12/100))*AG162/100*(1-VLOOKUP(D162,'DB technologies'!$N$82:$Y$94,9,FALSE)/100)*'Calc (ex-housing, ex-storage)'!F162/100/VLOOKUP($C$160,'DB animal categories'!$C$68:$AC$80,27,FALSE)*AJ162+I162+J162+K162,IF(AS162=3,('Calc (ex-animal)'!$G$38*'DB additional information '!$K$12/100+'Calc (ex-animal)'!$H$38*'DB additional information '!$L$12/100)*AG162/100*(1-VLOOKUP(D162,'DB technologies'!$N$82:$Y$94,9,FALSE)/100)*'Calc (ex-housing, ex-storage)'!F162/100/VLOOKUP($C$160,'DB animal categories'!$C$68:$AC$80,27,FALSE)*AJ162+I162+J162+K162,IF(AS162=4,('Calc (ex-animal)'!$G$38*'DB additional information '!$K$12/100+'Calc (ex-animal)'!$H$38*'DB additional information '!$L$12/100)*AG162/100*(1-VLOOKUP(D162,'DB technologies'!$N$82:$Y$94,9,FALSE)/100)*'Calc (ex-housing, ex-storage)'!F162/100*VLOOKUP(D162,'DB technologies'!$N$82:$Y$94,12,FALSE)/100/VLOOKUP($C$160,'DB animal categories'!$C$68:$AC$80,27,FALSE)*AJ162+I162+J162+K162,0))))))</f>
        <v/>
      </c>
      <c r="AV162" s="442" t="str">
        <f>IF(D162="","",IF(AS162=2,0,IF(AS162=1,'Calc (ex-animal)'!$G$38*(1-'DB additional information '!$K$12/100)*AG162/100*(1-VLOOKUP(D162,'DB technologies'!$N$82:$Y$94,8,FALSE)/100)*'Calc (ex-housing, ex-storage)'!F162/100/VLOOKUP($C$160,'DB animal categories'!$C$68:$AC$80,27,FALSE)*AJ162+M162+N162+O162,IF(AS162=5,('Calc (ex-animal)'!$G$38*(1-'DB additional information '!$K$12/100)+'Calc (ex-animal)'!$H$38*(1-'DB additional information '!$L$12/100))*AG162/100*(1-VLOOKUP(D162,'DB technologies'!$N$82:$Y$94,8,FALSE)/100)*'Calc (ex-housing, ex-storage)'!F162/100/VLOOKUP($C$160,'DB animal categories'!$C$68:$AC$80,27,FALSE)*AJ162+M162+N162+O162,IF(AS162=3,('Calc (ex-animal)'!$G$38*(1-'DB additional information '!$K$12/100)+'Calc (ex-animal)'!$H$38*(1-'DB additional information '!$L$12/100))*AG162/100*(1-VLOOKUP(D162,'DB technologies'!$N$82:$Y$94,8,FALSE)/100)*'Calc (ex-housing, ex-storage)'!F162/100/VLOOKUP($C$160,'DB animal categories'!$C$68:$AC$80,27,FALSE)*AJ162+M162+N162+O162,IF(AS162=4,('Calc (ex-animal)'!$G$38*(1-'DB additional information '!$K$12/100)+'Calc (ex-animal)'!$H$38*(1-'DB additional information '!$L$12/100))*AG162/100*(1-VLOOKUP(D162,'DB technologies'!$N$82:$Y$94,8,FALSE)/100)*'Calc (ex-housing, ex-storage)'!F162/100*VLOOKUP(D162,'DB technologies'!$N$82:$Y$94,12,FALSE)/100/VLOOKUP($C$160,'DB animal categories'!$C$68:$AC$80,27,FALSE)*AJ162+M162+N162+O162,0))))))</f>
        <v/>
      </c>
      <c r="AW162" s="442" t="str">
        <f t="shared" ref="AW162:AW169" si="25">IF(AS162="","",IF(AU162=0,0,AU162/AT162*100))</f>
        <v/>
      </c>
      <c r="AX162" s="182" t="str">
        <f>IF(D162="","",IF(AS162=2,0,IF(AS162=1,'Calc (ex-animal)'!$K$38*'Calc (ex-housing, ex-storage)'!F162/100*AG162/100/VLOOKUP($C$160,'DB animal categories'!$C$68:$AC$80,27,FALSE)*AJ162+Q162+R162+S162,IF(AS162=5,('Calc (ex-animal)'!$K$38+'Calc (ex-animal)'!$L$38)*AG162/100*'Calc (ex-housing, ex-storage)'!F162/100/VLOOKUP($C$160,'DB animal categories'!$C$68:$AC$80,27,FALSE)*AJ162+Q162+R162+S162-'Calc (ex-housing, ex-storage)'!AC162,IF(AS162=3,('Calc (ex-animal)'!$K$38+'Calc (ex-animal)'!$L$38)*AG162/100*'Calc (ex-housing, ex-storage)'!F162/100/VLOOKUP($C$160,'DB animal categories'!$C$68:$AC$80,27,FALSE)*AJ162+Q162+R162+S162-'Calc (ex-housing, ex-storage)'!AC162-AD162-AE162,IF(AI162=4,('Calc (ex-animal)'!$K$38+'Calc (ex-animal)'!$L$38)*AG162/100*'Calc (ex-housing, ex-storage)'!F162/100*VLOOKUP(D162,'DB technologies'!$N$82:$Y$94,12,FALSE)/100/VLOOKUP($C$160,'DB animal categories'!$C$68:$AC$80,27,FALSE)*AJ162+Q162+R162+S162-(VLOOKUP(D162,'DB technologies'!$N$82:$Y$94,12,FALSE)/100*AC162)-AD162-AE162,0))))))</f>
        <v/>
      </c>
      <c r="AY162" s="182" t="str">
        <f>IF(D162="","",IF(AS162=2,0,IF(AS162=1,'Calc (ex-animal)'!$N$38*AG162/100*'Calc (ex-housing, ex-storage)'!F162/100/VLOOKUP($C$160,'DB animal categories'!$C$68:$AC$80,27,FALSE)*AJ162+U162+V162+W162,IF(AS162=5,('Calc (ex-animal)'!$N$38+'Calc (ex-animal)'!$O$38)*AG162/100*'Calc (ex-housing, ex-storage)'!F162/100/VLOOKUP($C$160,'DB animal categories'!$C$68:$AC$80,27,FALSE)*AJ162+U162+V162+W162,IF(AS162=3,('Calc (ex-animal)'!$N$38+'Calc (ex-animal)'!$O$38)*AG162/100*'Calc (ex-housing, ex-storage)'!F162/100/VLOOKUP($C$160,'DB animal categories'!$C$68:$AC$80,27,FALSE)*AJ162+U162+V162+W162,IF(AS162=4,('Calc (ex-animal)'!$N$38+'Calc (ex-animal)'!$O$38)*AG162/100*'Calc (ex-housing, ex-storage)'!F162/100*VLOOKUP(D162,'DB technologies'!$N$82:$Y$94,12,FALSE)/100/VLOOKUP($C$160,'DB animal categories'!$C$68:$AC$80,27,FALSE)*AJ162+U162+V162+W162,0))))))</f>
        <v/>
      </c>
      <c r="AZ162" s="182" t="str">
        <f>IF(D162="","",IF(AS162=2,0,IF(AS162=1,'Calc (ex-animal)'!$Q$38*AG162/100*'Calc (ex-housing, ex-storage)'!F162/100/VLOOKUP($C$160,'DB animal categories'!$C$68:$AC$80,27,FALSE)*AJ162+Y162+Z162+AA162,IF(AS162=5,('Calc (ex-animal)'!$Q$38+'Calc (ex-animal)'!$R$38)*AG162/100*'Calc (ex-housing, ex-storage)'!F162/100/VLOOKUP($C$160,'DB animal categories'!$C$68:$AC$80,27,FALSE)*AJ162+Y162+Z162+AA162,IF(AS162=3,('Calc (ex-animal)'!$Q$38+'Calc (ex-animal)'!$R$38)*AG162/100*'Calc (ex-housing, ex-storage)'!F162/100/VLOOKUP($C$160,'DB animal categories'!$C$68:$AC$80,27,FALSE)*AJ162+Y162+Z162+AA162,IF(AS162=4,('Calc (ex-animal)'!$Q$38+'Calc (ex-animal)'!$R$38)*AG162/100*'Calc (ex-housing, ex-storage)'!F162/100*VLOOKUP(D162,'DB technologies'!$N$82:$Y$94,12,FALSE)/100/VLOOKUP($C$160,'DB animal categories'!$C$68:$AC$80,27,FALSE)*AJ162+Y162+Z162+AA162,0))))))</f>
        <v/>
      </c>
      <c r="BA162" s="506"/>
      <c r="BB162" s="506"/>
      <c r="BC162" s="506"/>
    </row>
    <row r="163" spans="1:55" x14ac:dyDescent="0.2">
      <c r="A163" s="684"/>
      <c r="B163" s="695"/>
      <c r="C163" s="251"/>
      <c r="D163" s="1367"/>
      <c r="E163" s="1370"/>
      <c r="F163" s="740" t="str">
        <f>IF('Calc (ex-animal)'!$F$9=1,"",IF($C$152=0,"",IF(D163="","",E163/'Calc (ex-animal)'!$E$32*100)))</f>
        <v/>
      </c>
      <c r="G163" s="539" t="str">
        <f>IF($C$160=0,"",IF('Calc (ex-animal)'!$F$38=1,"",IF(D163="","",SUM(H163:O163))))</f>
        <v/>
      </c>
      <c r="H163" s="532" t="str">
        <f>IF('Calc (ex-animal)'!$F$38=1,"",IF(D163="","",(((VLOOKUP($C$160,'Calc (ex-animal)'!$D$38:$Y$42,6,FALSE)-VLOOKUP($C$160,'Calc (ex-animal)'!$D$38:$Y$42,17,FALSE))*F162/100*AH162/100))*VLOOKUP($C$160,'Calc (ex-animal)'!$D$38:$Y$42,7,FALSE)/100*(1-VLOOKUP(D163,'DB technologies'!$N$96:$Y$107,9,FALSE)/100)))</f>
        <v/>
      </c>
      <c r="I163" s="532" t="str">
        <f>IF(D163="","",((VLOOKUP(D163,'DB technologies'!$N$96:$Y$107,2,FALSE)*VLOOKUP($C$160,'DB animal categories'!$C$68:$AC$80,27,FALSE)*F162/1000*AH162/100)/VLOOKUP($C$160,'DB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'!$S$6/100*(1-VLOOKUP(D163,'DB technologies'!$N$96:$Y$107,9,FALSE)/100)))</f>
        <v/>
      </c>
      <c r="J163" s="533" t="str">
        <f>IF(D163="","",((VLOOKUP(D163,'DB technologies'!$N$96:$Y$107,3,FALSE)*VLOOKUP($C$160,'DB animal categories'!$C$68:$AC$80,27,FALSE)*E162/1000*AH162/100)/VLOOKUP($C$160,'DB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'!$S$7/100*(1-VLOOKUP(D163,'DB technologies'!$N$96:$Y$107,9,FALSE)/100)))</f>
        <v/>
      </c>
      <c r="K163" s="534" t="str">
        <f>IF(D163="","",((VLOOKUP(D163,'DB technologies'!$N$96:$Y$107,4,FALSE)*E162*AH162/100*'DB additional information '!$S$8/100*(1-VLOOKUP(D163,'DB technologies'!$N$96:$Y$107,9,FALSE)/100))/VLOOKUP($C$160,'DB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3" s="532" t="str">
        <f>IF('Calc (ex-animal)'!$F$38=1,"",IF(D163="","",(((VLOOKUP($C$160,'Calc (ex-animal)'!$D$38:$Y$42,6,FALSE)-VLOOKUP($C$160,'Calc (ex-animal)'!$D$38:$Y$42,17,FALSE))*F162/100*AH162/100))*(1-VLOOKUP($C$160,'Calc (ex-animal)'!$D$38:$Y$42,7,FALSE)/100)*(1-VLOOKUP(D163,'DB technologies'!$N$96:$V$107,8,FALSE)/100)))</f>
        <v/>
      </c>
      <c r="M163" s="533" t="str">
        <f>IF(D163="","",((VLOOKUP(D163,'DB technologies'!$N$96:$Y$107,2,FALSE)*VLOOKUP($C$160,'DB animal categories'!$C$68:$AC$80,27,FALSE)*E162/1000*AH162/100)/VLOOKUP($C$160,'DB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'!$S$6/100)*(1-VLOOKUP(D163,'DB technologies'!$N$96:$Y$107,9,FALSE)/100))</f>
        <v/>
      </c>
      <c r="N163" s="533" t="str">
        <f>IF(D163="","",((VLOOKUP(D163,'DB technologies'!$N$96:$Y$107,3,FALSE)*VLOOKUP($C$160,'DB animal categories'!$C$68:$AC$80,27,FALSE)*E162/1000*AH162/100)/VLOOKUP($C$160,'DB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'!$S$7/100)*(1-VLOOKUP(D163,'DB technologies'!$N$96:$Y$107,9,FALSE)/100))</f>
        <v/>
      </c>
      <c r="O163" s="532" t="str">
        <f>IF(D163="","",((VLOOKUP(D163,'DB technologies'!$N$96:$Y$107,4,FALSE)*E162*AH162/100*(1-'DB additional information '!$S$8/100)*(1-VLOOKUP(D163,'DB technologies'!$N$96:$Y$107,8,FALSE)/100))/VLOOKUP($C$160,'DB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3" s="535" t="str">
        <f>IF(G163=0,0,IF(E162="","",IF(F162="","",IF($C$160=0,"",IF(D163="","",SUM(H163:K163)/G163*100)))))</f>
        <v/>
      </c>
      <c r="Q163" s="536" t="str">
        <f>IF(D163="","",(VLOOKUP(D163,'DB technologies'!$N$96:$Y$107,2,FALSE)*'DB additional information '!$S$6/100*'DB additional information '!$T$6*VLOOKUP($C$160,'DB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3" s="536" t="str">
        <f>IF(D163="","",(VLOOKUP(D163,'DB technologies'!$N$96:$Y$107,3,FALSE)*'DB additional information '!$S$7/100*'DB additional information '!$T$7*VLOOKUP($C$160,'DB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3" s="540" t="str">
        <f>IF(D163="","",(VLOOKUP(D163,'DB technologies'!$N$96:$Y$107,4,FALSE)*('DB additional information '!$S$8/100*'DB additional information '!$T$8*E162/1000/1000*AH162/100)))</f>
        <v/>
      </c>
      <c r="T163" s="303" t="str">
        <f>IF($C$160=0,"",IF('Calc (ex-animal)'!$F$38=1,"",IF(D163="","",((VLOOKUP($C$160,'Calc (ex-animal)'!$D$38:$Y$42,10,FALSE)-VLOOKUP($C$160,'Calc (ex-animal)'!$D$38:$Y$42,18,FALSE))*F162/100*AH162/100+Q163+R163+S163)-AC163-AD163-AE163)))</f>
        <v/>
      </c>
      <c r="U163" s="542" t="str">
        <f>IF(D163="","",(VLOOKUP(D163,'DB technologies'!$N$96:$Y$107,2,FALSE)*'DB additional information '!$S$6/100*'DB additional information '!$U$6*VLOOKUP($C$160,'DB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3" s="524" t="str">
        <f>IF(D163="","",(VLOOKUP(D163,'DB technologies'!$N$96:$Y$107,3,FALSE)*'DB additional information '!$S$7/100*'DB additional information '!$U$7*VLOOKUP($C$160,'DB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3" s="543" t="str">
        <f>IF(D163="","",(VLOOKUP(D163,'DB technologies'!$N$96:$Y$107,4,FALSE)*('DB additional information '!$S$8/100*'DB additional information '!$U$8*E162/1000/1000*AH162/100)))</f>
        <v/>
      </c>
      <c r="X163" s="304" t="str">
        <f>IF($C$160=0,"",IF('Calc (ex-animal)'!$F$38=1,"",IF(D163="","",((VLOOKUP($C$160,'Calc (ex-animal)'!$D$38:$Y$42,13,FALSE)-VLOOKUP($C$160,'Calc (ex-animal)'!$D$38:$Y$42,19,FALSE))*F162/100*AH162/100+U163+V163+W163))))</f>
        <v/>
      </c>
      <c r="Y163" s="524" t="str">
        <f>IF(D163="","",(VLOOKUP(D163,'DB technologies'!$N$96:$Y$107,2,FALSE)*'DB additional information '!$S$6/100*'DB additional information '!$V$6*VLOOKUP($C$160,'DB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3" s="524" t="str">
        <f>IF(D163="","",(VLOOKUP(D163,'DB technologies'!$N$96:$Y$107,3,FALSE)*'DB additional information '!$S$7/100*'DB additional information '!$V$7*VLOOKUP($C$160,'DB animal categories'!$C$68:$AC$80,27,FALSE)*E162/1000/1000*AH162/100)/VLOOKUP($C$160,'DB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3" s="524" t="str">
        <f>IF(D163="","",(VLOOKUP(D163,'DB technologies'!$N$96:$Y$107,4,FALSE)*('DB additional information '!$S$8/100*'DB additional information '!$V$8*E162/1000/1000*AH162/100)))</f>
        <v/>
      </c>
      <c r="AB163" s="304" t="str">
        <f>IF($C$160=0,"",IF('Calc (ex-animal)'!$F$38=1,"",IF(D163="","",((VLOOKUP($C$160,'Calc (ex-animal)'!$D$38:$Y$42,16,FALSE)-VLOOKUP($C$160,'Calc (ex-animal)'!$D$38:$Y$42,20,FALSE))*F162/100*AH162/100+Y163+Z163+AA163))))</f>
        <v/>
      </c>
      <c r="AC163" s="304" t="str">
        <f>IF($C$160=0,"",IF('Calc (ex-animal)'!$F$38=1,"",IF(D163="","",VLOOKUP($C$160,'Calc (ex-animal)'!$D$38:$Y$42,9,FALSE)*AH162/100/VLOOKUP($C$160,'DB animal categories'!$C$68:$AC$80,27,FALSE)*(VLOOKUP($C$160,'DB animal categories'!$C$68:$AC$80,27,FALSE)-VLOOKUP($C$160,'DB animal categories'!$C$68:$AC$80,25,FALSE)*VLOOKUP($C$160,'DB animal categories'!$C$68:$AC$80,26,FALSE)/24)*F162/100*VLOOKUP(D163,'DB technologies'!$N$96:$R$107,5,FALSE)/100)))</f>
        <v/>
      </c>
      <c r="AD163" s="304" t="str">
        <f>IF($C$160=0,"",IF('Calc (ex-animal)'!$F$38=1,"",IF(D163="","",VLOOKUP($C$160,'Calc (ex-animal)'!$D$38:$Y$42,10,FALSE)*AH162/100/VLOOKUP($C$160,'DB animal categories'!$C$68:$AC$80,27,FALSE)*(VLOOKUP($C$160,'DB animal categories'!$C$68:$AC$80,27,FALSE)-VLOOKUP($C$160,'DB animal categories'!$C$68:$AC$80,25,FALSE)*VLOOKUP($C$160,'DB animal categories'!$C$68:$AC$80,26,FALSE)/24)*F162/100*VLOOKUP(D163,'DB technologies'!$N$96:$Y$107,6,FALSE)/100)))</f>
        <v/>
      </c>
      <c r="AE163" s="305" t="str">
        <f>IF($C$160=0,"",IF('Calc (ex-animal)'!$F$38=1,"",IF(D163="","",VLOOKUP($C$160,'Calc (ex-animal)'!$D$38:$Y$42,10,FALSE)*AH162/100/VLOOKUP($C$160,'DB animal categories'!$C$68:$AC$80,27,FALSE)*(VLOOKUP($C$160,'DB animal categories'!$C$68:$AC$80,27,FALSE)-VLOOKUP($C$160,'DB animal categories'!$C$68:$AC$80,25,FALSE)*VLOOKUP($C$160,'DB animal categories'!$C$68:$AC$80,26,FALSE)/24)*F162/100*VLOOKUP(D163,'DB technologies'!$N$96:$Y$107,7,FALSE)/100)))</f>
        <v/>
      </c>
      <c r="AG163" s="1379"/>
      <c r="AH163" s="1380"/>
      <c r="AI163" s="187" t="str">
        <f>IF(D163="","",VLOOKUP(D163,'DB technologies'!$N$96:$Y$107,10,FALSE))</f>
        <v/>
      </c>
      <c r="AJ163" s="451" t="e">
        <f>VLOOKUP($C$160,'DB animal categories'!$C$68:$AN$80,27,FALSE)-VLOOKUP($C$160,'DB animal categories'!$C$68:$AN$80,26,FALSE)*VLOOKUP($C$160,'DB animal categories'!$C$68:$AN$80,25,FALSE)/24</f>
        <v>#N/A</v>
      </c>
      <c r="AK163" s="452" t="str">
        <f t="shared" si="22"/>
        <v/>
      </c>
      <c r="AL163" s="452" t="str">
        <f>IF(D163="","",IF(AI163=2,(('Calc (ex-animal)'!$G$38*'DB additional information '!$K$12/100*AH162/100*(1-VLOOKUP(D163,'DB technologies'!$N$96:$Y$107,9,FALSE)/100)*'Calc (ex-housing, ex-storage)'!F162/100+'Calc (ex-animal)'!$H$38*'DB additional information '!$L$12/100*AH162/100*(1-VLOOKUP(D163,'DB technologies'!$N$96:$Y$107,9,FALSE)/100)*'Calc (ex-housing, ex-storage)'!F162/100))/VLOOKUP($C$160,'DB animal categories'!$C$68:$AC$80,27,FALSE)*AJ163+I163+J163+K163,IF(AI163=1,('Calc (ex-animal)'!$H$38*AH162/100*'DB additional information '!$L$12/100*(1-VLOOKUP(D163,'DB technologies'!$N$96:$Y$107,9,FALSE)/100)*'Calc (ex-housing, ex-storage)'!F162/100)/VLOOKUP($C$160,'DB animal categories'!$C$68:$AC$80,27,FALSE)*AJ163,IF(AI163=4,('Calc (ex-animal)'!$G$38*'DB additional information '!$K$12/100+'Calc (ex-animal)'!$H$38*'DB additional information '!$L$12/100)*AH162/100*(1-VLOOKUP(D163,'DB technologies'!$N$96:$Y$107,9,FALSE)/100)*'Calc (ex-housing, ex-storage)'!F162/100*VLOOKUP(D163,'DB technologies'!$N$96:$Y$107,11,FALSE)/100/VLOOKUP($C$160,'DB animal categories'!$C$68:$AC$80,27,FALSE)*AJ163,0))))</f>
        <v/>
      </c>
      <c r="AM163" s="452" t="str">
        <f>IF(D163="","",IF(AI163=2,(('Calc (ex-animal)'!$G$38*(1-'DB additional information '!$K$12/100)*AH162/100*(1-VLOOKUP(D163,'DB technologies'!$N$96:$Y$107,8,FALSE)/100)*'Calc (ex-housing, ex-storage)'!F162/100+'Calc (ex-animal)'!$H$38*(1-'DB additional information '!$L$12/100)*AH162/100*(1-VLOOKUP(D163,'DB technologies'!$N$96:$Y$107,8,FALSE)/100)*'Calc (ex-housing, ex-storage)'!F162/100))/VLOOKUP($C$160,'DB animal categories'!$C$68:$AC$80,27,FALSE)*AJ163+M163+N163+O163,IF(AI163=1,('Calc (ex-animal)'!$H$38*(1-'DB additional information '!$L$12/100)*AH162/100*(1-VLOOKUP(D163,'DB technologies'!$N$96:$Y$107,8,FALSE)/100)*'Calc (ex-housing, ex-storage)'!F162/100)/VLOOKUP($C$160,'DB animal categories'!$C$68:$AC$80,27,FALSE)*AJ163,IF(AI163=4,('Calc (ex-animal)'!$G$38*(1-'DB additional information '!$K$12/100)+'Calc (ex-animal)'!$H$38*(1-'DB additional information '!$L$12/100))*AH162/100*(1-VLOOKUP(D163,'DB technologies'!$N$96:$Y$107,8,FALSE)/100)*'Calc (ex-housing, ex-storage)'!F162/100*VLOOKUP(D163,'DB technologies'!$N$96:$Y$107,11,FALSE)/100/VLOOKUP($C$160,'DB animal categories'!$C$68:$AC$80,27,FALSE)*AJ163,0))))</f>
        <v/>
      </c>
      <c r="AN163" s="452" t="str">
        <f t="shared" si="23"/>
        <v/>
      </c>
      <c r="AO163" s="184" t="str">
        <f>IF(D163="","",IF(AI163=2,(('Calc (ex-animal)'!$L$38*'Calc (ex-housing, ex-storage)'!F162/100+'Calc (ex-animal)'!$K$38*'Calc (ex-housing, ex-storage)'!F162/100))*AH162/100/VLOOKUP($C$160,'DB animal categories'!$C$68:$AC$80,27,FALSE)*AJ163+Q163+R163+S163-AC163,IF(AI163=1,('Calc (ex-animal)'!$L$38*'Calc (ex-housing, ex-storage)'!F162/100)*AH162/100/VLOOKUP($C$160,'DB animal categories'!$C$68:$AC$80,27,FALSE)*AJ163-'Calc (ex-housing, ex-storage)'!AC163,IF(AI163=4,('Calc (ex-animal)'!$L$38+'Calc (ex-animal)'!$K$38)*'Calc (ex-housing, ex-storage)'!F162/100*AH162/100*VLOOKUP(D163,'DB technologies'!$N$96:$Y$107,11,FALSE)/100/VLOOKUP($C$160,'DB animal categories'!$C$68:$AC$80,27,FALSE)*AJ163-AC163*VLOOKUP(D163,'DB technologies'!$N$96:$Y$107,11,FALSE)/100,0))))</f>
        <v/>
      </c>
      <c r="AP163" s="184" t="str">
        <f>IF(D163="","",IF(AO163&lt;-0.01,0,IF(AI163=2,(('Calc (ex-animal)'!$L$38*'Calc (ex-housing, ex-storage)'!F162/100+'Calc (ex-animal)'!$K$38*'Calc (ex-housing, ex-storage)'!F162/100))*AH162/100/VLOOKUP($C$160,'DB animal categories'!$C$68:$AC$80,27,FALSE)*AJ163+Q163+R163+S163-AC163,IF(AI163=1,('Calc (ex-animal)'!$L$38*'Calc (ex-housing, ex-storage)'!F162/100)*AH162/100/VLOOKUP($C$160,'DB animal categories'!$C$68:$AC$80,27,FALSE)*AJ163-'Calc (ex-housing, ex-storage)'!AC163,IF(AI163=4,('Calc (ex-animal)'!$L$38+'Calc (ex-animal)'!$K$38)*'Calc (ex-housing, ex-storage)'!F162/100*AH162/100*VLOOKUP(D163,'DB technologies'!$N$96:$Y$107,11,FALSE)/100/VLOOKUP($C$160,'DB animal categories'!$C$68:$AC$80,27,FALSE)*AJ163-AC163*VLOOKUP(D163,'DB technologies'!$N$96:$Y$107,11,FALSE)/100,0)))))</f>
        <v/>
      </c>
      <c r="AQ163" s="184" t="str">
        <f>IF(D163="","",IF(AI163=2,('Calc (ex-animal)'!$O$38*'Calc (ex-housing, ex-storage)'!F162/100+'Calc (ex-animal)'!$N$38*'Calc (ex-housing, ex-storage)'!F162/100)*AH162/100/VLOOKUP($C$160,'DB animal categories'!$C$68:$AC$80,27,FALSE)*AJ163+U163+V163+W163,IF(AI163=1,'Calc (ex-animal)'!$O$38*'Calc (ex-housing, ex-storage)'!F162/100*AH162/100/VLOOKUP($C$160,'DB animal categories'!$C$68:$AC$80,27,FALSE)*AJ163,IF(AI163=4,('Calc (ex-animal)'!$O$38+'Calc (ex-animal)'!$N$38)*'Calc (ex-housing, ex-storage)'!F162/100*AH162/100*VLOOKUP(D163,'DB technologies'!$N$96:$Y$107,11,FALSE)/100/VLOOKUP($C$160,'DB animal categories'!$C$68:$AC$80,27,FALSE)*AJ163,0))))</f>
        <v/>
      </c>
      <c r="AR163" s="184" t="str">
        <f>IF(D163="","",IF(AI163=2,('Calc (ex-animal)'!$R$38*'Calc (ex-housing, ex-storage)'!F162/100+'Calc (ex-animal)'!$Q$38*'Calc (ex-housing, ex-storage)'!F162/100)*AH162/100/VLOOKUP($C$160,'DB animal categories'!$C$68:$AC$80,27,FALSE)*AJ163+Y163+Z163+AA163,IF(AI163=1,'Calc (ex-animal)'!$R$38*'Calc (ex-housing, ex-storage)'!F162/100*AH162/100/VLOOKUP($C$160,'DB animal categories'!$C$68:$AC$80,27,FALSE)*AJ163,IF(AI163=4,('Calc (ex-animal)'!$R$38+'Calc (ex-animal)'!$Q$38)*'Calc (ex-housing, ex-storage)'!F162/100*AH162/100*VLOOKUP(D163,'DB technologies'!$N$96:$Y$107,11,FALSE)/100/VLOOKUP($C$160,'DB animal categories'!$C$68:$AC$80,27,FALSE)*AJ163,0))))</f>
        <v/>
      </c>
      <c r="AS163" s="183" t="str">
        <f>IF(D163="","",VLOOKUP(D163,'DB technologies'!$N$96:$Y$107,10,FALSE))</f>
        <v/>
      </c>
      <c r="AT163" s="452" t="str">
        <f t="shared" si="24"/>
        <v/>
      </c>
      <c r="AU163" s="452" t="str">
        <f>IF(D163="","",IF(AS163=2,0,IF(AS163=1,'Calc (ex-animal)'!$G$38*'DB additional information '!$K$12/100*AH162/100*(1-VLOOKUP(D163,'DB technologies'!$N$96:$Y$107,8,FALSE)/100)*'Calc (ex-housing, ex-storage)'!F162/100/VLOOKUP($C$160,'DB animal categories'!$C$68:$AC$80,27,FALSE)*AJ163+I163+J163+K163,IF(AS163=5,(('Calc (ex-animal)'!$G$38*'DB additional information '!$K$12/100+'Calc (ex-animal)'!$H$38*'DB additional information '!$L$12/100))*AH162/100*(1-VLOOKUP(D163,'DB technologies'!$N$96:$Y$107,9,FALSE)/100)*'Calc (ex-housing, ex-storage)'!F162/100/VLOOKUP($C$160,'DB animal categories'!$C$68:$AC$80,27,FALSE)*AJ163+I163+J163+K163,IF(AS163=3,('Calc (ex-animal)'!$G$38*'DB additional information '!$K$12/100+'Calc (ex-animal)'!$H$38*'DB additional information '!$L$12/100)*AH162/100*(1-VLOOKUP(D163,'DB technologies'!$N$96:$Y$107,9,FALSE)/100)*'Calc (ex-housing, ex-storage)'!F162/100/VLOOKUP($C$160,'DB animal categories'!$C$68:$AC$80,27,FALSE)*AJ163+I163+J163+K163,IF(AS163=4,('Calc (ex-animal)'!$G$38*'DB additional information '!$K$12/100+'Calc (ex-animal)'!$H$38*'DB additional information '!$L$12/100)*AH162/100*(1-VLOOKUP(D163,'DB technologies'!$N$96:$Y$107,9,FALSE)/100)*'Calc (ex-housing, ex-storage)'!F162/100*VLOOKUP(D163,'DB technologies'!$N$96:$Y$107,12,FALSE)/100/VLOOKUP($C$160,'DB animal categories'!$C$68:$AC$80,27,FALSE)*AJ163+I163+J163+K163,0))))))</f>
        <v/>
      </c>
      <c r="AV163" s="452" t="str">
        <f>IF(D163="","",IF(AS163=2,0,IF(AS163=1,'Calc (ex-animal)'!$G$38*(1-'DB additional information '!$K$12/100)*AH162/100*(1-VLOOKUP(D163,'DB technologies'!$N$96:$Y$107,8,FALSE)/100)*'Calc (ex-housing, ex-storage)'!F162/100/VLOOKUP($C$160,'DB animal categories'!$C$68:$AC$80,27,FALSE)*AJ163+M163+N163+O163,IF(AS163=5,('Calc (ex-animal)'!$G$38*(1-'DB additional information '!$K$12/100)+'Calc (ex-animal)'!$H$38*(1-'DB additional information '!$L$12/100))*AH162/100*(1-VLOOKUP(D163,'DB technologies'!$N$96:$Y$107,8,FALSE)/100)*'Calc (ex-housing, ex-storage)'!F162/100/VLOOKUP($C$160,'DB animal categories'!$C$68:$AC$80,27,FALSE)*AJ163+M163+N163+O163,IF(AS163=3,('Calc (ex-animal)'!$G$38*(1-'DB additional information '!$K$12/100)+'Calc (ex-animal)'!$H$38*(1-'DB additional information '!$L$12/100))*AH162/100*(1-VLOOKUP(D163,'DB technologies'!$N$96:$Y$107,8,FALSE)/100)*'Calc (ex-housing, ex-storage)'!F162/100/VLOOKUP($C$160,'DB animal categories'!$C$68:$AC$80,27,FALSE)*AJ163+M163+N163+O163,IF(AS163=4,('Calc (ex-animal)'!$G$38*(1-'DB additional information '!$K$12/100)+'Calc (ex-animal)'!$H$38*(1-'DB additional information '!$L$12/100))*AH162/100*(1-VLOOKUP(D163,'DB technologies'!$N$96:$Y$107,8,FALSE)/100)*'Calc (ex-housing, ex-storage)'!F162/100*VLOOKUP(D163,'DB technologies'!$N$96:$Y$107,12,FALSE)/100/VLOOKUP($C$160,'DB animal categories'!$C$68:$AC$80,27,FALSE)*AJ163+M163+N163+O163,0))))))</f>
        <v/>
      </c>
      <c r="AW163" s="452" t="str">
        <f t="shared" si="25"/>
        <v/>
      </c>
      <c r="AX163" s="184" t="str">
        <f>IF(D163="","",IF(AS163=2,0,IF(AS163=1,'Calc (ex-animal)'!$K$38*'Calc (ex-housing, ex-storage)'!F162/100*AH162/100/VLOOKUP($C$160,'DB animal categories'!$C$68:$AC$80,27,FALSE)*AJ163+Q163+R163+S163,IF(AS163=5,('Calc (ex-animal)'!$K$38+'Calc (ex-animal)'!$L$38)*AH162/100*'Calc (ex-housing, ex-storage)'!F162/100/VLOOKUP($C$160,'DB animal categories'!$C$68:$AC$80,27,FALSE)*AJ163+Q163+R163+S163-'Calc (ex-housing, ex-storage)'!AC163,IF(AS163=3,('Calc (ex-animal)'!$K$38+'Calc (ex-animal)'!$L$38)*AH162/100*'Calc (ex-housing, ex-storage)'!F162/100/VLOOKUP($C$160,'DB animal categories'!$C$68:$AC$80,27,FALSE)*AJ163+Q163+R163+S163-'Calc (ex-housing, ex-storage)'!AC163-AD163-AE163,IF(AI163=4,('Calc (ex-animal)'!$K$38+'Calc (ex-animal)'!$L$38)*AH162/100*'Calc (ex-housing, ex-storage)'!F162/100*VLOOKUP(D163,'DB technologies'!$N$96:$Y$107,12,FALSE)/100/VLOOKUP($C$160,'DB animal categories'!$C$68:$AC$80,27,FALSE)*AJ163+Q163+R163+S163-(VLOOKUP(D163,'DB technologies'!$N$96:$Y$107,12,FALSE)/100*AC163)-AD163-AE163,0))))))</f>
        <v/>
      </c>
      <c r="AY163" s="184" t="str">
        <f>IF(D163="","",IF(AS163=2,0,IF(AS163=1,'Calc (ex-animal)'!$N$38*AH162/100*'Calc (ex-housing, ex-storage)'!F162/100/VLOOKUP($C$160,'DB animal categories'!$C$68:$AC$80,27,FALSE)*AJ163+U163+V163+W163,IF(AS163=5,('Calc (ex-animal)'!$N$38+'Calc (ex-animal)'!$O$38)*AH162/100*'Calc (ex-housing, ex-storage)'!F162/100/VLOOKUP($C$160,'DB animal categories'!$C$68:$AC$80,27,FALSE)*AJ163+U163+V163+W163,IF(AS163=3,('Calc (ex-animal)'!$N$38+'Calc (ex-animal)'!$O$38)*AH162/100*'Calc (ex-housing, ex-storage)'!F162/100/VLOOKUP($C$160,'DB animal categories'!$C$68:$AC$80,27,FALSE)*AJ163+U163+V163+W163,IF(AS163=4,('Calc (ex-animal)'!$N$38+'Calc (ex-animal)'!$O$38)*AH162/100*'Calc (ex-housing, ex-storage)'!F162/100*VLOOKUP(D163,'DB technologies'!$N$96:$Y$107,12,FALSE)/100/VLOOKUP($C$160,'DB animal categories'!$C$68:$AC$80,27,FALSE)*AJ163+U163+V163+W163,0))))))</f>
        <v/>
      </c>
      <c r="AZ163" s="184" t="str">
        <f>IF(D163="","",IF(AS163=2,0,IF(AS163=1,'Calc (ex-animal)'!$Q$38*AH162/100*'Calc (ex-housing, ex-storage)'!F162/100/VLOOKUP($C$160,'DB animal categories'!$C$68:$AC$80,27,FALSE)*AJ163+Y163+Z163+AA163,IF(AS163=5,('Calc (ex-animal)'!$Q$38+'Calc (ex-animal)'!$R$38)*AH162/100*'Calc (ex-housing, ex-storage)'!F162/100/VLOOKUP($C$160,'DB animal categories'!$C$68:$AC$80,27,FALSE)*AJ163+Y163+Z163+AA163,IF(AS163=3,('Calc (ex-animal)'!$Q$38+'Calc (ex-animal)'!$R$38)*AH162/100*'Calc (ex-housing, ex-storage)'!F162/100/VLOOKUP($C$160,'DB animal categories'!$C$68:$AC$80,27,FALSE)*AJ163+Y163+Z163+AA163,IF(AS163=4,('Calc (ex-animal)'!$Q$38+'Calc (ex-animal)'!$R$38)*AH162/100*'Calc (ex-housing, ex-storage)'!F162/100*VLOOKUP(D163,'DB technologies'!$N$96:$Y$107,12,FALSE)/100/VLOOKUP($C$160,'DB animal categories'!$C$68:$AC$80,27,FALSE)*AJ163+Y163+Z163+AA163,0))))))</f>
        <v/>
      </c>
      <c r="BA163" s="506"/>
      <c r="BB163" s="506"/>
      <c r="BC163" s="506"/>
    </row>
    <row r="164" spans="1:55" x14ac:dyDescent="0.2">
      <c r="A164" s="684"/>
      <c r="B164" s="695"/>
      <c r="C164" s="251"/>
      <c r="D164" s="1357"/>
      <c r="E164" s="1370"/>
      <c r="F164" s="740" t="str">
        <f>IF('Calc (ex-animal)'!$F$38=1,"",IF($C$160=0,"",IF(D164="","",E164/'Calc (ex-animal)'!$E$38*100)))</f>
        <v/>
      </c>
      <c r="G164" s="485" t="str">
        <f>IF($C$160=0,"",IF('Calc (ex-animal)'!$F$38=1,"",IF(D164="","",SUM(H164:O164))))</f>
        <v/>
      </c>
      <c r="H164" s="423" t="str">
        <f>IF('Calc (ex-animal)'!$F$38=1,"",IF(D164="","",(((VLOOKUP($C$160,'Calc (ex-animal)'!$D$38:$Y$42,6,FALSE)-VLOOKUP($C$160,'Calc (ex-animal)'!$D$38:$Y$42,17,FALSE))*F164/100*AG164/100))*VLOOKUP($C$160,'Calc (ex-animal)'!$D$38:$Y$42,7,FALSE)/100*(1-VLOOKUP(D164,'DB technologies'!$N$83:$Y$94,9,FALSE)/100)))</f>
        <v/>
      </c>
      <c r="I164" s="423" t="str">
        <f>IF(D164="","",((VLOOKUP(D164,'DB technologies'!$N$83:$Y$94,2,FALSE)*VLOOKUP($C$160,'DB animal categories'!$C$68:$AC$80,27,FALSE)*E164/1000*AG164/100)/VLOOKUP($C$160,'DB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'!$S$6/100*(1-VLOOKUP(D164,'DB technologies'!$N$83:$Y$94,9,FALSE)/100)))</f>
        <v/>
      </c>
      <c r="J164" s="434" t="str">
        <f>IF(D164="","",((VLOOKUP(D164,'DB technologies'!$N$83:$Y$94,3,FALSE)*VLOOKUP($C$160,'DB animal categories'!$C$68:$AC$80,27,FALSE)*E164/1000*AG164/100)/VLOOKUP($C$160,'DB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'!$S$7/100*(1-VLOOKUP(D164,'DB technologies'!$N$83:$Y$94,9,FALSE)/100)))</f>
        <v/>
      </c>
      <c r="K164" s="526" t="str">
        <f>IF(D164="","",((VLOOKUP(D164,'DB technologies'!$N$83:$Y$94,4,FALSE)*E164*AG164/100*'DB additional information '!$S$8/100*(1-VLOOKUP(D164,'DB technologies'!$N$83:$Y$94,9,FALSE)/100))/VLOOKUP($C$160,'DB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4" s="423" t="str">
        <f>IF('Calc (ex-animal)'!$F$38=1,"",IF(D164="","",(((VLOOKUP($C$160,'Calc (ex-animal)'!$D$38:$Y$42,6,FALSE)-VLOOKUP($C$160,'Calc (ex-animal)'!$D$38:$Y$42,17,FALSE))*F164/100*AG164/100))*(1-VLOOKUP($C$160,'Calc (ex-animal)'!$D$38:$Y$42,7,FALSE)/100)*(1-VLOOKUP(D164,'DB technologies'!$N$83:$V$94,8,FALSE)/100)))</f>
        <v/>
      </c>
      <c r="M164" s="434" t="str">
        <f>IF(D164="","",((VLOOKUP(D164,'DB technologies'!$N$83:$Y$94,2,FALSE)*VLOOKUP($C$160,'DB animal categories'!$C$68:$AC$80,27,FALSE)*E164/1000*AG164/100)/VLOOKUP($C$160,'DB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'!$S$6/100)*(1-VLOOKUP(D164,'DB technologies'!$N$83:$Y$94,9,FALSE)/100))</f>
        <v/>
      </c>
      <c r="N164" s="434" t="str">
        <f>IF(D164="","",((VLOOKUP(D164,'DB technologies'!$N$83:$Y$94,3,FALSE)*VLOOKUP($C$160,'DB animal categories'!$C$68:$AC$80,27,FALSE)*E164/1000*AG164/100)/VLOOKUP($C$160,'DB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'!$S$7/100)*(1-VLOOKUP(D164,'DB technologies'!$N$83:$Y$94,9,FALSE)/100))</f>
        <v/>
      </c>
      <c r="O164" s="423" t="str">
        <f>IF(D164="","",((VLOOKUP(D164,'DB technologies'!$N$83:$Y$94,4,FALSE)*E164*AG164/100*(1-'DB additional information '!$S$8/100)*(1-VLOOKUP(D164,'DB technologies'!$N$83:$Y$94,8,FALSE)/100))/VLOOKUP($C$160,'DB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4" s="438" t="str">
        <f>IF(G164=0,0,IF(E164="","",IF(F164="","",IF($C$160=0,"",IF(D164="","",SUM(H164:K164)/G164*100)))))</f>
        <v/>
      </c>
      <c r="Q164" s="416" t="str">
        <f>IF(D164="","",(VLOOKUP(D164,'DB technologies'!$N$83:$Y$94,2,FALSE)*'DB additional information '!$S$6/100*'DB additional information '!$T$6*VLOOKUP($C$160,'DB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4" s="416" t="str">
        <f>IF(D164="","",(VLOOKUP(D164,'DB technologies'!$N$83:$Y$94,3,FALSE)*'DB additional information '!$S$7/100*'DB additional information '!$T$7*VLOOKUP($C$160,'DB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4" s="491" t="str">
        <f>IF(D164="","",(VLOOKUP(D164,'DB technologies'!$N$83:$Y$94,4,FALSE)*('DB additional information '!$S$8/100*'DB additional information '!$T$8*E164/1000/1000*AG164/100)))</f>
        <v/>
      </c>
      <c r="T164" s="300" t="str">
        <f>IF($C$160=0,"",IF('Calc (ex-animal)'!$F$38=1,"",IF(D164="","",((VLOOKUP($C$160,'Calc (ex-animal)'!$D$38:$Y$42,10,FALSE)-VLOOKUP($C$160,'Calc (ex-animal)'!$D$38:$Y$42,18,FALSE))*F164/100*AG164/100+Q164+R164+S164)-AC164-AD164-AE164)))</f>
        <v/>
      </c>
      <c r="U164" s="544" t="str">
        <f>IF(D164="","",(VLOOKUP(D164,'DB technologies'!$N$83:$Y$94,2,FALSE)*'DB additional information '!$S$6/100*'DB additional information '!$U$6*VLOOKUP($C$160,'DB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4" s="523" t="str">
        <f>IF(D164="","",(VLOOKUP(D164,'DB technologies'!$N$83:$Y$94,3,FALSE)*'DB additional information '!$S$7/100*'DB additional information '!$U$7*VLOOKUP($C$160,'DB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4" s="545" t="str">
        <f>IF(D164="","",(VLOOKUP(D164,'DB technologies'!$N$83:$Y$94,4,FALSE)*('DB additional information '!$S$8/100*'DB additional information '!$U$8*E164/1000/1000*AG164/100)))</f>
        <v/>
      </c>
      <c r="X164" s="301" t="str">
        <f>IF($C$160=0,"",IF('Calc (ex-animal)'!$F$38=1,"",IF(D164="","",((VLOOKUP($C$160,'Calc (ex-animal)'!$D$38:$Y$42,13,FALSE)-VLOOKUP($C$160,'Calc (ex-animal)'!$D$38:$Y$42,19,FALSE))*F164/100*AG164/100+U164+V164+W164))))</f>
        <v/>
      </c>
      <c r="Y164" s="523" t="str">
        <f>IF(D164="","",(VLOOKUP(D164,'DB technologies'!$N$83:$Y$94,2,FALSE)*'DB additional information '!$S$6/100*'DB additional information '!$V$6*VLOOKUP($C$160,'DB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4" s="523" t="str">
        <f>IF(D164="","",(VLOOKUP(D164,'DB technologies'!$N$83:$Y$94,3,FALSE)*'DB additional information '!$S$7/100*'DB additional information '!$V$7*VLOOKUP($C$160,'DB animal categories'!$C$68:$AC$80,27,FALSE)*E164/1000/1000*AG164/100)/VLOOKUP($C$160,'DB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4" s="523" t="str">
        <f>IF(D164="","",(VLOOKUP(D164,'DB technologies'!$N$83:$Y$94,4,FALSE)*('DB additional information '!$S$8/100*'DB additional information '!$V$8*E164/1000/1000*AG164/100)))</f>
        <v/>
      </c>
      <c r="AB164" s="301" t="str">
        <f>IF($C$160=0,"",IF('Calc (ex-animal)'!$F$38=1,"",IF(D164="","",((VLOOKUP($C$160,'Calc (ex-animal)'!$D$38:$Y$42,16,FALSE)-VLOOKUP($C$160,'Calc (ex-animal)'!$D$38:$Y$42,20,FALSE))*F164/100*AG164/100+Y164+Z164+AA164))))</f>
        <v/>
      </c>
      <c r="AC164" s="301" t="str">
        <f>IF($C$160=0,"",IF('Calc (ex-animal)'!$F$38=1,"",IF(D164="","",VLOOKUP($C$160,'Calc (ex-animal)'!$D$38:$Y$42,9,FALSE)*AG164/100/VLOOKUP($C$160,'DB animal categories'!$C$68:$AC$80,27,FALSE)*(VLOOKUP($C$160,'DB animal categories'!$C$68:$AC$80,27,FALSE)-VLOOKUP($C$160,'DB animal categories'!$C$68:$AC$80,25,FALSE)*VLOOKUP($C$160,'DB animal categories'!$C$68:$AC$80,26,FALSE)/24)*F164/100*VLOOKUP(D164,'DB technologies'!$N$83:$R$94,5,FALSE)/100)))</f>
        <v/>
      </c>
      <c r="AD164" s="301" t="str">
        <f>IF($C$160=0,"",IF('Calc (ex-animal)'!$F$38=1,"",IF(D164="","",VLOOKUP($C$160,'Calc (ex-animal)'!$D$38:$Y$42,10,FALSE)*AG164/100/VLOOKUP($C$160,'DB animal categories'!$C$68:$AC$80,27,FALSE)*(VLOOKUP($C$160,'DB animal categories'!$C$68:$AC$80,27,FALSE)-VLOOKUP($C$160,'DB animal categories'!$C$68:$AC$80,25,FALSE)*VLOOKUP($C$160,'DB animal categories'!$C$68:$AC$80,26,FALSE)/24)*F164/100*VLOOKUP(D164,'DB technologies'!$N$83:$Y$94,6,FALSE)/100)))</f>
        <v/>
      </c>
      <c r="AE164" s="302" t="str">
        <f>IF($C$160=0,"",IF('Calc (ex-animal)'!$F$38=1,"",IF(D164="","",VLOOKUP($C$160,'Calc (ex-animal)'!$D$38:$Y$42,10,FALSE)*AG164/100/VLOOKUP($C$160,'DB animal categories'!$C$68:$AC$80,27,FALSE)*(VLOOKUP($C$160,'DB animal categories'!$C$68:$AC$80,27,FALSE)-VLOOKUP($C$160,'DB animal categories'!$C$68:$AC$80,25,FALSE)*VLOOKUP($C$160,'DB animal categories'!$C$68:$AC$80,26,FALSE)/24)*F164/100*VLOOKUP(D164,'DB technologies'!$N$83:$Y$94,7,FALSE)/100)))</f>
        <v/>
      </c>
      <c r="AG164" s="1381"/>
      <c r="AH164" s="1383"/>
      <c r="AI164" s="181" t="str">
        <f>IF(D164="","",VLOOKUP(D164,'DB technologies'!$N$82:$Y$94,10,FALSE))</f>
        <v/>
      </c>
      <c r="AJ164" s="449" t="e">
        <f>VLOOKUP($C$160,'DB animal categories'!$C$68:$AN$80,27,FALSE)-VLOOKUP($C$160,'DB animal categories'!$C$68:$AN$80,26,FALSE)*VLOOKUP($C$160,'DB animal categories'!$C$68:$AN$80,25,FALSE)/24</f>
        <v>#N/A</v>
      </c>
      <c r="AK164" s="442" t="str">
        <f t="shared" si="22"/>
        <v/>
      </c>
      <c r="AL164" s="442" t="str">
        <f>IF(D164="","",IF(AI164=2,(('Calc (ex-animal)'!$G$38*'DB additional information '!$K$12/100*AG164/100*(1-VLOOKUP(D164,'DB technologies'!$N$82:$Y$94,9,FALSE)/100)*'Calc (ex-housing, ex-storage)'!F164/100+'Calc (ex-animal)'!$H$38*'DB additional information '!$L$12/100*AG164/100*(1-VLOOKUP(D164,'DB technologies'!$N$82:$Y$94,9,FALSE)/100)*'Calc (ex-housing, ex-storage)'!F164/100))/VLOOKUP($C$160,'DB animal categories'!$C$68:$AC$80,27,FALSE)*AJ164+I164+J164+K164,IF(AI164=1,('Calc (ex-animal)'!$H$38*AG164/100*'DB additional information '!$L$12/100*(1-VLOOKUP(D164,'DB technologies'!$N$82:$Y$94,9,FALSE)/100)*'Calc (ex-housing, ex-storage)'!F164/100)/VLOOKUP($C$160,'DB animal categories'!$C$68:$AC$80,27,FALSE)*AJ164,IF(AI164=4,('Calc (ex-animal)'!$G$38*'DB additional information '!$K$12/100+'Calc (ex-animal)'!$H$38*'DB additional information '!$L$12/100)*AG164/100*(1-VLOOKUP(D164,'DB technologies'!$N$82:$Y$94,9,FALSE)/100)*'Calc (ex-housing, ex-storage)'!F164/100*VLOOKUP(D164,'DB technologies'!$N$82:$Y$94,11,FALSE)/100/VLOOKUP($C$160,'DB animal categories'!$C$68:$AC$80,27,FALSE)*AJ164,0))))</f>
        <v/>
      </c>
      <c r="AM164" s="442" t="str">
        <f>IF(D164="","",IF(AI164=2,(('Calc (ex-animal)'!$G$38*(1-'DB additional information '!$K$12/100)*AG164/100*(1-VLOOKUP(D164,'DB technologies'!$N$82:$Y$94,8,FALSE)/100)*'Calc (ex-housing, ex-storage)'!F164/100+'Calc (ex-animal)'!$H$38*(1-'DB additional information '!$L$12/100)*AG164/100*(1-VLOOKUP(D164,'DB technologies'!$N$82:$Y$94,8,FALSE)/100)*'Calc (ex-housing, ex-storage)'!F164/100))/VLOOKUP($C$160,'DB animal categories'!$C$68:$AC$80,27,FALSE)*AJ164+M164+N164+O164,IF(AI164=1,('Calc (ex-animal)'!$H$38*(1-'DB additional information '!$L$12/100)*AG164/100*(1-VLOOKUP(D164,'DB technologies'!$N$82:$Y$94,8,FALSE)/100)*'Calc (ex-housing, ex-storage)'!F164/100)/VLOOKUP($C$160,'DB animal categories'!$C$68:$AC$80,27,FALSE)*AJ164,IF(AI164=4,('Calc (ex-animal)'!$G$38*(1-'DB additional information '!$K$12/100)+'Calc (ex-animal)'!$H$38*(1-'DB additional information '!$L$12/100))*AG164/100*(1-VLOOKUP(D164,'DB technologies'!$N$82:$Y$94,8,FALSE)/100)*'Calc (ex-housing, ex-storage)'!F164/100*VLOOKUP(D164,'DB technologies'!$N$82:$Y$94,11,FALSE)/100/VLOOKUP($C$160,'DB animal categories'!$C$68:$AC$80,27,FALSE)*AJ164,0))))</f>
        <v/>
      </c>
      <c r="AN164" s="442" t="str">
        <f t="shared" si="23"/>
        <v/>
      </c>
      <c r="AO164" s="182" t="str">
        <f>IF(D164="","",IF(AI164=2,(('Calc (ex-animal)'!$L$38*'Calc (ex-housing, ex-storage)'!F164/100+'Calc (ex-animal)'!$K$38*'Calc (ex-housing, ex-storage)'!F164/100))*AG164/100/VLOOKUP($C$160,'DB animal categories'!$C$68:$AC$80,27,FALSE)*AJ164+Q164+R164+S164-AC164,IF(AI164=1,('Calc (ex-animal)'!$L$38*'Calc (ex-housing, ex-storage)'!F164/100)*AG164/100/VLOOKUP($C$160,'DB animal categories'!$C$68:$AC$80,27,FALSE)*AJ164-'Calc (ex-housing, ex-storage)'!AC164,IF(AI164=4,('Calc (ex-animal)'!$L$38+'Calc (ex-animal)'!$K$38)*'Calc (ex-housing, ex-storage)'!F164/100*AG164/100*VLOOKUP(D164,'DB technologies'!$N$82:$Y$94,11,FALSE)/100/VLOOKUP($C$160,'DB animal categories'!$C$68:$AC$80,27,FALSE)*AJ164-AC164*VLOOKUP(D164,'DB technologies'!$N$82:$Y$94,11,FALSE)/100,0))))</f>
        <v/>
      </c>
      <c r="AP164" s="182" t="str">
        <f>IF(D164="","",IF(AO164&lt;-0.01,0,IF(AI164=2,(('Calc (ex-animal)'!$L$38*'Calc (ex-housing, ex-storage)'!F164/100+'Calc (ex-animal)'!$K$38*'Calc (ex-housing, ex-storage)'!F164/100))*AG164/100/VLOOKUP($C$160,'DB animal categories'!$C$68:$AC$80,27,FALSE)*AJ164+Q164+R164+S164-AC164,IF(AI164=1,('Calc (ex-animal)'!$L$38*'Calc (ex-housing, ex-storage)'!F164/100)*AG164/100/VLOOKUP($C$160,'DB animal categories'!$C$68:$AC$80,27,FALSE)*AJ164-'Calc (ex-housing, ex-storage)'!AC164,IF(AI164=4,('Calc (ex-animal)'!$L$38+'Calc (ex-animal)'!$K$38)*'Calc (ex-housing, ex-storage)'!F164/100*AG164/100*VLOOKUP(D164,'DB technologies'!$N$82:$Y$94,11,FALSE)/100/VLOOKUP($C$160,'DB animal categories'!$C$68:$AC$80,27,FALSE)*AJ164-AC164*VLOOKUP(D164,'DB technologies'!$N$82:$Y$94,11,FALSE)/100,0)))))</f>
        <v/>
      </c>
      <c r="AQ164" s="182" t="str">
        <f>IF(D164="","",IF(AI164=2,('Calc (ex-animal)'!$O$38*'Calc (ex-housing, ex-storage)'!F164/100+'Calc (ex-animal)'!$N$38*'Calc (ex-housing, ex-storage)'!F164/100)*AG164/100/VLOOKUP($C$160,'DB animal categories'!$C$68:$AC$80,27,FALSE)*AJ164+U164+V164+W164,IF(AI164=1,'Calc (ex-animal)'!$O$38*'Calc (ex-housing, ex-storage)'!F164/100*AG164/100/VLOOKUP($C$160,'DB animal categories'!$C$68:$AC$80,27,FALSE)*AJ164,IF(AI164=4,('Calc (ex-animal)'!$O$38+'Calc (ex-animal)'!$N$38)*'Calc (ex-housing, ex-storage)'!F164/100*AG164/100*VLOOKUP(D164,'DB technologies'!$N$82:$Y$94,11,FALSE)/100/VLOOKUP($C$160,'DB animal categories'!$C$68:$AC$80,27,FALSE)*AJ164,0))))</f>
        <v/>
      </c>
      <c r="AR164" s="182" t="str">
        <f>IF(D164="","",IF(AI164=2,('Calc (ex-animal)'!$R$38*'Calc (ex-housing, ex-storage)'!F164/100+'Calc (ex-animal)'!$Q$38*'Calc (ex-housing, ex-storage)'!F164/100)*AG164/100/VLOOKUP($C$160,'DB animal categories'!$C$68:$AC$80,27,FALSE)*AJ164+Y164+Z164+AA164,IF(AI164=1,'Calc (ex-animal)'!$R$38*'Calc (ex-housing, ex-storage)'!F164/100*AG164/100/VLOOKUP($C$160,'DB animal categories'!$C$68:$AC$80,27,FALSE)*AJ164,IF(AI164=4,('Calc (ex-animal)'!$R$38+'Calc (ex-animal)'!$Q$38)*'Calc (ex-housing, ex-storage)'!F164/100*AG164/100*VLOOKUP(D164,'DB technologies'!$N$82:$Y$94,11,FALSE)/100/VLOOKUP($C$160,'DB animal categories'!$C$68:$AC$80,27,FALSE)*AJ164,0))))</f>
        <v/>
      </c>
      <c r="AS164" s="181" t="str">
        <f>IF(D164="","",VLOOKUP(D164,'DB technologies'!$N$82:$Y$94,10,FALSE))</f>
        <v/>
      </c>
      <c r="AT164" s="442" t="str">
        <f t="shared" si="24"/>
        <v/>
      </c>
      <c r="AU164" s="442" t="str">
        <f>IF(D164="","",IF(AS164=2,0,IF(AS164=1,'Calc (ex-animal)'!$G$38*'DB additional information '!$K$12/100*AG164/100*(1-VLOOKUP(D164,'DB technologies'!$N$82:$Y$94,8,FALSE)/100)*'Calc (ex-housing, ex-storage)'!F164/100/VLOOKUP($C$160,'DB animal categories'!$C$68:$AC$80,27,FALSE)*AJ164+I164+J164+K164,IF(AS164=5,(('Calc (ex-animal)'!$G$38*'DB additional information '!$K$12/100+'Calc (ex-animal)'!$H$38*'DB additional information '!$L$12/100))*AG164/100*(1-VLOOKUP(D164,'DB technologies'!$N$82:$Y$94,9,FALSE)/100)*'Calc (ex-housing, ex-storage)'!F164/100/VLOOKUP($C$160,'DB animal categories'!$C$68:$AC$80,27,FALSE)*AJ164+I164+J164+K164,IF(AS164=3,('Calc (ex-animal)'!$G$38*'DB additional information '!$K$12/100+'Calc (ex-animal)'!$H$38*'DB additional information '!$L$12/100)*AG164/100*(1-VLOOKUP(D164,'DB technologies'!$N$82:$Y$94,9,FALSE)/100)*'Calc (ex-housing, ex-storage)'!F164/100/VLOOKUP($C$160,'DB animal categories'!$C$68:$AC$80,27,FALSE)*AJ164+I164+J164+K164,IF(AS164=4,('Calc (ex-animal)'!$G$38*'DB additional information '!$K$12/100+'Calc (ex-animal)'!$H$38*'DB additional information '!$L$12/100)*AG164/100*(1-VLOOKUP(D164,'DB technologies'!$N$82:$Y$94,9,FALSE)/100)*'Calc (ex-housing, ex-storage)'!F164/100*VLOOKUP(D164,'DB technologies'!$N$82:$Y$94,12,FALSE)/100/VLOOKUP($C$160,'DB animal categories'!$C$68:$AC$80,27,FALSE)*AJ164+I164+J164+K164,0))))))</f>
        <v/>
      </c>
      <c r="AV164" s="442" t="str">
        <f>IF(D164="","",IF(AS164=2,0,IF(AS164=1,'Calc (ex-animal)'!$G$38*(1-'DB additional information '!$K$12/100)*AG164/100*(1-VLOOKUP(D164,'DB technologies'!$N$82:$Y$94,8,FALSE)/100)*'Calc (ex-housing, ex-storage)'!F164/100/VLOOKUP($C$160,'DB animal categories'!$C$68:$AC$80,27,FALSE)*AJ164+M164+N164+O164,IF(AS164=5,('Calc (ex-animal)'!$G$38*(1-'DB additional information '!$K$12/100)+'Calc (ex-animal)'!$H$38*(1-'DB additional information '!$L$12/100))*AG164/100*(1-VLOOKUP(D164,'DB technologies'!$N$82:$Y$94,8,FALSE)/100)*'Calc (ex-housing, ex-storage)'!F164/100/VLOOKUP($C$160,'DB animal categories'!$C$68:$AC$80,27,FALSE)*AJ164+M164+N164+O164,IF(AS164=3,('Calc (ex-animal)'!$G$38*(1-'DB additional information '!$K$12/100)+'Calc (ex-animal)'!$H$38*(1-'DB additional information '!$L$12/100))*AG164/100*(1-VLOOKUP(D164,'DB technologies'!$N$82:$Y$94,8,FALSE)/100)*'Calc (ex-housing, ex-storage)'!F164/100/VLOOKUP($C$160,'DB animal categories'!$C$68:$AC$80,27,FALSE)*AJ164+M164+N164+O164,IF(AS164=4,('Calc (ex-animal)'!$G$38*(1-'DB additional information '!$K$12/100)+'Calc (ex-animal)'!$H$38*(1-'DB additional information '!$L$12/100))*AG164/100*(1-VLOOKUP(D164,'DB technologies'!$N$82:$Y$94,8,FALSE)/100)*'Calc (ex-housing, ex-storage)'!F164/100*VLOOKUP(D164,'DB technologies'!$N$82:$Y$94,12,FALSE)/100/VLOOKUP($C$160,'DB animal categories'!$C$68:$AC$80,27,FALSE)*AJ164+M164+N164+O164,0))))))</f>
        <v/>
      </c>
      <c r="AW164" s="442" t="str">
        <f t="shared" si="25"/>
        <v/>
      </c>
      <c r="AX164" s="182" t="str">
        <f>IF(D164="","",IF(AS164=2,0,IF(AS164=1,'Calc (ex-animal)'!$K$38*'Calc (ex-housing, ex-storage)'!F164/100*AG164/100/VLOOKUP($C$160,'DB animal categories'!$C$68:$AC$80,27,FALSE)*AJ164+Q164+R164+S164,IF(AS164=5,('Calc (ex-animal)'!$K$38+'Calc (ex-animal)'!$L$38)*AG164/100*'Calc (ex-housing, ex-storage)'!F164/100/VLOOKUP($C$160,'DB animal categories'!$C$68:$AC$80,27,FALSE)*AJ164+Q164+R164+S164-'Calc (ex-housing, ex-storage)'!AC164,IF(AS164=3,('Calc (ex-animal)'!$K$38+'Calc (ex-animal)'!$L$38)*AG164/100*'Calc (ex-housing, ex-storage)'!F164/100/VLOOKUP($C$160,'DB animal categories'!$C$68:$AC$80,27,FALSE)*AJ164+Q164+R164+S164-'Calc (ex-housing, ex-storage)'!AC164-AD164-AE164,IF(AI164=4,('Calc (ex-animal)'!$K$38+'Calc (ex-animal)'!$L$38)*AG164/100*'Calc (ex-housing, ex-storage)'!F164/100*VLOOKUP(D164,'DB technologies'!$N$82:$Y$94,12,FALSE)/100/VLOOKUP($C$160,'DB animal categories'!$C$68:$AC$80,27,FALSE)*AJ164+Q164+R164+S164-(VLOOKUP(D164,'DB technologies'!$N$82:$Y$94,12,FALSE)/100*AC164)-AD164-AE164,0))))))</f>
        <v/>
      </c>
      <c r="AY164" s="182" t="str">
        <f>IF(D164="","",IF(AS164=2,0,IF(AS164=1,'Calc (ex-animal)'!$N$38*AG164/100*'Calc (ex-housing, ex-storage)'!F164/100/VLOOKUP($C$160,'DB animal categories'!$C$68:$AC$80,27,FALSE)*AJ164+U164+V164+W164,IF(AS164=5,('Calc (ex-animal)'!$N$38+'Calc (ex-animal)'!$O$38)*AG164/100*'Calc (ex-housing, ex-storage)'!F164/100/VLOOKUP($C$160,'DB animal categories'!$C$68:$AC$80,27,FALSE)*AJ164+U164+V164+W164,IF(AS164=3,('Calc (ex-animal)'!$N$38+'Calc (ex-animal)'!$O$38)*AG164/100*'Calc (ex-housing, ex-storage)'!F164/100/VLOOKUP($C$160,'DB animal categories'!$C$68:$AC$80,27,FALSE)*AJ164+U164+V164+W164,IF(AS164=4,('Calc (ex-animal)'!$N$38+'Calc (ex-animal)'!$O$38)*AG164/100*'Calc (ex-housing, ex-storage)'!F164/100*VLOOKUP(D164,'DB technologies'!$N$82:$Y$94,12,FALSE)/100/VLOOKUP($C$160,'DB animal categories'!$C$68:$AC$80,27,FALSE)*AJ164+U164+V164+W164,0))))))</f>
        <v/>
      </c>
      <c r="AZ164" s="182" t="str">
        <f>IF(D164="","",IF(AS164=2,0,IF(AS164=1,'Calc (ex-animal)'!$Q$38*AG164/100*'Calc (ex-housing, ex-storage)'!F164/100/VLOOKUP($C$160,'DB animal categories'!$C$68:$AC$80,27,FALSE)*AJ164+Y164+Z164+AA164,IF(AS164=5,('Calc (ex-animal)'!$Q$38+'Calc (ex-animal)'!$R$38)*AG164/100*'Calc (ex-housing, ex-storage)'!F164/100/VLOOKUP($C$160,'DB animal categories'!$C$68:$AC$80,27,FALSE)*AJ164+Y164+Z164+AA164,IF(AS164=3,('Calc (ex-animal)'!$Q$38+'Calc (ex-animal)'!$R$38)*AG164/100*'Calc (ex-housing, ex-storage)'!F164/100/VLOOKUP($C$160,'DB animal categories'!$C$68:$AC$80,27,FALSE)*AJ164+Y164+Z164+AA164,IF(AS164=4,('Calc (ex-animal)'!$Q$38+'Calc (ex-animal)'!$R$38)*AG164/100*'Calc (ex-housing, ex-storage)'!F164/100*VLOOKUP(D164,'DB technologies'!$N$82:$Y$94,12,FALSE)/100/VLOOKUP($C$160,'DB animal categories'!$C$68:$AC$80,27,FALSE)*AJ164+Y164+Z164+AA164,0))))))</f>
        <v/>
      </c>
      <c r="BA164" s="506"/>
      <c r="BB164" s="506"/>
      <c r="BC164" s="506"/>
    </row>
    <row r="165" spans="1:55" x14ac:dyDescent="0.2">
      <c r="A165" s="684"/>
      <c r="B165" s="695"/>
      <c r="C165" s="251"/>
      <c r="D165" s="1367"/>
      <c r="E165" s="1370"/>
      <c r="F165" s="740" t="str">
        <f>IF('Calc (ex-animal)'!$F$9=1,"",IF($C$152=0,"",IF(D165="","",E165/'Calc (ex-animal)'!$E$32*100)))</f>
        <v/>
      </c>
      <c r="G165" s="485" t="str">
        <f>IF($C$160=0,"",IF('Calc (ex-animal)'!$F$38=1,"",IF(D165="","",SUM(H165:O165))))</f>
        <v/>
      </c>
      <c r="H165" s="423" t="str">
        <f>IF('Calc (ex-animal)'!$F$38=1,"",IF(D165="","",(((VLOOKUP($C$160,'Calc (ex-animal)'!$D$38:$Y$42,6,FALSE)-VLOOKUP($C$160,'Calc (ex-animal)'!$D$38:$Y$42,17,FALSE))*F164/100*AH164/100))*VLOOKUP($C$160,'Calc (ex-animal)'!$D$38:$Y$42,7,FALSE)/100*(1-VLOOKUP(D165,'DB technologies'!$N$96:$Y$107,9,FALSE)/100)))</f>
        <v/>
      </c>
      <c r="I165" s="423" t="str">
        <f>IF(D165="","",((VLOOKUP(D165,'DB technologies'!$N$96:$Y$107,2,FALSE)*VLOOKUP($C$160,'DB animal categories'!$C$68:$AC$80,27,FALSE)*F164/1000*AH164/100)/VLOOKUP($C$160,'DB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'!$S$6/100*(1-VLOOKUP(D165,'DB technologies'!$N$96:$Y$107,9,FALSE)/100)))</f>
        <v/>
      </c>
      <c r="J165" s="434" t="str">
        <f>IF(D165="","",((VLOOKUP(D165,'DB technologies'!$N$96:$Y$107,3,FALSE)*VLOOKUP($C$160,'DB animal categories'!$C$68:$AC$80,27,FALSE)*E164/1000*AH164/100)/VLOOKUP($C$160,'DB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'!$S$7/100*(1-VLOOKUP(D165,'DB technologies'!$N$96:$Y$107,9,FALSE)/100)))</f>
        <v/>
      </c>
      <c r="K165" s="526" t="str">
        <f>IF(D165="","",((VLOOKUP(D165,'DB technologies'!$N$96:$Y$107,4,FALSE)*E164*AH164/100*'DB additional information '!$S$8/100*(1-VLOOKUP(D165,'DB technologies'!$N$96:$Y$107,9,FALSE)/100))/VLOOKUP($C$160,'DB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5" s="423" t="str">
        <f>IF('Calc (ex-animal)'!$F$38=1,"",IF(D165="","",(((VLOOKUP($C$160,'Calc (ex-animal)'!$D$38:$Y$42,6,FALSE)-VLOOKUP($C$160,'Calc (ex-animal)'!$D$38:$Y$42,17,FALSE))*F164/100*AH164/100))*(1-VLOOKUP($C$160,'Calc (ex-animal)'!$D$38:$Y$42,7,FALSE)/100)*(1-VLOOKUP(D165,'DB technologies'!$N$96:$V$107,8,FALSE)/100)))</f>
        <v/>
      </c>
      <c r="M165" s="434" t="str">
        <f>IF(D165="","",((VLOOKUP(D165,'DB technologies'!$N$96:$Y$107,2,FALSE)*VLOOKUP($C$160,'DB animal categories'!$C$68:$AC$80,27,FALSE)*E164/1000*AH164/100)/VLOOKUP($C$160,'DB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'!$S$6/100)*(1-VLOOKUP(D165,'DB technologies'!$N$96:$Y$107,9,FALSE)/100))</f>
        <v/>
      </c>
      <c r="N165" s="434" t="str">
        <f>IF(D165="","",((VLOOKUP(D165,'DB technologies'!$N$96:$Y$107,3,FALSE)*VLOOKUP($C$160,'DB animal categories'!$C$68:$AC$80,27,FALSE)*E164/1000*AH164/100)/VLOOKUP($C$160,'DB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'!$S$7/100)*(1-VLOOKUP(D165,'DB technologies'!$N$96:$Y$107,9,FALSE)/100))</f>
        <v/>
      </c>
      <c r="O165" s="423" t="str">
        <f>IF(D165="","",((VLOOKUP(D165,'DB technologies'!$N$96:$Y$107,4,FALSE)*E164*AH164/100*(1-'DB additional information '!$S$8/100)*(1-VLOOKUP(D165,'DB technologies'!$N$96:$Y$107,8,FALSE)/100))/VLOOKUP($C$160,'DB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5" s="438" t="str">
        <f>IF(G165=0,0,IF(E164="","",IF(F164="","",IF($C$160=0,"",IF(D165="","",SUM(H165:K165)/G165*100)))))</f>
        <v/>
      </c>
      <c r="Q165" s="416" t="str">
        <f>IF(D165="","",(VLOOKUP(D165,'DB technologies'!$N$96:$Y$107,2,FALSE)*'DB additional information '!$S$6/100*'DB additional information '!$T$6*VLOOKUP($C$160,'DB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5" s="416" t="str">
        <f>IF(D165="","",(VLOOKUP(D165,'DB technologies'!$N$96:$Y$107,3,FALSE)*'DB additional information '!$S$7/100*'DB additional information '!$T$7*VLOOKUP($C$160,'DB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5" s="491" t="str">
        <f>IF(D165="","",(VLOOKUP(D165,'DB technologies'!$N$96:$Y$107,4,FALSE)*('DB additional information '!$S$8/100*'DB additional information '!$T$8*E164/1000/1000*AH164/100)))</f>
        <v/>
      </c>
      <c r="T165" s="303" t="str">
        <f>IF($C$160=0,"",IF('Calc (ex-animal)'!$F$38=1,"",IF(D165="","",((VLOOKUP($C$160,'Calc (ex-animal)'!$D$38:$Y$42,10,FALSE)-VLOOKUP($C$160,'Calc (ex-animal)'!$D$38:$Y$42,18,FALSE))*F164/100*AH164/100+Q165+R165+S165)-AC165-AD165-AE165)))</f>
        <v/>
      </c>
      <c r="U165" s="542" t="str">
        <f>IF(D165="","",(VLOOKUP(D165,'DB technologies'!$N$96:$Y$107,2,FALSE)*'DB additional information '!$S$6/100*'DB additional information '!$U$6*VLOOKUP($C$160,'DB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5" s="524" t="str">
        <f>IF(D165="","",(VLOOKUP(D165,'DB technologies'!$N$96:$Y$107,3,FALSE)*'DB additional information '!$S$7/100*'DB additional information '!$U$7*VLOOKUP($C$160,'DB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5" s="543" t="str">
        <f>IF(D165="","",(VLOOKUP(D165,'DB technologies'!$N$96:$Y$107,4,FALSE)*('DB additional information '!$S$8/100*'DB additional information '!$U$8*E164/1000/1000*AH164/100)))</f>
        <v/>
      </c>
      <c r="X165" s="304" t="str">
        <f>IF($C$160=0,"",IF('Calc (ex-animal)'!$F$38=1,"",IF(D165="","",((VLOOKUP($C$160,'Calc (ex-animal)'!$D$38:$Y$42,13,FALSE)-VLOOKUP($C$160,'Calc (ex-animal)'!$D$38:$Y$42,19,FALSE))*F164/100*AH164/100+U165+V165+W165))))</f>
        <v/>
      </c>
      <c r="Y165" s="524" t="str">
        <f>IF(D165="","",(VLOOKUP(D165,'DB technologies'!$N$96:$Y$107,2,FALSE)*'DB additional information '!$S$6/100*'DB additional information '!$V$6*VLOOKUP($C$160,'DB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5" s="524" t="str">
        <f>IF(D165="","",(VLOOKUP(D165,'DB technologies'!$N$96:$Y$107,3,FALSE)*'DB additional information '!$S$7/100*'DB additional information '!$V$7*VLOOKUP($C$160,'DB animal categories'!$C$68:$AC$80,27,FALSE)*E164/1000/1000*AH164/100)/VLOOKUP($C$160,'DB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5" s="524" t="str">
        <f>IF(D165="","",(VLOOKUP(D165,'DB technologies'!$N$96:$Y$107,4,FALSE)*('DB additional information '!$S$8/100*'DB additional information '!$V$8*E164/1000/1000*AH164/100)))</f>
        <v/>
      </c>
      <c r="AB165" s="304" t="str">
        <f>IF($C$160=0,"",IF('Calc (ex-animal)'!$F$38=1,"",IF(D165="","",((VLOOKUP($C$160,'Calc (ex-animal)'!$D$38:$Y$42,16,FALSE)-VLOOKUP($C$160,'Calc (ex-animal)'!$D$38:$Y$42,20,FALSE))*F164/100*AH164/100+Y165+Z165+AA165))))</f>
        <v/>
      </c>
      <c r="AC165" s="304" t="str">
        <f>IF($C$160=0,"",IF('Calc (ex-animal)'!$F$38=1,"",IF(D165="","",VLOOKUP($C$160,'Calc (ex-animal)'!$D$38:$Y$42,9,FALSE)*AH164/100/VLOOKUP($C$160,'DB animal categories'!$C$68:$AC$80,27,FALSE)*(VLOOKUP($C$160,'DB animal categories'!$C$68:$AC$80,27,FALSE)-VLOOKUP($C$160,'DB animal categories'!$C$68:$AC$80,25,FALSE)*VLOOKUP($C$160,'DB animal categories'!$C$68:$AC$80,26,FALSE)/24)*F164/100*VLOOKUP(D165,'DB technologies'!$N$96:$R$107,5,FALSE)/100)))</f>
        <v/>
      </c>
      <c r="AD165" s="304" t="str">
        <f>IF($C$160=0,"",IF('Calc (ex-animal)'!$F$38=1,"",IF(D165="","",VLOOKUP($C$160,'Calc (ex-animal)'!$D$38:$Y$42,10,FALSE)*AH164/100/VLOOKUP($C$160,'DB animal categories'!$C$68:$AC$80,27,FALSE)*(VLOOKUP($C$160,'DB animal categories'!$C$68:$AC$80,27,FALSE)-VLOOKUP($C$160,'DB animal categories'!$C$68:$AC$80,25,FALSE)*VLOOKUP($C$160,'DB animal categories'!$C$68:$AC$80,26,FALSE)/24)*F164/100*VLOOKUP(D165,'DB technologies'!$N$96:$Y$107,6,FALSE)/100)))</f>
        <v/>
      </c>
      <c r="AE165" s="305" t="str">
        <f>IF($C$160=0,"",IF('Calc (ex-animal)'!$F$38=1,"",IF(D165="","",VLOOKUP($C$160,'Calc (ex-animal)'!$D$38:$Y$42,10,FALSE)*AH164/100/VLOOKUP($C$160,'DB animal categories'!$C$68:$AC$80,27,FALSE)*(VLOOKUP($C$160,'DB animal categories'!$C$68:$AC$80,27,FALSE)-VLOOKUP($C$160,'DB animal categories'!$C$68:$AC$80,25,FALSE)*VLOOKUP($C$160,'DB animal categories'!$C$68:$AC$80,26,FALSE)/24)*F164/100*VLOOKUP(D165,'DB technologies'!$N$96:$Y$107,7,FALSE)/100)))</f>
        <v/>
      </c>
      <c r="AG165" s="1379"/>
      <c r="AH165" s="1384"/>
      <c r="AI165" s="187" t="str">
        <f>IF(D165="","",VLOOKUP(D165,'DB technologies'!$N$96:$Y$107,10,FALSE))</f>
        <v/>
      </c>
      <c r="AJ165" s="451" t="e">
        <f>VLOOKUP($C$160,'DB animal categories'!$C$68:$AN$80,27,FALSE)-VLOOKUP($C$160,'DB animal categories'!$C$68:$AN$80,26,FALSE)*VLOOKUP($C$160,'DB animal categories'!$C$68:$AN$80,25,FALSE)/24</f>
        <v>#N/A</v>
      </c>
      <c r="AK165" s="452" t="str">
        <f t="shared" si="22"/>
        <v/>
      </c>
      <c r="AL165" s="452" t="str">
        <f>IF(D165="","",IF(AI165=2,(('Calc (ex-animal)'!$G$38*'DB additional information '!$K$12/100*AH164/100*(1-VLOOKUP(D165,'DB technologies'!$N$96:$Y$107,9,FALSE)/100)*'Calc (ex-housing, ex-storage)'!F164/100+'Calc (ex-animal)'!$H$38*'DB additional information '!$L$12/100*AH164/100*(1-VLOOKUP(D165,'DB technologies'!$N$96:$Y$107,9,FALSE)/100)*'Calc (ex-housing, ex-storage)'!F164/100))/VLOOKUP($C$160,'DB animal categories'!$C$68:$AC$80,27,FALSE)*AJ165+I165+J165+K165,IF(AI165=1,('Calc (ex-animal)'!$H$38*AH164/100*'DB additional information '!$L$12/100*(1-VLOOKUP(D165,'DB technologies'!$N$96:$Y$107,9,FALSE)/100)*'Calc (ex-housing, ex-storage)'!F164/100)/VLOOKUP($C$160,'DB animal categories'!$C$68:$AC$80,27,FALSE)*AJ165,IF(AI165=4,('Calc (ex-animal)'!$G$38*'DB additional information '!$K$12/100+'Calc (ex-animal)'!$H$38*'DB additional information '!$L$12/100)*AH164/100*(1-VLOOKUP(D165,'DB technologies'!$N$96:$Y$107,9,FALSE)/100)*'Calc (ex-housing, ex-storage)'!F164/100*VLOOKUP(D165,'DB technologies'!$N$96:$Y$107,11,FALSE)/100/VLOOKUP($C$160,'DB animal categories'!$C$68:$AC$80,27,FALSE)*AJ165,0))))</f>
        <v/>
      </c>
      <c r="AM165" s="452" t="str">
        <f>IF(D165="","",IF(AI165=2,(('Calc (ex-animal)'!$G$38*(1-'DB additional information '!$K$12/100)*AH164/100*(1-VLOOKUP(D165,'DB technologies'!$N$96:$Y$107,8,FALSE)/100)*'Calc (ex-housing, ex-storage)'!F164/100+'Calc (ex-animal)'!$H$38*(1-'DB additional information '!$L$12/100)*AH164/100*(1-VLOOKUP(D165,'DB technologies'!$N$96:$Y$107,8,FALSE)/100)*'Calc (ex-housing, ex-storage)'!F164/100))/VLOOKUP($C$160,'DB animal categories'!$C$68:$AC$80,27,FALSE)*AJ165+M165+N165+O165,IF(AI165=1,('Calc (ex-animal)'!$H$38*(1-'DB additional information '!$L$12/100)*AH164/100*(1-VLOOKUP(D165,'DB technologies'!$N$96:$Y$107,8,FALSE)/100)*'Calc (ex-housing, ex-storage)'!F164/100)/VLOOKUP($C$160,'DB animal categories'!$C$68:$AC$80,27,FALSE)*AJ165,IF(AI165=4,('Calc (ex-animal)'!$G$38*(1-'DB additional information '!$K$12/100)+'Calc (ex-animal)'!$H$38*(1-'DB additional information '!$L$12/100))*AH164/100*(1-VLOOKUP(D165,'DB technologies'!$N$96:$Y$107,8,FALSE)/100)*'Calc (ex-housing, ex-storage)'!F164/100*VLOOKUP(D165,'DB technologies'!$N$96:$Y$107,11,FALSE)/100/VLOOKUP($C$160,'DB animal categories'!$C$68:$AC$80,27,FALSE)*AJ165,0))))</f>
        <v/>
      </c>
      <c r="AN165" s="452" t="str">
        <f t="shared" si="23"/>
        <v/>
      </c>
      <c r="AO165" s="184" t="str">
        <f>IF(D165="","",IF(AI165=2,(('Calc (ex-animal)'!$L$38*'Calc (ex-housing, ex-storage)'!F164/100+'Calc (ex-animal)'!$K$38*'Calc (ex-housing, ex-storage)'!F164/100))*AH164/100/VLOOKUP($C$160,'DB animal categories'!$C$68:$AC$80,27,FALSE)*AJ165+Q165+R165+S165-AC165,IF(AI165=1,('Calc (ex-animal)'!$L$38*'Calc (ex-housing, ex-storage)'!F164/100)*AH164/100/VLOOKUP($C$160,'DB animal categories'!$C$68:$AC$80,27,FALSE)*AJ165-'Calc (ex-housing, ex-storage)'!AC165,IF(AI165=4,('Calc (ex-animal)'!$L$38+'Calc (ex-animal)'!$K$38)*'Calc (ex-housing, ex-storage)'!F164/100*AH164/100*VLOOKUP(D165,'DB technologies'!$N$96:$Y$107,11,FALSE)/100/VLOOKUP($C$160,'DB animal categories'!$C$68:$AC$80,27,FALSE)*AJ165-AC165*VLOOKUP(D165,'DB technologies'!$N$96:$Y$107,11,FALSE)/100,0))))</f>
        <v/>
      </c>
      <c r="AP165" s="184" t="str">
        <f>IF(D165="","",IF(AO165&lt;-0.01,0,IF(AI165=2,(('Calc (ex-animal)'!$L$38*'Calc (ex-housing, ex-storage)'!F164/100+'Calc (ex-animal)'!$K$38*'Calc (ex-housing, ex-storage)'!F164/100))*AH164/100/VLOOKUP($C$160,'DB animal categories'!$C$68:$AC$80,27,FALSE)*AJ165+Q165+R165+S165-AC165,IF(AI165=1,('Calc (ex-animal)'!$L$38*'Calc (ex-housing, ex-storage)'!F164/100)*AH164/100/VLOOKUP($C$160,'DB animal categories'!$C$68:$AC$80,27,FALSE)*AJ165-'Calc (ex-housing, ex-storage)'!AC165,IF(AI165=4,('Calc (ex-animal)'!$L$38+'Calc (ex-animal)'!$K$38)*'Calc (ex-housing, ex-storage)'!F164/100*AH164/100*VLOOKUP(D165,'DB technologies'!$N$96:$Y$107,11,FALSE)/100/VLOOKUP($C$160,'DB animal categories'!$C$68:$AC$80,27,FALSE)*AJ165-AC165*VLOOKUP(D165,'DB technologies'!$N$96:$Y$107,11,FALSE)/100,0)))))</f>
        <v/>
      </c>
      <c r="AQ165" s="184" t="str">
        <f>IF(D165="","",IF(AI165=2,('Calc (ex-animal)'!$O$38*'Calc (ex-housing, ex-storage)'!F164/100+'Calc (ex-animal)'!$N$38*'Calc (ex-housing, ex-storage)'!F164/100)*AH164/100/VLOOKUP($C$160,'DB animal categories'!$C$68:$AC$80,27,FALSE)*AJ165+U165+V165+W165,IF(AI165=1,'Calc (ex-animal)'!$O$38*'Calc (ex-housing, ex-storage)'!F164/100*AH164/100/VLOOKUP($C$160,'DB animal categories'!$C$68:$AC$80,27,FALSE)*AJ165,IF(AI165=4,('Calc (ex-animal)'!$O$38+'Calc (ex-animal)'!$N$38)*'Calc (ex-housing, ex-storage)'!F164/100*AH164/100*VLOOKUP(D165,'DB technologies'!$N$96:$Y$107,11,FALSE)/100/VLOOKUP($C$160,'DB animal categories'!$C$68:$AC$80,27,FALSE)*AJ165,0))))</f>
        <v/>
      </c>
      <c r="AR165" s="184" t="str">
        <f>IF(D165="","",IF(AI165=2,('Calc (ex-animal)'!$R$38*'Calc (ex-housing, ex-storage)'!F164/100+'Calc (ex-animal)'!$Q$38*'Calc (ex-housing, ex-storage)'!F164/100)*AH164/100/VLOOKUP($C$160,'DB animal categories'!$C$68:$AC$80,27,FALSE)*AJ165+Y165+Z165+AA165,IF(AI165=1,'Calc (ex-animal)'!$R$38*'Calc (ex-housing, ex-storage)'!F164/100*AH164/100/VLOOKUP($C$160,'DB animal categories'!$C$68:$AC$80,27,FALSE)*AJ165,IF(AI165=4,('Calc (ex-animal)'!$R$38+'Calc (ex-animal)'!$Q$38)*'Calc (ex-housing, ex-storage)'!F164/100*AH164/100*VLOOKUP(D165,'DB technologies'!$N$96:$Y$107,11,FALSE)/100/VLOOKUP($C$160,'DB animal categories'!$C$68:$AC$80,27,FALSE)*AJ165,0))))</f>
        <v/>
      </c>
      <c r="AS165" s="183" t="str">
        <f>IF(D165="","",VLOOKUP(D165,'DB technologies'!$N$96:$Y$107,10,FALSE))</f>
        <v/>
      </c>
      <c r="AT165" s="452" t="str">
        <f t="shared" si="24"/>
        <v/>
      </c>
      <c r="AU165" s="452" t="str">
        <f>IF(D165="","",IF(AS165=2,0,IF(AS165=1,'Calc (ex-animal)'!$G$38*'DB additional information '!$K$12/100*AH164/100*(1-VLOOKUP(D165,'DB technologies'!$N$96:$Y$107,8,FALSE)/100)*'Calc (ex-housing, ex-storage)'!F164/100/VLOOKUP($C$160,'DB animal categories'!$C$68:$AC$80,27,FALSE)*AJ165+I165+J165+K165,IF(AS165=5,(('Calc (ex-animal)'!$G$38*'DB additional information '!$K$12/100+'Calc (ex-animal)'!$H$38*'DB additional information '!$L$12/100))*AH164/100*(1-VLOOKUP(D165,'DB technologies'!$N$96:$Y$107,9,FALSE)/100)*'Calc (ex-housing, ex-storage)'!F164/100/VLOOKUP($C$160,'DB animal categories'!$C$68:$AC$80,27,FALSE)*AJ165+I165+J165+K165,IF(AS165=3,('Calc (ex-animal)'!$G$38*'DB additional information '!$K$12/100+'Calc (ex-animal)'!$H$38*'DB additional information '!$L$12/100)*AH164/100*(1-VLOOKUP(D165,'DB technologies'!$N$96:$Y$107,9,FALSE)/100)*'Calc (ex-housing, ex-storage)'!F164/100/VLOOKUP($C$160,'DB animal categories'!$C$68:$AC$80,27,FALSE)*AJ165+I165+J165+K165,IF(AS165=4,('Calc (ex-animal)'!$G$38*'DB additional information '!$K$12/100+'Calc (ex-animal)'!$H$38*'DB additional information '!$L$12/100)*AH164/100*(1-VLOOKUP(D165,'DB technologies'!$N$96:$Y$107,9,FALSE)/100)*'Calc (ex-housing, ex-storage)'!F164/100*VLOOKUP(D165,'DB technologies'!$N$96:$Y$107,12,FALSE)/100/VLOOKUP($C$160,'DB animal categories'!$C$68:$AC$80,27,FALSE)*AJ165+I165+J165+K165,0))))))</f>
        <v/>
      </c>
      <c r="AV165" s="452" t="str">
        <f>IF(D165="","",IF(AS165=2,0,IF(AS165=1,'Calc (ex-animal)'!$G$38*(1-'DB additional information '!$K$12/100)*AH164/100*(1-VLOOKUP(D165,'DB technologies'!$N$96:$Y$107,8,FALSE)/100)*'Calc (ex-housing, ex-storage)'!F164/100/VLOOKUP($C$160,'DB animal categories'!$C$68:$AC$80,27,FALSE)*AJ165+M165+N165+O165,IF(AS165=5,('Calc (ex-animal)'!$G$38*(1-'DB additional information '!$K$12/100)+'Calc (ex-animal)'!$H$38*(1-'DB additional information '!$L$12/100))*AH164/100*(1-VLOOKUP(D165,'DB technologies'!$N$96:$Y$107,8,FALSE)/100)*'Calc (ex-housing, ex-storage)'!F164/100/VLOOKUP($C$160,'DB animal categories'!$C$68:$AC$80,27,FALSE)*AJ165+M165+N165+O165,IF(AS165=3,('Calc (ex-animal)'!$G$38*(1-'DB additional information '!$K$12/100)+'Calc (ex-animal)'!$H$38*(1-'DB additional information '!$L$12/100))*AH164/100*(1-VLOOKUP(D165,'DB technologies'!$N$96:$Y$107,8,FALSE)/100)*'Calc (ex-housing, ex-storage)'!F164/100/VLOOKUP($C$160,'DB animal categories'!$C$68:$AC$80,27,FALSE)*AJ165+M165+N165+O165,IF(AS165=4,('Calc (ex-animal)'!$G$38*(1-'DB additional information '!$K$12/100)+'Calc (ex-animal)'!$H$38*(1-'DB additional information '!$L$12/100))*AH164/100*(1-VLOOKUP(D165,'DB technologies'!$N$96:$Y$107,8,FALSE)/100)*'Calc (ex-housing, ex-storage)'!F164/100*VLOOKUP(D165,'DB technologies'!$N$96:$Y$107,12,FALSE)/100/VLOOKUP($C$160,'DB animal categories'!$C$68:$AC$80,27,FALSE)*AJ165+M165+N165+O165,0))))))</f>
        <v/>
      </c>
      <c r="AW165" s="452" t="str">
        <f t="shared" si="25"/>
        <v/>
      </c>
      <c r="AX165" s="184" t="str">
        <f>IF(D165="","",IF(AS165=2,0,IF(AS165=1,'Calc (ex-animal)'!$K$38*'Calc (ex-housing, ex-storage)'!F164/100*AH164/100/VLOOKUP($C$160,'DB animal categories'!$C$68:$AC$80,27,FALSE)*AJ165+Q165+R165+S165,IF(AS165=5,('Calc (ex-animal)'!$K$38+'Calc (ex-animal)'!$L$38)*AH164/100*'Calc (ex-housing, ex-storage)'!F164/100/VLOOKUP($C$160,'DB animal categories'!$C$68:$AC$80,27,FALSE)*AJ165+Q165+R165+S165-'Calc (ex-housing, ex-storage)'!AC165,IF(AS165=3,('Calc (ex-animal)'!$K$38+'Calc (ex-animal)'!$L$38)*AH164/100*'Calc (ex-housing, ex-storage)'!F164/100/VLOOKUP($C$160,'DB animal categories'!$C$68:$AC$80,27,FALSE)*AJ165+Q165+R165+S165-'Calc (ex-housing, ex-storage)'!AC165-AD165-AE165,IF(AI165=4,('Calc (ex-animal)'!$K$38+'Calc (ex-animal)'!$L$38)*AH164/100*'Calc (ex-housing, ex-storage)'!F164/100*VLOOKUP(D165,'DB technologies'!$N$96:$Y$107,12,FALSE)/100/VLOOKUP($C$160,'DB animal categories'!$C$68:$AC$80,27,FALSE)*AJ165+Q165+R165+S165-(VLOOKUP(D165,'DB technologies'!$N$96:$Y$107,12,FALSE)/100*AC165)-AD165-AE165,0))))))</f>
        <v/>
      </c>
      <c r="AY165" s="184" t="str">
        <f>IF(D165="","",IF(AS165=2,0,IF(AS165=1,'Calc (ex-animal)'!$N$38*AH164/100*'Calc (ex-housing, ex-storage)'!F164/100/VLOOKUP($C$160,'DB animal categories'!$C$68:$AC$80,27,FALSE)*AJ165+U165+V165+W165,IF(AS165=5,('Calc (ex-animal)'!$N$38+'Calc (ex-animal)'!$O$38)*AH164/100*'Calc (ex-housing, ex-storage)'!F164/100/VLOOKUP($C$160,'DB animal categories'!$C$68:$AC$80,27,FALSE)*AJ165+U165+V165+W165,IF(AS165=3,('Calc (ex-animal)'!$N$38+'Calc (ex-animal)'!$O$38)*AH164/100*'Calc (ex-housing, ex-storage)'!F164/100/VLOOKUP($C$160,'DB animal categories'!$C$68:$AC$80,27,FALSE)*AJ165+U165+V165+W165,IF(AS165=4,('Calc (ex-animal)'!$N$38+'Calc (ex-animal)'!$O$38)*AH164/100*'Calc (ex-housing, ex-storage)'!F164/100*VLOOKUP(D165,'DB technologies'!$N$96:$Y$107,12,FALSE)/100/VLOOKUP($C$160,'DB animal categories'!$C$68:$AC$80,27,FALSE)*AJ165+U165+V165+W165,0))))))</f>
        <v/>
      </c>
      <c r="AZ165" s="184" t="str">
        <f>IF(D165="","",IF(AS165=2,0,IF(AS165=1,'Calc (ex-animal)'!$Q$38*AH164/100*'Calc (ex-housing, ex-storage)'!F164/100/VLOOKUP($C$160,'DB animal categories'!$C$68:$AC$80,27,FALSE)*AJ165+Y165+Z165+AA165,IF(AS165=5,('Calc (ex-animal)'!$Q$38+'Calc (ex-animal)'!$R$38)*AH164/100*'Calc (ex-housing, ex-storage)'!F164/100/VLOOKUP($C$160,'DB animal categories'!$C$68:$AC$80,27,FALSE)*AJ165+Y165+Z165+AA165,IF(AS165=3,('Calc (ex-animal)'!$Q$38+'Calc (ex-animal)'!$R$38)*AH164/100*'Calc (ex-housing, ex-storage)'!F164/100/VLOOKUP($C$160,'DB animal categories'!$C$68:$AC$80,27,FALSE)*AJ165+Y165+Z165+AA165,IF(AS165=4,('Calc (ex-animal)'!$Q$38+'Calc (ex-animal)'!$R$38)*AH164/100*'Calc (ex-housing, ex-storage)'!F164/100*VLOOKUP(D165,'DB technologies'!$N$96:$Y$107,12,FALSE)/100/VLOOKUP($C$160,'DB animal categories'!$C$68:$AC$80,27,FALSE)*AJ165+Y165+Z165+AA165,0))))))</f>
        <v/>
      </c>
      <c r="BA165" s="506"/>
      <c r="BB165" s="506"/>
      <c r="BC165" s="506"/>
    </row>
    <row r="166" spans="1:55" x14ac:dyDescent="0.2">
      <c r="A166" s="684"/>
      <c r="B166" s="695"/>
      <c r="C166" s="251"/>
      <c r="D166" s="1357"/>
      <c r="E166" s="1370"/>
      <c r="F166" s="740" t="str">
        <f>IF('Calc (ex-animal)'!$F$38=1,"",IF($C$160=0,"",IF(D166="","",E166/'Calc (ex-animal)'!$E$38*100)))</f>
        <v/>
      </c>
      <c r="G166" s="537" t="str">
        <f>IF($C$160=0,"",IF('Calc (ex-animal)'!$F$38=1,"",IF(D166="","",SUM(H166:O166))))</f>
        <v/>
      </c>
      <c r="H166" s="527" t="str">
        <f>IF('Calc (ex-animal)'!$F$38=1,"",IF(D166="","",(((VLOOKUP($C$160,'Calc (ex-animal)'!$D$38:$Y$42,6,FALSE)-VLOOKUP($C$160,'Calc (ex-animal)'!$D$38:$Y$42,17,FALSE))*F166/100*AG166/100))*VLOOKUP($C$160,'Calc (ex-animal)'!$D$38:$Y$42,7,FALSE)/100*(1-VLOOKUP(D166,'DB technologies'!$N$83:$Y$94,9,FALSE)/100)))</f>
        <v/>
      </c>
      <c r="I166" s="527" t="str">
        <f>IF(D166="","",((VLOOKUP(D166,'DB technologies'!$N$83:$Y$94,2,FALSE)*VLOOKUP($C$160,'DB animal categories'!$C$68:$AC$80,27,FALSE)*E166/1000*AG166/100)/VLOOKUP($C$160,'DB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'!$S$6/100*(1-VLOOKUP(D166,'DB technologies'!$N$83:$Y$94,9,FALSE)/100)))</f>
        <v/>
      </c>
      <c r="J166" s="528" t="str">
        <f>IF(D166="","",((VLOOKUP(D166,'DB technologies'!$N$83:$Y$94,3,FALSE)*VLOOKUP($C$160,'DB animal categories'!$C$68:$AC$80,27,FALSE)*E166/1000*AG166/100)/VLOOKUP($C$160,'DB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'!$S$7/100*(1-VLOOKUP(D166,'DB technologies'!$N$83:$Y$94,9,FALSE)/100)))</f>
        <v/>
      </c>
      <c r="K166" s="529" t="str">
        <f>IF(D166="","",((VLOOKUP(D166,'DB technologies'!$N$83:$Y$94,4,FALSE)*E166*AG166/100*'DB additional information '!$S$8/100*(1-VLOOKUP(D166,'DB technologies'!$N$83:$Y$94,9,FALSE)/100))/VLOOKUP($C$160,'DB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6" s="527" t="str">
        <f>IF('Calc (ex-animal)'!$F$38=1,"",IF(D166="","",(((VLOOKUP($C$160,'Calc (ex-animal)'!$D$38:$Y$42,6,FALSE)-VLOOKUP($C$160,'Calc (ex-animal)'!$D$38:$Y$42,17,FALSE))*F166/100*AG166/100))*(1-VLOOKUP($C$160,'Calc (ex-animal)'!$D$38:$Y$42,7,FALSE)/100)*(1-VLOOKUP(D166,'DB technologies'!$N$83:$V$94,8,FALSE)/100)))</f>
        <v/>
      </c>
      <c r="M166" s="528" t="str">
        <f>IF(D166="","",((VLOOKUP(D166,'DB technologies'!$N$83:$Y$94,2,FALSE)*VLOOKUP($C$160,'DB animal categories'!$C$68:$AC$80,27,FALSE)*E166/1000*AG166/100)/VLOOKUP($C$160,'DB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'!$S$6/100)*(1-VLOOKUP(D166,'DB technologies'!$N$83:$Y$94,9,FALSE)/100))</f>
        <v/>
      </c>
      <c r="N166" s="528" t="str">
        <f>IF(D166="","",((VLOOKUP(D166,'DB technologies'!$N$83:$Y$94,3,FALSE)*VLOOKUP($C$160,'DB animal categories'!$C$68:$AC$80,27,FALSE)*E166/1000*AG166/100)/VLOOKUP($C$160,'DB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'!$S$7/100)*(1-VLOOKUP(D166,'DB technologies'!$N$83:$Y$94,9,FALSE)/100))</f>
        <v/>
      </c>
      <c r="O166" s="527" t="str">
        <f>IF(D166="","",((VLOOKUP(D166,'DB technologies'!$N$83:$Y$94,4,FALSE)*E166*AG166/100*(1-'DB additional information '!$S$8/100)*(1-VLOOKUP(D166,'DB technologies'!$N$83:$Y$94,8,FALSE)/100))/VLOOKUP($C$160,'DB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6" s="530" t="str">
        <f>IF(G166=0,0,IF(E166="","",IF(F166="","",IF($C$160=0,"",IF(D166="","",SUM(H166:K166)/G166*100)))))</f>
        <v/>
      </c>
      <c r="Q166" s="531" t="str">
        <f>IF(D166="","",(VLOOKUP(D166,'DB technologies'!$N$83:$Y$94,2,FALSE)*'DB additional information '!$S$6/100*'DB additional information '!$T$6*VLOOKUP($C$160,'DB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6" s="531" t="str">
        <f>IF(D166="","",(VLOOKUP(D166,'DB technologies'!$N$83:$Y$94,3,FALSE)*'DB additional information '!$S$7/100*'DB additional information '!$T$7*VLOOKUP($C$160,'DB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6" s="538" t="str">
        <f>IF(D166="","",(VLOOKUP(D166,'DB technologies'!$N$83:$Y$94,4,FALSE)*('DB additional information '!$S$8/100*'DB additional information '!$T$8*E166/1000/1000*AG166/100)))</f>
        <v/>
      </c>
      <c r="T166" s="300" t="str">
        <f>IF($C$160=0,"",IF('Calc (ex-animal)'!$F$38=1,"",IF(D166="","",((VLOOKUP($C$160,'Calc (ex-animal)'!$D$38:$Y$42,10,FALSE)-VLOOKUP($C$160,'Calc (ex-animal)'!$D$38:$Y$42,18,FALSE))*F166/100*AG166/100+Q166+R166+S166)-AC166-AD166-AE166)))</f>
        <v/>
      </c>
      <c r="U166" s="544" t="str">
        <f>IF(D166="","",(VLOOKUP(D166,'DB technologies'!$N$83:$Y$94,2,FALSE)*'DB additional information '!$S$6/100*'DB additional information '!$U$6*VLOOKUP($C$160,'DB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6" s="523" t="str">
        <f>IF(D166="","",(VLOOKUP(D166,'DB technologies'!$N$83:$Y$94,3,FALSE)*'DB additional information '!$S$7/100*'DB additional information '!$U$7*VLOOKUP($C$160,'DB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6" s="545" t="str">
        <f>IF(D166="","",(VLOOKUP(D166,'DB technologies'!$N$83:$Y$94,4,FALSE)*('DB additional information '!$S$8/100*'DB additional information '!$U$8*E166/1000/1000*AG166/100)))</f>
        <v/>
      </c>
      <c r="X166" s="301" t="str">
        <f>IF($C$160=0,"",IF('Calc (ex-animal)'!$F$38=1,"",IF(D166="","",((VLOOKUP($C$160,'Calc (ex-animal)'!$D$38:$Y$42,13,FALSE)-VLOOKUP($C$160,'Calc (ex-animal)'!$D$38:$Y$42,19,FALSE))*F166/100*AG166/100+U166+V166+W166))))</f>
        <v/>
      </c>
      <c r="Y166" s="523" t="str">
        <f>IF(D166="","",(VLOOKUP(D166,'DB technologies'!$N$83:$Y$94,2,FALSE)*'DB additional information '!$S$6/100*'DB additional information '!$V$6*VLOOKUP($C$160,'DB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6" s="523" t="str">
        <f>IF(D166="","",(VLOOKUP(D166,'DB technologies'!$N$83:$Y$94,3,FALSE)*'DB additional information '!$S$7/100*'DB additional information '!$V$7*VLOOKUP($C$160,'DB animal categories'!$C$68:$AC$80,27,FALSE)*E166/1000/1000*AG166/100)/VLOOKUP($C$160,'DB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6" s="523" t="str">
        <f>IF(D166="","",(VLOOKUP(D166,'DB technologies'!$N$83:$Y$94,4,FALSE)*('DB additional information '!$S$8/100*'DB additional information '!$V$8*E166/1000/1000*AG166/100)))</f>
        <v/>
      </c>
      <c r="AB166" s="301" t="str">
        <f>IF($C$160=0,"",IF('Calc (ex-animal)'!$F$38=1,"",IF(D166="","",((VLOOKUP($C$160,'Calc (ex-animal)'!$D$38:$Y$42,16,FALSE)-VLOOKUP($C$160,'Calc (ex-animal)'!$D$38:$Y$42,20,FALSE))*F166/100*AG166/100+Y166+Z166+AA166))))</f>
        <v/>
      </c>
      <c r="AC166" s="301" t="str">
        <f>IF($C$160=0,"",IF('Calc (ex-animal)'!$F$38=1,"",IF(D166="","",VLOOKUP($C$160,'Calc (ex-animal)'!$D$38:$Y$42,9,FALSE)*AG166/100/VLOOKUP($C$160,'DB animal categories'!$C$68:$AC$80,27,FALSE)*(VLOOKUP($C$160,'DB animal categories'!$C$68:$AC$80,27,FALSE)-VLOOKUP($C$160,'DB animal categories'!$C$68:$AC$80,25,FALSE)*VLOOKUP($C$160,'DB animal categories'!$C$68:$AC$80,26,FALSE)/24)*F166/100*VLOOKUP(D166,'DB technologies'!$N$83:$R$94,5,FALSE)/100)))</f>
        <v/>
      </c>
      <c r="AD166" s="301" t="str">
        <f>IF($C$160=0,"",IF('Calc (ex-animal)'!$F$38=1,"",IF(D166="","",VLOOKUP($C$160,'Calc (ex-animal)'!$D$38:$Y$42,10,FALSE)*AG166/100/VLOOKUP($C$160,'DB animal categories'!$C$68:$AC$80,27,FALSE)*(VLOOKUP($C$160,'DB animal categories'!$C$68:$AC$80,27,FALSE)-VLOOKUP($C$160,'DB animal categories'!$C$68:$AC$80,25,FALSE)*VLOOKUP($C$160,'DB animal categories'!$C$68:$AC$80,26,FALSE)/24)*F166/100*VLOOKUP(D166,'DB technologies'!$N$83:$Y$94,6,FALSE)/100)))</f>
        <v/>
      </c>
      <c r="AE166" s="302" t="str">
        <f>IF($C$160=0,"",IF('Calc (ex-animal)'!$F$38=1,"",IF(D166="","",VLOOKUP($C$160,'Calc (ex-animal)'!$D$38:$Y$42,10,FALSE)*AG166/100/VLOOKUP($C$160,'DB animal categories'!$C$68:$AC$80,27,FALSE)*(VLOOKUP($C$160,'DB animal categories'!$C$68:$AC$80,27,FALSE)-VLOOKUP($C$160,'DB animal categories'!$C$68:$AC$80,25,FALSE)*VLOOKUP($C$160,'DB animal categories'!$C$68:$AC$80,26,FALSE)/24)*F166/100*VLOOKUP(D166,'DB technologies'!$N$83:$Y$94,7,FALSE)/100)))</f>
        <v/>
      </c>
      <c r="AG166" s="1381"/>
      <c r="AH166" s="1382"/>
      <c r="AI166" s="181" t="str">
        <f>IF(D166="","",VLOOKUP(D166,'DB technologies'!$N$82:$Y$94,10,FALSE))</f>
        <v/>
      </c>
      <c r="AJ166" s="449" t="e">
        <f>VLOOKUP($C$160,'DB animal categories'!$C$68:$AN$80,27,FALSE)-VLOOKUP($C$160,'DB animal categories'!$C$68:$AN$80,26,FALSE)*VLOOKUP($C$160,'DB animal categories'!$C$68:$AN$80,25,FALSE)/24</f>
        <v>#N/A</v>
      </c>
      <c r="AK166" s="442" t="str">
        <f t="shared" si="22"/>
        <v/>
      </c>
      <c r="AL166" s="442" t="str">
        <f>IF(D166="","",IF(AI166=2,(('Calc (ex-animal)'!$G$38*'DB additional information '!$K$12/100*AG166/100*(1-VLOOKUP(D166,'DB technologies'!$N$82:$Y$94,9,FALSE)/100)*'Calc (ex-housing, ex-storage)'!F166/100+'Calc (ex-animal)'!$H$38*'DB additional information '!$L$12/100*AG166/100*(1-VLOOKUP(D166,'DB technologies'!$N$82:$Y$94,9,FALSE)/100)*'Calc (ex-housing, ex-storage)'!F166/100))/VLOOKUP($C$160,'DB animal categories'!$C$68:$AC$80,27,FALSE)*AJ166+I166+J166+K166,IF(AI166=1,('Calc (ex-animal)'!$H$38*AG166/100*'DB additional information '!$L$12/100*(1-VLOOKUP(D166,'DB technologies'!$N$82:$Y$94,9,FALSE)/100)*'Calc (ex-housing, ex-storage)'!F166/100)/VLOOKUP($C$160,'DB animal categories'!$C$68:$AC$80,27,FALSE)*AJ166,IF(AI166=4,('Calc (ex-animal)'!$G$38*'DB additional information '!$K$12/100+'Calc (ex-animal)'!$H$38*'DB additional information '!$L$12/100)*AG166/100*(1-VLOOKUP(D166,'DB technologies'!$N$82:$Y$94,9,FALSE)/100)*'Calc (ex-housing, ex-storage)'!F166/100*VLOOKUP(D166,'DB technologies'!$N$82:$Y$94,11,FALSE)/100/VLOOKUP($C$160,'DB animal categories'!$C$68:$AC$80,27,FALSE)*AJ166,0))))</f>
        <v/>
      </c>
      <c r="AM166" s="442" t="str">
        <f>IF(D166="","",IF(AI166=2,(('Calc (ex-animal)'!$G$38*(1-'DB additional information '!$K$12/100)*AG166/100*(1-VLOOKUP(D166,'DB technologies'!$N$82:$Y$94,8,FALSE)/100)*'Calc (ex-housing, ex-storage)'!F166/100+'Calc (ex-animal)'!$H$38*(1-'DB additional information '!$L$12/100)*AG166/100*(1-VLOOKUP(D166,'DB technologies'!$N$82:$Y$94,8,FALSE)/100)*'Calc (ex-housing, ex-storage)'!F166/100))/VLOOKUP($C$160,'DB animal categories'!$C$68:$AC$80,27,FALSE)*AJ166+M166+N166+O166,IF(AI166=1,('Calc (ex-animal)'!$H$38*(1-'DB additional information '!$L$12/100)*AG166/100*(1-VLOOKUP(D166,'DB technologies'!$N$82:$Y$94,8,FALSE)/100)*'Calc (ex-housing, ex-storage)'!F166/100)/VLOOKUP($C$160,'DB animal categories'!$C$68:$AC$80,27,FALSE)*AJ166,IF(AI166=4,('Calc (ex-animal)'!$G$38*(1-'DB additional information '!$K$12/100)+'Calc (ex-animal)'!$H$38*(1-'DB additional information '!$L$12/100))*AG166/100*(1-VLOOKUP(D166,'DB technologies'!$N$82:$Y$94,8,FALSE)/100)*'Calc (ex-housing, ex-storage)'!F166/100*VLOOKUP(D166,'DB technologies'!$N$82:$Y$94,11,FALSE)/100/VLOOKUP($C$160,'DB animal categories'!$C$68:$AC$80,27,FALSE)*AJ166,0))))</f>
        <v/>
      </c>
      <c r="AN166" s="442" t="str">
        <f t="shared" si="23"/>
        <v/>
      </c>
      <c r="AO166" s="182" t="str">
        <f>IF(D166="","",IF(AI166=2,(('Calc (ex-animal)'!$L$38*'Calc (ex-housing, ex-storage)'!F166/100+'Calc (ex-animal)'!$K$38*'Calc (ex-housing, ex-storage)'!F166/100))*AG166/100/VLOOKUP($C$160,'DB animal categories'!$C$68:$AC$80,27,FALSE)*AJ166+Q166+R166+S166-AC166,IF(AI166=1,('Calc (ex-animal)'!$L$38*'Calc (ex-housing, ex-storage)'!F166/100)*AG166/100/VLOOKUP($C$160,'DB animal categories'!$C$68:$AC$80,27,FALSE)*AJ166-'Calc (ex-housing, ex-storage)'!AC166,IF(AI166=4,('Calc (ex-animal)'!$L$38+'Calc (ex-animal)'!$K$38)*'Calc (ex-housing, ex-storage)'!F166/100*AG166/100*VLOOKUP(D166,'DB technologies'!$N$82:$Y$94,11,FALSE)/100/VLOOKUP($C$160,'DB animal categories'!$C$68:$AC$80,27,FALSE)*AJ166-AC166*VLOOKUP(D166,'DB technologies'!$N$82:$Y$94,11,FALSE)/100,0))))</f>
        <v/>
      </c>
      <c r="AP166" s="182" t="str">
        <f>IF(D166="","",IF(AO166&lt;-0.01,0,IF(AI166=2,(('Calc (ex-animal)'!$L$38*'Calc (ex-housing, ex-storage)'!F166/100+'Calc (ex-animal)'!$K$38*'Calc (ex-housing, ex-storage)'!F166/100))*AG166/100/VLOOKUP($C$160,'DB animal categories'!$C$68:$AC$80,27,FALSE)*AJ166+Q166+R166+S166-AC166,IF(AI166=1,('Calc (ex-animal)'!$L$38*'Calc (ex-housing, ex-storage)'!F166/100)*AG166/100/VLOOKUP($C$160,'DB animal categories'!$C$68:$AC$80,27,FALSE)*AJ166-'Calc (ex-housing, ex-storage)'!AC166,IF(AI166=4,('Calc (ex-animal)'!$L$38+'Calc (ex-animal)'!$K$38)*'Calc (ex-housing, ex-storage)'!F166/100*AG166/100*VLOOKUP(D166,'DB technologies'!$N$82:$Y$94,11,FALSE)/100/VLOOKUP($C$160,'DB animal categories'!$C$68:$AC$80,27,FALSE)*AJ166-AC166*VLOOKUP(D166,'DB technologies'!$N$82:$Y$94,11,FALSE)/100,0)))))</f>
        <v/>
      </c>
      <c r="AQ166" s="182" t="str">
        <f>IF(D166="","",IF(AI166=2,('Calc (ex-animal)'!$O$38*'Calc (ex-housing, ex-storage)'!F166/100+'Calc (ex-animal)'!$N$38*'Calc (ex-housing, ex-storage)'!F166/100)*AG166/100/VLOOKUP($C$160,'DB animal categories'!$C$68:$AC$80,27,FALSE)*AJ166+U166+V166+W166,IF(AI166=1,'Calc (ex-animal)'!$O$38*'Calc (ex-housing, ex-storage)'!F166/100*AG166/100/VLOOKUP($C$160,'DB animal categories'!$C$68:$AC$80,27,FALSE)*AJ166,IF(AI166=4,('Calc (ex-animal)'!$O$38+'Calc (ex-animal)'!$N$38)*'Calc (ex-housing, ex-storage)'!F166/100*AG166/100*VLOOKUP(D166,'DB technologies'!$N$82:$Y$94,11,FALSE)/100/VLOOKUP($C$160,'DB animal categories'!$C$68:$AC$80,27,FALSE)*AJ166,0))))</f>
        <v/>
      </c>
      <c r="AR166" s="182" t="str">
        <f>IF(D166="","",IF(AI166=2,('Calc (ex-animal)'!$R$38*'Calc (ex-housing, ex-storage)'!F166/100+'Calc (ex-animal)'!$Q$38*'Calc (ex-housing, ex-storage)'!F166/100)*AG166/100/VLOOKUP($C$160,'DB animal categories'!$C$68:$AC$80,27,FALSE)*AJ166+Y166+Z166+AA166,IF(AI166=1,'Calc (ex-animal)'!$R$38*'Calc (ex-housing, ex-storage)'!F166/100*AG166/100/VLOOKUP($C$160,'DB animal categories'!$C$68:$AC$80,27,FALSE)*AJ166,IF(AI166=4,('Calc (ex-animal)'!$R$38+'Calc (ex-animal)'!$Q$38)*'Calc (ex-housing, ex-storage)'!F166/100*AG166/100*VLOOKUP(D166,'DB technologies'!$N$82:$Y$94,11,FALSE)/100/VLOOKUP($C$160,'DB animal categories'!$C$68:$AC$80,27,FALSE)*AJ166,0))))</f>
        <v/>
      </c>
      <c r="AS166" s="181" t="str">
        <f>IF(D166="","",VLOOKUP(D166,'DB technologies'!$N$82:$Y$94,10,FALSE))</f>
        <v/>
      </c>
      <c r="AT166" s="442" t="str">
        <f t="shared" si="24"/>
        <v/>
      </c>
      <c r="AU166" s="442" t="str">
        <f>IF(D166="","",IF(AS166=2,0,IF(AS166=1,'Calc (ex-animal)'!$G$38*'DB additional information '!$K$12/100*AG166/100*(1-VLOOKUP(D166,'DB technologies'!$N$82:$Y$94,8,FALSE)/100)*'Calc (ex-housing, ex-storage)'!F166/100/VLOOKUP($C$160,'DB animal categories'!$C$68:$AC$80,27,FALSE)*AJ166+I166+J166+K166,IF(AS166=5,(('Calc (ex-animal)'!$G$38*'DB additional information '!$K$12/100+'Calc (ex-animal)'!$H$38*'DB additional information '!$L$12/100))*AG166/100*(1-VLOOKUP(D166,'DB technologies'!$N$82:$Y$94,9,FALSE)/100)*'Calc (ex-housing, ex-storage)'!F166/100/VLOOKUP($C$160,'DB animal categories'!$C$68:$AC$80,27,FALSE)*AJ166+I166+J166+K166,IF(AS166=3,('Calc (ex-animal)'!$G$38*'DB additional information '!$K$12/100+'Calc (ex-animal)'!$H$38*'DB additional information '!$L$12/100)*AG166/100*(1-VLOOKUP(D166,'DB technologies'!$N$82:$Y$94,9,FALSE)/100)*'Calc (ex-housing, ex-storage)'!F166/100/VLOOKUP($C$160,'DB animal categories'!$C$68:$AC$80,27,FALSE)*AJ166+I166+J166+K166,IF(AS166=4,('Calc (ex-animal)'!$G$38*'DB additional information '!$K$12/100+'Calc (ex-animal)'!$H$38*'DB additional information '!$L$12/100)*AG166/100*(1-VLOOKUP(D166,'DB technologies'!$N$82:$Y$94,9,FALSE)/100)*'Calc (ex-housing, ex-storage)'!F166/100*VLOOKUP(D166,'DB technologies'!$N$82:$Y$94,12,FALSE)/100/VLOOKUP($C$160,'DB animal categories'!$C$68:$AC$80,27,FALSE)*AJ166+I166+J166+K166,0))))))</f>
        <v/>
      </c>
      <c r="AV166" s="442" t="str">
        <f>IF(D166="","",IF(AS166=2,0,IF(AS166=1,'Calc (ex-animal)'!$G$38*(1-'DB additional information '!$K$12/100)*AG166/100*(1-VLOOKUP(D166,'DB technologies'!$N$82:$Y$94,8,FALSE)/100)*'Calc (ex-housing, ex-storage)'!F166/100/VLOOKUP($C$160,'DB animal categories'!$C$68:$AC$80,27,FALSE)*AJ166+M166+N166+O166,IF(AS166=5,('Calc (ex-animal)'!$G$38*(1-'DB additional information '!$K$12/100)+'Calc (ex-animal)'!$H$38*(1-'DB additional information '!$L$12/100))*AG166/100*(1-VLOOKUP(D166,'DB technologies'!$N$82:$Y$94,8,FALSE)/100)*'Calc (ex-housing, ex-storage)'!F166/100/VLOOKUP($C$160,'DB animal categories'!$C$68:$AC$80,27,FALSE)*AJ166+M166+N166+O166,IF(AS166=3,('Calc (ex-animal)'!$G$38*(1-'DB additional information '!$K$12/100)+'Calc (ex-animal)'!$H$38*(1-'DB additional information '!$L$12/100))*AG166/100*(1-VLOOKUP(D166,'DB technologies'!$N$82:$Y$94,8,FALSE)/100)*'Calc (ex-housing, ex-storage)'!F166/100/VLOOKUP($C$160,'DB animal categories'!$C$68:$AC$80,27,FALSE)*AJ166+M166+N166+O166,IF(AS166=4,('Calc (ex-animal)'!$G$38*(1-'DB additional information '!$K$12/100)+'Calc (ex-animal)'!$H$38*(1-'DB additional information '!$L$12/100))*AG166/100*(1-VLOOKUP(D166,'DB technologies'!$N$82:$Y$94,8,FALSE)/100)*'Calc (ex-housing, ex-storage)'!F166/100*VLOOKUP(D166,'DB technologies'!$N$82:$Y$94,12,FALSE)/100/VLOOKUP($C$160,'DB animal categories'!$C$68:$AC$80,27,FALSE)*AJ166+M166+N166+O166,0))))))</f>
        <v/>
      </c>
      <c r="AW166" s="442" t="str">
        <f t="shared" si="25"/>
        <v/>
      </c>
      <c r="AX166" s="182" t="str">
        <f>IF(D166="","",IF(AS166=2,0,IF(AS166=1,'Calc (ex-animal)'!$K$38*'Calc (ex-housing, ex-storage)'!F166/100*AG166/100/VLOOKUP($C$160,'DB animal categories'!$C$68:$AC$80,27,FALSE)*AJ166+Q166+R166+S166,IF(AS166=5,('Calc (ex-animal)'!$K$38+'Calc (ex-animal)'!$L$38)*AG166/100*'Calc (ex-housing, ex-storage)'!F166/100/VLOOKUP($C$160,'DB animal categories'!$C$68:$AC$80,27,FALSE)*AJ166+Q166+R166+S166-'Calc (ex-housing, ex-storage)'!AC166,IF(AS166=3,('Calc (ex-animal)'!$K$38+'Calc (ex-animal)'!$L$38)*AG166/100*'Calc (ex-housing, ex-storage)'!F166/100/VLOOKUP($C$160,'DB animal categories'!$C$68:$AC$80,27,FALSE)*AJ166+Q166+R166+S166-'Calc (ex-housing, ex-storage)'!AC166-AD166-AE166,IF(AI166=4,('Calc (ex-animal)'!$K$38+'Calc (ex-animal)'!$L$38)*AG166/100*'Calc (ex-housing, ex-storage)'!F166/100*VLOOKUP(D166,'DB technologies'!$N$82:$Y$94,12,FALSE)/100/VLOOKUP($C$160,'DB animal categories'!$C$68:$AC$80,27,FALSE)*AJ166+Q166+R166+S166-(VLOOKUP(D166,'DB technologies'!$N$82:$Y$94,12,FALSE)/100*AC166)-AD166-AE166,0))))))</f>
        <v/>
      </c>
      <c r="AY166" s="182" t="str">
        <f>IF(D166="","",IF(AS166=2,0,IF(AS166=1,'Calc (ex-animal)'!$N$38*AG166/100*'Calc (ex-housing, ex-storage)'!F166/100/VLOOKUP($C$160,'DB animal categories'!$C$68:$AC$80,27,FALSE)*AJ166+U166+V166+W166,IF(AS166=5,('Calc (ex-animal)'!$N$38+'Calc (ex-animal)'!$O$38)*AG166/100*'Calc (ex-housing, ex-storage)'!F166/100/VLOOKUP($C$160,'DB animal categories'!$C$68:$AC$80,27,FALSE)*AJ166+U166+V166+W166,IF(AS166=3,('Calc (ex-animal)'!$N$38+'Calc (ex-animal)'!$O$38)*AG166/100*'Calc (ex-housing, ex-storage)'!F166/100/VLOOKUP($C$160,'DB animal categories'!$C$68:$AC$80,27,FALSE)*AJ166+U166+V166+W166,IF(AS166=4,('Calc (ex-animal)'!$N$38+'Calc (ex-animal)'!$O$38)*AG166/100*'Calc (ex-housing, ex-storage)'!F166/100*VLOOKUP(D166,'DB technologies'!$N$82:$Y$94,12,FALSE)/100/VLOOKUP($C$160,'DB animal categories'!$C$68:$AC$80,27,FALSE)*AJ166+U166+V166+W166,0))))))</f>
        <v/>
      </c>
      <c r="AZ166" s="182" t="str">
        <f>IF(D166="","",IF(AS166=2,0,IF(AS166=1,'Calc (ex-animal)'!$Q$38*AG166/100*'Calc (ex-housing, ex-storage)'!F166/100/VLOOKUP($C$160,'DB animal categories'!$C$68:$AC$80,27,FALSE)*AJ166+Y166+Z166+AA166,IF(AS166=5,('Calc (ex-animal)'!$Q$38+'Calc (ex-animal)'!$R$38)*AG166/100*'Calc (ex-housing, ex-storage)'!F166/100/VLOOKUP($C$160,'DB animal categories'!$C$68:$AC$80,27,FALSE)*AJ166+Y166+Z166+AA166,IF(AS166=3,('Calc (ex-animal)'!$Q$38+'Calc (ex-animal)'!$R$38)*AG166/100*'Calc (ex-housing, ex-storage)'!F166/100/VLOOKUP($C$160,'DB animal categories'!$C$68:$AC$80,27,FALSE)*AJ166+Y166+Z166+AA166,IF(AS166=4,('Calc (ex-animal)'!$Q$38+'Calc (ex-animal)'!$R$38)*AG166/100*'Calc (ex-housing, ex-storage)'!F166/100*VLOOKUP(D166,'DB technologies'!$N$82:$Y$94,12,FALSE)/100/VLOOKUP($C$160,'DB animal categories'!$C$68:$AC$80,27,FALSE)*AJ166+Y166+Z166+AA166,0))))))</f>
        <v/>
      </c>
      <c r="BA166" s="506"/>
      <c r="BB166" s="506"/>
      <c r="BC166" s="506"/>
    </row>
    <row r="167" spans="1:55" x14ac:dyDescent="0.2">
      <c r="A167" s="684"/>
      <c r="B167" s="695"/>
      <c r="C167" s="251"/>
      <c r="D167" s="1367"/>
      <c r="E167" s="1370"/>
      <c r="F167" s="740" t="str">
        <f>IF('Calc (ex-animal)'!$F$9=1,"",IF($C$152=0,"",IF(D167="","",E167/'Calc (ex-animal)'!$E$32*100)))</f>
        <v/>
      </c>
      <c r="G167" s="539" t="str">
        <f>IF($C$160=0,"",IF('Calc (ex-animal)'!$F$38=1,"",IF(D167="","",SUM(H167:O167))))</f>
        <v/>
      </c>
      <c r="H167" s="532" t="str">
        <f>IF('Calc (ex-animal)'!$F$38=1,"",IF(D167="","",(((VLOOKUP($C$160,'Calc (ex-animal)'!$D$38:$Y$42,6,FALSE)-VLOOKUP($C$160,'Calc (ex-animal)'!$D$38:$Y$42,17,FALSE))*F166/100*AH166/100))*VLOOKUP($C$160,'Calc (ex-animal)'!$D$38:$Y$42,7,FALSE)/100*(1-VLOOKUP(D167,'DB technologies'!$N$96:$Y$107,9,FALSE)/100)))</f>
        <v/>
      </c>
      <c r="I167" s="532" t="str">
        <f>IF(D167="","",((VLOOKUP(D167,'DB technologies'!$N$96:$Y$107,2,FALSE)*VLOOKUP($C$160,'DB animal categories'!$C$68:$AC$80,27,FALSE)*F166/1000*AH166/100)/VLOOKUP($C$160,'DB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'!$S$6/100*(1-VLOOKUP(D167,'DB technologies'!$N$96:$Y$107,9,FALSE)/100)))</f>
        <v/>
      </c>
      <c r="J167" s="533" t="str">
        <f>IF(D167="","",((VLOOKUP(D167,'DB technologies'!$N$96:$Y$107,3,FALSE)*VLOOKUP($C$160,'DB animal categories'!$C$68:$AC$80,27,FALSE)*E166/1000*AH166/100)/VLOOKUP($C$160,'DB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'!$S$7/100*(1-VLOOKUP(D167,'DB technologies'!$N$96:$Y$107,9,FALSE)/100)))</f>
        <v/>
      </c>
      <c r="K167" s="534" t="str">
        <f>IF(D167="","",((VLOOKUP(D167,'DB technologies'!$N$96:$Y$107,4,FALSE)*E166*AH166/100*'DB additional information '!$S$8/100*(1-VLOOKUP(D167,'DB technologies'!$N$96:$Y$107,9,FALSE)/100))/VLOOKUP($C$160,'DB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7" s="532" t="str">
        <f>IF('Calc (ex-animal)'!$F$38=1,"",IF(D167="","",(((VLOOKUP($C$160,'Calc (ex-animal)'!$D$38:$Y$42,6,FALSE)-VLOOKUP($C$160,'Calc (ex-animal)'!$D$38:$Y$42,17,FALSE))*F166/100*AH166/100))*(1-VLOOKUP($C$160,'Calc (ex-animal)'!$D$38:$Y$42,7,FALSE)/100)*(1-VLOOKUP(D167,'DB technologies'!$N$96:$V$107,8,FALSE)/100)))</f>
        <v/>
      </c>
      <c r="M167" s="533" t="str">
        <f>IF(D167="","",((VLOOKUP(D167,'DB technologies'!$N$96:$Y$107,2,FALSE)*VLOOKUP($C$160,'DB animal categories'!$C$68:$AC$80,27,FALSE)*E166/1000*AH166/100)/VLOOKUP($C$160,'DB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'!$S$6/100)*(1-VLOOKUP(D167,'DB technologies'!$N$96:$Y$107,9,FALSE)/100))</f>
        <v/>
      </c>
      <c r="N167" s="533" t="str">
        <f>IF(D167="","",((VLOOKUP(D167,'DB technologies'!$N$96:$Y$107,3,FALSE)*VLOOKUP($C$160,'DB animal categories'!$C$68:$AC$80,27,FALSE)*E166/1000*AH166/100)/VLOOKUP($C$160,'DB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'!$S$7/100)*(1-VLOOKUP(D167,'DB technologies'!$N$96:$Y$107,9,FALSE)/100))</f>
        <v/>
      </c>
      <c r="O167" s="532" t="str">
        <f>IF(D167="","",((VLOOKUP(D167,'DB technologies'!$N$96:$Y$107,4,FALSE)*E166*AH166/100*(1-'DB additional information '!$S$8/100)*(1-VLOOKUP(D167,'DB technologies'!$N$96:$Y$107,8,FALSE)/100))/VLOOKUP($C$160,'DB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7" s="535" t="str">
        <f>IF(G167=0,0,IF(E166="","",IF(F166="","",IF($C$160=0,"",IF(D167="","",SUM(H167:K167)/G167*100)))))</f>
        <v/>
      </c>
      <c r="Q167" s="536" t="str">
        <f>IF(D167="","",(VLOOKUP(D167,'DB technologies'!$N$96:$Y$107,2,FALSE)*'DB additional information '!$S$6/100*'DB additional information '!$T$6*VLOOKUP($C$160,'DB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7" s="536" t="str">
        <f>IF(D167="","",(VLOOKUP(D167,'DB technologies'!$N$96:$Y$107,3,FALSE)*'DB additional information '!$S$7/100*'DB additional information '!$T$7*VLOOKUP($C$160,'DB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7" s="540" t="str">
        <f>IF(D167="","",(VLOOKUP(D167,'DB technologies'!$N$96:$Y$107,4,FALSE)*('DB additional information '!$S$8/100*'DB additional information '!$T$8*E166/1000/1000*AH166/100)))</f>
        <v/>
      </c>
      <c r="T167" s="303" t="str">
        <f>IF($C$160=0,"",IF('Calc (ex-animal)'!$F$38=1,"",IF(D167="","",((VLOOKUP($C$160,'Calc (ex-animal)'!$D$38:$Y$42,10,FALSE)-VLOOKUP($C$160,'Calc (ex-animal)'!$D$38:$Y$42,18,FALSE))*F166/100*AH166/100+Q167+R167+S167)-AC167-AD167-AE167)))</f>
        <v/>
      </c>
      <c r="U167" s="542" t="str">
        <f>IF(D167="","",(VLOOKUP(D167,'DB technologies'!$N$96:$Y$107,2,FALSE)*'DB additional information '!$S$6/100*'DB additional information '!$U$6*VLOOKUP($C$160,'DB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7" s="524" t="str">
        <f>IF(D167="","",(VLOOKUP(D167,'DB technologies'!$N$96:$Y$107,3,FALSE)*'DB additional information '!$S$7/100*'DB additional information '!$U$7*VLOOKUP($C$160,'DB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7" s="543" t="str">
        <f>IF(D167="","",(VLOOKUP(D167,'DB technologies'!$N$96:$Y$107,4,FALSE)*('DB additional information '!$S$8/100*'DB additional information '!$U$8*E166/1000/1000*AH166/100)))</f>
        <v/>
      </c>
      <c r="X167" s="304" t="str">
        <f>IF($C$160=0,"",IF('Calc (ex-animal)'!$F$38=1,"",IF(D167="","",((VLOOKUP($C$160,'Calc (ex-animal)'!$D$38:$Y$42,13,FALSE)-VLOOKUP($C$160,'Calc (ex-animal)'!$D$38:$Y$42,19,FALSE))*F166/100*AH166/100+U167+V167+W167))))</f>
        <v/>
      </c>
      <c r="Y167" s="524" t="str">
        <f>IF(D167="","",(VLOOKUP(D167,'DB technologies'!$N$96:$Y$107,2,FALSE)*'DB additional information '!$S$6/100*'DB additional information '!$V$6*VLOOKUP($C$160,'DB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7" s="524" t="str">
        <f>IF(D167="","",(VLOOKUP(D167,'DB technologies'!$N$96:$Y$107,3,FALSE)*'DB additional information '!$S$7/100*'DB additional information '!$V$7*VLOOKUP($C$160,'DB animal categories'!$C$68:$AC$80,27,FALSE)*E166/1000/1000*AH166/100)/VLOOKUP($C$160,'DB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7" s="524" t="str">
        <f>IF(D167="","",(VLOOKUP(D167,'DB technologies'!$N$96:$Y$107,4,FALSE)*('DB additional information '!$S$8/100*'DB additional information '!$V$8*E166/1000/1000*AH166/100)))</f>
        <v/>
      </c>
      <c r="AB167" s="304" t="str">
        <f>IF($C$160=0,"",IF('Calc (ex-animal)'!$F$38=1,"",IF(D167="","",((VLOOKUP($C$160,'Calc (ex-animal)'!$D$38:$Y$42,16,FALSE)-VLOOKUP($C$160,'Calc (ex-animal)'!$D$38:$Y$42,20,FALSE))*F166/100*AH166/100+Y167+Z167+AA167))))</f>
        <v/>
      </c>
      <c r="AC167" s="304" t="str">
        <f>IF($C$160=0,"",IF('Calc (ex-animal)'!$F$38=1,"",IF(D167="","",VLOOKUP($C$160,'Calc (ex-animal)'!$D$38:$Y$42,9,FALSE)*AH166/100/VLOOKUP($C$160,'DB animal categories'!$C$68:$AC$80,27,FALSE)*(VLOOKUP($C$160,'DB animal categories'!$C$68:$AC$80,27,FALSE)-VLOOKUP($C$160,'DB animal categories'!$C$68:$AC$80,25,FALSE)*VLOOKUP($C$160,'DB animal categories'!$C$68:$AC$80,26,FALSE)/24)*F166/100*VLOOKUP(D167,'DB technologies'!$N$96:$R$107,5,FALSE)/100)))</f>
        <v/>
      </c>
      <c r="AD167" s="304" t="str">
        <f>IF($C$160=0,"",IF('Calc (ex-animal)'!$F$38=1,"",IF(D167="","",VLOOKUP($C$160,'Calc (ex-animal)'!$D$38:$Y$42,10,FALSE)*AH166/100/VLOOKUP($C$160,'DB animal categories'!$C$68:$AC$80,27,FALSE)*(VLOOKUP($C$160,'DB animal categories'!$C$68:$AC$80,27,FALSE)-VLOOKUP($C$160,'DB animal categories'!$C$68:$AC$80,25,FALSE)*VLOOKUP($C$160,'DB animal categories'!$C$68:$AC$80,26,FALSE)/24)*F166/100*VLOOKUP(D167,'DB technologies'!$N$96:$Y$107,6,FALSE)/100)))</f>
        <v/>
      </c>
      <c r="AE167" s="305" t="str">
        <f>IF($C$160=0,"",IF('Calc (ex-animal)'!$F$38=1,"",IF(D167="","",VLOOKUP($C$160,'Calc (ex-animal)'!$D$38:$Y$42,10,FALSE)*AH166/100/VLOOKUP($C$160,'DB animal categories'!$C$68:$AC$80,27,FALSE)*(VLOOKUP($C$160,'DB animal categories'!$C$68:$AC$80,27,FALSE)-VLOOKUP($C$160,'DB animal categories'!$C$68:$AC$80,25,FALSE)*VLOOKUP($C$160,'DB animal categories'!$C$68:$AC$80,26,FALSE)/24)*F166/100*VLOOKUP(D167,'DB technologies'!$N$96:$Y$107,7,FALSE)/100)))</f>
        <v/>
      </c>
      <c r="AG167" s="1379"/>
      <c r="AH167" s="1380"/>
      <c r="AI167" s="187" t="str">
        <f>IF(D167="","",VLOOKUP(D167,'DB technologies'!$N$96:$Y$107,10,FALSE))</f>
        <v/>
      </c>
      <c r="AJ167" s="451" t="e">
        <f>VLOOKUP($C$160,'DB animal categories'!$C$68:$AN$80,27,FALSE)-VLOOKUP($C$160,'DB animal categories'!$C$68:$AN$80,26,FALSE)*VLOOKUP($C$160,'DB animal categories'!$C$68:$AN$80,25,FALSE)/24</f>
        <v>#N/A</v>
      </c>
      <c r="AK167" s="452" t="str">
        <f t="shared" si="22"/>
        <v/>
      </c>
      <c r="AL167" s="452" t="str">
        <f>IF(D167="","",IF(AI167=2,(('Calc (ex-animal)'!$G$38*'DB additional information '!$K$12/100*AH166/100*(1-VLOOKUP(D167,'DB technologies'!$N$96:$Y$107,9,FALSE)/100)*'Calc (ex-housing, ex-storage)'!F166/100+'Calc (ex-animal)'!$H$38*'DB additional information '!$L$12/100*AH166/100*(1-VLOOKUP(D167,'DB technologies'!$N$96:$Y$107,9,FALSE)/100)*'Calc (ex-housing, ex-storage)'!F166/100))/VLOOKUP($C$160,'DB animal categories'!$C$68:$AC$80,27,FALSE)*AJ167+I167+J167+K167,IF(AI167=1,('Calc (ex-animal)'!$H$38*AH166/100*'DB additional information '!$L$12/100*(1-VLOOKUP(D167,'DB technologies'!$N$96:$Y$107,9,FALSE)/100)*'Calc (ex-housing, ex-storage)'!F166/100)/VLOOKUP($C$160,'DB animal categories'!$C$68:$AC$80,27,FALSE)*AJ167,IF(AI167=4,('Calc (ex-animal)'!$G$38*'DB additional information '!$K$12/100+'Calc (ex-animal)'!$H$38*'DB additional information '!$L$12/100)*AH166/100*(1-VLOOKUP(D167,'DB technologies'!$N$96:$Y$107,9,FALSE)/100)*'Calc (ex-housing, ex-storage)'!F166/100*VLOOKUP(D167,'DB technologies'!$N$96:$Y$107,11,FALSE)/100/VLOOKUP($C$160,'DB animal categories'!$C$68:$AC$80,27,FALSE)*AJ167,0))))</f>
        <v/>
      </c>
      <c r="AM167" s="452" t="str">
        <f>IF(D167="","",IF(AI167=2,(('Calc (ex-animal)'!$G$38*(1-'DB additional information '!$K$12/100)*AH166/100*(1-VLOOKUP(D167,'DB technologies'!$N$96:$Y$107,8,FALSE)/100)*'Calc (ex-housing, ex-storage)'!F166/100+'Calc (ex-animal)'!$H$38*(1-'DB additional information '!$L$12/100)*AH166/100*(1-VLOOKUP(D167,'DB technologies'!$N$96:$Y$107,8,FALSE)/100)*'Calc (ex-housing, ex-storage)'!F166/100))/VLOOKUP($C$160,'DB animal categories'!$C$68:$AC$80,27,FALSE)*AJ167+M167+N167+O167,IF(AI167=1,('Calc (ex-animal)'!$H$38*(1-'DB additional information '!$L$12/100)*AH166/100*(1-VLOOKUP(D167,'DB technologies'!$N$96:$Y$107,8,FALSE)/100)*'Calc (ex-housing, ex-storage)'!F166/100)/VLOOKUP($C$160,'DB animal categories'!$C$68:$AC$80,27,FALSE)*AJ167,IF(AI167=4,('Calc (ex-animal)'!$G$38*(1-'DB additional information '!$K$12/100)+'Calc (ex-animal)'!$H$38*(1-'DB additional information '!$L$12/100))*AH166/100*(1-VLOOKUP(D167,'DB technologies'!$N$96:$Y$107,8,FALSE)/100)*'Calc (ex-housing, ex-storage)'!F166/100*VLOOKUP(D167,'DB technologies'!$N$96:$Y$107,11,FALSE)/100/VLOOKUP($C$160,'DB animal categories'!$C$68:$AC$80,27,FALSE)*AJ167,0))))</f>
        <v/>
      </c>
      <c r="AN167" s="452" t="str">
        <f t="shared" si="23"/>
        <v/>
      </c>
      <c r="AO167" s="184" t="str">
        <f>IF(D167="","",IF(AI167=2,(('Calc (ex-animal)'!$L$38*'Calc (ex-housing, ex-storage)'!F166/100+'Calc (ex-animal)'!$K$38*'Calc (ex-housing, ex-storage)'!F166/100))*AH166/100/VLOOKUP($C$160,'DB animal categories'!$C$68:$AC$80,27,FALSE)*AJ167+Q167+R167+S167-AC167,IF(AI167=1,('Calc (ex-animal)'!$L$38*'Calc (ex-housing, ex-storage)'!F166/100)*AH166/100/VLOOKUP($C$160,'DB animal categories'!$C$68:$AC$80,27,FALSE)*AJ167-'Calc (ex-housing, ex-storage)'!AC167,IF(AI167=4,('Calc (ex-animal)'!$L$38+'Calc (ex-animal)'!$K$38)*'Calc (ex-housing, ex-storage)'!F166/100*AH166/100*VLOOKUP(D167,'DB technologies'!$N$96:$Y$107,11,FALSE)/100/VLOOKUP($C$160,'DB animal categories'!$C$68:$AC$80,27,FALSE)*AJ167-AC167*VLOOKUP(D167,'DB technologies'!$N$96:$Y$107,11,FALSE)/100,0))))</f>
        <v/>
      </c>
      <c r="AP167" s="184" t="str">
        <f>IF(D167="","",IF(AO167&lt;-0.01,0,IF(AI167=2,(('Calc (ex-animal)'!$L$38*'Calc (ex-housing, ex-storage)'!F166/100+'Calc (ex-animal)'!$K$38*'Calc (ex-housing, ex-storage)'!F166/100))*AH166/100/VLOOKUP($C$160,'DB animal categories'!$C$68:$AC$80,27,FALSE)*AJ167+Q167+R167+S167-AC167,IF(AI167=1,('Calc (ex-animal)'!$L$38*'Calc (ex-housing, ex-storage)'!F166/100)*AH166/100/VLOOKUP($C$160,'DB animal categories'!$C$68:$AC$80,27,FALSE)*AJ167-'Calc (ex-housing, ex-storage)'!AC167,IF(AI167=4,('Calc (ex-animal)'!$L$38+'Calc (ex-animal)'!$K$38)*'Calc (ex-housing, ex-storage)'!F166/100*AH166/100*VLOOKUP(D167,'DB technologies'!$N$96:$Y$107,11,FALSE)/100/VLOOKUP($C$160,'DB animal categories'!$C$68:$AC$80,27,FALSE)*AJ167-AC167*VLOOKUP(D167,'DB technologies'!$N$96:$Y$107,11,FALSE)/100,0)))))</f>
        <v/>
      </c>
      <c r="AQ167" s="184" t="str">
        <f>IF(D167="","",IF(AI167=2,('Calc (ex-animal)'!$O$38*'Calc (ex-housing, ex-storage)'!F166/100+'Calc (ex-animal)'!$N$38*'Calc (ex-housing, ex-storage)'!F166/100)*AH166/100/VLOOKUP($C$160,'DB animal categories'!$C$68:$AC$80,27,FALSE)*AJ167+U167+V167+W167,IF(AI167=1,'Calc (ex-animal)'!$O$38*'Calc (ex-housing, ex-storage)'!F166/100*AH166/100/VLOOKUP($C$160,'DB animal categories'!$C$68:$AC$80,27,FALSE)*AJ167,IF(AI167=4,('Calc (ex-animal)'!$O$38+'Calc (ex-animal)'!$N$38)*'Calc (ex-housing, ex-storage)'!F166/100*AH166/100*VLOOKUP(D167,'DB technologies'!$N$96:$Y$107,11,FALSE)/100/VLOOKUP($C$160,'DB animal categories'!$C$68:$AC$80,27,FALSE)*AJ167,0))))</f>
        <v/>
      </c>
      <c r="AR167" s="184" t="str">
        <f>IF(D167="","",IF(AI167=2,('Calc (ex-animal)'!$R$38*'Calc (ex-housing, ex-storage)'!F166/100+'Calc (ex-animal)'!$Q$38*'Calc (ex-housing, ex-storage)'!F166/100)*AH166/100/VLOOKUP($C$160,'DB animal categories'!$C$68:$AC$80,27,FALSE)*AJ167+Y167+Z167+AA167,IF(AI167=1,'Calc (ex-animal)'!$R$38*'Calc (ex-housing, ex-storage)'!F166/100*AH166/100/VLOOKUP($C$160,'DB animal categories'!$C$68:$AC$80,27,FALSE)*AJ167,IF(AI167=4,('Calc (ex-animal)'!$R$38+'Calc (ex-animal)'!$Q$38)*'Calc (ex-housing, ex-storage)'!F166/100*AH166/100*VLOOKUP(D167,'DB technologies'!$N$96:$Y$107,11,FALSE)/100/VLOOKUP($C$160,'DB animal categories'!$C$68:$AC$80,27,FALSE)*AJ167,0))))</f>
        <v/>
      </c>
      <c r="AS167" s="183" t="str">
        <f>IF(D167="","",VLOOKUP(D167,'DB technologies'!$N$96:$Y$107,10,FALSE))</f>
        <v/>
      </c>
      <c r="AT167" s="452" t="str">
        <f t="shared" si="24"/>
        <v/>
      </c>
      <c r="AU167" s="452" t="str">
        <f>IF(D167="","",IF(AS167=2,0,IF(AS167=1,'Calc (ex-animal)'!$G$38*'DB additional information '!$K$12/100*AH166/100*(1-VLOOKUP(D167,'DB technologies'!$N$96:$Y$107,8,FALSE)/100)*'Calc (ex-housing, ex-storage)'!F166/100/VLOOKUP($C$160,'DB animal categories'!$C$68:$AC$80,27,FALSE)*AJ167+I167+J167+K167,IF(AS167=5,(('Calc (ex-animal)'!$G$38*'DB additional information '!$K$12/100+'Calc (ex-animal)'!$H$38*'DB additional information '!$L$12/100))*AH166/100*(1-VLOOKUP(D167,'DB technologies'!$N$96:$Y$107,9,FALSE)/100)*'Calc (ex-housing, ex-storage)'!F166/100/VLOOKUP($C$160,'DB animal categories'!$C$68:$AC$80,27,FALSE)*AJ167+I167+J167+K167,IF(AS167=3,('Calc (ex-animal)'!$G$38*'DB additional information '!$K$12/100+'Calc (ex-animal)'!$H$38*'DB additional information '!$L$12/100)*AH166/100*(1-VLOOKUP(D167,'DB technologies'!$N$96:$Y$107,9,FALSE)/100)*'Calc (ex-housing, ex-storage)'!F166/100/VLOOKUP($C$160,'DB animal categories'!$C$68:$AC$80,27,FALSE)*AJ167+I167+J167+K167,IF(AS167=4,('Calc (ex-animal)'!$G$38*'DB additional information '!$K$12/100+'Calc (ex-animal)'!$H$38*'DB additional information '!$L$12/100)*AH166/100*(1-VLOOKUP(D167,'DB technologies'!$N$96:$Y$107,9,FALSE)/100)*'Calc (ex-housing, ex-storage)'!F166/100*VLOOKUP(D167,'DB technologies'!$N$96:$Y$107,12,FALSE)/100/VLOOKUP($C$160,'DB animal categories'!$C$68:$AC$80,27,FALSE)*AJ167+I167+J167+K167,0))))))</f>
        <v/>
      </c>
      <c r="AV167" s="452" t="str">
        <f>IF(D167="","",IF(AS167=2,0,IF(AS167=1,'Calc (ex-animal)'!$G$38*(1-'DB additional information '!$K$12/100)*AH166/100*(1-VLOOKUP(D167,'DB technologies'!$N$96:$Y$107,8,FALSE)/100)*'Calc (ex-housing, ex-storage)'!F166/100/VLOOKUP($C$160,'DB animal categories'!$C$68:$AC$80,27,FALSE)*AJ167+M167+N167+O167,IF(AS167=5,('Calc (ex-animal)'!$G$38*(1-'DB additional information '!$K$12/100)+'Calc (ex-animal)'!$H$38*(1-'DB additional information '!$L$12/100))*AH166/100*(1-VLOOKUP(D167,'DB technologies'!$N$96:$Y$107,8,FALSE)/100)*'Calc (ex-housing, ex-storage)'!F166/100/VLOOKUP($C$160,'DB animal categories'!$C$68:$AC$80,27,FALSE)*AJ167+M167+N167+O167,IF(AS167=3,('Calc (ex-animal)'!$G$38*(1-'DB additional information '!$K$12/100)+'Calc (ex-animal)'!$H$38*(1-'DB additional information '!$L$12/100))*AH166/100*(1-VLOOKUP(D167,'DB technologies'!$N$96:$Y$107,8,FALSE)/100)*'Calc (ex-housing, ex-storage)'!F166/100/VLOOKUP($C$160,'DB animal categories'!$C$68:$AC$80,27,FALSE)*AJ167+M167+N167+O167,IF(AS167=4,('Calc (ex-animal)'!$G$38*(1-'DB additional information '!$K$12/100)+'Calc (ex-animal)'!$H$38*(1-'DB additional information '!$L$12/100))*AH166/100*(1-VLOOKUP(D167,'DB technologies'!$N$96:$Y$107,8,FALSE)/100)*'Calc (ex-housing, ex-storage)'!F166/100*VLOOKUP(D167,'DB technologies'!$N$96:$Y$107,12,FALSE)/100/VLOOKUP($C$160,'DB animal categories'!$C$68:$AC$80,27,FALSE)*AJ167+M167+N167+O167,0))))))</f>
        <v/>
      </c>
      <c r="AW167" s="452" t="str">
        <f t="shared" si="25"/>
        <v/>
      </c>
      <c r="AX167" s="184" t="str">
        <f>IF(D167="","",IF(AS167=2,0,IF(AS167=1,'Calc (ex-animal)'!$K$38*'Calc (ex-housing, ex-storage)'!F166/100*AH166/100/VLOOKUP($C$160,'DB animal categories'!$C$68:$AC$80,27,FALSE)*AJ167+Q167+R167+S167,IF(AS167=5,('Calc (ex-animal)'!$K$38+'Calc (ex-animal)'!$L$38)*AH166/100*'Calc (ex-housing, ex-storage)'!F166/100/VLOOKUP($C$160,'DB animal categories'!$C$68:$AC$80,27,FALSE)*AJ167+Q167+R167+S167-'Calc (ex-housing, ex-storage)'!AC167,IF(AS167=3,('Calc (ex-animal)'!$K$38+'Calc (ex-animal)'!$L$38)*AH166/100*'Calc (ex-housing, ex-storage)'!F166/100/VLOOKUP($C$160,'DB animal categories'!$C$68:$AC$80,27,FALSE)*AJ167+Q167+R167+S167-'Calc (ex-housing, ex-storage)'!AC167-AD167-AE167,IF(AI167=4,('Calc (ex-animal)'!$K$38+'Calc (ex-animal)'!$L$38)*AH166/100*'Calc (ex-housing, ex-storage)'!F166/100*VLOOKUP(D167,'DB technologies'!$N$96:$Y$107,12,FALSE)/100/VLOOKUP($C$160,'DB animal categories'!$C$68:$AC$80,27,FALSE)*AJ167+Q167+R167+S167-(VLOOKUP(D167,'DB technologies'!$N$96:$Y$107,12,FALSE)/100*AC167)-AD167-AE167,0))))))</f>
        <v/>
      </c>
      <c r="AY167" s="184" t="str">
        <f>IF(D167="","",IF(AS167=2,0,IF(AS167=1,'Calc (ex-animal)'!$N$38*AH166/100*'Calc (ex-housing, ex-storage)'!F166/100/VLOOKUP($C$160,'DB animal categories'!$C$68:$AC$80,27,FALSE)*AJ167+U167+V167+W167,IF(AS167=5,('Calc (ex-animal)'!$N$38+'Calc (ex-animal)'!$O$38)*AH166/100*'Calc (ex-housing, ex-storage)'!F166/100/VLOOKUP($C$160,'DB animal categories'!$C$68:$AC$80,27,FALSE)*AJ167+U167+V167+W167,IF(AS167=3,('Calc (ex-animal)'!$N$38+'Calc (ex-animal)'!$O$38)*AH166/100*'Calc (ex-housing, ex-storage)'!F166/100/VLOOKUP($C$160,'DB animal categories'!$C$68:$AC$80,27,FALSE)*AJ167+U167+V167+W167,IF(AS167=4,('Calc (ex-animal)'!$N$38+'Calc (ex-animal)'!$O$38)*AH166/100*'Calc (ex-housing, ex-storage)'!F166/100*VLOOKUP(D167,'DB technologies'!$N$96:$Y$107,12,FALSE)/100/VLOOKUP($C$160,'DB animal categories'!$C$68:$AC$80,27,FALSE)*AJ167+U167+V167+W167,0))))))</f>
        <v/>
      </c>
      <c r="AZ167" s="184" t="str">
        <f>IF(D167="","",IF(AS167=2,0,IF(AS167=1,'Calc (ex-animal)'!$Q$38*AH166/100*'Calc (ex-housing, ex-storage)'!F166/100/VLOOKUP($C$160,'DB animal categories'!$C$68:$AC$80,27,FALSE)*AJ167+Y167+Z167+AA167,IF(AS167=5,('Calc (ex-animal)'!$Q$38+'Calc (ex-animal)'!$R$38)*AH166/100*'Calc (ex-housing, ex-storage)'!F166/100/VLOOKUP($C$160,'DB animal categories'!$C$68:$AC$80,27,FALSE)*AJ167+Y167+Z167+AA167,IF(AS167=3,('Calc (ex-animal)'!$Q$38+'Calc (ex-animal)'!$R$38)*AH166/100*'Calc (ex-housing, ex-storage)'!F166/100/VLOOKUP($C$160,'DB animal categories'!$C$68:$AC$80,27,FALSE)*AJ167+Y167+Z167+AA167,IF(AS167=4,('Calc (ex-animal)'!$Q$38+'Calc (ex-animal)'!$R$38)*AH166/100*'Calc (ex-housing, ex-storage)'!F166/100*VLOOKUP(D167,'DB technologies'!$N$96:$Y$107,12,FALSE)/100/VLOOKUP($C$160,'DB animal categories'!$C$68:$AC$80,27,FALSE)*AJ167+Y167+Z167+AA167,0))))))</f>
        <v/>
      </c>
      <c r="BA167" s="506"/>
      <c r="BB167" s="506"/>
      <c r="BC167" s="506"/>
    </row>
    <row r="168" spans="1:55" x14ac:dyDescent="0.2">
      <c r="A168" s="684"/>
      <c r="B168" s="695"/>
      <c r="C168" s="251"/>
      <c r="D168" s="1357"/>
      <c r="E168" s="1370"/>
      <c r="F168" s="740" t="str">
        <f>IF('Calc (ex-animal)'!$F$38=1,"",IF($C$160=0,"",IF(D168="","",E168/'Calc (ex-animal)'!$E$38*100)))</f>
        <v/>
      </c>
      <c r="G168" s="537" t="str">
        <f>IF($C$160=0,"",IF('Calc (ex-animal)'!$F$38=1,"",IF(D168="","",SUM(H168:O168))))</f>
        <v/>
      </c>
      <c r="H168" s="527" t="str">
        <f>IF('Calc (ex-animal)'!$F$38=1,"",IF(D168="","",(((VLOOKUP($C$160,'Calc (ex-animal)'!$D$38:$Y$42,6,FALSE)-VLOOKUP($C$160,'Calc (ex-animal)'!$D$38:$Y$42,17,FALSE))*F168/100*AG168/100))*VLOOKUP($C$160,'Calc (ex-animal)'!$D$38:$Y$42,7,FALSE)/100*(1-VLOOKUP(D168,'DB technologies'!$N$83:$Y$94,9,FALSE)/100)))</f>
        <v/>
      </c>
      <c r="I168" s="527" t="str">
        <f>IF(D168="","",((VLOOKUP(D168,'DB technologies'!$N$83:$Y$94,2,FALSE)*VLOOKUP($C$160,'DB animal categories'!$C$68:$AC$80,27,FALSE)*E168/1000*AG168/100)/VLOOKUP($C$160,'DB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'!$S$6/100*(1-VLOOKUP(D168,'DB technologies'!$N$83:$Y$94,9,FALSE)/100)))</f>
        <v/>
      </c>
      <c r="J168" s="528" t="str">
        <f>IF(D168="","",((VLOOKUP(D168,'DB technologies'!$N$83:$Y$94,3,FALSE)*VLOOKUP($C$160,'DB animal categories'!$C$68:$AC$80,27,FALSE)*E168/1000*AG168/100)/VLOOKUP($C$160,'DB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'!$S$7/100*(1-VLOOKUP(D168,'DB technologies'!$N$83:$Y$94,9,FALSE)/100)))</f>
        <v/>
      </c>
      <c r="K168" s="529" t="str">
        <f>IF(D168="","",((VLOOKUP(D168,'DB technologies'!$N$83:$Y$94,4,FALSE)*E168*AG168/100*'DB additional information '!$S$8/100*(1-VLOOKUP(D168,'DB technologies'!$N$83:$Y$94,9,FALSE)/100))/VLOOKUP($C$160,'DB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8" s="527" t="str">
        <f>IF('Calc (ex-animal)'!$F$38=1,"",IF(D168="","",(((VLOOKUP($C$160,'Calc (ex-animal)'!$D$38:$Y$42,6,FALSE)-VLOOKUP($C$160,'Calc (ex-animal)'!$D$38:$Y$42,17,FALSE))*F168/100*AG168/100))*(1-VLOOKUP($C$160,'Calc (ex-animal)'!$D$38:$Y$42,7,FALSE)/100)*(1-VLOOKUP(D168,'DB technologies'!$N$83:$V$94,8,FALSE)/100)))</f>
        <v/>
      </c>
      <c r="M168" s="528" t="str">
        <f>IF(D168="","",((VLOOKUP(D168,'DB technologies'!$N$83:$Y$94,2,FALSE)*VLOOKUP($C$160,'DB animal categories'!$C$68:$AC$80,27,FALSE)*E168/1000*AG168/100)/VLOOKUP($C$160,'DB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'!$S$6/100)*(1-VLOOKUP(D168,'DB technologies'!$N$83:$Y$94,9,FALSE)/100))</f>
        <v/>
      </c>
      <c r="N168" s="528" t="str">
        <f>IF(D168="","",((VLOOKUP(D168,'DB technologies'!$N$83:$Y$94,3,FALSE)*VLOOKUP($C$160,'DB animal categories'!$C$68:$AC$80,27,FALSE)*E168/1000*AG168/100)/VLOOKUP($C$160,'DB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'!$S$7/100)*(1-VLOOKUP(D168,'DB technologies'!$N$83:$Y$94,9,FALSE)/100))</f>
        <v/>
      </c>
      <c r="O168" s="527" t="str">
        <f>IF(D168="","",((VLOOKUP(D168,'DB technologies'!$N$83:$Y$94,4,FALSE)*E168*AG168/100*(1-'DB additional information '!$S$8/100)*(1-VLOOKUP(D168,'DB technologies'!$N$83:$Y$94,8,FALSE)/100))/VLOOKUP($C$160,'DB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8" s="530" t="str">
        <f>IF(G168=0,0,IF(E168="","",IF(F168="","",IF($C$160=0,"",IF(D168="","",SUM(H168:K168)/G168*100)))))</f>
        <v/>
      </c>
      <c r="Q168" s="531" t="str">
        <f>IF(D168="","",(VLOOKUP(D168,'DB technologies'!$N$83:$Y$94,2,FALSE)*'DB additional information '!$S$6/100*'DB additional information '!$T$6*VLOOKUP($C$160,'DB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8" s="531" t="str">
        <f>IF(D168="","",(VLOOKUP(D168,'DB technologies'!$N$83:$Y$94,3,FALSE)*'DB additional information '!$S$7/100*'DB additional information '!$T$7*VLOOKUP($C$160,'DB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8" s="538" t="str">
        <f>IF(D168="","",(VLOOKUP(D168,'DB technologies'!$N$83:$Y$94,4,FALSE)*('DB additional information '!$S$8/100*'DB additional information '!$T$8*E168/1000/1000*AG168/100)))</f>
        <v/>
      </c>
      <c r="T168" s="300" t="str">
        <f>IF($C$160=0,"",IF('Calc (ex-animal)'!$F$38=1,"",IF(D168="","",((VLOOKUP($C$160,'Calc (ex-animal)'!$D$38:$Y$42,10,FALSE)-VLOOKUP($C$160,'Calc (ex-animal)'!$D$38:$Y$42,18,FALSE))*F168/100*AG168/100+Q168+R168+S168)-AC168-AD168-AE168)))</f>
        <v/>
      </c>
      <c r="U168" s="544" t="str">
        <f>IF(D168="","",(VLOOKUP(D168,'DB technologies'!$N$83:$Y$94,2,FALSE)*'DB additional information '!$S$6/100*'DB additional information '!$U$6*VLOOKUP($C$160,'DB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8" s="523" t="str">
        <f>IF(D168="","",(VLOOKUP(D168,'DB technologies'!$N$83:$Y$94,3,FALSE)*'DB additional information '!$S$7/100*'DB additional information '!$U$7*VLOOKUP($C$160,'DB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8" s="545" t="str">
        <f>IF(D168="","",(VLOOKUP(D168,'DB technologies'!$N$83:$Y$94,4,FALSE)*('DB additional information '!$S$8/100*'DB additional information '!$U$8*E168/1000/1000*AG168/100)))</f>
        <v/>
      </c>
      <c r="X168" s="301" t="str">
        <f>IF($C$160=0,"",IF('Calc (ex-animal)'!$F$38=1,"",IF(D168="","",((VLOOKUP($C$160,'Calc (ex-animal)'!$D$38:$Y$42,13,FALSE)-VLOOKUP($C$160,'Calc (ex-animal)'!$D$38:$Y$42,19,FALSE))*F168/100*AG168/100+U168+V168+W168))))</f>
        <v/>
      </c>
      <c r="Y168" s="523" t="str">
        <f>IF(D168="","",(VLOOKUP(D168,'DB technologies'!$N$83:$Y$94,2,FALSE)*'DB additional information '!$S$6/100*'DB additional information '!$V$6*VLOOKUP($C$160,'DB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8" s="523" t="str">
        <f>IF(D168="","",(VLOOKUP(D168,'DB technologies'!$N$83:$Y$94,3,FALSE)*'DB additional information '!$S$7/100*'DB additional information '!$V$7*VLOOKUP($C$160,'DB animal categories'!$C$68:$AC$80,27,FALSE)*E168/1000/1000*AG168/100)/VLOOKUP($C$160,'DB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8" s="523" t="str">
        <f>IF(D168="","",(VLOOKUP(D168,'DB technologies'!$N$83:$Y$94,4,FALSE)*('DB additional information '!$S$8/100*'DB additional information '!$V$8*E168/1000/1000*AG168/100)))</f>
        <v/>
      </c>
      <c r="AB168" s="301" t="str">
        <f>IF($C$160=0,"",IF('Calc (ex-animal)'!$F$38=1,"",IF(D168="","",((VLOOKUP($C$160,'Calc (ex-animal)'!$D$38:$Y$42,16,FALSE)-VLOOKUP($C$160,'Calc (ex-animal)'!$D$38:$Y$42,20,FALSE))*F168/100*AG168/100+Y168+Z168+AA168))))</f>
        <v/>
      </c>
      <c r="AC168" s="301" t="str">
        <f>IF($C$160=0,"",IF('Calc (ex-animal)'!$F$38=1,"",IF(D168="","",VLOOKUP($C$160,'Calc (ex-animal)'!$D$38:$Y$42,9,FALSE)*AG168/100/VLOOKUP($C$160,'DB animal categories'!$C$68:$AC$80,27,FALSE)*(VLOOKUP($C$160,'DB animal categories'!$C$68:$AC$80,27,FALSE)-VLOOKUP($C$160,'DB animal categories'!$C$68:$AC$80,25,FALSE)*VLOOKUP($C$160,'DB animal categories'!$C$68:$AC$80,26,FALSE)/24)*F168/100*VLOOKUP(D168,'DB technologies'!$N$83:$R$94,5,FALSE)/100)))</f>
        <v/>
      </c>
      <c r="AD168" s="301" t="str">
        <f>IF($C$160=0,"",IF('Calc (ex-animal)'!$F$38=1,"",IF(D168="","",VLOOKUP($C$160,'Calc (ex-animal)'!$D$38:$Y$42,10,FALSE)*AG168/100/VLOOKUP($C$160,'DB animal categories'!$C$68:$AC$80,27,FALSE)*(VLOOKUP($C$160,'DB animal categories'!$C$68:$AC$80,27,FALSE)-VLOOKUP($C$160,'DB animal categories'!$C$68:$AC$80,25,FALSE)*VLOOKUP($C$160,'DB animal categories'!$C$68:$AC$80,26,FALSE)/24)*F168/100*VLOOKUP(D168,'DB technologies'!$N$83:$Y$94,6,FALSE)/100)))</f>
        <v/>
      </c>
      <c r="AE168" s="302" t="str">
        <f>IF($C$160=0,"",IF('Calc (ex-animal)'!$F$38=1,"",IF(D168="","",VLOOKUP($C$160,'Calc (ex-animal)'!$D$38:$Y$42,10,FALSE)*AG168/100/VLOOKUP($C$160,'DB animal categories'!$C$68:$AC$80,27,FALSE)*(VLOOKUP($C$160,'DB animal categories'!$C$68:$AC$80,27,FALSE)-VLOOKUP($C$160,'DB animal categories'!$C$68:$AC$80,25,FALSE)*VLOOKUP($C$160,'DB animal categories'!$C$68:$AC$80,26,FALSE)/24)*F168/100*VLOOKUP(D168,'DB technologies'!$N$83:$Y$94,7,FALSE)/100)))</f>
        <v/>
      </c>
      <c r="AG168" s="1381"/>
      <c r="AH168" s="1382"/>
      <c r="AI168" s="181" t="str">
        <f>IF(D168="","",VLOOKUP(D168,'DB technologies'!$N$82:$Y$94,10,FALSE))</f>
        <v/>
      </c>
      <c r="AJ168" s="449" t="e">
        <f>VLOOKUP($C$160,'DB animal categories'!$C$68:$AN$80,27,FALSE)-VLOOKUP($C$160,'DB animal categories'!$C$68:$AN$80,26,FALSE)*VLOOKUP($C$160,'DB animal categories'!$C$68:$AN$80,25,FALSE)/24</f>
        <v>#N/A</v>
      </c>
      <c r="AK168" s="442" t="str">
        <f t="shared" si="22"/>
        <v/>
      </c>
      <c r="AL168" s="442" t="str">
        <f>IF(D168="","",IF(AI168=2,(('Calc (ex-animal)'!$G$38*'DB additional information '!$K$12/100*AG168/100*(1-VLOOKUP(D168,'DB technologies'!$N$82:$Y$94,9,FALSE)/100)*'Calc (ex-housing, ex-storage)'!F168/100+'Calc (ex-animal)'!$H$38*'DB additional information '!$L$12/100*AG168/100*(1-VLOOKUP(D168,'DB technologies'!$N$82:$Y$94,9,FALSE)/100)*'Calc (ex-housing, ex-storage)'!F168/100))/VLOOKUP($C$160,'DB animal categories'!$C$68:$AC$80,27,FALSE)*AJ168+I168+J168+K168,IF(AI168=1,('Calc (ex-animal)'!$H$38*AG168/100*'DB additional information '!$L$12/100*(1-VLOOKUP(D168,'DB technologies'!$N$82:$Y$94,9,FALSE)/100)*'Calc (ex-housing, ex-storage)'!F168/100)/VLOOKUP($C$160,'DB animal categories'!$C$68:$AC$80,27,FALSE)*AJ168,IF(AI168=4,('Calc (ex-animal)'!$G$38*'DB additional information '!$K$12/100+'Calc (ex-animal)'!$H$38*'DB additional information '!$L$12/100)*AG168/100*(1-VLOOKUP(D168,'DB technologies'!$N$82:$Y$94,9,FALSE)/100)*'Calc (ex-housing, ex-storage)'!F168/100*VLOOKUP(D168,'DB technologies'!$N$82:$Y$94,11,FALSE)/100/VLOOKUP($C$160,'DB animal categories'!$C$68:$AC$80,27,FALSE)*AJ168,0))))</f>
        <v/>
      </c>
      <c r="AM168" s="442" t="str">
        <f>IF(D168="","",IF(AI168=2,(('Calc (ex-animal)'!$G$38*(1-'DB additional information '!$K$12/100)*AG168/100*(1-VLOOKUP(D168,'DB technologies'!$N$82:$Y$94,8,FALSE)/100)*'Calc (ex-housing, ex-storage)'!F168/100+'Calc (ex-animal)'!$H$38*(1-'DB additional information '!$L$12/100)*AG168/100*(1-VLOOKUP(D168,'DB technologies'!$N$82:$Y$94,8,FALSE)/100)*'Calc (ex-housing, ex-storage)'!F168/100))/VLOOKUP($C$160,'DB animal categories'!$C$68:$AC$80,27,FALSE)*AJ168+M168+N168+O168,IF(AI168=1,('Calc (ex-animal)'!$H$38*(1-'DB additional information '!$L$12/100)*AG168/100*(1-VLOOKUP(D168,'DB technologies'!$N$82:$Y$94,8,FALSE)/100)*'Calc (ex-housing, ex-storage)'!F168/100)/VLOOKUP($C$160,'DB animal categories'!$C$68:$AC$80,27,FALSE)*AJ168,IF(AI168=4,('Calc (ex-animal)'!$G$38*(1-'DB additional information '!$K$12/100)+'Calc (ex-animal)'!$H$38*(1-'DB additional information '!$L$12/100))*AG168/100*(1-VLOOKUP(D168,'DB technologies'!$N$82:$Y$94,8,FALSE)/100)*'Calc (ex-housing, ex-storage)'!F168/100*VLOOKUP(D168,'DB technologies'!$N$82:$Y$94,11,FALSE)/100/VLOOKUP($C$160,'DB animal categories'!$C$68:$AC$80,27,FALSE)*AJ168,0))))</f>
        <v/>
      </c>
      <c r="AN168" s="442" t="str">
        <f t="shared" si="23"/>
        <v/>
      </c>
      <c r="AO168" s="182" t="str">
        <f>IF(D168="","",IF(AI168=2,(('Calc (ex-animal)'!$L$38*'Calc (ex-housing, ex-storage)'!F168/100+'Calc (ex-animal)'!$K$38*'Calc (ex-housing, ex-storage)'!F168/100))*AG168/100/VLOOKUP($C$160,'DB animal categories'!$C$68:$AC$80,27,FALSE)*AJ168+Q168+R168+S168-AC168,IF(AI168=1,('Calc (ex-animal)'!$L$38*'Calc (ex-housing, ex-storage)'!F168/100)*AG168/100/VLOOKUP($C$160,'DB animal categories'!$C$68:$AC$80,27,FALSE)*AJ168-'Calc (ex-housing, ex-storage)'!AC168,IF(AI168=4,('Calc (ex-animal)'!$L$38+'Calc (ex-animal)'!$K$38)*'Calc (ex-housing, ex-storage)'!F168/100*AG168/100*VLOOKUP(D168,'DB technologies'!$N$82:$Y$94,11,FALSE)/100/VLOOKUP($C$160,'DB animal categories'!$C$68:$AC$80,27,FALSE)*AJ168-AC168*VLOOKUP(D168,'DB technologies'!$N$82:$Y$94,11,FALSE)/100,0))))</f>
        <v/>
      </c>
      <c r="AP168" s="182" t="str">
        <f>IF(D168="","",IF(AO168&lt;-0.01,0,IF(AI168=2,(('Calc (ex-animal)'!$L$38*'Calc (ex-housing, ex-storage)'!F168/100+'Calc (ex-animal)'!$K$38*'Calc (ex-housing, ex-storage)'!F168/100))*AG168/100/VLOOKUP($C$160,'DB animal categories'!$C$68:$AC$80,27,FALSE)*AJ168+Q168+R168+S168-AC168,IF(AI168=1,('Calc (ex-animal)'!$L$38*'Calc (ex-housing, ex-storage)'!F168/100)*AG168/100/VLOOKUP($C$160,'DB animal categories'!$C$68:$AC$80,27,FALSE)*AJ168-'Calc (ex-housing, ex-storage)'!AC168,IF(AI168=4,('Calc (ex-animal)'!$L$38+'Calc (ex-animal)'!$K$38)*'Calc (ex-housing, ex-storage)'!F168/100*AG168/100*VLOOKUP(D168,'DB technologies'!$N$82:$Y$94,11,FALSE)/100/VLOOKUP($C$160,'DB animal categories'!$C$68:$AC$80,27,FALSE)*AJ168-AC168*VLOOKUP(D168,'DB technologies'!$N$82:$Y$94,11,FALSE)/100,0)))))</f>
        <v/>
      </c>
      <c r="AQ168" s="182" t="str">
        <f>IF(D168="","",IF(AI168=2,('Calc (ex-animal)'!$O$38*'Calc (ex-housing, ex-storage)'!F168/100+'Calc (ex-animal)'!$N$38*'Calc (ex-housing, ex-storage)'!F168/100)*AG168/100/VLOOKUP($C$160,'DB animal categories'!$C$68:$AC$80,27,FALSE)*AJ168+U168+V168+W168,IF(AI168=1,'Calc (ex-animal)'!$O$38*'Calc (ex-housing, ex-storage)'!F168/100*AG168/100/VLOOKUP($C$160,'DB animal categories'!$C$68:$AC$80,27,FALSE)*AJ168,IF(AI168=4,('Calc (ex-animal)'!$O$38+'Calc (ex-animal)'!$N$38)*'Calc (ex-housing, ex-storage)'!F168/100*AG168/100*VLOOKUP(D168,'DB technologies'!$N$82:$Y$94,11,FALSE)/100/VLOOKUP($C$160,'DB animal categories'!$C$68:$AC$80,27,FALSE)*AJ168,0))))</f>
        <v/>
      </c>
      <c r="AR168" s="182" t="str">
        <f>IF(D168="","",IF(AI168=2,('Calc (ex-animal)'!$R$38*'Calc (ex-housing, ex-storage)'!F168/100+'Calc (ex-animal)'!$Q$38*'Calc (ex-housing, ex-storage)'!F168/100)*AG168/100/VLOOKUP($C$160,'DB animal categories'!$C$68:$AC$80,27,FALSE)*AJ168+Y168+Z168+AA168,IF(AI168=1,'Calc (ex-animal)'!$R$38*'Calc (ex-housing, ex-storage)'!F168/100*AG168/100/VLOOKUP($C$160,'DB animal categories'!$C$68:$AC$80,27,FALSE)*AJ168,IF(AI168=4,('Calc (ex-animal)'!$R$38+'Calc (ex-animal)'!$Q$38)*'Calc (ex-housing, ex-storage)'!F168/100*AG168/100*VLOOKUP(D168,'DB technologies'!$N$82:$Y$94,11,FALSE)/100/VLOOKUP($C$160,'DB animal categories'!$C$68:$AC$80,27,FALSE)*AJ168,0))))</f>
        <v/>
      </c>
      <c r="AS168" s="181" t="str">
        <f>IF(D168="","",VLOOKUP(D168,'DB technologies'!$N$82:$Y$94,10,FALSE))</f>
        <v/>
      </c>
      <c r="AT168" s="442" t="str">
        <f t="shared" si="24"/>
        <v/>
      </c>
      <c r="AU168" s="442" t="str">
        <f>IF(D168="","",IF(AS168=2,0,IF(AS168=1,'Calc (ex-animal)'!$G$38*'DB additional information '!$K$12/100*AG168/100*(1-VLOOKUP(D168,'DB technologies'!$N$82:$Y$94,8,FALSE)/100)*'Calc (ex-housing, ex-storage)'!F168/100/VLOOKUP($C$160,'DB animal categories'!$C$68:$AC$80,27,FALSE)*AJ168+I168+J168+K168,IF(AS168=5,(('Calc (ex-animal)'!$G$38*'DB additional information '!$K$12/100+'Calc (ex-animal)'!$H$38*'DB additional information '!$L$12/100))*AG168/100*(1-VLOOKUP(D168,'DB technologies'!$N$82:$Y$94,9,FALSE)/100)*'Calc (ex-housing, ex-storage)'!F168/100/VLOOKUP($C$160,'DB animal categories'!$C$68:$AC$80,27,FALSE)*AJ168+I168+J168+K168,IF(AS168=3,('Calc (ex-animal)'!$G$38*'DB additional information '!$K$12/100+'Calc (ex-animal)'!$H$38*'DB additional information '!$L$12/100)*AG168/100*(1-VLOOKUP(D168,'DB technologies'!$N$82:$Y$94,9,FALSE)/100)*'Calc (ex-housing, ex-storage)'!F168/100/VLOOKUP($C$160,'DB animal categories'!$C$68:$AC$80,27,FALSE)*AJ168+I168+J168+K168,IF(AS168=4,('Calc (ex-animal)'!$G$38*'DB additional information '!$K$12/100+'Calc (ex-animal)'!$H$38*'DB additional information '!$L$12/100)*AG168/100*(1-VLOOKUP(D168,'DB technologies'!$N$82:$Y$94,9,FALSE)/100)*'Calc (ex-housing, ex-storage)'!F168/100*VLOOKUP(D168,'DB technologies'!$N$82:$Y$94,12,FALSE)/100/VLOOKUP($C$160,'DB animal categories'!$C$68:$AC$80,27,FALSE)*AJ168+I168+J168+K168,0))))))</f>
        <v/>
      </c>
      <c r="AV168" s="442" t="str">
        <f>IF(D168="","",IF(AS168=2,0,IF(AS168=1,'Calc (ex-animal)'!$G$38*(1-'DB additional information '!$K$12/100)*AG168/100*(1-VLOOKUP(D168,'DB technologies'!$N$82:$Y$94,8,FALSE)/100)*'Calc (ex-housing, ex-storage)'!F168/100/VLOOKUP($C$160,'DB animal categories'!$C$68:$AC$80,27,FALSE)*AJ168+M168+N168+O168,IF(AS168=5,('Calc (ex-animal)'!$G$38*(1-'DB additional information '!$K$12/100)+'Calc (ex-animal)'!$H$38*(1-'DB additional information '!$L$12/100))*AG168/100*(1-VLOOKUP(D168,'DB technologies'!$N$82:$Y$94,8,FALSE)/100)*'Calc (ex-housing, ex-storage)'!F168/100/VLOOKUP($C$160,'DB animal categories'!$C$68:$AC$80,27,FALSE)*AJ168+M168+N168+O168,IF(AS168=3,('Calc (ex-animal)'!$G$38*(1-'DB additional information '!$K$12/100)+'Calc (ex-animal)'!$H$38*(1-'DB additional information '!$L$12/100))*AG168/100*(1-VLOOKUP(D168,'DB technologies'!$N$82:$Y$94,8,FALSE)/100)*'Calc (ex-housing, ex-storage)'!F168/100/VLOOKUP($C$160,'DB animal categories'!$C$68:$AC$80,27,FALSE)*AJ168+M168+N168+O168,IF(AS168=4,('Calc (ex-animal)'!$G$38*(1-'DB additional information '!$K$12/100)+'Calc (ex-animal)'!$H$38*(1-'DB additional information '!$L$12/100))*AG168/100*(1-VLOOKUP(D168,'DB technologies'!$N$82:$Y$94,8,FALSE)/100)*'Calc (ex-housing, ex-storage)'!F168/100*VLOOKUP(D168,'DB technologies'!$N$82:$Y$94,12,FALSE)/100/VLOOKUP($C$160,'DB animal categories'!$C$68:$AC$80,27,FALSE)*AJ168+M168+N168+O168,0))))))</f>
        <v/>
      </c>
      <c r="AW168" s="442" t="str">
        <f t="shared" si="25"/>
        <v/>
      </c>
      <c r="AX168" s="182" t="str">
        <f>IF(D168="","",IF(AS168=2,0,IF(AS168=1,'Calc (ex-animal)'!$K$38*'Calc (ex-housing, ex-storage)'!F168/100*AG168/100/VLOOKUP($C$160,'DB animal categories'!$C$68:$AC$80,27,FALSE)*AJ168+Q168+R168+S168,IF(AS168=5,('Calc (ex-animal)'!$K$38+'Calc (ex-animal)'!$L$38)*AG168/100*'Calc (ex-housing, ex-storage)'!F168/100/VLOOKUP($C$160,'DB animal categories'!$C$68:$AC$80,27,FALSE)*AJ168+Q168+R168+S168-'Calc (ex-housing, ex-storage)'!AC168,IF(AS168=3,('Calc (ex-animal)'!$K$38+'Calc (ex-animal)'!$L$38)*AG168/100*'Calc (ex-housing, ex-storage)'!F168/100/VLOOKUP($C$160,'DB animal categories'!$C$68:$AC$80,27,FALSE)*AJ168+Q168+R168+S168-'Calc (ex-housing, ex-storage)'!AC168-AD168-AE168,IF(AI168=4,('Calc (ex-animal)'!$K$38+'Calc (ex-animal)'!$L$38)*AG168/100*'Calc (ex-housing, ex-storage)'!F168/100*VLOOKUP(D168,'DB technologies'!$N$82:$Y$94,12,FALSE)/100/VLOOKUP($C$160,'DB animal categories'!$C$68:$AC$80,27,FALSE)*AJ168+Q168+R168+S168-(VLOOKUP(D168,'DB technologies'!$N$82:$Y$94,12,FALSE)/100*AC168)-AD168-AE168,0))))))</f>
        <v/>
      </c>
      <c r="AY168" s="182" t="str">
        <f>IF(D168="","",IF(AS168=2,0,IF(AS168=1,'Calc (ex-animal)'!$N$38*AG168/100*'Calc (ex-housing, ex-storage)'!F168/100/VLOOKUP($C$160,'DB animal categories'!$C$68:$AC$80,27,FALSE)*AJ168+U168+V168+W168,IF(AS168=5,('Calc (ex-animal)'!$N$38+'Calc (ex-animal)'!$O$38)*AG168/100*'Calc (ex-housing, ex-storage)'!F168/100/VLOOKUP($C$160,'DB animal categories'!$C$68:$AC$80,27,FALSE)*AJ168+U168+V168+W168,IF(AS168=3,('Calc (ex-animal)'!$N$38+'Calc (ex-animal)'!$O$38)*AG168/100*'Calc (ex-housing, ex-storage)'!F168/100/VLOOKUP($C$160,'DB animal categories'!$C$68:$AC$80,27,FALSE)*AJ168+U168+V168+W168,IF(AS168=4,('Calc (ex-animal)'!$N$38+'Calc (ex-animal)'!$O$38)*AG168/100*'Calc (ex-housing, ex-storage)'!F168/100*VLOOKUP(D168,'DB technologies'!$N$82:$Y$94,12,FALSE)/100/VLOOKUP($C$160,'DB animal categories'!$C$68:$AC$80,27,FALSE)*AJ168+U168+V168+W168,0))))))</f>
        <v/>
      </c>
      <c r="AZ168" s="182" t="str">
        <f>IF(D168="","",IF(AS168=2,0,IF(AS168=1,'Calc (ex-animal)'!$Q$38*AG168/100*'Calc (ex-housing, ex-storage)'!F168/100/VLOOKUP($C$160,'DB animal categories'!$C$68:$AC$80,27,FALSE)*AJ168+Y168+Z168+AA168,IF(AS168=5,('Calc (ex-animal)'!$Q$38+'Calc (ex-animal)'!$R$38)*AG168/100*'Calc (ex-housing, ex-storage)'!F168/100/VLOOKUP($C$160,'DB animal categories'!$C$68:$AC$80,27,FALSE)*AJ168+Y168+Z168+AA168,IF(AS168=3,('Calc (ex-animal)'!$Q$38+'Calc (ex-animal)'!$R$38)*AG168/100*'Calc (ex-housing, ex-storage)'!F168/100/VLOOKUP($C$160,'DB animal categories'!$C$68:$AC$80,27,FALSE)*AJ168+Y168+Z168+AA168,IF(AS168=4,('Calc (ex-animal)'!$Q$38+'Calc (ex-animal)'!$R$38)*AG168/100*'Calc (ex-housing, ex-storage)'!F168/100*VLOOKUP(D168,'DB technologies'!$N$82:$Y$94,12,FALSE)/100/VLOOKUP($C$160,'DB animal categories'!$C$68:$AC$80,27,FALSE)*AJ168+Y168+Z168+AA168,0))))))</f>
        <v/>
      </c>
      <c r="BA168" s="506"/>
      <c r="BB168" s="506"/>
      <c r="BC168" s="506"/>
    </row>
    <row r="169" spans="1:55" ht="12" customHeight="1" thickBot="1" x14ac:dyDescent="0.25">
      <c r="A169" s="684"/>
      <c r="B169" s="695"/>
      <c r="C169" s="251"/>
      <c r="D169" s="1359"/>
      <c r="E169" s="1371"/>
      <c r="F169" s="749" t="str">
        <f>IF('Calc (ex-animal)'!$F$9=1,"",IF($C$152=0,"",IF(D169="","",E169/'Calc (ex-animal)'!$E$32*100)))</f>
        <v/>
      </c>
      <c r="G169" s="483" t="str">
        <f>IF($C$160=0,"",IF('Calc (ex-animal)'!$F$38=1,"",IF(D169="","",SUM(H169:O169))))</f>
        <v/>
      </c>
      <c r="H169" s="445" t="str">
        <f>IF('Calc (ex-animal)'!$F$38=1,"",IF(D169="","",(((VLOOKUP($C$160,'Calc (ex-animal)'!$D$38:$Y$42,6,FALSE)-VLOOKUP($C$160,'Calc (ex-animal)'!$D$38:$Y$42,17,FALSE))*F168/100*AH168/100))*VLOOKUP($C$160,'Calc (ex-animal)'!$D$38:$Y$42,7,FALSE)/100*(1-VLOOKUP(D169,'DB technologies'!$N$96:$Y$107,9,FALSE)/100)))</f>
        <v/>
      </c>
      <c r="I169" s="445" t="str">
        <f>IF(D169="","",((VLOOKUP(D169,'DB technologies'!$N$96:$Y$107,2,FALSE)*VLOOKUP($C$160,'DB animal categories'!$C$68:$AC$80,27,FALSE)*F168/1000*AH168/100)/VLOOKUP($C$160,'DB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'!$S$6/100*(1-VLOOKUP(D169,'DB technologies'!$N$96:$Y$107,9,FALSE)/100)))</f>
        <v/>
      </c>
      <c r="J169" s="446" t="str">
        <f>IF(D169="","",((VLOOKUP(D169,'DB technologies'!$N$96:$Y$107,3,FALSE)*VLOOKUP($C$160,'DB animal categories'!$C$68:$AC$80,27,FALSE)*E168/1000*AH168/100)/VLOOKUP($C$160,'DB animal categories'!$C$68:$AC$80,27,FALSE)*(VLOOKUP($C$160,'DB animal categories'!$C$68:$AC$80,27,FALSE)-(VLOOKUP($C$160,'DB animal categories'!$C$68:$AC$80,25,FALSE)*VLOOKUP($C$160,'DB animal categories'!$C$68:$AC$80,26,FALSE)/24))*'DB additional information '!$S$7/100*(1-VLOOKUP(D169,'DB technologies'!$N$96:$Y$107,9,FALSE)/100)))</f>
        <v/>
      </c>
      <c r="K169" s="541" t="str">
        <f>IF(D169="","",((VLOOKUP(D169,'DB technologies'!$N$96:$Y$107,4,FALSE)*E168*AH168/100*'DB additional information '!$S$8/100*(1-VLOOKUP(D169,'DB technologies'!$N$96:$Y$107,9,FALSE)/100))/VLOOKUP($C$160,'DB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L169" s="445" t="str">
        <f>IF('Calc (ex-animal)'!$F$38=1,"",IF(D169="","",(((VLOOKUP($C$160,'Calc (ex-animal)'!$D$38:$Y$42,6,FALSE)-VLOOKUP($C$160,'Calc (ex-animal)'!$D$38:$Y$42,17,FALSE))*F168/100*AH168/100))*(1-VLOOKUP($C$160,'Calc (ex-animal)'!$D$38:$Y$42,7,FALSE)/100)*(1-VLOOKUP(D169,'DB technologies'!$N$96:$V$107,8,FALSE)/100)))</f>
        <v/>
      </c>
      <c r="M169" s="446" t="str">
        <f>IF(D169="","",((VLOOKUP(D169,'DB technologies'!$N$96:$Y$107,2,FALSE)*VLOOKUP($C$160,'DB animal categories'!$C$68:$AC$80,27,FALSE)*E168/1000*AH168/100)/VLOOKUP($C$160,'DB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'!$S$6/100)*(1-VLOOKUP(D169,'DB technologies'!$N$96:$Y$107,9,FALSE)/100))</f>
        <v/>
      </c>
      <c r="N169" s="446" t="str">
        <f>IF(D169="","",((VLOOKUP(D169,'DB technologies'!$N$96:$Y$107,3,FALSE)*VLOOKUP($C$160,'DB animal categories'!$C$68:$AC$80,27,FALSE)*E168/1000*AH168/100)/VLOOKUP($C$160,'DB animal categories'!$C$68:$AC$80,27,FALSE)*(VLOOKUP($C$160,'DB animal categories'!$C$68:$AC$80,27,FALSE)-VLOOKUP($C$160,'DB animal categories'!$C$68:$AC$80,25,FALSE)*VLOOKUP($C$160,'DB animal categories'!$C$68:$AC$80,26,FALSE)/24))*(1-'DB additional information '!$S$7/100)*(1-VLOOKUP(D169,'DB technologies'!$N$96:$Y$107,9,FALSE)/100))</f>
        <v/>
      </c>
      <c r="O169" s="445" t="str">
        <f>IF(D169="","",((VLOOKUP(D169,'DB technologies'!$N$96:$Y$107,4,FALSE)*E168*AH168/100*(1-'DB additional information '!$S$8/100)*(1-VLOOKUP(D169,'DB technologies'!$N$96:$Y$107,8,FALSE)/100))/VLOOKUP($C$160,'DB animal categories'!$C$68:$AC$80,27,FALSE)*(VLOOKUP($C$160,'DB animal categories'!$C$68:$AC$80,27,FALSE)-VLOOKUP($C$160,'DB animal categories'!$C$68:$AC$80,25,FALSE)*VLOOKUP($C$160,'DB animal categories'!$C$68:$AC$80,26,FALSE)/24)))</f>
        <v/>
      </c>
      <c r="P169" s="444" t="str">
        <f>IF(G169=0,0,IF(E168="","",IF(F168="","",IF($C$160=0,"",IF(D169="","",SUM(H169:K169)/G169*100)))))</f>
        <v/>
      </c>
      <c r="Q169" s="476" t="str">
        <f>IF(D169="","",(VLOOKUP(D169,'DB technologies'!$N$96:$Y$107,2,FALSE)*'DB additional information '!$S$6/100*'DB additional information '!$T$6*VLOOKUP($C$160,'DB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R169" s="476" t="str">
        <f>IF(D169="","",(VLOOKUP(D169,'DB technologies'!$N$96:$Y$107,3,FALSE)*'DB additional information '!$S$7/100*'DB additional information '!$T$7*VLOOKUP($C$160,'DB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S169" s="494" t="str">
        <f>IF(D169="","",(VLOOKUP(D169,'DB technologies'!$N$96:$Y$107,4,FALSE)*('DB additional information '!$S$8/100*'DB additional information '!$T$8*E168/1000/1000*AH168/100)))</f>
        <v/>
      </c>
      <c r="T169" s="266" t="str">
        <f>IF($C$160=0,"",IF('Calc (ex-animal)'!$F$38=1,"",IF(D169="","",((VLOOKUP($C$160,'Calc (ex-animal)'!$D$38:$Y$42,10,FALSE)-VLOOKUP($C$160,'Calc (ex-animal)'!$D$38:$Y$42,18,FALSE))*F168/100*AH168/100+Q169+R169+S169)-AC169-AD169-AE169)))</f>
        <v/>
      </c>
      <c r="U169" s="477" t="str">
        <f>IF(D169="","",(VLOOKUP(D169,'DB technologies'!$N$96:$Y$107,2,FALSE)*'DB additional information '!$S$6/100*'DB additional information '!$U$6*VLOOKUP($C$160,'DB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V169" s="433" t="str">
        <f>IF(D169="","",(VLOOKUP(D169,'DB technologies'!$N$96:$Y$107,3,FALSE)*'DB additional information '!$S$7/100*'DB additional information '!$U$7*VLOOKUP($C$160,'DB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W169" s="475" t="str">
        <f>IF(D169="","",(VLOOKUP(D169,'DB technologies'!$N$96:$Y$107,4,FALSE)*('DB additional information '!$S$8/100*'DB additional information '!$U$8*E168/1000/1000*AH168/100)))</f>
        <v/>
      </c>
      <c r="X169" s="267" t="str">
        <f>IF($C$160=0,"",IF('Calc (ex-animal)'!$F$38=1,"",IF(D169="","",((VLOOKUP($C$160,'Calc (ex-animal)'!$D$38:$Y$42,13,FALSE)-VLOOKUP($C$160,'Calc (ex-animal)'!$D$38:$Y$42,19,FALSE))*F168/100*AH168/100+U169+V169+W169))))</f>
        <v/>
      </c>
      <c r="Y169" s="433" t="str">
        <f>IF(D169="","",(VLOOKUP(D169,'DB technologies'!$N$96:$Y$107,2,FALSE)*'DB additional information '!$S$6/100*'DB additional information '!$V$6*VLOOKUP($C$160,'DB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Z169" s="433" t="str">
        <f>IF(D169="","",(VLOOKUP(D169,'DB technologies'!$N$96:$Y$107,3,FALSE)*'DB additional information '!$S$7/100*'DB additional information '!$V$7*VLOOKUP($C$160,'DB animal categories'!$C$68:$AC$80,27,FALSE)*E168/1000/1000*AH168/100)/VLOOKUP($C$160,'DB animal categories'!$C$68:$AC$80,27,FALSE)*(VLOOKUP($C$160,'DB animal categories'!$C$68:$AC$80,27,FALSE)-VLOOKUP($C$160,'DB animal categories'!$C$68:$AC$80,25,FALSE)*VLOOKUP($C$160,'DB animal categories'!$C$68:$AC$80,26,FALSE)/24))</f>
        <v/>
      </c>
      <c r="AA169" s="433" t="str">
        <f>IF(D169="","",(VLOOKUP(D169,'DB technologies'!$N$96:$Y$107,4,FALSE)*('DB additional information '!$S$8/100*'DB additional information '!$V$8*E168/1000/1000*AH168/100)))</f>
        <v/>
      </c>
      <c r="AB169" s="267" t="str">
        <f>IF($C$160=0,"",IF('Calc (ex-animal)'!$F$38=1,"",IF(D169="","",((VLOOKUP($C$160,'Calc (ex-animal)'!$D$38:$Y$42,16,FALSE)-VLOOKUP($C$160,'Calc (ex-animal)'!$D$38:$Y$42,20,FALSE))*F168/100*AH168/100+Y169+Z169+AA169))))</f>
        <v/>
      </c>
      <c r="AC169" s="267" t="str">
        <f>IF($C$160=0,"",IF('Calc (ex-animal)'!$F$38=1,"",IF(D169="","",VLOOKUP($C$160,'Calc (ex-animal)'!$D$38:$Y$42,9,FALSE)*AH168/100/VLOOKUP($C$160,'DB animal categories'!$C$68:$AC$80,27,FALSE)*(VLOOKUP($C$160,'DB animal categories'!$C$68:$AC$80,27,FALSE)-VLOOKUP($C$160,'DB animal categories'!$C$68:$AC$80,25,FALSE)*VLOOKUP($C$160,'DB animal categories'!$C$68:$AC$80,26,FALSE)/24)*F168/100*VLOOKUP(D169,'DB technologies'!$N$96:$R$107,5,FALSE)/100)))</f>
        <v/>
      </c>
      <c r="AD169" s="267" t="str">
        <f>IF($C$160=0,"",IF('Calc (ex-animal)'!$F$38=1,"",IF(D169="","",VLOOKUP($C$160,'Calc (ex-animal)'!$D$38:$Y$42,10,FALSE)*AH168/100/VLOOKUP($C$160,'DB animal categories'!$C$68:$AC$80,27,FALSE)*(VLOOKUP($C$160,'DB animal categories'!$C$68:$AC$80,27,FALSE)-VLOOKUP($C$160,'DB animal categories'!$C$68:$AC$80,25,FALSE)*VLOOKUP($C$160,'DB animal categories'!$C$68:$AC$80,26,FALSE)/24)*F168/100*VLOOKUP(D169,'DB technologies'!$N$96:$Y$107,6,FALSE)/100)))</f>
        <v/>
      </c>
      <c r="AE169" s="268" t="str">
        <f>IF($C$160=0,"",IF('Calc (ex-animal)'!$F$38=1,"",IF(D169="","",VLOOKUP($C$160,'Calc (ex-animal)'!$D$38:$Y$42,10,FALSE)*AH168/100/VLOOKUP($C$160,'DB animal categories'!$C$68:$AC$80,27,FALSE)*(VLOOKUP($C$160,'DB animal categories'!$C$68:$AC$80,27,FALSE)-VLOOKUP($C$160,'DB animal categories'!$C$68:$AC$80,25,FALSE)*VLOOKUP($C$160,'DB animal categories'!$C$68:$AC$80,26,FALSE)/24)*F168/100*VLOOKUP(D169,'DB technologies'!$N$96:$Y$107,7,FALSE)/100)))</f>
        <v/>
      </c>
      <c r="AG169" s="1385"/>
      <c r="AH169" s="1386"/>
      <c r="AI169" s="187" t="str">
        <f>IF(D169="","",VLOOKUP(D169,'DB technologies'!$N$96:$Y$107,10,FALSE))</f>
        <v/>
      </c>
      <c r="AJ169" s="451" t="e">
        <f>VLOOKUP($C$160,'DB animal categories'!$C$68:$AN$80,27,FALSE)-VLOOKUP($C$160,'DB animal categories'!$C$68:$AN$80,26,FALSE)*VLOOKUP($C$160,'DB animal categories'!$C$68:$AN$80,25,FALSE)/24</f>
        <v>#N/A</v>
      </c>
      <c r="AK169" s="452" t="str">
        <f t="shared" si="22"/>
        <v/>
      </c>
      <c r="AL169" s="452" t="str">
        <f>IF(D169="","",IF(AI169=2,(('Calc (ex-animal)'!$G$38*'DB additional information '!$K$12/100*AH168/100*(1-VLOOKUP(D169,'DB technologies'!$N$96:$Y$107,9,FALSE)/100)*'Calc (ex-housing, ex-storage)'!F168/100+'Calc (ex-animal)'!$H$38*'DB additional information '!$L$12/100*AH168/100*(1-VLOOKUP(D169,'DB technologies'!$N$96:$Y$107,9,FALSE)/100)*'Calc (ex-housing, ex-storage)'!F168/100))/VLOOKUP($C$160,'DB animal categories'!$C$68:$AC$80,27,FALSE)*AJ169+I169+J169+K169,IF(AI169=1,('Calc (ex-animal)'!$H$38*AH168/100*'DB additional information '!$L$12/100*(1-VLOOKUP(D169,'DB technologies'!$N$96:$Y$107,9,FALSE)/100)*'Calc (ex-housing, ex-storage)'!F168/100)/VLOOKUP($C$160,'DB animal categories'!$C$68:$AC$80,27,FALSE)*AJ169,IF(AI169=4,('Calc (ex-animal)'!$G$38*'DB additional information '!$K$12/100+'Calc (ex-animal)'!$H$38*'DB additional information '!$L$12/100)*AH168/100*(1-VLOOKUP(D169,'DB technologies'!$N$96:$Y$107,9,FALSE)/100)*'Calc (ex-housing, ex-storage)'!F168/100*VLOOKUP(D169,'DB technologies'!$N$96:$Y$107,11,FALSE)/100/VLOOKUP($C$160,'DB animal categories'!$C$68:$AC$80,27,FALSE)*AJ169,0))))</f>
        <v/>
      </c>
      <c r="AM169" s="452" t="str">
        <f>IF(D169="","",IF(AI169=2,(('Calc (ex-animal)'!$G$38*(1-'DB additional information '!$K$12/100)*AH168/100*(1-VLOOKUP(D169,'DB technologies'!$N$96:$Y$107,8,FALSE)/100)*'Calc (ex-housing, ex-storage)'!F168/100+'Calc (ex-animal)'!$H$38*(1-'DB additional information '!$L$12/100)*AH168/100*(1-VLOOKUP(D169,'DB technologies'!$N$96:$Y$107,8,FALSE)/100)*'Calc (ex-housing, ex-storage)'!F168/100))/VLOOKUP($C$160,'DB animal categories'!$C$68:$AC$80,27,FALSE)*AJ169+M169+N169+O169,IF(AI169=1,('Calc (ex-animal)'!$H$38*(1-'DB additional information '!$L$12/100)*AH168/100*(1-VLOOKUP(D169,'DB technologies'!$N$96:$Y$107,8,FALSE)/100)*'Calc (ex-housing, ex-storage)'!F168/100)/VLOOKUP($C$160,'DB animal categories'!$C$68:$AC$80,27,FALSE)*AJ169,IF(AI169=4,('Calc (ex-animal)'!$G$38*(1-'DB additional information '!$K$12/100)+'Calc (ex-animal)'!$H$38*(1-'DB additional information '!$L$12/100))*AH168/100*(1-VLOOKUP(D169,'DB technologies'!$N$96:$Y$107,8,FALSE)/100)*'Calc (ex-housing, ex-storage)'!F168/100*VLOOKUP(D169,'DB technologies'!$N$96:$Y$107,11,FALSE)/100/VLOOKUP($C$160,'DB animal categories'!$C$68:$AC$80,27,FALSE)*AJ169,0))))</f>
        <v/>
      </c>
      <c r="AN169" s="452" t="str">
        <f t="shared" si="23"/>
        <v/>
      </c>
      <c r="AO169" s="184" t="str">
        <f>IF(D169="","",IF(AI169=2,(('Calc (ex-animal)'!$L$38*'Calc (ex-housing, ex-storage)'!F168/100+'Calc (ex-animal)'!$K$38*'Calc (ex-housing, ex-storage)'!F168/100))*AH168/100/VLOOKUP($C$160,'DB animal categories'!$C$68:$AC$80,27,FALSE)*AJ169+Q169+R169+S169-AC169,IF(AI169=1,('Calc (ex-animal)'!$L$38*'Calc (ex-housing, ex-storage)'!F168/100)*AH168/100/VLOOKUP($C$160,'DB animal categories'!$C$68:$AC$80,27,FALSE)*AJ169-'Calc (ex-housing, ex-storage)'!AC169,IF(AI169=4,('Calc (ex-animal)'!$L$38+'Calc (ex-animal)'!$K$38)*'Calc (ex-housing, ex-storage)'!F168/100*AH168/100*VLOOKUP(D169,'DB technologies'!$N$96:$Y$107,11,FALSE)/100/VLOOKUP($C$160,'DB animal categories'!$C$68:$AC$80,27,FALSE)*AJ169-AC169*VLOOKUP(D169,'DB technologies'!$N$96:$Y$107,11,FALSE)/100,0))))</f>
        <v/>
      </c>
      <c r="AP169" s="184" t="str">
        <f>IF(D169="","",IF(AO169&lt;-0.01,0,IF(AI169=2,(('Calc (ex-animal)'!$L$38*'Calc (ex-housing, ex-storage)'!F168/100+'Calc (ex-animal)'!$K$38*'Calc (ex-housing, ex-storage)'!F168/100))*AH168/100/VLOOKUP($C$160,'DB animal categories'!$C$68:$AC$80,27,FALSE)*AJ169+Q169+R169+S169-AC169,IF(AI169=1,('Calc (ex-animal)'!$L$38*'Calc (ex-housing, ex-storage)'!F168/100)*AH168/100/VLOOKUP($C$160,'DB animal categories'!$C$68:$AC$80,27,FALSE)*AJ169-'Calc (ex-housing, ex-storage)'!AC169,IF(AI169=4,('Calc (ex-animal)'!$L$38+'Calc (ex-animal)'!$K$38)*'Calc (ex-housing, ex-storage)'!F168/100*AH168/100*VLOOKUP(D169,'DB technologies'!$N$96:$Y$107,11,FALSE)/100/VLOOKUP($C$160,'DB animal categories'!$C$68:$AC$80,27,FALSE)*AJ169-AC169*VLOOKUP(D169,'DB technologies'!$N$96:$Y$107,11,FALSE)/100,0)))))</f>
        <v/>
      </c>
      <c r="AQ169" s="184" t="str">
        <f>IF(D169="","",IF(AI169=2,('Calc (ex-animal)'!$O$38*'Calc (ex-housing, ex-storage)'!F168/100+'Calc (ex-animal)'!$N$38*'Calc (ex-housing, ex-storage)'!F168/100)*AH168/100/VLOOKUP($C$160,'DB animal categories'!$C$68:$AC$80,27,FALSE)*AJ169+U169+V169+W169,IF(AI169=1,'Calc (ex-animal)'!$O$38*'Calc (ex-housing, ex-storage)'!F168/100*AH168/100/VLOOKUP($C$160,'DB animal categories'!$C$68:$AC$80,27,FALSE)*AJ169,IF(AI169=4,('Calc (ex-animal)'!$O$38+'Calc (ex-animal)'!$N$38)*'Calc (ex-housing, ex-storage)'!F168/100*AH168/100*VLOOKUP(D169,'DB technologies'!$N$96:$Y$107,11,FALSE)/100/VLOOKUP($C$160,'DB animal categories'!$C$68:$AC$80,27,FALSE)*AJ169,0))))</f>
        <v/>
      </c>
      <c r="AR169" s="184" t="str">
        <f>IF(D169="","",IF(AI169=2,('Calc (ex-animal)'!$R$38*'Calc (ex-housing, ex-storage)'!F168/100+'Calc (ex-animal)'!$Q$38*'Calc (ex-housing, ex-storage)'!F168/100)*AH168/100/VLOOKUP($C$160,'DB animal categories'!$C$68:$AC$80,27,FALSE)*AJ169+Y169+Z169+AA169,IF(AI169=1,'Calc (ex-animal)'!$R$38*'Calc (ex-housing, ex-storage)'!F168/100*AH168/100/VLOOKUP($C$160,'DB animal categories'!$C$68:$AC$80,27,FALSE)*AJ169,IF(AI169=4,('Calc (ex-animal)'!$R$38+'Calc (ex-animal)'!$Q$38)*'Calc (ex-housing, ex-storage)'!F168/100*AH168/100*VLOOKUP(D169,'DB technologies'!$N$96:$Y$107,11,FALSE)/100/VLOOKUP($C$160,'DB animal categories'!$C$68:$AC$80,27,FALSE)*AJ169,0))))</f>
        <v/>
      </c>
      <c r="AS169" s="183" t="str">
        <f>IF(D169="","",VLOOKUP(D169,'DB technologies'!$N$96:$Y$107,10,FALSE))</f>
        <v/>
      </c>
      <c r="AT169" s="452" t="str">
        <f t="shared" si="24"/>
        <v/>
      </c>
      <c r="AU169" s="452" t="str">
        <f>IF(D169="","",IF(AS169=2,0,IF(AS169=1,'Calc (ex-animal)'!$G$38*'DB additional information '!$K$12/100*AH168/100*(1-VLOOKUP(D169,'DB technologies'!$N$96:$Y$107,8,FALSE)/100)*'Calc (ex-housing, ex-storage)'!F168/100/VLOOKUP($C$160,'DB animal categories'!$C$68:$AC$80,27,FALSE)*AJ169+I169+J169+K169,IF(AS169=5,(('Calc (ex-animal)'!$G$38*'DB additional information '!$K$12/100+'Calc (ex-animal)'!$H$38*'DB additional information '!$L$12/100))*AH168/100*(1-VLOOKUP(D169,'DB technologies'!$N$96:$Y$107,9,FALSE)/100)*'Calc (ex-housing, ex-storage)'!F168/100/VLOOKUP($C$160,'DB animal categories'!$C$68:$AC$80,27,FALSE)*AJ169+I169+J169+K169,IF(AS169=3,('Calc (ex-animal)'!$G$38*'DB additional information '!$K$12/100+'Calc (ex-animal)'!$H$38*'DB additional information '!$L$12/100)*AH168/100*(1-VLOOKUP(D169,'DB technologies'!$N$96:$Y$107,9,FALSE)/100)*'Calc (ex-housing, ex-storage)'!F168/100/VLOOKUP($C$160,'DB animal categories'!$C$68:$AC$80,27,FALSE)*AJ169+I169+J169+K169,IF(AS169=4,('Calc (ex-animal)'!$G$38*'DB additional information '!$K$12/100+'Calc (ex-animal)'!$H$38*'DB additional information '!$L$12/100)*AH168/100*(1-VLOOKUP(D169,'DB technologies'!$N$96:$Y$107,9,FALSE)/100)*'Calc (ex-housing, ex-storage)'!F168/100*VLOOKUP(D169,'DB technologies'!$N$96:$Y$107,12,FALSE)/100/VLOOKUP($C$160,'DB animal categories'!$C$68:$AC$80,27,FALSE)*AJ169+I169+J169+K169,0))))))</f>
        <v/>
      </c>
      <c r="AV169" s="452" t="str">
        <f>IF(D169="","",IF(AS169=2,0,IF(AS169=1,'Calc (ex-animal)'!$G$38*(1-'DB additional information '!$K$12/100)*AH168/100*(1-VLOOKUP(D169,'DB technologies'!$N$96:$Y$107,8,FALSE)/100)*'Calc (ex-housing, ex-storage)'!F168/100/VLOOKUP($C$160,'DB animal categories'!$C$68:$AC$80,27,FALSE)*AJ169+M169+N169+O169,IF(AS169=5,('Calc (ex-animal)'!$G$38*(1-'DB additional information '!$K$12/100)+'Calc (ex-animal)'!$H$38*(1-'DB additional information '!$L$12/100))*AH168/100*(1-VLOOKUP(D169,'DB technologies'!$N$96:$Y$107,8,FALSE)/100)*'Calc (ex-housing, ex-storage)'!F168/100/VLOOKUP($C$160,'DB animal categories'!$C$68:$AC$80,27,FALSE)*AJ169+M169+N169+O169,IF(AS169=3,('Calc (ex-animal)'!$G$38*(1-'DB additional information '!$K$12/100)+'Calc (ex-animal)'!$H$38*(1-'DB additional information '!$L$12/100))*AH168/100*(1-VLOOKUP(D169,'DB technologies'!$N$96:$Y$107,8,FALSE)/100)*'Calc (ex-housing, ex-storage)'!F168/100/VLOOKUP($C$160,'DB animal categories'!$C$68:$AC$80,27,FALSE)*AJ169+M169+N169+O169,IF(AS169=4,('Calc (ex-animal)'!$G$38*(1-'DB additional information '!$K$12/100)+'Calc (ex-animal)'!$H$38*(1-'DB additional information '!$L$12/100))*AH168/100*(1-VLOOKUP(D169,'DB technologies'!$N$96:$Y$107,8,FALSE)/100)*'Calc (ex-housing, ex-storage)'!F168/100*VLOOKUP(D169,'DB technologies'!$N$96:$Y$107,12,FALSE)/100/VLOOKUP($C$160,'DB animal categories'!$C$68:$AC$80,27,FALSE)*AJ169+M169+N169+O169,0))))))</f>
        <v/>
      </c>
      <c r="AW169" s="452" t="str">
        <f t="shared" si="25"/>
        <v/>
      </c>
      <c r="AX169" s="184" t="str">
        <f>IF(D169="","",IF(AS169=2,0,IF(AS169=1,'Calc (ex-animal)'!$K$38*'Calc (ex-housing, ex-storage)'!F168/100*AH168/100/VLOOKUP($C$160,'DB animal categories'!$C$68:$AC$80,27,FALSE)*AJ169+Q169+R169+S169,IF(AS169=5,('Calc (ex-animal)'!$K$38+'Calc (ex-animal)'!$L$38)*AH168/100*'Calc (ex-housing, ex-storage)'!F168/100/VLOOKUP($C$160,'DB animal categories'!$C$68:$AC$80,27,FALSE)*AJ169+Q169+R169+S169-'Calc (ex-housing, ex-storage)'!AC169,IF(AS169=3,('Calc (ex-animal)'!$K$38+'Calc (ex-animal)'!$L$38)*AH168/100*'Calc (ex-housing, ex-storage)'!F168/100/VLOOKUP($C$160,'DB animal categories'!$C$68:$AC$80,27,FALSE)*AJ169+Q169+R169+S169-'Calc (ex-housing, ex-storage)'!AC169-AD169-AE169,IF(AI169=4,('Calc (ex-animal)'!$K$38+'Calc (ex-animal)'!$L$38)*AH168/100*'Calc (ex-housing, ex-storage)'!F168/100*VLOOKUP(D169,'DB technologies'!$N$96:$Y$107,12,FALSE)/100/VLOOKUP($C$160,'DB animal categories'!$C$68:$AC$80,27,FALSE)*AJ169+Q169+R169+S169-(VLOOKUP(D169,'DB technologies'!$N$96:$Y$107,12,FALSE)/100*AC169)-AD169-AE169,0))))))</f>
        <v/>
      </c>
      <c r="AY169" s="184" t="str">
        <f>IF(D169="","",IF(AS169=2,0,IF(AS169=1,'Calc (ex-animal)'!$N$38*AH168/100*'Calc (ex-housing, ex-storage)'!F168/100/VLOOKUP($C$160,'DB animal categories'!$C$68:$AC$80,27,FALSE)*AJ169+U169+V169+W169,IF(AS169=5,('Calc (ex-animal)'!$N$38+'Calc (ex-animal)'!$O$38)*AH168/100*'Calc (ex-housing, ex-storage)'!F168/100/VLOOKUP($C$160,'DB animal categories'!$C$68:$AC$80,27,FALSE)*AJ169+U169+V169+W169,IF(AS169=3,('Calc (ex-animal)'!$N$38+'Calc (ex-animal)'!$O$38)*AH168/100*'Calc (ex-housing, ex-storage)'!F168/100/VLOOKUP($C$160,'DB animal categories'!$C$68:$AC$80,27,FALSE)*AJ169+U169+V169+W169,IF(AS169=4,('Calc (ex-animal)'!$N$38+'Calc (ex-animal)'!$O$38)*AH168/100*'Calc (ex-housing, ex-storage)'!F168/100*VLOOKUP(D169,'DB technologies'!$N$96:$Y$107,12,FALSE)/100/VLOOKUP($C$160,'DB animal categories'!$C$68:$AC$80,27,FALSE)*AJ169+U169+V169+W169,0))))))</f>
        <v/>
      </c>
      <c r="AZ169" s="184" t="str">
        <f>IF(D169="","",IF(AS169=2,0,IF(AS169=1,'Calc (ex-animal)'!$Q$38*AH168/100*'Calc (ex-housing, ex-storage)'!F168/100/VLOOKUP($C$160,'DB animal categories'!$C$68:$AC$80,27,FALSE)*AJ169+Y169+Z169+AA169,IF(AS169=5,('Calc (ex-animal)'!$Q$38+'Calc (ex-animal)'!$R$38)*AH168/100*'Calc (ex-housing, ex-storage)'!F168/100/VLOOKUP($C$160,'DB animal categories'!$C$68:$AC$80,27,FALSE)*AJ169+Y169+Z169+AA169,IF(AS169=3,('Calc (ex-animal)'!$Q$38+'Calc (ex-animal)'!$R$38)*AH168/100*'Calc (ex-housing, ex-storage)'!F168/100/VLOOKUP($C$160,'DB animal categories'!$C$68:$AC$80,27,FALSE)*AJ169+Y169+Z169+AA169,IF(AS169=4,('Calc (ex-animal)'!$Q$38+'Calc (ex-animal)'!$R$38)*AH168/100*'Calc (ex-housing, ex-storage)'!F168/100*VLOOKUP(D169,'DB technologies'!$N$96:$Y$107,12,FALSE)/100/VLOOKUP($C$160,'DB animal categories'!$C$68:$AC$80,27,FALSE)*AJ169+Y169+Z169+AA169,0))))))</f>
        <v/>
      </c>
      <c r="BA169" s="506"/>
      <c r="BB169" s="506"/>
      <c r="BC169" s="506"/>
    </row>
    <row r="170" spans="1:55" ht="12" thickBot="1" x14ac:dyDescent="0.25">
      <c r="A170" s="684"/>
      <c r="B170" s="695"/>
      <c r="C170" s="252"/>
      <c r="D170" s="275" t="s">
        <v>58</v>
      </c>
      <c r="E170" s="276">
        <f>IF('Calc (ex-animal)'!F38=1,'Calc (ex-animal)'!E38,IF(F170&lt;=100,SUM(E160:E169),"ERROR"))</f>
        <v>0</v>
      </c>
      <c r="F170" s="288">
        <f>IF('Calc (ex-animal)'!F38=1,100,IF(SUM(F160:F169) &lt;=100,SUM(F160:F169),"ERROR, SUM&gt;100%"))</f>
        <v>0</v>
      </c>
      <c r="G170" s="504">
        <f>IF('Calc (ex-animal)'!$F$38=1,"",SUM(G160:G169))</f>
        <v>0</v>
      </c>
      <c r="H170" s="433">
        <f>IF('Calc (ex-animal)'!$F$38=1,"",SUM(H160:H169))</f>
        <v>0</v>
      </c>
      <c r="I170" s="433">
        <f>IF('Calc (ex-animal)'!$F$38=1,"",SUM(I160:I169))</f>
        <v>0</v>
      </c>
      <c r="J170" s="433">
        <f>IF('Calc (ex-animal)'!$F$38=1,"",SUM(J160:J169))</f>
        <v>0</v>
      </c>
      <c r="K170" s="433">
        <f>IF('Calc (ex-animal)'!$F$38=1,"",SUM(K160:K169))</f>
        <v>0</v>
      </c>
      <c r="L170" s="433">
        <f>IF('Calc (ex-animal)'!$F$38=1,"",SUM(L160:L169))</f>
        <v>0</v>
      </c>
      <c r="M170" s="470"/>
      <c r="N170" s="470"/>
      <c r="O170" s="470"/>
      <c r="P170" s="478">
        <f>IF(G170=0,0,IF('Calc (ex-animal)'!$F$38=1,"",IF(D170="","",SUM(H170:K170)/G170*100)))</f>
        <v>0</v>
      </c>
      <c r="Q170" s="470"/>
      <c r="R170" s="470"/>
      <c r="S170" s="470"/>
      <c r="T170" s="278">
        <f>IF('Calc (ex-animal)'!$F$38=1,"",SUM(T160:T169))</f>
        <v>0</v>
      </c>
      <c r="U170" s="433"/>
      <c r="V170" s="433"/>
      <c r="W170" s="433"/>
      <c r="X170" s="279">
        <f>IF('Calc (ex-animal)'!$F$38=1,"",SUM(X160:X169))</f>
        <v>0</v>
      </c>
      <c r="Y170" s="433"/>
      <c r="Z170" s="433"/>
      <c r="AA170" s="433"/>
      <c r="AB170" s="279">
        <f>IF('Calc (ex-animal)'!$F$38=1,"",SUM(AB160:AB169))</f>
        <v>0</v>
      </c>
      <c r="AC170" s="279">
        <f>IF('Calc (ex-animal)'!$F$38=1,"",SUM(AC160:AC169))</f>
        <v>0</v>
      </c>
      <c r="AD170" s="279">
        <f>IF('Calc (ex-animal)'!$F$38=1,"",SUM(AD160:AD169))</f>
        <v>0</v>
      </c>
      <c r="AE170" s="280">
        <f>IF('Calc (ex-animal)'!$F$38=1,"",SUM(AE160:AE169))</f>
        <v>0</v>
      </c>
      <c r="AJ170" s="450"/>
      <c r="AK170" s="450"/>
      <c r="AL170" s="450"/>
      <c r="AM170" s="450"/>
      <c r="AN170" s="450"/>
      <c r="AT170" s="450"/>
      <c r="AU170" s="450"/>
      <c r="AV170" s="450"/>
      <c r="AW170" s="450"/>
    </row>
    <row r="171" spans="1:55" x14ac:dyDescent="0.2">
      <c r="A171" s="684"/>
      <c r="B171" s="695"/>
      <c r="C171" s="250">
        <f>'Calc (ex-animal)'!D39</f>
        <v>0</v>
      </c>
      <c r="D171" s="1357"/>
      <c r="E171" s="1372"/>
      <c r="F171" s="746" t="str">
        <f>IF('Calc (ex-animal)'!$F$38=1,"",IF($C$171=0,"",IF(D171="","",E171/'Calc (ex-animal)'!$E$39*100)))</f>
        <v/>
      </c>
      <c r="G171" s="443" t="str">
        <f>IF($C$171=0,"",IF('Calc (ex-animal)'!$F$38=1,"",IF(D171="","",SUM(H171:O171))))</f>
        <v/>
      </c>
      <c r="H171" s="471" t="str">
        <f>IF('Calc (ex-animal)'!$F$38=1,"",IF(D171="","",(((VLOOKUP($C$171,'Calc (ex-animal)'!$D$38:$Y$42,6,FALSE)-VLOOKUP($C$171,'Calc (ex-animal)'!$D$38:$Y$42,17,FALSE))*F171/100*AG171/100))*VLOOKUP($C$171,'Calc (ex-animal)'!$D$38:$Y$42,7,FALSE)/100*(1-VLOOKUP(D171,'DB technologies'!$N$83:$Y$94,9,FALSE)/100)))</f>
        <v/>
      </c>
      <c r="I171" s="471" t="str">
        <f>IF(D171="","",((VLOOKUP(D171,'DB technologies'!$N$83:$Y$94,2,FALSE)*VLOOKUP($C$171,'DB animal categories'!$C$68:$AC$80,27,FALSE)*E171/1000*AG171/100)/VLOOKUP($C$171,'DB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'!$S$6/100*(1-VLOOKUP(D171,'DB technologies'!$N$83:$Y$94,9,FALSE)/100)))</f>
        <v/>
      </c>
      <c r="J171" s="472" t="str">
        <f>IF(D171="","",((VLOOKUP(D171,'DB technologies'!$N$83:$Y$94,3,FALSE)*VLOOKUP($C$171,'DB animal categories'!$C$68:$AC$80,27,FALSE)*E171/1000*AG171/100)/VLOOKUP($C$171,'DB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'!$S$7/100*(1-VLOOKUP(D171,'DB technologies'!$N$83:$Y$94,9,FALSE)/100)))</f>
        <v/>
      </c>
      <c r="K171" s="525" t="str">
        <f>IF(D171="","",((VLOOKUP(D171,'DB technologies'!$N$83:$Y$94,4,FALSE)*E171*AG171/100*'DB additional information '!$S$8/100*(1-VLOOKUP(D171,'DB technologies'!$N$83:$Y$94,9,FALSE)/100))/VLOOKUP($C$171,'DB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1" s="471" t="str">
        <f>IF('Calc (ex-animal)'!$F$38=1,"",IF(D171="","",(((VLOOKUP($C$171,'Calc (ex-animal)'!$D$38:$Y$42,6,FALSE)-VLOOKUP($C$171,'Calc (ex-animal)'!$D$38:$Y$42,17,FALSE))*F171/100*AG171/100))*(1-VLOOKUP($C$171,'Calc (ex-animal)'!$D$38:$Y$42,7,FALSE)/100)*(1-VLOOKUP(D171,'DB technologies'!$N$83:$V$94,8,FALSE)/100)))</f>
        <v/>
      </c>
      <c r="M171" s="472" t="str">
        <f>IF(D171="","",((VLOOKUP(D171,'DB technologies'!$N$83:$Y$94,2,FALSE)*VLOOKUP($C$171,'DB animal categories'!$C$68:$AC$80,27,FALSE)*E171/1000*AG171/100)/VLOOKUP($C$171,'DB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'!$S$6/100)*(1-VLOOKUP(D171,'DB technologies'!$N$83:$Y$94,9,FALSE)/100))</f>
        <v/>
      </c>
      <c r="N171" s="472" t="str">
        <f>IF(D171="","",((VLOOKUP(D171,'DB technologies'!$N$83:$Y$94,3,FALSE)*VLOOKUP($C$171,'DB animal categories'!$C$68:$AC$80,27,FALSE)*E171/1000*AG171/100)/VLOOKUP($C$171,'DB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'!$S$7/100)*(1-VLOOKUP(D171,'DB technologies'!$N$83:$Y$94,9,FALSE)/100))</f>
        <v/>
      </c>
      <c r="O171" s="471" t="str">
        <f>IF(D171="","",((VLOOKUP(D171,'DB technologies'!$N$83:$Y$94,4,FALSE)*E171*AG171/100*(1-'DB additional information '!$S$8/100)*(1-VLOOKUP(D171,'DB technologies'!$N$83:$Y$94,8,FALSE)/100))/VLOOKUP($C$171,'DB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1" s="443" t="str">
        <f>IF(G171=0,0,IF(E171="","",IF(F171="","",IF($C$171=0,"",IF(D171="","",SUM(H171:K171)/G171*100)))))</f>
        <v/>
      </c>
      <c r="Q171" s="473" t="str">
        <f>IF(D171="","",(VLOOKUP(D171,'DB technologies'!$N$83:$Y$94,2,FALSE)*'DB additional information '!$S$6/100*'DB additional information '!$T$6*VLOOKUP($C$171,'DB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1" s="473" t="str">
        <f>IF(D171="","",(VLOOKUP(D171,'DB technologies'!$N$83:$Y$94,3,FALSE)*'DB additional information '!$S$7/100*'DB additional information '!$T$7*VLOOKUP($C$171,'DB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1" s="490" t="str">
        <f>IF(D171="","",(VLOOKUP(D171,'DB technologies'!$N$83:$Y$94,4,FALSE)*('DB additional information '!$S$8/100*'DB additional information '!$T$8*E171/1000/1000*AG171/100)))</f>
        <v/>
      </c>
      <c r="T171" s="263" t="str">
        <f>IF($C$171=0,"",IF('Calc (ex-animal)'!$F$38=1,"",IF(D171="","",((VLOOKUP($C$171,'Calc (ex-animal)'!$D$38:$Y$42,10,FALSE)-VLOOKUP($C$171,'Calc (ex-animal)'!$D$38:$Y$42,18,FALSE))*F171/100*AG171/100+Q171+R171+S171)-AC171-AD171-AE171)))</f>
        <v/>
      </c>
      <c r="U171" s="474" t="str">
        <f>IF(D171="","",(VLOOKUP(D171,'DB technologies'!$N$83:$Y$94,2,FALSE)*'DB additional information '!$S$6/100*'DB additional information '!$U$6*VLOOKUP($C$171,'DB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1" s="420" t="str">
        <f>IF(D171="","",(VLOOKUP(D171,'DB technologies'!$N$83:$Y$94,3,FALSE)*'DB additional information '!$S$7/100*'DB additional information '!$U$7*VLOOKUP($C$171,'DB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1" s="415" t="str">
        <f>IF(D171="","",(VLOOKUP(D171,'DB technologies'!$N$83:$Y$94,4,FALSE)*('DB additional information '!$S$8/100*'DB additional information '!$U$8*E171/1000/1000*AG171/100)))</f>
        <v/>
      </c>
      <c r="X171" s="259" t="str">
        <f>IF($C$171=0,"",IF('Calc (ex-animal)'!$F$38=1,"",IF(D171="","",((VLOOKUP($C$171,'Calc (ex-animal)'!$D$38:$Y$42,13,FALSE)-VLOOKUP($C$171,'Calc (ex-animal)'!$D$38:$Y$42,19,FALSE))*F171/100*AG171/100+U171+V171+W171))))</f>
        <v/>
      </c>
      <c r="Y171" s="420" t="str">
        <f>IF(D171="","",(VLOOKUP(D171,'DB technologies'!$N$83:$Y$94,2,FALSE)*'DB additional information '!$S$6/100*'DB additional information '!$V$6*VLOOKUP($C$171,'DB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1" s="420" t="str">
        <f>IF(D171="","",(VLOOKUP(D171,'DB technologies'!$N$83:$Y$94,3,FALSE)*'DB additional information '!$S$7/100*'DB additional information '!$V$7*VLOOKUP($C$171,'DB animal categories'!$C$68:$AC$80,27,FALSE)*E171/1000/1000*AG171/100)/VLOOKUP($C$171,'DB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1" s="420" t="str">
        <f>IF(D171="","",(VLOOKUP(D171,'DB technologies'!$N$83:$Y$94,4,FALSE)*('DB additional information '!$S$8/100*'DB additional information '!$V$8*E171/1000/1000*AG171/100)))</f>
        <v/>
      </c>
      <c r="AB171" s="259" t="str">
        <f>IF($C$171=0,"",IF('Calc (ex-animal)'!$F$38=1,"",IF(D171="","",((VLOOKUP($C$171,'Calc (ex-animal)'!$D$38:$Y$42,16,FALSE)-VLOOKUP($C$171,'Calc (ex-animal)'!$D$38:$Y$42,20,FALSE))*F171/100*AG171/100+Y171+Z171+AA171))))</f>
        <v/>
      </c>
      <c r="AC171" s="259" t="str">
        <f>IF($C$171=0,"",IF('Calc (ex-animal)'!$F$38=1,"",IF(D171="","",VLOOKUP($C$171,'Calc (ex-animal)'!$D$38:$Y$42,9,FALSE)*AG171/100/VLOOKUP($C$171,'DB animal categories'!$C$68:$AC$80,27,FALSE)*(VLOOKUP($C$171,'DB animal categories'!$C$68:$AC$80,27,FALSE)-VLOOKUP($C$171,'DB animal categories'!$C$68:$AC$80,25,FALSE)*VLOOKUP($C$171,'DB animal categories'!$C$68:$AC$80,26,FALSE)/24)*F171/100*VLOOKUP(D171,'DB technologies'!$N$83:$R$94,5,FALSE)/100)))</f>
        <v/>
      </c>
      <c r="AD171" s="259" t="str">
        <f>IF($C$171=0,"",IF('Calc (ex-animal)'!$F$38=1,"",IF(D171="","",VLOOKUP($C$171,'Calc (ex-animal)'!$D$38:$Y$42,10,FALSE)*AG171/100/VLOOKUP($C$171,'DB animal categories'!$C$68:$AC$80,27,FALSE)*(VLOOKUP($C$171,'DB animal categories'!$C$68:$AC$80,27,FALSE)-VLOOKUP($C$171,'DB animal categories'!$C$68:$AC$80,25,FALSE)*VLOOKUP($C$171,'DB animal categories'!$C$68:$AC$80,26,FALSE)/24)*F171/100*VLOOKUP(D171,'DB technologies'!$N$83:$Y$94,6,FALSE)/100)))</f>
        <v/>
      </c>
      <c r="AE171" s="260" t="str">
        <f>IF($C$171=0,"",IF('Calc (ex-animal)'!$F$38=1,"",IF(D171="","",VLOOKUP($C$171,'Calc (ex-animal)'!$D$38:$Y$42,10,FALSE)*AG171/100/VLOOKUP($C$171,'DB animal categories'!$C$68:$AC$80,27,FALSE)*(VLOOKUP($C$171,'DB animal categories'!$C$68:$AC$80,27,FALSE)-VLOOKUP($C$171,'DB animal categories'!$C$68:$AC$80,25,FALSE)*VLOOKUP($C$171,'DB animal categories'!$C$68:$AC$80,26,FALSE)/24)*F171/100*VLOOKUP(D171,'DB technologies'!$N$83:$Y$94,7,FALSE)/100)))</f>
        <v/>
      </c>
      <c r="AF171" s="43"/>
      <c r="AG171" s="1377"/>
      <c r="AH171" s="1378"/>
      <c r="AI171" s="185" t="str">
        <f>IF(D171="","",VLOOKUP(D171,'DB technologies'!$N$82:$Y$94,10,FALSE))</f>
        <v/>
      </c>
      <c r="AJ171" s="482" t="e">
        <f>VLOOKUP($C$171,'DB animal categories'!$C$68:$AN$80,27,FALSE)-VLOOKUP($C$171,'DB animal categories'!$C$68:$AN$80,26,FALSE)*VLOOKUP($C$171,'DB animal categories'!$C$68:$AN$80,25,FALSE)/24</f>
        <v>#N/A</v>
      </c>
      <c r="AK171" s="453" t="str">
        <f>IF(AI171="","",AL171+AM171)</f>
        <v/>
      </c>
      <c r="AL171" s="453" t="str">
        <f>IF(D171="","",IF(AI171=2,(('Calc (ex-animal)'!$G$39*'DB additional information '!$K$12/100*AG171/100*(1-VLOOKUP(D171,'DB technologies'!$N$82:$Y$94,9,FALSE)/100)*'Calc (ex-housing, ex-storage)'!F171/100+'Calc (ex-animal)'!$H$39*'DB additional information '!$L$12/100*AG171/100*(1-VLOOKUP(D171,'DB technologies'!$N$82:$Y$94,9,FALSE)/100)*'Calc (ex-housing, ex-storage)'!F171/100))/VLOOKUP($C$171,'DB animal categories'!$C$68:$AC$80,27,FALSE)*AJ171+I171+J171+K171,IF(AI171=1,('Calc (ex-animal)'!$H$39*AG171/100*'DB additional information '!$L$12/100*(1-VLOOKUP(D171,'DB technologies'!$N$82:$Y$94,9,FALSE)/100)*'Calc (ex-housing, ex-storage)'!F171/100)/VLOOKUP($C$171,'DB animal categories'!$C$68:$AC$80,27,FALSE)*AJ171,IF(AI171=4,('Calc (ex-animal)'!$G$39*'DB additional information '!$K$12/100+'Calc (ex-animal)'!$H$39*'DB additional information '!$L$12/100)*AG171/100*(1-VLOOKUP(D171,'DB technologies'!$N$82:$Y$94,9,FALSE)/100)*'Calc (ex-housing, ex-storage)'!F171/100*VLOOKUP(D171,'DB technologies'!$N$82:$Y$94,11,FALSE)/100/VLOOKUP($C$171,'DB animal categories'!$C$68:$AC$80,27,FALSE)*AJ171,0))))</f>
        <v/>
      </c>
      <c r="AM171" s="453" t="str">
        <f>IF(D171="","",IF(AI171=2,(('Calc (ex-animal)'!$G$39*(1-'DB additional information '!$K$12/100)*AG171/100*(1-VLOOKUP(D171,'DB technologies'!$N$82:$Y$94,8,FALSE)/100)*'Calc (ex-housing, ex-storage)'!F171/100+'Calc (ex-animal)'!$H$39*(1-'DB additional information '!$L$12/100)*AG171/100*(1-VLOOKUP(D171,'DB technologies'!$N$82:$Y$94,8,FALSE)/100)*'Calc (ex-housing, ex-storage)'!F171/100))/VLOOKUP($C$171,'DB animal categories'!$C$68:$AC$80,27,FALSE)*AJ171+M171+N171+O171,IF(AI171=1,('Calc (ex-animal)'!$H$39*(1-'DB additional information '!$L$12/100)*AG171/100*(1-VLOOKUP(D171,'DB technologies'!$N$82:$Y$94,8,FALSE)/100)*'Calc (ex-housing, ex-storage)'!F171/100)/VLOOKUP($C$171,'DB animal categories'!$C$68:$AC$80,27,FALSE)*AJ171,IF(AI171=4,('Calc (ex-animal)'!$G$39*(1-'DB additional information '!$K$12/100)+'Calc (ex-animal)'!$H$39*(1-'DB additional information '!$L$12/100))*AG171/100*(1-VLOOKUP(D171,'DB technologies'!$N$82:$Y$94,8,FALSE)/100)*'Calc (ex-housing, ex-storage)'!F171/100*VLOOKUP(D171,'DB technologies'!$N$82:$Y$94,11,FALSE)/100/VLOOKUP($C$171,'DB animal categories'!$C$68:$AC$80,27,FALSE)*AJ171,0))))</f>
        <v/>
      </c>
      <c r="AN171" s="453" t="str">
        <f>IF(AI171="","",IF(AL171=0,0,AL171/AK171*100))</f>
        <v/>
      </c>
      <c r="AO171" s="180" t="str">
        <f>IF(D171="","",IF(AI171=2,(('Calc (ex-animal)'!$L$39*'Calc (ex-housing, ex-storage)'!F171/100+'Calc (ex-animal)'!$K$39*'Calc (ex-housing, ex-storage)'!F171/100))*AG171/100/VLOOKUP($C$171,'DB animal categories'!$C$68:$AC$80,27,FALSE)*AJ171+Q171+R171+S171-AC171,IF(AI171=1,('Calc (ex-animal)'!$L$39*'Calc (ex-housing, ex-storage)'!F171/100)*AG171/100/VLOOKUP($C$171,'DB animal categories'!$C$68:$AC$80,27,FALSE)*AJ171-'Calc (ex-housing, ex-storage)'!AC171,IF(AI171=4,('Calc (ex-animal)'!$L$39+'Calc (ex-animal)'!$K$39)*'Calc (ex-housing, ex-storage)'!F171/100*AG171/100*VLOOKUP(D171,'DB technologies'!$N$82:$Y$94,11,FALSE)/100/VLOOKUP($C$171,'DB animal categories'!$C$68:$AC$80,27,FALSE)*AJ171-AC171*VLOOKUP(D171,'DB technologies'!$N$82:$Y$94,11,FALSE)/100,0))))</f>
        <v/>
      </c>
      <c r="AP171" s="180" t="str">
        <f>IF(D171="","",IF(AO171&lt;-0.01,0,IF(AI171=2,(('Calc (ex-animal)'!$L$39*'Calc (ex-housing, ex-storage)'!F171/100+'Calc (ex-animal)'!$K$39*'Calc (ex-housing, ex-storage)'!F171/100))*AG171/100/VLOOKUP($C$171,'DB animal categories'!$C$68:$AC$80,27,FALSE)*AJ171+Q171+R171+S171-AC171,IF(AI171=1,('Calc (ex-animal)'!$L$39*'Calc (ex-housing, ex-storage)'!F171/100)*AG171/100/VLOOKUP($C$171,'DB animal categories'!$C$68:$AC$80,27,FALSE)*AJ171-'Calc (ex-housing, ex-storage)'!AC171,IF(AI171=4,('Calc (ex-animal)'!$L$39+'Calc (ex-animal)'!$K$39)*'Calc (ex-housing, ex-storage)'!F171/100*AG171/100*VLOOKUP(D171,'DB technologies'!$N$82:$Y$94,11,FALSE)/100/VLOOKUP($C$171,'DB animal categories'!$C$68:$AC$80,27,FALSE)*AJ171-AC171*VLOOKUP(D171,'DB technologies'!$N$82:$Y$94,11,FALSE)/100,0)))))</f>
        <v/>
      </c>
      <c r="AQ171" s="180" t="str">
        <f>IF(D171="","",IF(AI171=2,('Calc (ex-animal)'!$O$39*'Calc (ex-housing, ex-storage)'!F171/100+'Calc (ex-animal)'!$N$39*'Calc (ex-housing, ex-storage)'!F171/100)*AG171/100/VLOOKUP($C$171,'DB animal categories'!$C$68:$AC$80,27,FALSE)*AJ171+U171+V171+W171,IF(AI171=1,'Calc (ex-animal)'!$O$39*'Calc (ex-housing, ex-storage)'!F171/100*AG171/100/VLOOKUP($C$171,'DB animal categories'!$C$68:$AC$80,27,FALSE)*AJ171,IF(AI171=4,('Calc (ex-animal)'!$O$39+'Calc (ex-animal)'!$N$39)*'Calc (ex-housing, ex-storage)'!F171/100*AG171/100*VLOOKUP(D171,'DB technologies'!$N$82:$Y$94,11,FALSE)/100/VLOOKUP($C$171,'DB animal categories'!$C$68:$AC$80,27,FALSE)*AJ171,0))))</f>
        <v/>
      </c>
      <c r="AR171" s="180" t="str">
        <f>IF(D171="","",IF(AI171=2,('Calc (ex-animal)'!$R$39*'Calc (ex-housing, ex-storage)'!F171/100+'Calc (ex-animal)'!$Q$39*'Calc (ex-housing, ex-storage)'!F171/100)*AG171/100/VLOOKUP($C$171,'DB animal categories'!$C$68:$AC$80,27,FALSE)*AJ171+Y171+Z171+AA171,IF(AI171=1,'Calc (ex-animal)'!$R$39*'Calc (ex-housing, ex-storage)'!F171/100*AG171/100/VLOOKUP($C$171,'DB animal categories'!$C$68:$AC$80,27,FALSE)*AJ171,IF(AI171=4,('Calc (ex-animal)'!$R$39+'Calc (ex-animal)'!$Q$39)*'Calc (ex-housing, ex-storage)'!F171/100*AG171/100*VLOOKUP(D171,'DB technologies'!$N$82:$Y$94,11,FALSE)/100/VLOOKUP($C$171,'DB animal categories'!$C$68:$AC$80,27,FALSE)*AJ171,0))))</f>
        <v/>
      </c>
      <c r="AS171" s="179" t="str">
        <f>IF(D171="","",VLOOKUP(D171,'DB technologies'!$N$82:$Y$94,10,FALSE))</f>
        <v/>
      </c>
      <c r="AT171" s="453" t="str">
        <f>IF(AS171="","",AU171+AV171)</f>
        <v/>
      </c>
      <c r="AU171" s="453" t="str">
        <f>IF(D171="","",IF(AS171=2,0,IF(AS171=1,'Calc (ex-animal)'!$G$39*'DB additional information '!$K$12/100*AG171/100*(1-VLOOKUP(D171,'DB technologies'!$N$82:$Y$94,8,FALSE)/100)*'Calc (ex-housing, ex-storage)'!F171/100/VLOOKUP($C$171,'DB animal categories'!$C$68:$AC$80,27,FALSE)*AJ171+I171+J171+K171,IF(AS171=5,(('Calc (ex-animal)'!$G$39*'DB additional information '!$K$12/100+'Calc (ex-animal)'!$H$39*'DB additional information '!$L$12/100))*AG171/100*(1-VLOOKUP(D171,'DB technologies'!$N$82:$Y$94,9,FALSE)/100)*'Calc (ex-housing, ex-storage)'!F171/100/VLOOKUP($C$171,'DB animal categories'!$C$68:$AC$80,27,FALSE)*AJ171+I171+J171+K171,IF(AS171=3,('Calc (ex-animal)'!$G$39*'DB additional information '!$K$12/100+'Calc (ex-animal)'!$H$39*'DB additional information '!$L$12/100)*AG171/100*(1-VLOOKUP(D171,'DB technologies'!$N$82:$Y$94,9,FALSE)/100)*'Calc (ex-housing, ex-storage)'!F171/100/VLOOKUP($C$171,'DB animal categories'!$C$68:$AC$80,27,FALSE)*AJ171+I171+J171+K171,IF(AS171=4,('Calc (ex-animal)'!$G$39*'DB additional information '!$K$12/100+'Calc (ex-animal)'!$H$39*'DB additional information '!$L$12/100)*AG171/100*(1-VLOOKUP(D171,'DB technologies'!$N$82:$Y$94,9,FALSE)/100)*'Calc (ex-housing, ex-storage)'!F171/100*VLOOKUP(D171,'DB technologies'!$N$82:$Y$94,12,FALSE)/100/VLOOKUP($C$171,'DB animal categories'!$C$68:$AC$80,27,FALSE)*AJ171+I171+J171+K171,0))))))</f>
        <v/>
      </c>
      <c r="AV171" s="453" t="str">
        <f>IF(D171="","",IF(AS171=2,0,IF(AS171=1,'Calc (ex-animal)'!$G$39*(1-'DB additional information '!$K$12/100)*AG171/100*(1-VLOOKUP(D171,'DB technologies'!$N$82:$Y$94,8,FALSE)/100)*'Calc (ex-housing, ex-storage)'!F171/100/VLOOKUP($C$171,'DB animal categories'!$C$68:$AC$80,27,FALSE)*AJ171+M171+N171+O171,IF(AS171=5,('Calc (ex-animal)'!$G$39*(1-'DB additional information '!$K$12/100)+'Calc (ex-animal)'!$H$39*(1-'DB additional information '!$L$12/100))*AG171/100*(1-VLOOKUP(D171,'DB technologies'!$N$82:$Y$94,8,FALSE)/100)*'Calc (ex-housing, ex-storage)'!F171/100/VLOOKUP($C$171,'DB animal categories'!$C$68:$AC$80,27,FALSE)*AJ171+M171+N171+O171,IF(AS171=3,('Calc (ex-animal)'!$G$39*(1-'DB additional information '!$K$12/100)+'Calc (ex-animal)'!$H$39*(1-'DB additional information '!$L$12/100))*AG171/100*(1-VLOOKUP(D171,'DB technologies'!$N$82:$Y$94,8,FALSE)/100)*'Calc (ex-housing, ex-storage)'!F171/100/VLOOKUP($C$171,'DB animal categories'!$C$68:$AC$80,27,FALSE)*AJ171+M171+N171+O171,IF(AS171=4,('Calc (ex-animal)'!$G$39*(1-'DB additional information '!$K$12/100)+'Calc (ex-animal)'!$H$39*(1-'DB additional information '!$L$12/100))*AG171/100*(1-VLOOKUP(D171,'DB technologies'!$N$82:$Y$94,8,FALSE)/100)*'Calc (ex-housing, ex-storage)'!F171/100*VLOOKUP(D171,'DB technologies'!$N$82:$Y$94,12,FALSE)/100/VLOOKUP($C$171,'DB animal categories'!$C$68:$AC$80,27,FALSE)*AJ171+M171+N171+O171,0))))))</f>
        <v/>
      </c>
      <c r="AW171" s="453" t="str">
        <f>IF(AS171="","",IF(AU171=0,0,AU171/AT171*100))</f>
        <v/>
      </c>
      <c r="AX171" s="180" t="str">
        <f>IF(D171="","",IF(AS171=2,0,IF(AS171=1,'Calc (ex-animal)'!$K$39*'Calc (ex-housing, ex-storage)'!F171/100*AG171/100/VLOOKUP($C$171,'DB animal categories'!$C$68:$AC$80,27,FALSE)*AJ171+Q171+R171+S171,IF(AS171=5,('Calc (ex-animal)'!$K$39+'Calc (ex-animal)'!$L$39)*AG171/100*'Calc (ex-housing, ex-storage)'!F171/100/VLOOKUP($C$171,'DB animal categories'!$C$68:$AC$80,27,FALSE)*AJ171+Q171+R171+S171-'Calc (ex-housing, ex-storage)'!AC171,IF(AS171=3,('Calc (ex-animal)'!$K$39+'Calc (ex-animal)'!$L$39)*AG171/100*'Calc (ex-housing, ex-storage)'!F171/100/VLOOKUP($C$171,'DB animal categories'!$C$68:$AC$80,27,FALSE)*AJ171+Q171+R171+S171-'Calc (ex-housing, ex-storage)'!AC171-AD171-AE171,IF(AI171=4,('Calc (ex-animal)'!$K$39+'Calc (ex-animal)'!$L$39)*AG171/100*'Calc (ex-housing, ex-storage)'!F171/100*VLOOKUP(D171,'DB technologies'!$N$82:$Y$94,12,FALSE)/100/VLOOKUP($C$171,'DB animal categories'!$C$68:$AC$80,27,FALSE)*AJ171+Q171+R171+S171-(VLOOKUP(D171,'DB technologies'!$N$82:$Y$94,12,FALSE)/100*AC171)-AD171-AE171,0))))))</f>
        <v/>
      </c>
      <c r="AY171" s="180" t="str">
        <f>IF(D171="","",IF(AS171=2,0,IF(AS171=1,'Calc (ex-animal)'!$N$39*AG171/100*'Calc (ex-housing, ex-storage)'!F171/100/VLOOKUP($C$171,'DB animal categories'!$C$68:$AC$80,27,FALSE)*AJ171+U171+V171+W171,IF(AS171=5,('Calc (ex-animal)'!$N$39+'Calc (ex-animal)'!$O$39)*AG171/100*'Calc (ex-housing, ex-storage)'!F171/100/VLOOKUP($C$171,'DB animal categories'!$C$68:$AC$80,27,FALSE)*AJ171+U171+V171+W171,IF(AS171=3,('Calc (ex-animal)'!$N$39+'Calc (ex-animal)'!$O$39)*AG171/100*'Calc (ex-housing, ex-storage)'!F171/100/VLOOKUP($C$171,'DB animal categories'!$C$68:$AC$80,27,FALSE)*AJ171+U171+V171+W171,IF(AS171=4,('Calc (ex-animal)'!$N$39+'Calc (ex-animal)'!$O$39)*AG171/100*'Calc (ex-housing, ex-storage)'!F171/100*VLOOKUP(D171,'DB technologies'!$N$82:$Y$94,12,FALSE)/100/VLOOKUP($C$171,'DB animal categories'!$C$68:$AC$80,27,FALSE)*AJ171+U171+V171+W171,0))))))</f>
        <v/>
      </c>
      <c r="AZ171" s="180" t="str">
        <f>IF(D171="","",IF(AS171=2,0,IF(AS171=1,'Calc (ex-animal)'!$Q$39*AG171/100*'Calc (ex-housing, ex-storage)'!F171/100/VLOOKUP($C$171,'DB animal categories'!$C$68:$AC$80,27,FALSE)*AJ171+Y171+Z171+AA171,IF(AS171=5,('Calc (ex-animal)'!$Q$39+'Calc (ex-animal)'!$R$39)*AG171/100*'Calc (ex-housing, ex-storage)'!F171/100/VLOOKUP($C$171,'DB animal categories'!$C$68:$AC$80,27,FALSE)*AJ171+Y171+Z171+AA171,IF(AS171=3,('Calc (ex-animal)'!$Q$39+'Calc (ex-animal)'!$R$39)*AG171/100*'Calc (ex-housing, ex-storage)'!F171/100/VLOOKUP($C$171,'DB animal categories'!$C$68:$AC$80,27,FALSE)*AJ171+Y171+Z171+AA171,IF(AS171=4,('Calc (ex-animal)'!$Q$39+'Calc (ex-animal)'!$R$39)*AG171/100*'Calc (ex-housing, ex-storage)'!F171/100*VLOOKUP(D171,'DB technologies'!$N$82:$Y$94,12,FALSE)/100/VLOOKUP($C$171,'DB animal categories'!$C$68:$AC$80,27,FALSE)*AJ171+Y171+Z171+AA171,0))))))</f>
        <v/>
      </c>
      <c r="BA171" s="506"/>
      <c r="BB171" s="506"/>
      <c r="BC171" s="506"/>
    </row>
    <row r="172" spans="1:55" x14ac:dyDescent="0.2">
      <c r="A172" s="684"/>
      <c r="B172" s="695"/>
      <c r="C172" s="251"/>
      <c r="D172" s="1367"/>
      <c r="E172" s="1373"/>
      <c r="F172" s="692" t="str">
        <f>IF('Calc (ex-animal)'!$F$9=1,"",IF($C$152=0,"",IF(D172="","",E172/'Calc (ex-animal)'!$E$32*100)))</f>
        <v/>
      </c>
      <c r="G172" s="438" t="str">
        <f>IF($C$171=0,"",IF('Calc (ex-animal)'!$F$38=1,"",IF(D172="","",SUM(H172:O172))))</f>
        <v/>
      </c>
      <c r="H172" s="423" t="str">
        <f>IF('Calc (ex-animal)'!$F$38=1,"",IF(D172="","",(((VLOOKUP($C$171,'Calc (ex-animal)'!$D$38:$Y$42,6,FALSE)-VLOOKUP($C$171,'Calc (ex-animal)'!$D$38:$Y$42,17,FALSE))*F171/100*AH171/100))*VLOOKUP($C$171,'Calc (ex-animal)'!$D$38:$Y$42,7,FALSE)/100*(1-VLOOKUP(D172,'DB technologies'!$N$96:$Y$107,9,FALSE)/100)))</f>
        <v/>
      </c>
      <c r="I172" s="423" t="str">
        <f>IF(D172="","",((VLOOKUP(D172,'DB technologies'!$N$96:$Y$107,2,FALSE)*VLOOKUP($C$171,'DB animal categories'!$C$68:$AC$80,27,FALSE)*F171/1000*AH171/100)/VLOOKUP($C$171,'DB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'!$S$6/100*(1-VLOOKUP(D172,'DB technologies'!$N$96:$Y$107,9,FALSE)/100)))</f>
        <v/>
      </c>
      <c r="J172" s="434" t="str">
        <f>IF(D172="","",((VLOOKUP(D172,'DB technologies'!$N$96:$Y$107,3,FALSE)*VLOOKUP($C$171,'DB animal categories'!$C$68:$AC$80,27,FALSE)*E171/1000*AH171/100)/VLOOKUP($C$171,'DB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'!$S$7/100*(1-VLOOKUP(D172,'DB technologies'!$N$96:$Y$107,9,FALSE)/100)))</f>
        <v/>
      </c>
      <c r="K172" s="526" t="str">
        <f>IF(D172="","",((VLOOKUP(D172,'DB technologies'!$N$96:$Y$107,4,FALSE)*E171*AH171/100*'DB additional information '!$S$8/100*(1-VLOOKUP(D172,'DB technologies'!$N$96:$Y$107,9,FALSE)/100))/VLOOKUP($C$171,'DB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2" s="423" t="str">
        <f>IF('Calc (ex-animal)'!$F$38=1,"",IF(D172="","",(((VLOOKUP($C$171,'Calc (ex-animal)'!$D$38:$Y$42,6,FALSE)-VLOOKUP($C$171,'Calc (ex-animal)'!$D$38:$Y$42,17,FALSE))*F171/100*AH171/100))*(1-VLOOKUP($C$171,'Calc (ex-animal)'!$D$38:$Y$42,7,FALSE)/100)*(1-VLOOKUP(D172,'DB technologies'!$N$96:$V$107,8,FALSE)/100)))</f>
        <v/>
      </c>
      <c r="M172" s="434" t="str">
        <f>IF(D172="","",((VLOOKUP(D172,'DB technologies'!$N$96:$Y$107,2,FALSE)*VLOOKUP($C$171,'DB animal categories'!$C$68:$AC$80,27,FALSE)*E171/1000*AH171/100)/VLOOKUP($C$171,'DB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'!$S$6/100)*(1-VLOOKUP(D172,'DB technologies'!$N$96:$Y$107,9,FALSE)/100))</f>
        <v/>
      </c>
      <c r="N172" s="434" t="str">
        <f>IF(D172="","",((VLOOKUP(D172,'DB technologies'!$N$96:$Y$107,3,FALSE)*VLOOKUP($C$171,'DB animal categories'!$C$68:$AC$80,27,FALSE)*E171/1000*AH171/100)/VLOOKUP($C$171,'DB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'!$S$7/100)*(1-VLOOKUP(D172,'DB technologies'!$N$96:$Y$107,9,FALSE)/100))</f>
        <v/>
      </c>
      <c r="O172" s="423" t="str">
        <f>IF(D172="","",((VLOOKUP(D172,'DB technologies'!$N$96:$Y$107,4,FALSE)*E171*AH171/100*(1-'DB additional information '!$S$8/100)*(1-VLOOKUP(D172,'DB technologies'!$N$96:$Y$107,8,FALSE)/100))/VLOOKUP($C$171,'DB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2" s="438" t="str">
        <f>IF(G172=0,0,IF(E171="","",IF(F171="","",IF($C$171=0,"",IF(D172="","",SUM(H172:K172)/G172*100)))))</f>
        <v/>
      </c>
      <c r="Q172" s="416" t="str">
        <f>IF(D172="","",(VLOOKUP(D172,'DB technologies'!$N$96:$Y$107,2,FALSE)*'DB additional information '!$S$6/100*'DB additional information '!$T$6*VLOOKUP($C$171,'DB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2" s="416" t="str">
        <f>IF(D172="","",(VLOOKUP(D172,'DB technologies'!$N$96:$Y$107,3,FALSE)*'DB additional information '!$S$7/100*'DB additional information '!$T$7*VLOOKUP($C$171,'DB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2" s="491" t="str">
        <f>IF(D172="","",(VLOOKUP(D172,'DB technologies'!$N$96:$Y$107,4,FALSE)*('DB additional information '!$S$8/100*'DB additional information '!$T$8*E171/1000/1000*AH171/100)))</f>
        <v/>
      </c>
      <c r="T172" s="264" t="str">
        <f>IF($C$171=0,"",IF('Calc (ex-animal)'!$F$38=1,"",IF(D172="","",((VLOOKUP($C$171,'Calc (ex-animal)'!$D$38:$Y$42,10,FALSE)-VLOOKUP($C$171,'Calc (ex-animal)'!$D$38:$Y$42,18,FALSE))*F171/100*AH171/100+Q172+R172+S172)-AC172-AD172-AE172)))</f>
        <v/>
      </c>
      <c r="U172" s="422" t="str">
        <f>IF(D172="","",(VLOOKUP(D172,'DB technologies'!$N$96:$Y$107,2,FALSE)*'DB additional information '!$S$6/100*'DB additional information '!$U$6*VLOOKUP($C$171,'DB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2" s="418" t="str">
        <f>IF(D172="","",(VLOOKUP(D172,'DB technologies'!$N$96:$Y$107,3,FALSE)*'DB additional information '!$S$7/100*'DB additional information '!$U$7*VLOOKUP($C$171,'DB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2" s="417" t="str">
        <f>IF(D172="","",(VLOOKUP(D172,'DB technologies'!$N$96:$Y$107,4,FALSE)*('DB additional information '!$S$8/100*'DB additional information '!$U$8*E171/1000/1000*AH171/100)))</f>
        <v/>
      </c>
      <c r="X172" s="261" t="str">
        <f>IF($C$171=0,"",IF('Calc (ex-animal)'!$F$38=1,"",IF(D172="","",((VLOOKUP($C$171,'Calc (ex-animal)'!$D$38:$Y$42,13,FALSE)-VLOOKUP($C$171,'Calc (ex-animal)'!$D$38:$Y$42,19,FALSE))*F171/100*AH171/100+U172+V172+W172))))</f>
        <v/>
      </c>
      <c r="Y172" s="418" t="str">
        <f>IF(D172="","",(VLOOKUP(D172,'DB technologies'!$N$96:$Y$107,2,FALSE)*'DB additional information '!$S$6/100*'DB additional information '!$V$6*VLOOKUP($C$171,'DB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2" s="418" t="str">
        <f>IF(D172="","",(VLOOKUP(D172,'DB technologies'!$N$96:$Y$107,3,FALSE)*'DB additional information '!$S$7/100*'DB additional information '!$V$7*VLOOKUP($C$171,'DB animal categories'!$C$68:$AC$80,27,FALSE)*E171/1000/1000*AH171/100)/VLOOKUP($C$171,'DB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2" s="418" t="str">
        <f>IF(D172="","",(VLOOKUP(D172,'DB technologies'!$N$96:$Y$107,4,FALSE)*('DB additional information '!$S$8/100*'DB additional information '!$V$8*E171/1000/1000*AH171/100)))</f>
        <v/>
      </c>
      <c r="AB172" s="261" t="str">
        <f>IF($C$171=0,"",IF('Calc (ex-animal)'!$F$38=1,"",IF(D172="","",((VLOOKUP($C$171,'Calc (ex-animal)'!$D$38:$Y$42,16,FALSE)-VLOOKUP($C$171,'Calc (ex-animal)'!$D$38:$Y$42,20,FALSE))*F171/100*AH171/100+Y172+Z172+AA172))))</f>
        <v/>
      </c>
      <c r="AC172" s="261" t="str">
        <f>IF($C$171=0,"",IF('Calc (ex-animal)'!$F$38=1,"",IF(D172="","",VLOOKUP($C$171,'Calc (ex-animal)'!$D$38:$Y$42,9,FALSE)*AH171/100/VLOOKUP($C$171,'DB animal categories'!$C$68:$AC$80,27,FALSE)*(VLOOKUP($C$171,'DB animal categories'!$C$68:$AC$80,27,FALSE)-VLOOKUP($C$171,'DB animal categories'!$C$68:$AC$80,25,FALSE)*VLOOKUP($C$171,'DB animal categories'!$C$68:$AC$80,26,FALSE)/24)*F171/100*VLOOKUP(D172,'DB technologies'!$N$96:$R$107,5,FALSE)/100)))</f>
        <v/>
      </c>
      <c r="AD172" s="261" t="str">
        <f>IF($C$171=0,"",IF('Calc (ex-animal)'!$F$38=1,"",IF(D172="","",VLOOKUP($C$171,'Calc (ex-animal)'!$D$38:$Y$42,10,FALSE)*AH171/100/VLOOKUP($C$171,'DB animal categories'!$C$68:$AC$80,27,FALSE)*(VLOOKUP($C$171,'DB animal categories'!$C$68:$AC$80,27,FALSE)-VLOOKUP($C$171,'DB animal categories'!$C$68:$AC$80,25,FALSE)*VLOOKUP($C$171,'DB animal categories'!$C$68:$AC$80,26,FALSE)/24)*F171/100*VLOOKUP(D172,'DB technologies'!$N$96:$Y$107,6,FALSE)/100)))</f>
        <v/>
      </c>
      <c r="AE172" s="262" t="str">
        <f>IF($C$171=0,"",IF('Calc (ex-animal)'!$F$38=1,"",IF(D172="","",VLOOKUP($C$171,'Calc (ex-animal)'!$D$38:$Y$42,10,FALSE)*AH171/100/VLOOKUP($C$171,'DB animal categories'!$C$68:$AC$80,27,FALSE)*(VLOOKUP($C$171,'DB animal categories'!$C$68:$AC$80,27,FALSE)-VLOOKUP($C$171,'DB animal categories'!$C$68:$AC$80,25,FALSE)*VLOOKUP($C$171,'DB animal categories'!$C$68:$AC$80,26,FALSE)/24)*F171/100*VLOOKUP(D172,'DB technologies'!$N$96:$Y$107,7,FALSE)/100)))</f>
        <v/>
      </c>
      <c r="AF172" s="43"/>
      <c r="AG172" s="1387"/>
      <c r="AH172" s="1388"/>
      <c r="AI172" s="187" t="str">
        <f>IF(D172="","",VLOOKUP(D172,'DB technologies'!$N$96:$Y$107,10,FALSE))</f>
        <v/>
      </c>
      <c r="AJ172" s="451" t="e">
        <f>VLOOKUP($C$171,'DB animal categories'!$C$68:$AN$80,27,FALSE)-VLOOKUP($C$171,'DB animal categories'!$C$68:$AN$80,26,FALSE)*VLOOKUP($C$171,'DB animal categories'!$C$68:$AN$80,25,FALSE)/24</f>
        <v>#N/A</v>
      </c>
      <c r="AK172" s="452" t="str">
        <f>IF(AI172="","",AL172+AM172)</f>
        <v/>
      </c>
      <c r="AL172" s="452" t="str">
        <f>IF(D172="","",IF(AI172=2,(('Calc (ex-animal)'!$G$39*'DB additional information '!$K$12/100*AH171/100*(1-VLOOKUP(D172,'DB technologies'!$N$96:$Y$107,9,FALSE)/100)*'Calc (ex-housing, ex-storage)'!F171/100+'Calc (ex-animal)'!$H$39*'DB additional information '!$L$12/100*AH171/100*(1-VLOOKUP(D172,'DB technologies'!$N$96:$Y$107,9,FALSE)/100)*'Calc (ex-housing, ex-storage)'!F171/100))/VLOOKUP($C$171,'DB animal categories'!$C$68:$AC$80,27,FALSE)*AJ172+I172+J172+K172,IF(AI172=1,('Calc (ex-animal)'!$H$39*AH171/100*'DB additional information '!$L$12/100*(1-VLOOKUP(D172,'DB technologies'!$N$96:$Y$107,9,FALSE)/100)*'Calc (ex-housing, ex-storage)'!F171/100)/VLOOKUP($C$171,'DB animal categories'!$C$68:$AC$80,27,FALSE)*AJ172,IF(AI172=4,('Calc (ex-animal)'!$G$39*'DB additional information '!$K$12/100+'Calc (ex-animal)'!$H$39*'DB additional information '!$L$12/100)*AH171/100*(1-VLOOKUP(D172,'DB technologies'!$N$96:$Y$107,9,FALSE)/100)*'Calc (ex-housing, ex-storage)'!F171/100*VLOOKUP(D172,'DB technologies'!$N$96:$Y$107,11,FALSE)/100/VLOOKUP($C$171,'DB animal categories'!$C$68:$AC$80,27,FALSE)*AJ172,0))))</f>
        <v/>
      </c>
      <c r="AM172" s="452" t="str">
        <f>IF(D172="","",IF(AI172=2,(('Calc (ex-animal)'!$G$39*(1-'DB additional information '!$K$12/100)*AH171/100*(1-VLOOKUP(D172,'DB technologies'!$N$96:$Y$107,8,FALSE)/100)*'Calc (ex-housing, ex-storage)'!F171/100+'Calc (ex-animal)'!$H$39*(1-'DB additional information '!$L$12/100)*AH171/100*(1-VLOOKUP(D172,'DB technologies'!$N$96:$Y$107,8,FALSE)/100)*'Calc (ex-housing, ex-storage)'!F171/100))/VLOOKUP($C$171,'DB animal categories'!$C$68:$AC$80,27,FALSE)*AJ172+M172+N172+O172,IF(AI172=1,('Calc (ex-animal)'!$H$39*(1-'DB additional information '!$L$12/100)*AH171/100*(1-VLOOKUP(D172,'DB technologies'!$N$96:$Y$107,8,FALSE)/100)*'Calc (ex-housing, ex-storage)'!F171/100)/VLOOKUP($C$171,'DB animal categories'!$C$68:$AC$80,27,FALSE)*AJ172,IF(AI172=4,('Calc (ex-animal)'!$G$39*(1-'DB additional information '!$K$12/100)+'Calc (ex-animal)'!$H$39*(1-'DB additional information '!$L$12/100))*AH171/100*(1-VLOOKUP(D172,'DB technologies'!$N$96:$Y$107,8,FALSE)/100)*'Calc (ex-housing, ex-storage)'!F171/100*VLOOKUP(D172,'DB technologies'!$N$96:$Y$107,11,FALSE)/100/VLOOKUP($C$171,'DB animal categories'!$C$68:$AC$80,27,FALSE)*AJ172,0))))</f>
        <v/>
      </c>
      <c r="AN172" s="452" t="str">
        <f>IF(AI172="","",IF(AL172=0,0,AL172/AK172*100))</f>
        <v/>
      </c>
      <c r="AO172" s="184" t="str">
        <f>IF(D172="","",IF(AI172=2,(('Calc (ex-animal)'!$L$39*'Calc (ex-housing, ex-storage)'!F171/100+'Calc (ex-animal)'!$K$39*'Calc (ex-housing, ex-storage)'!F171/100))*AH171/100/VLOOKUP($C$171,'DB animal categories'!$C$68:$AC$80,27,FALSE)*AJ172+Q172+R172+S172-AC172,IF(AI172=1,('Calc (ex-animal)'!$L$39*'Calc (ex-housing, ex-storage)'!F171/100)*AH171/100/VLOOKUP($C$171,'DB animal categories'!$C$68:$AC$80,27,FALSE)*AJ172-'Calc (ex-housing, ex-storage)'!AC172,IF(AI172=4,('Calc (ex-animal)'!$L$39+'Calc (ex-animal)'!$K$39)*'Calc (ex-housing, ex-storage)'!F171/100*AH171/100*VLOOKUP(D172,'DB technologies'!$N$96:$Y$107,11,FALSE)/100/VLOOKUP($C$171,'DB animal categories'!$C$68:$AC$80,27,FALSE)*AJ172-AC172*VLOOKUP(D172,'DB technologies'!$N$96:$Y$107,11,FALSE)/100,0))))</f>
        <v/>
      </c>
      <c r="AP172" s="184" t="str">
        <f>IF(D172="","",IF(AO172&lt;-0.01,0,IF(AI172=2,(('Calc (ex-animal)'!$L$39*'Calc (ex-housing, ex-storage)'!F171/100+'Calc (ex-animal)'!$K$39*'Calc (ex-housing, ex-storage)'!F171/100))*AH171/100/VLOOKUP($C$171,'DB animal categories'!$C$68:$AC$80,27,FALSE)*AJ172+Q172+R172+S172-AC172,IF(AI172=1,('Calc (ex-animal)'!$L$39*'Calc (ex-housing, ex-storage)'!F171/100)*AH171/100/VLOOKUP($C$171,'DB animal categories'!$C$68:$AC$80,27,FALSE)*AJ172-'Calc (ex-housing, ex-storage)'!AC172,IF(AI172=4,('Calc (ex-animal)'!$L$39+'Calc (ex-animal)'!$K$39)*'Calc (ex-housing, ex-storage)'!F171/100*AH171/100*VLOOKUP(D172,'DB technologies'!$N$96:$Y$107,11,FALSE)/100/VLOOKUP($C$171,'DB animal categories'!$C$68:$AC$80,27,FALSE)*AJ172-AC172*VLOOKUP(D172,'DB technologies'!$N$96:$Y$107,11,FALSE)/100,0)))))</f>
        <v/>
      </c>
      <c r="AQ172" s="184" t="str">
        <f>IF(D172="","",IF(AI172=2,('Calc (ex-animal)'!$O$39*'Calc (ex-housing, ex-storage)'!F171/100+'Calc (ex-animal)'!$N$39*'Calc (ex-housing, ex-storage)'!F171/100)*AH171/100/VLOOKUP($C$171,'DB animal categories'!$C$68:$AC$80,27,FALSE)*AJ172+U172+V172+W172,IF(AI172=1,'Calc (ex-animal)'!$O$39*'Calc (ex-housing, ex-storage)'!F171/100*AH171/100/VLOOKUP($C$171,'DB animal categories'!$C$68:$AC$80,27,FALSE)*AJ172,IF(AI172=4,('Calc (ex-animal)'!$O$39+'Calc (ex-animal)'!$N$39)*'Calc (ex-housing, ex-storage)'!F171/100*AH171/100*VLOOKUP(D172,'DB technologies'!$N$96:$Y$107,11,FALSE)/100/VLOOKUP($C$171,'DB animal categories'!$C$68:$AC$80,27,FALSE)*AJ172,0))))</f>
        <v/>
      </c>
      <c r="AR172" s="184" t="str">
        <f>IF(D172="","",IF(AI172=2,('Calc (ex-animal)'!$R$39*'Calc (ex-housing, ex-storage)'!F171/100+'Calc (ex-animal)'!$Q$39*'Calc (ex-housing, ex-storage)'!F171/100)*AH171/100/VLOOKUP($C$171,'DB animal categories'!$C$68:$AC$80,27,FALSE)*AJ172+Y172+Z172+AA172,IF(AI172=1,'Calc (ex-animal)'!$R$39*'Calc (ex-housing, ex-storage)'!F171/100*AH171/100/VLOOKUP($C$171,'DB animal categories'!$C$68:$AC$80,27,FALSE)*AJ172,IF(AI172=4,('Calc (ex-animal)'!$R$39+'Calc (ex-animal)'!$Q$39)*'Calc (ex-housing, ex-storage)'!F171/100*AH171/100*VLOOKUP(D172,'DB technologies'!$N$96:$Y$107,11,FALSE)/100/VLOOKUP($C$171,'DB animal categories'!$C$68:$AC$80,27,FALSE)*AJ172,0))))</f>
        <v/>
      </c>
      <c r="AS172" s="183" t="str">
        <f>IF(D172="","",VLOOKUP(D172,'DB technologies'!$N$96:$Y$107,10,FALSE))</f>
        <v/>
      </c>
      <c r="AT172" s="452" t="str">
        <f>IF(AS172="","",AU172+AV172)</f>
        <v/>
      </c>
      <c r="AU172" s="452" t="str">
        <f>IF(D172="","",IF(AS172=2,0,IF(AS172=1,'Calc (ex-animal)'!$G$39*'DB additional information '!$K$12/100*AH171/100*(1-VLOOKUP(D172,'DB technologies'!$N$96:$Y$107,8,FALSE)/100)*'Calc (ex-housing, ex-storage)'!F171/100/VLOOKUP($C$171,'DB animal categories'!$C$68:$AC$80,27,FALSE)*AJ172+I172+J172+K172,IF(AS172=5,(('Calc (ex-animal)'!$G$39*'DB additional information '!$K$12/100+'Calc (ex-animal)'!$H$39*'DB additional information '!$L$12/100))*AH171/100*(1-VLOOKUP(D172,'DB technologies'!$N$96:$Y$107,9,FALSE)/100)*'Calc (ex-housing, ex-storage)'!F171/100/VLOOKUP($C$171,'DB animal categories'!$C$68:$AC$80,27,FALSE)*AJ172+I172+J172+K172,IF(AS172=3,('Calc (ex-animal)'!$G$39*'DB additional information '!$K$12/100+'Calc (ex-animal)'!$H$39*'DB additional information '!$L$12/100)*AH171/100*(1-VLOOKUP(D172,'DB technologies'!$N$96:$Y$107,9,FALSE)/100)*'Calc (ex-housing, ex-storage)'!F171/100/VLOOKUP($C$171,'DB animal categories'!$C$68:$AC$80,27,FALSE)*AJ172+I172+J172+K172,IF(AS172=4,('Calc (ex-animal)'!$G$39*'DB additional information '!$K$12/100+'Calc (ex-animal)'!$H$39*'DB additional information '!$L$12/100)*AH171/100*(1-VLOOKUP(D172,'DB technologies'!$N$96:$Y$107,9,FALSE)/100)*'Calc (ex-housing, ex-storage)'!F171/100*VLOOKUP(D172,'DB technologies'!$N$96:$Y$107,12,FALSE)/100/VLOOKUP($C$171,'DB animal categories'!$C$68:$AC$80,27,FALSE)*AJ172+I172+J172+K172,0))))))</f>
        <v/>
      </c>
      <c r="AV172" s="452" t="str">
        <f>IF(D172="","",IF(AS172=2,0,IF(AS172=1,'Calc (ex-animal)'!$G$39*(1-'DB additional information '!$K$12/100)*AH171/100*(1-VLOOKUP(D172,'DB technologies'!$N$96:$Y$107,8,FALSE)/100)*'Calc (ex-housing, ex-storage)'!F171/100/VLOOKUP($C$171,'DB animal categories'!$C$68:$AC$80,27,FALSE)*AJ172+M172+N172+O172,IF(AS172=5,('Calc (ex-animal)'!$G$39*(1-'DB additional information '!$K$12/100)+'Calc (ex-animal)'!$H$39*(1-'DB additional information '!$L$12/100))*AH171/100*(1-VLOOKUP(D172,'DB technologies'!$N$96:$Y$107,8,FALSE)/100)*'Calc (ex-housing, ex-storage)'!F171/100/VLOOKUP($C$171,'DB animal categories'!$C$68:$AC$80,27,FALSE)*AJ172+M172+N172+O172,IF(AS172=3,('Calc (ex-animal)'!$G$39*(1-'DB additional information '!$K$12/100)+'Calc (ex-animal)'!$H$39*(1-'DB additional information '!$L$12/100))*AH171/100*(1-VLOOKUP(D172,'DB technologies'!$N$96:$Y$107,8,FALSE)/100)*'Calc (ex-housing, ex-storage)'!F171/100/VLOOKUP($C$171,'DB animal categories'!$C$68:$AC$80,27,FALSE)*AJ172+M172+N172+O172,IF(AS172=4,('Calc (ex-animal)'!$G$39*(1-'DB additional information '!$K$12/100)+'Calc (ex-animal)'!$H$39*(1-'DB additional information '!$L$12/100))*AH171/100*(1-VLOOKUP(D172,'DB technologies'!$N$96:$Y$107,8,FALSE)/100)*'Calc (ex-housing, ex-storage)'!F171/100*VLOOKUP(D172,'DB technologies'!$N$96:$Y$107,12,FALSE)/100/VLOOKUP($C$171,'DB animal categories'!$C$68:$AC$80,27,FALSE)*AJ172+M172+N172+O172,0))))))</f>
        <v/>
      </c>
      <c r="AW172" s="452" t="str">
        <f>IF(AS172="","",IF(AU172=0,0,AU172/AT172*100))</f>
        <v/>
      </c>
      <c r="AX172" s="184" t="str">
        <f>IF(D172="","",IF(AS172=2,0,IF(AS172=1,'Calc (ex-animal)'!$K$39*'Calc (ex-housing, ex-storage)'!F171/100*AH171/100/VLOOKUP($C$171,'DB animal categories'!$C$68:$AC$80,27,FALSE)*AJ172+Q172+R172+S172,IF(AS172=5,('Calc (ex-animal)'!$K$39+'Calc (ex-animal)'!$L$39)*AH171/100*'Calc (ex-housing, ex-storage)'!F171/100/VLOOKUP($C$171,'DB animal categories'!$C$68:$AC$80,27,FALSE)*AJ172+Q172+R172+S172-'Calc (ex-housing, ex-storage)'!AC172,IF(AS172=3,('Calc (ex-animal)'!$K$39+'Calc (ex-animal)'!$L$39)*AH171/100*'Calc (ex-housing, ex-storage)'!F171/100/VLOOKUP($C$171,'DB animal categories'!$C$68:$AC$80,27,FALSE)*AJ172+Q172+R172+S172-'Calc (ex-housing, ex-storage)'!AC172-AD172-AE172,IF(AI172=4,('Calc (ex-animal)'!$K$39+'Calc (ex-animal)'!$L$39)*AH171/100*'Calc (ex-housing, ex-storage)'!F171/100*VLOOKUP(D172,'DB technologies'!$N$96:$Y$107,12,FALSE)/100/VLOOKUP($C$171,'DB animal categories'!$C$68:$AC$80,27,FALSE)*AJ172+Q172+R172+S172-(VLOOKUP(D172,'DB technologies'!$N$96:$Y$107,12,FALSE)/100*AC172)-AD172-AE172,0))))))</f>
        <v/>
      </c>
      <c r="AY172" s="184" t="str">
        <f>IF(D172="","",IF(AS172=2,0,IF(AS172=1,'Calc (ex-animal)'!$N$39*AH171/100*'Calc (ex-housing, ex-storage)'!F171/100/VLOOKUP($C$171,'DB animal categories'!$C$68:$AC$80,27,FALSE)*AJ172+U172+V172+W172,IF(AS172=5,('Calc (ex-animal)'!$N$39+'Calc (ex-animal)'!$O$39)*AH171/100*'Calc (ex-housing, ex-storage)'!F171/100/VLOOKUP($C$171,'DB animal categories'!$C$68:$AC$80,27,FALSE)*AJ172+U172+V172+W172,IF(AS172=3,('Calc (ex-animal)'!$N$39+'Calc (ex-animal)'!$O$39)*AH171/100*'Calc (ex-housing, ex-storage)'!F171/100/VLOOKUP($C$171,'DB animal categories'!$C$68:$AC$80,27,FALSE)*AJ172+U172+V172+W172,IF(AS172=4,('Calc (ex-animal)'!$N$39+'Calc (ex-animal)'!$O$39)*AH171/100*'Calc (ex-housing, ex-storage)'!F171/100*VLOOKUP(D172,'DB technologies'!$N$96:$Y$107,12,FALSE)/100/VLOOKUP($C$171,'DB animal categories'!$C$68:$AC$80,27,FALSE)*AJ172+U172+V172+W172,0))))))</f>
        <v/>
      </c>
      <c r="AZ172" s="184" t="str">
        <f>IF(D172="","",IF(AS172=2,0,IF(AS172=1,'Calc (ex-animal)'!$Q$39*AH171/100*'Calc (ex-housing, ex-storage)'!F171/100/VLOOKUP($C$171,'DB animal categories'!$C$68:$AC$80,27,FALSE)*AJ172+Y172+Z172+AA172,IF(AS172=5,('Calc (ex-animal)'!$Q$39+'Calc (ex-animal)'!$R$39)*AH171/100*'Calc (ex-housing, ex-storage)'!F171/100/VLOOKUP($C$171,'DB animal categories'!$C$68:$AC$80,27,FALSE)*AJ172+Y172+Z172+AA172,IF(AS172=3,('Calc (ex-animal)'!$Q$39+'Calc (ex-animal)'!$R$39)*AH171/100*'Calc (ex-housing, ex-storage)'!F171/100/VLOOKUP($C$171,'DB animal categories'!$C$68:$AC$80,27,FALSE)*AJ172+Y172+Z172+AA172,IF(AS172=4,('Calc (ex-animal)'!$Q$39+'Calc (ex-animal)'!$R$39)*AH171/100*'Calc (ex-housing, ex-storage)'!F171/100*VLOOKUP(D172,'DB technologies'!$N$96:$Y$107,12,FALSE)/100/VLOOKUP($C$171,'DB animal categories'!$C$68:$AC$80,27,FALSE)*AJ172+Y172+Z172+AA172,0))))))</f>
        <v/>
      </c>
      <c r="BA172" s="506"/>
      <c r="BB172" s="506"/>
      <c r="BC172" s="506"/>
    </row>
    <row r="173" spans="1:55" x14ac:dyDescent="0.2">
      <c r="A173" s="684"/>
      <c r="B173" s="695"/>
      <c r="C173" s="251"/>
      <c r="D173" s="1357"/>
      <c r="E173" s="1374"/>
      <c r="F173" s="692" t="str">
        <f>IF('Calc (ex-animal)'!$F$38=1,"",IF($C$171=0,"",IF(D173="","",E173/'Calc (ex-animal)'!$E$39*100)))</f>
        <v/>
      </c>
      <c r="G173" s="537" t="str">
        <f>IF($C$171=0,"",IF('Calc (ex-animal)'!$F$38=1,"",IF(D173="","",SUM(H173:O173))))</f>
        <v/>
      </c>
      <c r="H173" s="527" t="str">
        <f>IF('Calc (ex-animal)'!$F$38=1,"",IF(D173="","",(((VLOOKUP($C$171,'Calc (ex-animal)'!$D$38:$Y$42,6,FALSE)-VLOOKUP($C$171,'Calc (ex-animal)'!$D$38:$Y$42,17,FALSE))*F173/100*AG173/100))*VLOOKUP($C$171,'Calc (ex-animal)'!$D$38:$Y$42,7,FALSE)/100*(1-VLOOKUP(D173,'DB technologies'!$N$83:$Y$94,9,FALSE)/100)))</f>
        <v/>
      </c>
      <c r="I173" s="527" t="str">
        <f>IF(D173="","",((VLOOKUP(D173,'DB technologies'!$N$83:$Y$94,2,FALSE)*VLOOKUP($C$171,'DB animal categories'!$C$68:$AC$80,27,FALSE)*E173/1000*AG173/100)/VLOOKUP($C$171,'DB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'!$S$6/100*(1-VLOOKUP(D173,'DB technologies'!$N$83:$Y$94,9,FALSE)/100)))</f>
        <v/>
      </c>
      <c r="J173" s="528" t="str">
        <f>IF(D173="","",((VLOOKUP(D173,'DB technologies'!$N$83:$Y$94,3,FALSE)*VLOOKUP($C$171,'DB animal categories'!$C$68:$AC$80,27,FALSE)*E173/1000*AG173/100)/VLOOKUP($C$171,'DB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'!$S$7/100*(1-VLOOKUP(D173,'DB technologies'!$N$83:$Y$94,9,FALSE)/100)))</f>
        <v/>
      </c>
      <c r="K173" s="529" t="str">
        <f>IF(D173="","",((VLOOKUP(D173,'DB technologies'!$N$83:$Y$94,4,FALSE)*E173*AG173/100*'DB additional information '!$S$8/100*(1-VLOOKUP(D173,'DB technologies'!$N$83:$Y$94,9,FALSE)/100))/VLOOKUP($C$171,'DB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3" s="527" t="str">
        <f>IF('Calc (ex-animal)'!$F$38=1,"",IF(D173="","",(((VLOOKUP($C$171,'Calc (ex-animal)'!$D$38:$Y$42,6,FALSE)-VLOOKUP($C$171,'Calc (ex-animal)'!$D$38:$Y$42,17,FALSE))*F173/100*AG173/100))*(1-VLOOKUP($C$171,'Calc (ex-animal)'!$D$38:$Y$42,7,FALSE)/100)*(1-VLOOKUP(D173,'DB technologies'!$N$83:$V$94,8,FALSE)/100)))</f>
        <v/>
      </c>
      <c r="M173" s="528" t="str">
        <f>IF(D173="","",((VLOOKUP(D173,'DB technologies'!$N$83:$Y$94,2,FALSE)*VLOOKUP($C$171,'DB animal categories'!$C$68:$AC$80,27,FALSE)*E173/1000*AG173/100)/VLOOKUP($C$171,'DB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'!$S$6/100)*(1-VLOOKUP(D173,'DB technologies'!$N$83:$Y$94,9,FALSE)/100))</f>
        <v/>
      </c>
      <c r="N173" s="528" t="str">
        <f>IF(D173="","",((VLOOKUP(D173,'DB technologies'!$N$83:$Y$94,3,FALSE)*VLOOKUP($C$171,'DB animal categories'!$C$68:$AC$80,27,FALSE)*E173/1000*AG173/100)/VLOOKUP($C$171,'DB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'!$S$7/100)*(1-VLOOKUP(D173,'DB technologies'!$N$83:$Y$94,9,FALSE)/100))</f>
        <v/>
      </c>
      <c r="O173" s="527" t="str">
        <f>IF(D173="","",((VLOOKUP(D173,'DB technologies'!$N$83:$Y$94,4,FALSE)*E173*AG173/100*(1-'DB additional information '!$S$8/100)*(1-VLOOKUP(D173,'DB technologies'!$N$83:$Y$94,8,FALSE)/100))/VLOOKUP($C$171,'DB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3" s="530" t="str">
        <f>IF(G173=0,0,IF(E173="","",IF(F173="","",IF($C$171=0,"",IF(D173="","",SUM(H173:K173)/G173*100)))))</f>
        <v/>
      </c>
      <c r="Q173" s="531" t="str">
        <f>IF(D173="","",(VLOOKUP(D173,'DB technologies'!$N$83:$Y$94,2,FALSE)*'DB additional information '!$S$6/100*'DB additional information '!$T$6*VLOOKUP($C$171,'DB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3" s="531" t="str">
        <f>IF(D173="","",(VLOOKUP(D173,'DB technologies'!$N$83:$Y$94,3,FALSE)*'DB additional information '!$S$7/100*'DB additional information '!$T$7*VLOOKUP($C$171,'DB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3" s="538" t="str">
        <f>IF(D173="","",(VLOOKUP(D173,'DB technologies'!$N$83:$Y$94,4,FALSE)*('DB additional information '!$S$8/100*'DB additional information '!$T$8*E173/1000/1000*AG173/100)))</f>
        <v/>
      </c>
      <c r="T173" s="300" t="str">
        <f>IF($C$171=0,"",IF('Calc (ex-animal)'!$F$38=1,"",IF(D173="","",((VLOOKUP($C$171,'Calc (ex-animal)'!$D$38:$Y$42,10,FALSE)-VLOOKUP($C$171,'Calc (ex-animal)'!$D$38:$Y$42,18,FALSE))*F173/100*AG173/100+Q173+R173+S173)-AC173-AD173-AE173)))</f>
        <v/>
      </c>
      <c r="U173" s="544" t="str">
        <f>IF(D173="","",(VLOOKUP(D173,'DB technologies'!$N$83:$Y$94,2,FALSE)*'DB additional information '!$S$6/100*'DB additional information '!$U$6*VLOOKUP($C$171,'DB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3" s="523" t="str">
        <f>IF(D173="","",(VLOOKUP(D173,'DB technologies'!$N$83:$Y$94,3,FALSE)*'DB additional information '!$S$7/100*'DB additional information '!$U$7*VLOOKUP($C$171,'DB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3" s="545" t="str">
        <f>IF(D173="","",(VLOOKUP(D173,'DB technologies'!$N$83:$Y$94,4,FALSE)*('DB additional information '!$S$8/100*'DB additional information '!$U$8*E173/1000/1000*AG173/100)))</f>
        <v/>
      </c>
      <c r="X173" s="301" t="str">
        <f>IF($C$171=0,"",IF('Calc (ex-animal)'!$F$38=1,"",IF(D173="","",((VLOOKUP($C$171,'Calc (ex-animal)'!$D$38:$Y$42,13,FALSE)-VLOOKUP($C$171,'Calc (ex-animal)'!$D$38:$Y$42,19,FALSE))*F173/100*AG173/100+U173+V173+W173))))</f>
        <v/>
      </c>
      <c r="Y173" s="523" t="str">
        <f>IF(D173="","",(VLOOKUP(D173,'DB technologies'!$N$83:$Y$94,2,FALSE)*'DB additional information '!$S$6/100*'DB additional information '!$V$6*VLOOKUP($C$171,'DB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3" s="523" t="str">
        <f>IF(D173="","",(VLOOKUP(D173,'DB technologies'!$N$83:$Y$94,3,FALSE)*'DB additional information '!$S$7/100*'DB additional information '!$V$7*VLOOKUP($C$171,'DB animal categories'!$C$68:$AC$80,27,FALSE)*E173/1000/1000*AG173/100)/VLOOKUP($C$171,'DB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3" s="523" t="str">
        <f>IF(D173="","",(VLOOKUP(D173,'DB technologies'!$N$83:$Y$94,4,FALSE)*('DB additional information '!$S$8/100*'DB additional information '!$V$8*E173/1000/1000*AG173/100)))</f>
        <v/>
      </c>
      <c r="AB173" s="301" t="str">
        <f>IF($C$171=0,"",IF('Calc (ex-animal)'!$F$38=1,"",IF(D173="","",((VLOOKUP($C$171,'Calc (ex-animal)'!$D$38:$Y$42,16,FALSE)-VLOOKUP($C$171,'Calc (ex-animal)'!$D$38:$Y$42,20,FALSE))*F173/100*AG173/100+Y173+Z173+AA173))))</f>
        <v/>
      </c>
      <c r="AC173" s="301" t="str">
        <f>IF($C$171=0,"",IF('Calc (ex-animal)'!$F$38=1,"",IF(D173="","",VLOOKUP($C$171,'Calc (ex-animal)'!$D$38:$Y$42,9,FALSE)*AG173/100/VLOOKUP($C$171,'DB animal categories'!$C$68:$AC$80,27,FALSE)*(VLOOKUP($C$171,'DB animal categories'!$C$68:$AC$80,27,FALSE)-VLOOKUP($C$171,'DB animal categories'!$C$68:$AC$80,25,FALSE)*VLOOKUP($C$171,'DB animal categories'!$C$68:$AC$80,26,FALSE)/24)*F173/100*VLOOKUP(D173,'DB technologies'!$N$83:$R$94,5,FALSE)/100)))</f>
        <v/>
      </c>
      <c r="AD173" s="301" t="str">
        <f>IF($C$171=0,"",IF('Calc (ex-animal)'!$F$38=1,"",IF(D173="","",VLOOKUP($C$171,'Calc (ex-animal)'!$D$38:$Y$42,10,FALSE)*AG173/100/VLOOKUP($C$171,'DB animal categories'!$C$68:$AC$80,27,FALSE)*(VLOOKUP($C$171,'DB animal categories'!$C$68:$AC$80,27,FALSE)-VLOOKUP($C$171,'DB animal categories'!$C$68:$AC$80,25,FALSE)*VLOOKUP($C$171,'DB animal categories'!$C$68:$AC$80,26,FALSE)/24)*F173/100*VLOOKUP(D173,'DB technologies'!$N$83:$Y$94,6,FALSE)/100)))</f>
        <v/>
      </c>
      <c r="AE173" s="302" t="str">
        <f>IF($C$171=0,"",IF('Calc (ex-animal)'!$F$38=1,"",IF(D173="","",VLOOKUP($C$171,'Calc (ex-animal)'!$D$38:$Y$42,10,FALSE)*AG173/100/VLOOKUP($C$171,'DB animal categories'!$C$68:$AC$80,27,FALSE)*(VLOOKUP($C$171,'DB animal categories'!$C$68:$AC$80,27,FALSE)-VLOOKUP($C$171,'DB animal categories'!$C$68:$AC$80,25,FALSE)*VLOOKUP($C$171,'DB animal categories'!$C$68:$AC$80,26,FALSE)/24)*F173/100*VLOOKUP(D173,'DB technologies'!$N$83:$Y$94,7,FALSE)/100)))</f>
        <v/>
      </c>
      <c r="AF173" s="43"/>
      <c r="AG173" s="1389"/>
      <c r="AH173" s="1382"/>
      <c r="AI173" s="181" t="str">
        <f>IF(D173="","",VLOOKUP(D173,'DB technologies'!$N$82:$Y$94,10,FALSE))</f>
        <v/>
      </c>
      <c r="AJ173" s="449" t="e">
        <f>VLOOKUP($C$171,'DB animal categories'!$C$68:$AN$80,27,FALSE)-VLOOKUP($C$171,'DB animal categories'!$C$68:$AN$80,26,FALSE)*VLOOKUP($C$171,'DB animal categories'!$C$68:$AN$80,25,FALSE)/24</f>
        <v>#N/A</v>
      </c>
      <c r="AK173" s="442" t="str">
        <f t="shared" ref="AK173:AK180" si="26">IF(AI173="","",AL173+AM173)</f>
        <v/>
      </c>
      <c r="AL173" s="442" t="str">
        <f>IF(D173="","",IF(AI173=2,(('Calc (ex-animal)'!$G$39*'DB additional information '!$K$12/100*AG173/100*(1-VLOOKUP(D173,'DB technologies'!$N$82:$Y$94,9,FALSE)/100)*'Calc (ex-housing, ex-storage)'!F173/100+'Calc (ex-animal)'!$H$39*'DB additional information '!$L$12/100*AG173/100*(1-VLOOKUP(D173,'DB technologies'!$N$82:$Y$94,9,FALSE)/100)*'Calc (ex-housing, ex-storage)'!F173/100))/VLOOKUP($C$171,'DB animal categories'!$C$68:$AC$80,27,FALSE)*AJ173+I173+J173+K173,IF(AI173=1,('Calc (ex-animal)'!$H$39*AG173/100*'DB additional information '!$L$12/100*(1-VLOOKUP(D173,'DB technologies'!$N$82:$Y$94,9,FALSE)/100)*'Calc (ex-housing, ex-storage)'!F173/100)/VLOOKUP($C$171,'DB animal categories'!$C$68:$AC$80,27,FALSE)*AJ173,IF(AI173=4,('Calc (ex-animal)'!$G$39*'DB additional information '!$K$12/100+'Calc (ex-animal)'!$H$39*'DB additional information '!$L$12/100)*AG173/100*(1-VLOOKUP(D173,'DB technologies'!$N$82:$Y$94,9,FALSE)/100)*'Calc (ex-housing, ex-storage)'!F173/100*VLOOKUP(D173,'DB technologies'!$N$82:$Y$94,11,FALSE)/100/VLOOKUP($C$171,'DB animal categories'!$C$68:$AC$80,27,FALSE)*AJ173,0))))</f>
        <v/>
      </c>
      <c r="AM173" s="442" t="str">
        <f>IF(D173="","",IF(AI173=2,(('Calc (ex-animal)'!$G$39*(1-'DB additional information '!$K$12/100)*AG173/100*(1-VLOOKUP(D173,'DB technologies'!$N$82:$Y$94,8,FALSE)/100)*'Calc (ex-housing, ex-storage)'!F173/100+'Calc (ex-animal)'!$H$39*(1-'DB additional information '!$L$12/100)*AG173/100*(1-VLOOKUP(D173,'DB technologies'!$N$82:$Y$94,8,FALSE)/100)*'Calc (ex-housing, ex-storage)'!F173/100))/VLOOKUP($C$171,'DB animal categories'!$C$68:$AC$80,27,FALSE)*AJ173+M173+N173+O173,IF(AI173=1,('Calc (ex-animal)'!$H$39*(1-'DB additional information '!$L$12/100)*AG173/100*(1-VLOOKUP(D173,'DB technologies'!$N$82:$Y$94,8,FALSE)/100)*'Calc (ex-housing, ex-storage)'!F173/100)/VLOOKUP($C$171,'DB animal categories'!$C$68:$AC$80,27,FALSE)*AJ173,IF(AI173=4,('Calc (ex-animal)'!$G$39*(1-'DB additional information '!$K$12/100)+'Calc (ex-animal)'!$H$39*(1-'DB additional information '!$L$12/100))*AG173/100*(1-VLOOKUP(D173,'DB technologies'!$N$82:$Y$94,8,FALSE)/100)*'Calc (ex-housing, ex-storage)'!F173/100*VLOOKUP(D173,'DB technologies'!$N$82:$Y$94,11,FALSE)/100/VLOOKUP($C$171,'DB animal categories'!$C$68:$AC$80,27,FALSE)*AJ173,0))))</f>
        <v/>
      </c>
      <c r="AN173" s="442" t="str">
        <f t="shared" ref="AN173:AN180" si="27">IF(AI173="","",IF(AL173=0,0,AL173/AK173*100))</f>
        <v/>
      </c>
      <c r="AO173" s="182" t="str">
        <f>IF(D173="","",IF(AI173=2,(('Calc (ex-animal)'!$L$39*'Calc (ex-housing, ex-storage)'!F173/100+'Calc (ex-animal)'!$K$39*'Calc (ex-housing, ex-storage)'!F173/100))*AG173/100/VLOOKUP($C$171,'DB animal categories'!$C$68:$AC$80,27,FALSE)*AJ173+Q173+R173+S173-AC173,IF(AI173=1,('Calc (ex-animal)'!$L$39*'Calc (ex-housing, ex-storage)'!F173/100)*AG173/100/VLOOKUP($C$171,'DB animal categories'!$C$68:$AC$80,27,FALSE)*AJ173-'Calc (ex-housing, ex-storage)'!AC173,IF(AI173=4,('Calc (ex-animal)'!$L$39+'Calc (ex-animal)'!$K$39)*'Calc (ex-housing, ex-storage)'!F173/100*AG173/100*VLOOKUP(D173,'DB technologies'!$N$82:$Y$94,11,FALSE)/100/VLOOKUP($C$171,'DB animal categories'!$C$68:$AC$80,27,FALSE)*AJ173-AC173*VLOOKUP(D173,'DB technologies'!$N$82:$Y$94,11,FALSE)/100,0))))</f>
        <v/>
      </c>
      <c r="AP173" s="182" t="str">
        <f>IF(D173="","",IF(AO173&lt;-0.01,0,IF(AI173=2,(('Calc (ex-animal)'!$L$39*'Calc (ex-housing, ex-storage)'!F173/100+'Calc (ex-animal)'!$K$39*'Calc (ex-housing, ex-storage)'!F173/100))*AG173/100/VLOOKUP($C$171,'DB animal categories'!$C$68:$AC$80,27,FALSE)*AJ173+Q173+R173+S173-AC173,IF(AI173=1,('Calc (ex-animal)'!$L$39*'Calc (ex-housing, ex-storage)'!F173/100)*AG173/100/VLOOKUP($C$171,'DB animal categories'!$C$68:$AC$80,27,FALSE)*AJ173-'Calc (ex-housing, ex-storage)'!AC173,IF(AI173=4,('Calc (ex-animal)'!$L$39+'Calc (ex-animal)'!$K$39)*'Calc (ex-housing, ex-storage)'!F173/100*AG173/100*VLOOKUP(D173,'DB technologies'!$N$82:$Y$94,11,FALSE)/100/VLOOKUP($C$171,'DB animal categories'!$C$68:$AC$80,27,FALSE)*AJ173-AC173*VLOOKUP(D173,'DB technologies'!$N$82:$Y$94,11,FALSE)/100,0)))))</f>
        <v/>
      </c>
      <c r="AQ173" s="182" t="str">
        <f>IF(D173="","",IF(AI173=2,('Calc (ex-animal)'!$O$39*'Calc (ex-housing, ex-storage)'!F173/100+'Calc (ex-animal)'!$N$39*'Calc (ex-housing, ex-storage)'!F173/100)*AG173/100/VLOOKUP($C$171,'DB animal categories'!$C$68:$AC$80,27,FALSE)*AJ173+U173+V173+W173,IF(AI173=1,'Calc (ex-animal)'!$O$39*'Calc (ex-housing, ex-storage)'!F173/100*AG173/100/VLOOKUP($C$171,'DB animal categories'!$C$68:$AC$80,27,FALSE)*AJ173,IF(AI173=4,('Calc (ex-animal)'!$O$39+'Calc (ex-animal)'!$N$39)*'Calc (ex-housing, ex-storage)'!F173/100*AG173/100*VLOOKUP(D173,'DB technologies'!$N$82:$Y$94,11,FALSE)/100/VLOOKUP($C$171,'DB animal categories'!$C$68:$AC$80,27,FALSE)*AJ173,0))))</f>
        <v/>
      </c>
      <c r="AR173" s="182" t="str">
        <f>IF(D173="","",IF(AI173=2,('Calc (ex-animal)'!$R$39*'Calc (ex-housing, ex-storage)'!F173/100+'Calc (ex-animal)'!$Q$39*'Calc (ex-housing, ex-storage)'!F173/100)*AG173/100/VLOOKUP($C$171,'DB animal categories'!$C$68:$AC$80,27,FALSE)*AJ173+Y173+Z173+AA173,IF(AI173=1,'Calc (ex-animal)'!$R$39*'Calc (ex-housing, ex-storage)'!F173/100*AG173/100/VLOOKUP($C$171,'DB animal categories'!$C$68:$AC$80,27,FALSE)*AJ173,IF(AI173=4,('Calc (ex-animal)'!$R$39+'Calc (ex-animal)'!$Q$39)*'Calc (ex-housing, ex-storage)'!F173/100*AG173/100*VLOOKUP(D173,'DB technologies'!$N$82:$Y$94,11,FALSE)/100/VLOOKUP($C$171,'DB animal categories'!$C$68:$AC$80,27,FALSE)*AJ173,0))))</f>
        <v/>
      </c>
      <c r="AS173" s="181" t="str">
        <f>IF(D173="","",VLOOKUP(D173,'DB technologies'!$N$82:$Y$94,10,FALSE))</f>
        <v/>
      </c>
      <c r="AT173" s="442" t="str">
        <f t="shared" ref="AT173:AT180" si="28">IF(AS173="","",AU173+AV173)</f>
        <v/>
      </c>
      <c r="AU173" s="442" t="str">
        <f>IF(D173="","",IF(AS173=2,0,IF(AS173=1,'Calc (ex-animal)'!$G$39*'DB additional information '!$K$12/100*AG173/100*(1-VLOOKUP(D173,'DB technologies'!$N$82:$Y$94,8,FALSE)/100)*'Calc (ex-housing, ex-storage)'!F173/100/VLOOKUP($C$171,'DB animal categories'!$C$68:$AC$80,27,FALSE)*AJ173+I173+J173+K173,IF(AS173=5,(('Calc (ex-animal)'!$G$39*'DB additional information '!$K$12/100+'Calc (ex-animal)'!$H$39*'DB additional information '!$L$12/100))*AG173/100*(1-VLOOKUP(D173,'DB technologies'!$N$82:$Y$94,9,FALSE)/100)*'Calc (ex-housing, ex-storage)'!F173/100/VLOOKUP($C$171,'DB animal categories'!$C$68:$AC$80,27,FALSE)*AJ173+I173+J173+K173,IF(AS173=3,('Calc (ex-animal)'!$G$39*'DB additional information '!$K$12/100+'Calc (ex-animal)'!$H$39*'DB additional information '!$L$12/100)*AG173/100*(1-VLOOKUP(D173,'DB technologies'!$N$82:$Y$94,9,FALSE)/100)*'Calc (ex-housing, ex-storage)'!F173/100/VLOOKUP($C$171,'DB animal categories'!$C$68:$AC$80,27,FALSE)*AJ173+I173+J173+K173,IF(AS173=4,('Calc (ex-animal)'!$G$39*'DB additional information '!$K$12/100+'Calc (ex-animal)'!$H$39*'DB additional information '!$L$12/100)*AG173/100*(1-VLOOKUP(D173,'DB technologies'!$N$82:$Y$94,9,FALSE)/100)*'Calc (ex-housing, ex-storage)'!F173/100*VLOOKUP(D173,'DB technologies'!$N$82:$Y$94,12,FALSE)/100/VLOOKUP($C$171,'DB animal categories'!$C$68:$AC$80,27,FALSE)*AJ173+I173+J173+K173,0))))))</f>
        <v/>
      </c>
      <c r="AV173" s="442" t="str">
        <f>IF(D173="","",IF(AS173=2,0,IF(AS173=1,'Calc (ex-animal)'!$G$39*(1-'DB additional information '!$K$12/100)*AG173/100*(1-VLOOKUP(D173,'DB technologies'!$N$82:$Y$94,8,FALSE)/100)*'Calc (ex-housing, ex-storage)'!F173/100/VLOOKUP($C$171,'DB animal categories'!$C$68:$AC$80,27,FALSE)*AJ173+M173+N173+O173,IF(AS173=5,('Calc (ex-animal)'!$G$39*(1-'DB additional information '!$K$12/100)+'Calc (ex-animal)'!$H$39*(1-'DB additional information '!$L$12/100))*AG173/100*(1-VLOOKUP(D173,'DB technologies'!$N$82:$Y$94,8,FALSE)/100)*'Calc (ex-housing, ex-storage)'!F173/100/VLOOKUP($C$171,'DB animal categories'!$C$68:$AC$80,27,FALSE)*AJ173+M173+N173+O173,IF(AS173=3,('Calc (ex-animal)'!$G$39*(1-'DB additional information '!$K$12/100)+'Calc (ex-animal)'!$H$39*(1-'DB additional information '!$L$12/100))*AG173/100*(1-VLOOKUP(D173,'DB technologies'!$N$82:$Y$94,8,FALSE)/100)*'Calc (ex-housing, ex-storage)'!F173/100/VLOOKUP($C$171,'DB animal categories'!$C$68:$AC$80,27,FALSE)*AJ173+M173+N173+O173,IF(AS173=4,('Calc (ex-animal)'!$G$39*(1-'DB additional information '!$K$12/100)+'Calc (ex-animal)'!$H$39*(1-'DB additional information '!$L$12/100))*AG173/100*(1-VLOOKUP(D173,'DB technologies'!$N$82:$Y$94,8,FALSE)/100)*'Calc (ex-housing, ex-storage)'!F173/100*VLOOKUP(D173,'DB technologies'!$N$82:$Y$94,12,FALSE)/100/VLOOKUP($C$171,'DB animal categories'!$C$68:$AC$80,27,FALSE)*AJ173+M173+N173+O173,0))))))</f>
        <v/>
      </c>
      <c r="AW173" s="442" t="str">
        <f t="shared" ref="AW173:AW180" si="29">IF(AS173="","",IF(AU173=0,0,AU173/AT173*100))</f>
        <v/>
      </c>
      <c r="AX173" s="182" t="str">
        <f>IF(D173="","",IF(AS173=2,0,IF(AS173=1,'Calc (ex-animal)'!$K$39*'Calc (ex-housing, ex-storage)'!F173/100*AG173/100/VLOOKUP($C$171,'DB animal categories'!$C$68:$AC$80,27,FALSE)*AJ173+Q173+R173+S173,IF(AS173=5,('Calc (ex-animal)'!$K$39+'Calc (ex-animal)'!$L$39)*AG173/100*'Calc (ex-housing, ex-storage)'!F173/100/VLOOKUP($C$171,'DB animal categories'!$C$68:$AC$80,27,FALSE)*AJ173+Q173+R173+S173-'Calc (ex-housing, ex-storage)'!AC173,IF(AS173=3,('Calc (ex-animal)'!$K$39+'Calc (ex-animal)'!$L$39)*AG173/100*'Calc (ex-housing, ex-storage)'!F173/100/VLOOKUP($C$171,'DB animal categories'!$C$68:$AC$80,27,FALSE)*AJ173+Q173+R173+S173-'Calc (ex-housing, ex-storage)'!AC173-AD173-AE173,IF(AI173=4,('Calc (ex-animal)'!$K$39+'Calc (ex-animal)'!$L$39)*AG173/100*'Calc (ex-housing, ex-storage)'!F173/100*VLOOKUP(D173,'DB technologies'!$N$82:$Y$94,12,FALSE)/100/VLOOKUP($C$171,'DB animal categories'!$C$68:$AC$80,27,FALSE)*AJ173+Q173+R173+S173-(VLOOKUP(D173,'DB technologies'!$N$82:$Y$94,12,FALSE)/100*AC173)-AD173-AE173,0))))))</f>
        <v/>
      </c>
      <c r="AY173" s="182" t="str">
        <f>IF(D173="","",IF(AS173=2,0,IF(AS173=1,'Calc (ex-animal)'!$N$39*AG173/100*'Calc (ex-housing, ex-storage)'!F173/100/VLOOKUP($C$171,'DB animal categories'!$C$68:$AC$80,27,FALSE)*AJ173+U173+V173+W173,IF(AS173=5,('Calc (ex-animal)'!$N$39+'Calc (ex-animal)'!$O$39)*AG173/100*'Calc (ex-housing, ex-storage)'!F173/100/VLOOKUP($C$171,'DB animal categories'!$C$68:$AC$80,27,FALSE)*AJ173+U173+V173+W173,IF(AS173=3,('Calc (ex-animal)'!$N$39+'Calc (ex-animal)'!$O$39)*AG173/100*'Calc (ex-housing, ex-storage)'!F173/100/VLOOKUP($C$171,'DB animal categories'!$C$68:$AC$80,27,FALSE)*AJ173+U173+V173+W173,IF(AS173=4,('Calc (ex-animal)'!$N$39+'Calc (ex-animal)'!$O$39)*AG173/100*'Calc (ex-housing, ex-storage)'!F173/100*VLOOKUP(D173,'DB technologies'!$N$82:$Y$94,12,FALSE)/100/VLOOKUP($C$171,'DB animal categories'!$C$68:$AC$80,27,FALSE)*AJ173+U173+V173+W173,0))))))</f>
        <v/>
      </c>
      <c r="AZ173" s="182" t="str">
        <f>IF(D173="","",IF(AS173=2,0,IF(AS173=1,'Calc (ex-animal)'!$Q$39*AG173/100*'Calc (ex-housing, ex-storage)'!F173/100/VLOOKUP($C$171,'DB animal categories'!$C$68:$AC$80,27,FALSE)*AJ173+Y173+Z173+AA173,IF(AS173=5,('Calc (ex-animal)'!$Q$39+'Calc (ex-animal)'!$R$39)*AG173/100*'Calc (ex-housing, ex-storage)'!F173/100/VLOOKUP($C$171,'DB animal categories'!$C$68:$AC$80,27,FALSE)*AJ173+Y173+Z173+AA173,IF(AS173=3,('Calc (ex-animal)'!$Q$39+'Calc (ex-animal)'!$R$39)*AG173/100*'Calc (ex-housing, ex-storage)'!F173/100/VLOOKUP($C$171,'DB animal categories'!$C$68:$AC$80,27,FALSE)*AJ173+Y173+Z173+AA173,IF(AS173=4,('Calc (ex-animal)'!$Q$39+'Calc (ex-animal)'!$R$39)*AG173/100*'Calc (ex-housing, ex-storage)'!F173/100*VLOOKUP(D173,'DB technologies'!$N$82:$Y$94,12,FALSE)/100/VLOOKUP($C$171,'DB animal categories'!$C$68:$AC$80,27,FALSE)*AJ173+Y173+Z173+AA173,0))))))</f>
        <v/>
      </c>
      <c r="BA173" s="506"/>
      <c r="BB173" s="506"/>
      <c r="BC173" s="506"/>
    </row>
    <row r="174" spans="1:55" x14ac:dyDescent="0.2">
      <c r="A174" s="684"/>
      <c r="B174" s="695"/>
      <c r="C174" s="251"/>
      <c r="D174" s="1367"/>
      <c r="E174" s="1373"/>
      <c r="F174" s="692" t="str">
        <f>IF('Calc (ex-animal)'!$F$9=1,"",IF($C$152=0,"",IF(D174="","",E174/'Calc (ex-animal)'!$E$32*100)))</f>
        <v/>
      </c>
      <c r="G174" s="539" t="str">
        <f>IF($C$171=0,"",IF('Calc (ex-animal)'!$F$38=1,"",IF(D174="","",SUM(H174:O174))))</f>
        <v/>
      </c>
      <c r="H174" s="532" t="str">
        <f>IF('Calc (ex-animal)'!$F$38=1,"",IF(D174="","",(((VLOOKUP($C$171,'Calc (ex-animal)'!$D$38:$Y$42,6,FALSE)-VLOOKUP($C$171,'Calc (ex-animal)'!$D$38:$Y$42,17,FALSE))*F173/100*AH173/100))*VLOOKUP($C$171,'Calc (ex-animal)'!$D$38:$Y$42,7,FALSE)/100*(1-VLOOKUP(D174,'DB technologies'!$N$96:$Y$107,9,FALSE)/100)))</f>
        <v/>
      </c>
      <c r="I174" s="532" t="str">
        <f>IF(D174="","",((VLOOKUP(D174,'DB technologies'!$N$96:$Y$107,2,FALSE)*VLOOKUP($C$171,'DB animal categories'!$C$68:$AC$80,27,FALSE)*F173/1000*AH173/100)/VLOOKUP($C$171,'DB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'!$S$6/100*(1-VLOOKUP(D174,'DB technologies'!$N$96:$Y$107,9,FALSE)/100)))</f>
        <v/>
      </c>
      <c r="J174" s="533" t="str">
        <f>IF(D174="","",((VLOOKUP(D174,'DB technologies'!$N$96:$Y$107,3,FALSE)*VLOOKUP($C$171,'DB animal categories'!$C$68:$AC$80,27,FALSE)*E173/1000*AH173/100)/VLOOKUP($C$171,'DB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'!$S$7/100*(1-VLOOKUP(D174,'DB technologies'!$N$96:$Y$107,9,FALSE)/100)))</f>
        <v/>
      </c>
      <c r="K174" s="534" t="str">
        <f>IF(D174="","",((VLOOKUP(D174,'DB technologies'!$N$96:$Y$107,4,FALSE)*E173*AH173/100*'DB additional information '!$S$8/100*(1-VLOOKUP(D174,'DB technologies'!$N$96:$Y$107,9,FALSE)/100))/VLOOKUP($C$171,'DB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4" s="532" t="str">
        <f>IF('Calc (ex-animal)'!$F$38=1,"",IF(D174="","",(((VLOOKUP($C$171,'Calc (ex-animal)'!$D$38:$Y$42,6,FALSE)-VLOOKUP($C$171,'Calc (ex-animal)'!$D$38:$Y$42,17,FALSE))*F173/100*AH173/100))*(1-VLOOKUP($C$171,'Calc (ex-animal)'!$D$38:$Y$42,7,FALSE)/100)*(1-VLOOKUP(D174,'DB technologies'!$N$96:$V$107,8,FALSE)/100)))</f>
        <v/>
      </c>
      <c r="M174" s="533" t="str">
        <f>IF(D174="","",((VLOOKUP(D174,'DB technologies'!$N$96:$Y$107,2,FALSE)*VLOOKUP($C$171,'DB animal categories'!$C$68:$AC$80,27,FALSE)*E173/1000*AH173/100)/VLOOKUP($C$171,'DB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'!$S$6/100)*(1-VLOOKUP(D174,'DB technologies'!$N$96:$Y$107,9,FALSE)/100))</f>
        <v/>
      </c>
      <c r="N174" s="533" t="str">
        <f>IF(D174="","",((VLOOKUP(D174,'DB technologies'!$N$96:$Y$107,3,FALSE)*VLOOKUP($C$171,'DB animal categories'!$C$68:$AC$80,27,FALSE)*E173/1000*AH173/100)/VLOOKUP($C$171,'DB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'!$S$7/100)*(1-VLOOKUP(D174,'DB technologies'!$N$96:$Y$107,9,FALSE)/100))</f>
        <v/>
      </c>
      <c r="O174" s="532" t="str">
        <f>IF(D174="","",((VLOOKUP(D174,'DB technologies'!$N$96:$Y$107,4,FALSE)*E173*AH173/100*(1-'DB additional information '!$S$8/100)*(1-VLOOKUP(D174,'DB technologies'!$N$96:$Y$107,8,FALSE)/100))/VLOOKUP($C$171,'DB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4" s="535" t="str">
        <f>IF(G174=0,0,IF(E173="","",IF(F173="","",IF($C$171=0,"",IF(D174="","",SUM(H174:K174)/G174*100)))))</f>
        <v/>
      </c>
      <c r="Q174" s="536" t="str">
        <f>IF(D174="","",(VLOOKUP(D174,'DB technologies'!$N$96:$Y$107,2,FALSE)*'DB additional information '!$S$6/100*'DB additional information '!$T$6*VLOOKUP($C$171,'DB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4" s="536" t="str">
        <f>IF(D174="","",(VLOOKUP(D174,'DB technologies'!$N$96:$Y$107,3,FALSE)*'DB additional information '!$S$7/100*'DB additional information '!$T$7*VLOOKUP($C$171,'DB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4" s="540" t="str">
        <f>IF(D174="","",(VLOOKUP(D174,'DB technologies'!$N$96:$Y$107,4,FALSE)*('DB additional information '!$S$8/100*'DB additional information '!$T$8*E173/1000/1000*AH173/100)))</f>
        <v/>
      </c>
      <c r="T174" s="303" t="str">
        <f>IF($C$171=0,"",IF('Calc (ex-animal)'!$F$38=1,"",IF(D174="","",((VLOOKUP($C$171,'Calc (ex-animal)'!$D$38:$Y$42,10,FALSE)-VLOOKUP($C$171,'Calc (ex-animal)'!$D$38:$Y$42,18,FALSE))*F173/100*AH173/100+Q174+R174+S174)-AC174-AD174-AE174)))</f>
        <v/>
      </c>
      <c r="U174" s="542" t="str">
        <f>IF(D174="","",(VLOOKUP(D174,'DB technologies'!$N$96:$Y$107,2,FALSE)*'DB additional information '!$S$6/100*'DB additional information '!$U$6*VLOOKUP($C$171,'DB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4" s="524" t="str">
        <f>IF(D174="","",(VLOOKUP(D174,'DB technologies'!$N$96:$Y$107,3,FALSE)*'DB additional information '!$S$7/100*'DB additional information '!$U$7*VLOOKUP($C$171,'DB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4" s="543" t="str">
        <f>IF(D174="","",(VLOOKUP(D174,'DB technologies'!$N$96:$Y$107,4,FALSE)*('DB additional information '!$S$8/100*'DB additional information '!$U$8*E173/1000/1000*AH173/100)))</f>
        <v/>
      </c>
      <c r="X174" s="304" t="str">
        <f>IF($C$171=0,"",IF('Calc (ex-animal)'!$F$38=1,"",IF(D174="","",((VLOOKUP($C$171,'Calc (ex-animal)'!$D$38:$Y$42,13,FALSE)-VLOOKUP($C$171,'Calc (ex-animal)'!$D$38:$Y$42,19,FALSE))*F173/100*AH173/100+U174+V174+W174))))</f>
        <v/>
      </c>
      <c r="Y174" s="524" t="str">
        <f>IF(D174="","",(VLOOKUP(D174,'DB technologies'!$N$96:$Y$107,2,FALSE)*'DB additional information '!$S$6/100*'DB additional information '!$V$6*VLOOKUP($C$171,'DB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4" s="524" t="str">
        <f>IF(D174="","",(VLOOKUP(D174,'DB technologies'!$N$96:$Y$107,3,FALSE)*'DB additional information '!$S$7/100*'DB additional information '!$V$7*VLOOKUP($C$171,'DB animal categories'!$C$68:$AC$80,27,FALSE)*E173/1000/1000*AH173/100)/VLOOKUP($C$171,'DB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4" s="524" t="str">
        <f>IF(D174="","",(VLOOKUP(D174,'DB technologies'!$N$96:$Y$107,4,FALSE)*('DB additional information '!$S$8/100*'DB additional information '!$V$8*E173/1000/1000*AH173/100)))</f>
        <v/>
      </c>
      <c r="AB174" s="304" t="str">
        <f>IF($C$171=0,"",IF('Calc (ex-animal)'!$F$38=1,"",IF(D174="","",((VLOOKUP($C$171,'Calc (ex-animal)'!$D$38:$Y$42,16,FALSE)-VLOOKUP($C$171,'Calc (ex-animal)'!$D$38:$Y$42,20,FALSE))*F173/100*AH173/100+Y174+Z174+AA174))))</f>
        <v/>
      </c>
      <c r="AC174" s="304" t="str">
        <f>IF($C$171=0,"",IF('Calc (ex-animal)'!$F$38=1,"",IF(D174="","",VLOOKUP($C$171,'Calc (ex-animal)'!$D$38:$Y$42,9,FALSE)*AH173/100/VLOOKUP($C$171,'DB animal categories'!$C$68:$AC$80,27,FALSE)*(VLOOKUP($C$171,'DB animal categories'!$C$68:$AC$80,27,FALSE)-VLOOKUP($C$171,'DB animal categories'!$C$68:$AC$80,25,FALSE)*VLOOKUP($C$171,'DB animal categories'!$C$68:$AC$80,26,FALSE)/24)*F173/100*VLOOKUP(D174,'DB technologies'!$N$96:$R$107,5,FALSE)/100)))</f>
        <v/>
      </c>
      <c r="AD174" s="304" t="str">
        <f>IF($C$171=0,"",IF('Calc (ex-animal)'!$F$38=1,"",IF(D174="","",VLOOKUP($C$171,'Calc (ex-animal)'!$D$38:$Y$42,10,FALSE)*AH173/100/VLOOKUP($C$171,'DB animal categories'!$C$68:$AC$80,27,FALSE)*(VLOOKUP($C$171,'DB animal categories'!$C$68:$AC$80,27,FALSE)-VLOOKUP($C$171,'DB animal categories'!$C$68:$AC$80,25,FALSE)*VLOOKUP($C$171,'DB animal categories'!$C$68:$AC$80,26,FALSE)/24)*F173/100*VLOOKUP(D174,'DB technologies'!$N$96:$Y$107,6,FALSE)/100)))</f>
        <v/>
      </c>
      <c r="AE174" s="305" t="str">
        <f>IF($C$171=0,"",IF('Calc (ex-animal)'!$F$38=1,"",IF(D174="","",VLOOKUP($C$171,'Calc (ex-animal)'!$D$38:$Y$42,10,FALSE)*AH173/100/VLOOKUP($C$171,'DB animal categories'!$C$68:$AC$80,27,FALSE)*(VLOOKUP($C$171,'DB animal categories'!$C$68:$AC$80,27,FALSE)-VLOOKUP($C$171,'DB animal categories'!$C$68:$AC$80,25,FALSE)*VLOOKUP($C$171,'DB animal categories'!$C$68:$AC$80,26,FALSE)/24)*F173/100*VLOOKUP(D174,'DB technologies'!$N$96:$Y$107,7,FALSE)/100)))</f>
        <v/>
      </c>
      <c r="AF174" s="43"/>
      <c r="AG174" s="1390"/>
      <c r="AH174" s="1380"/>
      <c r="AI174" s="187" t="str">
        <f>IF(D174="","",VLOOKUP(D174,'DB technologies'!$N$96:$Y$107,10,FALSE))</f>
        <v/>
      </c>
      <c r="AJ174" s="451" t="e">
        <f>VLOOKUP($C$171,'DB animal categories'!$C$68:$AN$80,27,FALSE)-VLOOKUP($C$171,'DB animal categories'!$C$68:$AN$80,26,FALSE)*VLOOKUP($C$171,'DB animal categories'!$C$68:$AN$80,25,FALSE)/24</f>
        <v>#N/A</v>
      </c>
      <c r="AK174" s="452" t="str">
        <f t="shared" si="26"/>
        <v/>
      </c>
      <c r="AL174" s="452" t="str">
        <f>IF(D174="","",IF(AI174=2,(('Calc (ex-animal)'!$G$39*'DB additional information '!$K$12/100*AH173/100*(1-VLOOKUP(D174,'DB technologies'!$N$96:$Y$107,9,FALSE)/100)*'Calc (ex-housing, ex-storage)'!F173/100+'Calc (ex-animal)'!$H$39*'DB additional information '!$L$12/100*AH173/100*(1-VLOOKUP(D174,'DB technologies'!$N$96:$Y$107,9,FALSE)/100)*'Calc (ex-housing, ex-storage)'!F173/100))/VLOOKUP($C$171,'DB animal categories'!$C$68:$AC$80,27,FALSE)*AJ174+I174+J174+K174,IF(AI174=1,('Calc (ex-animal)'!$H$39*AH173/100*'DB additional information '!$L$12/100*(1-VLOOKUP(D174,'DB technologies'!$N$96:$Y$107,9,FALSE)/100)*'Calc (ex-housing, ex-storage)'!F173/100)/VLOOKUP($C$171,'DB animal categories'!$C$68:$AC$80,27,FALSE)*AJ174,IF(AI174=4,('Calc (ex-animal)'!$G$39*'DB additional information '!$K$12/100+'Calc (ex-animal)'!$H$39*'DB additional information '!$L$12/100)*AH173/100*(1-VLOOKUP(D174,'DB technologies'!$N$96:$Y$107,9,FALSE)/100)*'Calc (ex-housing, ex-storage)'!F173/100*VLOOKUP(D174,'DB technologies'!$N$96:$Y$107,11,FALSE)/100/VLOOKUP($C$171,'DB animal categories'!$C$68:$AC$80,27,FALSE)*AJ174,0))))</f>
        <v/>
      </c>
      <c r="AM174" s="452" t="str">
        <f>IF(D174="","",IF(AI174=2,(('Calc (ex-animal)'!$G$39*(1-'DB additional information '!$K$12/100)*AH173/100*(1-VLOOKUP(D174,'DB technologies'!$N$96:$Y$107,8,FALSE)/100)*'Calc (ex-housing, ex-storage)'!F173/100+'Calc (ex-animal)'!$H$39*(1-'DB additional information '!$L$12/100)*AH173/100*(1-VLOOKUP(D174,'DB technologies'!$N$96:$Y$107,8,FALSE)/100)*'Calc (ex-housing, ex-storage)'!F173/100))/VLOOKUP($C$171,'DB animal categories'!$C$68:$AC$80,27,FALSE)*AJ174+M174+N174+O174,IF(AI174=1,('Calc (ex-animal)'!$H$39*(1-'DB additional information '!$L$12/100)*AH173/100*(1-VLOOKUP(D174,'DB technologies'!$N$96:$Y$107,8,FALSE)/100)*'Calc (ex-housing, ex-storage)'!F173/100)/VLOOKUP($C$171,'DB animal categories'!$C$68:$AC$80,27,FALSE)*AJ174,IF(AI174=4,('Calc (ex-animal)'!$G$39*(1-'DB additional information '!$K$12/100)+'Calc (ex-animal)'!$H$39*(1-'DB additional information '!$L$12/100))*AH173/100*(1-VLOOKUP(D174,'DB technologies'!$N$96:$Y$107,8,FALSE)/100)*'Calc (ex-housing, ex-storage)'!F173/100*VLOOKUP(D174,'DB technologies'!$N$96:$Y$107,11,FALSE)/100/VLOOKUP($C$171,'DB animal categories'!$C$68:$AC$80,27,FALSE)*AJ174,0))))</f>
        <v/>
      </c>
      <c r="AN174" s="452" t="str">
        <f t="shared" si="27"/>
        <v/>
      </c>
      <c r="AO174" s="184" t="str">
        <f>IF(D174="","",IF(AI174=2,(('Calc (ex-animal)'!$L$39*'Calc (ex-housing, ex-storage)'!F173/100+'Calc (ex-animal)'!$K$39*'Calc (ex-housing, ex-storage)'!F173/100))*AH173/100/VLOOKUP($C$171,'DB animal categories'!$C$68:$AC$80,27,FALSE)*AJ174+Q174+R174+S174-AC174,IF(AI174=1,('Calc (ex-animal)'!$L$39*'Calc (ex-housing, ex-storage)'!F173/100)*AH173/100/VLOOKUP($C$171,'DB animal categories'!$C$68:$AC$80,27,FALSE)*AJ174-'Calc (ex-housing, ex-storage)'!AC174,IF(AI174=4,('Calc (ex-animal)'!$L$39+'Calc (ex-animal)'!$K$39)*'Calc (ex-housing, ex-storage)'!F173/100*AH173/100*VLOOKUP(D174,'DB technologies'!$N$96:$Y$107,11,FALSE)/100/VLOOKUP($C$171,'DB animal categories'!$C$68:$AC$80,27,FALSE)*AJ174-AC174*VLOOKUP(D174,'DB technologies'!$N$96:$Y$107,11,FALSE)/100,0))))</f>
        <v/>
      </c>
      <c r="AP174" s="184" t="str">
        <f>IF(D174="","",IF(AO174&lt;-0.01,0,IF(AI174=2,(('Calc (ex-animal)'!$L$39*'Calc (ex-housing, ex-storage)'!F173/100+'Calc (ex-animal)'!$K$39*'Calc (ex-housing, ex-storage)'!F173/100))*AH173/100/VLOOKUP($C$171,'DB animal categories'!$C$68:$AC$80,27,FALSE)*AJ174+Q174+R174+S174-AC174,IF(AI174=1,('Calc (ex-animal)'!$L$39*'Calc (ex-housing, ex-storage)'!F173/100)*AH173/100/VLOOKUP($C$171,'DB animal categories'!$C$68:$AC$80,27,FALSE)*AJ174-'Calc (ex-housing, ex-storage)'!AC174,IF(AI174=4,('Calc (ex-animal)'!$L$39+'Calc (ex-animal)'!$K$39)*'Calc (ex-housing, ex-storage)'!F173/100*AH173/100*VLOOKUP(D174,'DB technologies'!$N$96:$Y$107,11,FALSE)/100/VLOOKUP($C$171,'DB animal categories'!$C$68:$AC$80,27,FALSE)*AJ174-AC174*VLOOKUP(D174,'DB technologies'!$N$96:$Y$107,11,FALSE)/100,0)))))</f>
        <v/>
      </c>
      <c r="AQ174" s="184" t="str">
        <f>IF(D174="","",IF(AI174=2,('Calc (ex-animal)'!$O$39*'Calc (ex-housing, ex-storage)'!F173/100+'Calc (ex-animal)'!$N$39*'Calc (ex-housing, ex-storage)'!F173/100)*AH173/100/VLOOKUP($C$171,'DB animal categories'!$C$68:$AC$80,27,FALSE)*AJ174+U174+V174+W174,IF(AI174=1,'Calc (ex-animal)'!$O$39*'Calc (ex-housing, ex-storage)'!F173/100*AH173/100/VLOOKUP($C$171,'DB animal categories'!$C$68:$AC$80,27,FALSE)*AJ174,IF(AI174=4,('Calc (ex-animal)'!$O$39+'Calc (ex-animal)'!$N$39)*'Calc (ex-housing, ex-storage)'!F173/100*AH173/100*VLOOKUP(D174,'DB technologies'!$N$96:$Y$107,11,FALSE)/100/VLOOKUP($C$171,'DB animal categories'!$C$68:$AC$80,27,FALSE)*AJ174,0))))</f>
        <v/>
      </c>
      <c r="AR174" s="184" t="str">
        <f>IF(D174="","",IF(AI174=2,('Calc (ex-animal)'!$R$39*'Calc (ex-housing, ex-storage)'!F173/100+'Calc (ex-animal)'!$Q$39*'Calc (ex-housing, ex-storage)'!F173/100)*AH173/100/VLOOKUP($C$171,'DB animal categories'!$C$68:$AC$80,27,FALSE)*AJ174+Y174+Z174+AA174,IF(AI174=1,'Calc (ex-animal)'!$R$39*'Calc (ex-housing, ex-storage)'!F173/100*AH173/100/VLOOKUP($C$171,'DB animal categories'!$C$68:$AC$80,27,FALSE)*AJ174,IF(AI174=4,('Calc (ex-animal)'!$R$39+'Calc (ex-animal)'!$Q$39)*'Calc (ex-housing, ex-storage)'!F173/100*AH173/100*VLOOKUP(D174,'DB technologies'!$N$96:$Y$107,11,FALSE)/100/VLOOKUP($C$171,'DB animal categories'!$C$68:$AC$80,27,FALSE)*AJ174,0))))</f>
        <v/>
      </c>
      <c r="AS174" s="183" t="str">
        <f>IF(D174="","",VLOOKUP(D174,'DB technologies'!$N$96:$Y$107,10,FALSE))</f>
        <v/>
      </c>
      <c r="AT174" s="452" t="str">
        <f t="shared" si="28"/>
        <v/>
      </c>
      <c r="AU174" s="452" t="str">
        <f>IF(D174="","",IF(AS174=2,0,IF(AS174=1,'Calc (ex-animal)'!$G$39*'DB additional information '!$K$12/100*AH173/100*(1-VLOOKUP(D174,'DB technologies'!$N$96:$Y$107,8,FALSE)/100)*'Calc (ex-housing, ex-storage)'!F173/100/VLOOKUP($C$171,'DB animal categories'!$C$68:$AC$80,27,FALSE)*AJ174+I174+J174+K174,IF(AS174=5,(('Calc (ex-animal)'!$G$39*'DB additional information '!$K$12/100+'Calc (ex-animal)'!$H$39*'DB additional information '!$L$12/100))*AH173/100*(1-VLOOKUP(D174,'DB technologies'!$N$96:$Y$107,9,FALSE)/100)*'Calc (ex-housing, ex-storage)'!F173/100/VLOOKUP($C$171,'DB animal categories'!$C$68:$AC$80,27,FALSE)*AJ174+I174+J174+K174,IF(AS174=3,('Calc (ex-animal)'!$G$39*'DB additional information '!$K$12/100+'Calc (ex-animal)'!$H$39*'DB additional information '!$L$12/100)*AH173/100*(1-VLOOKUP(D174,'DB technologies'!$N$96:$Y$107,9,FALSE)/100)*'Calc (ex-housing, ex-storage)'!F173/100/VLOOKUP($C$171,'DB animal categories'!$C$68:$AC$80,27,FALSE)*AJ174+I174+J174+K174,IF(AS174=4,('Calc (ex-animal)'!$G$39*'DB additional information '!$K$12/100+'Calc (ex-animal)'!$H$39*'DB additional information '!$L$12/100)*AH173/100*(1-VLOOKUP(D174,'DB technologies'!$N$96:$Y$107,9,FALSE)/100)*'Calc (ex-housing, ex-storage)'!F173/100*VLOOKUP(D174,'DB technologies'!$N$96:$Y$107,12,FALSE)/100/VLOOKUP($C$171,'DB animal categories'!$C$68:$AC$80,27,FALSE)*AJ174+I174+J174+K174,0))))))</f>
        <v/>
      </c>
      <c r="AV174" s="452" t="str">
        <f>IF(D174="","",IF(AS174=2,0,IF(AS174=1,'Calc (ex-animal)'!$G$39*(1-'DB additional information '!$K$12/100)*AH173/100*(1-VLOOKUP(D174,'DB technologies'!$N$96:$Y$107,8,FALSE)/100)*'Calc (ex-housing, ex-storage)'!F173/100/VLOOKUP($C$171,'DB animal categories'!$C$68:$AC$80,27,FALSE)*AJ174+M174+N174+O174,IF(AS174=5,('Calc (ex-animal)'!$G$39*(1-'DB additional information '!$K$12/100)+'Calc (ex-animal)'!$H$39*(1-'DB additional information '!$L$12/100))*AH173/100*(1-VLOOKUP(D174,'DB technologies'!$N$96:$Y$107,8,FALSE)/100)*'Calc (ex-housing, ex-storage)'!F173/100/VLOOKUP($C$171,'DB animal categories'!$C$68:$AC$80,27,FALSE)*AJ174+M174+N174+O174,IF(AS174=3,('Calc (ex-animal)'!$G$39*(1-'DB additional information '!$K$12/100)+'Calc (ex-animal)'!$H$39*(1-'DB additional information '!$L$12/100))*AH173/100*(1-VLOOKUP(D174,'DB technologies'!$N$96:$Y$107,8,FALSE)/100)*'Calc (ex-housing, ex-storage)'!F173/100/VLOOKUP($C$171,'DB animal categories'!$C$68:$AC$80,27,FALSE)*AJ174+M174+N174+O174,IF(AS174=4,('Calc (ex-animal)'!$G$39*(1-'DB additional information '!$K$12/100)+'Calc (ex-animal)'!$H$39*(1-'DB additional information '!$L$12/100))*AH173/100*(1-VLOOKUP(D174,'DB technologies'!$N$96:$Y$107,8,FALSE)/100)*'Calc (ex-housing, ex-storage)'!F173/100*VLOOKUP(D174,'DB technologies'!$N$96:$Y$107,12,FALSE)/100/VLOOKUP($C$171,'DB animal categories'!$C$68:$AC$80,27,FALSE)*AJ174+M174+N174+O174,0))))))</f>
        <v/>
      </c>
      <c r="AW174" s="452" t="str">
        <f t="shared" si="29"/>
        <v/>
      </c>
      <c r="AX174" s="184" t="str">
        <f>IF(D174="","",IF(AS174=2,0,IF(AS174=1,'Calc (ex-animal)'!$K$39*'Calc (ex-housing, ex-storage)'!F173/100*AH173/100/VLOOKUP($C$171,'DB animal categories'!$C$68:$AC$80,27,FALSE)*AJ174+Q174+R174+S174,IF(AS174=5,('Calc (ex-animal)'!$K$39+'Calc (ex-animal)'!$L$39)*AH173/100*'Calc (ex-housing, ex-storage)'!F173/100/VLOOKUP($C$171,'DB animal categories'!$C$68:$AC$80,27,FALSE)*AJ174+Q174+R174+S174-'Calc (ex-housing, ex-storage)'!AC174,IF(AS174=3,('Calc (ex-animal)'!$K$39+'Calc (ex-animal)'!$L$39)*AH173/100*'Calc (ex-housing, ex-storage)'!F173/100/VLOOKUP($C$171,'DB animal categories'!$C$68:$AC$80,27,FALSE)*AJ174+Q174+R174+S174-'Calc (ex-housing, ex-storage)'!AC174-AD174-AE174,IF(AI174=4,('Calc (ex-animal)'!$K$39+'Calc (ex-animal)'!$L$39)*AH173/100*'Calc (ex-housing, ex-storage)'!F173/100*VLOOKUP(D174,'DB technologies'!$N$96:$Y$107,12,FALSE)/100/VLOOKUP($C$171,'DB animal categories'!$C$68:$AC$80,27,FALSE)*AJ174+Q174+R174+S174-(VLOOKUP(D174,'DB technologies'!$N$96:$Y$107,12,FALSE)/100*AC174)-AD174-AE174,0))))))</f>
        <v/>
      </c>
      <c r="AY174" s="184" t="str">
        <f>IF(D174="","",IF(AS174=2,0,IF(AS174=1,'Calc (ex-animal)'!$N$39*AH173/100*'Calc (ex-housing, ex-storage)'!F173/100/VLOOKUP($C$171,'DB animal categories'!$C$68:$AC$80,27,FALSE)*AJ174+U174+V174+W174,IF(AS174=5,('Calc (ex-animal)'!$N$39+'Calc (ex-animal)'!$O$39)*AH173/100*'Calc (ex-housing, ex-storage)'!F173/100/VLOOKUP($C$171,'DB animal categories'!$C$68:$AC$80,27,FALSE)*AJ174+U174+V174+W174,IF(AS174=3,('Calc (ex-animal)'!$N$39+'Calc (ex-animal)'!$O$39)*AH173/100*'Calc (ex-housing, ex-storage)'!F173/100/VLOOKUP($C$171,'DB animal categories'!$C$68:$AC$80,27,FALSE)*AJ174+U174+V174+W174,IF(AS174=4,('Calc (ex-animal)'!$N$39+'Calc (ex-animal)'!$O$39)*AH173/100*'Calc (ex-housing, ex-storage)'!F173/100*VLOOKUP(D174,'DB technologies'!$N$96:$Y$107,12,FALSE)/100/VLOOKUP($C$171,'DB animal categories'!$C$68:$AC$80,27,FALSE)*AJ174+U174+V174+W174,0))))))</f>
        <v/>
      </c>
      <c r="AZ174" s="184" t="str">
        <f>IF(D174="","",IF(AS174=2,0,IF(AS174=1,'Calc (ex-animal)'!$Q$39*AH173/100*'Calc (ex-housing, ex-storage)'!F173/100/VLOOKUP($C$171,'DB animal categories'!$C$68:$AC$80,27,FALSE)*AJ174+Y174+Z174+AA174,IF(AS174=5,('Calc (ex-animal)'!$Q$39+'Calc (ex-animal)'!$R$39)*AH173/100*'Calc (ex-housing, ex-storage)'!F173/100/VLOOKUP($C$171,'DB animal categories'!$C$68:$AC$80,27,FALSE)*AJ174+Y174+Z174+AA174,IF(AS174=3,('Calc (ex-animal)'!$Q$39+'Calc (ex-animal)'!$R$39)*AH173/100*'Calc (ex-housing, ex-storage)'!F173/100/VLOOKUP($C$171,'DB animal categories'!$C$68:$AC$80,27,FALSE)*AJ174+Y174+Z174+AA174,IF(AS174=4,('Calc (ex-animal)'!$Q$39+'Calc (ex-animal)'!$R$39)*AH173/100*'Calc (ex-housing, ex-storage)'!F173/100*VLOOKUP(D174,'DB technologies'!$N$96:$Y$107,12,FALSE)/100/VLOOKUP($C$171,'DB animal categories'!$C$68:$AC$80,27,FALSE)*AJ174+Y174+Z174+AA174,0))))))</f>
        <v/>
      </c>
      <c r="BA174" s="506"/>
      <c r="BB174" s="506"/>
      <c r="BC174" s="506"/>
    </row>
    <row r="175" spans="1:55" x14ac:dyDescent="0.2">
      <c r="A175" s="684"/>
      <c r="B175" s="695"/>
      <c r="C175" s="251"/>
      <c r="D175" s="1357"/>
      <c r="E175" s="1374"/>
      <c r="F175" s="692" t="str">
        <f>IF('Calc (ex-animal)'!$F$38=1,"",IF($C$171=0,"",IF(D175="","",E175/'Calc (ex-animal)'!$E$39*100)))</f>
        <v/>
      </c>
      <c r="G175" s="438" t="str">
        <f>IF($C$171=0,"",IF('Calc (ex-animal)'!$F$38=1,"",IF(D175="","",SUM(H175:O175))))</f>
        <v/>
      </c>
      <c r="H175" s="423" t="str">
        <f>IF('Calc (ex-animal)'!$F$38=1,"",IF(D175="","",(((VLOOKUP($C$171,'Calc (ex-animal)'!$D$38:$Y$42,6,FALSE)-VLOOKUP($C$171,'Calc (ex-animal)'!$D$38:$Y$42,17,FALSE))*F175/100*AG175/100))*VLOOKUP($C$171,'Calc (ex-animal)'!$D$38:$Y$42,7,FALSE)/100*(1-VLOOKUP(D175,'DB technologies'!$N$83:$Y$94,9,FALSE)/100)))</f>
        <v/>
      </c>
      <c r="I175" s="423" t="str">
        <f>IF(D175="","",((VLOOKUP(D175,'DB technologies'!$N$83:$Y$94,2,FALSE)*VLOOKUP($C$171,'DB animal categories'!$C$68:$AC$80,27,FALSE)*E175/1000*AG175/100)/VLOOKUP($C$171,'DB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'!$S$6/100*(1-VLOOKUP(D175,'DB technologies'!$N$83:$Y$94,9,FALSE)/100)))</f>
        <v/>
      </c>
      <c r="J175" s="434" t="str">
        <f>IF(D175="","",((VLOOKUP(D175,'DB technologies'!$N$83:$Y$94,3,FALSE)*VLOOKUP($C$171,'DB animal categories'!$C$68:$AC$80,27,FALSE)*E175/1000*AG175/100)/VLOOKUP($C$171,'DB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'!$S$7/100*(1-VLOOKUP(D175,'DB technologies'!$N$83:$Y$94,9,FALSE)/100)))</f>
        <v/>
      </c>
      <c r="K175" s="526" t="str">
        <f>IF(D175="","",((VLOOKUP(D175,'DB technologies'!$N$83:$Y$94,4,FALSE)*E175*AG175/100*'DB additional information '!$S$8/100*(1-VLOOKUP(D175,'DB technologies'!$N$83:$Y$94,9,FALSE)/100))/VLOOKUP($C$171,'DB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5" s="423" t="str">
        <f>IF('Calc (ex-animal)'!$F$38=1,"",IF(D175="","",(((VLOOKUP($C$171,'Calc (ex-animal)'!$D$38:$Y$42,6,FALSE)-VLOOKUP($C$171,'Calc (ex-animal)'!$D$38:$Y$42,17,FALSE))*F175/100*AG175/100))*(1-VLOOKUP($C$171,'Calc (ex-animal)'!$D$38:$Y$42,7,FALSE)/100)*(1-VLOOKUP(D175,'DB technologies'!$N$83:$V$94,8,FALSE)/100)))</f>
        <v/>
      </c>
      <c r="M175" s="434" t="str">
        <f>IF(D175="","",((VLOOKUP(D175,'DB technologies'!$N$83:$Y$94,2,FALSE)*VLOOKUP($C$171,'DB animal categories'!$C$68:$AC$80,27,FALSE)*E175/1000*AG175/100)/VLOOKUP($C$171,'DB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'!$S$6/100)*(1-VLOOKUP(D175,'DB technologies'!$N$83:$Y$94,9,FALSE)/100))</f>
        <v/>
      </c>
      <c r="N175" s="434" t="str">
        <f>IF(D175="","",((VLOOKUP(D175,'DB technologies'!$N$83:$Y$94,3,FALSE)*VLOOKUP($C$171,'DB animal categories'!$C$68:$AC$80,27,FALSE)*E175/1000*AG175/100)/VLOOKUP($C$171,'DB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'!$S$7/100)*(1-VLOOKUP(D175,'DB technologies'!$N$83:$Y$94,9,FALSE)/100))</f>
        <v/>
      </c>
      <c r="O175" s="423" t="str">
        <f>IF(D175="","",((VLOOKUP(D175,'DB technologies'!$N$83:$Y$94,4,FALSE)*E175*AG175/100*(1-'DB additional information '!$S$8/100)*(1-VLOOKUP(D175,'DB technologies'!$N$83:$Y$94,8,FALSE)/100))/VLOOKUP($C$171,'DB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5" s="438" t="str">
        <f>IF(G175=0,0,IF(E175="","",IF(F175="","",IF($C$171=0,"",IF(D175="","",SUM(H175:K175)/G175*100)))))</f>
        <v/>
      </c>
      <c r="Q175" s="416" t="str">
        <f>IF(D175="","",(VLOOKUP(D175,'DB technologies'!$N$83:$Y$94,2,FALSE)*'DB additional information '!$S$6/100*'DB additional information '!$T$6*VLOOKUP($C$171,'DB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5" s="416" t="str">
        <f>IF(D175="","",(VLOOKUP(D175,'DB technologies'!$N$83:$Y$94,3,FALSE)*'DB additional information '!$S$7/100*'DB additional information '!$T$7*VLOOKUP($C$171,'DB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5" s="491" t="str">
        <f>IF(D175="","",(VLOOKUP(D175,'DB technologies'!$N$83:$Y$94,4,FALSE)*('DB additional information '!$S$8/100*'DB additional information '!$T$8*E175/1000/1000*AG175/100)))</f>
        <v/>
      </c>
      <c r="T175" s="264" t="str">
        <f>IF($C$171=0,"",IF('Calc (ex-animal)'!$F$38=1,"",IF(D175="","",((VLOOKUP($C$171,'Calc (ex-animal)'!$D$38:$Y$42,10,FALSE)-VLOOKUP($C$171,'Calc (ex-animal)'!$D$38:$Y$42,18,FALSE))*F175/100*AG175/100+Q175+R175+S175)-AC175-AD175-AE175)))</f>
        <v/>
      </c>
      <c r="U175" s="422" t="str">
        <f>IF(D175="","",(VLOOKUP(D175,'DB technologies'!$N$83:$Y$94,2,FALSE)*'DB additional information '!$S$6/100*'DB additional information '!$U$6*VLOOKUP($C$171,'DB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5" s="418" t="str">
        <f>IF(D175="","",(VLOOKUP(D175,'DB technologies'!$N$83:$Y$94,3,FALSE)*'DB additional information '!$S$7/100*'DB additional information '!$U$7*VLOOKUP($C$171,'DB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5" s="417" t="str">
        <f>IF(D175="","",(VLOOKUP(D175,'DB technologies'!$N$83:$Y$94,4,FALSE)*('DB additional information '!$S$8/100*'DB additional information '!$U$8*E175/1000/1000*AG175/100)))</f>
        <v/>
      </c>
      <c r="X175" s="261" t="str">
        <f>IF($C$171=0,"",IF('Calc (ex-animal)'!$F$38=1,"",IF(D175="","",((VLOOKUP($C$171,'Calc (ex-animal)'!$D$38:$Y$42,13,FALSE)-VLOOKUP($C$171,'Calc (ex-animal)'!$D$38:$Y$42,19,FALSE))*F175/100*AG175/100+U175+V175+W175))))</f>
        <v/>
      </c>
      <c r="Y175" s="418" t="str">
        <f>IF(D175="","",(VLOOKUP(D175,'DB technologies'!$N$83:$Y$94,2,FALSE)*'DB additional information '!$S$6/100*'DB additional information '!$V$6*VLOOKUP($C$171,'DB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5" s="418" t="str">
        <f>IF(D175="","",(VLOOKUP(D175,'DB technologies'!$N$83:$Y$94,3,FALSE)*'DB additional information '!$S$7/100*'DB additional information '!$V$7*VLOOKUP($C$171,'DB animal categories'!$C$68:$AC$80,27,FALSE)*E175/1000/1000*AG175/100)/VLOOKUP($C$171,'DB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5" s="418" t="str">
        <f>IF(D175="","",(VLOOKUP(D175,'DB technologies'!$N$83:$Y$94,4,FALSE)*('DB additional information '!$S$8/100*'DB additional information '!$V$8*E175/1000/1000*AG175/100)))</f>
        <v/>
      </c>
      <c r="AB175" s="261" t="str">
        <f>IF($C$171=0,"",IF('Calc (ex-animal)'!$F$38=1,"",IF(D175="","",((VLOOKUP($C$171,'Calc (ex-animal)'!$D$38:$Y$42,16,FALSE)-VLOOKUP($C$171,'Calc (ex-animal)'!$D$38:$Y$42,20,FALSE))*F175/100*AG175/100+Y175+Z175+AA175))))</f>
        <v/>
      </c>
      <c r="AC175" s="261" t="str">
        <f>IF($C$171=0,"",IF('Calc (ex-animal)'!$F$38=1,"",IF(D175="","",VLOOKUP($C$171,'Calc (ex-animal)'!$D$38:$Y$42,9,FALSE)*AG175/100/VLOOKUP($C$171,'DB animal categories'!$C$68:$AC$80,27,FALSE)*(VLOOKUP($C$171,'DB animal categories'!$C$68:$AC$80,27,FALSE)-VLOOKUP($C$171,'DB animal categories'!$C$68:$AC$80,25,FALSE)*VLOOKUP($C$171,'DB animal categories'!$C$68:$AC$80,26,FALSE)/24)*F175/100*VLOOKUP(D175,'DB technologies'!$N$83:$R$94,5,FALSE)/100)))</f>
        <v/>
      </c>
      <c r="AD175" s="261" t="str">
        <f>IF($C$171=0,"",IF('Calc (ex-animal)'!$F$38=1,"",IF(D175="","",VLOOKUP($C$171,'Calc (ex-animal)'!$D$38:$Y$42,10,FALSE)*AG175/100/VLOOKUP($C$171,'DB animal categories'!$C$68:$AC$80,27,FALSE)*(VLOOKUP($C$171,'DB animal categories'!$C$68:$AC$80,27,FALSE)-VLOOKUP($C$171,'DB animal categories'!$C$68:$AC$80,25,FALSE)*VLOOKUP($C$171,'DB animal categories'!$C$68:$AC$80,26,FALSE)/24)*F175/100*VLOOKUP(D175,'DB technologies'!$N$83:$Y$94,6,FALSE)/100)))</f>
        <v/>
      </c>
      <c r="AE175" s="262" t="str">
        <f>IF($C$171=0,"",IF('Calc (ex-animal)'!$F$38=1,"",IF(D175="","",VLOOKUP($C$171,'Calc (ex-animal)'!$D$38:$Y$42,10,FALSE)*AG175/100/VLOOKUP($C$171,'DB animal categories'!$C$68:$AC$80,27,FALSE)*(VLOOKUP($C$171,'DB animal categories'!$C$68:$AC$80,27,FALSE)-VLOOKUP($C$171,'DB animal categories'!$C$68:$AC$80,25,FALSE)*VLOOKUP($C$171,'DB animal categories'!$C$68:$AC$80,26,FALSE)/24)*F175/100*VLOOKUP(D175,'DB technologies'!$N$83:$Y$94,7,FALSE)/100)))</f>
        <v/>
      </c>
      <c r="AF175" s="43"/>
      <c r="AG175" s="1389"/>
      <c r="AH175" s="1382"/>
      <c r="AI175" s="181" t="str">
        <f>IF(D175="","",VLOOKUP(D175,'DB technologies'!$N$82:$Y$94,10,FALSE))</f>
        <v/>
      </c>
      <c r="AJ175" s="449" t="e">
        <f>VLOOKUP($C$171,'DB animal categories'!$C$68:$AN$80,27,FALSE)-VLOOKUP($C$171,'DB animal categories'!$C$68:$AN$80,26,FALSE)*VLOOKUP($C$171,'DB animal categories'!$C$68:$AN$80,25,FALSE)/24</f>
        <v>#N/A</v>
      </c>
      <c r="AK175" s="442" t="str">
        <f t="shared" si="26"/>
        <v/>
      </c>
      <c r="AL175" s="442" t="str">
        <f>IF(D175="","",IF(AI175=2,(('Calc (ex-animal)'!$G$39*'DB additional information '!$K$12/100*AG175/100*(1-VLOOKUP(D175,'DB technologies'!$N$82:$Y$94,9,FALSE)/100)*'Calc (ex-housing, ex-storage)'!F175/100+'Calc (ex-animal)'!$H$39*'DB additional information '!$L$12/100*AG175/100*(1-VLOOKUP(D175,'DB technologies'!$N$82:$Y$94,9,FALSE)/100)*'Calc (ex-housing, ex-storage)'!F175/100))/VLOOKUP($C$171,'DB animal categories'!$C$68:$AC$80,27,FALSE)*AJ175+I175+J175+K175,IF(AI175=1,('Calc (ex-animal)'!$H$39*AG175/100*'DB additional information '!$L$12/100*(1-VLOOKUP(D175,'DB technologies'!$N$82:$Y$94,9,FALSE)/100)*'Calc (ex-housing, ex-storage)'!F175/100)/VLOOKUP($C$171,'DB animal categories'!$C$68:$AC$80,27,FALSE)*AJ175,IF(AI175=4,('Calc (ex-animal)'!$G$39*'DB additional information '!$K$12/100+'Calc (ex-animal)'!$H$39*'DB additional information '!$L$12/100)*AG175/100*(1-VLOOKUP(D175,'DB technologies'!$N$82:$Y$94,9,FALSE)/100)*'Calc (ex-housing, ex-storage)'!F175/100*VLOOKUP(D175,'DB technologies'!$N$82:$Y$94,11,FALSE)/100/VLOOKUP($C$171,'DB animal categories'!$C$68:$AC$80,27,FALSE)*AJ175,0))))</f>
        <v/>
      </c>
      <c r="AM175" s="442" t="str">
        <f>IF(D175="","",IF(AI175=2,(('Calc (ex-animal)'!$G$39*(1-'DB additional information '!$K$12/100)*AG175/100*(1-VLOOKUP(D175,'DB technologies'!$N$82:$Y$94,8,FALSE)/100)*'Calc (ex-housing, ex-storage)'!F175/100+'Calc (ex-animal)'!$H$39*(1-'DB additional information '!$L$12/100)*AG175/100*(1-VLOOKUP(D175,'DB technologies'!$N$82:$Y$94,8,FALSE)/100)*'Calc (ex-housing, ex-storage)'!F175/100))/VLOOKUP($C$171,'DB animal categories'!$C$68:$AC$80,27,FALSE)*AJ175+M175+N175+O175,IF(AI175=1,('Calc (ex-animal)'!$H$39*(1-'DB additional information '!$L$12/100)*AG175/100*(1-VLOOKUP(D175,'DB technologies'!$N$82:$Y$94,8,FALSE)/100)*'Calc (ex-housing, ex-storage)'!F175/100)/VLOOKUP($C$171,'DB animal categories'!$C$68:$AC$80,27,FALSE)*AJ175,IF(AI175=4,('Calc (ex-animal)'!$G$39*(1-'DB additional information '!$K$12/100)+'Calc (ex-animal)'!$H$39*(1-'DB additional information '!$L$12/100))*AG175/100*(1-VLOOKUP(D175,'DB technologies'!$N$82:$Y$94,8,FALSE)/100)*'Calc (ex-housing, ex-storage)'!F175/100*VLOOKUP(D175,'DB technologies'!$N$82:$Y$94,11,FALSE)/100/VLOOKUP($C$171,'DB animal categories'!$C$68:$AC$80,27,FALSE)*AJ175,0))))</f>
        <v/>
      </c>
      <c r="AN175" s="442" t="str">
        <f t="shared" si="27"/>
        <v/>
      </c>
      <c r="AO175" s="182" t="str">
        <f>IF(D175="","",IF(AI175=2,(('Calc (ex-animal)'!$L$39*'Calc (ex-housing, ex-storage)'!F175/100+'Calc (ex-animal)'!$K$39*'Calc (ex-housing, ex-storage)'!F175/100))*AG175/100/VLOOKUP($C$171,'DB animal categories'!$C$68:$AC$80,27,FALSE)*AJ175+Q175+R175+S175-AC175,IF(AI175=1,('Calc (ex-animal)'!$L$39*'Calc (ex-housing, ex-storage)'!F175/100)*AG175/100/VLOOKUP($C$171,'DB animal categories'!$C$68:$AC$80,27,FALSE)*AJ175-'Calc (ex-housing, ex-storage)'!AC175,IF(AI175=4,('Calc (ex-animal)'!$L$39+'Calc (ex-animal)'!$K$39)*'Calc (ex-housing, ex-storage)'!F175/100*AG175/100*VLOOKUP(D175,'DB technologies'!$N$82:$Y$94,11,FALSE)/100/VLOOKUP($C$171,'DB animal categories'!$C$68:$AC$80,27,FALSE)*AJ175-AC175*VLOOKUP(D175,'DB technologies'!$N$82:$Y$94,11,FALSE)/100,0))))</f>
        <v/>
      </c>
      <c r="AP175" s="182" t="str">
        <f>IF(D175="","",IF(AO175&lt;-0.01,0,IF(AI175=2,(('Calc (ex-animal)'!$L$39*'Calc (ex-housing, ex-storage)'!F175/100+'Calc (ex-animal)'!$K$39*'Calc (ex-housing, ex-storage)'!F175/100))*AG175/100/VLOOKUP($C$171,'DB animal categories'!$C$68:$AC$80,27,FALSE)*AJ175+Q175+R175+S175-AC175,IF(AI175=1,('Calc (ex-animal)'!$L$39*'Calc (ex-housing, ex-storage)'!F175/100)*AG175/100/VLOOKUP($C$171,'DB animal categories'!$C$68:$AC$80,27,FALSE)*AJ175-'Calc (ex-housing, ex-storage)'!AC175,IF(AI175=4,('Calc (ex-animal)'!$L$39+'Calc (ex-animal)'!$K$39)*'Calc (ex-housing, ex-storage)'!F175/100*AG175/100*VLOOKUP(D175,'DB technologies'!$N$82:$Y$94,11,FALSE)/100/VLOOKUP($C$171,'DB animal categories'!$C$68:$AC$80,27,FALSE)*AJ175-AC175*VLOOKUP(D175,'DB technologies'!$N$82:$Y$94,11,FALSE)/100,0)))))</f>
        <v/>
      </c>
      <c r="AQ175" s="182" t="str">
        <f>IF(D175="","",IF(AI175=2,('Calc (ex-animal)'!$O$39*'Calc (ex-housing, ex-storage)'!F175/100+'Calc (ex-animal)'!$N$39*'Calc (ex-housing, ex-storage)'!F175/100)*AG175/100/VLOOKUP($C$171,'DB animal categories'!$C$68:$AC$80,27,FALSE)*AJ175+U175+V175+W175,IF(AI175=1,'Calc (ex-animal)'!$O$39*'Calc (ex-housing, ex-storage)'!F175/100*AG175/100/VLOOKUP($C$171,'DB animal categories'!$C$68:$AC$80,27,FALSE)*AJ175,IF(AI175=4,('Calc (ex-animal)'!$O$39+'Calc (ex-animal)'!$N$39)*'Calc (ex-housing, ex-storage)'!F175/100*AG175/100*VLOOKUP(D175,'DB technologies'!$N$82:$Y$94,11,FALSE)/100/VLOOKUP($C$171,'DB animal categories'!$C$68:$AC$80,27,FALSE)*AJ175,0))))</f>
        <v/>
      </c>
      <c r="AR175" s="182" t="str">
        <f>IF(D175="","",IF(AI175=2,('Calc (ex-animal)'!$R$39*'Calc (ex-housing, ex-storage)'!F175/100+'Calc (ex-animal)'!$Q$39*'Calc (ex-housing, ex-storage)'!F175/100)*AG175/100/VLOOKUP($C$171,'DB animal categories'!$C$68:$AC$80,27,FALSE)*AJ175+Y175+Z175+AA175,IF(AI175=1,'Calc (ex-animal)'!$R$39*'Calc (ex-housing, ex-storage)'!F175/100*AG175/100/VLOOKUP($C$171,'DB animal categories'!$C$68:$AC$80,27,FALSE)*AJ175,IF(AI175=4,('Calc (ex-animal)'!$R$39+'Calc (ex-animal)'!$Q$39)*'Calc (ex-housing, ex-storage)'!F175/100*AG175/100*VLOOKUP(D175,'DB technologies'!$N$82:$Y$94,11,FALSE)/100/VLOOKUP($C$171,'DB animal categories'!$C$68:$AC$80,27,FALSE)*AJ175,0))))</f>
        <v/>
      </c>
      <c r="AS175" s="181" t="str">
        <f>IF(D175="","",VLOOKUP(D175,'DB technologies'!$N$82:$Y$94,10,FALSE))</f>
        <v/>
      </c>
      <c r="AT175" s="442" t="str">
        <f t="shared" si="28"/>
        <v/>
      </c>
      <c r="AU175" s="442" t="str">
        <f>IF(D175="","",IF(AS175=2,0,IF(AS175=1,'Calc (ex-animal)'!$G$39*'DB additional information '!$K$12/100*AG175/100*(1-VLOOKUP(D175,'DB technologies'!$N$82:$Y$94,8,FALSE)/100)*'Calc (ex-housing, ex-storage)'!F175/100/VLOOKUP($C$171,'DB animal categories'!$C$68:$AC$80,27,FALSE)*AJ175+I175+J175+K175,IF(AS175=5,(('Calc (ex-animal)'!$G$39*'DB additional information '!$K$12/100+'Calc (ex-animal)'!$H$39*'DB additional information '!$L$12/100))*AG175/100*(1-VLOOKUP(D175,'DB technologies'!$N$82:$Y$94,9,FALSE)/100)*'Calc (ex-housing, ex-storage)'!F175/100/VLOOKUP($C$171,'DB animal categories'!$C$68:$AC$80,27,FALSE)*AJ175+I175+J175+K175,IF(AS175=3,('Calc (ex-animal)'!$G$39*'DB additional information '!$K$12/100+'Calc (ex-animal)'!$H$39*'DB additional information '!$L$12/100)*AG175/100*(1-VLOOKUP(D175,'DB technologies'!$N$82:$Y$94,9,FALSE)/100)*'Calc (ex-housing, ex-storage)'!F175/100/VLOOKUP($C$171,'DB animal categories'!$C$68:$AC$80,27,FALSE)*AJ175+I175+J175+K175,IF(AS175=4,('Calc (ex-animal)'!$G$39*'DB additional information '!$K$12/100+'Calc (ex-animal)'!$H$39*'DB additional information '!$L$12/100)*AG175/100*(1-VLOOKUP(D175,'DB technologies'!$N$82:$Y$94,9,FALSE)/100)*'Calc (ex-housing, ex-storage)'!F175/100*VLOOKUP(D175,'DB technologies'!$N$82:$Y$94,12,FALSE)/100/VLOOKUP($C$171,'DB animal categories'!$C$68:$AC$80,27,FALSE)*AJ175+I175+J175+K175,0))))))</f>
        <v/>
      </c>
      <c r="AV175" s="442" t="str">
        <f>IF(D175="","",IF(AS175=2,0,IF(AS175=1,'Calc (ex-animal)'!$G$39*(1-'DB additional information '!$K$12/100)*AG175/100*(1-VLOOKUP(D175,'DB technologies'!$N$82:$Y$94,8,FALSE)/100)*'Calc (ex-housing, ex-storage)'!F175/100/VLOOKUP($C$171,'DB animal categories'!$C$68:$AC$80,27,FALSE)*AJ175+M175+N175+O175,IF(AS175=5,('Calc (ex-animal)'!$G$39*(1-'DB additional information '!$K$12/100)+'Calc (ex-animal)'!$H$39*(1-'DB additional information '!$L$12/100))*AG175/100*(1-VLOOKUP(D175,'DB technologies'!$N$82:$Y$94,8,FALSE)/100)*'Calc (ex-housing, ex-storage)'!F175/100/VLOOKUP($C$171,'DB animal categories'!$C$68:$AC$80,27,FALSE)*AJ175+M175+N175+O175,IF(AS175=3,('Calc (ex-animal)'!$G$39*(1-'DB additional information '!$K$12/100)+'Calc (ex-animal)'!$H$39*(1-'DB additional information '!$L$12/100))*AG175/100*(1-VLOOKUP(D175,'DB technologies'!$N$82:$Y$94,8,FALSE)/100)*'Calc (ex-housing, ex-storage)'!F175/100/VLOOKUP($C$171,'DB animal categories'!$C$68:$AC$80,27,FALSE)*AJ175+M175+N175+O175,IF(AS175=4,('Calc (ex-animal)'!$G$39*(1-'DB additional information '!$K$12/100)+'Calc (ex-animal)'!$H$39*(1-'DB additional information '!$L$12/100))*AG175/100*(1-VLOOKUP(D175,'DB technologies'!$N$82:$Y$94,8,FALSE)/100)*'Calc (ex-housing, ex-storage)'!F175/100*VLOOKUP(D175,'DB technologies'!$N$82:$Y$94,12,FALSE)/100/VLOOKUP($C$171,'DB animal categories'!$C$68:$AC$80,27,FALSE)*AJ175+M175+N175+O175,0))))))</f>
        <v/>
      </c>
      <c r="AW175" s="442" t="str">
        <f t="shared" si="29"/>
        <v/>
      </c>
      <c r="AX175" s="182" t="str">
        <f>IF(D175="","",IF(AS175=2,0,IF(AS175=1,'Calc (ex-animal)'!$K$39*'Calc (ex-housing, ex-storage)'!F175/100*AG175/100/VLOOKUP($C$171,'DB animal categories'!$C$68:$AC$80,27,FALSE)*AJ175+Q175+R175+S175,IF(AS175=5,('Calc (ex-animal)'!$K$39+'Calc (ex-animal)'!$L$39)*AG175/100*'Calc (ex-housing, ex-storage)'!F175/100/VLOOKUP($C$171,'DB animal categories'!$C$68:$AC$80,27,FALSE)*AJ175+Q175+R175+S175-'Calc (ex-housing, ex-storage)'!AC175,IF(AS175=3,('Calc (ex-animal)'!$K$39+'Calc (ex-animal)'!$L$39)*AG175/100*'Calc (ex-housing, ex-storage)'!F175/100/VLOOKUP($C$171,'DB animal categories'!$C$68:$AC$80,27,FALSE)*AJ175+Q175+R175+S175-'Calc (ex-housing, ex-storage)'!AC175-AD175-AE175,IF(AI175=4,('Calc (ex-animal)'!$K$39+'Calc (ex-animal)'!$L$39)*AG175/100*'Calc (ex-housing, ex-storage)'!F175/100*VLOOKUP(D175,'DB technologies'!$N$82:$Y$94,12,FALSE)/100/VLOOKUP($C$171,'DB animal categories'!$C$68:$AC$80,27,FALSE)*AJ175+Q175+R175+S175-(VLOOKUP(D175,'DB technologies'!$N$82:$Y$94,12,FALSE)/100*AC175)-AD175-AE175,0))))))</f>
        <v/>
      </c>
      <c r="AY175" s="182" t="str">
        <f>IF(D175="","",IF(AS175=2,0,IF(AS175=1,'Calc (ex-animal)'!$N$39*AG175/100*'Calc (ex-housing, ex-storage)'!F175/100/VLOOKUP($C$171,'DB animal categories'!$C$68:$AC$80,27,FALSE)*AJ175+U175+V175+W175,IF(AS175=5,('Calc (ex-animal)'!$N$39+'Calc (ex-animal)'!$O$39)*AG175/100*'Calc (ex-housing, ex-storage)'!F175/100/VLOOKUP($C$171,'DB animal categories'!$C$68:$AC$80,27,FALSE)*AJ175+U175+V175+W175,IF(AS175=3,('Calc (ex-animal)'!$N$39+'Calc (ex-animal)'!$O$39)*AG175/100*'Calc (ex-housing, ex-storage)'!F175/100/VLOOKUP($C$171,'DB animal categories'!$C$68:$AC$80,27,FALSE)*AJ175+U175+V175+W175,IF(AS175=4,('Calc (ex-animal)'!$N$39+'Calc (ex-animal)'!$O$39)*AG175/100*'Calc (ex-housing, ex-storage)'!F175/100*VLOOKUP(D175,'DB technologies'!$N$82:$Y$94,12,FALSE)/100/VLOOKUP($C$171,'DB animal categories'!$C$68:$AC$80,27,FALSE)*AJ175+U175+V175+W175,0))))))</f>
        <v/>
      </c>
      <c r="AZ175" s="182" t="str">
        <f>IF(D175="","",IF(AS175=2,0,IF(AS175=1,'Calc (ex-animal)'!$Q$39*AG175/100*'Calc (ex-housing, ex-storage)'!F175/100/VLOOKUP($C$171,'DB animal categories'!$C$68:$AC$80,27,FALSE)*AJ175+Y175+Z175+AA175,IF(AS175=5,('Calc (ex-animal)'!$Q$39+'Calc (ex-animal)'!$R$39)*AG175/100*'Calc (ex-housing, ex-storage)'!F175/100/VLOOKUP($C$171,'DB animal categories'!$C$68:$AC$80,27,FALSE)*AJ175+Y175+Z175+AA175,IF(AS175=3,('Calc (ex-animal)'!$Q$39+'Calc (ex-animal)'!$R$39)*AG175/100*'Calc (ex-housing, ex-storage)'!F175/100/VLOOKUP($C$171,'DB animal categories'!$C$68:$AC$80,27,FALSE)*AJ175+Y175+Z175+AA175,IF(AS175=4,('Calc (ex-animal)'!$Q$39+'Calc (ex-animal)'!$R$39)*AG175/100*'Calc (ex-housing, ex-storage)'!F175/100*VLOOKUP(D175,'DB technologies'!$N$82:$Y$94,12,FALSE)/100/VLOOKUP($C$171,'DB animal categories'!$C$68:$AC$80,27,FALSE)*AJ175+Y175+Z175+AA175,0))))))</f>
        <v/>
      </c>
      <c r="BA175" s="506"/>
      <c r="BB175" s="506"/>
      <c r="BC175" s="506"/>
    </row>
    <row r="176" spans="1:55" x14ac:dyDescent="0.2">
      <c r="A176" s="684"/>
      <c r="B176" s="695"/>
      <c r="C176" s="251"/>
      <c r="D176" s="1367"/>
      <c r="E176" s="1373"/>
      <c r="F176" s="692" t="str">
        <f>IF('Calc (ex-animal)'!$F$9=1,"",IF($C$152=0,"",IF(D176="","",E176/'Calc (ex-animal)'!$E$32*100)))</f>
        <v/>
      </c>
      <c r="G176" s="438" t="str">
        <f>IF($C$171=0,"",IF('Calc (ex-animal)'!$F$38=1,"",IF(D176="","",SUM(H176:O176))))</f>
        <v/>
      </c>
      <c r="H176" s="423" t="str">
        <f>IF('Calc (ex-animal)'!$F$38=1,"",IF(D176="","",(((VLOOKUP($C$171,'Calc (ex-animal)'!$D$38:$Y$42,6,FALSE)-VLOOKUP($C$171,'Calc (ex-animal)'!$D$38:$Y$42,17,FALSE))*F175/100*AH175/100))*VLOOKUP($C$171,'Calc (ex-animal)'!$D$38:$Y$42,7,FALSE)/100*(1-VLOOKUP(D176,'DB technologies'!$N$96:$Y$107,9,FALSE)/100)))</f>
        <v/>
      </c>
      <c r="I176" s="423" t="str">
        <f>IF(D176="","",((VLOOKUP(D176,'DB technologies'!$N$96:$Y$107,2,FALSE)*VLOOKUP($C$171,'DB animal categories'!$C$68:$AC$80,27,FALSE)*F175/1000*AH175/100)/VLOOKUP($C$171,'DB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'!$S$6/100*(1-VLOOKUP(D176,'DB technologies'!$N$96:$Y$107,9,FALSE)/100)))</f>
        <v/>
      </c>
      <c r="J176" s="434" t="str">
        <f>IF(D176="","",((VLOOKUP(D176,'DB technologies'!$N$96:$Y$107,3,FALSE)*VLOOKUP($C$171,'DB animal categories'!$C$68:$AC$80,27,FALSE)*E175/1000*AH175/100)/VLOOKUP($C$171,'DB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'!$S$7/100*(1-VLOOKUP(D176,'DB technologies'!$N$96:$Y$107,9,FALSE)/100)))</f>
        <v/>
      </c>
      <c r="K176" s="526" t="str">
        <f>IF(D176="","",((VLOOKUP(D176,'DB technologies'!$N$96:$Y$107,4,FALSE)*E175*AH175/100*'DB additional information '!$S$8/100*(1-VLOOKUP(D176,'DB technologies'!$N$96:$Y$107,9,FALSE)/100))/VLOOKUP($C$171,'DB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6" s="423" t="str">
        <f>IF('Calc (ex-animal)'!$F$38=1,"",IF(D176="","",(((VLOOKUP($C$171,'Calc (ex-animal)'!$D$38:$Y$42,6,FALSE)-VLOOKUP($C$171,'Calc (ex-animal)'!$D$38:$Y$42,17,FALSE))*F175/100*AH175/100))*(1-VLOOKUP($C$171,'Calc (ex-animal)'!$D$38:$Y$42,7,FALSE)/100)*(1-VLOOKUP(D176,'DB technologies'!$N$96:$V$107,8,FALSE)/100)))</f>
        <v/>
      </c>
      <c r="M176" s="434" t="str">
        <f>IF(D176="","",((VLOOKUP(D176,'DB technologies'!$N$96:$Y$107,2,FALSE)*VLOOKUP($C$171,'DB animal categories'!$C$68:$AC$80,27,FALSE)*E175/1000*AH175/100)/VLOOKUP($C$171,'DB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'!$S$6/100)*(1-VLOOKUP(D176,'DB technologies'!$N$96:$Y$107,9,FALSE)/100))</f>
        <v/>
      </c>
      <c r="N176" s="434" t="str">
        <f>IF(D176="","",((VLOOKUP(D176,'DB technologies'!$N$96:$Y$107,3,FALSE)*VLOOKUP($C$171,'DB animal categories'!$C$68:$AC$80,27,FALSE)*E175/1000*AH175/100)/VLOOKUP($C$171,'DB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'!$S$7/100)*(1-VLOOKUP(D176,'DB technologies'!$N$96:$Y$107,9,FALSE)/100))</f>
        <v/>
      </c>
      <c r="O176" s="423" t="str">
        <f>IF(D176="","",((VLOOKUP(D176,'DB technologies'!$N$96:$Y$107,4,FALSE)*E175*AH175/100*(1-'DB additional information '!$S$8/100)*(1-VLOOKUP(D176,'DB technologies'!$N$96:$Y$107,8,FALSE)/100))/VLOOKUP($C$171,'DB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6" s="438" t="str">
        <f>IF(G176=0,0,IF(E175="","",IF(F175="","",IF($C$171=0,"",IF(D176="","",SUM(H176:K176)/G176*100)))))</f>
        <v/>
      </c>
      <c r="Q176" s="416" t="str">
        <f>IF(D176="","",(VLOOKUP(D176,'DB technologies'!$N$96:$Y$107,2,FALSE)*'DB additional information '!$S$6/100*'DB additional information '!$T$6*VLOOKUP($C$171,'DB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6" s="416" t="str">
        <f>IF(D176="","",(VLOOKUP(D176,'DB technologies'!$N$96:$Y$107,3,FALSE)*'DB additional information '!$S$7/100*'DB additional information '!$T$7*VLOOKUP($C$171,'DB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6" s="491" t="str">
        <f>IF(D176="","",(VLOOKUP(D176,'DB technologies'!$N$96:$Y$107,4,FALSE)*('DB additional information '!$S$8/100*'DB additional information '!$T$8*E175/1000/1000*AH175/100)))</f>
        <v/>
      </c>
      <c r="T176" s="264" t="str">
        <f>IF($C$171=0,"",IF('Calc (ex-animal)'!$F$38=1,"",IF(D176="","",((VLOOKUP($C$171,'Calc (ex-animal)'!$D$38:$Y$42,10,FALSE)-VLOOKUP($C$171,'Calc (ex-animal)'!$D$38:$Y$42,18,FALSE))*F175/100*AH175/100+Q176+R176+S176)-AC176-AD176-AE176)))</f>
        <v/>
      </c>
      <c r="U176" s="422" t="str">
        <f>IF(D176="","",(VLOOKUP(D176,'DB technologies'!$N$96:$Y$107,2,FALSE)*'DB additional information '!$S$6/100*'DB additional information '!$U$6*VLOOKUP($C$171,'DB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6" s="418" t="str">
        <f>IF(D176="","",(VLOOKUP(D176,'DB technologies'!$N$96:$Y$107,3,FALSE)*'DB additional information '!$S$7/100*'DB additional information '!$U$7*VLOOKUP($C$171,'DB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6" s="417" t="str">
        <f>IF(D176="","",(VLOOKUP(D176,'DB technologies'!$N$96:$Y$107,4,FALSE)*('DB additional information '!$S$8/100*'DB additional information '!$U$8*E175/1000/1000*AH175/100)))</f>
        <v/>
      </c>
      <c r="X176" s="261" t="str">
        <f>IF($C$171=0,"",IF('Calc (ex-animal)'!$F$38=1,"",IF(D176="","",((VLOOKUP($C$171,'Calc (ex-animal)'!$D$38:$Y$42,13,FALSE)-VLOOKUP($C$171,'Calc (ex-animal)'!$D$38:$Y$42,19,FALSE))*F175/100*AH175/100+U176+V176+W176))))</f>
        <v/>
      </c>
      <c r="Y176" s="418" t="str">
        <f>IF(D176="","",(VLOOKUP(D176,'DB technologies'!$N$96:$Y$107,2,FALSE)*'DB additional information '!$S$6/100*'DB additional information '!$V$6*VLOOKUP($C$171,'DB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6" s="418" t="str">
        <f>IF(D176="","",(VLOOKUP(D176,'DB technologies'!$N$96:$Y$107,3,FALSE)*'DB additional information '!$S$7/100*'DB additional information '!$V$7*VLOOKUP($C$171,'DB animal categories'!$C$68:$AC$80,27,FALSE)*E175/1000/1000*AH175/100)/VLOOKUP($C$171,'DB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6" s="418" t="str">
        <f>IF(D176="","",(VLOOKUP(D176,'DB technologies'!$N$96:$Y$107,4,FALSE)*('DB additional information '!$S$8/100*'DB additional information '!$V$8*E175/1000/1000*AH175/100)))</f>
        <v/>
      </c>
      <c r="AB176" s="261" t="str">
        <f>IF($C$171=0,"",IF('Calc (ex-animal)'!$F$38=1,"",IF(D176="","",((VLOOKUP($C$171,'Calc (ex-animal)'!$D$38:$Y$42,16,FALSE)-VLOOKUP($C$171,'Calc (ex-animal)'!$D$38:$Y$42,20,FALSE))*F175/100*AH175/100+Y176+Z176+AA176))))</f>
        <v/>
      </c>
      <c r="AC176" s="261" t="str">
        <f>IF($C$171=0,"",IF('Calc (ex-animal)'!$F$38=1,"",IF(D176="","",VLOOKUP($C$171,'Calc (ex-animal)'!$D$38:$Y$42,9,FALSE)*AH175/100/VLOOKUP($C$171,'DB animal categories'!$C$68:$AC$80,27,FALSE)*(VLOOKUP($C$171,'DB animal categories'!$C$68:$AC$80,27,FALSE)-VLOOKUP($C$171,'DB animal categories'!$C$68:$AC$80,25,FALSE)*VLOOKUP($C$171,'DB animal categories'!$C$68:$AC$80,26,FALSE)/24)*F175/100*VLOOKUP(D176,'DB technologies'!$N$96:$R$107,5,FALSE)/100)))</f>
        <v/>
      </c>
      <c r="AD176" s="261" t="str">
        <f>IF($C$171=0,"",IF('Calc (ex-animal)'!$F$38=1,"",IF(D176="","",VLOOKUP($C$171,'Calc (ex-animal)'!$D$38:$Y$42,10,FALSE)*AH175/100/VLOOKUP($C$171,'DB animal categories'!$C$68:$AC$80,27,FALSE)*(VLOOKUP($C$171,'DB animal categories'!$C$68:$AC$80,27,FALSE)-VLOOKUP($C$171,'DB animal categories'!$C$68:$AC$80,25,FALSE)*VLOOKUP($C$171,'DB animal categories'!$C$68:$AC$80,26,FALSE)/24)*F175/100*VLOOKUP(D176,'DB technologies'!$N$96:$Y$107,6,FALSE)/100)))</f>
        <v/>
      </c>
      <c r="AE176" s="262" t="str">
        <f>IF($C$171=0,"",IF('Calc (ex-animal)'!$F$38=1,"",IF(D176="","",VLOOKUP($C$171,'Calc (ex-animal)'!$D$38:$Y$42,10,FALSE)*AH175/100/VLOOKUP($C$171,'DB animal categories'!$C$68:$AC$80,27,FALSE)*(VLOOKUP($C$171,'DB animal categories'!$C$68:$AC$80,27,FALSE)-VLOOKUP($C$171,'DB animal categories'!$C$68:$AC$80,25,FALSE)*VLOOKUP($C$171,'DB animal categories'!$C$68:$AC$80,26,FALSE)/24)*F175/100*VLOOKUP(D176,'DB technologies'!$N$96:$Y$107,7,FALSE)/100)))</f>
        <v/>
      </c>
      <c r="AF176" s="43"/>
      <c r="AG176" s="1390"/>
      <c r="AH176" s="1380"/>
      <c r="AI176" s="187" t="str">
        <f>IF(D176="","",VLOOKUP(D176,'DB technologies'!$N$96:$Y$107,10,FALSE))</f>
        <v/>
      </c>
      <c r="AJ176" s="451" t="e">
        <f>VLOOKUP($C$171,'DB animal categories'!$C$68:$AN$80,27,FALSE)-VLOOKUP($C$171,'DB animal categories'!$C$68:$AN$80,26,FALSE)*VLOOKUP($C$171,'DB animal categories'!$C$68:$AN$80,25,FALSE)/24</f>
        <v>#N/A</v>
      </c>
      <c r="AK176" s="452" t="str">
        <f t="shared" si="26"/>
        <v/>
      </c>
      <c r="AL176" s="452" t="str">
        <f>IF(D176="","",IF(AI176=2,(('Calc (ex-animal)'!$G$39*'DB additional information '!$K$12/100*AH175/100*(1-VLOOKUP(D176,'DB technologies'!$N$96:$Y$107,9,FALSE)/100)*'Calc (ex-housing, ex-storage)'!F175/100+'Calc (ex-animal)'!$H$39*'DB additional information '!$L$12/100*AH175/100*(1-VLOOKUP(D176,'DB technologies'!$N$96:$Y$107,9,FALSE)/100)*'Calc (ex-housing, ex-storage)'!F175/100))/VLOOKUP($C$171,'DB animal categories'!$C$68:$AC$80,27,FALSE)*AJ176+I176+J176+K176,IF(AI176=1,('Calc (ex-animal)'!$H$39*AH175/100*'DB additional information '!$L$12/100*(1-VLOOKUP(D176,'DB technologies'!$N$96:$Y$107,9,FALSE)/100)*'Calc (ex-housing, ex-storage)'!F175/100)/VLOOKUP($C$171,'DB animal categories'!$C$68:$AC$80,27,FALSE)*AJ176,IF(AI176=4,('Calc (ex-animal)'!$G$39*'DB additional information '!$K$12/100+'Calc (ex-animal)'!$H$39*'DB additional information '!$L$12/100)*AH175/100*(1-VLOOKUP(D176,'DB technologies'!$N$96:$Y$107,9,FALSE)/100)*'Calc (ex-housing, ex-storage)'!F175/100*VLOOKUP(D176,'DB technologies'!$N$96:$Y$107,11,FALSE)/100/VLOOKUP($C$171,'DB animal categories'!$C$68:$AC$80,27,FALSE)*AJ176,0))))</f>
        <v/>
      </c>
      <c r="AM176" s="452" t="str">
        <f>IF(D176="","",IF(AI176=2,(('Calc (ex-animal)'!$G$39*(1-'DB additional information '!$K$12/100)*AH175/100*(1-VLOOKUP(D176,'DB technologies'!$N$96:$Y$107,8,FALSE)/100)*'Calc (ex-housing, ex-storage)'!F175/100+'Calc (ex-animal)'!$H$39*(1-'DB additional information '!$L$12/100)*AH175/100*(1-VLOOKUP(D176,'DB technologies'!$N$96:$Y$107,8,FALSE)/100)*'Calc (ex-housing, ex-storage)'!F175/100))/VLOOKUP($C$171,'DB animal categories'!$C$68:$AC$80,27,FALSE)*AJ176+M176+N176+O176,IF(AI176=1,('Calc (ex-animal)'!$H$39*(1-'DB additional information '!$L$12/100)*AH175/100*(1-VLOOKUP(D176,'DB technologies'!$N$96:$Y$107,8,FALSE)/100)*'Calc (ex-housing, ex-storage)'!F175/100)/VLOOKUP($C$171,'DB animal categories'!$C$68:$AC$80,27,FALSE)*AJ176,IF(AI176=4,('Calc (ex-animal)'!$G$39*(1-'DB additional information '!$K$12/100)+'Calc (ex-animal)'!$H$39*(1-'DB additional information '!$L$12/100))*AH175/100*(1-VLOOKUP(D176,'DB technologies'!$N$96:$Y$107,8,FALSE)/100)*'Calc (ex-housing, ex-storage)'!F175/100*VLOOKUP(D176,'DB technologies'!$N$96:$Y$107,11,FALSE)/100/VLOOKUP($C$171,'DB animal categories'!$C$68:$AC$80,27,FALSE)*AJ176,0))))</f>
        <v/>
      </c>
      <c r="AN176" s="452" t="str">
        <f t="shared" si="27"/>
        <v/>
      </c>
      <c r="AO176" s="184" t="str">
        <f>IF(D176="","",IF(AI176=2,(('Calc (ex-animal)'!$L$39*'Calc (ex-housing, ex-storage)'!F175/100+'Calc (ex-animal)'!$K$39*'Calc (ex-housing, ex-storage)'!F175/100))*AH175/100/VLOOKUP($C$171,'DB animal categories'!$C$68:$AC$80,27,FALSE)*AJ176+Q176+R176+S176-AC176,IF(AI176=1,('Calc (ex-animal)'!$L$39*'Calc (ex-housing, ex-storage)'!F175/100)*AH175/100/VLOOKUP($C$171,'DB animal categories'!$C$68:$AC$80,27,FALSE)*AJ176-'Calc (ex-housing, ex-storage)'!AC176,IF(AI176=4,('Calc (ex-animal)'!$L$39+'Calc (ex-animal)'!$K$39)*'Calc (ex-housing, ex-storage)'!F175/100*AH175/100*VLOOKUP(D176,'DB technologies'!$N$96:$Y$107,11,FALSE)/100/VLOOKUP($C$171,'DB animal categories'!$C$68:$AC$80,27,FALSE)*AJ176-AC176*VLOOKUP(D176,'DB technologies'!$N$96:$Y$107,11,FALSE)/100,0))))</f>
        <v/>
      </c>
      <c r="AP176" s="184" t="str">
        <f>IF(D176="","",IF(AO176&lt;-0.01,0,IF(AI176=2,(('Calc (ex-animal)'!$L$39*'Calc (ex-housing, ex-storage)'!F175/100+'Calc (ex-animal)'!$K$39*'Calc (ex-housing, ex-storage)'!F175/100))*AH175/100/VLOOKUP($C$171,'DB animal categories'!$C$68:$AC$80,27,FALSE)*AJ176+Q176+R176+S176-AC176,IF(AI176=1,('Calc (ex-animal)'!$L$39*'Calc (ex-housing, ex-storage)'!F175/100)*AH175/100/VLOOKUP($C$171,'DB animal categories'!$C$68:$AC$80,27,FALSE)*AJ176-'Calc (ex-housing, ex-storage)'!AC176,IF(AI176=4,('Calc (ex-animal)'!$L$39+'Calc (ex-animal)'!$K$39)*'Calc (ex-housing, ex-storage)'!F175/100*AH175/100*VLOOKUP(D176,'DB technologies'!$N$96:$Y$107,11,FALSE)/100/VLOOKUP($C$171,'DB animal categories'!$C$68:$AC$80,27,FALSE)*AJ176-AC176*VLOOKUP(D176,'DB technologies'!$N$96:$Y$107,11,FALSE)/100,0)))))</f>
        <v/>
      </c>
      <c r="AQ176" s="184" t="str">
        <f>IF(D176="","",IF(AI176=2,('Calc (ex-animal)'!$O$39*'Calc (ex-housing, ex-storage)'!F175/100+'Calc (ex-animal)'!$N$39*'Calc (ex-housing, ex-storage)'!F175/100)*AH175/100/VLOOKUP($C$171,'DB animal categories'!$C$68:$AC$80,27,FALSE)*AJ176+U176+V176+W176,IF(AI176=1,'Calc (ex-animal)'!$O$39*'Calc (ex-housing, ex-storage)'!F175/100*AH175/100/VLOOKUP($C$171,'DB animal categories'!$C$68:$AC$80,27,FALSE)*AJ176,IF(AI176=4,('Calc (ex-animal)'!$O$39+'Calc (ex-animal)'!$N$39)*'Calc (ex-housing, ex-storage)'!F175/100*AH175/100*VLOOKUP(D176,'DB technologies'!$N$96:$Y$107,11,FALSE)/100/VLOOKUP($C$171,'DB animal categories'!$C$68:$AC$80,27,FALSE)*AJ176,0))))</f>
        <v/>
      </c>
      <c r="AR176" s="184" t="str">
        <f>IF(D176="","",IF(AI176=2,('Calc (ex-animal)'!$R$39*'Calc (ex-housing, ex-storage)'!F175/100+'Calc (ex-animal)'!$Q$39*'Calc (ex-housing, ex-storage)'!F175/100)*AH175/100/VLOOKUP($C$171,'DB animal categories'!$C$68:$AC$80,27,FALSE)*AJ176+Y176+Z176+AA176,IF(AI176=1,'Calc (ex-animal)'!$R$39*'Calc (ex-housing, ex-storage)'!F175/100*AH175/100/VLOOKUP($C$171,'DB animal categories'!$C$68:$AC$80,27,FALSE)*AJ176,IF(AI176=4,('Calc (ex-animal)'!$R$39+'Calc (ex-animal)'!$Q$39)*'Calc (ex-housing, ex-storage)'!F175/100*AH175/100*VLOOKUP(D176,'DB technologies'!$N$96:$Y$107,11,FALSE)/100/VLOOKUP($C$171,'DB animal categories'!$C$68:$AC$80,27,FALSE)*AJ176,0))))</f>
        <v/>
      </c>
      <c r="AS176" s="183" t="str">
        <f>IF(D176="","",VLOOKUP(D176,'DB technologies'!$N$96:$Y$107,10,FALSE))</f>
        <v/>
      </c>
      <c r="AT176" s="452" t="str">
        <f t="shared" si="28"/>
        <v/>
      </c>
      <c r="AU176" s="452" t="str">
        <f>IF(D176="","",IF(AS176=2,0,IF(AS176=1,'Calc (ex-animal)'!$G$39*'DB additional information '!$K$12/100*AH175/100*(1-VLOOKUP(D176,'DB technologies'!$N$96:$Y$107,8,FALSE)/100)*'Calc (ex-housing, ex-storage)'!F175/100/VLOOKUP($C$171,'DB animal categories'!$C$68:$AC$80,27,FALSE)*AJ176+I176+J176+K176,IF(AS176=5,(('Calc (ex-animal)'!$G$39*'DB additional information '!$K$12/100+'Calc (ex-animal)'!$H$39*'DB additional information '!$L$12/100))*AH175/100*(1-VLOOKUP(D176,'DB technologies'!$N$96:$Y$107,9,FALSE)/100)*'Calc (ex-housing, ex-storage)'!F175/100/VLOOKUP($C$171,'DB animal categories'!$C$68:$AC$80,27,FALSE)*AJ176+I176+J176+K176,IF(AS176=3,('Calc (ex-animal)'!$G$39*'DB additional information '!$K$12/100+'Calc (ex-animal)'!$H$39*'DB additional information '!$L$12/100)*AH175/100*(1-VLOOKUP(D176,'DB technologies'!$N$96:$Y$107,9,FALSE)/100)*'Calc (ex-housing, ex-storage)'!F175/100/VLOOKUP($C$171,'DB animal categories'!$C$68:$AC$80,27,FALSE)*AJ176+I176+J176+K176,IF(AS176=4,('Calc (ex-animal)'!$G$39*'DB additional information '!$K$12/100+'Calc (ex-animal)'!$H$39*'DB additional information '!$L$12/100)*AH175/100*(1-VLOOKUP(D176,'DB technologies'!$N$96:$Y$107,9,FALSE)/100)*'Calc (ex-housing, ex-storage)'!F175/100*VLOOKUP(D176,'DB technologies'!$N$96:$Y$107,12,FALSE)/100/VLOOKUP($C$171,'DB animal categories'!$C$68:$AC$80,27,FALSE)*AJ176+I176+J176+K176,0))))))</f>
        <v/>
      </c>
      <c r="AV176" s="452" t="str">
        <f>IF(D176="","",IF(AS176=2,0,IF(AS176=1,'Calc (ex-animal)'!$G$39*(1-'DB additional information '!$K$12/100)*AH175/100*(1-VLOOKUP(D176,'DB technologies'!$N$96:$Y$107,8,FALSE)/100)*'Calc (ex-housing, ex-storage)'!F175/100/VLOOKUP($C$171,'DB animal categories'!$C$68:$AC$80,27,FALSE)*AJ176+M176+N176+O176,IF(AS176=5,('Calc (ex-animal)'!$G$39*(1-'DB additional information '!$K$12/100)+'Calc (ex-animal)'!$H$39*(1-'DB additional information '!$L$12/100))*AH175/100*(1-VLOOKUP(D176,'DB technologies'!$N$96:$Y$107,8,FALSE)/100)*'Calc (ex-housing, ex-storage)'!F175/100/VLOOKUP($C$171,'DB animal categories'!$C$68:$AC$80,27,FALSE)*AJ176+M176+N176+O176,IF(AS176=3,('Calc (ex-animal)'!$G$39*(1-'DB additional information '!$K$12/100)+'Calc (ex-animal)'!$H$39*(1-'DB additional information '!$L$12/100))*AH175/100*(1-VLOOKUP(D176,'DB technologies'!$N$96:$Y$107,8,FALSE)/100)*'Calc (ex-housing, ex-storage)'!F175/100/VLOOKUP($C$171,'DB animal categories'!$C$68:$AC$80,27,FALSE)*AJ176+M176+N176+O176,IF(AS176=4,('Calc (ex-animal)'!$G$39*(1-'DB additional information '!$K$12/100)+'Calc (ex-animal)'!$H$39*(1-'DB additional information '!$L$12/100))*AH175/100*(1-VLOOKUP(D176,'DB technologies'!$N$96:$Y$107,8,FALSE)/100)*'Calc (ex-housing, ex-storage)'!F175/100*VLOOKUP(D176,'DB technologies'!$N$96:$Y$107,12,FALSE)/100/VLOOKUP($C$171,'DB animal categories'!$C$68:$AC$80,27,FALSE)*AJ176+M176+N176+O176,0))))))</f>
        <v/>
      </c>
      <c r="AW176" s="452" t="str">
        <f t="shared" si="29"/>
        <v/>
      </c>
      <c r="AX176" s="184" t="str">
        <f>IF(D176="","",IF(AS176=2,0,IF(AS176=1,'Calc (ex-animal)'!$K$39*'Calc (ex-housing, ex-storage)'!F175/100*AH175/100/VLOOKUP($C$171,'DB animal categories'!$C$68:$AC$80,27,FALSE)*AJ176+Q176+R176+S176,IF(AS176=5,('Calc (ex-animal)'!$K$39+'Calc (ex-animal)'!$L$39)*AH175/100*'Calc (ex-housing, ex-storage)'!F175/100/VLOOKUP($C$171,'DB animal categories'!$C$68:$AC$80,27,FALSE)*AJ176+Q176+R176+S176-'Calc (ex-housing, ex-storage)'!AC176,IF(AS176=3,('Calc (ex-animal)'!$K$39+'Calc (ex-animal)'!$L$39)*AH175/100*'Calc (ex-housing, ex-storage)'!F175/100/VLOOKUP($C$171,'DB animal categories'!$C$68:$AC$80,27,FALSE)*AJ176+Q176+R176+S176-'Calc (ex-housing, ex-storage)'!AC176-AD176-AE176,IF(AI176=4,('Calc (ex-animal)'!$K$39+'Calc (ex-animal)'!$L$39)*AH175/100*'Calc (ex-housing, ex-storage)'!F175/100*VLOOKUP(D176,'DB technologies'!$N$96:$Y$107,12,FALSE)/100/VLOOKUP($C$171,'DB animal categories'!$C$68:$AC$80,27,FALSE)*AJ176+Q176+R176+S176-(VLOOKUP(D176,'DB technologies'!$N$96:$Y$107,12,FALSE)/100*AC176)-AD176-AE176,0))))))</f>
        <v/>
      </c>
      <c r="AY176" s="184" t="str">
        <f>IF(D176="","",IF(AS176=2,0,IF(AS176=1,'Calc (ex-animal)'!$N$39*AH175/100*'Calc (ex-housing, ex-storage)'!F175/100/VLOOKUP($C$171,'DB animal categories'!$C$68:$AC$80,27,FALSE)*AJ176+U176+V176+W176,IF(AS176=5,('Calc (ex-animal)'!$N$39+'Calc (ex-animal)'!$O$39)*AH175/100*'Calc (ex-housing, ex-storage)'!F175/100/VLOOKUP($C$171,'DB animal categories'!$C$68:$AC$80,27,FALSE)*AJ176+U176+V176+W176,IF(AS176=3,('Calc (ex-animal)'!$N$39+'Calc (ex-animal)'!$O$39)*AH175/100*'Calc (ex-housing, ex-storage)'!F175/100/VLOOKUP($C$171,'DB animal categories'!$C$68:$AC$80,27,FALSE)*AJ176+U176+V176+W176,IF(AS176=4,('Calc (ex-animal)'!$N$39+'Calc (ex-animal)'!$O$39)*AH175/100*'Calc (ex-housing, ex-storage)'!F175/100*VLOOKUP(D176,'DB technologies'!$N$96:$Y$107,12,FALSE)/100/VLOOKUP($C$171,'DB animal categories'!$C$68:$AC$80,27,FALSE)*AJ176+U176+V176+W176,0))))))</f>
        <v/>
      </c>
      <c r="AZ176" s="184" t="str">
        <f>IF(D176="","",IF(AS176=2,0,IF(AS176=1,'Calc (ex-animal)'!$Q$39*AH175/100*'Calc (ex-housing, ex-storage)'!F175/100/VLOOKUP($C$171,'DB animal categories'!$C$68:$AC$80,27,FALSE)*AJ176+Y176+Z176+AA176,IF(AS176=5,('Calc (ex-animal)'!$Q$39+'Calc (ex-animal)'!$R$39)*AH175/100*'Calc (ex-housing, ex-storage)'!F175/100/VLOOKUP($C$171,'DB animal categories'!$C$68:$AC$80,27,FALSE)*AJ176+Y176+Z176+AA176,IF(AS176=3,('Calc (ex-animal)'!$Q$39+'Calc (ex-animal)'!$R$39)*AH175/100*'Calc (ex-housing, ex-storage)'!F175/100/VLOOKUP($C$171,'DB animal categories'!$C$68:$AC$80,27,FALSE)*AJ176+Y176+Z176+AA176,IF(AS176=4,('Calc (ex-animal)'!$Q$39+'Calc (ex-animal)'!$R$39)*AH175/100*'Calc (ex-housing, ex-storage)'!F175/100*VLOOKUP(D176,'DB technologies'!$N$96:$Y$107,12,FALSE)/100/VLOOKUP($C$171,'DB animal categories'!$C$68:$AC$80,27,FALSE)*AJ176+Y176+Z176+AA176,0))))))</f>
        <v/>
      </c>
      <c r="BA176" s="506"/>
      <c r="BB176" s="506"/>
      <c r="BC176" s="506"/>
    </row>
    <row r="177" spans="1:55" x14ac:dyDescent="0.2">
      <c r="A177" s="684"/>
      <c r="B177" s="695"/>
      <c r="C177" s="251"/>
      <c r="D177" s="1357"/>
      <c r="E177" s="1374"/>
      <c r="F177" s="692" t="str">
        <f>IF('Calc (ex-animal)'!$F$38=1,"",IF($C$171=0,"",IF(D177="","",E177/'Calc (ex-animal)'!$E$39*100)))</f>
        <v/>
      </c>
      <c r="G177" s="537" t="str">
        <f>IF($C$171=0,"",IF('Calc (ex-animal)'!$F$38=1,"",IF(D177="","",SUM(H177:O177))))</f>
        <v/>
      </c>
      <c r="H177" s="527" t="str">
        <f>IF('Calc (ex-animal)'!$F$38=1,"",IF(D177="","",(((VLOOKUP($C$171,'Calc (ex-animal)'!$D$38:$Y$42,6,FALSE)-VLOOKUP($C$171,'Calc (ex-animal)'!$D$38:$Y$42,17,FALSE))*F177/100*AG177/100))*VLOOKUP($C$171,'Calc (ex-animal)'!$D$38:$Y$42,7,FALSE)/100*(1-VLOOKUP(D177,'DB technologies'!$N$83:$Y$94,9,FALSE)/100)))</f>
        <v/>
      </c>
      <c r="I177" s="527" t="str">
        <f>IF(D177="","",((VLOOKUP(D177,'DB technologies'!$N$83:$Y$94,2,FALSE)*VLOOKUP($C$171,'DB animal categories'!$C$68:$AC$80,27,FALSE)*E177/1000*AG177/100)/VLOOKUP($C$171,'DB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'!$S$6/100*(1-VLOOKUP(D177,'DB technologies'!$N$83:$Y$94,9,FALSE)/100)))</f>
        <v/>
      </c>
      <c r="J177" s="528" t="str">
        <f>IF(D177="","",((VLOOKUP(D177,'DB technologies'!$N$83:$Y$94,3,FALSE)*VLOOKUP($C$171,'DB animal categories'!$C$68:$AC$80,27,FALSE)*E177/1000*AG177/100)/VLOOKUP($C$171,'DB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'!$S$7/100*(1-VLOOKUP(D177,'DB technologies'!$N$83:$Y$94,9,FALSE)/100)))</f>
        <v/>
      </c>
      <c r="K177" s="529" t="str">
        <f>IF(D177="","",((VLOOKUP(D177,'DB technologies'!$N$83:$Y$94,4,FALSE)*E177*AG177/100*'DB additional information '!$S$8/100*(1-VLOOKUP(D177,'DB technologies'!$N$83:$Y$94,9,FALSE)/100))/VLOOKUP($C$171,'DB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7" s="527" t="str">
        <f>IF('Calc (ex-animal)'!$F$38=1,"",IF(D177="","",(((VLOOKUP($C$171,'Calc (ex-animal)'!$D$38:$Y$42,6,FALSE)-VLOOKUP($C$171,'Calc (ex-animal)'!$D$38:$Y$42,17,FALSE))*F177/100*AG177/100))*(1-VLOOKUP($C$171,'Calc (ex-animal)'!$D$38:$Y$42,7,FALSE)/100)*(1-VLOOKUP(D177,'DB technologies'!$N$83:$V$94,8,FALSE)/100)))</f>
        <v/>
      </c>
      <c r="M177" s="528" t="str">
        <f>IF(D177="","",((VLOOKUP(D177,'DB technologies'!$N$83:$Y$94,2,FALSE)*VLOOKUP($C$171,'DB animal categories'!$C$68:$AC$80,27,FALSE)*E177/1000*AG177/100)/VLOOKUP($C$171,'DB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'!$S$6/100)*(1-VLOOKUP(D177,'DB technologies'!$N$83:$Y$94,9,FALSE)/100))</f>
        <v/>
      </c>
      <c r="N177" s="528" t="str">
        <f>IF(D177="","",((VLOOKUP(D177,'DB technologies'!$N$83:$Y$94,3,FALSE)*VLOOKUP($C$171,'DB animal categories'!$C$68:$AC$80,27,FALSE)*E177/1000*AG177/100)/VLOOKUP($C$171,'DB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'!$S$7/100)*(1-VLOOKUP(D177,'DB technologies'!$N$83:$Y$94,9,FALSE)/100))</f>
        <v/>
      </c>
      <c r="O177" s="527" t="str">
        <f>IF(D177="","",((VLOOKUP(D177,'DB technologies'!$N$83:$Y$94,4,FALSE)*E177*AG177/100*(1-'DB additional information '!$S$8/100)*(1-VLOOKUP(D177,'DB technologies'!$N$83:$Y$94,8,FALSE)/100))/VLOOKUP($C$171,'DB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7" s="530" t="str">
        <f>IF(G177=0,0,IF(E177="","",IF(F177="","",IF($C$171=0,"",IF(D177="","",SUM(H177:K177)/G177*100)))))</f>
        <v/>
      </c>
      <c r="Q177" s="531" t="str">
        <f>IF(D177="","",(VLOOKUP(D177,'DB technologies'!$N$83:$Y$94,2,FALSE)*'DB additional information '!$S$6/100*'DB additional information '!$T$6*VLOOKUP($C$171,'DB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7" s="531" t="str">
        <f>IF(D177="","",(VLOOKUP(D177,'DB technologies'!$N$83:$Y$94,3,FALSE)*'DB additional information '!$S$7/100*'DB additional information '!$T$7*VLOOKUP($C$171,'DB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7" s="538" t="str">
        <f>IF(D177="","",(VLOOKUP(D177,'DB technologies'!$N$83:$Y$94,4,FALSE)*('DB additional information '!$S$8/100*'DB additional information '!$T$8*E177/1000/1000*AG177/100)))</f>
        <v/>
      </c>
      <c r="T177" s="300" t="str">
        <f>IF($C$171=0,"",IF('Calc (ex-animal)'!$F$38=1,"",IF(D177="","",((VLOOKUP($C$171,'Calc (ex-animal)'!$D$38:$Y$42,10,FALSE)-VLOOKUP($C$171,'Calc (ex-animal)'!$D$38:$Y$42,18,FALSE))*F177/100*AG177/100+Q177+R177+S177)-AC177-AD177-AE177)))</f>
        <v/>
      </c>
      <c r="U177" s="544" t="str">
        <f>IF(D177="","",(VLOOKUP(D177,'DB technologies'!$N$83:$Y$94,2,FALSE)*'DB additional information '!$S$6/100*'DB additional information '!$U$6*VLOOKUP($C$171,'DB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7" s="523" t="str">
        <f>IF(D177="","",(VLOOKUP(D177,'DB technologies'!$N$83:$Y$94,3,FALSE)*'DB additional information '!$S$7/100*'DB additional information '!$U$7*VLOOKUP($C$171,'DB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7" s="545" t="str">
        <f>IF(D177="","",(VLOOKUP(D177,'DB technologies'!$N$83:$Y$94,4,FALSE)*('DB additional information '!$S$8/100*'DB additional information '!$U$8*E177/1000/1000*AG177/100)))</f>
        <v/>
      </c>
      <c r="X177" s="301" t="str">
        <f>IF($C$171=0,"",IF('Calc (ex-animal)'!$F$38=1,"",IF(D177="","",((VLOOKUP($C$171,'Calc (ex-animal)'!$D$38:$Y$42,13,FALSE)-VLOOKUP($C$171,'Calc (ex-animal)'!$D$38:$Y$42,19,FALSE))*F177/100*AG177/100+U177+V177+W177))))</f>
        <v/>
      </c>
      <c r="Y177" s="523" t="str">
        <f>IF(D177="","",(VLOOKUP(D177,'DB technologies'!$N$83:$Y$94,2,FALSE)*'DB additional information '!$S$6/100*'DB additional information '!$V$6*VLOOKUP($C$171,'DB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7" s="523" t="str">
        <f>IF(D177="","",(VLOOKUP(D177,'DB technologies'!$N$83:$Y$94,3,FALSE)*'DB additional information '!$S$7/100*'DB additional information '!$V$7*VLOOKUP($C$171,'DB animal categories'!$C$68:$AC$80,27,FALSE)*E177/1000/1000*AG177/100)/VLOOKUP($C$171,'DB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7" s="523" t="str">
        <f>IF(D177="","",(VLOOKUP(D177,'DB technologies'!$N$83:$Y$94,4,FALSE)*('DB additional information '!$S$8/100*'DB additional information '!$V$8*E177/1000/1000*AG177/100)))</f>
        <v/>
      </c>
      <c r="AB177" s="301" t="str">
        <f>IF($C$171=0,"",IF('Calc (ex-animal)'!$F$38=1,"",IF(D177="","",((VLOOKUP($C$171,'Calc (ex-animal)'!$D$38:$Y$42,16,FALSE)-VLOOKUP($C$171,'Calc (ex-animal)'!$D$38:$Y$42,20,FALSE))*F177/100*AG177/100+Y177+Z177+AA177))))</f>
        <v/>
      </c>
      <c r="AC177" s="301" t="str">
        <f>IF($C$171=0,"",IF('Calc (ex-animal)'!$F$38=1,"",IF(D177="","",VLOOKUP($C$171,'Calc (ex-animal)'!$D$38:$Y$42,9,FALSE)*AG177/100/VLOOKUP($C$171,'DB animal categories'!$C$68:$AC$80,27,FALSE)*(VLOOKUP($C$171,'DB animal categories'!$C$68:$AC$80,27,FALSE)-VLOOKUP($C$171,'DB animal categories'!$C$68:$AC$80,25,FALSE)*VLOOKUP($C$171,'DB animal categories'!$C$68:$AC$80,26,FALSE)/24)*F177/100*VLOOKUP(D177,'DB technologies'!$N$83:$R$94,5,FALSE)/100)))</f>
        <v/>
      </c>
      <c r="AD177" s="301" t="str">
        <f>IF($C$171=0,"",IF('Calc (ex-animal)'!$F$38=1,"",IF(D177="","",VLOOKUP($C$171,'Calc (ex-animal)'!$D$38:$Y$42,10,FALSE)*AG177/100/VLOOKUP($C$171,'DB animal categories'!$C$68:$AC$80,27,FALSE)*(VLOOKUP($C$171,'DB animal categories'!$C$68:$AC$80,27,FALSE)-VLOOKUP($C$171,'DB animal categories'!$C$68:$AC$80,25,FALSE)*VLOOKUP($C$171,'DB animal categories'!$C$68:$AC$80,26,FALSE)/24)*F177/100*VLOOKUP(D177,'DB technologies'!$N$83:$Y$94,6,FALSE)/100)))</f>
        <v/>
      </c>
      <c r="AE177" s="302" t="str">
        <f>IF($C$171=0,"",IF('Calc (ex-animal)'!$F$38=1,"",IF(D177="","",VLOOKUP($C$171,'Calc (ex-animal)'!$D$38:$Y$42,10,FALSE)*AG177/100/VLOOKUP($C$171,'DB animal categories'!$C$68:$AC$80,27,FALSE)*(VLOOKUP($C$171,'DB animal categories'!$C$68:$AC$80,27,FALSE)-VLOOKUP($C$171,'DB animal categories'!$C$68:$AC$80,25,FALSE)*VLOOKUP($C$171,'DB animal categories'!$C$68:$AC$80,26,FALSE)/24)*F177/100*VLOOKUP(D177,'DB technologies'!$N$83:$Y$94,7,FALSE)/100)))</f>
        <v/>
      </c>
      <c r="AF177" s="43"/>
      <c r="AG177" s="1389"/>
      <c r="AH177" s="1382"/>
      <c r="AI177" s="181" t="str">
        <f>IF(D177="","",VLOOKUP(D177,'DB technologies'!$N$82:$Y$94,10,FALSE))</f>
        <v/>
      </c>
      <c r="AJ177" s="449" t="e">
        <f>VLOOKUP($C$171,'DB animal categories'!$C$68:$AN$80,27,FALSE)-VLOOKUP($C$171,'DB animal categories'!$C$68:$AN$80,26,FALSE)*VLOOKUP($C$171,'DB animal categories'!$C$68:$AN$80,25,FALSE)/24</f>
        <v>#N/A</v>
      </c>
      <c r="AK177" s="442" t="str">
        <f t="shared" si="26"/>
        <v/>
      </c>
      <c r="AL177" s="442" t="str">
        <f>IF(D177="","",IF(AI177=2,(('Calc (ex-animal)'!$G$39*'DB additional information '!$K$12/100*AG177/100*(1-VLOOKUP(D177,'DB technologies'!$N$82:$Y$94,9,FALSE)/100)*'Calc (ex-housing, ex-storage)'!F177/100+'Calc (ex-animal)'!$H$39*'DB additional information '!$L$12/100*AG177/100*(1-VLOOKUP(D177,'DB technologies'!$N$82:$Y$94,9,FALSE)/100)*'Calc (ex-housing, ex-storage)'!F177/100))/VLOOKUP($C$171,'DB animal categories'!$C$68:$AC$80,27,FALSE)*AJ177+I177+J177+K177,IF(AI177=1,('Calc (ex-animal)'!$H$39*AG177/100*'DB additional information '!$L$12/100*(1-VLOOKUP(D177,'DB technologies'!$N$82:$Y$94,9,FALSE)/100)*'Calc (ex-housing, ex-storage)'!F177/100)/VLOOKUP($C$171,'DB animal categories'!$C$68:$AC$80,27,FALSE)*AJ177,IF(AI177=4,('Calc (ex-animal)'!$G$39*'DB additional information '!$K$12/100+'Calc (ex-animal)'!$H$39*'DB additional information '!$L$12/100)*AG177/100*(1-VLOOKUP(D177,'DB technologies'!$N$82:$Y$94,9,FALSE)/100)*'Calc (ex-housing, ex-storage)'!F177/100*VLOOKUP(D177,'DB technologies'!$N$82:$Y$94,11,FALSE)/100/VLOOKUP($C$171,'DB animal categories'!$C$68:$AC$80,27,FALSE)*AJ177,0))))</f>
        <v/>
      </c>
      <c r="AM177" s="442" t="str">
        <f>IF(D177="","",IF(AI177=2,(('Calc (ex-animal)'!$G$39*(1-'DB additional information '!$K$12/100)*AG177/100*(1-VLOOKUP(D177,'DB technologies'!$N$82:$Y$94,8,FALSE)/100)*'Calc (ex-housing, ex-storage)'!F177/100+'Calc (ex-animal)'!$H$39*(1-'DB additional information '!$L$12/100)*AG177/100*(1-VLOOKUP(D177,'DB technologies'!$N$82:$Y$94,8,FALSE)/100)*'Calc (ex-housing, ex-storage)'!F177/100))/VLOOKUP($C$171,'DB animal categories'!$C$68:$AC$80,27,FALSE)*AJ177+M177+N177+O177,IF(AI177=1,('Calc (ex-animal)'!$H$39*(1-'DB additional information '!$L$12/100)*AG177/100*(1-VLOOKUP(D177,'DB technologies'!$N$82:$Y$94,8,FALSE)/100)*'Calc (ex-housing, ex-storage)'!F177/100)/VLOOKUP($C$171,'DB animal categories'!$C$68:$AC$80,27,FALSE)*AJ177,IF(AI177=4,('Calc (ex-animal)'!$G$39*(1-'DB additional information '!$K$12/100)+'Calc (ex-animal)'!$H$39*(1-'DB additional information '!$L$12/100))*AG177/100*(1-VLOOKUP(D177,'DB technologies'!$N$82:$Y$94,8,FALSE)/100)*'Calc (ex-housing, ex-storage)'!F177/100*VLOOKUP(D177,'DB technologies'!$N$82:$Y$94,11,FALSE)/100/VLOOKUP($C$171,'DB animal categories'!$C$68:$AC$80,27,FALSE)*AJ177,0))))</f>
        <v/>
      </c>
      <c r="AN177" s="442" t="str">
        <f t="shared" si="27"/>
        <v/>
      </c>
      <c r="AO177" s="182" t="str">
        <f>IF(D177="","",IF(AI177=2,(('Calc (ex-animal)'!$L$39*'Calc (ex-housing, ex-storage)'!F177/100+'Calc (ex-animal)'!$K$39*'Calc (ex-housing, ex-storage)'!F177/100))*AG177/100/VLOOKUP($C$171,'DB animal categories'!$C$68:$AC$80,27,FALSE)*AJ177+Q177+R177+S177-AC177,IF(AI177=1,('Calc (ex-animal)'!$L$39*'Calc (ex-housing, ex-storage)'!F177/100)*AG177/100/VLOOKUP($C$171,'DB animal categories'!$C$68:$AC$80,27,FALSE)*AJ177-'Calc (ex-housing, ex-storage)'!AC177,IF(AI177=4,('Calc (ex-animal)'!$L$39+'Calc (ex-animal)'!$K$39)*'Calc (ex-housing, ex-storage)'!F177/100*AG177/100*VLOOKUP(D177,'DB technologies'!$N$82:$Y$94,11,FALSE)/100/VLOOKUP($C$171,'DB animal categories'!$C$68:$AC$80,27,FALSE)*AJ177-AC177*VLOOKUP(D177,'DB technologies'!$N$82:$Y$94,11,FALSE)/100,0))))</f>
        <v/>
      </c>
      <c r="AP177" s="182" t="str">
        <f>IF(D177="","",IF(AO177&lt;-0.01,0,IF(AI177=2,(('Calc (ex-animal)'!$L$39*'Calc (ex-housing, ex-storage)'!F177/100+'Calc (ex-animal)'!$K$39*'Calc (ex-housing, ex-storage)'!F177/100))*AG177/100/VLOOKUP($C$171,'DB animal categories'!$C$68:$AC$80,27,FALSE)*AJ177+Q177+R177+S177-AC177,IF(AI177=1,('Calc (ex-animal)'!$L$39*'Calc (ex-housing, ex-storage)'!F177/100)*AG177/100/VLOOKUP($C$171,'DB animal categories'!$C$68:$AC$80,27,FALSE)*AJ177-'Calc (ex-housing, ex-storage)'!AC177,IF(AI177=4,('Calc (ex-animal)'!$L$39+'Calc (ex-animal)'!$K$39)*'Calc (ex-housing, ex-storage)'!F177/100*AG177/100*VLOOKUP(D177,'DB technologies'!$N$82:$Y$94,11,FALSE)/100/VLOOKUP($C$171,'DB animal categories'!$C$68:$AC$80,27,FALSE)*AJ177-AC177*VLOOKUP(D177,'DB technologies'!$N$82:$Y$94,11,FALSE)/100,0)))))</f>
        <v/>
      </c>
      <c r="AQ177" s="182" t="str">
        <f>IF(D177="","",IF(AI177=2,('Calc (ex-animal)'!$O$39*'Calc (ex-housing, ex-storage)'!F177/100+'Calc (ex-animal)'!$N$39*'Calc (ex-housing, ex-storage)'!F177/100)*AG177/100/VLOOKUP($C$171,'DB animal categories'!$C$68:$AC$80,27,FALSE)*AJ177+U177+V177+W177,IF(AI177=1,'Calc (ex-animal)'!$O$39*'Calc (ex-housing, ex-storage)'!F177/100*AG177/100/VLOOKUP($C$171,'DB animal categories'!$C$68:$AC$80,27,FALSE)*AJ177,IF(AI177=4,('Calc (ex-animal)'!$O$39+'Calc (ex-animal)'!$N$39)*'Calc (ex-housing, ex-storage)'!F177/100*AG177/100*VLOOKUP(D177,'DB technologies'!$N$82:$Y$94,11,FALSE)/100/VLOOKUP($C$171,'DB animal categories'!$C$68:$AC$80,27,FALSE)*AJ177,0))))</f>
        <v/>
      </c>
      <c r="AR177" s="182" t="str">
        <f>IF(D177="","",IF(AI177=2,('Calc (ex-animal)'!$R$39*'Calc (ex-housing, ex-storage)'!F177/100+'Calc (ex-animal)'!$Q$39*'Calc (ex-housing, ex-storage)'!F177/100)*AG177/100/VLOOKUP($C$171,'DB animal categories'!$C$68:$AC$80,27,FALSE)*AJ177+Y177+Z177+AA177,IF(AI177=1,'Calc (ex-animal)'!$R$39*'Calc (ex-housing, ex-storage)'!F177/100*AG177/100/VLOOKUP($C$171,'DB animal categories'!$C$68:$AC$80,27,FALSE)*AJ177,IF(AI177=4,('Calc (ex-animal)'!$R$39+'Calc (ex-animal)'!$Q$39)*'Calc (ex-housing, ex-storage)'!F177/100*AG177/100*VLOOKUP(D177,'DB technologies'!$N$82:$Y$94,11,FALSE)/100/VLOOKUP($C$171,'DB animal categories'!$C$68:$AC$80,27,FALSE)*AJ177,0))))</f>
        <v/>
      </c>
      <c r="AS177" s="181" t="str">
        <f>IF(D177="","",VLOOKUP(D177,'DB technologies'!$N$82:$Y$94,10,FALSE))</f>
        <v/>
      </c>
      <c r="AT177" s="442" t="str">
        <f t="shared" si="28"/>
        <v/>
      </c>
      <c r="AU177" s="442" t="str">
        <f>IF(D177="","",IF(AS177=2,0,IF(AS177=1,'Calc (ex-animal)'!$G$39*'DB additional information '!$K$12/100*AG177/100*(1-VLOOKUP(D177,'DB technologies'!$N$82:$Y$94,8,FALSE)/100)*'Calc (ex-housing, ex-storage)'!F177/100/VLOOKUP($C$171,'DB animal categories'!$C$68:$AC$80,27,FALSE)*AJ177+I177+J177+K177,IF(AS177=5,(('Calc (ex-animal)'!$G$39*'DB additional information '!$K$12/100+'Calc (ex-animal)'!$H$39*'DB additional information '!$L$12/100))*AG177/100*(1-VLOOKUP(D177,'DB technologies'!$N$82:$Y$94,9,FALSE)/100)*'Calc (ex-housing, ex-storage)'!F177/100/VLOOKUP($C$171,'DB animal categories'!$C$68:$AC$80,27,FALSE)*AJ177+I177+J177+K177,IF(AS177=3,('Calc (ex-animal)'!$G$39*'DB additional information '!$K$12/100+'Calc (ex-animal)'!$H$39*'DB additional information '!$L$12/100)*AG177/100*(1-VLOOKUP(D177,'DB technologies'!$N$82:$Y$94,9,FALSE)/100)*'Calc (ex-housing, ex-storage)'!F177/100/VLOOKUP($C$171,'DB animal categories'!$C$68:$AC$80,27,FALSE)*AJ177+I177+J177+K177,IF(AS177=4,('Calc (ex-animal)'!$G$39*'DB additional information '!$K$12/100+'Calc (ex-animal)'!$H$39*'DB additional information '!$L$12/100)*AG177/100*(1-VLOOKUP(D177,'DB technologies'!$N$82:$Y$94,9,FALSE)/100)*'Calc (ex-housing, ex-storage)'!F177/100*VLOOKUP(D177,'DB technologies'!$N$82:$Y$94,12,FALSE)/100/VLOOKUP($C$171,'DB animal categories'!$C$68:$AC$80,27,FALSE)*AJ177+I177+J177+K177,0))))))</f>
        <v/>
      </c>
      <c r="AV177" s="442" t="str">
        <f>IF(D177="","",IF(AS177=2,0,IF(AS177=1,'Calc (ex-animal)'!$G$39*(1-'DB additional information '!$K$12/100)*AG177/100*(1-VLOOKUP(D177,'DB technologies'!$N$82:$Y$94,8,FALSE)/100)*'Calc (ex-housing, ex-storage)'!F177/100/VLOOKUP($C$171,'DB animal categories'!$C$68:$AC$80,27,FALSE)*AJ177+M177+N177+O177,IF(AS177=5,('Calc (ex-animal)'!$G$39*(1-'DB additional information '!$K$12/100)+'Calc (ex-animal)'!$H$39*(1-'DB additional information '!$L$12/100))*AG177/100*(1-VLOOKUP(D177,'DB technologies'!$N$82:$Y$94,8,FALSE)/100)*'Calc (ex-housing, ex-storage)'!F177/100/VLOOKUP($C$171,'DB animal categories'!$C$68:$AC$80,27,FALSE)*AJ177+M177+N177+O177,IF(AS177=3,('Calc (ex-animal)'!$G$39*(1-'DB additional information '!$K$12/100)+'Calc (ex-animal)'!$H$39*(1-'DB additional information '!$L$12/100))*AG177/100*(1-VLOOKUP(D177,'DB technologies'!$N$82:$Y$94,8,FALSE)/100)*'Calc (ex-housing, ex-storage)'!F177/100/VLOOKUP($C$171,'DB animal categories'!$C$68:$AC$80,27,FALSE)*AJ177+M177+N177+O177,IF(AS177=4,('Calc (ex-animal)'!$G$39*(1-'DB additional information '!$K$12/100)+'Calc (ex-animal)'!$H$39*(1-'DB additional information '!$L$12/100))*AG177/100*(1-VLOOKUP(D177,'DB technologies'!$N$82:$Y$94,8,FALSE)/100)*'Calc (ex-housing, ex-storage)'!F177/100*VLOOKUP(D177,'DB technologies'!$N$82:$Y$94,12,FALSE)/100/VLOOKUP($C$171,'DB animal categories'!$C$68:$AC$80,27,FALSE)*AJ177+M177+N177+O177,0))))))</f>
        <v/>
      </c>
      <c r="AW177" s="442" t="str">
        <f t="shared" si="29"/>
        <v/>
      </c>
      <c r="AX177" s="182" t="str">
        <f>IF(D177="","",IF(AS177=2,0,IF(AS177=1,'Calc (ex-animal)'!$K$39*'Calc (ex-housing, ex-storage)'!F177/100*AG177/100/VLOOKUP($C$171,'DB animal categories'!$C$68:$AC$80,27,FALSE)*AJ177+Q177+R177+S177,IF(AS177=5,('Calc (ex-animal)'!$K$39+'Calc (ex-animal)'!$L$39)*AG177/100*'Calc (ex-housing, ex-storage)'!F177/100/VLOOKUP($C$171,'DB animal categories'!$C$68:$AC$80,27,FALSE)*AJ177+Q177+R177+S177-'Calc (ex-housing, ex-storage)'!AC177,IF(AS177=3,('Calc (ex-animal)'!$K$39+'Calc (ex-animal)'!$L$39)*AG177/100*'Calc (ex-housing, ex-storage)'!F177/100/VLOOKUP($C$171,'DB animal categories'!$C$68:$AC$80,27,FALSE)*AJ177+Q177+R177+S177-'Calc (ex-housing, ex-storage)'!AC177-AD177-AE177,IF(AI177=4,('Calc (ex-animal)'!$K$39+'Calc (ex-animal)'!$L$39)*AG177/100*'Calc (ex-housing, ex-storage)'!F177/100*VLOOKUP(D177,'DB technologies'!$N$82:$Y$94,12,FALSE)/100/VLOOKUP($C$171,'DB animal categories'!$C$68:$AC$80,27,FALSE)*AJ177+Q177+R177+S177-(VLOOKUP(D177,'DB technologies'!$N$82:$Y$94,12,FALSE)/100*AC177)-AD177-AE177,0))))))</f>
        <v/>
      </c>
      <c r="AY177" s="182" t="str">
        <f>IF(D177="","",IF(AS177=2,0,IF(AS177=1,'Calc (ex-animal)'!$N$39*AG177/100*'Calc (ex-housing, ex-storage)'!F177/100/VLOOKUP($C$171,'DB animal categories'!$C$68:$AC$80,27,FALSE)*AJ177+U177+V177+W177,IF(AS177=5,('Calc (ex-animal)'!$N$39+'Calc (ex-animal)'!$O$39)*AG177/100*'Calc (ex-housing, ex-storage)'!F177/100/VLOOKUP($C$171,'DB animal categories'!$C$68:$AC$80,27,FALSE)*AJ177+U177+V177+W177,IF(AS177=3,('Calc (ex-animal)'!$N$39+'Calc (ex-animal)'!$O$39)*AG177/100*'Calc (ex-housing, ex-storage)'!F177/100/VLOOKUP($C$171,'DB animal categories'!$C$68:$AC$80,27,FALSE)*AJ177+U177+V177+W177,IF(AS177=4,('Calc (ex-animal)'!$N$39+'Calc (ex-animal)'!$O$39)*AG177/100*'Calc (ex-housing, ex-storage)'!F177/100*VLOOKUP(D177,'DB technologies'!$N$82:$Y$94,12,FALSE)/100/VLOOKUP($C$171,'DB animal categories'!$C$68:$AC$80,27,FALSE)*AJ177+U177+V177+W177,0))))))</f>
        <v/>
      </c>
      <c r="AZ177" s="182" t="str">
        <f>IF(D177="","",IF(AS177=2,0,IF(AS177=1,'Calc (ex-animal)'!$Q$39*AG177/100*'Calc (ex-housing, ex-storage)'!F177/100/VLOOKUP($C$171,'DB animal categories'!$C$68:$AC$80,27,FALSE)*AJ177+Y177+Z177+AA177,IF(AS177=5,('Calc (ex-animal)'!$Q$39+'Calc (ex-animal)'!$R$39)*AG177/100*'Calc (ex-housing, ex-storage)'!F177/100/VLOOKUP($C$171,'DB animal categories'!$C$68:$AC$80,27,FALSE)*AJ177+Y177+Z177+AA177,IF(AS177=3,('Calc (ex-animal)'!$Q$39+'Calc (ex-animal)'!$R$39)*AG177/100*'Calc (ex-housing, ex-storage)'!F177/100/VLOOKUP($C$171,'DB animal categories'!$C$68:$AC$80,27,FALSE)*AJ177+Y177+Z177+AA177,IF(AS177=4,('Calc (ex-animal)'!$Q$39+'Calc (ex-animal)'!$R$39)*AG177/100*'Calc (ex-housing, ex-storage)'!F177/100*VLOOKUP(D177,'DB technologies'!$N$82:$Y$94,12,FALSE)/100/VLOOKUP($C$171,'DB animal categories'!$C$68:$AC$80,27,FALSE)*AJ177+Y177+Z177+AA177,0))))))</f>
        <v/>
      </c>
      <c r="BA177" s="506"/>
      <c r="BB177" s="506"/>
      <c r="BC177" s="506"/>
    </row>
    <row r="178" spans="1:55" x14ac:dyDescent="0.2">
      <c r="A178" s="684"/>
      <c r="B178" s="695"/>
      <c r="C178" s="251"/>
      <c r="D178" s="1367"/>
      <c r="E178" s="1373"/>
      <c r="F178" s="692" t="str">
        <f>IF('Calc (ex-animal)'!$F$9=1,"",IF($C$152=0,"",IF(D178="","",E178/'Calc (ex-animal)'!$E$32*100)))</f>
        <v/>
      </c>
      <c r="G178" s="539" t="str">
        <f>IF($C$171=0,"",IF('Calc (ex-animal)'!$F$38=1,"",IF(D178="","",SUM(H178:O178))))</f>
        <v/>
      </c>
      <c r="H178" s="532" t="str">
        <f>IF('Calc (ex-animal)'!$F$38=1,"",IF(D178="","",(((VLOOKUP($C$171,'Calc (ex-animal)'!$D$38:$Y$42,6,FALSE)-VLOOKUP($C$171,'Calc (ex-animal)'!$D$38:$Y$42,17,FALSE))*F177/100*AH177/100))*VLOOKUP($C$171,'Calc (ex-animal)'!$D$38:$Y$42,7,FALSE)/100*(1-VLOOKUP(D178,'DB technologies'!$N$96:$Y$107,9,FALSE)/100)))</f>
        <v/>
      </c>
      <c r="I178" s="532" t="str">
        <f>IF(D178="","",((VLOOKUP(D178,'DB technologies'!$N$96:$Y$107,2,FALSE)*VLOOKUP($C$171,'DB animal categories'!$C$68:$AC$80,27,FALSE)*F177/1000*AH177/100)/VLOOKUP($C$171,'DB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'!$S$6/100*(1-VLOOKUP(D178,'DB technologies'!$N$96:$Y$107,9,FALSE)/100)))</f>
        <v/>
      </c>
      <c r="J178" s="533" t="str">
        <f>IF(D178="","",((VLOOKUP(D178,'DB technologies'!$N$96:$Y$107,3,FALSE)*VLOOKUP($C$171,'DB animal categories'!$C$68:$AC$80,27,FALSE)*E177/1000*AH177/100)/VLOOKUP($C$171,'DB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'!$S$7/100*(1-VLOOKUP(D178,'DB technologies'!$N$96:$Y$107,9,FALSE)/100)))</f>
        <v/>
      </c>
      <c r="K178" s="534" t="str">
        <f>IF(D178="","",((VLOOKUP(D178,'DB technologies'!$N$96:$Y$107,4,FALSE)*E177*AH177/100*'DB additional information '!$S$8/100*(1-VLOOKUP(D178,'DB technologies'!$N$96:$Y$107,9,FALSE)/100))/VLOOKUP($C$171,'DB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8" s="532" t="str">
        <f>IF('Calc (ex-animal)'!$F$38=1,"",IF(D178="","",(((VLOOKUP($C$171,'Calc (ex-animal)'!$D$38:$Y$42,6,FALSE)-VLOOKUP($C$171,'Calc (ex-animal)'!$D$38:$Y$42,17,FALSE))*F177/100*AH177/100))*(1-VLOOKUP($C$171,'Calc (ex-animal)'!$D$38:$Y$42,7,FALSE)/100)*(1-VLOOKUP(D178,'DB technologies'!$N$96:$V$107,8,FALSE)/100)))</f>
        <v/>
      </c>
      <c r="M178" s="533" t="str">
        <f>IF(D178="","",((VLOOKUP(D178,'DB technologies'!$N$96:$Y$107,2,FALSE)*VLOOKUP($C$171,'DB animal categories'!$C$68:$AC$80,27,FALSE)*E177/1000*AH177/100)/VLOOKUP($C$171,'DB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'!$S$6/100)*(1-VLOOKUP(D178,'DB technologies'!$N$96:$Y$107,9,FALSE)/100))</f>
        <v/>
      </c>
      <c r="N178" s="533" t="str">
        <f>IF(D178="","",((VLOOKUP(D178,'DB technologies'!$N$96:$Y$107,3,FALSE)*VLOOKUP($C$171,'DB animal categories'!$C$68:$AC$80,27,FALSE)*E177/1000*AH177/100)/VLOOKUP($C$171,'DB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'!$S$7/100)*(1-VLOOKUP(D178,'DB technologies'!$N$96:$Y$107,9,FALSE)/100))</f>
        <v/>
      </c>
      <c r="O178" s="532" t="str">
        <f>IF(D178="","",((VLOOKUP(D178,'DB technologies'!$N$96:$Y$107,4,FALSE)*E177*AH177/100*(1-'DB additional information '!$S$8/100)*(1-VLOOKUP(D178,'DB technologies'!$N$96:$Y$107,8,FALSE)/100))/VLOOKUP($C$171,'DB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8" s="535" t="str">
        <f>IF(G178=0,0,IF(E177="","",IF(F177="","",IF($C$171=0,"",IF(D178="","",SUM(H178:K178)/G178*100)))))</f>
        <v/>
      </c>
      <c r="Q178" s="536" t="str">
        <f>IF(D178="","",(VLOOKUP(D178,'DB technologies'!$N$96:$Y$107,2,FALSE)*'DB additional information '!$S$6/100*'DB additional information '!$T$6*VLOOKUP($C$171,'DB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8" s="536" t="str">
        <f>IF(D178="","",(VLOOKUP(D178,'DB technologies'!$N$96:$Y$107,3,FALSE)*'DB additional information '!$S$7/100*'DB additional information '!$T$7*VLOOKUP($C$171,'DB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8" s="540" t="str">
        <f>IF(D178="","",(VLOOKUP(D178,'DB technologies'!$N$96:$Y$107,4,FALSE)*('DB additional information '!$S$8/100*'DB additional information '!$T$8*E177/1000/1000*AH177/100)))</f>
        <v/>
      </c>
      <c r="T178" s="303" t="str">
        <f>IF($C$171=0,"",IF('Calc (ex-animal)'!$F$38=1,"",IF(D178="","",((VLOOKUP($C$171,'Calc (ex-animal)'!$D$38:$Y$42,10,FALSE)-VLOOKUP($C$171,'Calc (ex-animal)'!$D$38:$Y$42,18,FALSE))*F177/100*AH177/100+Q178+R178+S178)-AC178-AD178-AE178)))</f>
        <v/>
      </c>
      <c r="U178" s="542" t="str">
        <f>IF(D178="","",(VLOOKUP(D178,'DB technologies'!$N$96:$Y$107,2,FALSE)*'DB additional information '!$S$6/100*'DB additional information '!$U$6*VLOOKUP($C$171,'DB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8" s="524" t="str">
        <f>IF(D178="","",(VLOOKUP(D178,'DB technologies'!$N$96:$Y$107,3,FALSE)*'DB additional information '!$S$7/100*'DB additional information '!$U$7*VLOOKUP($C$171,'DB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8" s="543" t="str">
        <f>IF(D178="","",(VLOOKUP(D178,'DB technologies'!$N$96:$Y$107,4,FALSE)*('DB additional information '!$S$8/100*'DB additional information '!$U$8*E177/1000/1000*AH177/100)))</f>
        <v/>
      </c>
      <c r="X178" s="304" t="str">
        <f>IF($C$171=0,"",IF('Calc (ex-animal)'!$F$38=1,"",IF(D178="","",((VLOOKUP($C$171,'Calc (ex-animal)'!$D$38:$Y$42,13,FALSE)-VLOOKUP($C$171,'Calc (ex-animal)'!$D$38:$Y$42,19,FALSE))*F177/100*AH177/100+U178+V178+W178))))</f>
        <v/>
      </c>
      <c r="Y178" s="524" t="str">
        <f>IF(D178="","",(VLOOKUP(D178,'DB technologies'!$N$96:$Y$107,2,FALSE)*'DB additional information '!$S$6/100*'DB additional information '!$V$6*VLOOKUP($C$171,'DB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8" s="524" t="str">
        <f>IF(D178="","",(VLOOKUP(D178,'DB technologies'!$N$96:$Y$107,3,FALSE)*'DB additional information '!$S$7/100*'DB additional information '!$V$7*VLOOKUP($C$171,'DB animal categories'!$C$68:$AC$80,27,FALSE)*E177/1000/1000*AH177/100)/VLOOKUP($C$171,'DB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8" s="524" t="str">
        <f>IF(D178="","",(VLOOKUP(D178,'DB technologies'!$N$96:$Y$107,4,FALSE)*('DB additional information '!$S$8/100*'DB additional information '!$V$8*E177/1000/1000*AH177/100)))</f>
        <v/>
      </c>
      <c r="AB178" s="304" t="str">
        <f>IF($C$171=0,"",IF('Calc (ex-animal)'!$F$38=1,"",IF(D178="","",((VLOOKUP($C$171,'Calc (ex-animal)'!$D$38:$Y$42,16,FALSE)-VLOOKUP($C$171,'Calc (ex-animal)'!$D$38:$Y$42,20,FALSE))*F177/100*AH177/100+Y178+Z178+AA178))))</f>
        <v/>
      </c>
      <c r="AC178" s="304" t="str">
        <f>IF($C$171=0,"",IF('Calc (ex-animal)'!$F$38=1,"",IF(D178="","",VLOOKUP($C$171,'Calc (ex-animal)'!$D$38:$Y$42,9,FALSE)*AH177/100/VLOOKUP($C$171,'DB animal categories'!$C$68:$AC$80,27,FALSE)*(VLOOKUP($C$171,'DB animal categories'!$C$68:$AC$80,27,FALSE)-VLOOKUP($C$171,'DB animal categories'!$C$68:$AC$80,25,FALSE)*VLOOKUP($C$171,'DB animal categories'!$C$68:$AC$80,26,FALSE)/24)*F177/100*VLOOKUP(D178,'DB technologies'!$N$96:$R$107,5,FALSE)/100)))</f>
        <v/>
      </c>
      <c r="AD178" s="304" t="str">
        <f>IF($C$171=0,"",IF('Calc (ex-animal)'!$F$38=1,"",IF(D178="","",VLOOKUP($C$171,'Calc (ex-animal)'!$D$38:$Y$42,10,FALSE)*AH177/100/VLOOKUP($C$171,'DB animal categories'!$C$68:$AC$80,27,FALSE)*(VLOOKUP($C$171,'DB animal categories'!$C$68:$AC$80,27,FALSE)-VLOOKUP($C$171,'DB animal categories'!$C$68:$AC$80,25,FALSE)*VLOOKUP($C$171,'DB animal categories'!$C$68:$AC$80,26,FALSE)/24)*F177/100*VLOOKUP(D178,'DB technologies'!$N$96:$Y$107,6,FALSE)/100)))</f>
        <v/>
      </c>
      <c r="AE178" s="305" t="str">
        <f>IF($C$171=0,"",IF('Calc (ex-animal)'!$F$38=1,"",IF(D178="","",VLOOKUP($C$171,'Calc (ex-animal)'!$D$38:$Y$42,10,FALSE)*AH177/100/VLOOKUP($C$171,'DB animal categories'!$C$68:$AC$80,27,FALSE)*(VLOOKUP($C$171,'DB animal categories'!$C$68:$AC$80,27,FALSE)-VLOOKUP($C$171,'DB animal categories'!$C$68:$AC$80,25,FALSE)*VLOOKUP($C$171,'DB animal categories'!$C$68:$AC$80,26,FALSE)/24)*F177/100*VLOOKUP(D178,'DB technologies'!$N$96:$Y$107,7,FALSE)/100)))</f>
        <v/>
      </c>
      <c r="AF178" s="43"/>
      <c r="AG178" s="1390"/>
      <c r="AH178" s="1380"/>
      <c r="AI178" s="187" t="str">
        <f>IF(D178="","",VLOOKUP(D178,'DB technologies'!$N$96:$Y$107,10,FALSE))</f>
        <v/>
      </c>
      <c r="AJ178" s="451" t="e">
        <f>VLOOKUP($C$171,'DB animal categories'!$C$68:$AN$80,27,FALSE)-VLOOKUP($C$171,'DB animal categories'!$C$68:$AN$80,26,FALSE)*VLOOKUP($C$171,'DB animal categories'!$C$68:$AN$80,25,FALSE)/24</f>
        <v>#N/A</v>
      </c>
      <c r="AK178" s="452" t="str">
        <f t="shared" si="26"/>
        <v/>
      </c>
      <c r="AL178" s="452" t="str">
        <f>IF(D178="","",IF(AI178=2,(('Calc (ex-animal)'!$G$39*'DB additional information '!$K$12/100*AH177/100*(1-VLOOKUP(D178,'DB technologies'!$N$96:$Y$107,9,FALSE)/100)*'Calc (ex-housing, ex-storage)'!F177/100+'Calc (ex-animal)'!$H$39*'DB additional information '!$L$12/100*AH177/100*(1-VLOOKUP(D178,'DB technologies'!$N$96:$Y$107,9,FALSE)/100)*'Calc (ex-housing, ex-storage)'!F177/100))/VLOOKUP($C$171,'DB animal categories'!$C$68:$AC$80,27,FALSE)*AJ178+I178+J178+K178,IF(AI178=1,('Calc (ex-animal)'!$H$39*AH177/100*'DB additional information '!$L$12/100*(1-VLOOKUP(D178,'DB technologies'!$N$96:$Y$107,9,FALSE)/100)*'Calc (ex-housing, ex-storage)'!F177/100)/VLOOKUP($C$171,'DB animal categories'!$C$68:$AC$80,27,FALSE)*AJ178,IF(AI178=4,('Calc (ex-animal)'!$G$39*'DB additional information '!$K$12/100+'Calc (ex-animal)'!$H$39*'DB additional information '!$L$12/100)*AH177/100*(1-VLOOKUP(D178,'DB technologies'!$N$96:$Y$107,9,FALSE)/100)*'Calc (ex-housing, ex-storage)'!F177/100*VLOOKUP(D178,'DB technologies'!$N$96:$Y$107,11,FALSE)/100/VLOOKUP($C$171,'DB animal categories'!$C$68:$AC$80,27,FALSE)*AJ178,0))))</f>
        <v/>
      </c>
      <c r="AM178" s="452" t="str">
        <f>IF(D178="","",IF(AI178=2,(('Calc (ex-animal)'!$G$39*(1-'DB additional information '!$K$12/100)*AH177/100*(1-VLOOKUP(D178,'DB technologies'!$N$96:$Y$107,8,FALSE)/100)*'Calc (ex-housing, ex-storage)'!F177/100+'Calc (ex-animal)'!$H$39*(1-'DB additional information '!$L$12/100)*AH177/100*(1-VLOOKUP(D178,'DB technologies'!$N$96:$Y$107,8,FALSE)/100)*'Calc (ex-housing, ex-storage)'!F177/100))/VLOOKUP($C$171,'DB animal categories'!$C$68:$AC$80,27,FALSE)*AJ178+M178+N178+O178,IF(AI178=1,('Calc (ex-animal)'!$H$39*(1-'DB additional information '!$L$12/100)*AH177/100*(1-VLOOKUP(D178,'DB technologies'!$N$96:$Y$107,8,FALSE)/100)*'Calc (ex-housing, ex-storage)'!F177/100)/VLOOKUP($C$171,'DB animal categories'!$C$68:$AC$80,27,FALSE)*AJ178,IF(AI178=4,('Calc (ex-animal)'!$G$39*(1-'DB additional information '!$K$12/100)+'Calc (ex-animal)'!$H$39*(1-'DB additional information '!$L$12/100))*AH177/100*(1-VLOOKUP(D178,'DB technologies'!$N$96:$Y$107,8,FALSE)/100)*'Calc (ex-housing, ex-storage)'!F177/100*VLOOKUP(D178,'DB technologies'!$N$96:$Y$107,11,FALSE)/100/VLOOKUP($C$171,'DB animal categories'!$C$68:$AC$80,27,FALSE)*AJ178,0))))</f>
        <v/>
      </c>
      <c r="AN178" s="452" t="str">
        <f t="shared" si="27"/>
        <v/>
      </c>
      <c r="AO178" s="184" t="str">
        <f>IF(D178="","",IF(AI178=2,(('Calc (ex-animal)'!$L$39*'Calc (ex-housing, ex-storage)'!F177/100+'Calc (ex-animal)'!$K$39*'Calc (ex-housing, ex-storage)'!F177/100))*AH177/100/VLOOKUP($C$171,'DB animal categories'!$C$68:$AC$80,27,FALSE)*AJ178+Q178+R178+S178-AC178,IF(AI178=1,('Calc (ex-animal)'!$L$39*'Calc (ex-housing, ex-storage)'!F177/100)*AH177/100/VLOOKUP($C$171,'DB animal categories'!$C$68:$AC$80,27,FALSE)*AJ178-'Calc (ex-housing, ex-storage)'!AC178,IF(AI178=4,('Calc (ex-animal)'!$L$39+'Calc (ex-animal)'!$K$39)*'Calc (ex-housing, ex-storage)'!F177/100*AH177/100*VLOOKUP(D178,'DB technologies'!$N$96:$Y$107,11,FALSE)/100/VLOOKUP($C$171,'DB animal categories'!$C$68:$AC$80,27,FALSE)*AJ178-AC178*VLOOKUP(D178,'DB technologies'!$N$96:$Y$107,11,FALSE)/100,0))))</f>
        <v/>
      </c>
      <c r="AP178" s="184" t="str">
        <f>IF(D178="","",IF(AO178&lt;-0.01,0,IF(AI178=2,(('Calc (ex-animal)'!$L$39*'Calc (ex-housing, ex-storage)'!F177/100+'Calc (ex-animal)'!$K$39*'Calc (ex-housing, ex-storage)'!F177/100))*AH177/100/VLOOKUP($C$171,'DB animal categories'!$C$68:$AC$80,27,FALSE)*AJ178+Q178+R178+S178-AC178,IF(AI178=1,('Calc (ex-animal)'!$L$39*'Calc (ex-housing, ex-storage)'!F177/100)*AH177/100/VLOOKUP($C$171,'DB animal categories'!$C$68:$AC$80,27,FALSE)*AJ178-'Calc (ex-housing, ex-storage)'!AC178,IF(AI178=4,('Calc (ex-animal)'!$L$39+'Calc (ex-animal)'!$K$39)*'Calc (ex-housing, ex-storage)'!F177/100*AH177/100*VLOOKUP(D178,'DB technologies'!$N$96:$Y$107,11,FALSE)/100/VLOOKUP($C$171,'DB animal categories'!$C$68:$AC$80,27,FALSE)*AJ178-AC178*VLOOKUP(D178,'DB technologies'!$N$96:$Y$107,11,FALSE)/100,0)))))</f>
        <v/>
      </c>
      <c r="AQ178" s="184" t="str">
        <f>IF(D178="","",IF(AI178=2,('Calc (ex-animal)'!$O$39*'Calc (ex-housing, ex-storage)'!F177/100+'Calc (ex-animal)'!$N$39*'Calc (ex-housing, ex-storage)'!F177/100)*AH177/100/VLOOKUP($C$171,'DB animal categories'!$C$68:$AC$80,27,FALSE)*AJ178+U178+V178+W178,IF(AI178=1,'Calc (ex-animal)'!$O$39*'Calc (ex-housing, ex-storage)'!F177/100*AH177/100/VLOOKUP($C$171,'DB animal categories'!$C$68:$AC$80,27,FALSE)*AJ178,IF(AI178=4,('Calc (ex-animal)'!$O$39+'Calc (ex-animal)'!$N$39)*'Calc (ex-housing, ex-storage)'!F177/100*AH177/100*VLOOKUP(D178,'DB technologies'!$N$96:$Y$107,11,FALSE)/100/VLOOKUP($C$171,'DB animal categories'!$C$68:$AC$80,27,FALSE)*AJ178,0))))</f>
        <v/>
      </c>
      <c r="AR178" s="184" t="str">
        <f>IF(D178="","",IF(AI178=2,('Calc (ex-animal)'!$R$39*'Calc (ex-housing, ex-storage)'!F177/100+'Calc (ex-animal)'!$Q$39*'Calc (ex-housing, ex-storage)'!F177/100)*AH177/100/VLOOKUP($C$171,'DB animal categories'!$C$68:$AC$80,27,FALSE)*AJ178+Y178+Z178+AA178,IF(AI178=1,'Calc (ex-animal)'!$R$39*'Calc (ex-housing, ex-storage)'!F177/100*AH177/100/VLOOKUP($C$171,'DB animal categories'!$C$68:$AC$80,27,FALSE)*AJ178,IF(AI178=4,('Calc (ex-animal)'!$R$39+'Calc (ex-animal)'!$Q$39)*'Calc (ex-housing, ex-storage)'!F177/100*AH177/100*VLOOKUP(D178,'DB technologies'!$N$96:$Y$107,11,FALSE)/100/VLOOKUP($C$171,'DB animal categories'!$C$68:$AC$80,27,FALSE)*AJ178,0))))</f>
        <v/>
      </c>
      <c r="AS178" s="183" t="str">
        <f>IF(D178="","",VLOOKUP(D178,'DB technologies'!$N$96:$Y$107,10,FALSE))</f>
        <v/>
      </c>
      <c r="AT178" s="452" t="str">
        <f t="shared" si="28"/>
        <v/>
      </c>
      <c r="AU178" s="452" t="str">
        <f>IF(D178="","",IF(AS178=2,0,IF(AS178=1,'Calc (ex-animal)'!$G$39*'DB additional information '!$K$12/100*AH177/100*(1-VLOOKUP(D178,'DB technologies'!$N$96:$Y$107,8,FALSE)/100)*'Calc (ex-housing, ex-storage)'!F177/100/VLOOKUP($C$171,'DB animal categories'!$C$68:$AC$80,27,FALSE)*AJ178+I178+J178+K178,IF(AS178=5,(('Calc (ex-animal)'!$G$39*'DB additional information '!$K$12/100+'Calc (ex-animal)'!$H$39*'DB additional information '!$L$12/100))*AH177/100*(1-VLOOKUP(D178,'DB technologies'!$N$96:$Y$107,9,FALSE)/100)*'Calc (ex-housing, ex-storage)'!F177/100/VLOOKUP($C$171,'DB animal categories'!$C$68:$AC$80,27,FALSE)*AJ178+I178+J178+K178,IF(AS178=3,('Calc (ex-animal)'!$G$39*'DB additional information '!$K$12/100+'Calc (ex-animal)'!$H$39*'DB additional information '!$L$12/100)*AH177/100*(1-VLOOKUP(D178,'DB technologies'!$N$96:$Y$107,9,FALSE)/100)*'Calc (ex-housing, ex-storage)'!F177/100/VLOOKUP($C$171,'DB animal categories'!$C$68:$AC$80,27,FALSE)*AJ178+I178+J178+K178,IF(AS178=4,('Calc (ex-animal)'!$G$39*'DB additional information '!$K$12/100+'Calc (ex-animal)'!$H$39*'DB additional information '!$L$12/100)*AH177/100*(1-VLOOKUP(D178,'DB technologies'!$N$96:$Y$107,9,FALSE)/100)*'Calc (ex-housing, ex-storage)'!F177/100*VLOOKUP(D178,'DB technologies'!$N$96:$Y$107,12,FALSE)/100/VLOOKUP($C$171,'DB animal categories'!$C$68:$AC$80,27,FALSE)*AJ178+I178+J178+K178,0))))))</f>
        <v/>
      </c>
      <c r="AV178" s="452" t="str">
        <f>IF(D178="","",IF(AS178=2,0,IF(AS178=1,'Calc (ex-animal)'!$G$39*(1-'DB additional information '!$K$12/100)*AH177/100*(1-VLOOKUP(D178,'DB technologies'!$N$96:$Y$107,8,FALSE)/100)*'Calc (ex-housing, ex-storage)'!F177/100/VLOOKUP($C$171,'DB animal categories'!$C$68:$AC$80,27,FALSE)*AJ178+M178+N178+O178,IF(AS178=5,('Calc (ex-animal)'!$G$39*(1-'DB additional information '!$K$12/100)+'Calc (ex-animal)'!$H$39*(1-'DB additional information '!$L$12/100))*AH177/100*(1-VLOOKUP(D178,'DB technologies'!$N$96:$Y$107,8,FALSE)/100)*'Calc (ex-housing, ex-storage)'!F177/100/VLOOKUP($C$171,'DB animal categories'!$C$68:$AC$80,27,FALSE)*AJ178+M178+N178+O178,IF(AS178=3,('Calc (ex-animal)'!$G$39*(1-'DB additional information '!$K$12/100)+'Calc (ex-animal)'!$H$39*(1-'DB additional information '!$L$12/100))*AH177/100*(1-VLOOKUP(D178,'DB technologies'!$N$96:$Y$107,8,FALSE)/100)*'Calc (ex-housing, ex-storage)'!F177/100/VLOOKUP($C$171,'DB animal categories'!$C$68:$AC$80,27,FALSE)*AJ178+M178+N178+O178,IF(AS178=4,('Calc (ex-animal)'!$G$39*(1-'DB additional information '!$K$12/100)+'Calc (ex-animal)'!$H$39*(1-'DB additional information '!$L$12/100))*AH177/100*(1-VLOOKUP(D178,'DB technologies'!$N$96:$Y$107,8,FALSE)/100)*'Calc (ex-housing, ex-storage)'!F177/100*VLOOKUP(D178,'DB technologies'!$N$96:$Y$107,12,FALSE)/100/VLOOKUP($C$171,'DB animal categories'!$C$68:$AC$80,27,FALSE)*AJ178+M178+N178+O178,0))))))</f>
        <v/>
      </c>
      <c r="AW178" s="452" t="str">
        <f t="shared" si="29"/>
        <v/>
      </c>
      <c r="AX178" s="184" t="str">
        <f>IF(D178="","",IF(AS178=2,0,IF(AS178=1,'Calc (ex-animal)'!$K$39*'Calc (ex-housing, ex-storage)'!F177/100*AH177/100/VLOOKUP($C$171,'DB animal categories'!$C$68:$AC$80,27,FALSE)*AJ178+Q178+R178+S178,IF(AS178=5,('Calc (ex-animal)'!$K$39+'Calc (ex-animal)'!$L$39)*AH177/100*'Calc (ex-housing, ex-storage)'!F177/100/VLOOKUP($C$171,'DB animal categories'!$C$68:$AC$80,27,FALSE)*AJ178+Q178+R178+S178-'Calc (ex-housing, ex-storage)'!AC178,IF(AS178=3,('Calc (ex-animal)'!$K$39+'Calc (ex-animal)'!$L$39)*AH177/100*'Calc (ex-housing, ex-storage)'!F177/100/VLOOKUP($C$171,'DB animal categories'!$C$68:$AC$80,27,FALSE)*AJ178+Q178+R178+S178-'Calc (ex-housing, ex-storage)'!AC178-AD178-AE178,IF(AI178=4,('Calc (ex-animal)'!$K$39+'Calc (ex-animal)'!$L$39)*AH177/100*'Calc (ex-housing, ex-storage)'!F177/100*VLOOKUP(D178,'DB technologies'!$N$96:$Y$107,12,FALSE)/100/VLOOKUP($C$171,'DB animal categories'!$C$68:$AC$80,27,FALSE)*AJ178+Q178+R178+S178-(VLOOKUP(D178,'DB technologies'!$N$96:$Y$107,12,FALSE)/100*AC178)-AD178-AE178,0))))))</f>
        <v/>
      </c>
      <c r="AY178" s="184" t="str">
        <f>IF(D178="","",IF(AS178=2,0,IF(AS178=1,'Calc (ex-animal)'!$N$39*AH177/100*'Calc (ex-housing, ex-storage)'!F177/100/VLOOKUP($C$171,'DB animal categories'!$C$68:$AC$80,27,FALSE)*AJ178+U178+V178+W178,IF(AS178=5,('Calc (ex-animal)'!$N$39+'Calc (ex-animal)'!$O$39)*AH177/100*'Calc (ex-housing, ex-storage)'!F177/100/VLOOKUP($C$171,'DB animal categories'!$C$68:$AC$80,27,FALSE)*AJ178+U178+V178+W178,IF(AS178=3,('Calc (ex-animal)'!$N$39+'Calc (ex-animal)'!$O$39)*AH177/100*'Calc (ex-housing, ex-storage)'!F177/100/VLOOKUP($C$171,'DB animal categories'!$C$68:$AC$80,27,FALSE)*AJ178+U178+V178+W178,IF(AS178=4,('Calc (ex-animal)'!$N$39+'Calc (ex-animal)'!$O$39)*AH177/100*'Calc (ex-housing, ex-storage)'!F177/100*VLOOKUP(D178,'DB technologies'!$N$96:$Y$107,12,FALSE)/100/VLOOKUP($C$171,'DB animal categories'!$C$68:$AC$80,27,FALSE)*AJ178+U178+V178+W178,0))))))</f>
        <v/>
      </c>
      <c r="AZ178" s="184" t="str">
        <f>IF(D178="","",IF(AS178=2,0,IF(AS178=1,'Calc (ex-animal)'!$Q$39*AH177/100*'Calc (ex-housing, ex-storage)'!F177/100/VLOOKUP($C$171,'DB animal categories'!$C$68:$AC$80,27,FALSE)*AJ178+Y178+Z178+AA178,IF(AS178=5,('Calc (ex-animal)'!$Q$39+'Calc (ex-animal)'!$R$39)*AH177/100*'Calc (ex-housing, ex-storage)'!F177/100/VLOOKUP($C$171,'DB animal categories'!$C$68:$AC$80,27,FALSE)*AJ178+Y178+Z178+AA178,IF(AS178=3,('Calc (ex-animal)'!$Q$39+'Calc (ex-animal)'!$R$39)*AH177/100*'Calc (ex-housing, ex-storage)'!F177/100/VLOOKUP($C$171,'DB animal categories'!$C$68:$AC$80,27,FALSE)*AJ178+Y178+Z178+AA178,IF(AS178=4,('Calc (ex-animal)'!$Q$39+'Calc (ex-animal)'!$R$39)*AH177/100*'Calc (ex-housing, ex-storage)'!F177/100*VLOOKUP(D178,'DB technologies'!$N$96:$Y$107,12,FALSE)/100/VLOOKUP($C$171,'DB animal categories'!$C$68:$AC$80,27,FALSE)*AJ178+Y178+Z178+AA178,0))))))</f>
        <v/>
      </c>
      <c r="BA178" s="506"/>
      <c r="BB178" s="506"/>
      <c r="BC178" s="506"/>
    </row>
    <row r="179" spans="1:55" x14ac:dyDescent="0.2">
      <c r="A179" s="684"/>
      <c r="B179" s="695"/>
      <c r="C179" s="251"/>
      <c r="D179" s="1357"/>
      <c r="E179" s="1372"/>
      <c r="F179" s="692" t="str">
        <f>IF('Calc (ex-animal)'!$F$38=1,"",IF($C$171=0,"",IF(D179="","",E179/'Calc (ex-animal)'!$E$39*100)))</f>
        <v/>
      </c>
      <c r="G179" s="438" t="str">
        <f>IF($C$171=0,"",IF('Calc (ex-animal)'!$F$38=1,"",IF(D179="","",SUM(H179:O179))))</f>
        <v/>
      </c>
      <c r="H179" s="423" t="str">
        <f>IF('Calc (ex-animal)'!$F$38=1,"",IF(D179="","",(((VLOOKUP($C$171,'Calc (ex-animal)'!$D$38:$Y$42,6,FALSE)-VLOOKUP($C$171,'Calc (ex-animal)'!$D$38:$Y$42,17,FALSE))*F179/100*AG179/100))*VLOOKUP($C$171,'Calc (ex-animal)'!$D$38:$Y$42,7,FALSE)/100*(1-VLOOKUP(D179,'DB technologies'!$N$83:$Y$94,9,FALSE)/100)))</f>
        <v/>
      </c>
      <c r="I179" s="423" t="str">
        <f>IF(D179="","",((VLOOKUP(D179,'DB technologies'!$N$83:$Y$94,2,FALSE)*VLOOKUP($C$171,'DB animal categories'!$C$68:$AC$80,27,FALSE)*E179/1000*AG179/100)/VLOOKUP($C$171,'DB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'!$S$6/100*(1-VLOOKUP(D179,'DB technologies'!$N$83:$Y$94,9,FALSE)/100)))</f>
        <v/>
      </c>
      <c r="J179" s="434" t="str">
        <f>IF(D179="","",((VLOOKUP(D179,'DB technologies'!$N$83:$Y$94,3,FALSE)*VLOOKUP($C$171,'DB animal categories'!$C$68:$AC$80,27,FALSE)*E179/1000*AG179/100)/VLOOKUP($C$171,'DB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'!$S$7/100*(1-VLOOKUP(D179,'DB technologies'!$N$83:$Y$94,9,FALSE)/100)))</f>
        <v/>
      </c>
      <c r="K179" s="526" t="str">
        <f>IF(D179="","",((VLOOKUP(D179,'DB technologies'!$N$83:$Y$94,4,FALSE)*E179*AG179/100*'DB additional information '!$S$8/100*(1-VLOOKUP(D179,'DB technologies'!$N$83:$Y$94,9,FALSE)/100))/VLOOKUP($C$171,'DB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79" s="423" t="str">
        <f>IF('Calc (ex-animal)'!$F$38=1,"",IF(D179="","",(((VLOOKUP($C$171,'Calc (ex-animal)'!$D$38:$Y$42,6,FALSE)-VLOOKUP($C$171,'Calc (ex-animal)'!$D$38:$Y$42,17,FALSE))*F179/100*AG179/100))*(1-VLOOKUP($C$171,'Calc (ex-animal)'!$D$38:$Y$42,7,FALSE)/100)*(1-VLOOKUP(D179,'DB technologies'!$N$83:$V$94,8,FALSE)/100)))</f>
        <v/>
      </c>
      <c r="M179" s="434" t="str">
        <f>IF(D179="","",((VLOOKUP(D179,'DB technologies'!$N$83:$Y$94,2,FALSE)*VLOOKUP($C$171,'DB animal categories'!$C$68:$AC$80,27,FALSE)*E179/1000*AG179/100)/VLOOKUP($C$171,'DB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'!$S$6/100)*(1-VLOOKUP(D179,'DB technologies'!$N$83:$Y$94,9,FALSE)/100))</f>
        <v/>
      </c>
      <c r="N179" s="434" t="str">
        <f>IF(D179="","",((VLOOKUP(D179,'DB technologies'!$N$83:$Y$94,3,FALSE)*VLOOKUP($C$171,'DB animal categories'!$C$68:$AC$80,27,FALSE)*E179/1000*AG179/100)/VLOOKUP($C$171,'DB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'!$S$7/100)*(1-VLOOKUP(D179,'DB technologies'!$N$83:$Y$94,9,FALSE)/100))</f>
        <v/>
      </c>
      <c r="O179" s="423" t="str">
        <f>IF(D179="","",((VLOOKUP(D179,'DB technologies'!$N$83:$Y$94,4,FALSE)*E179*AG179/100*(1-'DB additional information '!$S$8/100)*(1-VLOOKUP(D179,'DB technologies'!$N$83:$Y$94,8,FALSE)/100))/VLOOKUP($C$171,'DB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79" s="438" t="str">
        <f>IF(G179=0,0,IF(E179="","",IF(F179="","",IF($C$171=0,"",IF(D179="","",SUM(H179:K179)/G179*100)))))</f>
        <v/>
      </c>
      <c r="Q179" s="416" t="str">
        <f>IF(D179="","",(VLOOKUP(D179,'DB technologies'!$N$83:$Y$94,2,FALSE)*'DB additional information '!$S$6/100*'DB additional information '!$T$6*VLOOKUP($C$171,'DB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79" s="416" t="str">
        <f>IF(D179="","",(VLOOKUP(D179,'DB technologies'!$N$83:$Y$94,3,FALSE)*'DB additional information '!$S$7/100*'DB additional information '!$T$7*VLOOKUP($C$171,'DB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79" s="491" t="str">
        <f>IF(D179="","",(VLOOKUP(D179,'DB technologies'!$N$83:$Y$94,4,FALSE)*('DB additional information '!$S$8/100*'DB additional information '!$T$8*E179/1000/1000*AG179/100)))</f>
        <v/>
      </c>
      <c r="T179" s="264" t="str">
        <f>IF($C$171=0,"",IF('Calc (ex-animal)'!$F$38=1,"",IF(D179="","",((VLOOKUP($C$171,'Calc (ex-animal)'!$D$38:$Y$42,10,FALSE)-VLOOKUP($C$171,'Calc (ex-animal)'!$D$38:$Y$42,18,FALSE))*F179/100*AG179/100+Q179+R179+S179)-AC179-AD179-AE179)))</f>
        <v/>
      </c>
      <c r="U179" s="422" t="str">
        <f>IF(D179="","",(VLOOKUP(D179,'DB technologies'!$N$83:$Y$94,2,FALSE)*'DB additional information '!$S$6/100*'DB additional information '!$U$6*VLOOKUP($C$171,'DB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79" s="418" t="str">
        <f>IF(D179="","",(VLOOKUP(D179,'DB technologies'!$N$83:$Y$94,3,FALSE)*'DB additional information '!$S$7/100*'DB additional information '!$U$7*VLOOKUP($C$171,'DB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79" s="417" t="str">
        <f>IF(D179="","",(VLOOKUP(D179,'DB technologies'!$N$83:$Y$94,4,FALSE)*('DB additional information '!$S$8/100*'DB additional information '!$U$8*E179/1000/1000*AG179/100)))</f>
        <v/>
      </c>
      <c r="X179" s="261" t="str">
        <f>IF($C$171=0,"",IF('Calc (ex-animal)'!$F$38=1,"",IF(D179="","",((VLOOKUP($C$171,'Calc (ex-animal)'!$D$38:$Y$42,13,FALSE)-VLOOKUP($C$171,'Calc (ex-animal)'!$D$38:$Y$42,19,FALSE))*F179/100*AG179/100+U179+V179+W179))))</f>
        <v/>
      </c>
      <c r="Y179" s="418" t="str">
        <f>IF(D179="","",(VLOOKUP(D179,'DB technologies'!$N$83:$Y$94,2,FALSE)*'DB additional information '!$S$6/100*'DB additional information '!$V$6*VLOOKUP($C$171,'DB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79" s="418" t="str">
        <f>IF(D179="","",(VLOOKUP(D179,'DB technologies'!$N$83:$Y$94,3,FALSE)*'DB additional information '!$S$7/100*'DB additional information '!$V$7*VLOOKUP($C$171,'DB animal categories'!$C$68:$AC$80,27,FALSE)*E179/1000/1000*AG179/100)/VLOOKUP($C$171,'DB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79" s="418" t="str">
        <f>IF(D179="","",(VLOOKUP(D179,'DB technologies'!$N$83:$Y$94,4,FALSE)*('DB additional information '!$S$8/100*'DB additional information '!$V$8*E179/1000/1000*AG179/100)))</f>
        <v/>
      </c>
      <c r="AB179" s="261" t="str">
        <f>IF($C$171=0,"",IF('Calc (ex-animal)'!$F$38=1,"",IF(D179="","",((VLOOKUP($C$171,'Calc (ex-animal)'!$D$38:$Y$42,16,FALSE)-VLOOKUP($C$171,'Calc (ex-animal)'!$D$38:$Y$42,20,FALSE))*F179/100*AG179/100+Y179+Z179+AA179))))</f>
        <v/>
      </c>
      <c r="AC179" s="261" t="str">
        <f>IF($C$171=0,"",IF('Calc (ex-animal)'!$F$38=1,"",IF(D179="","",VLOOKUP($C$171,'Calc (ex-animal)'!$D$38:$Y$42,9,FALSE)*AG179/100/VLOOKUP($C$171,'DB animal categories'!$C$68:$AC$80,27,FALSE)*(VLOOKUP($C$171,'DB animal categories'!$C$68:$AC$80,27,FALSE)-VLOOKUP($C$171,'DB animal categories'!$C$68:$AC$80,25,FALSE)*VLOOKUP($C$171,'DB animal categories'!$C$68:$AC$80,26,FALSE)/24)*F179/100*VLOOKUP(D179,'DB technologies'!$N$83:$R$94,5,FALSE)/100)))</f>
        <v/>
      </c>
      <c r="AD179" s="261" t="str">
        <f>IF($C$171=0,"",IF('Calc (ex-animal)'!$F$38=1,"",IF(D179="","",VLOOKUP($C$171,'Calc (ex-animal)'!$D$38:$Y$42,10,FALSE)*AG179/100/VLOOKUP($C$171,'DB animal categories'!$C$68:$AC$80,27,FALSE)*(VLOOKUP($C$171,'DB animal categories'!$C$68:$AC$80,27,FALSE)-VLOOKUP($C$171,'DB animal categories'!$C$68:$AC$80,25,FALSE)*VLOOKUP($C$171,'DB animal categories'!$C$68:$AC$80,26,FALSE)/24)*F179/100*VLOOKUP(D179,'DB technologies'!$N$83:$Y$94,6,FALSE)/100)))</f>
        <v/>
      </c>
      <c r="AE179" s="262" t="str">
        <f>IF($C$171=0,"",IF('Calc (ex-animal)'!$F$38=1,"",IF(D179="","",VLOOKUP($C$171,'Calc (ex-animal)'!$D$38:$Y$42,10,FALSE)*AG179/100/VLOOKUP($C$171,'DB animal categories'!$C$68:$AC$80,27,FALSE)*(VLOOKUP($C$171,'DB animal categories'!$C$68:$AC$80,27,FALSE)-VLOOKUP($C$171,'DB animal categories'!$C$68:$AC$80,25,FALSE)*VLOOKUP($C$171,'DB animal categories'!$C$68:$AC$80,26,FALSE)/24)*F179/100*VLOOKUP(D179,'DB technologies'!$N$83:$Y$94,7,FALSE)/100)))</f>
        <v/>
      </c>
      <c r="AF179" s="43"/>
      <c r="AG179" s="1391"/>
      <c r="AH179" s="1388"/>
      <c r="AI179" s="181" t="str">
        <f>IF(D179="","",VLOOKUP(D179,'DB technologies'!$N$82:$Y$94,10,FALSE))</f>
        <v/>
      </c>
      <c r="AJ179" s="449" t="e">
        <f>VLOOKUP($C$171,'DB animal categories'!$C$68:$AN$80,27,FALSE)-VLOOKUP($C$171,'DB animal categories'!$C$68:$AN$80,26,FALSE)*VLOOKUP($C$171,'DB animal categories'!$C$68:$AN$80,25,FALSE)/24</f>
        <v>#N/A</v>
      </c>
      <c r="AK179" s="442" t="str">
        <f t="shared" si="26"/>
        <v/>
      </c>
      <c r="AL179" s="442" t="str">
        <f>IF(D179="","",IF(AI179=2,(('Calc (ex-animal)'!$G$39*'DB additional information '!$K$12/100*AG179/100*(1-VLOOKUP(D179,'DB technologies'!$N$82:$Y$94,9,FALSE)/100)*'Calc (ex-housing, ex-storage)'!F179/100+'Calc (ex-animal)'!$H$39*'DB additional information '!$L$12/100*AG179/100*(1-VLOOKUP(D179,'DB technologies'!$N$82:$Y$94,9,FALSE)/100)*'Calc (ex-housing, ex-storage)'!F179/100))/VLOOKUP($C$171,'DB animal categories'!$C$68:$AC$80,27,FALSE)*AJ179+I179+J179+K179,IF(AI179=1,('Calc (ex-animal)'!$H$39*AG179/100*'DB additional information '!$L$12/100*(1-VLOOKUP(D179,'DB technologies'!$N$82:$Y$94,9,FALSE)/100)*'Calc (ex-housing, ex-storage)'!F179/100)/VLOOKUP($C$171,'DB animal categories'!$C$68:$AC$80,27,FALSE)*AJ179,IF(AI179=4,('Calc (ex-animal)'!$G$39*'DB additional information '!$K$12/100+'Calc (ex-animal)'!$H$39*'DB additional information '!$L$12/100)*AG179/100*(1-VLOOKUP(D179,'DB technologies'!$N$82:$Y$94,9,FALSE)/100)*'Calc (ex-housing, ex-storage)'!F179/100*VLOOKUP(D179,'DB technologies'!$N$82:$Y$94,11,FALSE)/100/VLOOKUP($C$171,'DB animal categories'!$C$68:$AC$80,27,FALSE)*AJ179,0))))</f>
        <v/>
      </c>
      <c r="AM179" s="442" t="str">
        <f>IF(D179="","",IF(AI179=2,(('Calc (ex-animal)'!$G$39*(1-'DB additional information '!$K$12/100)*AG179/100*(1-VLOOKUP(D179,'DB technologies'!$N$82:$Y$94,8,FALSE)/100)*'Calc (ex-housing, ex-storage)'!F179/100+'Calc (ex-animal)'!$H$39*(1-'DB additional information '!$L$12/100)*AG179/100*(1-VLOOKUP(D179,'DB technologies'!$N$82:$Y$94,8,FALSE)/100)*'Calc (ex-housing, ex-storage)'!F179/100))/VLOOKUP($C$171,'DB animal categories'!$C$68:$AC$80,27,FALSE)*AJ179+M179+N179+O179,IF(AI179=1,('Calc (ex-animal)'!$H$39*(1-'DB additional information '!$L$12/100)*AG179/100*(1-VLOOKUP(D179,'DB technologies'!$N$82:$Y$94,8,FALSE)/100)*'Calc (ex-housing, ex-storage)'!F179/100)/VLOOKUP($C$171,'DB animal categories'!$C$68:$AC$80,27,FALSE)*AJ179,IF(AI179=4,('Calc (ex-animal)'!$G$39*(1-'DB additional information '!$K$12/100)+'Calc (ex-animal)'!$H$39*(1-'DB additional information '!$L$12/100))*AG179/100*(1-VLOOKUP(D179,'DB technologies'!$N$82:$Y$94,8,FALSE)/100)*'Calc (ex-housing, ex-storage)'!F179/100*VLOOKUP(D179,'DB technologies'!$N$82:$Y$94,11,FALSE)/100/VLOOKUP($C$171,'DB animal categories'!$C$68:$AC$80,27,FALSE)*AJ179,0))))</f>
        <v/>
      </c>
      <c r="AN179" s="442" t="str">
        <f t="shared" si="27"/>
        <v/>
      </c>
      <c r="AO179" s="182" t="str">
        <f>IF(D179="","",IF(AI179=2,(('Calc (ex-animal)'!$L$39*'Calc (ex-housing, ex-storage)'!F179/100+'Calc (ex-animal)'!$K$39*'Calc (ex-housing, ex-storage)'!F179/100))*AG179/100/VLOOKUP($C$171,'DB animal categories'!$C$68:$AC$80,27,FALSE)*AJ179+Q179+R179+S179-AC179,IF(AI179=1,('Calc (ex-animal)'!$L$39*'Calc (ex-housing, ex-storage)'!F179/100)*AG179/100/VLOOKUP($C$171,'DB animal categories'!$C$68:$AC$80,27,FALSE)*AJ179-'Calc (ex-housing, ex-storage)'!AC179,IF(AI179=4,('Calc (ex-animal)'!$L$39+'Calc (ex-animal)'!$K$39)*'Calc (ex-housing, ex-storage)'!F179/100*AG179/100*VLOOKUP(D179,'DB technologies'!$N$82:$Y$94,11,FALSE)/100/VLOOKUP($C$171,'DB animal categories'!$C$68:$AC$80,27,FALSE)*AJ179-AC179*VLOOKUP(D179,'DB technologies'!$N$82:$Y$94,11,FALSE)/100,0))))</f>
        <v/>
      </c>
      <c r="AP179" s="182" t="str">
        <f>IF(D179="","",IF(AO179&lt;-0.01,0,IF(AI179=2,(('Calc (ex-animal)'!$L$39*'Calc (ex-housing, ex-storage)'!F179/100+'Calc (ex-animal)'!$K$39*'Calc (ex-housing, ex-storage)'!F179/100))*AG179/100/VLOOKUP($C$171,'DB animal categories'!$C$68:$AC$80,27,FALSE)*AJ179+Q179+R179+S179-AC179,IF(AI179=1,('Calc (ex-animal)'!$L$39*'Calc (ex-housing, ex-storage)'!F179/100)*AG179/100/VLOOKUP($C$171,'DB animal categories'!$C$68:$AC$80,27,FALSE)*AJ179-'Calc (ex-housing, ex-storage)'!AC179,IF(AI179=4,('Calc (ex-animal)'!$L$39+'Calc (ex-animal)'!$K$39)*'Calc (ex-housing, ex-storage)'!F179/100*AG179/100*VLOOKUP(D179,'DB technologies'!$N$82:$Y$94,11,FALSE)/100/VLOOKUP($C$171,'DB animal categories'!$C$68:$AC$80,27,FALSE)*AJ179-AC179*VLOOKUP(D179,'DB technologies'!$N$82:$Y$94,11,FALSE)/100,0)))))</f>
        <v/>
      </c>
      <c r="AQ179" s="182" t="str">
        <f>IF(D179="","",IF(AI179=2,('Calc (ex-animal)'!$O$39*'Calc (ex-housing, ex-storage)'!F179/100+'Calc (ex-animal)'!$N$39*'Calc (ex-housing, ex-storage)'!F179/100)*AG179/100/VLOOKUP($C$171,'DB animal categories'!$C$68:$AC$80,27,FALSE)*AJ179+U179+V179+W179,IF(AI179=1,'Calc (ex-animal)'!$O$39*'Calc (ex-housing, ex-storage)'!F179/100*AG179/100/VLOOKUP($C$171,'DB animal categories'!$C$68:$AC$80,27,FALSE)*AJ179,IF(AI179=4,('Calc (ex-animal)'!$O$39+'Calc (ex-animal)'!$N$39)*'Calc (ex-housing, ex-storage)'!F179/100*AG179/100*VLOOKUP(D179,'DB technologies'!$N$82:$Y$94,11,FALSE)/100/VLOOKUP($C$171,'DB animal categories'!$C$68:$AC$80,27,FALSE)*AJ179,0))))</f>
        <v/>
      </c>
      <c r="AR179" s="182" t="str">
        <f>IF(D179="","",IF(AI179=2,('Calc (ex-animal)'!$R$39*'Calc (ex-housing, ex-storage)'!F179/100+'Calc (ex-animal)'!$Q$39*'Calc (ex-housing, ex-storage)'!F179/100)*AG179/100/VLOOKUP($C$171,'DB animal categories'!$C$68:$AC$80,27,FALSE)*AJ179+Y179+Z179+AA179,IF(AI179=1,'Calc (ex-animal)'!$R$39*'Calc (ex-housing, ex-storage)'!F179/100*AG179/100/VLOOKUP($C$171,'DB animal categories'!$C$68:$AC$80,27,FALSE)*AJ179,IF(AI179=4,('Calc (ex-animal)'!$R$39+'Calc (ex-animal)'!$Q$39)*'Calc (ex-housing, ex-storage)'!F179/100*AG179/100*VLOOKUP(D179,'DB technologies'!$N$82:$Y$94,11,FALSE)/100/VLOOKUP($C$171,'DB animal categories'!$C$68:$AC$80,27,FALSE)*AJ179,0))))</f>
        <v/>
      </c>
      <c r="AS179" s="181" t="str">
        <f>IF(D179="","",VLOOKUP(D179,'DB technologies'!$N$82:$Y$94,10,FALSE))</f>
        <v/>
      </c>
      <c r="AT179" s="442" t="str">
        <f t="shared" si="28"/>
        <v/>
      </c>
      <c r="AU179" s="442" t="str">
        <f>IF(D179="","",IF(AS179=2,0,IF(AS179=1,'Calc (ex-animal)'!$G$39*'DB additional information '!$K$12/100*AG179/100*(1-VLOOKUP(D179,'DB technologies'!$N$82:$Y$94,8,FALSE)/100)*'Calc (ex-housing, ex-storage)'!F179/100/VLOOKUP($C$171,'DB animal categories'!$C$68:$AC$80,27,FALSE)*AJ179+I179+J179+K179,IF(AS179=5,(('Calc (ex-animal)'!$G$39*'DB additional information '!$K$12/100+'Calc (ex-animal)'!$H$39*'DB additional information '!$L$12/100))*AG179/100*(1-VLOOKUP(D179,'DB technologies'!$N$82:$Y$94,9,FALSE)/100)*'Calc (ex-housing, ex-storage)'!F179/100/VLOOKUP($C$171,'DB animal categories'!$C$68:$AC$80,27,FALSE)*AJ179+I179+J179+K179,IF(AS179=3,('Calc (ex-animal)'!$G$39*'DB additional information '!$K$12/100+'Calc (ex-animal)'!$H$39*'DB additional information '!$L$12/100)*AG179/100*(1-VLOOKUP(D179,'DB technologies'!$N$82:$Y$94,9,FALSE)/100)*'Calc (ex-housing, ex-storage)'!F179/100/VLOOKUP($C$171,'DB animal categories'!$C$68:$AC$80,27,FALSE)*AJ179+I179+J179+K179,IF(AS179=4,('Calc (ex-animal)'!$G$39*'DB additional information '!$K$12/100+'Calc (ex-animal)'!$H$39*'DB additional information '!$L$12/100)*AG179/100*(1-VLOOKUP(D179,'DB technologies'!$N$82:$Y$94,9,FALSE)/100)*'Calc (ex-housing, ex-storage)'!F179/100*VLOOKUP(D179,'DB technologies'!$N$82:$Y$94,12,FALSE)/100/VLOOKUP($C$171,'DB animal categories'!$C$68:$AC$80,27,FALSE)*AJ179+I179+J179+K179,0))))))</f>
        <v/>
      </c>
      <c r="AV179" s="442" t="str">
        <f>IF(D179="","",IF(AS179=2,0,IF(AS179=1,'Calc (ex-animal)'!$G$39*(1-'DB additional information '!$K$12/100)*AG179/100*(1-VLOOKUP(D179,'DB technologies'!$N$82:$Y$94,8,FALSE)/100)*'Calc (ex-housing, ex-storage)'!F179/100/VLOOKUP($C$171,'DB animal categories'!$C$68:$AC$80,27,FALSE)*AJ179+M179+N179+O179,IF(AS179=5,('Calc (ex-animal)'!$G$39*(1-'DB additional information '!$K$12/100)+'Calc (ex-animal)'!$H$39*(1-'DB additional information '!$L$12/100))*AG179/100*(1-VLOOKUP(D179,'DB technologies'!$N$82:$Y$94,8,FALSE)/100)*'Calc (ex-housing, ex-storage)'!F179/100/VLOOKUP($C$171,'DB animal categories'!$C$68:$AC$80,27,FALSE)*AJ179+M179+N179+O179,IF(AS179=3,('Calc (ex-animal)'!$G$39*(1-'DB additional information '!$K$12/100)+'Calc (ex-animal)'!$H$39*(1-'DB additional information '!$L$12/100))*AG179/100*(1-VLOOKUP(D179,'DB technologies'!$N$82:$Y$94,8,FALSE)/100)*'Calc (ex-housing, ex-storage)'!F179/100/VLOOKUP($C$171,'DB animal categories'!$C$68:$AC$80,27,FALSE)*AJ179+M179+N179+O179,IF(AS179=4,('Calc (ex-animal)'!$G$39*(1-'DB additional information '!$K$12/100)+'Calc (ex-animal)'!$H$39*(1-'DB additional information '!$L$12/100))*AG179/100*(1-VLOOKUP(D179,'DB technologies'!$N$82:$Y$94,8,FALSE)/100)*'Calc (ex-housing, ex-storage)'!F179/100*VLOOKUP(D179,'DB technologies'!$N$82:$Y$94,12,FALSE)/100/VLOOKUP($C$171,'DB animal categories'!$C$68:$AC$80,27,FALSE)*AJ179+M179+N179+O179,0))))))</f>
        <v/>
      </c>
      <c r="AW179" s="442" t="str">
        <f t="shared" si="29"/>
        <v/>
      </c>
      <c r="AX179" s="182" t="str">
        <f>IF(D179="","",IF(AS179=2,0,IF(AS179=1,'Calc (ex-animal)'!$K$39*'Calc (ex-housing, ex-storage)'!F179/100*AG179/100/VLOOKUP($C$171,'DB animal categories'!$C$68:$AC$80,27,FALSE)*AJ179+Q179+R179+S179,IF(AS179=5,('Calc (ex-animal)'!$K$39+'Calc (ex-animal)'!$L$39)*AG179/100*'Calc (ex-housing, ex-storage)'!F179/100/VLOOKUP($C$171,'DB animal categories'!$C$68:$AC$80,27,FALSE)*AJ179+Q179+R179+S179-'Calc (ex-housing, ex-storage)'!AC179,IF(AS179=3,('Calc (ex-animal)'!$K$39+'Calc (ex-animal)'!$L$39)*AG179/100*'Calc (ex-housing, ex-storage)'!F179/100/VLOOKUP($C$171,'DB animal categories'!$C$68:$AC$80,27,FALSE)*AJ179+Q179+R179+S179-'Calc (ex-housing, ex-storage)'!AC179-AD179-AE179,IF(AI179=4,('Calc (ex-animal)'!$K$39+'Calc (ex-animal)'!$L$39)*AG179/100*'Calc (ex-housing, ex-storage)'!F179/100*VLOOKUP(D179,'DB technologies'!$N$82:$Y$94,12,FALSE)/100/VLOOKUP($C$171,'DB animal categories'!$C$68:$AC$80,27,FALSE)*AJ179+Q179+R179+S179-(VLOOKUP(D179,'DB technologies'!$N$82:$Y$94,12,FALSE)/100*AC179)-AD179-AE179,0))))))</f>
        <v/>
      </c>
      <c r="AY179" s="182" t="str">
        <f>IF(D179="","",IF(AS179=2,0,IF(AS179=1,'Calc (ex-animal)'!$N$39*AG179/100*'Calc (ex-housing, ex-storage)'!F179/100/VLOOKUP($C$171,'DB animal categories'!$C$68:$AC$80,27,FALSE)*AJ179+U179+V179+W179,IF(AS179=5,('Calc (ex-animal)'!$N$39+'Calc (ex-animal)'!$O$39)*AG179/100*'Calc (ex-housing, ex-storage)'!F179/100/VLOOKUP($C$171,'DB animal categories'!$C$68:$AC$80,27,FALSE)*AJ179+U179+V179+W179,IF(AS179=3,('Calc (ex-animal)'!$N$39+'Calc (ex-animal)'!$O$39)*AG179/100*'Calc (ex-housing, ex-storage)'!F179/100/VLOOKUP($C$171,'DB animal categories'!$C$68:$AC$80,27,FALSE)*AJ179+U179+V179+W179,IF(AS179=4,('Calc (ex-animal)'!$N$39+'Calc (ex-animal)'!$O$39)*AG179/100*'Calc (ex-housing, ex-storage)'!F179/100*VLOOKUP(D179,'DB technologies'!$N$82:$Y$94,12,FALSE)/100/VLOOKUP($C$171,'DB animal categories'!$C$68:$AC$80,27,FALSE)*AJ179+U179+V179+W179,0))))))</f>
        <v/>
      </c>
      <c r="AZ179" s="182" t="str">
        <f>IF(D179="","",IF(AS179=2,0,IF(AS179=1,'Calc (ex-animal)'!$Q$39*AG179/100*'Calc (ex-housing, ex-storage)'!F179/100/VLOOKUP($C$171,'DB animal categories'!$C$68:$AC$80,27,FALSE)*AJ179+Y179+Z179+AA179,IF(AS179=5,('Calc (ex-animal)'!$Q$39+'Calc (ex-animal)'!$R$39)*AG179/100*'Calc (ex-housing, ex-storage)'!F179/100/VLOOKUP($C$171,'DB animal categories'!$C$68:$AC$80,27,FALSE)*AJ179+Y179+Z179+AA179,IF(AS179=3,('Calc (ex-animal)'!$Q$39+'Calc (ex-animal)'!$R$39)*AG179/100*'Calc (ex-housing, ex-storage)'!F179/100/VLOOKUP($C$171,'DB animal categories'!$C$68:$AC$80,27,FALSE)*AJ179+Y179+Z179+AA179,IF(AS179=4,('Calc (ex-animal)'!$Q$39+'Calc (ex-animal)'!$R$39)*AG179/100*'Calc (ex-housing, ex-storage)'!F179/100*VLOOKUP(D179,'DB technologies'!$N$82:$Y$94,12,FALSE)/100/VLOOKUP($C$171,'DB animal categories'!$C$68:$AC$80,27,FALSE)*AJ179+Y179+Z179+AA179,0))))))</f>
        <v/>
      </c>
      <c r="BA179" s="506"/>
      <c r="BB179" s="506"/>
      <c r="BC179" s="506"/>
    </row>
    <row r="180" spans="1:55" ht="12" thickBot="1" x14ac:dyDescent="0.25">
      <c r="A180" s="684"/>
      <c r="B180" s="695"/>
      <c r="C180" s="251"/>
      <c r="D180" s="1359"/>
      <c r="E180" s="1375"/>
      <c r="F180" s="693" t="str">
        <f>IF('Calc (ex-animal)'!$F$9=1,"",IF($C$152=0,"",IF(D180="","",E180/'Calc (ex-animal)'!$E$32*100)))</f>
        <v/>
      </c>
      <c r="G180" s="438" t="str">
        <f>IF($C$171=0,"",IF('Calc (ex-animal)'!$F$38=1,"",IF(D180="","",SUM(H180:O180))))</f>
        <v/>
      </c>
      <c r="H180" s="423" t="str">
        <f>IF('Calc (ex-animal)'!$F$38=1,"",IF(D180="","",(((VLOOKUP($C$171,'Calc (ex-animal)'!$D$38:$Y$42,6,FALSE)-VLOOKUP($C$171,'Calc (ex-animal)'!$D$38:$Y$42,17,FALSE))*F179/100*AH179/100))*VLOOKUP($C$171,'Calc (ex-animal)'!$D$38:$Y$42,7,FALSE)/100*(1-VLOOKUP(D180,'DB technologies'!$N$96:$Y$107,9,FALSE)/100)))</f>
        <v/>
      </c>
      <c r="I180" s="423" t="str">
        <f>IF(D180="","",((VLOOKUP(D180,'DB technologies'!$N$96:$Y$107,2,FALSE)*VLOOKUP($C$171,'DB animal categories'!$C$68:$AC$80,27,FALSE)*F179/1000*AH179/100)/VLOOKUP($C$171,'DB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'!$S$6/100*(1-VLOOKUP(D180,'DB technologies'!$N$96:$Y$107,9,FALSE)/100)))</f>
        <v/>
      </c>
      <c r="J180" s="434" t="str">
        <f>IF(D180="","",((VLOOKUP(D180,'DB technologies'!$N$96:$Y$107,3,FALSE)*VLOOKUP($C$171,'DB animal categories'!$C$68:$AC$80,27,FALSE)*E179/1000*AH179/100)/VLOOKUP($C$171,'DB animal categories'!$C$68:$AC$80,27,FALSE)*(VLOOKUP($C$171,'DB animal categories'!$C$68:$AC$80,27,FALSE)-(VLOOKUP($C$171,'DB animal categories'!$C$68:$AC$80,25,FALSE)*VLOOKUP($C$171,'DB animal categories'!$C$68:$AC$80,26,FALSE)/24))*'DB additional information '!$S$7/100*(1-VLOOKUP(D180,'DB technologies'!$N$96:$Y$107,9,FALSE)/100)))</f>
        <v/>
      </c>
      <c r="K180" s="526" t="str">
        <f>IF(D180="","",((VLOOKUP(D180,'DB technologies'!$N$96:$Y$107,4,FALSE)*E179*AH179/100*'DB additional information '!$S$8/100*(1-VLOOKUP(D180,'DB technologies'!$N$96:$Y$107,9,FALSE)/100))/VLOOKUP($C$171,'DB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L180" s="423" t="str">
        <f>IF('Calc (ex-animal)'!$F$38=1,"",IF(D180="","",(((VLOOKUP($C$171,'Calc (ex-animal)'!$D$38:$Y$42,6,FALSE)-VLOOKUP($C$171,'Calc (ex-animal)'!$D$38:$Y$42,17,FALSE))*F179/100*AH179/100))*(1-VLOOKUP($C$171,'Calc (ex-animal)'!$D$38:$Y$42,7,FALSE)/100)*(1-VLOOKUP(D180,'DB technologies'!$N$96:$V$107,8,FALSE)/100)))</f>
        <v/>
      </c>
      <c r="M180" s="434" t="str">
        <f>IF(D180="","",((VLOOKUP(D180,'DB technologies'!$N$96:$Y$107,2,FALSE)*VLOOKUP($C$171,'DB animal categories'!$C$68:$AC$80,27,FALSE)*E179/1000*AH179/100)/VLOOKUP($C$171,'DB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'!$S$6/100)*(1-VLOOKUP(D180,'DB technologies'!$N$96:$Y$107,9,FALSE)/100))</f>
        <v/>
      </c>
      <c r="N180" s="434" t="str">
        <f>IF(D180="","",((VLOOKUP(D180,'DB technologies'!$N$96:$Y$107,3,FALSE)*VLOOKUP($C$171,'DB animal categories'!$C$68:$AC$80,27,FALSE)*E179/1000*AH179/100)/VLOOKUP($C$171,'DB animal categories'!$C$68:$AC$80,27,FALSE)*(VLOOKUP($C$171,'DB animal categories'!$C$68:$AC$80,27,FALSE)-VLOOKUP($C$171,'DB animal categories'!$C$68:$AC$80,25,FALSE)*VLOOKUP($C$171,'DB animal categories'!$C$68:$AC$80,26,FALSE)/24))*(1-'DB additional information '!$S$7/100)*(1-VLOOKUP(D180,'DB technologies'!$N$96:$Y$107,9,FALSE)/100))</f>
        <v/>
      </c>
      <c r="O180" s="423" t="str">
        <f>IF(D180="","",((VLOOKUP(D180,'DB technologies'!$N$96:$Y$107,4,FALSE)*E179*AH179/100*(1-'DB additional information '!$S$8/100)*(1-VLOOKUP(D180,'DB technologies'!$N$96:$Y$107,8,FALSE)/100))/VLOOKUP($C$171,'DB animal categories'!$C$68:$AC$80,27,FALSE)*(VLOOKUP($C$171,'DB animal categories'!$C$68:$AC$80,27,FALSE)-VLOOKUP($C$171,'DB animal categories'!$C$68:$AC$80,25,FALSE)*VLOOKUP($C$171,'DB animal categories'!$C$68:$AC$80,26,FALSE)/24)))</f>
        <v/>
      </c>
      <c r="P180" s="438" t="str">
        <f>IF(G180=0,0,IF(E179="","",IF(F179="","",IF($C$171=0,"",IF(D180="","",SUM(H180:K180)/G180*100)))))</f>
        <v/>
      </c>
      <c r="Q180" s="416" t="str">
        <f>IF(D180="","",(VLOOKUP(D180,'DB technologies'!$N$96:$Y$107,2,FALSE)*'DB additional information '!$S$6/100*'DB additional information '!$T$6*VLOOKUP($C$171,'DB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R180" s="416" t="str">
        <f>IF(D180="","",(VLOOKUP(D180,'DB technologies'!$N$96:$Y$107,3,FALSE)*'DB additional information '!$S$7/100*'DB additional information '!$T$7*VLOOKUP($C$171,'DB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S180" s="491" t="str">
        <f>IF(D180="","",(VLOOKUP(D180,'DB technologies'!$N$96:$Y$107,4,FALSE)*('DB additional information '!$S$8/100*'DB additional information '!$T$8*E179/1000/1000*AH179/100)))</f>
        <v/>
      </c>
      <c r="T180" s="303" t="str">
        <f>IF($C$171=0,"",IF('Calc (ex-animal)'!$F$38=1,"",IF(D180="","",((VLOOKUP($C$171,'Calc (ex-animal)'!$D$38:$Y$42,10,FALSE)-VLOOKUP($C$171,'Calc (ex-animal)'!$D$38:$Y$42,18,FALSE))*F179/100*AH179/100+Q180+R180+S180)-AC180-AD180-AE180)))</f>
        <v/>
      </c>
      <c r="U180" s="542" t="str">
        <f>IF(D180="","",(VLOOKUP(D180,'DB technologies'!$N$96:$Y$107,2,FALSE)*'DB additional information '!$S$6/100*'DB additional information '!$U$6*VLOOKUP($C$171,'DB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V180" s="524" t="str">
        <f>IF(D180="","",(VLOOKUP(D180,'DB technologies'!$N$96:$Y$107,3,FALSE)*'DB additional information '!$S$7/100*'DB additional information '!$U$7*VLOOKUP($C$171,'DB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W180" s="543" t="str">
        <f>IF(D180="","",(VLOOKUP(D180,'DB technologies'!$N$96:$Y$107,4,FALSE)*('DB additional information '!$S$8/100*'DB additional information '!$U$8*E179/1000/1000*AH179/100)))</f>
        <v/>
      </c>
      <c r="X180" s="304" t="str">
        <f>IF($C$171=0,"",IF('Calc (ex-animal)'!$F$38=1,"",IF(D180="","",((VLOOKUP($C$171,'Calc (ex-animal)'!$D$38:$Y$42,13,FALSE)-VLOOKUP($C$171,'Calc (ex-animal)'!$D$38:$Y$42,19,FALSE))*F179/100*AH179/100+U180+V180+W180))))</f>
        <v/>
      </c>
      <c r="Y180" s="524" t="str">
        <f>IF(D180="","",(VLOOKUP(D180,'DB technologies'!$N$96:$Y$107,2,FALSE)*'DB additional information '!$S$6/100*'DB additional information '!$V$6*VLOOKUP($C$171,'DB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Z180" s="524" t="str">
        <f>IF(D180="","",(VLOOKUP(D180,'DB technologies'!$N$96:$Y$107,3,FALSE)*'DB additional information '!$S$7/100*'DB additional information '!$V$7*VLOOKUP($C$171,'DB animal categories'!$C$68:$AC$80,27,FALSE)*E179/1000/1000*AH179/100)/VLOOKUP($C$171,'DB animal categories'!$C$68:$AC$80,27,FALSE)*(VLOOKUP($C$171,'DB animal categories'!$C$68:$AC$80,27,FALSE)-VLOOKUP($C$171,'DB animal categories'!$C$68:$AC$80,25,FALSE)*VLOOKUP($C$171,'DB animal categories'!$C$68:$AC$80,26,FALSE)/24))</f>
        <v/>
      </c>
      <c r="AA180" s="524" t="str">
        <f>IF(D180="","",(VLOOKUP(D180,'DB technologies'!$N$96:$Y$107,4,FALSE)*('DB additional information '!$S$8/100*'DB additional information '!$V$8*E179/1000/1000*AH179/100)))</f>
        <v/>
      </c>
      <c r="AB180" s="304" t="str">
        <f>IF($C$171=0,"",IF('Calc (ex-animal)'!$F$38=1,"",IF(D180="","",((VLOOKUP($C$171,'Calc (ex-animal)'!$D$38:$Y$42,16,FALSE)-VLOOKUP($C$171,'Calc (ex-animal)'!$D$38:$Y$42,20,FALSE))*F179/100*AH179/100+Y180+Z180+AA180))))</f>
        <v/>
      </c>
      <c r="AC180" s="304" t="str">
        <f>IF($C$171=0,"",IF('Calc (ex-animal)'!$F$38=1,"",IF(D180="","",VLOOKUP($C$171,'Calc (ex-animal)'!$D$38:$Y$42,9,FALSE)*AH179/100/VLOOKUP($C$171,'DB animal categories'!$C$68:$AC$80,27,FALSE)*(VLOOKUP($C$171,'DB animal categories'!$C$68:$AC$80,27,FALSE)-VLOOKUP($C$171,'DB animal categories'!$C$68:$AC$80,25,FALSE)*VLOOKUP($C$171,'DB animal categories'!$C$68:$AC$80,26,FALSE)/24)*F179/100*VLOOKUP(D180,'DB technologies'!$N$96:$R$107,5,FALSE)/100)))</f>
        <v/>
      </c>
      <c r="AD180" s="304" t="str">
        <f>IF($C$171=0,"",IF('Calc (ex-animal)'!$F$38=1,"",IF(D180="","",VLOOKUP($C$171,'Calc (ex-animal)'!$D$38:$Y$42,10,FALSE)*AH179/100/VLOOKUP($C$171,'DB animal categories'!$C$68:$AC$80,27,FALSE)*(VLOOKUP($C$171,'DB animal categories'!$C$68:$AC$80,27,FALSE)-VLOOKUP($C$171,'DB animal categories'!$C$68:$AC$80,25,FALSE)*VLOOKUP($C$171,'DB animal categories'!$C$68:$AC$80,26,FALSE)/24)*F179/100*VLOOKUP(D180,'DB technologies'!$N$96:$Y$107,6,FALSE)/100)))</f>
        <v/>
      </c>
      <c r="AE180" s="305" t="str">
        <f>IF($C$171=0,"",IF('Calc (ex-animal)'!$F$38=1,"",IF(D180="","",VLOOKUP($C$171,'Calc (ex-animal)'!$D$38:$Y$42,10,FALSE)*AH179/100/VLOOKUP($C$171,'DB animal categories'!$C$68:$AC$80,27,FALSE)*(VLOOKUP($C$171,'DB animal categories'!$C$68:$AC$80,27,FALSE)-VLOOKUP($C$171,'DB animal categories'!$C$68:$AC$80,25,FALSE)*VLOOKUP($C$171,'DB animal categories'!$C$68:$AC$80,26,FALSE)/24)*F179/100*VLOOKUP(D180,'DB technologies'!$N$96:$Y$107,7,FALSE)/100)))</f>
        <v/>
      </c>
      <c r="AF180" s="43"/>
      <c r="AG180" s="1392"/>
      <c r="AH180" s="1386"/>
      <c r="AI180" s="187" t="str">
        <f>IF(D180="","",VLOOKUP(D180,'DB technologies'!$N$96:$Y$107,10,FALSE))</f>
        <v/>
      </c>
      <c r="AJ180" s="451" t="e">
        <f>VLOOKUP($C$171,'DB animal categories'!$C$68:$AN$80,27,FALSE)-VLOOKUP($C$171,'DB animal categories'!$C$68:$AN$80,26,FALSE)*VLOOKUP($C$171,'DB animal categories'!$C$68:$AN$80,25,FALSE)/24</f>
        <v>#N/A</v>
      </c>
      <c r="AK180" s="452" t="str">
        <f t="shared" si="26"/>
        <v/>
      </c>
      <c r="AL180" s="452" t="str">
        <f>IF(D180="","",IF(AI180=2,(('Calc (ex-animal)'!$G$39*'DB additional information '!$K$12/100*AH179/100*(1-VLOOKUP(D180,'DB technologies'!$N$96:$Y$107,9,FALSE)/100)*'Calc (ex-housing, ex-storage)'!F179/100+'Calc (ex-animal)'!$H$39*'DB additional information '!$L$12/100*AH179/100*(1-VLOOKUP(D180,'DB technologies'!$N$96:$Y$107,9,FALSE)/100)*'Calc (ex-housing, ex-storage)'!F179/100))/VLOOKUP($C$171,'DB animal categories'!$C$68:$AC$80,27,FALSE)*AJ180+I180+J180+K180,IF(AI180=1,('Calc (ex-animal)'!$H$39*AH179/100*'DB additional information '!$L$12/100*(1-VLOOKUP(D180,'DB technologies'!$N$96:$Y$107,9,FALSE)/100)*'Calc (ex-housing, ex-storage)'!F179/100)/VLOOKUP($C$171,'DB animal categories'!$C$68:$AC$80,27,FALSE)*AJ180,IF(AI180=4,('Calc (ex-animal)'!$G$39*'DB additional information '!$K$12/100+'Calc (ex-animal)'!$H$39*'DB additional information '!$L$12/100)*AH179/100*(1-VLOOKUP(D180,'DB technologies'!$N$96:$Y$107,9,FALSE)/100)*'Calc (ex-housing, ex-storage)'!F179/100*VLOOKUP(D180,'DB technologies'!$N$96:$Y$107,11,FALSE)/100/VLOOKUP($C$171,'DB animal categories'!$C$68:$AC$80,27,FALSE)*AJ180,0))))</f>
        <v/>
      </c>
      <c r="AM180" s="452" t="str">
        <f>IF(D180="","",IF(AI180=2,(('Calc (ex-animal)'!$G$39*(1-'DB additional information '!$K$12/100)*AH179/100*(1-VLOOKUP(D180,'DB technologies'!$N$96:$Y$107,8,FALSE)/100)*'Calc (ex-housing, ex-storage)'!F179/100+'Calc (ex-animal)'!$H$39*(1-'DB additional information '!$L$12/100)*AH179/100*(1-VLOOKUP(D180,'DB technologies'!$N$96:$Y$107,8,FALSE)/100)*'Calc (ex-housing, ex-storage)'!F179/100))/VLOOKUP($C$171,'DB animal categories'!$C$68:$AC$80,27,FALSE)*AJ180+M180+N180+O180,IF(AI180=1,('Calc (ex-animal)'!$H$39*(1-'DB additional information '!$L$12/100)*AH179/100*(1-VLOOKUP(D180,'DB technologies'!$N$96:$Y$107,8,FALSE)/100)*'Calc (ex-housing, ex-storage)'!F179/100)/VLOOKUP($C$171,'DB animal categories'!$C$68:$AC$80,27,FALSE)*AJ180,IF(AI180=4,('Calc (ex-animal)'!$G$39*(1-'DB additional information '!$K$12/100)+'Calc (ex-animal)'!$H$39*(1-'DB additional information '!$L$12/100))*AH179/100*(1-VLOOKUP(D180,'DB technologies'!$N$96:$Y$107,8,FALSE)/100)*'Calc (ex-housing, ex-storage)'!F179/100*VLOOKUP(D180,'DB technologies'!$N$96:$Y$107,11,FALSE)/100/VLOOKUP($C$171,'DB animal categories'!$C$68:$AC$80,27,FALSE)*AJ180,0))))</f>
        <v/>
      </c>
      <c r="AN180" s="452" t="str">
        <f t="shared" si="27"/>
        <v/>
      </c>
      <c r="AO180" s="184" t="str">
        <f>IF(D180="","",IF(AI180=2,(('Calc (ex-animal)'!$L$39*'Calc (ex-housing, ex-storage)'!F179/100+'Calc (ex-animal)'!$K$39*'Calc (ex-housing, ex-storage)'!F179/100))*AH179/100/VLOOKUP($C$171,'DB animal categories'!$C$68:$AC$80,27,FALSE)*AJ180+Q180+R180+S180-AC180,IF(AI180=1,('Calc (ex-animal)'!$L$39*'Calc (ex-housing, ex-storage)'!F179/100)*AH179/100/VLOOKUP($C$171,'DB animal categories'!$C$68:$AC$80,27,FALSE)*AJ180-'Calc (ex-housing, ex-storage)'!AC180,IF(AI180=4,('Calc (ex-animal)'!$L$39+'Calc (ex-animal)'!$K$39)*'Calc (ex-housing, ex-storage)'!F179/100*AH179/100*VLOOKUP(D180,'DB technologies'!$N$96:$Y$107,11,FALSE)/100/VLOOKUP($C$171,'DB animal categories'!$C$68:$AC$80,27,FALSE)*AJ180-AC180*VLOOKUP(D180,'DB technologies'!$N$96:$Y$107,11,FALSE)/100,0))))</f>
        <v/>
      </c>
      <c r="AP180" s="184" t="str">
        <f>IF(D180="","",IF(AO180&lt;-0.01,0,IF(AI180=2,(('Calc (ex-animal)'!$L$39*'Calc (ex-housing, ex-storage)'!F179/100+'Calc (ex-animal)'!$K$39*'Calc (ex-housing, ex-storage)'!F179/100))*AH179/100/VLOOKUP($C$171,'DB animal categories'!$C$68:$AC$80,27,FALSE)*AJ180+Q180+R180+S180-AC180,IF(AI180=1,('Calc (ex-animal)'!$L$39*'Calc (ex-housing, ex-storage)'!F179/100)*AH179/100/VLOOKUP($C$171,'DB animal categories'!$C$68:$AC$80,27,FALSE)*AJ180-'Calc (ex-housing, ex-storage)'!AC180,IF(AI180=4,('Calc (ex-animal)'!$L$39+'Calc (ex-animal)'!$K$39)*'Calc (ex-housing, ex-storage)'!F179/100*AH179/100*VLOOKUP(D180,'DB technologies'!$N$96:$Y$107,11,FALSE)/100/VLOOKUP($C$171,'DB animal categories'!$C$68:$AC$80,27,FALSE)*AJ180-AC180*VLOOKUP(D180,'DB technologies'!$N$96:$Y$107,11,FALSE)/100,0)))))</f>
        <v/>
      </c>
      <c r="AQ180" s="184" t="str">
        <f>IF(D180="","",IF(AI180=2,('Calc (ex-animal)'!$O$39*'Calc (ex-housing, ex-storage)'!F179/100+'Calc (ex-animal)'!$N$39*'Calc (ex-housing, ex-storage)'!F179/100)*AH179/100/VLOOKUP($C$171,'DB animal categories'!$C$68:$AC$80,27,FALSE)*AJ180+U180+V180+W180,IF(AI180=1,'Calc (ex-animal)'!$O$39*'Calc (ex-housing, ex-storage)'!F179/100*AH179/100/VLOOKUP($C$171,'DB animal categories'!$C$68:$AC$80,27,FALSE)*AJ180,IF(AI180=4,('Calc (ex-animal)'!$O$39+'Calc (ex-animal)'!$N$39)*'Calc (ex-housing, ex-storage)'!F179/100*AH179/100*VLOOKUP(D180,'DB technologies'!$N$96:$Y$107,11,FALSE)/100/VLOOKUP($C$171,'DB animal categories'!$C$68:$AC$80,27,FALSE)*AJ180,0))))</f>
        <v/>
      </c>
      <c r="AR180" s="184" t="str">
        <f>IF(D180="","",IF(AI180=2,('Calc (ex-animal)'!$R$39*'Calc (ex-housing, ex-storage)'!F179/100+'Calc (ex-animal)'!$Q$39*'Calc (ex-housing, ex-storage)'!F179/100)*AH179/100/VLOOKUP($C$171,'DB animal categories'!$C$68:$AC$80,27,FALSE)*AJ180+Y180+Z180+AA180,IF(AI180=1,'Calc (ex-animal)'!$R$39*'Calc (ex-housing, ex-storage)'!F179/100*AH179/100/VLOOKUP($C$171,'DB animal categories'!$C$68:$AC$80,27,FALSE)*AJ180,IF(AI180=4,('Calc (ex-animal)'!$R$39+'Calc (ex-animal)'!$Q$39)*'Calc (ex-housing, ex-storage)'!F179/100*AH179/100*VLOOKUP(D180,'DB technologies'!$N$96:$Y$107,11,FALSE)/100/VLOOKUP($C$171,'DB animal categories'!$C$68:$AC$80,27,FALSE)*AJ180,0))))</f>
        <v/>
      </c>
      <c r="AS180" s="183" t="str">
        <f>IF(D180="","",VLOOKUP(D180,'DB technologies'!$N$96:$Y$107,10,FALSE))</f>
        <v/>
      </c>
      <c r="AT180" s="452" t="str">
        <f t="shared" si="28"/>
        <v/>
      </c>
      <c r="AU180" s="452" t="str">
        <f>IF(D180="","",IF(AS180=2,0,IF(AS180=1,'Calc (ex-animal)'!$G$39*'DB additional information '!$K$12/100*AH179/100*(1-VLOOKUP(D180,'DB technologies'!$N$96:$Y$107,8,FALSE)/100)*'Calc (ex-housing, ex-storage)'!F179/100/VLOOKUP($C$171,'DB animal categories'!$C$68:$AC$80,27,FALSE)*AJ180+I180+J180+K180,IF(AS180=5,(('Calc (ex-animal)'!$G$39*'DB additional information '!$K$12/100+'Calc (ex-animal)'!$H$39*'DB additional information '!$L$12/100))*AH179/100*(1-VLOOKUP(D180,'DB technologies'!$N$96:$Y$107,9,FALSE)/100)*'Calc (ex-housing, ex-storage)'!F179/100/VLOOKUP($C$171,'DB animal categories'!$C$68:$AC$80,27,FALSE)*AJ180+I180+J180+K180,IF(AS180=3,('Calc (ex-animal)'!$G$39*'DB additional information '!$K$12/100+'Calc (ex-animal)'!$H$39*'DB additional information '!$L$12/100)*AH179/100*(1-VLOOKUP(D180,'DB technologies'!$N$96:$Y$107,9,FALSE)/100)*'Calc (ex-housing, ex-storage)'!F179/100/VLOOKUP($C$171,'DB animal categories'!$C$68:$AC$80,27,FALSE)*AJ180+I180+J180+K180,IF(AS180=4,('Calc (ex-animal)'!$G$39*'DB additional information '!$K$12/100+'Calc (ex-animal)'!$H$39*'DB additional information '!$L$12/100)*AH179/100*(1-VLOOKUP(D180,'DB technologies'!$N$96:$Y$107,9,FALSE)/100)*'Calc (ex-housing, ex-storage)'!F179/100*VLOOKUP(D180,'DB technologies'!$N$96:$Y$107,12,FALSE)/100/VLOOKUP($C$171,'DB animal categories'!$C$68:$AC$80,27,FALSE)*AJ180+I180+J180+K180,0))))))</f>
        <v/>
      </c>
      <c r="AV180" s="452" t="str">
        <f>IF(D180="","",IF(AS180=2,0,IF(AS180=1,'Calc (ex-animal)'!$G$39*(1-'DB additional information '!$K$12/100)*AH179/100*(1-VLOOKUP(D180,'DB technologies'!$N$96:$Y$107,8,FALSE)/100)*'Calc (ex-housing, ex-storage)'!F179/100/VLOOKUP($C$171,'DB animal categories'!$C$68:$AC$80,27,FALSE)*AJ180+M180+N180+O180,IF(AS180=5,('Calc (ex-animal)'!$G$39*(1-'DB additional information '!$K$12/100)+'Calc (ex-animal)'!$H$39*(1-'DB additional information '!$L$12/100))*AH179/100*(1-VLOOKUP(D180,'DB technologies'!$N$96:$Y$107,8,FALSE)/100)*'Calc (ex-housing, ex-storage)'!F179/100/VLOOKUP($C$171,'DB animal categories'!$C$68:$AC$80,27,FALSE)*AJ180+M180+N180+O180,IF(AS180=3,('Calc (ex-animal)'!$G$39*(1-'DB additional information '!$K$12/100)+'Calc (ex-animal)'!$H$39*(1-'DB additional information '!$L$12/100))*AH179/100*(1-VLOOKUP(D180,'DB technologies'!$N$96:$Y$107,8,FALSE)/100)*'Calc (ex-housing, ex-storage)'!F179/100/VLOOKUP($C$171,'DB animal categories'!$C$68:$AC$80,27,FALSE)*AJ180+M180+N180+O180,IF(AS180=4,('Calc (ex-animal)'!$G$39*(1-'DB additional information '!$K$12/100)+'Calc (ex-animal)'!$H$39*(1-'DB additional information '!$L$12/100))*AH179/100*(1-VLOOKUP(D180,'DB technologies'!$N$96:$Y$107,8,FALSE)/100)*'Calc (ex-housing, ex-storage)'!F179/100*VLOOKUP(D180,'DB technologies'!$N$96:$Y$107,12,FALSE)/100/VLOOKUP($C$171,'DB animal categories'!$C$68:$AC$80,27,FALSE)*AJ180+M180+N180+O180,0))))))</f>
        <v/>
      </c>
      <c r="AW180" s="452" t="str">
        <f t="shared" si="29"/>
        <v/>
      </c>
      <c r="AX180" s="184" t="str">
        <f>IF(D180="","",IF(AS180=2,0,IF(AS180=1,'Calc (ex-animal)'!$K$39*'Calc (ex-housing, ex-storage)'!F179/100*AH179/100/VLOOKUP($C$171,'DB animal categories'!$C$68:$AC$80,27,FALSE)*AJ180+Q180+R180+S180,IF(AS180=5,('Calc (ex-animal)'!$K$39+'Calc (ex-animal)'!$L$39)*AH179/100*'Calc (ex-housing, ex-storage)'!F179/100/VLOOKUP($C$171,'DB animal categories'!$C$68:$AC$80,27,FALSE)*AJ180+Q180+R180+S180-'Calc (ex-housing, ex-storage)'!AC180,IF(AS180=3,('Calc (ex-animal)'!$K$39+'Calc (ex-animal)'!$L$39)*AH179/100*'Calc (ex-housing, ex-storage)'!F179/100/VLOOKUP($C$171,'DB animal categories'!$C$68:$AC$80,27,FALSE)*AJ180+Q180+R180+S180-'Calc (ex-housing, ex-storage)'!AC180-AD180-AE180,IF(AI180=4,('Calc (ex-animal)'!$K$39+'Calc (ex-animal)'!$L$39)*AH179/100*'Calc (ex-housing, ex-storage)'!F179/100*VLOOKUP(D180,'DB technologies'!$N$96:$Y$107,12,FALSE)/100/VLOOKUP($C$171,'DB animal categories'!$C$68:$AC$80,27,FALSE)*AJ180+Q180+R180+S180-(VLOOKUP(D180,'DB technologies'!$N$96:$Y$107,12,FALSE)/100*AC180)-AD180-AE180,0))))))</f>
        <v/>
      </c>
      <c r="AY180" s="184" t="str">
        <f>IF(D180="","",IF(AS180=2,0,IF(AS180=1,'Calc (ex-animal)'!$N$39*AH179/100*'Calc (ex-housing, ex-storage)'!F179/100/VLOOKUP($C$171,'DB animal categories'!$C$68:$AC$80,27,FALSE)*AJ180+U180+V180+W180,IF(AS180=5,('Calc (ex-animal)'!$N$39+'Calc (ex-animal)'!$O$39)*AH179/100*'Calc (ex-housing, ex-storage)'!F179/100/VLOOKUP($C$171,'DB animal categories'!$C$68:$AC$80,27,FALSE)*AJ180+U180+V180+W180,IF(AS180=3,('Calc (ex-animal)'!$N$39+'Calc (ex-animal)'!$O$39)*AH179/100*'Calc (ex-housing, ex-storage)'!F179/100/VLOOKUP($C$171,'DB animal categories'!$C$68:$AC$80,27,FALSE)*AJ180+U180+V180+W180,IF(AS180=4,('Calc (ex-animal)'!$N$39+'Calc (ex-animal)'!$O$39)*AH179/100*'Calc (ex-housing, ex-storage)'!F179/100*VLOOKUP(D180,'DB technologies'!$N$96:$Y$107,12,FALSE)/100/VLOOKUP($C$171,'DB animal categories'!$C$68:$AC$80,27,FALSE)*AJ180+U180+V180+W180,0))))))</f>
        <v/>
      </c>
      <c r="AZ180" s="184" t="str">
        <f>IF(D180="","",IF(AS180=2,0,IF(AS180=1,'Calc (ex-animal)'!$Q$39*AH179/100*'Calc (ex-housing, ex-storage)'!F179/100/VLOOKUP($C$171,'DB animal categories'!$C$68:$AC$80,27,FALSE)*AJ180+Y180+Z180+AA180,IF(AS180=5,('Calc (ex-animal)'!$Q$39+'Calc (ex-animal)'!$R$39)*AH179/100*'Calc (ex-housing, ex-storage)'!F179/100/VLOOKUP($C$171,'DB animal categories'!$C$68:$AC$80,27,FALSE)*AJ180+Y180+Z180+AA180,IF(AS180=3,('Calc (ex-animal)'!$Q$39+'Calc (ex-animal)'!$R$39)*AH179/100*'Calc (ex-housing, ex-storage)'!F179/100/VLOOKUP($C$171,'DB animal categories'!$C$68:$AC$80,27,FALSE)*AJ180+Y180+Z180+AA180,IF(AS180=4,('Calc (ex-animal)'!$Q$39+'Calc (ex-animal)'!$R$39)*AH179/100*'Calc (ex-housing, ex-storage)'!F179/100*VLOOKUP(D180,'DB technologies'!$N$96:$Y$107,12,FALSE)/100/VLOOKUP($C$171,'DB animal categories'!$C$68:$AC$80,27,FALSE)*AJ180+Y180+Z180+AA180,0))))))</f>
        <v/>
      </c>
      <c r="BA180" s="506"/>
      <c r="BB180" s="506"/>
      <c r="BC180" s="506"/>
    </row>
    <row r="181" spans="1:55" ht="12" thickBot="1" x14ac:dyDescent="0.25">
      <c r="A181" s="684"/>
      <c r="B181" s="695"/>
      <c r="C181" s="252"/>
      <c r="D181" s="281" t="s">
        <v>58</v>
      </c>
      <c r="E181" s="282">
        <f>IF('Calc (ex-animal)'!F39=1,'Calc (ex-animal)'!E39,IF(F181&lt;=100,SUM(E171:E180),"ERROR"))</f>
        <v>0</v>
      </c>
      <c r="F181" s="283">
        <f>IF('Calc (ex-animal)'!F38=1,100,IF(SUM(F171:F180) &lt;=100,SUM(F171:F180),"ERROR, SUM&gt;100%"))</f>
        <v>0</v>
      </c>
      <c r="G181" s="546">
        <f>IF('Calc (ex-animal)'!$F$38=1,"",SUM(G171:G180))</f>
        <v>0</v>
      </c>
      <c r="H181" s="421">
        <f>IF('Calc (ex-animal)'!$F$38=1,"",SUM(H171:H180))</f>
        <v>0</v>
      </c>
      <c r="I181" s="421">
        <f>IF('Calc (ex-animal)'!$F$38=1,"",SUM(I171:I180))</f>
        <v>0</v>
      </c>
      <c r="J181" s="421">
        <f>IF('Calc (ex-animal)'!$F$38=1,"",SUM(J171:J180))</f>
        <v>0</v>
      </c>
      <c r="K181" s="421">
        <f>IF('Calc (ex-animal)'!$F$38=1,"",SUM(K171:K180))</f>
        <v>0</v>
      </c>
      <c r="L181" s="421">
        <f>IF('Calc (ex-animal)'!$F$38=1,"",SUM(L171:L180))</f>
        <v>0</v>
      </c>
      <c r="M181" s="522"/>
      <c r="N181" s="522"/>
      <c r="O181" s="522"/>
      <c r="P181" s="496">
        <f>IF(G181=0,0,IF('Calc (ex-animal)'!$F$38=1,"",IF(D181="","",SUM(H181:K181)/G181*100)))</f>
        <v>0</v>
      </c>
      <c r="Q181" s="522"/>
      <c r="R181" s="522"/>
      <c r="S181" s="547"/>
      <c r="T181" s="273">
        <f>IF('Calc (ex-animal)'!$F$39=1,"",SUM(T171:T180))</f>
        <v>0</v>
      </c>
      <c r="U181" s="421"/>
      <c r="V181" s="421"/>
      <c r="W181" s="421"/>
      <c r="X181" s="273">
        <f>IF('Calc (ex-animal)'!$F$39=1,"",SUM(X171:X180))</f>
        <v>0</v>
      </c>
      <c r="Y181" s="421"/>
      <c r="Z181" s="421"/>
      <c r="AA181" s="421"/>
      <c r="AB181" s="273">
        <f>IF('Calc (ex-animal)'!$F$39=1,"",SUM(AB171:AB180))</f>
        <v>0</v>
      </c>
      <c r="AC181" s="273">
        <f>IF('Calc (ex-animal)'!$F$39=1,"",SUM(AC171:AC180))</f>
        <v>0</v>
      </c>
      <c r="AD181" s="273">
        <f>IF('Calc (ex-animal)'!$F$39=1,"",SUM(AD171:AD180))</f>
        <v>0</v>
      </c>
      <c r="AE181" s="274">
        <f>IF('Calc (ex-animal)'!$F$39=1,"",SUM(AE171:AE180))</f>
        <v>0</v>
      </c>
      <c r="AJ181" s="450"/>
      <c r="AK181" s="450"/>
      <c r="AL181" s="450"/>
      <c r="AM181" s="450"/>
      <c r="AN181" s="450"/>
      <c r="AT181" s="450"/>
      <c r="AU181" s="450"/>
      <c r="AV181" s="450"/>
      <c r="AW181" s="450"/>
    </row>
    <row r="182" spans="1:55" x14ac:dyDescent="0.2">
      <c r="A182" s="684"/>
      <c r="B182" s="695"/>
      <c r="C182" s="250">
        <f>'Calc (ex-animal)'!D40</f>
        <v>0</v>
      </c>
      <c r="D182" s="1355"/>
      <c r="E182" s="1376"/>
      <c r="F182" s="700" t="str">
        <f>IF('Calc (ex-animal)'!$F$38=1,"",IF($C$182=0,"",IF(D182="","",E182/'Calc (ex-animal)'!$E$40*100)))</f>
        <v/>
      </c>
      <c r="G182" s="484" t="str">
        <f>IF($C$182=0,"",IF('Calc (ex-animal)'!$F$38=1,"",IF(D182="","",SUM(H182:O182))))</f>
        <v/>
      </c>
      <c r="H182" s="471" t="str">
        <f>IF('Calc (ex-animal)'!$F$38=1,"",IF(D182="","",(((VLOOKUP($C$182,'Calc (ex-animal)'!$D$38:$Y$42,6,FALSE)-VLOOKUP($C$182,'Calc (ex-animal)'!$D$38:$Y$42,17,FALSE))*F182/100*AG182/100))*VLOOKUP($C$182,'Calc (ex-animal)'!$D$38:$Y$42,7,FALSE)/100*(1-VLOOKUP(D182,'DB technologies'!$N$83:$Y$94,9,FALSE)/100)))</f>
        <v/>
      </c>
      <c r="I182" s="471" t="str">
        <f>IF(D182="","",((VLOOKUP(D182,'DB technologies'!$N$83:$Y$94,2,FALSE)*VLOOKUP($C$182,'DB animal categories'!$C$68:$AC$80,27,FALSE)*E182/1000*AG182/100)/VLOOKUP($C$182,'DB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'!$S$6/100*(1-VLOOKUP(D182,'DB technologies'!$N$83:$Y$94,9,FALSE)/100)))</f>
        <v/>
      </c>
      <c r="J182" s="472" t="str">
        <f>IF(D182="","",((VLOOKUP(D182,'DB technologies'!$N$83:$Y$94,3,FALSE)*VLOOKUP($C$182,'DB animal categories'!$C$68:$AC$80,27,FALSE)*E182/1000*AG182/100)/VLOOKUP($C$182,'DB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'!$S$7/100*(1-VLOOKUP(D182,'DB technologies'!$N$83:$Y$94,9,FALSE)/100)))</f>
        <v/>
      </c>
      <c r="K182" s="525" t="str">
        <f>IF(D182="","",((VLOOKUP(D182,'DB technologies'!$N$83:$Y$94,4,FALSE)*E182*AG182/100*'DB additional information '!$S$8/100*(1-VLOOKUP(D182,'DB technologies'!$N$83:$Y$94,9,FALSE)/100))/VLOOKUP($C$182,'DB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2" s="471" t="str">
        <f>IF('Calc (ex-animal)'!$F$38=1,"",IF(D182="","",(((VLOOKUP($C$182,'Calc (ex-animal)'!$D$38:$Y$42,6,FALSE)-VLOOKUP($C$182,'Calc (ex-animal)'!$D$38:$Y$42,17,FALSE))*F182/100*AG182/100))*(1-VLOOKUP($C$182,'Calc (ex-animal)'!$D$38:$Y$42,7,FALSE)/100)*(1-VLOOKUP(D182,'DB technologies'!$N$83:$V$94,8,FALSE)/100)))</f>
        <v/>
      </c>
      <c r="M182" s="472" t="str">
        <f>IF(D182="","",((VLOOKUP(D182,'DB technologies'!$N$83:$Y$94,2,FALSE)*VLOOKUP($C$182,'DB animal categories'!$C$68:$AC$80,27,FALSE)*E182/1000*AG182/100)/VLOOKUP($C$182,'DB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'!$S$6/100)*(1-VLOOKUP(D182,'DB technologies'!$N$83:$Y$94,9,FALSE)/100))</f>
        <v/>
      </c>
      <c r="N182" s="472" t="str">
        <f>IF(D182="","",((VLOOKUP(D182,'DB technologies'!$N$83:$Y$94,3,FALSE)*VLOOKUP($C$182,'DB animal categories'!$C$68:$AC$80,27,FALSE)*E182/1000*AG182/100)/VLOOKUP($C$182,'DB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'!$S$7/100)*(1-VLOOKUP(D182,'DB technologies'!$N$83:$Y$94,9,FALSE)/100))</f>
        <v/>
      </c>
      <c r="O182" s="471" t="str">
        <f>IF(D182="","",((VLOOKUP(D182,'DB technologies'!$N$83:$Y$94,4,FALSE)*E182*AG182/100*(1-'DB additional information '!$S$8/100)*(1-VLOOKUP(D182,'DB technologies'!$N$83:$Y$94,8,FALSE)/100))/VLOOKUP($C$182,'DB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2" s="443" t="str">
        <f>IF(G182=0,0,IF(E182="","",IF(F182="","",IF($C$182=0,"",IF(D182="","",SUM(H182:K182)/G182*100)))))</f>
        <v/>
      </c>
      <c r="Q182" s="473" t="str">
        <f>IF(D182="","",(VLOOKUP(D182,'DB technologies'!$N$83:$Y$94,2,FALSE)*'DB additional information '!$S$6/100*'DB additional information '!$T$6*VLOOKUP($C$182,'DB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2" s="473" t="str">
        <f>IF(D182="","",(VLOOKUP(D182,'DB technologies'!$N$83:$Y$94,3,FALSE)*'DB additional information '!$S$7/100*'DB additional information '!$T$7*VLOOKUP($C$182,'DB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2" s="490" t="str">
        <f>IF(D182="","",(VLOOKUP(D182,'DB technologies'!$N$83:$Y$94,4,FALSE)*('DB additional information '!$S$8/100*'DB additional information '!$T$8*E182/1000/1000*AG182/100)))</f>
        <v/>
      </c>
      <c r="T182" s="263" t="str">
        <f>IF($C$182=0,"",IF('Calc (ex-animal)'!$F$38=1,"",IF(D182="","",((VLOOKUP($C$182,'Calc (ex-animal)'!$D$38:$Y$42,10,FALSE)-VLOOKUP($C$182,'Calc (ex-animal)'!$D$38:$Y$42,18,FALSE))*F182/100*AG182/100+Q182+R182+S182)-AC182-AD182-AE182)))</f>
        <v/>
      </c>
      <c r="U182" s="474" t="str">
        <f>IF(D182="","",(VLOOKUP(D182,'DB technologies'!$N$83:$Y$94,2,FALSE)*'DB additional information '!$S$6/100*'DB additional information '!$U$6*VLOOKUP($C$182,'DB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2" s="420" t="str">
        <f>IF(D182="","",(VLOOKUP(D182,'DB technologies'!$N$83:$Y$94,3,FALSE)*'DB additional information '!$S$7/100*'DB additional information '!$U$7*VLOOKUP($C$182,'DB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2" s="415" t="str">
        <f>IF(D182="","",(VLOOKUP(D182,'DB technologies'!$N$83:$Y$94,4,FALSE)*('DB additional information '!$S$8/100*'DB additional information '!$U$8*E182/1000/1000*AG182/100)))</f>
        <v/>
      </c>
      <c r="X182" s="259" t="str">
        <f>IF($C$182=0,"",IF('Calc (ex-animal)'!$F$38=1,"",IF(D182="","",((VLOOKUP($C$182,'Calc (ex-animal)'!$D$38:$Y$42,13,FALSE)-VLOOKUP($C$182,'Calc (ex-animal)'!$D$38:$Y$42,19,FALSE))*F182/100*AG182/100+U182+V182+W182))))</f>
        <v/>
      </c>
      <c r="Y182" s="420" t="str">
        <f>IF(D182="","",(VLOOKUP(D182,'DB technologies'!$N$83:$Y$94,2,FALSE)*'DB additional information '!$S$6/100*'DB additional information '!$V$6*VLOOKUP($C$182,'DB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2" s="420" t="str">
        <f>IF(D182="","",(VLOOKUP(D182,'DB technologies'!$N$83:$Y$94,3,FALSE)*'DB additional information '!$S$7/100*'DB additional information '!$V$7*VLOOKUP($C$182,'DB animal categories'!$C$68:$AC$80,27,FALSE)*E182/1000/1000*AG182/100)/VLOOKUP($C$182,'DB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2" s="420" t="str">
        <f>IF(D182="","",(VLOOKUP(D182,'DB technologies'!$N$83:$Y$94,4,FALSE)*('DB additional information '!$S$8/100*'DB additional information '!$V$8*E182/1000/1000*AG182/100)))</f>
        <v/>
      </c>
      <c r="AB182" s="259" t="str">
        <f>IF($C$182=0,"",IF('Calc (ex-animal)'!$F$38=1,"",IF(D182="","",((VLOOKUP($C$182,'Calc (ex-animal)'!$D$38:$Y$42,16,FALSE)-VLOOKUP($C$182,'Calc (ex-animal)'!$D$38:$Y$42,20,FALSE))*F182/100*AG182/100+Y182+Z182+AA182))))</f>
        <v/>
      </c>
      <c r="AC182" s="259" t="str">
        <f>IF($C$182=0,"",IF('Calc (ex-animal)'!$F$38=1,"",IF(D182="","",VLOOKUP($C$182,'Calc (ex-animal)'!$D$38:$Y$42,9,FALSE)*AG182/100/VLOOKUP($C$182,'DB animal categories'!$C$68:$AC$80,27,FALSE)*(VLOOKUP($C$182,'DB animal categories'!$C$68:$AC$80,27,FALSE)-VLOOKUP($C$182,'DB animal categories'!$C$68:$AC$80,25,FALSE)*VLOOKUP($C$182,'DB animal categories'!$C$68:$AC$80,26,FALSE)/24)*F182/100*VLOOKUP(D182,'DB technologies'!$N$83:$R$94,5,FALSE)/100)))</f>
        <v/>
      </c>
      <c r="AD182" s="259" t="str">
        <f>IF($C$182=0,"",IF('Calc (ex-animal)'!$F$38=1,"",IF(D182="","",VLOOKUP($C$182,'Calc (ex-animal)'!$D$38:$Y$42,10,FALSE)*AG182/100/VLOOKUP($C$182,'DB animal categories'!$C$68:$AC$80,27,FALSE)*(VLOOKUP($C$182,'DB animal categories'!$C$68:$AC$80,27,FALSE)-VLOOKUP($C$182,'DB animal categories'!$C$68:$AC$80,25,FALSE)*VLOOKUP($C$182,'DB animal categories'!$C$68:$AC$80,26,FALSE)/24)*F182/100*VLOOKUP(D182,'DB technologies'!$N$83:$Y$94,6,FALSE)/100)))</f>
        <v/>
      </c>
      <c r="AE182" s="260" t="str">
        <f>IF($C$182=0,"",IF('Calc (ex-animal)'!$F$38=1,"",IF(D182="","",VLOOKUP($C$182,'Calc (ex-animal)'!$D$38:$Y$42,10,FALSE)*AG182/100/VLOOKUP($C$182,'DB animal categories'!$C$68:$AC$80,27,FALSE)*(VLOOKUP($C$182,'DB animal categories'!$C$68:$AC$80,27,FALSE)-VLOOKUP($C$182,'DB animal categories'!$C$68:$AC$80,25,FALSE)*VLOOKUP($C$182,'DB animal categories'!$C$68:$AC$80,26,FALSE)/24)*F182/100*VLOOKUP(D182,'DB technologies'!$N$83:$Y$94,7,FALSE)/100)))</f>
        <v/>
      </c>
      <c r="AG182" s="1377"/>
      <c r="AH182" s="1378"/>
      <c r="AI182" s="185" t="str">
        <f>IF(D182="","",VLOOKUP(D182,'DB technologies'!$N$82:$Y$94,10,FALSE))</f>
        <v/>
      </c>
      <c r="AJ182" s="482" t="e">
        <f>VLOOKUP($C$182,'DB animal categories'!$C$68:$AN$80,27,FALSE)-VLOOKUP($C$182,'DB animal categories'!$C$68:$AN$80,26,FALSE)*VLOOKUP($C$182,'DB animal categories'!$C$68:$AN$80,25,FALSE)/24</f>
        <v>#N/A</v>
      </c>
      <c r="AK182" s="453" t="str">
        <f>IF(AI182="","",AL182+AM182)</f>
        <v/>
      </c>
      <c r="AL182" s="453" t="str">
        <f>IF(D182="","",IF(AI182=2,(('Calc (ex-animal)'!$G$40*'DB additional information '!$K$12/100*AG182/100*(1-VLOOKUP(D182,'DB technologies'!$N$82:$Y$94,9,FALSE)/100)*'Calc (ex-housing, ex-storage)'!F182/100+'Calc (ex-animal)'!$H$40*'DB additional information '!$L$12/100*AG182/100*(1-VLOOKUP(D182,'DB technologies'!$N$82:$Y$94,9,FALSE)/100)*'Calc (ex-housing, ex-storage)'!F182/100))/VLOOKUP($C$182,'DB animal categories'!$C$68:$AC$80,27,FALSE)*AJ182+I182+J182+K182,IF(AI182=1,('Calc (ex-animal)'!$H$40*AG182/100*'DB additional information '!$L$12/100*(1-VLOOKUP(D182,'DB technologies'!$N$82:$Y$94,9,FALSE)/100)*'Calc (ex-housing, ex-storage)'!F182/100)/VLOOKUP($C$182,'DB animal categories'!$C$68:$AC$80,27,FALSE)*AJ182,IF(AI182=4,('Calc (ex-animal)'!$G$40*'DB additional information '!$K$12/100+'Calc (ex-animal)'!$H$40*'DB additional information '!$L$12/100)*AG182/100*(1-VLOOKUP(D182,'DB technologies'!$N$82:$Y$94,9,FALSE)/100)*'Calc (ex-housing, ex-storage)'!F182/100*VLOOKUP(D182,'DB technologies'!$N$82:$Y$94,11,FALSE)/100/VLOOKUP($C$182,'DB animal categories'!$C$68:$AC$80,27,FALSE)*AJ182,0))))</f>
        <v/>
      </c>
      <c r="AM182" s="453" t="str">
        <f>IF(D182="","",IF(AI182=2,(('Calc (ex-animal)'!$G$40*(1-'DB additional information '!$K$12/100)*AG182/100*(1-VLOOKUP(D182,'DB technologies'!$N$82:$Y$94,8,FALSE)/100)*'Calc (ex-housing, ex-storage)'!F182/100+'Calc (ex-animal)'!$H$40*(1-'DB additional information '!$L$12/100)*AG182/100*(1-VLOOKUP(D182,'DB technologies'!$N$82:$Y$94,8,FALSE)/100)*'Calc (ex-housing, ex-storage)'!F182/100))/VLOOKUP($C$182,'DB animal categories'!$C$68:$AC$80,27,FALSE)*AJ182+M182+N182+O182,IF(AI182=1,('Calc (ex-animal)'!$H$40*(1-'DB additional information '!$L$12/100)*AG182/100*(1-VLOOKUP(D182,'DB technologies'!$N$82:$Y$94,8,FALSE)/100)*'Calc (ex-housing, ex-storage)'!F182/100)/VLOOKUP($C$182,'DB animal categories'!$C$68:$AC$80,27,FALSE)*AJ182,IF(AI182=4,('Calc (ex-animal)'!$G$40*(1-'DB additional information '!$K$12/100)+'Calc (ex-animal)'!$H$40*(1-'DB additional information '!$L$12/100))*AG182/100*(1-VLOOKUP(D182,'DB technologies'!$N$82:$Y$94,8,FALSE)/100)*'Calc (ex-housing, ex-storage)'!F182/100*VLOOKUP(D182,'DB technologies'!$N$82:$Y$94,11,FALSE)/100/VLOOKUP($C$182,'DB animal categories'!$C$68:$AC$80,27,FALSE)*AJ182,0))))</f>
        <v/>
      </c>
      <c r="AN182" s="453" t="str">
        <f>IF(AI182="","",IF(AL182=0,0,AL182/AK182*100))</f>
        <v/>
      </c>
      <c r="AO182" s="180" t="str">
        <f>IF(D182="","",IF(AI182=2,(('Calc (ex-animal)'!$L$40*'Calc (ex-housing, ex-storage)'!F182/100+'Calc (ex-animal)'!$K$40*'Calc (ex-housing, ex-storage)'!F182/100))*AG182/100/VLOOKUP($C$182,'DB animal categories'!$C$68:$AC$80,27,FALSE)*AJ182+Q182+R182+S182-AC182,IF(AI182=1,('Calc (ex-animal)'!$L$40*'Calc (ex-housing, ex-storage)'!F182/100)*AG182/100/VLOOKUP($C$182,'DB animal categories'!$C$68:$AC$80,27,FALSE)*AJ182-'Calc (ex-housing, ex-storage)'!AC182,IF(AI182=4,('Calc (ex-animal)'!$L$40+'Calc (ex-animal)'!$K$40)*'Calc (ex-housing, ex-storage)'!F182/100*AG182/100*VLOOKUP(D182,'DB technologies'!$N$82:$Y$94,11,FALSE)/100/VLOOKUP($C$182,'DB animal categories'!$C$68:$AC$80,27,FALSE)*AJ182-AC182*VLOOKUP(D182,'DB technologies'!$N$82:$Y$94,11,FALSE)/100,0))))</f>
        <v/>
      </c>
      <c r="AP182" s="180" t="str">
        <f>IF(D182="","",IF(AO182&lt;-0.01,0,IF(AI182=2,(('Calc (ex-animal)'!$L$40*'Calc (ex-housing, ex-storage)'!F182/100+'Calc (ex-animal)'!$K$40*'Calc (ex-housing, ex-storage)'!F182/100))*AG182/100/VLOOKUP($C$182,'DB animal categories'!$C$68:$AC$80,27,FALSE)*AJ182+Q182+R182+S182-AC182,IF(AI182=1,('Calc (ex-animal)'!$L$40*'Calc (ex-housing, ex-storage)'!F182/100)*AG182/100/VLOOKUP($C$182,'DB animal categories'!$C$68:$AC$80,27,FALSE)*AJ182-'Calc (ex-housing, ex-storage)'!AC182,IF(AI182=4,('Calc (ex-animal)'!$L$40+'Calc (ex-animal)'!$K$40)*'Calc (ex-housing, ex-storage)'!F182/100*AG182/100*VLOOKUP(D182,'DB technologies'!$N$82:$Y$94,11,FALSE)/100/VLOOKUP($C$182,'DB animal categories'!$C$68:$AC$80,27,FALSE)*AJ182-AC182*VLOOKUP(D182,'DB technologies'!$N$82:$Y$94,11,FALSE)/100,0)))))</f>
        <v/>
      </c>
      <c r="AQ182" s="180" t="str">
        <f>IF(D182="","",IF(AI182=2,('Calc (ex-animal)'!$O$40*'Calc (ex-housing, ex-storage)'!F182/100+'Calc (ex-animal)'!$N$40*'Calc (ex-housing, ex-storage)'!F182/100)*AG182/100/VLOOKUP($C$182,'DB animal categories'!$C$68:$AC$80,27,FALSE)*AJ182+U182+V182+W182,IF(AI182=1,'Calc (ex-animal)'!$O$40*'Calc (ex-housing, ex-storage)'!F182/100*AG182/100/VLOOKUP($C$182,'DB animal categories'!$C$68:$AC$80,27,FALSE)*AJ182,IF(AI182=4,('Calc (ex-animal)'!$O$40+'Calc (ex-animal)'!$N$40)*'Calc (ex-housing, ex-storage)'!F182/100*AG182/100*VLOOKUP(D182,'DB technologies'!$N$82:$Y$94,11,FALSE)/100/VLOOKUP($C$182,'DB animal categories'!$C$68:$AC$80,27,FALSE)*AJ182,0))))</f>
        <v/>
      </c>
      <c r="AR182" s="180" t="str">
        <f>IF(D182="","",IF(AI182=2,('Calc (ex-animal)'!$R$40*'Calc (ex-housing, ex-storage)'!F182/100+'Calc (ex-animal)'!$Q$40*'Calc (ex-housing, ex-storage)'!F182/100)*AG182/100/VLOOKUP($C$182,'DB animal categories'!$C$68:$AC$80,27,FALSE)*AJ182+Y182+Z182+AA182,IF(AI182=1,'Calc (ex-animal)'!$R$40*'Calc (ex-housing, ex-storage)'!F182/100*AG182/100/VLOOKUP($C$182,'DB animal categories'!$C$68:$AC$80,27,FALSE)*AJ182,IF(AI182=4,('Calc (ex-animal)'!$R$40+'Calc (ex-animal)'!$Q$40)*'Calc (ex-housing, ex-storage)'!F182/100*AG182/100*VLOOKUP(D182,'DB technologies'!$N$82:$Y$94,11,FALSE)/100/VLOOKUP($C$182,'DB animal categories'!$C$68:$AC$80,27,FALSE)*AJ182,0))))</f>
        <v/>
      </c>
      <c r="AS182" s="179" t="str">
        <f>IF(D182="","",VLOOKUP(D182,'DB technologies'!$N$82:$Y$94,10,FALSE))</f>
        <v/>
      </c>
      <c r="AT182" s="453" t="str">
        <f>IF(AS182="","",AU182+AV182)</f>
        <v/>
      </c>
      <c r="AU182" s="453" t="str">
        <f>IF(D182="","",IF(AS182=2,0,IF(AS182=1,'Calc (ex-animal)'!$G$40*'DB additional information '!$K$12/100*AG182/100*(1-VLOOKUP(D182,'DB technologies'!$N$82:$Y$94,8,FALSE)/100)*'Calc (ex-housing, ex-storage)'!F182/100/VLOOKUP($C$182,'DB animal categories'!$C$68:$AC$80,27,FALSE)*AJ182+I182+J182+K182,IF(AS182=5,(('Calc (ex-animal)'!$G$40*'DB additional information '!$K$12/100+'Calc (ex-animal)'!$H$40*'DB additional information '!$L$12/100))*AG182/100*(1-VLOOKUP(D182,'DB technologies'!$N$82:$Y$94,9,FALSE)/100)*'Calc (ex-housing, ex-storage)'!F182/100/VLOOKUP($C$182,'DB animal categories'!$C$68:$AC$80,27,FALSE)*AJ182+I182+J182+K182,IF(AS182=3,('Calc (ex-animal)'!$G$40*'DB additional information '!$K$12/100+'Calc (ex-animal)'!$H$40*'DB additional information '!$L$12/100)*AG182/100*(1-VLOOKUP(D182,'DB technologies'!$N$82:$Y$94,9,FALSE)/100)*'Calc (ex-housing, ex-storage)'!F182/100/VLOOKUP($C$182,'DB animal categories'!$C$68:$AC$80,27,FALSE)*AJ182+I182+J182+K182,IF(AS182=4,('Calc (ex-animal)'!$G$40*'DB additional information '!$K$12/100+'Calc (ex-animal)'!$H$40*'DB additional information '!$L$12/100)*AG182/100*(1-VLOOKUP(D182,'DB technologies'!$N$82:$Y$94,9,FALSE)/100)*'Calc (ex-housing, ex-storage)'!F182/100*VLOOKUP(D182,'DB technologies'!$N$82:$Y$94,12,FALSE)/100/VLOOKUP($C$182,'DB animal categories'!$C$68:$AC$80,27,FALSE)*AJ182+I182+J182+K182,0))))))</f>
        <v/>
      </c>
      <c r="AV182" s="453" t="str">
        <f>IF(D182="","",IF(AS182=2,0,IF(AS182=1,'Calc (ex-animal)'!$G$40*(1-'DB additional information '!$K$12/100)*AG182/100*(1-VLOOKUP(D182,'DB technologies'!$N$82:$Y$94,8,FALSE)/100)*'Calc (ex-housing, ex-storage)'!F182/100/VLOOKUP($C$182,'DB animal categories'!$C$68:$AC$80,27,FALSE)*AJ182+M182+N182+O182,IF(AS182=5,('Calc (ex-animal)'!$G$40*(1-'DB additional information '!$K$12/100)+'Calc (ex-animal)'!$H$40*(1-'DB additional information '!$L$12/100))*AG182/100*(1-VLOOKUP(D182,'DB technologies'!$N$82:$Y$94,8,FALSE)/100)*'Calc (ex-housing, ex-storage)'!F182/100/VLOOKUP($C$182,'DB animal categories'!$C$68:$AC$80,27,FALSE)*AJ182+M182+N182+O182,IF(AS182=3,('Calc (ex-animal)'!$G$40*(1-'DB additional information '!$K$12/100)+'Calc (ex-animal)'!$H$40*(1-'DB additional information '!$L$12/100))*AG182/100*(1-VLOOKUP(D182,'DB technologies'!$N$82:$Y$94,8,FALSE)/100)*'Calc (ex-housing, ex-storage)'!F182/100/VLOOKUP($C$182,'DB animal categories'!$C$68:$AC$80,27,FALSE)*AJ182+M182+N182+O182,IF(AS182=4,('Calc (ex-animal)'!$G$40*(1-'DB additional information '!$K$12/100)+'Calc (ex-animal)'!$H$40*(1-'DB additional information '!$L$12/100))*AG182/100*(1-VLOOKUP(D182,'DB technologies'!$N$82:$Y$94,8,FALSE)/100)*'Calc (ex-housing, ex-storage)'!F182/100*VLOOKUP(D182,'DB technologies'!$N$82:$Y$94,12,FALSE)/100/VLOOKUP($C$182,'DB animal categories'!$C$68:$AC$80,27,FALSE)*AJ182+M182+N182+O182,0))))))</f>
        <v/>
      </c>
      <c r="AW182" s="453" t="str">
        <f>IF(AS182="","",IF(AU182=0,0,AU182/AT182*100))</f>
        <v/>
      </c>
      <c r="AX182" s="180" t="str">
        <f>IF(D182="","",IF(AS182=2,0,IF(AS182=1,'Calc (ex-animal)'!$K$40*'Calc (ex-housing, ex-storage)'!F182/100*AG182/100/VLOOKUP($C$182,'DB animal categories'!$C$68:$AC$80,27,FALSE)*AJ182+Q182+R182+S182,IF(AS182=5,('Calc (ex-animal)'!$K$40+'Calc (ex-animal)'!$L$40)*AG182/100*'Calc (ex-housing, ex-storage)'!F182/100/VLOOKUP($C$182,'DB animal categories'!$C$68:$AC$80,27,FALSE)*AJ182+Q182+R182+S182-'Calc (ex-housing, ex-storage)'!AC182,IF(AS182=3,('Calc (ex-animal)'!$K$40+'Calc (ex-animal)'!$L$40)*AG182/100*'Calc (ex-housing, ex-storage)'!F182/100/VLOOKUP($C$182,'DB animal categories'!$C$68:$AC$80,27,FALSE)*AJ182+Q182+R182+S182-'Calc (ex-housing, ex-storage)'!AC182-AD182-AE182,IF(AI182=4,('Calc (ex-animal)'!$K$40+'Calc (ex-animal)'!$L$40)*AG182/100*'Calc (ex-housing, ex-storage)'!F182/100*VLOOKUP(D182,'DB technologies'!$N$82:$Y$94,12,FALSE)/100/VLOOKUP($C$182,'DB animal categories'!$C$68:$AC$80,27,FALSE)*AJ182+Q182+R182+S182-(VLOOKUP(D182,'DB technologies'!$N$82:$Y$94,12,FALSE)/100*AC182)-AD182-AE182,0))))))</f>
        <v/>
      </c>
      <c r="AY182" s="180" t="str">
        <f>IF(D182="","",IF(AS182=2,0,IF(AS182=1,'Calc (ex-animal)'!$N$40*AG182/100*'Calc (ex-housing, ex-storage)'!F182/100/VLOOKUP($C$182,'DB animal categories'!$C$68:$AC$80,27,FALSE)*AJ182+U182+V182+W182,IF(AS182=5,('Calc (ex-animal)'!$N$40+'Calc (ex-animal)'!$O$40)*AG182/100*'Calc (ex-housing, ex-storage)'!F182/100/VLOOKUP($C$182,'DB animal categories'!$C$68:$AC$80,27,FALSE)*AJ182+U182+V182+W182,IF(AS182=3,('Calc (ex-animal)'!$N$40+'Calc (ex-animal)'!$O$40)*AG182/100*'Calc (ex-housing, ex-storage)'!F182/100/VLOOKUP($C$182,'DB animal categories'!$C$68:$AC$80,27,FALSE)*AJ182+U182+V182+W182,IF(AS182=4,('Calc (ex-animal)'!$N$40+'Calc (ex-animal)'!$O$40)*AG182/100*'Calc (ex-housing, ex-storage)'!F182/100*VLOOKUP(D182,'DB technologies'!$N$82:$Y$94,12,FALSE)/100/VLOOKUP($C$182,'DB animal categories'!$C$68:$AC$80,27,FALSE)*AJ182+U182+V182+W182,0))))))</f>
        <v/>
      </c>
      <c r="AZ182" s="180" t="str">
        <f>IF(D182="","",IF(AS182=2,0,IF(AS182=1,'Calc (ex-animal)'!$Q$40*AG182/100*'Calc (ex-housing, ex-storage)'!F182/100/VLOOKUP($C$182,'DB animal categories'!$C$68:$AC$80,27,FALSE)*AJ182+Y182+Z182+AA182,IF(AS182=5,('Calc (ex-animal)'!$Q$40+'Calc (ex-animal)'!$R$40)*AG182/100*'Calc (ex-housing, ex-storage)'!F182/100/VLOOKUP($C$182,'DB animal categories'!$C$68:$AC$80,27,FALSE)*AJ182+Y182+Z182+AA182,IF(AS182=3,('Calc (ex-animal)'!$Q$40+'Calc (ex-animal)'!$R$40)*AG182/100*'Calc (ex-housing, ex-storage)'!F182/100/VLOOKUP($C$182,'DB animal categories'!$C$68:$AC$80,27,FALSE)*AJ182+Y182+Z182+AA182,IF(AS182=4,('Calc (ex-animal)'!$Q$40+'Calc (ex-animal)'!$R$40)*AG182/100*'Calc (ex-housing, ex-storage)'!F182/100*VLOOKUP(D182,'DB technologies'!$N$82:$Y$94,12,FALSE)/100/VLOOKUP($C$182,'DB animal categories'!$C$68:$AC$80,27,FALSE)*AJ182+Y182+Z182+AA182,0))))))</f>
        <v/>
      </c>
      <c r="BA182" s="506"/>
      <c r="BB182" s="506"/>
      <c r="BC182" s="506"/>
    </row>
    <row r="183" spans="1:55" x14ac:dyDescent="0.2">
      <c r="A183" s="684"/>
      <c r="B183" s="695"/>
      <c r="C183" s="251"/>
      <c r="D183" s="1367"/>
      <c r="E183" s="1373"/>
      <c r="F183" s="692" t="str">
        <f>IF('Calc (ex-animal)'!$F$9=1,"",IF($C$152=0,"",IF(D183="","",E183/'Calc (ex-animal)'!$E$32*100)))</f>
        <v/>
      </c>
      <c r="G183" s="539" t="str">
        <f>IF($C$182=0,"",IF('Calc (ex-animal)'!$F$38=1,"",IF(D183="","",SUM(H183:O183))))</f>
        <v/>
      </c>
      <c r="H183" s="532" t="str">
        <f>IF('Calc (ex-animal)'!$F$38=1,"",IF(D183="","",(((VLOOKUP($C$182,'Calc (ex-animal)'!$D$38:$Y$42,6,FALSE)-VLOOKUP($C$182,'Calc (ex-animal)'!$D$38:$Y$42,17,FALSE))*F182/100*AH182/100))*VLOOKUP($C$182,'Calc (ex-animal)'!$D$38:$Y$42,7,FALSE)/100*(1-VLOOKUP(D183,'DB technologies'!$N$96:$Y$107,9,FALSE)/100)))</f>
        <v/>
      </c>
      <c r="I183" s="532" t="str">
        <f>IF(D183="","",((VLOOKUP(D183,'DB technologies'!$N$96:$Y$107,2,FALSE)*VLOOKUP($C$182,'DB animal categories'!$C$68:$AC$80,27,FALSE)*F182/1000*AH182/100)/VLOOKUP($C$182,'DB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'!$S$6/100*(1-VLOOKUP(D183,'DB technologies'!$N$96:$Y$107,9,FALSE)/100)))</f>
        <v/>
      </c>
      <c r="J183" s="533" t="str">
        <f>IF(D183="","",((VLOOKUP(D183,'DB technologies'!$N$96:$Y$107,3,FALSE)*VLOOKUP($C$182,'DB animal categories'!$C$68:$AC$80,27,FALSE)*E182/1000*AH182/100)/VLOOKUP($C$182,'DB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'!$S$7/100*(1-VLOOKUP(D183,'DB technologies'!$N$96:$Y$107,9,FALSE)/100)))</f>
        <v/>
      </c>
      <c r="K183" s="534" t="str">
        <f>IF(D183="","",((VLOOKUP(D183,'DB technologies'!$N$96:$Y$107,4,FALSE)*E182*AH182/100*'DB additional information '!$S$8/100*(1-VLOOKUP(D183,'DB technologies'!$N$96:$Y$107,9,FALSE)/100))/VLOOKUP($C$182,'DB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3" s="532" t="str">
        <f>IF('Calc (ex-animal)'!$F$38=1,"",IF(D183="","",(((VLOOKUP($C$182,'Calc (ex-animal)'!$D$38:$Y$42,6,FALSE)-VLOOKUP($C$182,'Calc (ex-animal)'!$D$38:$Y$42,17,FALSE))*F182/100*AH182/100))*(1-VLOOKUP($C$182,'Calc (ex-animal)'!$D$38:$Y$42,7,FALSE)/100)*(1-VLOOKUP(D183,'DB technologies'!$N$96:$V$107,8,FALSE)/100)))</f>
        <v/>
      </c>
      <c r="M183" s="533" t="str">
        <f>IF(D183="","",((VLOOKUP(D183,'DB technologies'!$N$96:$Y$107,2,FALSE)*VLOOKUP($C$182,'DB animal categories'!$C$68:$AC$80,27,FALSE)*E182/1000*AH182/100)/VLOOKUP($C$182,'DB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'!$S$6/100)*(1-VLOOKUP(D183,'DB technologies'!$N$96:$Y$107,9,FALSE)/100))</f>
        <v/>
      </c>
      <c r="N183" s="533" t="str">
        <f>IF(D183="","",((VLOOKUP(D183,'DB technologies'!$N$96:$Y$107,3,FALSE)*VLOOKUP($C$182,'DB animal categories'!$C$68:$AC$80,27,FALSE)*E182/1000*AH182/100)/VLOOKUP($C$182,'DB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'!$S$7/100)*(1-VLOOKUP(D183,'DB technologies'!$N$96:$Y$107,9,FALSE)/100))</f>
        <v/>
      </c>
      <c r="O183" s="532" t="str">
        <f>IF(D183="","",((VLOOKUP(D183,'DB technologies'!$N$96:$Y$107,4,FALSE)*E182*AH182/100*(1-'DB additional information '!$S$8/100)*(1-VLOOKUP(D183,'DB technologies'!$N$96:$Y$107,8,FALSE)/100))/VLOOKUP($C$182,'DB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3" s="535" t="str">
        <f>IF(G183=0,0,IF(E182="","",IF(F182="","",IF($C$182=0,"",IF(D183="","",SUM(H183:K183)/G183*100)))))</f>
        <v/>
      </c>
      <c r="Q183" s="536" t="str">
        <f>IF(D183="","",(VLOOKUP(D183,'DB technologies'!$N$96:$Y$107,2,FALSE)*'DB additional information '!$S$6/100*'DB additional information '!$T$6*VLOOKUP($C$182,'DB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3" s="536" t="str">
        <f>IF(D183="","",(VLOOKUP(D183,'DB technologies'!$N$96:$Y$107,3,FALSE)*'DB additional information '!$S$7/100*'DB additional information '!$T$7*VLOOKUP($C$182,'DB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3" s="540" t="str">
        <f>IF(D183="","",(VLOOKUP(D183,'DB technologies'!$N$96:$Y$107,4,FALSE)*('DB additional information '!$S$8/100*'DB additional information '!$T$8*E182/1000/1000*AH182/100)))</f>
        <v/>
      </c>
      <c r="T183" s="303" t="str">
        <f>IF($C$182=0,"",IF('Calc (ex-animal)'!$F$38=1,"",IF(D183="","",((VLOOKUP($C$182,'Calc (ex-animal)'!$D$38:$Y$42,10,FALSE)-VLOOKUP($C$182,'Calc (ex-animal)'!$D$38:$Y$42,18,FALSE))*F182/100*AH182/100+Q183+R183+S183)-AC183-AD183-AE183)))</f>
        <v/>
      </c>
      <c r="U183" s="542" t="str">
        <f>IF(D183="","",(VLOOKUP(D183,'DB technologies'!$N$96:$Y$107,2,FALSE)*'DB additional information '!$S$6/100*'DB additional information '!$U$6*VLOOKUP($C$182,'DB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3" s="524" t="str">
        <f>IF(D183="","",(VLOOKUP(D183,'DB technologies'!$N$96:$Y$107,3,FALSE)*'DB additional information '!$S$7/100*'DB additional information '!$U$7*VLOOKUP($C$182,'DB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3" s="543" t="str">
        <f>IF(D183="","",(VLOOKUP(D183,'DB technologies'!$N$96:$Y$107,4,FALSE)*('DB additional information '!$S$8/100*'DB additional information '!$U$8*E182/1000/1000*AH182/100)))</f>
        <v/>
      </c>
      <c r="X183" s="304" t="str">
        <f>IF($C$182=0,"",IF('Calc (ex-animal)'!$F$38=1,"",IF(D183="","",((VLOOKUP($C$182,'Calc (ex-animal)'!$D$38:$Y$42,13,FALSE)-VLOOKUP($C$182,'Calc (ex-animal)'!$D$38:$Y$42,19,FALSE))*F182/100*AH182/100+U183+V183+W183))))</f>
        <v/>
      </c>
      <c r="Y183" s="524" t="str">
        <f>IF(D183="","",(VLOOKUP(D183,'DB technologies'!$N$96:$Y$107,2,FALSE)*'DB additional information '!$S$6/100*'DB additional information '!$V$6*VLOOKUP($C$182,'DB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3" s="524" t="str">
        <f>IF(D183="","",(VLOOKUP(D183,'DB technologies'!$N$96:$Y$107,3,FALSE)*'DB additional information '!$S$7/100*'DB additional information '!$V$7*VLOOKUP($C$182,'DB animal categories'!$C$68:$AC$80,27,FALSE)*E182/1000/1000*AH182/100)/VLOOKUP($C$182,'DB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3" s="524" t="str">
        <f>IF(D183="","",(VLOOKUP(D183,'DB technologies'!$N$96:$Y$107,4,FALSE)*('DB additional information '!$S$8/100*'DB additional information '!$V$8*E182/1000/1000*AH182/100)))</f>
        <v/>
      </c>
      <c r="AB183" s="304" t="str">
        <f>IF($C$182=0,"",IF('Calc (ex-animal)'!$F$38=1,"",IF(D183="","",((VLOOKUP($C$182,'Calc (ex-animal)'!$D$38:$Y$42,16,FALSE)-VLOOKUP($C$182,'Calc (ex-animal)'!$D$38:$Y$42,20,FALSE))*F182/100*AH182/100+Y183+Z183+AA183))))</f>
        <v/>
      </c>
      <c r="AC183" s="304" t="str">
        <f>IF($C$182=0,"",IF('Calc (ex-animal)'!$F$38=1,"",IF(D183="","",VLOOKUP($C$182,'Calc (ex-animal)'!$D$38:$Y$42,9,FALSE)*AH182/100/VLOOKUP($C$182,'DB animal categories'!$C$68:$AC$80,27,FALSE)*(VLOOKUP($C$182,'DB animal categories'!$C$68:$AC$80,27,FALSE)-VLOOKUP($C$182,'DB animal categories'!$C$68:$AC$80,25,FALSE)*VLOOKUP($C$182,'DB animal categories'!$C$68:$AC$80,26,FALSE)/24)*F182/100*VLOOKUP(D183,'DB technologies'!$N$96:$R$107,5,FALSE)/100)))</f>
        <v/>
      </c>
      <c r="AD183" s="304" t="str">
        <f>IF($C$182=0,"",IF('Calc (ex-animal)'!$F$38=1,"",IF(D183="","",VLOOKUP($C$182,'Calc (ex-animal)'!$D$38:$Y$42,10,FALSE)*AH182/100/VLOOKUP($C$182,'DB animal categories'!$C$68:$AC$80,27,FALSE)*(VLOOKUP($C$182,'DB animal categories'!$C$68:$AC$80,27,FALSE)-VLOOKUP($C$182,'DB animal categories'!$C$68:$AC$80,25,FALSE)*VLOOKUP($C$182,'DB animal categories'!$C$68:$AC$80,26,FALSE)/24)*F182/100*VLOOKUP(D183,'DB technologies'!$N$96:$Y$107,6,FALSE)/100)))</f>
        <v/>
      </c>
      <c r="AE183" s="305" t="str">
        <f>IF($C$182=0,"",IF('Calc (ex-animal)'!$F$38=1,"",IF(D183="","",VLOOKUP($C$182,'Calc (ex-animal)'!$D$38:$Y$42,10,FALSE)*AH182/100/VLOOKUP($C$182,'DB animal categories'!$C$68:$AC$80,27,FALSE)*(VLOOKUP($C$182,'DB animal categories'!$C$68:$AC$80,27,FALSE)-VLOOKUP($C$182,'DB animal categories'!$C$68:$AC$80,25,FALSE)*VLOOKUP($C$182,'DB animal categories'!$C$68:$AC$80,26,FALSE)/24)*F182/100*VLOOKUP(D183,'DB technologies'!$N$96:$Y$107,7,FALSE)/100)))</f>
        <v/>
      </c>
      <c r="AG183" s="1387"/>
      <c r="AH183" s="1388"/>
      <c r="AI183" s="187" t="str">
        <f>IF(D183="","",VLOOKUP(D183,'DB technologies'!$N$96:$Y$107,10,FALSE))</f>
        <v/>
      </c>
      <c r="AJ183" s="451" t="e">
        <f>VLOOKUP($C$182,'DB animal categories'!$C$68:$AN$80,27,FALSE)-VLOOKUP($C$182,'DB animal categories'!$C$68:$AN$80,26,FALSE)*VLOOKUP($C$182,'DB animal categories'!$C$68:$AN$80,25,FALSE)/24</f>
        <v>#N/A</v>
      </c>
      <c r="AK183" s="452" t="str">
        <f>IF(AI183="","",AL183+AM183)</f>
        <v/>
      </c>
      <c r="AL183" s="452" t="str">
        <f>IF(D183="","",IF(AI183=2,(('Calc (ex-animal)'!$G$40*'DB additional information '!$K$12/100*AH182/100*(1-VLOOKUP(D183,'DB technologies'!$N$96:$Y$107,9,FALSE)/100)*'Calc (ex-housing, ex-storage)'!F182/100+'Calc (ex-animal)'!$H$40*'DB additional information '!$L$12/100*AH182/100*(1-VLOOKUP(D183,'DB technologies'!$N$96:$Y$107,9,FALSE)/100)*'Calc (ex-housing, ex-storage)'!F182/100))/VLOOKUP($C$182,'DB animal categories'!$C$68:$AC$80,27,FALSE)*AJ183+I183+J183+K183,IF(AI183=1,('Calc (ex-animal)'!$H$40*AH182/100*'DB additional information '!$L$12/100*(1-VLOOKUP(D183,'DB technologies'!$N$96:$Y$107,9,FALSE)/100)*'Calc (ex-housing, ex-storage)'!F182/100)/VLOOKUP($C$182,'DB animal categories'!$C$68:$AC$80,27,FALSE)*AJ183,IF(AI183=4,('Calc (ex-animal)'!$G$40*'DB additional information '!$K$12/100+'Calc (ex-animal)'!$H$40*'DB additional information '!$L$12/100)*AH182/100*(1-VLOOKUP(D183,'DB technologies'!$N$96:$Y$107,9,FALSE)/100)*'Calc (ex-housing, ex-storage)'!F182/100*VLOOKUP(D183,'DB technologies'!$N$96:$Y$107,11,FALSE)/100/VLOOKUP($C$182,'DB animal categories'!$C$68:$AC$80,27,FALSE)*AJ183,0))))</f>
        <v/>
      </c>
      <c r="AM183" s="452" t="str">
        <f>IF(D183="","",IF(AI183=2,(('Calc (ex-animal)'!$G$40*(1-'DB additional information '!$K$12/100)*AH182/100*(1-VLOOKUP(D183,'DB technologies'!$N$96:$Y$107,8,FALSE)/100)*'Calc (ex-housing, ex-storage)'!F182/100+'Calc (ex-animal)'!$H$40*(1-'DB additional information '!$L$12/100)*AH182/100*(1-VLOOKUP(D183,'DB technologies'!$N$96:$Y$107,8,FALSE)/100)*'Calc (ex-housing, ex-storage)'!F182/100))/VLOOKUP($C$182,'DB animal categories'!$C$68:$AC$80,27,FALSE)*AJ183+M183+N183+O183,IF(AI183=1,('Calc (ex-animal)'!$H$40*(1-'DB additional information '!$L$12/100)*AH182/100*(1-VLOOKUP(D183,'DB technologies'!$N$96:$Y$107,8,FALSE)/100)*'Calc (ex-housing, ex-storage)'!F182/100)/VLOOKUP($C$182,'DB animal categories'!$C$68:$AC$80,27,FALSE)*AJ183,IF(AI183=4,('Calc (ex-animal)'!$G$40*(1-'DB additional information '!$K$12/100)+'Calc (ex-animal)'!$H$40*(1-'DB additional information '!$L$12/100))*AH182/100*(1-VLOOKUP(D183,'DB technologies'!$N$96:$Y$107,8,FALSE)/100)*'Calc (ex-housing, ex-storage)'!F182/100*VLOOKUP(D183,'DB technologies'!$N$96:$Y$107,11,FALSE)/100/VLOOKUP($C$182,'DB animal categories'!$C$68:$AC$80,27,FALSE)*AJ183,0))))</f>
        <v/>
      </c>
      <c r="AN183" s="452" t="str">
        <f>IF(AI183="","",IF(AL183=0,0,AL183/AK183*100))</f>
        <v/>
      </c>
      <c r="AO183" s="184" t="str">
        <f>IF(D183="","",IF(AI183=2,(('Calc (ex-animal)'!$L$40*'Calc (ex-housing, ex-storage)'!F182/100+'Calc (ex-animal)'!$K$40*'Calc (ex-housing, ex-storage)'!F182/100))*AH182/100/VLOOKUP($C$182,'DB animal categories'!$C$68:$AC$80,27,FALSE)*AJ183+Q183+R183+S183-AC183,IF(AI183=1,('Calc (ex-animal)'!$L$40*'Calc (ex-housing, ex-storage)'!F182/100)*AH182/100/VLOOKUP($C$182,'DB animal categories'!$C$68:$AC$80,27,FALSE)*AJ183-'Calc (ex-housing, ex-storage)'!AC183,IF(AI183=4,('Calc (ex-animal)'!$L$40+'Calc (ex-animal)'!$K$40)*'Calc (ex-housing, ex-storage)'!F182/100*AH182/100*VLOOKUP(D183,'DB technologies'!$N$96:$Y$107,11,FALSE)/100/VLOOKUP($C$182,'DB animal categories'!$C$68:$AC$80,27,FALSE)*AJ183-AC183*VLOOKUP(D183,'DB technologies'!$N$96:$Y$107,11,FALSE)/100,0))))</f>
        <v/>
      </c>
      <c r="AP183" s="184" t="str">
        <f>IF(D183="","",IF(AO183&lt;-0.01,0,IF(AI183=2,(('Calc (ex-animal)'!$L$40*'Calc (ex-housing, ex-storage)'!F182/100+'Calc (ex-animal)'!$K$40*'Calc (ex-housing, ex-storage)'!F182/100))*AH182/100/VLOOKUP($C$182,'DB animal categories'!$C$68:$AC$80,27,FALSE)*AJ183+Q183+R183+S183-AC183,IF(AI183=1,('Calc (ex-animal)'!$L$40*'Calc (ex-housing, ex-storage)'!F182/100)*AH182/100/VLOOKUP($C$182,'DB animal categories'!$C$68:$AC$80,27,FALSE)*AJ183-'Calc (ex-housing, ex-storage)'!AC183,IF(AI183=4,('Calc (ex-animal)'!$L$40+'Calc (ex-animal)'!$K$40)*'Calc (ex-housing, ex-storage)'!F182/100*AH182/100*VLOOKUP(D183,'DB technologies'!$N$96:$Y$107,11,FALSE)/100/VLOOKUP($C$182,'DB animal categories'!$C$68:$AC$80,27,FALSE)*AJ183-AC183*VLOOKUP(D183,'DB technologies'!$N$96:$Y$107,11,FALSE)/100,0)))))</f>
        <v/>
      </c>
      <c r="AQ183" s="184" t="str">
        <f>IF(D183="","",IF(AI183=2,('Calc (ex-animal)'!$O$40*'Calc (ex-housing, ex-storage)'!F182/100+'Calc (ex-animal)'!$N$40*'Calc (ex-housing, ex-storage)'!F182/100)*AH182/100/VLOOKUP($C$182,'DB animal categories'!$C$68:$AC$80,27,FALSE)*AJ183+U183+V183+W183,IF(AI183=1,'Calc (ex-animal)'!$O$40*'Calc (ex-housing, ex-storage)'!F182/100*AH182/100/VLOOKUP($C$182,'DB animal categories'!$C$68:$AC$80,27,FALSE)*AJ183,IF(AI183=4,('Calc (ex-animal)'!$O$40+'Calc (ex-animal)'!$N$40)*'Calc (ex-housing, ex-storage)'!F182/100*AH182/100*VLOOKUP(D183,'DB technologies'!$N$96:$Y$107,11,FALSE)/100/VLOOKUP($C$182,'DB animal categories'!$C$68:$AC$80,27,FALSE)*AJ183,0))))</f>
        <v/>
      </c>
      <c r="AR183" s="184" t="str">
        <f>IF(D183="","",IF(AI183=2,('Calc (ex-animal)'!$R$40*'Calc (ex-housing, ex-storage)'!F182/100+'Calc (ex-animal)'!$Q$40*'Calc (ex-housing, ex-storage)'!F182/100)*AH182/100/VLOOKUP($C$182,'DB animal categories'!$C$68:$AC$80,27,FALSE)*AJ183+Y183+Z183+AA183,IF(AI183=1,'Calc (ex-animal)'!$R$40*'Calc (ex-housing, ex-storage)'!F182/100*AH182/100/VLOOKUP($C$182,'DB animal categories'!$C$68:$AC$80,27,FALSE)*AJ183,IF(AI183=4,('Calc (ex-animal)'!$R$40+'Calc (ex-animal)'!$Q$40)*'Calc (ex-housing, ex-storage)'!F182/100*AH182/100*VLOOKUP(D183,'DB technologies'!$N$96:$Y$107,11,FALSE)/100/VLOOKUP($C$182,'DB animal categories'!$C$68:$AC$80,27,FALSE)*AJ183,0))))</f>
        <v/>
      </c>
      <c r="AS183" s="183" t="str">
        <f>IF(D183="","",VLOOKUP(D183,'DB technologies'!$N$96:$Y$107,10,FALSE))</f>
        <v/>
      </c>
      <c r="AT183" s="452" t="str">
        <f>IF(AS183="","",AU183+AV183)</f>
        <v/>
      </c>
      <c r="AU183" s="452" t="str">
        <f>IF(D183="","",IF(AS183=2,0,IF(AS183=1,'Calc (ex-animal)'!$G$40*'DB additional information '!$K$12/100*AH182/100*(1-VLOOKUP(D183,'DB technologies'!$N$96:$Y$107,8,FALSE)/100)*'Calc (ex-housing, ex-storage)'!F182/100/VLOOKUP($C$182,'DB animal categories'!$C$68:$AC$80,27,FALSE)*AJ183+I183+J183+K183,IF(AS183=5,(('Calc (ex-animal)'!$G$40*'DB additional information '!$K$12/100+'Calc (ex-animal)'!$H$40*'DB additional information '!$L$12/100))*AH182/100*(1-VLOOKUP(D183,'DB technologies'!$N$96:$Y$107,9,FALSE)/100)*'Calc (ex-housing, ex-storage)'!F182/100/VLOOKUP($C$182,'DB animal categories'!$C$68:$AC$80,27,FALSE)*AJ183+I183+J183+K183,IF(AS183=3,('Calc (ex-animal)'!$G$40*'DB additional information '!$K$12/100+'Calc (ex-animal)'!$H$40*'DB additional information '!$L$12/100)*AH182/100*(1-VLOOKUP(D183,'DB technologies'!$N$96:$Y$107,9,FALSE)/100)*'Calc (ex-housing, ex-storage)'!F182/100/VLOOKUP($C$182,'DB animal categories'!$C$68:$AC$80,27,FALSE)*AJ183+I183+J183+K183,IF(AS183=4,('Calc (ex-animal)'!$G$40*'DB additional information '!$K$12/100+'Calc (ex-animal)'!$H$40*'DB additional information '!$L$12/100)*AH182/100*(1-VLOOKUP(D183,'DB technologies'!$N$96:$Y$107,9,FALSE)/100)*'Calc (ex-housing, ex-storage)'!F182/100*VLOOKUP(D183,'DB technologies'!$N$96:$Y$107,12,FALSE)/100/VLOOKUP($C$182,'DB animal categories'!$C$68:$AC$80,27,FALSE)*AJ183+I183+J183+K183,0))))))</f>
        <v/>
      </c>
      <c r="AV183" s="452" t="str">
        <f>IF(D183="","",IF(AS183=2,0,IF(AS183=1,'Calc (ex-animal)'!$G$40*(1-'DB additional information '!$K$12/100)*AH182/100*(1-VLOOKUP(D183,'DB technologies'!$N$96:$Y$107,8,FALSE)/100)*'Calc (ex-housing, ex-storage)'!F182/100/VLOOKUP($C$182,'DB animal categories'!$C$68:$AC$80,27,FALSE)*AJ183+M183+N183+O183,IF(AS183=5,('Calc (ex-animal)'!$G$40*(1-'DB additional information '!$K$12/100)+'Calc (ex-animal)'!$H$40*(1-'DB additional information '!$L$12/100))*AH182/100*(1-VLOOKUP(D183,'DB technologies'!$N$96:$Y$107,8,FALSE)/100)*'Calc (ex-housing, ex-storage)'!F182/100/VLOOKUP($C$182,'DB animal categories'!$C$68:$AC$80,27,FALSE)*AJ183+M183+N183+O183,IF(AS183=3,('Calc (ex-animal)'!$G$40*(1-'DB additional information '!$K$12/100)+'Calc (ex-animal)'!$H$40*(1-'DB additional information '!$L$12/100))*AH182/100*(1-VLOOKUP(D183,'DB technologies'!$N$96:$Y$107,8,FALSE)/100)*'Calc (ex-housing, ex-storage)'!F182/100/VLOOKUP($C$182,'DB animal categories'!$C$68:$AC$80,27,FALSE)*AJ183+M183+N183+O183,IF(AS183=4,('Calc (ex-animal)'!$G$40*(1-'DB additional information '!$K$12/100)+'Calc (ex-animal)'!$H$40*(1-'DB additional information '!$L$12/100))*AH182/100*(1-VLOOKUP(D183,'DB technologies'!$N$96:$Y$107,8,FALSE)/100)*'Calc (ex-housing, ex-storage)'!F182/100*VLOOKUP(D183,'DB technologies'!$N$96:$Y$107,12,FALSE)/100/VLOOKUP($C$182,'DB animal categories'!$C$68:$AC$80,27,FALSE)*AJ183+M183+N183+O183,0))))))</f>
        <v/>
      </c>
      <c r="AW183" s="452" t="str">
        <f>IF(AS183="","",IF(AU183=0,0,AU183/AT183*100))</f>
        <v/>
      </c>
      <c r="AX183" s="184" t="str">
        <f>IF(D183="","",IF(AS183=2,0,IF(AS183=1,'Calc (ex-animal)'!$K$40*'Calc (ex-housing, ex-storage)'!F182/100*AH182/100/VLOOKUP($C$182,'DB animal categories'!$C$68:$AC$80,27,FALSE)*AJ183+Q183+R183+S183,IF(AS183=5,('Calc (ex-animal)'!$K$40+'Calc (ex-animal)'!$L$40)*AH182/100*'Calc (ex-housing, ex-storage)'!F182/100/VLOOKUP($C$182,'DB animal categories'!$C$68:$AC$80,27,FALSE)*AJ183+Q183+R183+S183-'Calc (ex-housing, ex-storage)'!AC183,IF(AS183=3,('Calc (ex-animal)'!$K$40+'Calc (ex-animal)'!$L$40)*AH182/100*'Calc (ex-housing, ex-storage)'!F182/100/VLOOKUP($C$182,'DB animal categories'!$C$68:$AC$80,27,FALSE)*AJ183+Q183+R183+S183-'Calc (ex-housing, ex-storage)'!AC183-AD183-AE183,IF(AI183=4,('Calc (ex-animal)'!$K$40+'Calc (ex-animal)'!$L$40)*AH182/100*'Calc (ex-housing, ex-storage)'!F182/100*VLOOKUP(D183,'DB technologies'!$N$96:$Y$107,12,FALSE)/100/VLOOKUP($C$182,'DB animal categories'!$C$68:$AC$80,27,FALSE)*AJ183+Q183+R183+S183-(VLOOKUP(D183,'DB technologies'!$N$96:$Y$107,12,FALSE)/100*AC183)-AD183-AE183,0))))))</f>
        <v/>
      </c>
      <c r="AY183" s="184" t="str">
        <f>IF(D183="","",IF(AS183=2,0,IF(AS183=1,'Calc (ex-animal)'!$N$40*AH182/100*'Calc (ex-housing, ex-storage)'!F182/100/VLOOKUP($C$182,'DB animal categories'!$C$68:$AC$80,27,FALSE)*AJ183+U183+V183+W183,IF(AS183=5,('Calc (ex-animal)'!$N$40+'Calc (ex-animal)'!$O$40)*AH182/100*'Calc (ex-housing, ex-storage)'!F182/100/VLOOKUP($C$182,'DB animal categories'!$C$68:$AC$80,27,FALSE)*AJ183+U183+V183+W183,IF(AS183=3,('Calc (ex-animal)'!$N$40+'Calc (ex-animal)'!$O$40)*AH182/100*'Calc (ex-housing, ex-storage)'!F182/100/VLOOKUP($C$182,'DB animal categories'!$C$68:$AC$80,27,FALSE)*AJ183+U183+V183+W183,IF(AS183=4,('Calc (ex-animal)'!$N$40+'Calc (ex-animal)'!$O$40)*AH182/100*'Calc (ex-housing, ex-storage)'!F182/100*VLOOKUP(D183,'DB technologies'!$N$96:$Y$107,12,FALSE)/100/VLOOKUP($C$182,'DB animal categories'!$C$68:$AC$80,27,FALSE)*AJ183+U183+V183+W183,0))))))</f>
        <v/>
      </c>
      <c r="AZ183" s="184" t="str">
        <f>IF(D183="","",IF(AS183=2,0,IF(AS183=1,'Calc (ex-animal)'!$Q$40*AH182/100*'Calc (ex-housing, ex-storage)'!F182/100/VLOOKUP($C$182,'DB animal categories'!$C$68:$AC$80,27,FALSE)*AJ183+Y183+Z183+AA183,IF(AS183=5,('Calc (ex-animal)'!$Q$40+'Calc (ex-animal)'!$R$40)*AH182/100*'Calc (ex-housing, ex-storage)'!F182/100/VLOOKUP($C$182,'DB animal categories'!$C$68:$AC$80,27,FALSE)*AJ183+Y183+Z183+AA183,IF(AS183=3,('Calc (ex-animal)'!$Q$40+'Calc (ex-animal)'!$R$40)*AH182/100*'Calc (ex-housing, ex-storage)'!F182/100/VLOOKUP($C$182,'DB animal categories'!$C$68:$AC$80,27,FALSE)*AJ183+Y183+Z183+AA183,IF(AS183=4,('Calc (ex-animal)'!$Q$40+'Calc (ex-animal)'!$R$40)*AH182/100*'Calc (ex-housing, ex-storage)'!F182/100*VLOOKUP(D183,'DB technologies'!$N$96:$Y$107,12,FALSE)/100/VLOOKUP($C$182,'DB animal categories'!$C$68:$AC$80,27,FALSE)*AJ183+Y183+Z183+AA183,0))))))</f>
        <v/>
      </c>
      <c r="BA183" s="506"/>
      <c r="BB183" s="506"/>
      <c r="BC183" s="506"/>
    </row>
    <row r="184" spans="1:55" x14ac:dyDescent="0.2">
      <c r="A184" s="684"/>
      <c r="B184" s="695"/>
      <c r="C184" s="251"/>
      <c r="D184" s="1357"/>
      <c r="E184" s="1374"/>
      <c r="F184" s="692" t="str">
        <f>IF('Calc (ex-animal)'!$F$38=1,"",IF($C$182=0,"",IF(D184="","",E184/'Calc (ex-animal)'!$E$40*100)))</f>
        <v/>
      </c>
      <c r="G184" s="485" t="str">
        <f>IF($C$182=0,"",IF('Calc (ex-animal)'!$F$38=1,"",IF(D184="","",SUM(H184:O184))))</f>
        <v/>
      </c>
      <c r="H184" s="423" t="str">
        <f>IF('Calc (ex-animal)'!$F$38=1,"",IF(D184="","",(((VLOOKUP($C$182,'Calc (ex-animal)'!$D$38:$Y$42,6,FALSE)-VLOOKUP($C$182,'Calc (ex-animal)'!$D$38:$Y$42,17,FALSE))*F184/100*AG184/100))*VLOOKUP($C$182,'Calc (ex-animal)'!$D$38:$Y$42,7,FALSE)/100*(1-VLOOKUP(D184,'DB technologies'!$N$83:$Y$94,9,FALSE)/100)))</f>
        <v/>
      </c>
      <c r="I184" s="423" t="str">
        <f>IF(D184="","",((VLOOKUP(D184,'DB technologies'!$N$83:$Y$94,2,FALSE)*VLOOKUP($C$182,'DB animal categories'!$C$68:$AC$80,27,FALSE)*E184/1000*AG184/100)/VLOOKUP($C$182,'DB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'!$S$6/100*(1-VLOOKUP(D184,'DB technologies'!$N$83:$Y$94,9,FALSE)/100)))</f>
        <v/>
      </c>
      <c r="J184" s="434" t="str">
        <f>IF(D184="","",((VLOOKUP(D184,'DB technologies'!$N$83:$Y$94,3,FALSE)*VLOOKUP($C$182,'DB animal categories'!$C$68:$AC$80,27,FALSE)*E184/1000*AG184/100)/VLOOKUP($C$182,'DB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'!$S$7/100*(1-VLOOKUP(D184,'DB technologies'!$N$83:$Y$94,9,FALSE)/100)))</f>
        <v/>
      </c>
      <c r="K184" s="526" t="str">
        <f>IF(D184="","",((VLOOKUP(D184,'DB technologies'!$N$83:$Y$94,4,FALSE)*E184*AG184/100*'DB additional information '!$S$8/100*(1-VLOOKUP(D184,'DB technologies'!$N$83:$Y$94,9,FALSE)/100))/VLOOKUP($C$182,'DB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4" s="423" t="str">
        <f>IF('Calc (ex-animal)'!$F$38=1,"",IF(D184="","",(((VLOOKUP($C$182,'Calc (ex-animal)'!$D$38:$Y$42,6,FALSE)-VLOOKUP($C$182,'Calc (ex-animal)'!$D$38:$Y$42,17,FALSE))*F184/100*AG184/100))*(1-VLOOKUP($C$182,'Calc (ex-animal)'!$D$38:$Y$42,7,FALSE)/100)*(1-VLOOKUP(D184,'DB technologies'!$N$83:$V$94,8,FALSE)/100)))</f>
        <v/>
      </c>
      <c r="M184" s="434" t="str">
        <f>IF(D184="","",((VLOOKUP(D184,'DB technologies'!$N$83:$Y$94,2,FALSE)*VLOOKUP($C$182,'DB animal categories'!$C$68:$AC$80,27,FALSE)*E184/1000*AG184/100)/VLOOKUP($C$182,'DB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'!$S$6/100)*(1-VLOOKUP(D184,'DB technologies'!$N$83:$Y$94,9,FALSE)/100))</f>
        <v/>
      </c>
      <c r="N184" s="434" t="str">
        <f>IF(D184="","",((VLOOKUP(D184,'DB technologies'!$N$83:$Y$94,3,FALSE)*VLOOKUP($C$182,'DB animal categories'!$C$68:$AC$80,27,FALSE)*E184/1000*AG184/100)/VLOOKUP($C$182,'DB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'!$S$7/100)*(1-VLOOKUP(D184,'DB technologies'!$N$83:$Y$94,9,FALSE)/100))</f>
        <v/>
      </c>
      <c r="O184" s="423" t="str">
        <f>IF(D184="","",((VLOOKUP(D184,'DB technologies'!$N$83:$Y$94,4,FALSE)*E184*AG184/100*(1-'DB additional information '!$S$8/100)*(1-VLOOKUP(D184,'DB technologies'!$N$83:$Y$94,8,FALSE)/100))/VLOOKUP($C$182,'DB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4" s="438" t="str">
        <f>IF(G184=0,0,IF(E184="","",IF(F184="","",IF($C$182=0,"",IF(D184="","",SUM(H184:K184)/G184*100)))))</f>
        <v/>
      </c>
      <c r="Q184" s="416" t="str">
        <f>IF(D184="","",(VLOOKUP(D184,'DB technologies'!$N$83:$Y$94,2,FALSE)*'DB additional information '!$S$6/100*'DB additional information '!$T$6*VLOOKUP($C$182,'DB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4" s="416" t="str">
        <f>IF(D184="","",(VLOOKUP(D184,'DB technologies'!$N$83:$Y$94,3,FALSE)*'DB additional information '!$S$7/100*'DB additional information '!$T$7*VLOOKUP($C$182,'DB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4" s="491" t="str">
        <f>IF(D184="","",(VLOOKUP(D184,'DB technologies'!$N$83:$Y$94,4,FALSE)*('DB additional information '!$S$8/100*'DB additional information '!$T$8*E184/1000/1000*AG184/100)))</f>
        <v/>
      </c>
      <c r="T184" s="264" t="str">
        <f>IF($C$182=0,"",IF('Calc (ex-animal)'!$F$38=1,"",IF(D184="","",((VLOOKUP($C$182,'Calc (ex-animal)'!$D$38:$Y$42,10,FALSE)-VLOOKUP($C$182,'Calc (ex-animal)'!$D$38:$Y$42,18,FALSE))*F184/100*AG184/100+Q184+R184+S184)-AC184-AD184-AE184)))</f>
        <v/>
      </c>
      <c r="U184" s="422" t="str">
        <f>IF(D184="","",(VLOOKUP(D184,'DB technologies'!$N$83:$Y$94,2,FALSE)*'DB additional information '!$S$6/100*'DB additional information '!$U$6*VLOOKUP($C$182,'DB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4" s="418" t="str">
        <f>IF(D184="","",(VLOOKUP(D184,'DB technologies'!$N$83:$Y$94,3,FALSE)*'DB additional information '!$S$7/100*'DB additional information '!$U$7*VLOOKUP($C$182,'DB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4" s="417" t="str">
        <f>IF(D184="","",(VLOOKUP(D184,'DB technologies'!$N$83:$Y$94,4,FALSE)*('DB additional information '!$S$8/100*'DB additional information '!$U$8*E184/1000/1000*AG184/100)))</f>
        <v/>
      </c>
      <c r="X184" s="261" t="str">
        <f>IF($C$182=0,"",IF('Calc (ex-animal)'!$F$38=1,"",IF(D184="","",((VLOOKUP($C$182,'Calc (ex-animal)'!$D$38:$Y$42,13,FALSE)-VLOOKUP($C$182,'Calc (ex-animal)'!$D$38:$Y$42,19,FALSE))*F184/100*AG184/100+U184+V184+W184))))</f>
        <v/>
      </c>
      <c r="Y184" s="418" t="str">
        <f>IF(D184="","",(VLOOKUP(D184,'DB technologies'!$N$83:$Y$94,2,FALSE)*'DB additional information '!$S$6/100*'DB additional information '!$V$6*VLOOKUP($C$182,'DB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4" s="418" t="str">
        <f>IF(D184="","",(VLOOKUP(D184,'DB technologies'!$N$83:$Y$94,3,FALSE)*'DB additional information '!$S$7/100*'DB additional information '!$V$7*VLOOKUP($C$182,'DB animal categories'!$C$68:$AC$80,27,FALSE)*E184/1000/1000*AG184/100)/VLOOKUP($C$182,'DB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4" s="418" t="str">
        <f>IF(D184="","",(VLOOKUP(D184,'DB technologies'!$N$83:$Y$94,4,FALSE)*('DB additional information '!$S$8/100*'DB additional information '!$V$8*E184/1000/1000*AG184/100)))</f>
        <v/>
      </c>
      <c r="AB184" s="261" t="str">
        <f>IF($C$182=0,"",IF('Calc (ex-animal)'!$F$38=1,"",IF(D184="","",((VLOOKUP($C$182,'Calc (ex-animal)'!$D$38:$Y$42,16,FALSE)-VLOOKUP($C$182,'Calc (ex-animal)'!$D$38:$Y$42,20,FALSE))*F184/100*AG184/100+Y184+Z184+AA184))))</f>
        <v/>
      </c>
      <c r="AC184" s="261" t="str">
        <f>IF($C$182=0,"",IF('Calc (ex-animal)'!$F$38=1,"",IF(D184="","",VLOOKUP($C$182,'Calc (ex-animal)'!$D$38:$Y$42,9,FALSE)*AG184/100/VLOOKUP($C$182,'DB animal categories'!$C$68:$AC$80,27,FALSE)*(VLOOKUP($C$182,'DB animal categories'!$C$68:$AC$80,27,FALSE)-VLOOKUP($C$182,'DB animal categories'!$C$68:$AC$80,25,FALSE)*VLOOKUP($C$182,'DB animal categories'!$C$68:$AC$80,26,FALSE)/24)*F184/100*VLOOKUP(D184,'DB technologies'!$N$83:$R$94,5,FALSE)/100)))</f>
        <v/>
      </c>
      <c r="AD184" s="261" t="str">
        <f>IF($C$182=0,"",IF('Calc (ex-animal)'!$F$38=1,"",IF(D184="","",VLOOKUP($C$182,'Calc (ex-animal)'!$D$38:$Y$42,10,FALSE)*AG184/100/VLOOKUP($C$182,'DB animal categories'!$C$68:$AC$80,27,FALSE)*(VLOOKUP($C$182,'DB animal categories'!$C$68:$AC$80,27,FALSE)-VLOOKUP($C$182,'DB animal categories'!$C$68:$AC$80,25,FALSE)*VLOOKUP($C$182,'DB animal categories'!$C$68:$AC$80,26,FALSE)/24)*F184/100*VLOOKUP(D184,'DB technologies'!$N$83:$Y$94,6,FALSE)/100)))</f>
        <v/>
      </c>
      <c r="AE184" s="262" t="str">
        <f>IF($C$182=0,"",IF('Calc (ex-animal)'!$F$38=1,"",IF(D184="","",VLOOKUP($C$182,'Calc (ex-animal)'!$D$38:$Y$42,10,FALSE)*AG184/100/VLOOKUP($C$182,'DB animal categories'!$C$68:$AC$80,27,FALSE)*(VLOOKUP($C$182,'DB animal categories'!$C$68:$AC$80,27,FALSE)-VLOOKUP($C$182,'DB animal categories'!$C$68:$AC$80,25,FALSE)*VLOOKUP($C$182,'DB animal categories'!$C$68:$AC$80,26,FALSE)/24)*F184/100*VLOOKUP(D184,'DB technologies'!$N$83:$Y$94,7,FALSE)/100)))</f>
        <v/>
      </c>
      <c r="AG184" s="1389"/>
      <c r="AH184" s="1382"/>
      <c r="AI184" s="185" t="str">
        <f>IF(D184="","",VLOOKUP(D184,'DB technologies'!$N$82:$Y$94,10,FALSE))</f>
        <v/>
      </c>
      <c r="AJ184" s="482" t="e">
        <f>VLOOKUP($C$182,'DB animal categories'!$C$68:$AN$80,27,FALSE)-VLOOKUP($C$182,'DB animal categories'!$C$68:$AN$80,26,FALSE)*VLOOKUP($C$182,'DB animal categories'!$C$68:$AN$80,25,FALSE)/24</f>
        <v>#N/A</v>
      </c>
      <c r="AK184" s="453" t="str">
        <f t="shared" ref="AK184:AK191" si="30">IF(AI184="","",AL184+AM184)</f>
        <v/>
      </c>
      <c r="AL184" s="453" t="str">
        <f>IF(D184="","",IF(AI184=2,(('Calc (ex-animal)'!$G$40*'DB additional information '!$K$12/100*AG184/100*(1-VLOOKUP(D184,'DB technologies'!$N$82:$Y$94,9,FALSE)/100)*'Calc (ex-housing, ex-storage)'!F184/100+'Calc (ex-animal)'!$H$40*'DB additional information '!$L$12/100*AG184/100*(1-VLOOKUP(D184,'DB technologies'!$N$82:$Y$94,9,FALSE)/100)*'Calc (ex-housing, ex-storage)'!F184/100))/VLOOKUP($C$182,'DB animal categories'!$C$68:$AC$80,27,FALSE)*AJ184+I184+J184+K184,IF(AI184=1,('Calc (ex-animal)'!$H$40*AG184/100*'DB additional information '!$L$12/100*(1-VLOOKUP(D184,'DB technologies'!$N$82:$Y$94,9,FALSE)/100)*'Calc (ex-housing, ex-storage)'!F184/100)/VLOOKUP($C$182,'DB animal categories'!$C$68:$AC$80,27,FALSE)*AJ184,IF(AI184=4,('Calc (ex-animal)'!$G$40*'DB additional information '!$K$12/100+'Calc (ex-animal)'!$H$40*'DB additional information '!$L$12/100)*AG184/100*(1-VLOOKUP(D184,'DB technologies'!$N$82:$Y$94,9,FALSE)/100)*'Calc (ex-housing, ex-storage)'!F184/100*VLOOKUP(D184,'DB technologies'!$N$82:$Y$94,11,FALSE)/100/VLOOKUP($C$182,'DB animal categories'!$C$68:$AC$80,27,FALSE)*AJ184,0))))</f>
        <v/>
      </c>
      <c r="AM184" s="453" t="str">
        <f>IF(D184="","",IF(AI184=2,(('Calc (ex-animal)'!$G$40*(1-'DB additional information '!$K$12/100)*AG184/100*(1-VLOOKUP(D184,'DB technologies'!$N$82:$Y$94,8,FALSE)/100)*'Calc (ex-housing, ex-storage)'!F184/100+'Calc (ex-animal)'!$H$40*(1-'DB additional information '!$L$12/100)*AG184/100*(1-VLOOKUP(D184,'DB technologies'!$N$82:$Y$94,8,FALSE)/100)*'Calc (ex-housing, ex-storage)'!F184/100))/VLOOKUP($C$182,'DB animal categories'!$C$68:$AC$80,27,FALSE)*AJ184+M184+N184+O184,IF(AI184=1,('Calc (ex-animal)'!$H$40*(1-'DB additional information '!$L$12/100)*AG184/100*(1-VLOOKUP(D184,'DB technologies'!$N$82:$Y$94,8,FALSE)/100)*'Calc (ex-housing, ex-storage)'!F184/100)/VLOOKUP($C$182,'DB animal categories'!$C$68:$AC$80,27,FALSE)*AJ184,IF(AI184=4,('Calc (ex-animal)'!$G$40*(1-'DB additional information '!$K$12/100)+'Calc (ex-animal)'!$H$40*(1-'DB additional information '!$L$12/100))*AG184/100*(1-VLOOKUP(D184,'DB technologies'!$N$82:$Y$94,8,FALSE)/100)*'Calc (ex-housing, ex-storage)'!F184/100*VLOOKUP(D184,'DB technologies'!$N$82:$Y$94,11,FALSE)/100/VLOOKUP($C$182,'DB animal categories'!$C$68:$AC$80,27,FALSE)*AJ184,0))))</f>
        <v/>
      </c>
      <c r="AN184" s="453" t="str">
        <f t="shared" ref="AN184:AN191" si="31">IF(AI184="","",IF(AL184=0,0,AL184/AK184*100))</f>
        <v/>
      </c>
      <c r="AO184" s="180" t="str">
        <f>IF(D184="","",IF(AI184=2,(('Calc (ex-animal)'!$L$40*'Calc (ex-housing, ex-storage)'!F184/100+'Calc (ex-animal)'!$K$40*'Calc (ex-housing, ex-storage)'!F184/100))*AG184/100/VLOOKUP($C$182,'DB animal categories'!$C$68:$AC$80,27,FALSE)*AJ184+Q184+R184+S184-AC184,IF(AI184=1,('Calc (ex-animal)'!$L$40*'Calc (ex-housing, ex-storage)'!F184/100)*AG184/100/VLOOKUP($C$182,'DB animal categories'!$C$68:$AC$80,27,FALSE)*AJ184-'Calc (ex-housing, ex-storage)'!AC184,IF(AI184=4,('Calc (ex-animal)'!$L$40+'Calc (ex-animal)'!$K$40)*'Calc (ex-housing, ex-storage)'!F184/100*AG184/100*VLOOKUP(D184,'DB technologies'!$N$82:$Y$94,11,FALSE)/100/VLOOKUP($C$182,'DB animal categories'!$C$68:$AC$80,27,FALSE)*AJ184-AC184*VLOOKUP(D184,'DB technologies'!$N$82:$Y$94,11,FALSE)/100,0))))</f>
        <v/>
      </c>
      <c r="AP184" s="180" t="str">
        <f>IF(D184="","",IF(AO184&lt;-0.01,0,IF(AI184=2,(('Calc (ex-animal)'!$L$40*'Calc (ex-housing, ex-storage)'!F184/100+'Calc (ex-animal)'!$K$40*'Calc (ex-housing, ex-storage)'!F184/100))*AG184/100/VLOOKUP($C$182,'DB animal categories'!$C$68:$AC$80,27,FALSE)*AJ184+Q184+R184+S184-AC184,IF(AI184=1,('Calc (ex-animal)'!$L$40*'Calc (ex-housing, ex-storage)'!F184/100)*AG184/100/VLOOKUP($C$182,'DB animal categories'!$C$68:$AC$80,27,FALSE)*AJ184-'Calc (ex-housing, ex-storage)'!AC184,IF(AI184=4,('Calc (ex-animal)'!$L$40+'Calc (ex-animal)'!$K$40)*'Calc (ex-housing, ex-storage)'!F184/100*AG184/100*VLOOKUP(D184,'DB technologies'!$N$82:$Y$94,11,FALSE)/100/VLOOKUP($C$182,'DB animal categories'!$C$68:$AC$80,27,FALSE)*AJ184-AC184*VLOOKUP(D184,'DB technologies'!$N$82:$Y$94,11,FALSE)/100,0)))))</f>
        <v/>
      </c>
      <c r="AQ184" s="180" t="str">
        <f>IF(D184="","",IF(AI184=2,('Calc (ex-animal)'!$O$40*'Calc (ex-housing, ex-storage)'!F184/100+'Calc (ex-animal)'!$N$40*'Calc (ex-housing, ex-storage)'!F184/100)*AG184/100/VLOOKUP($C$182,'DB animal categories'!$C$68:$AC$80,27,FALSE)*AJ184+U184+V184+W184,IF(AI184=1,'Calc (ex-animal)'!$O$40*'Calc (ex-housing, ex-storage)'!F184/100*AG184/100/VLOOKUP($C$182,'DB animal categories'!$C$68:$AC$80,27,FALSE)*AJ184,IF(AI184=4,('Calc (ex-animal)'!$O$40+'Calc (ex-animal)'!$N$40)*'Calc (ex-housing, ex-storage)'!F184/100*AG184/100*VLOOKUP(D184,'DB technologies'!$N$82:$Y$94,11,FALSE)/100/VLOOKUP($C$182,'DB animal categories'!$C$68:$AC$80,27,FALSE)*AJ184,0))))</f>
        <v/>
      </c>
      <c r="AR184" s="180" t="str">
        <f>IF(D184="","",IF(AI184=2,('Calc (ex-animal)'!$R$40*'Calc (ex-housing, ex-storage)'!F184/100+'Calc (ex-animal)'!$Q$40*'Calc (ex-housing, ex-storage)'!F184/100)*AG184/100/VLOOKUP($C$182,'DB animal categories'!$C$68:$AC$80,27,FALSE)*AJ184+Y184+Z184+AA184,IF(AI184=1,'Calc (ex-animal)'!$R$40*'Calc (ex-housing, ex-storage)'!F184/100*AG184/100/VLOOKUP($C$182,'DB animal categories'!$C$68:$AC$80,27,FALSE)*AJ184,IF(AI184=4,('Calc (ex-animal)'!$R$40+'Calc (ex-animal)'!$Q$40)*'Calc (ex-housing, ex-storage)'!F184/100*AG184/100*VLOOKUP(D184,'DB technologies'!$N$82:$Y$94,11,FALSE)/100/VLOOKUP($C$182,'DB animal categories'!$C$68:$AC$80,27,FALSE)*AJ184,0))))</f>
        <v/>
      </c>
      <c r="AS184" s="179" t="str">
        <f>IF(D184="","",VLOOKUP(D184,'DB technologies'!$N$82:$Y$94,10,FALSE))</f>
        <v/>
      </c>
      <c r="AT184" s="453" t="str">
        <f t="shared" ref="AT184:AT191" si="32">IF(AS184="","",AU184+AV184)</f>
        <v/>
      </c>
      <c r="AU184" s="453" t="str">
        <f>IF(D184="","",IF(AS184=2,0,IF(AS184=1,'Calc (ex-animal)'!$G$40*'DB additional information '!$K$12/100*AG184/100*(1-VLOOKUP(D184,'DB technologies'!$N$82:$Y$94,8,FALSE)/100)*'Calc (ex-housing, ex-storage)'!F184/100/VLOOKUP($C$182,'DB animal categories'!$C$68:$AC$80,27,FALSE)*AJ184+I184+J184+K184,IF(AS184=5,(('Calc (ex-animal)'!$G$40*'DB additional information '!$K$12/100+'Calc (ex-animal)'!$H$40*'DB additional information '!$L$12/100))*AG184/100*(1-VLOOKUP(D184,'DB technologies'!$N$82:$Y$94,9,FALSE)/100)*'Calc (ex-housing, ex-storage)'!F184/100/VLOOKUP($C$182,'DB animal categories'!$C$68:$AC$80,27,FALSE)*AJ184+I184+J184+K184,IF(AS184=3,('Calc (ex-animal)'!$G$40*'DB additional information '!$K$12/100+'Calc (ex-animal)'!$H$40*'DB additional information '!$L$12/100)*AG184/100*(1-VLOOKUP(D184,'DB technologies'!$N$82:$Y$94,9,FALSE)/100)*'Calc (ex-housing, ex-storage)'!F184/100/VLOOKUP($C$182,'DB animal categories'!$C$68:$AC$80,27,FALSE)*AJ184+I184+J184+K184,IF(AS184=4,('Calc (ex-animal)'!$G$40*'DB additional information '!$K$12/100+'Calc (ex-animal)'!$H$40*'DB additional information '!$L$12/100)*AG184/100*(1-VLOOKUP(D184,'DB technologies'!$N$82:$Y$94,9,FALSE)/100)*'Calc (ex-housing, ex-storage)'!F184/100*VLOOKUP(D184,'DB technologies'!$N$82:$Y$94,12,FALSE)/100/VLOOKUP($C$182,'DB animal categories'!$C$68:$AC$80,27,FALSE)*AJ184+I184+J184+K184,0))))))</f>
        <v/>
      </c>
      <c r="AV184" s="453" t="str">
        <f>IF(D184="","",IF(AS184=2,0,IF(AS184=1,'Calc (ex-animal)'!$G$40*(1-'DB additional information '!$K$12/100)*AG184/100*(1-VLOOKUP(D184,'DB technologies'!$N$82:$Y$94,8,FALSE)/100)*'Calc (ex-housing, ex-storage)'!F184/100/VLOOKUP($C$182,'DB animal categories'!$C$68:$AC$80,27,FALSE)*AJ184+M184+N184+O184,IF(AS184=5,('Calc (ex-animal)'!$G$40*(1-'DB additional information '!$K$12/100)+'Calc (ex-animal)'!$H$40*(1-'DB additional information '!$L$12/100))*AG184/100*(1-VLOOKUP(D184,'DB technologies'!$N$82:$Y$94,8,FALSE)/100)*'Calc (ex-housing, ex-storage)'!F184/100/VLOOKUP($C$182,'DB animal categories'!$C$68:$AC$80,27,FALSE)*AJ184+M184+N184+O184,IF(AS184=3,('Calc (ex-animal)'!$G$40*(1-'DB additional information '!$K$12/100)+'Calc (ex-animal)'!$H$40*(1-'DB additional information '!$L$12/100))*AG184/100*(1-VLOOKUP(D184,'DB technologies'!$N$82:$Y$94,8,FALSE)/100)*'Calc (ex-housing, ex-storage)'!F184/100/VLOOKUP($C$182,'DB animal categories'!$C$68:$AC$80,27,FALSE)*AJ184+M184+N184+O184,IF(AS184=4,('Calc (ex-animal)'!$G$40*(1-'DB additional information '!$K$12/100)+'Calc (ex-animal)'!$H$40*(1-'DB additional information '!$L$12/100))*AG184/100*(1-VLOOKUP(D184,'DB technologies'!$N$82:$Y$94,8,FALSE)/100)*'Calc (ex-housing, ex-storage)'!F184/100*VLOOKUP(D184,'DB technologies'!$N$82:$Y$94,12,FALSE)/100/VLOOKUP($C$182,'DB animal categories'!$C$68:$AC$80,27,FALSE)*AJ184+M184+N184+O184,0))))))</f>
        <v/>
      </c>
      <c r="AW184" s="453" t="str">
        <f t="shared" ref="AW184:AW191" si="33">IF(AS184="","",IF(AU184=0,0,AU184/AT184*100))</f>
        <v/>
      </c>
      <c r="AX184" s="180" t="str">
        <f>IF(D184="","",IF(AS184=2,0,IF(AS184=1,'Calc (ex-animal)'!$K$40*'Calc (ex-housing, ex-storage)'!F184/100*AG184/100/VLOOKUP($C$182,'DB animal categories'!$C$68:$AC$80,27,FALSE)*AJ184+Q184+R184+S184,IF(AS184=5,('Calc (ex-animal)'!$K$40+'Calc (ex-animal)'!$L$40)*AG184/100*'Calc (ex-housing, ex-storage)'!F184/100/VLOOKUP($C$182,'DB animal categories'!$C$68:$AC$80,27,FALSE)*AJ184+Q184+R184+S184-'Calc (ex-housing, ex-storage)'!AC184,IF(AS184=3,('Calc (ex-animal)'!$K$40+'Calc (ex-animal)'!$L$40)*AG184/100*'Calc (ex-housing, ex-storage)'!F184/100/VLOOKUP($C$182,'DB animal categories'!$C$68:$AC$80,27,FALSE)*AJ184+Q184+R184+S184-'Calc (ex-housing, ex-storage)'!AC184-AD184-AE184,IF(AI184=4,('Calc (ex-animal)'!$K$40+'Calc (ex-animal)'!$L$40)*AG184/100*'Calc (ex-housing, ex-storage)'!F184/100*VLOOKUP(D184,'DB technologies'!$N$82:$Y$94,12,FALSE)/100/VLOOKUP($C$182,'DB animal categories'!$C$68:$AC$80,27,FALSE)*AJ184+Q184+R184+S184-(VLOOKUP(D184,'DB technologies'!$N$82:$Y$94,12,FALSE)/100*AC184)-AD184-AE184,0))))))</f>
        <v/>
      </c>
      <c r="AY184" s="180" t="str">
        <f>IF(D184="","",IF(AS184=2,0,IF(AS184=1,'Calc (ex-animal)'!$N$40*AG184/100*'Calc (ex-housing, ex-storage)'!F184/100/VLOOKUP($C$182,'DB animal categories'!$C$68:$AC$80,27,FALSE)*AJ184+U184+V184+W184,IF(AS184=5,('Calc (ex-animal)'!$N$40+'Calc (ex-animal)'!$O$40)*AG184/100*'Calc (ex-housing, ex-storage)'!F184/100/VLOOKUP($C$182,'DB animal categories'!$C$68:$AC$80,27,FALSE)*AJ184+U184+V184+W184,IF(AS184=3,('Calc (ex-animal)'!$N$40+'Calc (ex-animal)'!$O$40)*AG184/100*'Calc (ex-housing, ex-storage)'!F184/100/VLOOKUP($C$182,'DB animal categories'!$C$68:$AC$80,27,FALSE)*AJ184+U184+V184+W184,IF(AS184=4,('Calc (ex-animal)'!$N$40+'Calc (ex-animal)'!$O$40)*AG184/100*'Calc (ex-housing, ex-storage)'!F184/100*VLOOKUP(D184,'DB technologies'!$N$82:$Y$94,12,FALSE)/100/VLOOKUP($C$182,'DB animal categories'!$C$68:$AC$80,27,FALSE)*AJ184+U184+V184+W184,0))))))</f>
        <v/>
      </c>
      <c r="AZ184" s="180" t="str">
        <f>IF(D184="","",IF(AS184=2,0,IF(AS184=1,'Calc (ex-animal)'!$Q$40*AG184/100*'Calc (ex-housing, ex-storage)'!F184/100/VLOOKUP($C$182,'DB animal categories'!$C$68:$AC$80,27,FALSE)*AJ184+Y184+Z184+AA184,IF(AS184=5,('Calc (ex-animal)'!$Q$40+'Calc (ex-animal)'!$R$40)*AG184/100*'Calc (ex-housing, ex-storage)'!F184/100/VLOOKUP($C$182,'DB animal categories'!$C$68:$AC$80,27,FALSE)*AJ184+Y184+Z184+AA184,IF(AS184=3,('Calc (ex-animal)'!$Q$40+'Calc (ex-animal)'!$R$40)*AG184/100*'Calc (ex-housing, ex-storage)'!F184/100/VLOOKUP($C$182,'DB animal categories'!$C$68:$AC$80,27,FALSE)*AJ184+Y184+Z184+AA184,IF(AS184=4,('Calc (ex-animal)'!$Q$40+'Calc (ex-animal)'!$R$40)*AG184/100*'Calc (ex-housing, ex-storage)'!F184/100*VLOOKUP(D184,'DB technologies'!$N$82:$Y$94,12,FALSE)/100/VLOOKUP($C$182,'DB animal categories'!$C$68:$AC$80,27,FALSE)*AJ184+Y184+Z184+AA184,0))))))</f>
        <v/>
      </c>
      <c r="BA184" s="506"/>
      <c r="BB184" s="506"/>
      <c r="BC184" s="506"/>
    </row>
    <row r="185" spans="1:55" x14ac:dyDescent="0.2">
      <c r="A185" s="684"/>
      <c r="B185" s="695"/>
      <c r="C185" s="251"/>
      <c r="D185" s="1367"/>
      <c r="E185" s="1373"/>
      <c r="F185" s="692" t="str">
        <f>IF('Calc (ex-animal)'!$F$9=1,"",IF($C$152=0,"",IF(D185="","",E185/'Calc (ex-animal)'!$E$32*100)))</f>
        <v/>
      </c>
      <c r="G185" s="485" t="str">
        <f>IF($C$182=0,"",IF('Calc (ex-animal)'!$F$38=1,"",IF(D185="","",SUM(H185:O185))))</f>
        <v/>
      </c>
      <c r="H185" s="423" t="str">
        <f>IF('Calc (ex-animal)'!$F$38=1,"",IF(D185="","",(((VLOOKUP($C$182,'Calc (ex-animal)'!$D$38:$Y$42,6,FALSE)-VLOOKUP($C$182,'Calc (ex-animal)'!$D$38:$Y$42,17,FALSE))*F184/100*AH184/100))*VLOOKUP($C$182,'Calc (ex-animal)'!$D$38:$Y$42,7,FALSE)/100*(1-VLOOKUP(D185,'DB technologies'!$N$96:$Y$107,9,FALSE)/100)))</f>
        <v/>
      </c>
      <c r="I185" s="423" t="str">
        <f>IF(D185="","",((VLOOKUP(D185,'DB technologies'!$N$96:$Y$107,2,FALSE)*VLOOKUP($C$182,'DB animal categories'!$C$68:$AC$80,27,FALSE)*F184/1000*AH184/100)/VLOOKUP($C$182,'DB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'!$S$6/100*(1-VLOOKUP(D185,'DB technologies'!$N$96:$Y$107,9,FALSE)/100)))</f>
        <v/>
      </c>
      <c r="J185" s="434" t="str">
        <f>IF(D185="","",((VLOOKUP(D185,'DB technologies'!$N$96:$Y$107,3,FALSE)*VLOOKUP($C$182,'DB animal categories'!$C$68:$AC$80,27,FALSE)*E184/1000*AH184/100)/VLOOKUP($C$182,'DB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'!$S$7/100*(1-VLOOKUP(D185,'DB technologies'!$N$96:$Y$107,9,FALSE)/100)))</f>
        <v/>
      </c>
      <c r="K185" s="526" t="str">
        <f>IF(D185="","",((VLOOKUP(D185,'DB technologies'!$N$96:$Y$107,4,FALSE)*E184*AH184/100*'DB additional information '!$S$8/100*(1-VLOOKUP(D185,'DB technologies'!$N$96:$Y$107,9,FALSE)/100))/VLOOKUP($C$182,'DB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5" s="423" t="str">
        <f>IF('Calc (ex-animal)'!$F$38=1,"",IF(D185="","",(((VLOOKUP($C$182,'Calc (ex-animal)'!$D$38:$Y$42,6,FALSE)-VLOOKUP($C$182,'Calc (ex-animal)'!$D$38:$Y$42,17,FALSE))*F184/100*AH184/100))*(1-VLOOKUP($C$182,'Calc (ex-animal)'!$D$38:$Y$42,7,FALSE)/100)*(1-VLOOKUP(D185,'DB technologies'!$N$96:$V$107,8,FALSE)/100)))</f>
        <v/>
      </c>
      <c r="M185" s="434" t="str">
        <f>IF(D185="","",((VLOOKUP(D185,'DB technologies'!$N$96:$Y$107,2,FALSE)*VLOOKUP($C$182,'DB animal categories'!$C$68:$AC$80,27,FALSE)*E184/1000*AH184/100)/VLOOKUP($C$182,'DB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'!$S$6/100)*(1-VLOOKUP(D185,'DB technologies'!$N$96:$Y$107,9,FALSE)/100))</f>
        <v/>
      </c>
      <c r="N185" s="434" t="str">
        <f>IF(D185="","",((VLOOKUP(D185,'DB technologies'!$N$96:$Y$107,3,FALSE)*VLOOKUP($C$182,'DB animal categories'!$C$68:$AC$80,27,FALSE)*E184/1000*AH184/100)/VLOOKUP($C$182,'DB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'!$S$7/100)*(1-VLOOKUP(D185,'DB technologies'!$N$96:$Y$107,9,FALSE)/100))</f>
        <v/>
      </c>
      <c r="O185" s="423" t="str">
        <f>IF(D185="","",((VLOOKUP(D185,'DB technologies'!$N$96:$Y$107,4,FALSE)*E184*AH184/100*(1-'DB additional information '!$S$8/100)*(1-VLOOKUP(D185,'DB technologies'!$N$96:$Y$107,8,FALSE)/100))/VLOOKUP($C$182,'DB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5" s="438" t="str">
        <f>IF(G185=0,0,IF(E184="","",IF(F184="","",IF($C$182=0,"",IF(D185="","",SUM(H185:K185)/G185*100)))))</f>
        <v/>
      </c>
      <c r="Q185" s="416" t="str">
        <f>IF(D185="","",(VLOOKUP(D185,'DB technologies'!$N$96:$Y$107,2,FALSE)*'DB additional information '!$S$6/100*'DB additional information '!$T$6*VLOOKUP($C$182,'DB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5" s="416" t="str">
        <f>IF(D185="","",(VLOOKUP(D185,'DB technologies'!$N$96:$Y$107,3,FALSE)*'DB additional information '!$S$7/100*'DB additional information '!$T$7*VLOOKUP($C$182,'DB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5" s="491" t="str">
        <f>IF(D185="","",(VLOOKUP(D185,'DB technologies'!$N$96:$Y$107,4,FALSE)*('DB additional information '!$S$8/100*'DB additional information '!$T$8*E184/1000/1000*AH184/100)))</f>
        <v/>
      </c>
      <c r="T185" s="264" t="str">
        <f>IF($C$182=0,"",IF('Calc (ex-animal)'!$F$38=1,"",IF(D185="","",((VLOOKUP($C$182,'Calc (ex-animal)'!$D$38:$Y$42,10,FALSE)-VLOOKUP($C$182,'Calc (ex-animal)'!$D$38:$Y$42,18,FALSE))*F184/100*AH184/100+Q185+R185+S185)-AC185-AD185-AE185)))</f>
        <v/>
      </c>
      <c r="U185" s="422" t="str">
        <f>IF(D185="","",(VLOOKUP(D185,'DB technologies'!$N$96:$Y$107,2,FALSE)*'DB additional information '!$S$6/100*'DB additional information '!$U$6*VLOOKUP($C$182,'DB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5" s="418" t="str">
        <f>IF(D185="","",(VLOOKUP(D185,'DB technologies'!$N$96:$Y$107,3,FALSE)*'DB additional information '!$S$7/100*'DB additional information '!$U$7*VLOOKUP($C$182,'DB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5" s="417" t="str">
        <f>IF(D185="","",(VLOOKUP(D185,'DB technologies'!$N$96:$Y$107,4,FALSE)*('DB additional information '!$S$8/100*'DB additional information '!$U$8*E184/1000/1000*AH184/100)))</f>
        <v/>
      </c>
      <c r="X185" s="261" t="str">
        <f>IF($C$182=0,"",IF('Calc (ex-animal)'!$F$38=1,"",IF(D185="","",((VLOOKUP($C$182,'Calc (ex-animal)'!$D$38:$Y$42,13,FALSE)-VLOOKUP($C$182,'Calc (ex-animal)'!$D$38:$Y$42,19,FALSE))*F184/100*AH184/100+U185+V185+W185))))</f>
        <v/>
      </c>
      <c r="Y185" s="418" t="str">
        <f>IF(D185="","",(VLOOKUP(D185,'DB technologies'!$N$96:$Y$107,2,FALSE)*'DB additional information '!$S$6/100*'DB additional information '!$V$6*VLOOKUP($C$182,'DB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5" s="418" t="str">
        <f>IF(D185="","",(VLOOKUP(D185,'DB technologies'!$N$96:$Y$107,3,FALSE)*'DB additional information '!$S$7/100*'DB additional information '!$V$7*VLOOKUP($C$182,'DB animal categories'!$C$68:$AC$80,27,FALSE)*E184/1000/1000*AH184/100)/VLOOKUP($C$182,'DB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5" s="418" t="str">
        <f>IF(D185="","",(VLOOKUP(D185,'DB technologies'!$N$96:$Y$107,4,FALSE)*('DB additional information '!$S$8/100*'DB additional information '!$V$8*E184/1000/1000*AH184/100)))</f>
        <v/>
      </c>
      <c r="AB185" s="261" t="str">
        <f>IF($C$182=0,"",IF('Calc (ex-animal)'!$F$38=1,"",IF(D185="","",((VLOOKUP($C$182,'Calc (ex-animal)'!$D$38:$Y$42,16,FALSE)-VLOOKUP($C$182,'Calc (ex-animal)'!$D$38:$Y$42,20,FALSE))*F184/100*AH184/100+Y185+Z185+AA185))))</f>
        <v/>
      </c>
      <c r="AC185" s="261" t="str">
        <f>IF($C$182=0,"",IF('Calc (ex-animal)'!$F$38=1,"",IF(D185="","",VLOOKUP($C$182,'Calc (ex-animal)'!$D$38:$Y$42,9,FALSE)*AH184/100/VLOOKUP($C$182,'DB animal categories'!$C$68:$AC$80,27,FALSE)*(VLOOKUP($C$182,'DB animal categories'!$C$68:$AC$80,27,FALSE)-VLOOKUP($C$182,'DB animal categories'!$C$68:$AC$80,25,FALSE)*VLOOKUP($C$182,'DB animal categories'!$C$68:$AC$80,26,FALSE)/24)*F184/100*VLOOKUP(D185,'DB technologies'!$N$96:$R$107,5,FALSE)/100)))</f>
        <v/>
      </c>
      <c r="AD185" s="261" t="str">
        <f>IF($C$182=0,"",IF('Calc (ex-animal)'!$F$38=1,"",IF(D185="","",VLOOKUP($C$182,'Calc (ex-animal)'!$D$38:$Y$42,10,FALSE)*AH184/100/VLOOKUP($C$182,'DB animal categories'!$C$68:$AC$80,27,FALSE)*(VLOOKUP($C$182,'DB animal categories'!$C$68:$AC$80,27,FALSE)-VLOOKUP($C$182,'DB animal categories'!$C$68:$AC$80,25,FALSE)*VLOOKUP($C$182,'DB animal categories'!$C$68:$AC$80,26,FALSE)/24)*F184/100*VLOOKUP(D185,'DB technologies'!$N$96:$Y$107,6,FALSE)/100)))</f>
        <v/>
      </c>
      <c r="AE185" s="262" t="str">
        <f>IF($C$182=0,"",IF('Calc (ex-animal)'!$F$38=1,"",IF(D185="","",VLOOKUP($C$182,'Calc (ex-animal)'!$D$38:$Y$42,10,FALSE)*AH184/100/VLOOKUP($C$182,'DB animal categories'!$C$68:$AC$80,27,FALSE)*(VLOOKUP($C$182,'DB animal categories'!$C$68:$AC$80,27,FALSE)-VLOOKUP($C$182,'DB animal categories'!$C$68:$AC$80,25,FALSE)*VLOOKUP($C$182,'DB animal categories'!$C$68:$AC$80,26,FALSE)/24)*F184/100*VLOOKUP(D185,'DB technologies'!$N$96:$Y$107,7,FALSE)/100)))</f>
        <v/>
      </c>
      <c r="AG185" s="1390"/>
      <c r="AH185" s="1380"/>
      <c r="AI185" s="187" t="str">
        <f>IF(D185="","",VLOOKUP(D185,'DB technologies'!$N$96:$Y$107,10,FALSE))</f>
        <v/>
      </c>
      <c r="AJ185" s="451" t="e">
        <f>VLOOKUP($C$182,'DB animal categories'!$C$68:$AN$80,27,FALSE)-VLOOKUP($C$182,'DB animal categories'!$C$68:$AN$80,26,FALSE)*VLOOKUP($C$182,'DB animal categories'!$C$68:$AN$80,25,FALSE)/24</f>
        <v>#N/A</v>
      </c>
      <c r="AK185" s="452" t="str">
        <f t="shared" si="30"/>
        <v/>
      </c>
      <c r="AL185" s="452" t="str">
        <f>IF(D185="","",IF(AI185=2,(('Calc (ex-animal)'!$G$40*'DB additional information '!$K$12/100*AH184/100*(1-VLOOKUP(D185,'DB technologies'!$N$96:$Y$107,9,FALSE)/100)*'Calc (ex-housing, ex-storage)'!F184/100+'Calc (ex-animal)'!$H$40*'DB additional information '!$L$12/100*AH184/100*(1-VLOOKUP(D185,'DB technologies'!$N$96:$Y$107,9,FALSE)/100)*'Calc (ex-housing, ex-storage)'!F184/100))/VLOOKUP($C$182,'DB animal categories'!$C$68:$AC$80,27,FALSE)*AJ185+I185+J185+K185,IF(AI185=1,('Calc (ex-animal)'!$H$40*AH184/100*'DB additional information '!$L$12/100*(1-VLOOKUP(D185,'DB technologies'!$N$96:$Y$107,9,FALSE)/100)*'Calc (ex-housing, ex-storage)'!F184/100)/VLOOKUP($C$182,'DB animal categories'!$C$68:$AC$80,27,FALSE)*AJ185,IF(AI185=4,('Calc (ex-animal)'!$G$40*'DB additional information '!$K$12/100+'Calc (ex-animal)'!$H$40*'DB additional information '!$L$12/100)*AH184/100*(1-VLOOKUP(D185,'DB technologies'!$N$96:$Y$107,9,FALSE)/100)*'Calc (ex-housing, ex-storage)'!F184/100*VLOOKUP(D185,'DB technologies'!$N$96:$Y$107,11,FALSE)/100/VLOOKUP($C$182,'DB animal categories'!$C$68:$AC$80,27,FALSE)*AJ185,0))))</f>
        <v/>
      </c>
      <c r="AM185" s="452" t="str">
        <f>IF(D185="","",IF(AI185=2,(('Calc (ex-animal)'!$G$40*(1-'DB additional information '!$K$12/100)*AH184/100*(1-VLOOKUP(D185,'DB technologies'!$N$96:$Y$107,8,FALSE)/100)*'Calc (ex-housing, ex-storage)'!F184/100+'Calc (ex-animal)'!$H$40*(1-'DB additional information '!$L$12/100)*AH184/100*(1-VLOOKUP(D185,'DB technologies'!$N$96:$Y$107,8,FALSE)/100)*'Calc (ex-housing, ex-storage)'!F184/100))/VLOOKUP($C$182,'DB animal categories'!$C$68:$AC$80,27,FALSE)*AJ185+M185+N185+O185,IF(AI185=1,('Calc (ex-animal)'!$H$40*(1-'DB additional information '!$L$12/100)*AH184/100*(1-VLOOKUP(D185,'DB technologies'!$N$96:$Y$107,8,FALSE)/100)*'Calc (ex-housing, ex-storage)'!F184/100)/VLOOKUP($C$182,'DB animal categories'!$C$68:$AC$80,27,FALSE)*AJ185,IF(AI185=4,('Calc (ex-animal)'!$G$40*(1-'DB additional information '!$K$12/100)+'Calc (ex-animal)'!$H$40*(1-'DB additional information '!$L$12/100))*AH184/100*(1-VLOOKUP(D185,'DB technologies'!$N$96:$Y$107,8,FALSE)/100)*'Calc (ex-housing, ex-storage)'!F184/100*VLOOKUP(D185,'DB technologies'!$N$96:$Y$107,11,FALSE)/100/VLOOKUP($C$182,'DB animal categories'!$C$68:$AC$80,27,FALSE)*AJ185,0))))</f>
        <v/>
      </c>
      <c r="AN185" s="452" t="str">
        <f t="shared" si="31"/>
        <v/>
      </c>
      <c r="AO185" s="184" t="str">
        <f>IF(D185="","",IF(AI185=2,(('Calc (ex-animal)'!$L$40*'Calc (ex-housing, ex-storage)'!F184/100+'Calc (ex-animal)'!$K$40*'Calc (ex-housing, ex-storage)'!F184/100))*AH184/100/VLOOKUP($C$182,'DB animal categories'!$C$68:$AC$80,27,FALSE)*AJ185+Q185+R185+S185-AC185,IF(AI185=1,('Calc (ex-animal)'!$L$40*'Calc (ex-housing, ex-storage)'!F184/100)*AH184/100/VLOOKUP($C$182,'DB animal categories'!$C$68:$AC$80,27,FALSE)*AJ185-'Calc (ex-housing, ex-storage)'!AC185,IF(AI185=4,('Calc (ex-animal)'!$L$40+'Calc (ex-animal)'!$K$40)*'Calc (ex-housing, ex-storage)'!F184/100*AH184/100*VLOOKUP(D185,'DB technologies'!$N$96:$Y$107,11,FALSE)/100/VLOOKUP($C$182,'DB animal categories'!$C$68:$AC$80,27,FALSE)*AJ185-AC185*VLOOKUP(D185,'DB technologies'!$N$96:$Y$107,11,FALSE)/100,0))))</f>
        <v/>
      </c>
      <c r="AP185" s="184" t="str">
        <f>IF(D185="","",IF(AO185&lt;-0.01,0,IF(AI185=2,(('Calc (ex-animal)'!$L$40*'Calc (ex-housing, ex-storage)'!F184/100+'Calc (ex-animal)'!$K$40*'Calc (ex-housing, ex-storage)'!F184/100))*AH184/100/VLOOKUP($C$182,'DB animal categories'!$C$68:$AC$80,27,FALSE)*AJ185+Q185+R185+S185-AC185,IF(AI185=1,('Calc (ex-animal)'!$L$40*'Calc (ex-housing, ex-storage)'!F184/100)*AH184/100/VLOOKUP($C$182,'DB animal categories'!$C$68:$AC$80,27,FALSE)*AJ185-'Calc (ex-housing, ex-storage)'!AC185,IF(AI185=4,('Calc (ex-animal)'!$L$40+'Calc (ex-animal)'!$K$40)*'Calc (ex-housing, ex-storage)'!F184/100*AH184/100*VLOOKUP(D185,'DB technologies'!$N$96:$Y$107,11,FALSE)/100/VLOOKUP($C$182,'DB animal categories'!$C$68:$AC$80,27,FALSE)*AJ185-AC185*VLOOKUP(D185,'DB technologies'!$N$96:$Y$107,11,FALSE)/100,0)))))</f>
        <v/>
      </c>
      <c r="AQ185" s="184" t="str">
        <f>IF(D185="","",IF(AI185=2,('Calc (ex-animal)'!$O$40*'Calc (ex-housing, ex-storage)'!F184/100+'Calc (ex-animal)'!$N$40*'Calc (ex-housing, ex-storage)'!F184/100)*AH184/100/VLOOKUP($C$182,'DB animal categories'!$C$68:$AC$80,27,FALSE)*AJ185+U185+V185+W185,IF(AI185=1,'Calc (ex-animal)'!$O$40*'Calc (ex-housing, ex-storage)'!F184/100*AH184/100/VLOOKUP($C$182,'DB animal categories'!$C$68:$AC$80,27,FALSE)*AJ185,IF(AI185=4,('Calc (ex-animal)'!$O$40+'Calc (ex-animal)'!$N$40)*'Calc (ex-housing, ex-storage)'!F184/100*AH184/100*VLOOKUP(D185,'DB technologies'!$N$96:$Y$107,11,FALSE)/100/VLOOKUP($C$182,'DB animal categories'!$C$68:$AC$80,27,FALSE)*AJ185,0))))</f>
        <v/>
      </c>
      <c r="AR185" s="184" t="str">
        <f>IF(D185="","",IF(AI185=2,('Calc (ex-animal)'!$R$40*'Calc (ex-housing, ex-storage)'!F184/100+'Calc (ex-animal)'!$Q$40*'Calc (ex-housing, ex-storage)'!F184/100)*AH184/100/VLOOKUP($C$182,'DB animal categories'!$C$68:$AC$80,27,FALSE)*AJ185+Y185+Z185+AA185,IF(AI185=1,'Calc (ex-animal)'!$R$40*'Calc (ex-housing, ex-storage)'!F184/100*AH184/100/VLOOKUP($C$182,'DB animal categories'!$C$68:$AC$80,27,FALSE)*AJ185,IF(AI185=4,('Calc (ex-animal)'!$R$40+'Calc (ex-animal)'!$Q$40)*'Calc (ex-housing, ex-storage)'!F184/100*AH184/100*VLOOKUP(D185,'DB technologies'!$N$96:$Y$107,11,FALSE)/100/VLOOKUP($C$182,'DB animal categories'!$C$68:$AC$80,27,FALSE)*AJ185,0))))</f>
        <v/>
      </c>
      <c r="AS185" s="183" t="str">
        <f>IF(D185="","",VLOOKUP(D185,'DB technologies'!$N$96:$Y$107,10,FALSE))</f>
        <v/>
      </c>
      <c r="AT185" s="452" t="str">
        <f t="shared" si="32"/>
        <v/>
      </c>
      <c r="AU185" s="452" t="str">
        <f>IF(D185="","",IF(AS185=2,0,IF(AS185=1,'Calc (ex-animal)'!$G$40*'DB additional information '!$K$12/100*AH184/100*(1-VLOOKUP(D185,'DB technologies'!$N$96:$Y$107,8,FALSE)/100)*'Calc (ex-housing, ex-storage)'!F184/100/VLOOKUP($C$182,'DB animal categories'!$C$68:$AC$80,27,FALSE)*AJ185+I185+J185+K185,IF(AS185=5,(('Calc (ex-animal)'!$G$40*'DB additional information '!$K$12/100+'Calc (ex-animal)'!$H$40*'DB additional information '!$L$12/100))*AH184/100*(1-VLOOKUP(D185,'DB technologies'!$N$96:$Y$107,9,FALSE)/100)*'Calc (ex-housing, ex-storage)'!F184/100/VLOOKUP($C$182,'DB animal categories'!$C$68:$AC$80,27,FALSE)*AJ185+I185+J185+K185,IF(AS185=3,('Calc (ex-animal)'!$G$40*'DB additional information '!$K$12/100+'Calc (ex-animal)'!$H$40*'DB additional information '!$L$12/100)*AH184/100*(1-VLOOKUP(D185,'DB technologies'!$N$96:$Y$107,9,FALSE)/100)*'Calc (ex-housing, ex-storage)'!F184/100/VLOOKUP($C$182,'DB animal categories'!$C$68:$AC$80,27,FALSE)*AJ185+I185+J185+K185,IF(AS185=4,('Calc (ex-animal)'!$G$40*'DB additional information '!$K$12/100+'Calc (ex-animal)'!$H$40*'DB additional information '!$L$12/100)*AH184/100*(1-VLOOKUP(D185,'DB technologies'!$N$96:$Y$107,9,FALSE)/100)*'Calc (ex-housing, ex-storage)'!F184/100*VLOOKUP(D185,'DB technologies'!$N$96:$Y$107,12,FALSE)/100/VLOOKUP($C$182,'DB animal categories'!$C$68:$AC$80,27,FALSE)*AJ185+I185+J185+K185,0))))))</f>
        <v/>
      </c>
      <c r="AV185" s="452" t="str">
        <f>IF(D185="","",IF(AS185=2,0,IF(AS185=1,'Calc (ex-animal)'!$G$40*(1-'DB additional information '!$K$12/100)*AH184/100*(1-VLOOKUP(D185,'DB technologies'!$N$96:$Y$107,8,FALSE)/100)*'Calc (ex-housing, ex-storage)'!F184/100/VLOOKUP($C$182,'DB animal categories'!$C$68:$AC$80,27,FALSE)*AJ185+M185+N185+O185,IF(AS185=5,('Calc (ex-animal)'!$G$40*(1-'DB additional information '!$K$12/100)+'Calc (ex-animal)'!$H$40*(1-'DB additional information '!$L$12/100))*AH184/100*(1-VLOOKUP(D185,'DB technologies'!$N$96:$Y$107,8,FALSE)/100)*'Calc (ex-housing, ex-storage)'!F184/100/VLOOKUP($C$182,'DB animal categories'!$C$68:$AC$80,27,FALSE)*AJ185+M185+N185+O185,IF(AS185=3,('Calc (ex-animal)'!$G$40*(1-'DB additional information '!$K$12/100)+'Calc (ex-animal)'!$H$40*(1-'DB additional information '!$L$12/100))*AH184/100*(1-VLOOKUP(D185,'DB technologies'!$N$96:$Y$107,8,FALSE)/100)*'Calc (ex-housing, ex-storage)'!F184/100/VLOOKUP($C$182,'DB animal categories'!$C$68:$AC$80,27,FALSE)*AJ185+M185+N185+O185,IF(AS185=4,('Calc (ex-animal)'!$G$40*(1-'DB additional information '!$K$12/100)+'Calc (ex-animal)'!$H$40*(1-'DB additional information '!$L$12/100))*AH184/100*(1-VLOOKUP(D185,'DB technologies'!$N$96:$Y$107,8,FALSE)/100)*'Calc (ex-housing, ex-storage)'!F184/100*VLOOKUP(D185,'DB technologies'!$N$96:$Y$107,12,FALSE)/100/VLOOKUP($C$182,'DB animal categories'!$C$68:$AC$80,27,FALSE)*AJ185+M185+N185+O185,0))))))</f>
        <v/>
      </c>
      <c r="AW185" s="452" t="str">
        <f t="shared" si="33"/>
        <v/>
      </c>
      <c r="AX185" s="184" t="str">
        <f>IF(D185="","",IF(AS185=2,0,IF(AS185=1,'Calc (ex-animal)'!$K$40*'Calc (ex-housing, ex-storage)'!F184/100*AH184/100/VLOOKUP($C$182,'DB animal categories'!$C$68:$AC$80,27,FALSE)*AJ185+Q185+R185+S185,IF(AS185=5,('Calc (ex-animal)'!$K$40+'Calc (ex-animal)'!$L$40)*AH184/100*'Calc (ex-housing, ex-storage)'!F184/100/VLOOKUP($C$182,'DB animal categories'!$C$68:$AC$80,27,FALSE)*AJ185+Q185+R185+S185-'Calc (ex-housing, ex-storage)'!AC185,IF(AS185=3,('Calc (ex-animal)'!$K$40+'Calc (ex-animal)'!$L$40)*AH184/100*'Calc (ex-housing, ex-storage)'!F184/100/VLOOKUP($C$182,'DB animal categories'!$C$68:$AC$80,27,FALSE)*AJ185+Q185+R185+S185-'Calc (ex-housing, ex-storage)'!AC185-AD185-AE185,IF(AI185=4,('Calc (ex-animal)'!$K$40+'Calc (ex-animal)'!$L$40)*AH184/100*'Calc (ex-housing, ex-storage)'!F184/100*VLOOKUP(D185,'DB technologies'!$N$96:$Y$107,12,FALSE)/100/VLOOKUP($C$182,'DB animal categories'!$C$68:$AC$80,27,FALSE)*AJ185+Q185+R185+S185-(VLOOKUP(D185,'DB technologies'!$N$96:$Y$107,12,FALSE)/100*AC185)-AD185-AE185,0))))))</f>
        <v/>
      </c>
      <c r="AY185" s="184" t="str">
        <f>IF(D185="","",IF(AS185=2,0,IF(AS185=1,'Calc (ex-animal)'!$N$40*AH184/100*'Calc (ex-housing, ex-storage)'!F184/100/VLOOKUP($C$182,'DB animal categories'!$C$68:$AC$80,27,FALSE)*AJ185+U185+V185+W185,IF(AS185=5,('Calc (ex-animal)'!$N$40+'Calc (ex-animal)'!$O$40)*AH184/100*'Calc (ex-housing, ex-storage)'!F184/100/VLOOKUP($C$182,'DB animal categories'!$C$68:$AC$80,27,FALSE)*AJ185+U185+V185+W185,IF(AS185=3,('Calc (ex-animal)'!$N$40+'Calc (ex-animal)'!$O$40)*AH184/100*'Calc (ex-housing, ex-storage)'!F184/100/VLOOKUP($C$182,'DB animal categories'!$C$68:$AC$80,27,FALSE)*AJ185+U185+V185+W185,IF(AS185=4,('Calc (ex-animal)'!$N$40+'Calc (ex-animal)'!$O$40)*AH184/100*'Calc (ex-housing, ex-storage)'!F184/100*VLOOKUP(D185,'DB technologies'!$N$96:$Y$107,12,FALSE)/100/VLOOKUP($C$182,'DB animal categories'!$C$68:$AC$80,27,FALSE)*AJ185+U185+V185+W185,0))))))</f>
        <v/>
      </c>
      <c r="AZ185" s="184" t="str">
        <f>IF(D185="","",IF(AS185=2,0,IF(AS185=1,'Calc (ex-animal)'!$Q$40*AH184/100*'Calc (ex-housing, ex-storage)'!F184/100/VLOOKUP($C$182,'DB animal categories'!$C$68:$AC$80,27,FALSE)*AJ185+Y185+Z185+AA185,IF(AS185=5,('Calc (ex-animal)'!$Q$40+'Calc (ex-animal)'!$R$40)*AH184/100*'Calc (ex-housing, ex-storage)'!F184/100/VLOOKUP($C$182,'DB animal categories'!$C$68:$AC$80,27,FALSE)*AJ185+Y185+Z185+AA185,IF(AS185=3,('Calc (ex-animal)'!$Q$40+'Calc (ex-animal)'!$R$40)*AH184/100*'Calc (ex-housing, ex-storage)'!F184/100/VLOOKUP($C$182,'DB animal categories'!$C$68:$AC$80,27,FALSE)*AJ185+Y185+Z185+AA185,IF(AS185=4,('Calc (ex-animal)'!$Q$40+'Calc (ex-animal)'!$R$40)*AH184/100*'Calc (ex-housing, ex-storage)'!F184/100*VLOOKUP(D185,'DB technologies'!$N$96:$Y$107,12,FALSE)/100/VLOOKUP($C$182,'DB animal categories'!$C$68:$AC$80,27,FALSE)*AJ185+Y185+Z185+AA185,0))))))</f>
        <v/>
      </c>
      <c r="BA185" s="506"/>
      <c r="BB185" s="506"/>
      <c r="BC185" s="506"/>
    </row>
    <row r="186" spans="1:55" x14ac:dyDescent="0.2">
      <c r="A186" s="684"/>
      <c r="B186" s="695"/>
      <c r="C186" s="251"/>
      <c r="D186" s="1357"/>
      <c r="E186" s="1374"/>
      <c r="F186" s="692" t="str">
        <f>IF('Calc (ex-animal)'!$F$38=1,"",IF($C$182=0,"",IF(D186="","",E186/'Calc (ex-animal)'!$E$40*100)))</f>
        <v/>
      </c>
      <c r="G186" s="537" t="str">
        <f>IF($C$182=0,"",IF('Calc (ex-animal)'!$F$38=1,"",IF(D186="","",SUM(H186:O186))))</f>
        <v/>
      </c>
      <c r="H186" s="527" t="str">
        <f>IF('Calc (ex-animal)'!$F$38=1,"",IF(D186="","",(((VLOOKUP($C$182,'Calc (ex-animal)'!$D$38:$Y$42,6,FALSE)-VLOOKUP($C$182,'Calc (ex-animal)'!$D$38:$Y$42,17,FALSE))*F186/100*AG186/100))*VLOOKUP($C$182,'Calc (ex-animal)'!$D$38:$Y$42,7,FALSE)/100*(1-VLOOKUP(D186,'DB technologies'!$N$83:$Y$94,9,FALSE)/100)))</f>
        <v/>
      </c>
      <c r="I186" s="527" t="str">
        <f>IF(D186="","",((VLOOKUP(D186,'DB technologies'!$N$83:$Y$94,2,FALSE)*VLOOKUP($C$182,'DB animal categories'!$C$68:$AC$80,27,FALSE)*E186/1000*AG186/100)/VLOOKUP($C$182,'DB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'!$S$6/100*(1-VLOOKUP(D186,'DB technologies'!$N$83:$Y$94,9,FALSE)/100)))</f>
        <v/>
      </c>
      <c r="J186" s="528" t="str">
        <f>IF(D186="","",((VLOOKUP(D186,'DB technologies'!$N$83:$Y$94,3,FALSE)*VLOOKUP($C$182,'DB animal categories'!$C$68:$AC$80,27,FALSE)*E186/1000*AG186/100)/VLOOKUP($C$182,'DB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'!$S$7/100*(1-VLOOKUP(D186,'DB technologies'!$N$83:$Y$94,9,FALSE)/100)))</f>
        <v/>
      </c>
      <c r="K186" s="529" t="str">
        <f>IF(D186="","",((VLOOKUP(D186,'DB technologies'!$N$83:$Y$94,4,FALSE)*E186*AG186/100*'DB additional information '!$S$8/100*(1-VLOOKUP(D186,'DB technologies'!$N$83:$Y$94,9,FALSE)/100))/VLOOKUP($C$182,'DB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6" s="527" t="str">
        <f>IF('Calc (ex-animal)'!$F$38=1,"",IF(D186="","",(((VLOOKUP($C$182,'Calc (ex-animal)'!$D$38:$Y$42,6,FALSE)-VLOOKUP($C$182,'Calc (ex-animal)'!$D$38:$Y$42,17,FALSE))*F186/100*AG186/100))*(1-VLOOKUP($C$182,'Calc (ex-animal)'!$D$38:$Y$42,7,FALSE)/100)*(1-VLOOKUP(D186,'DB technologies'!$N$83:$V$94,8,FALSE)/100)))</f>
        <v/>
      </c>
      <c r="M186" s="528" t="str">
        <f>IF(D186="","",((VLOOKUP(D186,'DB technologies'!$N$83:$Y$94,2,FALSE)*VLOOKUP($C$182,'DB animal categories'!$C$68:$AC$80,27,FALSE)*E186/1000*AG186/100)/VLOOKUP($C$182,'DB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'!$S$6/100)*(1-VLOOKUP(D186,'DB technologies'!$N$83:$Y$94,9,FALSE)/100))</f>
        <v/>
      </c>
      <c r="N186" s="528" t="str">
        <f>IF(D186="","",((VLOOKUP(D186,'DB technologies'!$N$83:$Y$94,3,FALSE)*VLOOKUP($C$182,'DB animal categories'!$C$68:$AC$80,27,FALSE)*E186/1000*AG186/100)/VLOOKUP($C$182,'DB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'!$S$7/100)*(1-VLOOKUP(D186,'DB technologies'!$N$83:$Y$94,9,FALSE)/100))</f>
        <v/>
      </c>
      <c r="O186" s="527" t="str">
        <f>IF(D186="","",((VLOOKUP(D186,'DB technologies'!$N$83:$Y$94,4,FALSE)*E186*AG186/100*(1-'DB additional information '!$S$8/100)*(1-VLOOKUP(D186,'DB technologies'!$N$83:$Y$94,8,FALSE)/100))/VLOOKUP($C$182,'DB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6" s="530" t="str">
        <f>IF(G186=0,0,IF(E186="","",IF(F186="","",IF($C$182=0,"",IF(D186="","",SUM(H186:K186)/G186*100)))))</f>
        <v/>
      </c>
      <c r="Q186" s="531" t="str">
        <f>IF(D186="","",(VLOOKUP(D186,'DB technologies'!$N$83:$Y$94,2,FALSE)*'DB additional information '!$S$6/100*'DB additional information '!$T$6*VLOOKUP($C$182,'DB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6" s="531" t="str">
        <f>IF(D186="","",(VLOOKUP(D186,'DB technologies'!$N$83:$Y$94,3,FALSE)*'DB additional information '!$S$7/100*'DB additional information '!$T$7*VLOOKUP($C$182,'DB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6" s="538" t="str">
        <f>IF(D186="","",(VLOOKUP(D186,'DB technologies'!$N$83:$Y$94,4,FALSE)*('DB additional information '!$S$8/100*'DB additional information '!$T$8*E186/1000/1000*AG186/100)))</f>
        <v/>
      </c>
      <c r="T186" s="300" t="str">
        <f>IF($C$182=0,"",IF('Calc (ex-animal)'!$F$38=1,"",IF(D186="","",((VLOOKUP($C$182,'Calc (ex-animal)'!$D$38:$Y$42,10,FALSE)-VLOOKUP($C$182,'Calc (ex-animal)'!$D$38:$Y$42,18,FALSE))*F186/100*AG186/100+Q186+R186+S186)-AC186-AD186-AE186)))</f>
        <v/>
      </c>
      <c r="U186" s="544" t="str">
        <f>IF(D186="","",(VLOOKUP(D186,'DB technologies'!$N$83:$Y$94,2,FALSE)*'DB additional information '!$S$6/100*'DB additional information '!$U$6*VLOOKUP($C$182,'DB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6" s="523" t="str">
        <f>IF(D186="","",(VLOOKUP(D186,'DB technologies'!$N$83:$Y$94,3,FALSE)*'DB additional information '!$S$7/100*'DB additional information '!$U$7*VLOOKUP($C$182,'DB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6" s="545" t="str">
        <f>IF(D186="","",(VLOOKUP(D186,'DB technologies'!$N$83:$Y$94,4,FALSE)*('DB additional information '!$S$8/100*'DB additional information '!$U$8*E186/1000/1000*AG186/100)))</f>
        <v/>
      </c>
      <c r="X186" s="301" t="str">
        <f>IF($C$182=0,"",IF('Calc (ex-animal)'!$F$38=1,"",IF(D186="","",((VLOOKUP($C$182,'Calc (ex-animal)'!$D$38:$Y$42,13,FALSE)-VLOOKUP($C$182,'Calc (ex-animal)'!$D$38:$Y$42,19,FALSE))*F186/100*AG186/100+U186+V186+W186))))</f>
        <v/>
      </c>
      <c r="Y186" s="523" t="str">
        <f>IF(D186="","",(VLOOKUP(D186,'DB technologies'!$N$83:$Y$94,2,FALSE)*'DB additional information '!$S$6/100*'DB additional information '!$V$6*VLOOKUP($C$182,'DB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6" s="523" t="str">
        <f>IF(D186="","",(VLOOKUP(D186,'DB technologies'!$N$83:$Y$94,3,FALSE)*'DB additional information '!$S$7/100*'DB additional information '!$V$7*VLOOKUP($C$182,'DB animal categories'!$C$68:$AC$80,27,FALSE)*E186/1000/1000*AG186/100)/VLOOKUP($C$182,'DB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6" s="523" t="str">
        <f>IF(D186="","",(VLOOKUP(D186,'DB technologies'!$N$83:$Y$94,4,FALSE)*('DB additional information '!$S$8/100*'DB additional information '!$V$8*E186/1000/1000*AG186/100)))</f>
        <v/>
      </c>
      <c r="AB186" s="301" t="str">
        <f>IF($C$182=0,"",IF('Calc (ex-animal)'!$F$38=1,"",IF(D186="","",((VLOOKUP($C$182,'Calc (ex-animal)'!$D$38:$Y$42,16,FALSE)-VLOOKUP($C$182,'Calc (ex-animal)'!$D$38:$Y$42,20,FALSE))*F186/100*AG186/100+Y186+Z186+AA186))))</f>
        <v/>
      </c>
      <c r="AC186" s="301" t="str">
        <f>IF($C$182=0,"",IF('Calc (ex-animal)'!$F$38=1,"",IF(D186="","",VLOOKUP($C$182,'Calc (ex-animal)'!$D$38:$Y$42,9,FALSE)*AG186/100/VLOOKUP($C$182,'DB animal categories'!$C$68:$AC$80,27,FALSE)*(VLOOKUP($C$182,'DB animal categories'!$C$68:$AC$80,27,FALSE)-VLOOKUP($C$182,'DB animal categories'!$C$68:$AC$80,25,FALSE)*VLOOKUP($C$182,'DB animal categories'!$C$68:$AC$80,26,FALSE)/24)*F186/100*VLOOKUP(D186,'DB technologies'!$N$83:$R$94,5,FALSE)/100)))</f>
        <v/>
      </c>
      <c r="AD186" s="301" t="str">
        <f>IF($C$182=0,"",IF('Calc (ex-animal)'!$F$38=1,"",IF(D186="","",VLOOKUP($C$182,'Calc (ex-animal)'!$D$38:$Y$42,10,FALSE)*AG186/100/VLOOKUP($C$182,'DB animal categories'!$C$68:$AC$80,27,FALSE)*(VLOOKUP($C$182,'DB animal categories'!$C$68:$AC$80,27,FALSE)-VLOOKUP($C$182,'DB animal categories'!$C$68:$AC$80,25,FALSE)*VLOOKUP($C$182,'DB animal categories'!$C$68:$AC$80,26,FALSE)/24)*F186/100*VLOOKUP(D186,'DB technologies'!$N$83:$Y$94,6,FALSE)/100)))</f>
        <v/>
      </c>
      <c r="AE186" s="302" t="str">
        <f>IF($C$182=0,"",IF('Calc (ex-animal)'!$F$38=1,"",IF(D186="","",VLOOKUP($C$182,'Calc (ex-animal)'!$D$38:$Y$42,10,FALSE)*AG186/100/VLOOKUP($C$182,'DB animal categories'!$C$68:$AC$80,27,FALSE)*(VLOOKUP($C$182,'DB animal categories'!$C$68:$AC$80,27,FALSE)-VLOOKUP($C$182,'DB animal categories'!$C$68:$AC$80,25,FALSE)*VLOOKUP($C$182,'DB animal categories'!$C$68:$AC$80,26,FALSE)/24)*F186/100*VLOOKUP(D186,'DB technologies'!$N$83:$Y$94,7,FALSE)/100)))</f>
        <v/>
      </c>
      <c r="AG186" s="1389"/>
      <c r="AH186" s="1382"/>
      <c r="AI186" s="185" t="str">
        <f>IF(D186="","",VLOOKUP(D186,'DB technologies'!$N$82:$Y$94,10,FALSE))</f>
        <v/>
      </c>
      <c r="AJ186" s="482" t="e">
        <f>VLOOKUP($C$182,'DB animal categories'!$C$68:$AN$80,27,FALSE)-VLOOKUP($C$182,'DB animal categories'!$C$68:$AN$80,26,FALSE)*VLOOKUP($C$182,'DB animal categories'!$C$68:$AN$80,25,FALSE)/24</f>
        <v>#N/A</v>
      </c>
      <c r="AK186" s="453" t="str">
        <f t="shared" si="30"/>
        <v/>
      </c>
      <c r="AL186" s="453" t="str">
        <f>IF(D186="","",IF(AI186=2,(('Calc (ex-animal)'!$G$40*'DB additional information '!$K$12/100*AG186/100*(1-VLOOKUP(D186,'DB technologies'!$N$82:$Y$94,9,FALSE)/100)*'Calc (ex-housing, ex-storage)'!F186/100+'Calc (ex-animal)'!$H$40*'DB additional information '!$L$12/100*AG186/100*(1-VLOOKUP(D186,'DB technologies'!$N$82:$Y$94,9,FALSE)/100)*'Calc (ex-housing, ex-storage)'!F186/100))/VLOOKUP($C$182,'DB animal categories'!$C$68:$AC$80,27,FALSE)*AJ186+I186+J186+K186,IF(AI186=1,('Calc (ex-animal)'!$H$40*AG186/100*'DB additional information '!$L$12/100*(1-VLOOKUP(D186,'DB technologies'!$N$82:$Y$94,9,FALSE)/100)*'Calc (ex-housing, ex-storage)'!F186/100)/VLOOKUP($C$182,'DB animal categories'!$C$68:$AC$80,27,FALSE)*AJ186,IF(AI186=4,('Calc (ex-animal)'!$G$40*'DB additional information '!$K$12/100+'Calc (ex-animal)'!$H$40*'DB additional information '!$L$12/100)*AG186/100*(1-VLOOKUP(D186,'DB technologies'!$N$82:$Y$94,9,FALSE)/100)*'Calc (ex-housing, ex-storage)'!F186/100*VLOOKUP(D186,'DB technologies'!$N$82:$Y$94,11,FALSE)/100/VLOOKUP($C$182,'DB animal categories'!$C$68:$AC$80,27,FALSE)*AJ186,0))))</f>
        <v/>
      </c>
      <c r="AM186" s="453" t="str">
        <f>IF(D186="","",IF(AI186=2,(('Calc (ex-animal)'!$G$40*(1-'DB additional information '!$K$12/100)*AG186/100*(1-VLOOKUP(D186,'DB technologies'!$N$82:$Y$94,8,FALSE)/100)*'Calc (ex-housing, ex-storage)'!F186/100+'Calc (ex-animal)'!$H$40*(1-'DB additional information '!$L$12/100)*AG186/100*(1-VLOOKUP(D186,'DB technologies'!$N$82:$Y$94,8,FALSE)/100)*'Calc (ex-housing, ex-storage)'!F186/100))/VLOOKUP($C$182,'DB animal categories'!$C$68:$AC$80,27,FALSE)*AJ186+M186+N186+O186,IF(AI186=1,('Calc (ex-animal)'!$H$40*(1-'DB additional information '!$L$12/100)*AG186/100*(1-VLOOKUP(D186,'DB technologies'!$N$82:$Y$94,8,FALSE)/100)*'Calc (ex-housing, ex-storage)'!F186/100)/VLOOKUP($C$182,'DB animal categories'!$C$68:$AC$80,27,FALSE)*AJ186,IF(AI186=4,('Calc (ex-animal)'!$G$40*(1-'DB additional information '!$K$12/100)+'Calc (ex-animal)'!$H$40*(1-'DB additional information '!$L$12/100))*AG186/100*(1-VLOOKUP(D186,'DB technologies'!$N$82:$Y$94,8,FALSE)/100)*'Calc (ex-housing, ex-storage)'!F186/100*VLOOKUP(D186,'DB technologies'!$N$82:$Y$94,11,FALSE)/100/VLOOKUP($C$182,'DB animal categories'!$C$68:$AC$80,27,FALSE)*AJ186,0))))</f>
        <v/>
      </c>
      <c r="AN186" s="453" t="str">
        <f t="shared" si="31"/>
        <v/>
      </c>
      <c r="AO186" s="180" t="str">
        <f>IF(D186="","",IF(AI186=2,(('Calc (ex-animal)'!$L$40*'Calc (ex-housing, ex-storage)'!F186/100+'Calc (ex-animal)'!$K$40*'Calc (ex-housing, ex-storage)'!F186/100))*AG186/100/VLOOKUP($C$182,'DB animal categories'!$C$68:$AC$80,27,FALSE)*AJ186+Q186+R186+S186-AC186,IF(AI186=1,('Calc (ex-animal)'!$L$40*'Calc (ex-housing, ex-storage)'!F186/100)*AG186/100/VLOOKUP($C$182,'DB animal categories'!$C$68:$AC$80,27,FALSE)*AJ186-'Calc (ex-housing, ex-storage)'!AC186,IF(AI186=4,('Calc (ex-animal)'!$L$40+'Calc (ex-animal)'!$K$40)*'Calc (ex-housing, ex-storage)'!F186/100*AG186/100*VLOOKUP(D186,'DB technologies'!$N$82:$Y$94,11,FALSE)/100/VLOOKUP($C$182,'DB animal categories'!$C$68:$AC$80,27,FALSE)*AJ186-AC186*VLOOKUP(D186,'DB technologies'!$N$82:$Y$94,11,FALSE)/100,0))))</f>
        <v/>
      </c>
      <c r="AP186" s="180" t="str">
        <f>IF(D186="","",IF(AO186&lt;-0.01,0,IF(AI186=2,(('Calc (ex-animal)'!$L$40*'Calc (ex-housing, ex-storage)'!F186/100+'Calc (ex-animal)'!$K$40*'Calc (ex-housing, ex-storage)'!F186/100))*AG186/100/VLOOKUP($C$182,'DB animal categories'!$C$68:$AC$80,27,FALSE)*AJ186+Q186+R186+S186-AC186,IF(AI186=1,('Calc (ex-animal)'!$L$40*'Calc (ex-housing, ex-storage)'!F186/100)*AG186/100/VLOOKUP($C$182,'DB animal categories'!$C$68:$AC$80,27,FALSE)*AJ186-'Calc (ex-housing, ex-storage)'!AC186,IF(AI186=4,('Calc (ex-animal)'!$L$40+'Calc (ex-animal)'!$K$40)*'Calc (ex-housing, ex-storage)'!F186/100*AG186/100*VLOOKUP(D186,'DB technologies'!$N$82:$Y$94,11,FALSE)/100/VLOOKUP($C$182,'DB animal categories'!$C$68:$AC$80,27,FALSE)*AJ186-AC186*VLOOKUP(D186,'DB technologies'!$N$82:$Y$94,11,FALSE)/100,0)))))</f>
        <v/>
      </c>
      <c r="AQ186" s="180" t="str">
        <f>IF(D186="","",IF(AI186=2,('Calc (ex-animal)'!$O$40*'Calc (ex-housing, ex-storage)'!F186/100+'Calc (ex-animal)'!$N$40*'Calc (ex-housing, ex-storage)'!F186/100)*AG186/100/VLOOKUP($C$182,'DB animal categories'!$C$68:$AC$80,27,FALSE)*AJ186+U186+V186+W186,IF(AI186=1,'Calc (ex-animal)'!$O$40*'Calc (ex-housing, ex-storage)'!F186/100*AG186/100/VLOOKUP($C$182,'DB animal categories'!$C$68:$AC$80,27,FALSE)*AJ186,IF(AI186=4,('Calc (ex-animal)'!$O$40+'Calc (ex-animal)'!$N$40)*'Calc (ex-housing, ex-storage)'!F186/100*AG186/100*VLOOKUP(D186,'DB technologies'!$N$82:$Y$94,11,FALSE)/100/VLOOKUP($C$182,'DB animal categories'!$C$68:$AC$80,27,FALSE)*AJ186,0))))</f>
        <v/>
      </c>
      <c r="AR186" s="180" t="str">
        <f>IF(D186="","",IF(AI186=2,('Calc (ex-animal)'!$R$40*'Calc (ex-housing, ex-storage)'!F186/100+'Calc (ex-animal)'!$Q$40*'Calc (ex-housing, ex-storage)'!F186/100)*AG186/100/VLOOKUP($C$182,'DB animal categories'!$C$68:$AC$80,27,FALSE)*AJ186+Y186+Z186+AA186,IF(AI186=1,'Calc (ex-animal)'!$R$40*'Calc (ex-housing, ex-storage)'!F186/100*AG186/100/VLOOKUP($C$182,'DB animal categories'!$C$68:$AC$80,27,FALSE)*AJ186,IF(AI186=4,('Calc (ex-animal)'!$R$40+'Calc (ex-animal)'!$Q$40)*'Calc (ex-housing, ex-storage)'!F186/100*AG186/100*VLOOKUP(D186,'DB technologies'!$N$82:$Y$94,11,FALSE)/100/VLOOKUP($C$182,'DB animal categories'!$C$68:$AC$80,27,FALSE)*AJ186,0))))</f>
        <v/>
      </c>
      <c r="AS186" s="179" t="str">
        <f>IF(D186="","",VLOOKUP(D186,'DB technologies'!$N$82:$Y$94,10,FALSE))</f>
        <v/>
      </c>
      <c r="AT186" s="453" t="str">
        <f t="shared" si="32"/>
        <v/>
      </c>
      <c r="AU186" s="453" t="str">
        <f>IF(D186="","",IF(AS186=2,0,IF(AS186=1,'Calc (ex-animal)'!$G$40*'DB additional information '!$K$12/100*AG186/100*(1-VLOOKUP(D186,'DB technologies'!$N$82:$Y$94,8,FALSE)/100)*'Calc (ex-housing, ex-storage)'!F186/100/VLOOKUP($C$182,'DB animal categories'!$C$68:$AC$80,27,FALSE)*AJ186+I186+J186+K186,IF(AS186=5,(('Calc (ex-animal)'!$G$40*'DB additional information '!$K$12/100+'Calc (ex-animal)'!$H$40*'DB additional information '!$L$12/100))*AG186/100*(1-VLOOKUP(D186,'DB technologies'!$N$82:$Y$94,9,FALSE)/100)*'Calc (ex-housing, ex-storage)'!F186/100/VLOOKUP($C$182,'DB animal categories'!$C$68:$AC$80,27,FALSE)*AJ186+I186+J186+K186,IF(AS186=3,('Calc (ex-animal)'!$G$40*'DB additional information '!$K$12/100+'Calc (ex-animal)'!$H$40*'DB additional information '!$L$12/100)*AG186/100*(1-VLOOKUP(D186,'DB technologies'!$N$82:$Y$94,9,FALSE)/100)*'Calc (ex-housing, ex-storage)'!F186/100/VLOOKUP($C$182,'DB animal categories'!$C$68:$AC$80,27,FALSE)*AJ186+I186+J186+K186,IF(AS186=4,('Calc (ex-animal)'!$G$40*'DB additional information '!$K$12/100+'Calc (ex-animal)'!$H$40*'DB additional information '!$L$12/100)*AG186/100*(1-VLOOKUP(D186,'DB technologies'!$N$82:$Y$94,9,FALSE)/100)*'Calc (ex-housing, ex-storage)'!F186/100*VLOOKUP(D186,'DB technologies'!$N$82:$Y$94,12,FALSE)/100/VLOOKUP($C$182,'DB animal categories'!$C$68:$AC$80,27,FALSE)*AJ186+I186+J186+K186,0))))))</f>
        <v/>
      </c>
      <c r="AV186" s="453" t="str">
        <f>IF(D186="","",IF(AS186=2,0,IF(AS186=1,'Calc (ex-animal)'!$G$40*(1-'DB additional information '!$K$12/100)*AG186/100*(1-VLOOKUP(D186,'DB technologies'!$N$82:$Y$94,8,FALSE)/100)*'Calc (ex-housing, ex-storage)'!F186/100/VLOOKUP($C$182,'DB animal categories'!$C$68:$AC$80,27,FALSE)*AJ186+M186+N186+O186,IF(AS186=5,('Calc (ex-animal)'!$G$40*(1-'DB additional information '!$K$12/100)+'Calc (ex-animal)'!$H$40*(1-'DB additional information '!$L$12/100))*AG186/100*(1-VLOOKUP(D186,'DB technologies'!$N$82:$Y$94,8,FALSE)/100)*'Calc (ex-housing, ex-storage)'!F186/100/VLOOKUP($C$182,'DB animal categories'!$C$68:$AC$80,27,FALSE)*AJ186+M186+N186+O186,IF(AS186=3,('Calc (ex-animal)'!$G$40*(1-'DB additional information '!$K$12/100)+'Calc (ex-animal)'!$H$40*(1-'DB additional information '!$L$12/100))*AG186/100*(1-VLOOKUP(D186,'DB technologies'!$N$82:$Y$94,8,FALSE)/100)*'Calc (ex-housing, ex-storage)'!F186/100/VLOOKUP($C$182,'DB animal categories'!$C$68:$AC$80,27,FALSE)*AJ186+M186+N186+O186,IF(AS186=4,('Calc (ex-animal)'!$G$40*(1-'DB additional information '!$K$12/100)+'Calc (ex-animal)'!$H$40*(1-'DB additional information '!$L$12/100))*AG186/100*(1-VLOOKUP(D186,'DB technologies'!$N$82:$Y$94,8,FALSE)/100)*'Calc (ex-housing, ex-storage)'!F186/100*VLOOKUP(D186,'DB technologies'!$N$82:$Y$94,12,FALSE)/100/VLOOKUP($C$182,'DB animal categories'!$C$68:$AC$80,27,FALSE)*AJ186+M186+N186+O186,0))))))</f>
        <v/>
      </c>
      <c r="AW186" s="453" t="str">
        <f t="shared" si="33"/>
        <v/>
      </c>
      <c r="AX186" s="180" t="str">
        <f>IF(D186="","",IF(AS186=2,0,IF(AS186=1,'Calc (ex-animal)'!$K$40*'Calc (ex-housing, ex-storage)'!F186/100*AG186/100/VLOOKUP($C$182,'DB animal categories'!$C$68:$AC$80,27,FALSE)*AJ186+Q186+R186+S186,IF(AS186=5,('Calc (ex-animal)'!$K$40+'Calc (ex-animal)'!$L$40)*AG186/100*'Calc (ex-housing, ex-storage)'!F186/100/VLOOKUP($C$182,'DB animal categories'!$C$68:$AC$80,27,FALSE)*AJ186+Q186+R186+S186-'Calc (ex-housing, ex-storage)'!AC186,IF(AS186=3,('Calc (ex-animal)'!$K$40+'Calc (ex-animal)'!$L$40)*AG186/100*'Calc (ex-housing, ex-storage)'!F186/100/VLOOKUP($C$182,'DB animal categories'!$C$68:$AC$80,27,FALSE)*AJ186+Q186+R186+S186-'Calc (ex-housing, ex-storage)'!AC186-AD186-AE186,IF(AI186=4,('Calc (ex-animal)'!$K$40+'Calc (ex-animal)'!$L$40)*AG186/100*'Calc (ex-housing, ex-storage)'!F186/100*VLOOKUP(D186,'DB technologies'!$N$82:$Y$94,12,FALSE)/100/VLOOKUP($C$182,'DB animal categories'!$C$68:$AC$80,27,FALSE)*AJ186+Q186+R186+S186-(VLOOKUP(D186,'DB technologies'!$N$82:$Y$94,12,FALSE)/100*AC186)-AD186-AE186,0))))))</f>
        <v/>
      </c>
      <c r="AY186" s="180" t="str">
        <f>IF(D186="","",IF(AS186=2,0,IF(AS186=1,'Calc (ex-animal)'!$N$40*AG186/100*'Calc (ex-housing, ex-storage)'!F186/100/VLOOKUP($C$182,'DB animal categories'!$C$68:$AC$80,27,FALSE)*AJ186+U186+V186+W186,IF(AS186=5,('Calc (ex-animal)'!$N$40+'Calc (ex-animal)'!$O$40)*AG186/100*'Calc (ex-housing, ex-storage)'!F186/100/VLOOKUP($C$182,'DB animal categories'!$C$68:$AC$80,27,FALSE)*AJ186+U186+V186+W186,IF(AS186=3,('Calc (ex-animal)'!$N$40+'Calc (ex-animal)'!$O$40)*AG186/100*'Calc (ex-housing, ex-storage)'!F186/100/VLOOKUP($C$182,'DB animal categories'!$C$68:$AC$80,27,FALSE)*AJ186+U186+V186+W186,IF(AS186=4,('Calc (ex-animal)'!$N$40+'Calc (ex-animal)'!$O$40)*AG186/100*'Calc (ex-housing, ex-storage)'!F186/100*VLOOKUP(D186,'DB technologies'!$N$82:$Y$94,12,FALSE)/100/VLOOKUP($C$182,'DB animal categories'!$C$68:$AC$80,27,FALSE)*AJ186+U186+V186+W186,0))))))</f>
        <v/>
      </c>
      <c r="AZ186" s="180" t="str">
        <f>IF(D186="","",IF(AS186=2,0,IF(AS186=1,'Calc (ex-animal)'!$Q$40*AG186/100*'Calc (ex-housing, ex-storage)'!F186/100/VLOOKUP($C$182,'DB animal categories'!$C$68:$AC$80,27,FALSE)*AJ186+Y186+Z186+AA186,IF(AS186=5,('Calc (ex-animal)'!$Q$40+'Calc (ex-animal)'!$R$40)*AG186/100*'Calc (ex-housing, ex-storage)'!F186/100/VLOOKUP($C$182,'DB animal categories'!$C$68:$AC$80,27,FALSE)*AJ186+Y186+Z186+AA186,IF(AS186=3,('Calc (ex-animal)'!$Q$40+'Calc (ex-animal)'!$R$40)*AG186/100*'Calc (ex-housing, ex-storage)'!F186/100/VLOOKUP($C$182,'DB animal categories'!$C$68:$AC$80,27,FALSE)*AJ186+Y186+Z186+AA186,IF(AS186=4,('Calc (ex-animal)'!$Q$40+'Calc (ex-animal)'!$R$40)*AG186/100*'Calc (ex-housing, ex-storage)'!F186/100*VLOOKUP(D186,'DB technologies'!$N$82:$Y$94,12,FALSE)/100/VLOOKUP($C$182,'DB animal categories'!$C$68:$AC$80,27,FALSE)*AJ186+Y186+Z186+AA186,0))))))</f>
        <v/>
      </c>
      <c r="BA186" s="506"/>
      <c r="BB186" s="506"/>
      <c r="BC186" s="506"/>
    </row>
    <row r="187" spans="1:55" x14ac:dyDescent="0.2">
      <c r="A187" s="684"/>
      <c r="B187" s="695"/>
      <c r="C187" s="251"/>
      <c r="D187" s="1367"/>
      <c r="E187" s="1373"/>
      <c r="F187" s="692" t="str">
        <f>IF('Calc (ex-animal)'!$F$9=1,"",IF($C$152=0,"",IF(D187="","",E187/'Calc (ex-animal)'!$E$32*100)))</f>
        <v/>
      </c>
      <c r="G187" s="539" t="str">
        <f>IF($C$182=0,"",IF('Calc (ex-animal)'!$F$38=1,"",IF(D187="","",SUM(H187:O187))))</f>
        <v/>
      </c>
      <c r="H187" s="532" t="str">
        <f>IF('Calc (ex-animal)'!$F$38=1,"",IF(D187="","",(((VLOOKUP($C$182,'Calc (ex-animal)'!$D$38:$Y$42,6,FALSE)-VLOOKUP($C$182,'Calc (ex-animal)'!$D$38:$Y$42,17,FALSE))*F186/100*AH186/100))*VLOOKUP($C$182,'Calc (ex-animal)'!$D$38:$Y$42,7,FALSE)/100*(1-VLOOKUP(D187,'DB technologies'!$N$96:$Y$107,9,FALSE)/100)))</f>
        <v/>
      </c>
      <c r="I187" s="532" t="str">
        <f>IF(D187="","",((VLOOKUP(D187,'DB technologies'!$N$96:$Y$107,2,FALSE)*VLOOKUP($C$182,'DB animal categories'!$C$68:$AC$80,27,FALSE)*F186/1000*AH186/100)/VLOOKUP($C$182,'DB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'!$S$6/100*(1-VLOOKUP(D187,'DB technologies'!$N$96:$Y$107,9,FALSE)/100)))</f>
        <v/>
      </c>
      <c r="J187" s="533" t="str">
        <f>IF(D187="","",((VLOOKUP(D187,'DB technologies'!$N$96:$Y$107,3,FALSE)*VLOOKUP($C$182,'DB animal categories'!$C$68:$AC$80,27,FALSE)*E186/1000*AH186/100)/VLOOKUP($C$182,'DB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'!$S$7/100*(1-VLOOKUP(D187,'DB technologies'!$N$96:$Y$107,9,FALSE)/100)))</f>
        <v/>
      </c>
      <c r="K187" s="534" t="str">
        <f>IF(D187="","",((VLOOKUP(D187,'DB technologies'!$N$96:$Y$107,4,FALSE)*E186*AH186/100*'DB additional information '!$S$8/100*(1-VLOOKUP(D187,'DB technologies'!$N$96:$Y$107,9,FALSE)/100))/VLOOKUP($C$182,'DB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7" s="532" t="str">
        <f>IF('Calc (ex-animal)'!$F$38=1,"",IF(D187="","",(((VLOOKUP($C$182,'Calc (ex-animal)'!$D$38:$Y$42,6,FALSE)-VLOOKUP($C$182,'Calc (ex-animal)'!$D$38:$Y$42,17,FALSE))*F186/100*AH186/100))*(1-VLOOKUP($C$182,'Calc (ex-animal)'!$D$38:$Y$42,7,FALSE)/100)*(1-VLOOKUP(D187,'DB technologies'!$N$96:$V$107,8,FALSE)/100)))</f>
        <v/>
      </c>
      <c r="M187" s="533" t="str">
        <f>IF(D187="","",((VLOOKUP(D187,'DB technologies'!$N$96:$Y$107,2,FALSE)*VLOOKUP($C$182,'DB animal categories'!$C$68:$AC$80,27,FALSE)*E186/1000*AH186/100)/VLOOKUP($C$182,'DB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'!$S$6/100)*(1-VLOOKUP(D187,'DB technologies'!$N$96:$Y$107,9,FALSE)/100))</f>
        <v/>
      </c>
      <c r="N187" s="533" t="str">
        <f>IF(D187="","",((VLOOKUP(D187,'DB technologies'!$N$96:$Y$107,3,FALSE)*VLOOKUP($C$182,'DB animal categories'!$C$68:$AC$80,27,FALSE)*E186/1000*AH186/100)/VLOOKUP($C$182,'DB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'!$S$7/100)*(1-VLOOKUP(D187,'DB technologies'!$N$96:$Y$107,9,FALSE)/100))</f>
        <v/>
      </c>
      <c r="O187" s="532" t="str">
        <f>IF(D187="","",((VLOOKUP(D187,'DB technologies'!$N$96:$Y$107,4,FALSE)*E186*AH186/100*(1-'DB additional information '!$S$8/100)*(1-VLOOKUP(D187,'DB technologies'!$N$96:$Y$107,8,FALSE)/100))/VLOOKUP($C$182,'DB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7" s="535" t="str">
        <f>IF(G187=0,0,IF(E186="","",IF(F186="","",IF($C$182=0,"",IF(D187="","",SUM(H187:K187)/G187*100)))))</f>
        <v/>
      </c>
      <c r="Q187" s="536" t="str">
        <f>IF(D187="","",(VLOOKUP(D187,'DB technologies'!$N$96:$Y$107,2,FALSE)*'DB additional information '!$S$6/100*'DB additional information '!$T$6*VLOOKUP($C$182,'DB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7" s="536" t="str">
        <f>IF(D187="","",(VLOOKUP(D187,'DB technologies'!$N$96:$Y$107,3,FALSE)*'DB additional information '!$S$7/100*'DB additional information '!$T$7*VLOOKUP($C$182,'DB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7" s="540" t="str">
        <f>IF(D187="","",(VLOOKUP(D187,'DB technologies'!$N$96:$Y$107,4,FALSE)*('DB additional information '!$S$8/100*'DB additional information '!$T$8*E186/1000/1000*AH186/100)))</f>
        <v/>
      </c>
      <c r="T187" s="303" t="str">
        <f>IF($C$182=0,"",IF('Calc (ex-animal)'!$F$38=1,"",IF(D187="","",((VLOOKUP($C$182,'Calc (ex-animal)'!$D$38:$Y$42,10,FALSE)-VLOOKUP($C$182,'Calc (ex-animal)'!$D$38:$Y$42,18,FALSE))*F186/100*AH186/100+Q187+R187+S187)-AC187-AD187-AE187)))</f>
        <v/>
      </c>
      <c r="U187" s="542" t="str">
        <f>IF(D187="","",(VLOOKUP(D187,'DB technologies'!$N$96:$Y$107,2,FALSE)*'DB additional information '!$S$6/100*'DB additional information '!$U$6*VLOOKUP($C$182,'DB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7" s="524" t="str">
        <f>IF(D187="","",(VLOOKUP(D187,'DB technologies'!$N$96:$Y$107,3,FALSE)*'DB additional information '!$S$7/100*'DB additional information '!$U$7*VLOOKUP($C$182,'DB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7" s="543" t="str">
        <f>IF(D187="","",(VLOOKUP(D187,'DB technologies'!$N$96:$Y$107,4,FALSE)*('DB additional information '!$S$8/100*'DB additional information '!$U$8*E186/1000/1000*AH186/100)))</f>
        <v/>
      </c>
      <c r="X187" s="304" t="str">
        <f>IF($C$182=0,"",IF('Calc (ex-animal)'!$F$38=1,"",IF(D187="","",((VLOOKUP($C$182,'Calc (ex-animal)'!$D$38:$Y$42,13,FALSE)-VLOOKUP($C$182,'Calc (ex-animal)'!$D$38:$Y$42,19,FALSE))*F186/100*AH186/100+U187+V187+W187))))</f>
        <v/>
      </c>
      <c r="Y187" s="524" t="str">
        <f>IF(D187="","",(VLOOKUP(D187,'DB technologies'!$N$96:$Y$107,2,FALSE)*'DB additional information '!$S$6/100*'DB additional information '!$V$6*VLOOKUP($C$182,'DB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7" s="524" t="str">
        <f>IF(D187="","",(VLOOKUP(D187,'DB technologies'!$N$96:$Y$107,3,FALSE)*'DB additional information '!$S$7/100*'DB additional information '!$V$7*VLOOKUP($C$182,'DB animal categories'!$C$68:$AC$80,27,FALSE)*E186/1000/1000*AH186/100)/VLOOKUP($C$182,'DB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7" s="524" t="str">
        <f>IF(D187="","",(VLOOKUP(D187,'DB technologies'!$N$96:$Y$107,4,FALSE)*('DB additional information '!$S$8/100*'DB additional information '!$V$8*E186/1000/1000*AH186/100)))</f>
        <v/>
      </c>
      <c r="AB187" s="304" t="str">
        <f>IF($C$182=0,"",IF('Calc (ex-animal)'!$F$38=1,"",IF(D187="","",((VLOOKUP($C$182,'Calc (ex-animal)'!$D$38:$Y$42,16,FALSE)-VLOOKUP($C$182,'Calc (ex-animal)'!$D$38:$Y$42,20,FALSE))*F186/100*AH186/100+Y187+Z187+AA187))))</f>
        <v/>
      </c>
      <c r="AC187" s="304" t="str">
        <f>IF($C$182=0,"",IF('Calc (ex-animal)'!$F$38=1,"",IF(D187="","",VLOOKUP($C$182,'Calc (ex-animal)'!$D$38:$Y$42,9,FALSE)*AH186/100/VLOOKUP($C$182,'DB animal categories'!$C$68:$AC$80,27,FALSE)*(VLOOKUP($C$182,'DB animal categories'!$C$68:$AC$80,27,FALSE)-VLOOKUP($C$182,'DB animal categories'!$C$68:$AC$80,25,FALSE)*VLOOKUP($C$182,'DB animal categories'!$C$68:$AC$80,26,FALSE)/24)*F186/100*VLOOKUP(D187,'DB technologies'!$N$96:$R$107,5,FALSE)/100)))</f>
        <v/>
      </c>
      <c r="AD187" s="304" t="str">
        <f>IF($C$182=0,"",IF('Calc (ex-animal)'!$F$38=1,"",IF(D187="","",VLOOKUP($C$182,'Calc (ex-animal)'!$D$38:$Y$42,10,FALSE)*AH186/100/VLOOKUP($C$182,'DB animal categories'!$C$68:$AC$80,27,FALSE)*(VLOOKUP($C$182,'DB animal categories'!$C$68:$AC$80,27,FALSE)-VLOOKUP($C$182,'DB animal categories'!$C$68:$AC$80,25,FALSE)*VLOOKUP($C$182,'DB animal categories'!$C$68:$AC$80,26,FALSE)/24)*F186/100*VLOOKUP(D187,'DB technologies'!$N$96:$Y$107,6,FALSE)/100)))</f>
        <v/>
      </c>
      <c r="AE187" s="305" t="str">
        <f>IF($C$182=0,"",IF('Calc (ex-animal)'!$F$38=1,"",IF(D187="","",VLOOKUP($C$182,'Calc (ex-animal)'!$D$38:$Y$42,10,FALSE)*AH186/100/VLOOKUP($C$182,'DB animal categories'!$C$68:$AC$80,27,FALSE)*(VLOOKUP($C$182,'DB animal categories'!$C$68:$AC$80,27,FALSE)-VLOOKUP($C$182,'DB animal categories'!$C$68:$AC$80,25,FALSE)*VLOOKUP($C$182,'DB animal categories'!$C$68:$AC$80,26,FALSE)/24)*F186/100*VLOOKUP(D187,'DB technologies'!$N$96:$Y$107,7,FALSE)/100)))</f>
        <v/>
      </c>
      <c r="AG187" s="1390"/>
      <c r="AH187" s="1380"/>
      <c r="AI187" s="187" t="str">
        <f>IF(D187="","",VLOOKUP(D187,'DB technologies'!$N$96:$Y$107,10,FALSE))</f>
        <v/>
      </c>
      <c r="AJ187" s="451" t="e">
        <f>VLOOKUP($C$182,'DB animal categories'!$C$68:$AN$80,27,FALSE)-VLOOKUP($C$182,'DB animal categories'!$C$68:$AN$80,26,FALSE)*VLOOKUP($C$182,'DB animal categories'!$C$68:$AN$80,25,FALSE)/24</f>
        <v>#N/A</v>
      </c>
      <c r="AK187" s="452" t="str">
        <f t="shared" si="30"/>
        <v/>
      </c>
      <c r="AL187" s="452" t="str">
        <f>IF(D187="","",IF(AI187=2,(('Calc (ex-animal)'!$G$40*'DB additional information '!$K$12/100*AH186/100*(1-VLOOKUP(D187,'DB technologies'!$N$96:$Y$107,9,FALSE)/100)*'Calc (ex-housing, ex-storage)'!F186/100+'Calc (ex-animal)'!$H$40*'DB additional information '!$L$12/100*AH186/100*(1-VLOOKUP(D187,'DB technologies'!$N$96:$Y$107,9,FALSE)/100)*'Calc (ex-housing, ex-storage)'!F186/100))/VLOOKUP($C$182,'DB animal categories'!$C$68:$AC$80,27,FALSE)*AJ187+I187+J187+K187,IF(AI187=1,('Calc (ex-animal)'!$H$40*AH186/100*'DB additional information '!$L$12/100*(1-VLOOKUP(D187,'DB technologies'!$N$96:$Y$107,9,FALSE)/100)*'Calc (ex-housing, ex-storage)'!F186/100)/VLOOKUP($C$182,'DB animal categories'!$C$68:$AC$80,27,FALSE)*AJ187,IF(AI187=4,('Calc (ex-animal)'!$G$40*'DB additional information '!$K$12/100+'Calc (ex-animal)'!$H$40*'DB additional information '!$L$12/100)*AH186/100*(1-VLOOKUP(D187,'DB technologies'!$N$96:$Y$107,9,FALSE)/100)*'Calc (ex-housing, ex-storage)'!F186/100*VLOOKUP(D187,'DB technologies'!$N$96:$Y$107,11,FALSE)/100/VLOOKUP($C$182,'DB animal categories'!$C$68:$AC$80,27,FALSE)*AJ187,0))))</f>
        <v/>
      </c>
      <c r="AM187" s="452" t="str">
        <f>IF(D187="","",IF(AI187=2,(('Calc (ex-animal)'!$G$40*(1-'DB additional information '!$K$12/100)*AH186/100*(1-VLOOKUP(D187,'DB technologies'!$N$96:$Y$107,8,FALSE)/100)*'Calc (ex-housing, ex-storage)'!F186/100+'Calc (ex-animal)'!$H$40*(1-'DB additional information '!$L$12/100)*AH186/100*(1-VLOOKUP(D187,'DB technologies'!$N$96:$Y$107,8,FALSE)/100)*'Calc (ex-housing, ex-storage)'!F186/100))/VLOOKUP($C$182,'DB animal categories'!$C$68:$AC$80,27,FALSE)*AJ187+M187+N187+O187,IF(AI187=1,('Calc (ex-animal)'!$H$40*(1-'DB additional information '!$L$12/100)*AH186/100*(1-VLOOKUP(D187,'DB technologies'!$N$96:$Y$107,8,FALSE)/100)*'Calc (ex-housing, ex-storage)'!F186/100)/VLOOKUP($C$182,'DB animal categories'!$C$68:$AC$80,27,FALSE)*AJ187,IF(AI187=4,('Calc (ex-animal)'!$G$40*(1-'DB additional information '!$K$12/100)+'Calc (ex-animal)'!$H$40*(1-'DB additional information '!$L$12/100))*AH186/100*(1-VLOOKUP(D187,'DB technologies'!$N$96:$Y$107,8,FALSE)/100)*'Calc (ex-housing, ex-storage)'!F186/100*VLOOKUP(D187,'DB technologies'!$N$96:$Y$107,11,FALSE)/100/VLOOKUP($C$182,'DB animal categories'!$C$68:$AC$80,27,FALSE)*AJ187,0))))</f>
        <v/>
      </c>
      <c r="AN187" s="452" t="str">
        <f t="shared" si="31"/>
        <v/>
      </c>
      <c r="AO187" s="184" t="str">
        <f>IF(D187="","",IF(AI187=2,(('Calc (ex-animal)'!$L$40*'Calc (ex-housing, ex-storage)'!F186/100+'Calc (ex-animal)'!$K$40*'Calc (ex-housing, ex-storage)'!F186/100))*AH186/100/VLOOKUP($C$182,'DB animal categories'!$C$68:$AC$80,27,FALSE)*AJ187+Q187+R187+S187-AC187,IF(AI187=1,('Calc (ex-animal)'!$L$40*'Calc (ex-housing, ex-storage)'!F186/100)*AH186/100/VLOOKUP($C$182,'DB animal categories'!$C$68:$AC$80,27,FALSE)*AJ187-'Calc (ex-housing, ex-storage)'!AC187,IF(AI187=4,('Calc (ex-animal)'!$L$40+'Calc (ex-animal)'!$K$40)*'Calc (ex-housing, ex-storage)'!F186/100*AH186/100*VLOOKUP(D187,'DB technologies'!$N$96:$Y$107,11,FALSE)/100/VLOOKUP($C$182,'DB animal categories'!$C$68:$AC$80,27,FALSE)*AJ187-AC187*VLOOKUP(D187,'DB technologies'!$N$96:$Y$107,11,FALSE)/100,0))))</f>
        <v/>
      </c>
      <c r="AP187" s="184" t="str">
        <f>IF(D187="","",IF(AO187&lt;-0.01,0,IF(AI187=2,(('Calc (ex-animal)'!$L$40*'Calc (ex-housing, ex-storage)'!F186/100+'Calc (ex-animal)'!$K$40*'Calc (ex-housing, ex-storage)'!F186/100))*AH186/100/VLOOKUP($C$182,'DB animal categories'!$C$68:$AC$80,27,FALSE)*AJ187+Q187+R187+S187-AC187,IF(AI187=1,('Calc (ex-animal)'!$L$40*'Calc (ex-housing, ex-storage)'!F186/100)*AH186/100/VLOOKUP($C$182,'DB animal categories'!$C$68:$AC$80,27,FALSE)*AJ187-'Calc (ex-housing, ex-storage)'!AC187,IF(AI187=4,('Calc (ex-animal)'!$L$40+'Calc (ex-animal)'!$K$40)*'Calc (ex-housing, ex-storage)'!F186/100*AH186/100*VLOOKUP(D187,'DB technologies'!$N$96:$Y$107,11,FALSE)/100/VLOOKUP($C$182,'DB animal categories'!$C$68:$AC$80,27,FALSE)*AJ187-AC187*VLOOKUP(D187,'DB technologies'!$N$96:$Y$107,11,FALSE)/100,0)))))</f>
        <v/>
      </c>
      <c r="AQ187" s="184" t="str">
        <f>IF(D187="","",IF(AI187=2,('Calc (ex-animal)'!$O$40*'Calc (ex-housing, ex-storage)'!F186/100+'Calc (ex-animal)'!$N$40*'Calc (ex-housing, ex-storage)'!F186/100)*AH186/100/VLOOKUP($C$182,'DB animal categories'!$C$68:$AC$80,27,FALSE)*AJ187+U187+V187+W187,IF(AI187=1,'Calc (ex-animal)'!$O$40*'Calc (ex-housing, ex-storage)'!F186/100*AH186/100/VLOOKUP($C$182,'DB animal categories'!$C$68:$AC$80,27,FALSE)*AJ187,IF(AI187=4,('Calc (ex-animal)'!$O$40+'Calc (ex-animal)'!$N$40)*'Calc (ex-housing, ex-storage)'!F186/100*AH186/100*VLOOKUP(D187,'DB technologies'!$N$96:$Y$107,11,FALSE)/100/VLOOKUP($C$182,'DB animal categories'!$C$68:$AC$80,27,FALSE)*AJ187,0))))</f>
        <v/>
      </c>
      <c r="AR187" s="184" t="str">
        <f>IF(D187="","",IF(AI187=2,('Calc (ex-animal)'!$R$40*'Calc (ex-housing, ex-storage)'!F186/100+'Calc (ex-animal)'!$Q$40*'Calc (ex-housing, ex-storage)'!F186/100)*AH186/100/VLOOKUP($C$182,'DB animal categories'!$C$68:$AC$80,27,FALSE)*AJ187+Y187+Z187+AA187,IF(AI187=1,'Calc (ex-animal)'!$R$40*'Calc (ex-housing, ex-storage)'!F186/100*AH186/100/VLOOKUP($C$182,'DB animal categories'!$C$68:$AC$80,27,FALSE)*AJ187,IF(AI187=4,('Calc (ex-animal)'!$R$40+'Calc (ex-animal)'!$Q$40)*'Calc (ex-housing, ex-storage)'!F186/100*AH186/100*VLOOKUP(D187,'DB technologies'!$N$96:$Y$107,11,FALSE)/100/VLOOKUP($C$182,'DB animal categories'!$C$68:$AC$80,27,FALSE)*AJ187,0))))</f>
        <v/>
      </c>
      <c r="AS187" s="183" t="str">
        <f>IF(D187="","",VLOOKUP(D187,'DB technologies'!$N$96:$Y$107,10,FALSE))</f>
        <v/>
      </c>
      <c r="AT187" s="452" t="str">
        <f t="shared" si="32"/>
        <v/>
      </c>
      <c r="AU187" s="452" t="str">
        <f>IF(D187="","",IF(AS187=2,0,IF(AS187=1,'Calc (ex-animal)'!$G$40*'DB additional information '!$K$12/100*AH186/100*(1-VLOOKUP(D187,'DB technologies'!$N$96:$Y$107,8,FALSE)/100)*'Calc (ex-housing, ex-storage)'!F186/100/VLOOKUP($C$182,'DB animal categories'!$C$68:$AC$80,27,FALSE)*AJ187+I187+J187+K187,IF(AS187=5,(('Calc (ex-animal)'!$G$40*'DB additional information '!$K$12/100+'Calc (ex-animal)'!$H$40*'DB additional information '!$L$12/100))*AH186/100*(1-VLOOKUP(D187,'DB technologies'!$N$96:$Y$107,9,FALSE)/100)*'Calc (ex-housing, ex-storage)'!F186/100/VLOOKUP($C$182,'DB animal categories'!$C$68:$AC$80,27,FALSE)*AJ187+I187+J187+K187,IF(AS187=3,('Calc (ex-animal)'!$G$40*'DB additional information '!$K$12/100+'Calc (ex-animal)'!$H$40*'DB additional information '!$L$12/100)*AH186/100*(1-VLOOKUP(D187,'DB technologies'!$N$96:$Y$107,9,FALSE)/100)*'Calc (ex-housing, ex-storage)'!F186/100/VLOOKUP($C$182,'DB animal categories'!$C$68:$AC$80,27,FALSE)*AJ187+I187+J187+K187,IF(AS187=4,('Calc (ex-animal)'!$G$40*'DB additional information '!$K$12/100+'Calc (ex-animal)'!$H$40*'DB additional information '!$L$12/100)*AH186/100*(1-VLOOKUP(D187,'DB technologies'!$N$96:$Y$107,9,FALSE)/100)*'Calc (ex-housing, ex-storage)'!F186/100*VLOOKUP(D187,'DB technologies'!$N$96:$Y$107,12,FALSE)/100/VLOOKUP($C$182,'DB animal categories'!$C$68:$AC$80,27,FALSE)*AJ187+I187+J187+K187,0))))))</f>
        <v/>
      </c>
      <c r="AV187" s="452" t="str">
        <f>IF(D187="","",IF(AS187=2,0,IF(AS187=1,'Calc (ex-animal)'!$G$40*(1-'DB additional information '!$K$12/100)*AH186/100*(1-VLOOKUP(D187,'DB technologies'!$N$96:$Y$107,8,FALSE)/100)*'Calc (ex-housing, ex-storage)'!F186/100/VLOOKUP($C$182,'DB animal categories'!$C$68:$AC$80,27,FALSE)*AJ187+M187+N187+O187,IF(AS187=5,('Calc (ex-animal)'!$G$40*(1-'DB additional information '!$K$12/100)+'Calc (ex-animal)'!$H$40*(1-'DB additional information '!$L$12/100))*AH186/100*(1-VLOOKUP(D187,'DB technologies'!$N$96:$Y$107,8,FALSE)/100)*'Calc (ex-housing, ex-storage)'!F186/100/VLOOKUP($C$182,'DB animal categories'!$C$68:$AC$80,27,FALSE)*AJ187+M187+N187+O187,IF(AS187=3,('Calc (ex-animal)'!$G$40*(1-'DB additional information '!$K$12/100)+'Calc (ex-animal)'!$H$40*(1-'DB additional information '!$L$12/100))*AH186/100*(1-VLOOKUP(D187,'DB technologies'!$N$96:$Y$107,8,FALSE)/100)*'Calc (ex-housing, ex-storage)'!F186/100/VLOOKUP($C$182,'DB animal categories'!$C$68:$AC$80,27,FALSE)*AJ187+M187+N187+O187,IF(AS187=4,('Calc (ex-animal)'!$G$40*(1-'DB additional information '!$K$12/100)+'Calc (ex-animal)'!$H$40*(1-'DB additional information '!$L$12/100))*AH186/100*(1-VLOOKUP(D187,'DB technologies'!$N$96:$Y$107,8,FALSE)/100)*'Calc (ex-housing, ex-storage)'!F186/100*VLOOKUP(D187,'DB technologies'!$N$96:$Y$107,12,FALSE)/100/VLOOKUP($C$182,'DB animal categories'!$C$68:$AC$80,27,FALSE)*AJ187+M187+N187+O187,0))))))</f>
        <v/>
      </c>
      <c r="AW187" s="452" t="str">
        <f t="shared" si="33"/>
        <v/>
      </c>
      <c r="AX187" s="184" t="str">
        <f>IF(D187="","",IF(AS187=2,0,IF(AS187=1,'Calc (ex-animal)'!$K$40*'Calc (ex-housing, ex-storage)'!F186/100*AH186/100/VLOOKUP($C$182,'DB animal categories'!$C$68:$AC$80,27,FALSE)*AJ187+Q187+R187+S187,IF(AS187=5,('Calc (ex-animal)'!$K$40+'Calc (ex-animal)'!$L$40)*AH186/100*'Calc (ex-housing, ex-storage)'!F186/100/VLOOKUP($C$182,'DB animal categories'!$C$68:$AC$80,27,FALSE)*AJ187+Q187+R187+S187-'Calc (ex-housing, ex-storage)'!AC187,IF(AS187=3,('Calc (ex-animal)'!$K$40+'Calc (ex-animal)'!$L$40)*AH186/100*'Calc (ex-housing, ex-storage)'!F186/100/VLOOKUP($C$182,'DB animal categories'!$C$68:$AC$80,27,FALSE)*AJ187+Q187+R187+S187-'Calc (ex-housing, ex-storage)'!AC187-AD187-AE187,IF(AI187=4,('Calc (ex-animal)'!$K$40+'Calc (ex-animal)'!$L$40)*AH186/100*'Calc (ex-housing, ex-storage)'!F186/100*VLOOKUP(D187,'DB technologies'!$N$96:$Y$107,12,FALSE)/100/VLOOKUP($C$182,'DB animal categories'!$C$68:$AC$80,27,FALSE)*AJ187+Q187+R187+S187-(VLOOKUP(D187,'DB technologies'!$N$96:$Y$107,12,FALSE)/100*AC187)-AD187-AE187,0))))))</f>
        <v/>
      </c>
      <c r="AY187" s="184" t="str">
        <f>IF(D187="","",IF(AS187=2,0,IF(AS187=1,'Calc (ex-animal)'!$N$40*AH186/100*'Calc (ex-housing, ex-storage)'!F186/100/VLOOKUP($C$182,'DB animal categories'!$C$68:$AC$80,27,FALSE)*AJ187+U187+V187+W187,IF(AS187=5,('Calc (ex-animal)'!$N$40+'Calc (ex-animal)'!$O$40)*AH186/100*'Calc (ex-housing, ex-storage)'!F186/100/VLOOKUP($C$182,'DB animal categories'!$C$68:$AC$80,27,FALSE)*AJ187+U187+V187+W187,IF(AS187=3,('Calc (ex-animal)'!$N$40+'Calc (ex-animal)'!$O$40)*AH186/100*'Calc (ex-housing, ex-storage)'!F186/100/VLOOKUP($C$182,'DB animal categories'!$C$68:$AC$80,27,FALSE)*AJ187+U187+V187+W187,IF(AS187=4,('Calc (ex-animal)'!$N$40+'Calc (ex-animal)'!$O$40)*AH186/100*'Calc (ex-housing, ex-storage)'!F186/100*VLOOKUP(D187,'DB technologies'!$N$96:$Y$107,12,FALSE)/100/VLOOKUP($C$182,'DB animal categories'!$C$68:$AC$80,27,FALSE)*AJ187+U187+V187+W187,0))))))</f>
        <v/>
      </c>
      <c r="AZ187" s="184" t="str">
        <f>IF(D187="","",IF(AS187=2,0,IF(AS187=1,'Calc (ex-animal)'!$Q$40*AH186/100*'Calc (ex-housing, ex-storage)'!F186/100/VLOOKUP($C$182,'DB animal categories'!$C$68:$AC$80,27,FALSE)*AJ187+Y187+Z187+AA187,IF(AS187=5,('Calc (ex-animal)'!$Q$40+'Calc (ex-animal)'!$R$40)*AH186/100*'Calc (ex-housing, ex-storage)'!F186/100/VLOOKUP($C$182,'DB animal categories'!$C$68:$AC$80,27,FALSE)*AJ187+Y187+Z187+AA187,IF(AS187=3,('Calc (ex-animal)'!$Q$40+'Calc (ex-animal)'!$R$40)*AH186/100*'Calc (ex-housing, ex-storage)'!F186/100/VLOOKUP($C$182,'DB animal categories'!$C$68:$AC$80,27,FALSE)*AJ187+Y187+Z187+AA187,IF(AS187=4,('Calc (ex-animal)'!$Q$40+'Calc (ex-animal)'!$R$40)*AH186/100*'Calc (ex-housing, ex-storage)'!F186/100*VLOOKUP(D187,'DB technologies'!$N$96:$Y$107,12,FALSE)/100/VLOOKUP($C$182,'DB animal categories'!$C$68:$AC$80,27,FALSE)*AJ187+Y187+Z187+AA187,0))))))</f>
        <v/>
      </c>
      <c r="BA187" s="506"/>
      <c r="BB187" s="506"/>
      <c r="BC187" s="506"/>
    </row>
    <row r="188" spans="1:55" x14ac:dyDescent="0.2">
      <c r="A188" s="684"/>
      <c r="B188" s="695"/>
      <c r="C188" s="251"/>
      <c r="D188" s="1357"/>
      <c r="E188" s="1374"/>
      <c r="F188" s="692" t="str">
        <f>IF('Calc (ex-animal)'!$F$38=1,"",IF($C$182=0,"",IF(D188="","",E188/'Calc (ex-animal)'!$E$40*100)))</f>
        <v/>
      </c>
      <c r="G188" s="537" t="str">
        <f>IF($C$182=0,"",IF('Calc (ex-animal)'!$F$38=1,"",IF(D188="","",SUM(H188:O188))))</f>
        <v/>
      </c>
      <c r="H188" s="527" t="str">
        <f>IF('Calc (ex-animal)'!$F$38=1,"",IF(D188="","",(((VLOOKUP($C$182,'Calc (ex-animal)'!$D$38:$Y$42,6,FALSE)-VLOOKUP($C$182,'Calc (ex-animal)'!$D$38:$Y$42,17,FALSE))*F188/100*AG188/100))*VLOOKUP($C$182,'Calc (ex-animal)'!$D$38:$Y$42,7,FALSE)/100*(1-VLOOKUP(D188,'DB technologies'!$N$83:$Y$94,9,FALSE)/100)))</f>
        <v/>
      </c>
      <c r="I188" s="527" t="str">
        <f>IF(D188="","",((VLOOKUP(D188,'DB technologies'!$N$83:$Y$94,2,FALSE)*VLOOKUP($C$182,'DB animal categories'!$C$68:$AC$80,27,FALSE)*E188/1000*AG188/100)/VLOOKUP($C$182,'DB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'!$S$6/100*(1-VLOOKUP(D188,'DB technologies'!$N$83:$Y$94,9,FALSE)/100)))</f>
        <v/>
      </c>
      <c r="J188" s="528" t="str">
        <f>IF(D188="","",((VLOOKUP(D188,'DB technologies'!$N$83:$Y$94,3,FALSE)*VLOOKUP($C$182,'DB animal categories'!$C$68:$AC$80,27,FALSE)*E188/1000*AG188/100)/VLOOKUP($C$182,'DB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'!$S$7/100*(1-VLOOKUP(D188,'DB technologies'!$N$83:$Y$94,9,FALSE)/100)))</f>
        <v/>
      </c>
      <c r="K188" s="529" t="str">
        <f>IF(D188="","",((VLOOKUP(D188,'DB technologies'!$N$83:$Y$94,4,FALSE)*E188*AG188/100*'DB additional information '!$S$8/100*(1-VLOOKUP(D188,'DB technologies'!$N$83:$Y$94,9,FALSE)/100))/VLOOKUP($C$182,'DB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8" s="527" t="str">
        <f>IF('Calc (ex-animal)'!$F$38=1,"",IF(D188="","",(((VLOOKUP($C$182,'Calc (ex-animal)'!$D$38:$Y$42,6,FALSE)-VLOOKUP($C$182,'Calc (ex-animal)'!$D$38:$Y$42,17,FALSE))*F188/100*AG188/100))*(1-VLOOKUP($C$182,'Calc (ex-animal)'!$D$38:$Y$42,7,FALSE)/100)*(1-VLOOKUP(D188,'DB technologies'!$N$83:$V$94,8,FALSE)/100)))</f>
        <v/>
      </c>
      <c r="M188" s="528" t="str">
        <f>IF(D188="","",((VLOOKUP(D188,'DB technologies'!$N$83:$Y$94,2,FALSE)*VLOOKUP($C$182,'DB animal categories'!$C$68:$AC$80,27,FALSE)*E188/1000*AG188/100)/VLOOKUP($C$182,'DB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'!$S$6/100)*(1-VLOOKUP(D188,'DB technologies'!$N$83:$Y$94,9,FALSE)/100))</f>
        <v/>
      </c>
      <c r="N188" s="528" t="str">
        <f>IF(D188="","",((VLOOKUP(D188,'DB technologies'!$N$83:$Y$94,3,FALSE)*VLOOKUP($C$182,'DB animal categories'!$C$68:$AC$80,27,FALSE)*E188/1000*AG188/100)/VLOOKUP($C$182,'DB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'!$S$7/100)*(1-VLOOKUP(D188,'DB technologies'!$N$83:$Y$94,9,FALSE)/100))</f>
        <v/>
      </c>
      <c r="O188" s="527" t="str">
        <f>IF(D188="","",((VLOOKUP(D188,'DB technologies'!$N$83:$Y$94,4,FALSE)*E188*AG188/100*(1-'DB additional information '!$S$8/100)*(1-VLOOKUP(D188,'DB technologies'!$N$83:$Y$94,8,FALSE)/100))/VLOOKUP($C$182,'DB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8" s="530" t="str">
        <f>IF(G188=0,0,IF(E188="","",IF(F188="","",IF($C$182=0,"",IF(D188="","",SUM(H188:K188)/G188*100)))))</f>
        <v/>
      </c>
      <c r="Q188" s="531" t="str">
        <f>IF(D188="","",(VLOOKUP(D188,'DB technologies'!$N$83:$Y$94,2,FALSE)*'DB additional information '!$S$6/100*'DB additional information '!$T$6*VLOOKUP($C$182,'DB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8" s="531" t="str">
        <f>IF(D188="","",(VLOOKUP(D188,'DB technologies'!$N$83:$Y$94,3,FALSE)*'DB additional information '!$S$7/100*'DB additional information '!$T$7*VLOOKUP($C$182,'DB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8" s="538" t="str">
        <f>IF(D188="","",(VLOOKUP(D188,'DB technologies'!$N$83:$Y$94,4,FALSE)*('DB additional information '!$S$8/100*'DB additional information '!$T$8*E188/1000/1000*AG188/100)))</f>
        <v/>
      </c>
      <c r="T188" s="300" t="str">
        <f>IF($C$182=0,"",IF('Calc (ex-animal)'!$F$38=1,"",IF(D188="","",((VLOOKUP($C$182,'Calc (ex-animal)'!$D$38:$Y$42,10,FALSE)-VLOOKUP($C$182,'Calc (ex-animal)'!$D$38:$Y$42,18,FALSE))*F188/100*AG188/100+Q188+R188+S188)-AC188-AD188-AE188)))</f>
        <v/>
      </c>
      <c r="U188" s="544" t="str">
        <f>IF(D188="","",(VLOOKUP(D188,'DB technologies'!$N$83:$Y$94,2,FALSE)*'DB additional information '!$S$6/100*'DB additional information '!$U$6*VLOOKUP($C$182,'DB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8" s="523" t="str">
        <f>IF(D188="","",(VLOOKUP(D188,'DB technologies'!$N$83:$Y$94,3,FALSE)*'DB additional information '!$S$7/100*'DB additional information '!$U$7*VLOOKUP($C$182,'DB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8" s="545" t="str">
        <f>IF(D188="","",(VLOOKUP(D188,'DB technologies'!$N$83:$Y$94,4,FALSE)*('DB additional information '!$S$8/100*'DB additional information '!$U$8*E188/1000/1000*AG188/100)))</f>
        <v/>
      </c>
      <c r="X188" s="301" t="str">
        <f>IF($C$182=0,"",IF('Calc (ex-animal)'!$F$38=1,"",IF(D188="","",((VLOOKUP($C$182,'Calc (ex-animal)'!$D$38:$Y$42,13,FALSE)-VLOOKUP($C$182,'Calc (ex-animal)'!$D$38:$Y$42,19,FALSE))*F188/100*AG188/100+U188+V188+W188))))</f>
        <v/>
      </c>
      <c r="Y188" s="523" t="str">
        <f>IF(D188="","",(VLOOKUP(D188,'DB technologies'!$N$83:$Y$94,2,FALSE)*'DB additional information '!$S$6/100*'DB additional information '!$V$6*VLOOKUP($C$182,'DB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8" s="523" t="str">
        <f>IF(D188="","",(VLOOKUP(D188,'DB technologies'!$N$83:$Y$94,3,FALSE)*'DB additional information '!$S$7/100*'DB additional information '!$V$7*VLOOKUP($C$182,'DB animal categories'!$C$68:$AC$80,27,FALSE)*E188/1000/1000*AG188/100)/VLOOKUP($C$182,'DB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8" s="523" t="str">
        <f>IF(D188="","",(VLOOKUP(D188,'DB technologies'!$N$83:$Y$94,4,FALSE)*('DB additional information '!$S$8/100*'DB additional information '!$V$8*E188/1000/1000*AG188/100)))</f>
        <v/>
      </c>
      <c r="AB188" s="301" t="str">
        <f>IF($C$182=0,"",IF('Calc (ex-animal)'!$F$38=1,"",IF(D188="","",((VLOOKUP($C$182,'Calc (ex-animal)'!$D$38:$Y$42,16,FALSE)-VLOOKUP($C$182,'Calc (ex-animal)'!$D$38:$Y$42,20,FALSE))*F188/100*AG188/100+Y188+Z188+AA188))))</f>
        <v/>
      </c>
      <c r="AC188" s="301" t="str">
        <f>IF($C$182=0,"",IF('Calc (ex-animal)'!$F$38=1,"",IF(D188="","",VLOOKUP($C$182,'Calc (ex-animal)'!$D$38:$Y$42,9,FALSE)*AG188/100/VLOOKUP($C$182,'DB animal categories'!$C$68:$AC$80,27,FALSE)*(VLOOKUP($C$182,'DB animal categories'!$C$68:$AC$80,27,FALSE)-VLOOKUP($C$182,'DB animal categories'!$C$68:$AC$80,25,FALSE)*VLOOKUP($C$182,'DB animal categories'!$C$68:$AC$80,26,FALSE)/24)*F188/100*VLOOKUP(D188,'DB technologies'!$N$83:$R$94,5,FALSE)/100)))</f>
        <v/>
      </c>
      <c r="AD188" s="301" t="str">
        <f>IF($C$182=0,"",IF('Calc (ex-animal)'!$F$38=1,"",IF(D188="","",VLOOKUP($C$182,'Calc (ex-animal)'!$D$38:$Y$42,10,FALSE)*AG188/100/VLOOKUP($C$182,'DB animal categories'!$C$68:$AC$80,27,FALSE)*(VLOOKUP($C$182,'DB animal categories'!$C$68:$AC$80,27,FALSE)-VLOOKUP($C$182,'DB animal categories'!$C$68:$AC$80,25,FALSE)*VLOOKUP($C$182,'DB animal categories'!$C$68:$AC$80,26,FALSE)/24)*F188/100*VLOOKUP(D188,'DB technologies'!$N$83:$Y$94,6,FALSE)/100)))</f>
        <v/>
      </c>
      <c r="AE188" s="302" t="str">
        <f>IF($C$182=0,"",IF('Calc (ex-animal)'!$F$38=1,"",IF(D188="","",VLOOKUP($C$182,'Calc (ex-animal)'!$D$38:$Y$42,10,FALSE)*AG188/100/VLOOKUP($C$182,'DB animal categories'!$C$68:$AC$80,27,FALSE)*(VLOOKUP($C$182,'DB animal categories'!$C$68:$AC$80,27,FALSE)-VLOOKUP($C$182,'DB animal categories'!$C$68:$AC$80,25,FALSE)*VLOOKUP($C$182,'DB animal categories'!$C$68:$AC$80,26,FALSE)/24)*F188/100*VLOOKUP(D188,'DB technologies'!$N$83:$Y$94,7,FALSE)/100)))</f>
        <v/>
      </c>
      <c r="AG188" s="1389"/>
      <c r="AH188" s="1382"/>
      <c r="AI188" s="185" t="str">
        <f>IF(D188="","",VLOOKUP(D188,'DB technologies'!$N$82:$Y$94,10,FALSE))</f>
        <v/>
      </c>
      <c r="AJ188" s="482" t="e">
        <f>VLOOKUP($C$182,'DB animal categories'!$C$68:$AN$80,27,FALSE)-VLOOKUP($C$182,'DB animal categories'!$C$68:$AN$80,26,FALSE)*VLOOKUP($C$182,'DB animal categories'!$C$68:$AN$80,25,FALSE)/24</f>
        <v>#N/A</v>
      </c>
      <c r="AK188" s="453" t="str">
        <f t="shared" si="30"/>
        <v/>
      </c>
      <c r="AL188" s="453" t="str">
        <f>IF(D188="","",IF(AI188=2,(('Calc (ex-animal)'!$G$40*'DB additional information '!$K$12/100*AG188/100*(1-VLOOKUP(D188,'DB technologies'!$N$82:$Y$94,9,FALSE)/100)*'Calc (ex-housing, ex-storage)'!F188/100+'Calc (ex-animal)'!$H$40*'DB additional information '!$L$12/100*AG188/100*(1-VLOOKUP(D188,'DB technologies'!$N$82:$Y$94,9,FALSE)/100)*'Calc (ex-housing, ex-storage)'!F188/100))/VLOOKUP($C$182,'DB animal categories'!$C$68:$AC$80,27,FALSE)*AJ188+I188+J188+K188,IF(AI188=1,('Calc (ex-animal)'!$H$40*AG188/100*'DB additional information '!$L$12/100*(1-VLOOKUP(D188,'DB technologies'!$N$82:$Y$94,9,FALSE)/100)*'Calc (ex-housing, ex-storage)'!F188/100)/VLOOKUP($C$182,'DB animal categories'!$C$68:$AC$80,27,FALSE)*AJ188,IF(AI188=4,('Calc (ex-animal)'!$G$40*'DB additional information '!$K$12/100+'Calc (ex-animal)'!$H$40*'DB additional information '!$L$12/100)*AG188/100*(1-VLOOKUP(D188,'DB technologies'!$N$82:$Y$94,9,FALSE)/100)*'Calc (ex-housing, ex-storage)'!F188/100*VLOOKUP(D188,'DB technologies'!$N$82:$Y$94,11,FALSE)/100/VLOOKUP($C$182,'DB animal categories'!$C$68:$AC$80,27,FALSE)*AJ188,0))))</f>
        <v/>
      </c>
      <c r="AM188" s="453" t="str">
        <f>IF(D188="","",IF(AI188=2,(('Calc (ex-animal)'!$G$40*(1-'DB additional information '!$K$12/100)*AG188/100*(1-VLOOKUP(D188,'DB technologies'!$N$82:$Y$94,8,FALSE)/100)*'Calc (ex-housing, ex-storage)'!F188/100+'Calc (ex-animal)'!$H$40*(1-'DB additional information '!$L$12/100)*AG188/100*(1-VLOOKUP(D188,'DB technologies'!$N$82:$Y$94,8,FALSE)/100)*'Calc (ex-housing, ex-storage)'!F188/100))/VLOOKUP($C$182,'DB animal categories'!$C$68:$AC$80,27,FALSE)*AJ188+M188+N188+O188,IF(AI188=1,('Calc (ex-animal)'!$H$40*(1-'DB additional information '!$L$12/100)*AG188/100*(1-VLOOKUP(D188,'DB technologies'!$N$82:$Y$94,8,FALSE)/100)*'Calc (ex-housing, ex-storage)'!F188/100)/VLOOKUP($C$182,'DB animal categories'!$C$68:$AC$80,27,FALSE)*AJ188,IF(AI188=4,('Calc (ex-animal)'!$G$40*(1-'DB additional information '!$K$12/100)+'Calc (ex-animal)'!$H$40*(1-'DB additional information '!$L$12/100))*AG188/100*(1-VLOOKUP(D188,'DB technologies'!$N$82:$Y$94,8,FALSE)/100)*'Calc (ex-housing, ex-storage)'!F188/100*VLOOKUP(D188,'DB technologies'!$N$82:$Y$94,11,FALSE)/100/VLOOKUP($C$182,'DB animal categories'!$C$68:$AC$80,27,FALSE)*AJ188,0))))</f>
        <v/>
      </c>
      <c r="AN188" s="453" t="str">
        <f t="shared" si="31"/>
        <v/>
      </c>
      <c r="AO188" s="180" t="str">
        <f>IF(D188="","",IF(AI188=2,(('Calc (ex-animal)'!$L$40*'Calc (ex-housing, ex-storage)'!F188/100+'Calc (ex-animal)'!$K$40*'Calc (ex-housing, ex-storage)'!F188/100))*AG188/100/VLOOKUP($C$182,'DB animal categories'!$C$68:$AC$80,27,FALSE)*AJ188+Q188+R188+S188-AC188,IF(AI188=1,('Calc (ex-animal)'!$L$40*'Calc (ex-housing, ex-storage)'!F188/100)*AG188/100/VLOOKUP($C$182,'DB animal categories'!$C$68:$AC$80,27,FALSE)*AJ188-'Calc (ex-housing, ex-storage)'!AC188,IF(AI188=4,('Calc (ex-animal)'!$L$40+'Calc (ex-animal)'!$K$40)*'Calc (ex-housing, ex-storage)'!F188/100*AG188/100*VLOOKUP(D188,'DB technologies'!$N$82:$Y$94,11,FALSE)/100/VLOOKUP($C$182,'DB animal categories'!$C$68:$AC$80,27,FALSE)*AJ188-AC188*VLOOKUP(D188,'DB technologies'!$N$82:$Y$94,11,FALSE)/100,0))))</f>
        <v/>
      </c>
      <c r="AP188" s="180" t="str">
        <f>IF(D188="","",IF(AO188&lt;-0.01,0,IF(AI188=2,(('Calc (ex-animal)'!$L$40*'Calc (ex-housing, ex-storage)'!F188/100+'Calc (ex-animal)'!$K$40*'Calc (ex-housing, ex-storage)'!F188/100))*AG188/100/VLOOKUP($C$182,'DB animal categories'!$C$68:$AC$80,27,FALSE)*AJ188+Q188+R188+S188-AC188,IF(AI188=1,('Calc (ex-animal)'!$L$40*'Calc (ex-housing, ex-storage)'!F188/100)*AG188/100/VLOOKUP($C$182,'DB animal categories'!$C$68:$AC$80,27,FALSE)*AJ188-'Calc (ex-housing, ex-storage)'!AC188,IF(AI188=4,('Calc (ex-animal)'!$L$40+'Calc (ex-animal)'!$K$40)*'Calc (ex-housing, ex-storage)'!F188/100*AG188/100*VLOOKUP(D188,'DB technologies'!$N$82:$Y$94,11,FALSE)/100/VLOOKUP($C$182,'DB animal categories'!$C$68:$AC$80,27,FALSE)*AJ188-AC188*VLOOKUP(D188,'DB technologies'!$N$82:$Y$94,11,FALSE)/100,0)))))</f>
        <v/>
      </c>
      <c r="AQ188" s="180" t="str">
        <f>IF(D188="","",IF(AI188=2,('Calc (ex-animal)'!$O$40*'Calc (ex-housing, ex-storage)'!F188/100+'Calc (ex-animal)'!$N$40*'Calc (ex-housing, ex-storage)'!F188/100)*AG188/100/VLOOKUP($C$182,'DB animal categories'!$C$68:$AC$80,27,FALSE)*AJ188+U188+V188+W188,IF(AI188=1,'Calc (ex-animal)'!$O$40*'Calc (ex-housing, ex-storage)'!F188/100*AG188/100/VLOOKUP($C$182,'DB animal categories'!$C$68:$AC$80,27,FALSE)*AJ188,IF(AI188=4,('Calc (ex-animal)'!$O$40+'Calc (ex-animal)'!$N$40)*'Calc (ex-housing, ex-storage)'!F188/100*AG188/100*VLOOKUP(D188,'DB technologies'!$N$82:$Y$94,11,FALSE)/100/VLOOKUP($C$182,'DB animal categories'!$C$68:$AC$80,27,FALSE)*AJ188,0))))</f>
        <v/>
      </c>
      <c r="AR188" s="180" t="str">
        <f>IF(D188="","",IF(AI188=2,('Calc (ex-animal)'!$R$40*'Calc (ex-housing, ex-storage)'!F188/100+'Calc (ex-animal)'!$Q$40*'Calc (ex-housing, ex-storage)'!F188/100)*AG188/100/VLOOKUP($C$182,'DB animal categories'!$C$68:$AC$80,27,FALSE)*AJ188+Y188+Z188+AA188,IF(AI188=1,'Calc (ex-animal)'!$R$40*'Calc (ex-housing, ex-storage)'!F188/100*AG188/100/VLOOKUP($C$182,'DB animal categories'!$C$68:$AC$80,27,FALSE)*AJ188,IF(AI188=4,('Calc (ex-animal)'!$R$40+'Calc (ex-animal)'!$Q$40)*'Calc (ex-housing, ex-storage)'!F188/100*AG188/100*VLOOKUP(D188,'DB technologies'!$N$82:$Y$94,11,FALSE)/100/VLOOKUP($C$182,'DB animal categories'!$C$68:$AC$80,27,FALSE)*AJ188,0))))</f>
        <v/>
      </c>
      <c r="AS188" s="179" t="str">
        <f>IF(D188="","",VLOOKUP(D188,'DB technologies'!$N$82:$Y$94,10,FALSE))</f>
        <v/>
      </c>
      <c r="AT188" s="453" t="str">
        <f t="shared" si="32"/>
        <v/>
      </c>
      <c r="AU188" s="453" t="str">
        <f>IF(D188="","",IF(AS188=2,0,IF(AS188=1,'Calc (ex-animal)'!$G$40*'DB additional information '!$K$12/100*AG188/100*(1-VLOOKUP(D188,'DB technologies'!$N$82:$Y$94,8,FALSE)/100)*'Calc (ex-housing, ex-storage)'!F188/100/VLOOKUP($C$182,'DB animal categories'!$C$68:$AC$80,27,FALSE)*AJ188+I188+J188+K188,IF(AS188=5,(('Calc (ex-animal)'!$G$40*'DB additional information '!$K$12/100+'Calc (ex-animal)'!$H$40*'DB additional information '!$L$12/100))*AG188/100*(1-VLOOKUP(D188,'DB technologies'!$N$82:$Y$94,9,FALSE)/100)*'Calc (ex-housing, ex-storage)'!F188/100/VLOOKUP($C$182,'DB animal categories'!$C$68:$AC$80,27,FALSE)*AJ188+I188+J188+K188,IF(AS188=3,('Calc (ex-animal)'!$G$40*'DB additional information '!$K$12/100+'Calc (ex-animal)'!$H$40*'DB additional information '!$L$12/100)*AG188/100*(1-VLOOKUP(D188,'DB technologies'!$N$82:$Y$94,9,FALSE)/100)*'Calc (ex-housing, ex-storage)'!F188/100/VLOOKUP($C$182,'DB animal categories'!$C$68:$AC$80,27,FALSE)*AJ188+I188+J188+K188,IF(AS188=4,('Calc (ex-animal)'!$G$40*'DB additional information '!$K$12/100+'Calc (ex-animal)'!$H$40*'DB additional information '!$L$12/100)*AG188/100*(1-VLOOKUP(D188,'DB technologies'!$N$82:$Y$94,9,FALSE)/100)*'Calc (ex-housing, ex-storage)'!F188/100*VLOOKUP(D188,'DB technologies'!$N$82:$Y$94,12,FALSE)/100/VLOOKUP($C$182,'DB animal categories'!$C$68:$AC$80,27,FALSE)*AJ188+I188+J188+K188,0))))))</f>
        <v/>
      </c>
      <c r="AV188" s="453" t="str">
        <f>IF(D188="","",IF(AS188=2,0,IF(AS188=1,'Calc (ex-animal)'!$G$40*(1-'DB additional information '!$K$12/100)*AG188/100*(1-VLOOKUP(D188,'DB technologies'!$N$82:$Y$94,8,FALSE)/100)*'Calc (ex-housing, ex-storage)'!F188/100/VLOOKUP($C$182,'DB animal categories'!$C$68:$AC$80,27,FALSE)*AJ188+M188+N188+O188,IF(AS188=5,('Calc (ex-animal)'!$G$40*(1-'DB additional information '!$K$12/100)+'Calc (ex-animal)'!$H$40*(1-'DB additional information '!$L$12/100))*AG188/100*(1-VLOOKUP(D188,'DB technologies'!$N$82:$Y$94,8,FALSE)/100)*'Calc (ex-housing, ex-storage)'!F188/100/VLOOKUP($C$182,'DB animal categories'!$C$68:$AC$80,27,FALSE)*AJ188+M188+N188+O188,IF(AS188=3,('Calc (ex-animal)'!$G$40*(1-'DB additional information '!$K$12/100)+'Calc (ex-animal)'!$H$40*(1-'DB additional information '!$L$12/100))*AG188/100*(1-VLOOKUP(D188,'DB technologies'!$N$82:$Y$94,8,FALSE)/100)*'Calc (ex-housing, ex-storage)'!F188/100/VLOOKUP($C$182,'DB animal categories'!$C$68:$AC$80,27,FALSE)*AJ188+M188+N188+O188,IF(AS188=4,('Calc (ex-animal)'!$G$40*(1-'DB additional information '!$K$12/100)+'Calc (ex-animal)'!$H$40*(1-'DB additional information '!$L$12/100))*AG188/100*(1-VLOOKUP(D188,'DB technologies'!$N$82:$Y$94,8,FALSE)/100)*'Calc (ex-housing, ex-storage)'!F188/100*VLOOKUP(D188,'DB technologies'!$N$82:$Y$94,12,FALSE)/100/VLOOKUP($C$182,'DB animal categories'!$C$68:$AC$80,27,FALSE)*AJ188+M188+N188+O188,0))))))</f>
        <v/>
      </c>
      <c r="AW188" s="453" t="str">
        <f t="shared" si="33"/>
        <v/>
      </c>
      <c r="AX188" s="180" t="str">
        <f>IF(D188="","",IF(AS188=2,0,IF(AS188=1,'Calc (ex-animal)'!$K$40*'Calc (ex-housing, ex-storage)'!F188/100*AG188/100/VLOOKUP($C$182,'DB animal categories'!$C$68:$AC$80,27,FALSE)*AJ188+Q188+R188+S188,IF(AS188=5,('Calc (ex-animal)'!$K$40+'Calc (ex-animal)'!$L$40)*AG188/100*'Calc (ex-housing, ex-storage)'!F188/100/VLOOKUP($C$182,'DB animal categories'!$C$68:$AC$80,27,FALSE)*AJ188+Q188+R188+S188-'Calc (ex-housing, ex-storage)'!AC188,IF(AS188=3,('Calc (ex-animal)'!$K$40+'Calc (ex-animal)'!$L$40)*AG188/100*'Calc (ex-housing, ex-storage)'!F188/100/VLOOKUP($C$182,'DB animal categories'!$C$68:$AC$80,27,FALSE)*AJ188+Q188+R188+S188-'Calc (ex-housing, ex-storage)'!AC188-AD188-AE188,IF(AI188=4,('Calc (ex-animal)'!$K$40+'Calc (ex-animal)'!$L$40)*AG188/100*'Calc (ex-housing, ex-storage)'!F188/100*VLOOKUP(D188,'DB technologies'!$N$82:$Y$94,12,FALSE)/100/VLOOKUP($C$182,'DB animal categories'!$C$68:$AC$80,27,FALSE)*AJ188+Q188+R188+S188-(VLOOKUP(D188,'DB technologies'!$N$82:$Y$94,12,FALSE)/100*AC188)-AD188-AE188,0))))))</f>
        <v/>
      </c>
      <c r="AY188" s="180" t="str">
        <f>IF(D188="","",IF(AS188=2,0,IF(AS188=1,'Calc (ex-animal)'!$N$40*AG188/100*'Calc (ex-housing, ex-storage)'!F188/100/VLOOKUP($C$182,'DB animal categories'!$C$68:$AC$80,27,FALSE)*AJ188+U188+V188+W188,IF(AS188=5,('Calc (ex-animal)'!$N$40+'Calc (ex-animal)'!$O$40)*AG188/100*'Calc (ex-housing, ex-storage)'!F188/100/VLOOKUP($C$182,'DB animal categories'!$C$68:$AC$80,27,FALSE)*AJ188+U188+V188+W188,IF(AS188=3,('Calc (ex-animal)'!$N$40+'Calc (ex-animal)'!$O$40)*AG188/100*'Calc (ex-housing, ex-storage)'!F188/100/VLOOKUP($C$182,'DB animal categories'!$C$68:$AC$80,27,FALSE)*AJ188+U188+V188+W188,IF(AS188=4,('Calc (ex-animal)'!$N$40+'Calc (ex-animal)'!$O$40)*AG188/100*'Calc (ex-housing, ex-storage)'!F188/100*VLOOKUP(D188,'DB technologies'!$N$82:$Y$94,12,FALSE)/100/VLOOKUP($C$182,'DB animal categories'!$C$68:$AC$80,27,FALSE)*AJ188+U188+V188+W188,0))))))</f>
        <v/>
      </c>
      <c r="AZ188" s="180" t="str">
        <f>IF(D188="","",IF(AS188=2,0,IF(AS188=1,'Calc (ex-animal)'!$Q$40*AG188/100*'Calc (ex-housing, ex-storage)'!F188/100/VLOOKUP($C$182,'DB animal categories'!$C$68:$AC$80,27,FALSE)*AJ188+Y188+Z188+AA188,IF(AS188=5,('Calc (ex-animal)'!$Q$40+'Calc (ex-animal)'!$R$40)*AG188/100*'Calc (ex-housing, ex-storage)'!F188/100/VLOOKUP($C$182,'DB animal categories'!$C$68:$AC$80,27,FALSE)*AJ188+Y188+Z188+AA188,IF(AS188=3,('Calc (ex-animal)'!$Q$40+'Calc (ex-animal)'!$R$40)*AG188/100*'Calc (ex-housing, ex-storage)'!F188/100/VLOOKUP($C$182,'DB animal categories'!$C$68:$AC$80,27,FALSE)*AJ188+Y188+Z188+AA188,IF(AS188=4,('Calc (ex-animal)'!$Q$40+'Calc (ex-animal)'!$R$40)*AG188/100*'Calc (ex-housing, ex-storage)'!F188/100*VLOOKUP(D188,'DB technologies'!$N$82:$Y$94,12,FALSE)/100/VLOOKUP($C$182,'DB animal categories'!$C$68:$AC$80,27,FALSE)*AJ188+Y188+Z188+AA188,0))))))</f>
        <v/>
      </c>
      <c r="BA188" s="506"/>
      <c r="BB188" s="506"/>
      <c r="BC188" s="506"/>
    </row>
    <row r="189" spans="1:55" x14ac:dyDescent="0.2">
      <c r="A189" s="684"/>
      <c r="B189" s="695"/>
      <c r="C189" s="251"/>
      <c r="D189" s="1367"/>
      <c r="E189" s="1373"/>
      <c r="F189" s="692" t="str">
        <f>IF('Calc (ex-animal)'!$F$9=1,"",IF($C$152=0,"",IF(D189="","",E189/'Calc (ex-animal)'!$E$32*100)))</f>
        <v/>
      </c>
      <c r="G189" s="539" t="str">
        <f>IF($C$182=0,"",IF('Calc (ex-animal)'!$F$38=1,"",IF(D189="","",SUM(H189:O189))))</f>
        <v/>
      </c>
      <c r="H189" s="532" t="str">
        <f>IF('Calc (ex-animal)'!$F$38=1,"",IF(D189="","",(((VLOOKUP($C$182,'Calc (ex-animal)'!$D$38:$Y$42,6,FALSE)-VLOOKUP($C$182,'Calc (ex-animal)'!$D$38:$Y$42,17,FALSE))*F188/100*AH188/100))*VLOOKUP($C$182,'Calc (ex-animal)'!$D$38:$Y$42,7,FALSE)/100*(1-VLOOKUP(D189,'DB technologies'!$N$96:$Y$107,9,FALSE)/100)))</f>
        <v/>
      </c>
      <c r="I189" s="532" t="str">
        <f>IF(D189="","",((VLOOKUP(D189,'DB technologies'!$N$96:$Y$107,2,FALSE)*VLOOKUP($C$182,'DB animal categories'!$C$68:$AC$80,27,FALSE)*F188/1000*AH188/100)/VLOOKUP($C$182,'DB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'!$S$6/100*(1-VLOOKUP(D189,'DB technologies'!$N$96:$Y$107,9,FALSE)/100)))</f>
        <v/>
      </c>
      <c r="J189" s="533" t="str">
        <f>IF(D189="","",((VLOOKUP(D189,'DB technologies'!$N$96:$Y$107,3,FALSE)*VLOOKUP($C$182,'DB animal categories'!$C$68:$AC$80,27,FALSE)*E188/1000*AH188/100)/VLOOKUP($C$182,'DB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'!$S$7/100*(1-VLOOKUP(D189,'DB technologies'!$N$96:$Y$107,9,FALSE)/100)))</f>
        <v/>
      </c>
      <c r="K189" s="534" t="str">
        <f>IF(D189="","",((VLOOKUP(D189,'DB technologies'!$N$96:$Y$107,4,FALSE)*E188*AH188/100*'DB additional information '!$S$8/100*(1-VLOOKUP(D189,'DB technologies'!$N$96:$Y$107,9,FALSE)/100))/VLOOKUP($C$182,'DB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89" s="532" t="str">
        <f>IF('Calc (ex-animal)'!$F$38=1,"",IF(D189="","",(((VLOOKUP($C$182,'Calc (ex-animal)'!$D$38:$Y$42,6,FALSE)-VLOOKUP($C$182,'Calc (ex-animal)'!$D$38:$Y$42,17,FALSE))*F188/100*AH188/100))*(1-VLOOKUP($C$182,'Calc (ex-animal)'!$D$38:$Y$42,7,FALSE)/100)*(1-VLOOKUP(D189,'DB technologies'!$N$96:$V$107,8,FALSE)/100)))</f>
        <v/>
      </c>
      <c r="M189" s="533" t="str">
        <f>IF(D189="","",((VLOOKUP(D189,'DB technologies'!$N$96:$Y$107,2,FALSE)*VLOOKUP($C$182,'DB animal categories'!$C$68:$AC$80,27,FALSE)*E188/1000*AH188/100)/VLOOKUP($C$182,'DB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'!$S$6/100)*(1-VLOOKUP(D189,'DB technologies'!$N$96:$Y$107,9,FALSE)/100))</f>
        <v/>
      </c>
      <c r="N189" s="533" t="str">
        <f>IF(D189="","",((VLOOKUP(D189,'DB technologies'!$N$96:$Y$107,3,FALSE)*VLOOKUP($C$182,'DB animal categories'!$C$68:$AC$80,27,FALSE)*E188/1000*AH188/100)/VLOOKUP($C$182,'DB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'!$S$7/100)*(1-VLOOKUP(D189,'DB technologies'!$N$96:$Y$107,9,FALSE)/100))</f>
        <v/>
      </c>
      <c r="O189" s="532" t="str">
        <f>IF(D189="","",((VLOOKUP(D189,'DB technologies'!$N$96:$Y$107,4,FALSE)*E188*AH188/100*(1-'DB additional information '!$S$8/100)*(1-VLOOKUP(D189,'DB technologies'!$N$96:$Y$107,8,FALSE)/100))/VLOOKUP($C$182,'DB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89" s="535" t="str">
        <f>IF(G189=0,0,IF(E188="","",IF(F188="","",IF($C$182=0,"",IF(D189="","",SUM(H189:K189)/G189*100)))))</f>
        <v/>
      </c>
      <c r="Q189" s="536" t="str">
        <f>IF(D189="","",(VLOOKUP(D189,'DB technologies'!$N$96:$Y$107,2,FALSE)*'DB additional information '!$S$6/100*'DB additional information '!$T$6*VLOOKUP($C$182,'DB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89" s="536" t="str">
        <f>IF(D189="","",(VLOOKUP(D189,'DB technologies'!$N$96:$Y$107,3,FALSE)*'DB additional information '!$S$7/100*'DB additional information '!$T$7*VLOOKUP($C$182,'DB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89" s="540" t="str">
        <f>IF(D189="","",(VLOOKUP(D189,'DB technologies'!$N$96:$Y$107,4,FALSE)*('DB additional information '!$S$8/100*'DB additional information '!$T$8*E188/1000/1000*AH188/100)))</f>
        <v/>
      </c>
      <c r="T189" s="303" t="str">
        <f>IF($C$182=0,"",IF('Calc (ex-animal)'!$F$38=1,"",IF(D189="","",((VLOOKUP($C$182,'Calc (ex-animal)'!$D$38:$Y$42,10,FALSE)-VLOOKUP($C$182,'Calc (ex-animal)'!$D$38:$Y$42,18,FALSE))*F188/100*AH188/100+Q189+R189+S189)-AC189-AD189-AE189)))</f>
        <v/>
      </c>
      <c r="U189" s="542" t="str">
        <f>IF(D189="","",(VLOOKUP(D189,'DB technologies'!$N$96:$Y$107,2,FALSE)*'DB additional information '!$S$6/100*'DB additional information '!$U$6*VLOOKUP($C$182,'DB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89" s="524" t="str">
        <f>IF(D189="","",(VLOOKUP(D189,'DB technologies'!$N$96:$Y$107,3,FALSE)*'DB additional information '!$S$7/100*'DB additional information '!$U$7*VLOOKUP($C$182,'DB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89" s="543" t="str">
        <f>IF(D189="","",(VLOOKUP(D189,'DB technologies'!$N$96:$Y$107,4,FALSE)*('DB additional information '!$S$8/100*'DB additional information '!$U$8*E188/1000/1000*AH188/100)))</f>
        <v/>
      </c>
      <c r="X189" s="304" t="str">
        <f>IF($C$182=0,"",IF('Calc (ex-animal)'!$F$38=1,"",IF(D189="","",((VLOOKUP($C$182,'Calc (ex-animal)'!$D$38:$Y$42,13,FALSE)-VLOOKUP($C$182,'Calc (ex-animal)'!$D$38:$Y$42,19,FALSE))*F188/100*AH188/100+U189+V189+W189))))</f>
        <v/>
      </c>
      <c r="Y189" s="524" t="str">
        <f>IF(D189="","",(VLOOKUP(D189,'DB technologies'!$N$96:$Y$107,2,FALSE)*'DB additional information '!$S$6/100*'DB additional information '!$V$6*VLOOKUP($C$182,'DB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89" s="524" t="str">
        <f>IF(D189="","",(VLOOKUP(D189,'DB technologies'!$N$96:$Y$107,3,FALSE)*'DB additional information '!$S$7/100*'DB additional information '!$V$7*VLOOKUP($C$182,'DB animal categories'!$C$68:$AC$80,27,FALSE)*E188/1000/1000*AH188/100)/VLOOKUP($C$182,'DB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89" s="524" t="str">
        <f>IF(D189="","",(VLOOKUP(D189,'DB technologies'!$N$96:$Y$107,4,FALSE)*('DB additional information '!$S$8/100*'DB additional information '!$V$8*E188/1000/1000*AH188/100)))</f>
        <v/>
      </c>
      <c r="AB189" s="304" t="str">
        <f>IF($C$182=0,"",IF('Calc (ex-animal)'!$F$38=1,"",IF(D189="","",((VLOOKUP($C$182,'Calc (ex-animal)'!$D$38:$Y$42,16,FALSE)-VLOOKUP($C$182,'Calc (ex-animal)'!$D$38:$Y$42,20,FALSE))*F188/100*AH188/100+Y189+Z189+AA189))))</f>
        <v/>
      </c>
      <c r="AC189" s="304" t="str">
        <f>IF($C$182=0,"",IF('Calc (ex-animal)'!$F$38=1,"",IF(D189="","",VLOOKUP($C$182,'Calc (ex-animal)'!$D$38:$Y$42,9,FALSE)*AH188/100/VLOOKUP($C$182,'DB animal categories'!$C$68:$AC$80,27,FALSE)*(VLOOKUP($C$182,'DB animal categories'!$C$68:$AC$80,27,FALSE)-VLOOKUP($C$182,'DB animal categories'!$C$68:$AC$80,25,FALSE)*VLOOKUP($C$182,'DB animal categories'!$C$68:$AC$80,26,FALSE)/24)*F188/100*VLOOKUP(D189,'DB technologies'!$N$96:$R$107,5,FALSE)/100)))</f>
        <v/>
      </c>
      <c r="AD189" s="304" t="str">
        <f>IF($C$182=0,"",IF('Calc (ex-animal)'!$F$38=1,"",IF(D189="","",VLOOKUP($C$182,'Calc (ex-animal)'!$D$38:$Y$42,10,FALSE)*AH188/100/VLOOKUP($C$182,'DB animal categories'!$C$68:$AC$80,27,FALSE)*(VLOOKUP($C$182,'DB animal categories'!$C$68:$AC$80,27,FALSE)-VLOOKUP($C$182,'DB animal categories'!$C$68:$AC$80,25,FALSE)*VLOOKUP($C$182,'DB animal categories'!$C$68:$AC$80,26,FALSE)/24)*F188/100*VLOOKUP(D189,'DB technologies'!$N$96:$Y$107,6,FALSE)/100)))</f>
        <v/>
      </c>
      <c r="AE189" s="305" t="str">
        <f>IF($C$182=0,"",IF('Calc (ex-animal)'!$F$38=1,"",IF(D189="","",VLOOKUP($C$182,'Calc (ex-animal)'!$D$38:$Y$42,10,FALSE)*AH188/100/VLOOKUP($C$182,'DB animal categories'!$C$68:$AC$80,27,FALSE)*(VLOOKUP($C$182,'DB animal categories'!$C$68:$AC$80,27,FALSE)-VLOOKUP($C$182,'DB animal categories'!$C$68:$AC$80,25,FALSE)*VLOOKUP($C$182,'DB animal categories'!$C$68:$AC$80,26,FALSE)/24)*F188/100*VLOOKUP(D189,'DB technologies'!$N$96:$Y$107,7,FALSE)/100)))</f>
        <v/>
      </c>
      <c r="AG189" s="1390"/>
      <c r="AH189" s="1380"/>
      <c r="AI189" s="187" t="str">
        <f>IF(D189="","",VLOOKUP(D189,'DB technologies'!$N$96:$Y$107,10,FALSE))</f>
        <v/>
      </c>
      <c r="AJ189" s="451" t="e">
        <f>VLOOKUP($C$182,'DB animal categories'!$C$68:$AN$80,27,FALSE)-VLOOKUP($C$182,'DB animal categories'!$C$68:$AN$80,26,FALSE)*VLOOKUP($C$182,'DB animal categories'!$C$68:$AN$80,25,FALSE)/24</f>
        <v>#N/A</v>
      </c>
      <c r="AK189" s="452" t="str">
        <f t="shared" si="30"/>
        <v/>
      </c>
      <c r="AL189" s="452" t="str">
        <f>IF(D189="","",IF(AI189=2,(('Calc (ex-animal)'!$G$40*'DB additional information '!$K$12/100*AH188/100*(1-VLOOKUP(D189,'DB technologies'!$N$96:$Y$107,9,FALSE)/100)*'Calc (ex-housing, ex-storage)'!F188/100+'Calc (ex-animal)'!$H$40*'DB additional information '!$L$12/100*AH188/100*(1-VLOOKUP(D189,'DB technologies'!$N$96:$Y$107,9,FALSE)/100)*'Calc (ex-housing, ex-storage)'!F188/100))/VLOOKUP($C$182,'DB animal categories'!$C$68:$AC$80,27,FALSE)*AJ189+I189+J189+K189,IF(AI189=1,('Calc (ex-animal)'!$H$40*AH188/100*'DB additional information '!$L$12/100*(1-VLOOKUP(D189,'DB technologies'!$N$96:$Y$107,9,FALSE)/100)*'Calc (ex-housing, ex-storage)'!F188/100)/VLOOKUP($C$182,'DB animal categories'!$C$68:$AC$80,27,FALSE)*AJ189,IF(AI189=4,('Calc (ex-animal)'!$G$40*'DB additional information '!$K$12/100+'Calc (ex-animal)'!$H$40*'DB additional information '!$L$12/100)*AH188/100*(1-VLOOKUP(D189,'DB technologies'!$N$96:$Y$107,9,FALSE)/100)*'Calc (ex-housing, ex-storage)'!F188/100*VLOOKUP(D189,'DB technologies'!$N$96:$Y$107,11,FALSE)/100/VLOOKUP($C$182,'DB animal categories'!$C$68:$AC$80,27,FALSE)*AJ189,0))))</f>
        <v/>
      </c>
      <c r="AM189" s="452" t="str">
        <f>IF(D189="","",IF(AI189=2,(('Calc (ex-animal)'!$G$40*(1-'DB additional information '!$K$12/100)*AH188/100*(1-VLOOKUP(D189,'DB technologies'!$N$96:$Y$107,8,FALSE)/100)*'Calc (ex-housing, ex-storage)'!F188/100+'Calc (ex-animal)'!$H$40*(1-'DB additional information '!$L$12/100)*AH188/100*(1-VLOOKUP(D189,'DB technologies'!$N$96:$Y$107,8,FALSE)/100)*'Calc (ex-housing, ex-storage)'!F188/100))/VLOOKUP($C$182,'DB animal categories'!$C$68:$AC$80,27,FALSE)*AJ189+M189+N189+O189,IF(AI189=1,('Calc (ex-animal)'!$H$40*(1-'DB additional information '!$L$12/100)*AH188/100*(1-VLOOKUP(D189,'DB technologies'!$N$96:$Y$107,8,FALSE)/100)*'Calc (ex-housing, ex-storage)'!F188/100)/VLOOKUP($C$182,'DB animal categories'!$C$68:$AC$80,27,FALSE)*AJ189,IF(AI189=4,('Calc (ex-animal)'!$G$40*(1-'DB additional information '!$K$12/100)+'Calc (ex-animal)'!$H$40*(1-'DB additional information '!$L$12/100))*AH188/100*(1-VLOOKUP(D189,'DB technologies'!$N$96:$Y$107,8,FALSE)/100)*'Calc (ex-housing, ex-storage)'!F188/100*VLOOKUP(D189,'DB technologies'!$N$96:$Y$107,11,FALSE)/100/VLOOKUP($C$182,'DB animal categories'!$C$68:$AC$80,27,FALSE)*AJ189,0))))</f>
        <v/>
      </c>
      <c r="AN189" s="452" t="str">
        <f t="shared" si="31"/>
        <v/>
      </c>
      <c r="AO189" s="184" t="str">
        <f>IF(D189="","",IF(AI189=2,(('Calc (ex-animal)'!$L$40*'Calc (ex-housing, ex-storage)'!F188/100+'Calc (ex-animal)'!$K$40*'Calc (ex-housing, ex-storage)'!F188/100))*AH188/100/VLOOKUP($C$182,'DB animal categories'!$C$68:$AC$80,27,FALSE)*AJ189+Q189+R189+S189-AC189,IF(AI189=1,('Calc (ex-animal)'!$L$40*'Calc (ex-housing, ex-storage)'!F188/100)*AH188/100/VLOOKUP($C$182,'DB animal categories'!$C$68:$AC$80,27,FALSE)*AJ189-'Calc (ex-housing, ex-storage)'!AC189,IF(AI189=4,('Calc (ex-animal)'!$L$40+'Calc (ex-animal)'!$K$40)*'Calc (ex-housing, ex-storage)'!F188/100*AH188/100*VLOOKUP(D189,'DB technologies'!$N$96:$Y$107,11,FALSE)/100/VLOOKUP($C$182,'DB animal categories'!$C$68:$AC$80,27,FALSE)*AJ189-AC189*VLOOKUP(D189,'DB technologies'!$N$96:$Y$107,11,FALSE)/100,0))))</f>
        <v/>
      </c>
      <c r="AP189" s="184" t="str">
        <f>IF(D189="","",IF(AO189&lt;-0.01,0,IF(AI189=2,(('Calc (ex-animal)'!$L$40*'Calc (ex-housing, ex-storage)'!F188/100+'Calc (ex-animal)'!$K$40*'Calc (ex-housing, ex-storage)'!F188/100))*AH188/100/VLOOKUP($C$182,'DB animal categories'!$C$68:$AC$80,27,FALSE)*AJ189+Q189+R189+S189-AC189,IF(AI189=1,('Calc (ex-animal)'!$L$40*'Calc (ex-housing, ex-storage)'!F188/100)*AH188/100/VLOOKUP($C$182,'DB animal categories'!$C$68:$AC$80,27,FALSE)*AJ189-'Calc (ex-housing, ex-storage)'!AC189,IF(AI189=4,('Calc (ex-animal)'!$L$40+'Calc (ex-animal)'!$K$40)*'Calc (ex-housing, ex-storage)'!F188/100*AH188/100*VLOOKUP(D189,'DB technologies'!$N$96:$Y$107,11,FALSE)/100/VLOOKUP($C$182,'DB animal categories'!$C$68:$AC$80,27,FALSE)*AJ189-AC189*VLOOKUP(D189,'DB technologies'!$N$96:$Y$107,11,FALSE)/100,0)))))</f>
        <v/>
      </c>
      <c r="AQ189" s="184" t="str">
        <f>IF(D189="","",IF(AI189=2,('Calc (ex-animal)'!$O$40*'Calc (ex-housing, ex-storage)'!F188/100+'Calc (ex-animal)'!$N$40*'Calc (ex-housing, ex-storage)'!F188/100)*AH188/100/VLOOKUP($C$182,'DB animal categories'!$C$68:$AC$80,27,FALSE)*AJ189+U189+V189+W189,IF(AI189=1,'Calc (ex-animal)'!$O$40*'Calc (ex-housing, ex-storage)'!F188/100*AH188/100/VLOOKUP($C$182,'DB animal categories'!$C$68:$AC$80,27,FALSE)*AJ189,IF(AI189=4,('Calc (ex-animal)'!$O$40+'Calc (ex-animal)'!$N$40)*'Calc (ex-housing, ex-storage)'!F188/100*AH188/100*VLOOKUP(D189,'DB technologies'!$N$96:$Y$107,11,FALSE)/100/VLOOKUP($C$182,'DB animal categories'!$C$68:$AC$80,27,FALSE)*AJ189,0))))</f>
        <v/>
      </c>
      <c r="AR189" s="184" t="str">
        <f>IF(D189="","",IF(AI189=2,('Calc (ex-animal)'!$R$40*'Calc (ex-housing, ex-storage)'!F188/100+'Calc (ex-animal)'!$Q$40*'Calc (ex-housing, ex-storage)'!F188/100)*AH188/100/VLOOKUP($C$182,'DB animal categories'!$C$68:$AC$80,27,FALSE)*AJ189+Y189+Z189+AA189,IF(AI189=1,'Calc (ex-animal)'!$R$40*'Calc (ex-housing, ex-storage)'!F188/100*AH188/100/VLOOKUP($C$182,'DB animal categories'!$C$68:$AC$80,27,FALSE)*AJ189,IF(AI189=4,('Calc (ex-animal)'!$R$40+'Calc (ex-animal)'!$Q$40)*'Calc (ex-housing, ex-storage)'!F188/100*AH188/100*VLOOKUP(D189,'DB technologies'!$N$96:$Y$107,11,FALSE)/100/VLOOKUP($C$182,'DB animal categories'!$C$68:$AC$80,27,FALSE)*AJ189,0))))</f>
        <v/>
      </c>
      <c r="AS189" s="183" t="str">
        <f>IF(D189="","",VLOOKUP(D189,'DB technologies'!$N$96:$Y$107,10,FALSE))</f>
        <v/>
      </c>
      <c r="AT189" s="452" t="str">
        <f t="shared" si="32"/>
        <v/>
      </c>
      <c r="AU189" s="452" t="str">
        <f>IF(D189="","",IF(AS189=2,0,IF(AS189=1,'Calc (ex-animal)'!$G$40*'DB additional information '!$K$12/100*AH188/100*(1-VLOOKUP(D189,'DB technologies'!$N$96:$Y$107,8,FALSE)/100)*'Calc (ex-housing, ex-storage)'!F188/100/VLOOKUP($C$182,'DB animal categories'!$C$68:$AC$80,27,FALSE)*AJ189+I189+J189+K189,IF(AS189=5,(('Calc (ex-animal)'!$G$40*'DB additional information '!$K$12/100+'Calc (ex-animal)'!$H$40*'DB additional information '!$L$12/100))*AH188/100*(1-VLOOKUP(D189,'DB technologies'!$N$96:$Y$107,9,FALSE)/100)*'Calc (ex-housing, ex-storage)'!F188/100/VLOOKUP($C$182,'DB animal categories'!$C$68:$AC$80,27,FALSE)*AJ189+I189+J189+K189,IF(AS189=3,('Calc (ex-animal)'!$G$40*'DB additional information '!$K$12/100+'Calc (ex-animal)'!$H$40*'DB additional information '!$L$12/100)*AH188/100*(1-VLOOKUP(D189,'DB technologies'!$N$96:$Y$107,9,FALSE)/100)*'Calc (ex-housing, ex-storage)'!F188/100/VLOOKUP($C$182,'DB animal categories'!$C$68:$AC$80,27,FALSE)*AJ189+I189+J189+K189,IF(AS189=4,('Calc (ex-animal)'!$G$40*'DB additional information '!$K$12/100+'Calc (ex-animal)'!$H$40*'DB additional information '!$L$12/100)*AH188/100*(1-VLOOKUP(D189,'DB technologies'!$N$96:$Y$107,9,FALSE)/100)*'Calc (ex-housing, ex-storage)'!F188/100*VLOOKUP(D189,'DB technologies'!$N$96:$Y$107,12,FALSE)/100/VLOOKUP($C$182,'DB animal categories'!$C$68:$AC$80,27,FALSE)*AJ189+I189+J189+K189,0))))))</f>
        <v/>
      </c>
      <c r="AV189" s="452" t="str">
        <f>IF(D189="","",IF(AS189=2,0,IF(AS189=1,'Calc (ex-animal)'!$G$40*(1-'DB additional information '!$K$12/100)*AH188/100*(1-VLOOKUP(D189,'DB technologies'!$N$96:$Y$107,8,FALSE)/100)*'Calc (ex-housing, ex-storage)'!F188/100/VLOOKUP($C$182,'DB animal categories'!$C$68:$AC$80,27,FALSE)*AJ189+M189+N189+O189,IF(AS189=5,('Calc (ex-animal)'!$G$40*(1-'DB additional information '!$K$12/100)+'Calc (ex-animal)'!$H$40*(1-'DB additional information '!$L$12/100))*AH188/100*(1-VLOOKUP(D189,'DB technologies'!$N$96:$Y$107,8,FALSE)/100)*'Calc (ex-housing, ex-storage)'!F188/100/VLOOKUP($C$182,'DB animal categories'!$C$68:$AC$80,27,FALSE)*AJ189+M189+N189+O189,IF(AS189=3,('Calc (ex-animal)'!$G$40*(1-'DB additional information '!$K$12/100)+'Calc (ex-animal)'!$H$40*(1-'DB additional information '!$L$12/100))*AH188/100*(1-VLOOKUP(D189,'DB technologies'!$N$96:$Y$107,8,FALSE)/100)*'Calc (ex-housing, ex-storage)'!F188/100/VLOOKUP($C$182,'DB animal categories'!$C$68:$AC$80,27,FALSE)*AJ189+M189+N189+O189,IF(AS189=4,('Calc (ex-animal)'!$G$40*(1-'DB additional information '!$K$12/100)+'Calc (ex-animal)'!$H$40*(1-'DB additional information '!$L$12/100))*AH188/100*(1-VLOOKUP(D189,'DB technologies'!$N$96:$Y$107,8,FALSE)/100)*'Calc (ex-housing, ex-storage)'!F188/100*VLOOKUP(D189,'DB technologies'!$N$96:$Y$107,12,FALSE)/100/VLOOKUP($C$182,'DB animal categories'!$C$68:$AC$80,27,FALSE)*AJ189+M189+N189+O189,0))))))</f>
        <v/>
      </c>
      <c r="AW189" s="452" t="str">
        <f t="shared" si="33"/>
        <v/>
      </c>
      <c r="AX189" s="184" t="str">
        <f>IF(D189="","",IF(AS189=2,0,IF(AS189=1,'Calc (ex-animal)'!$K$40*'Calc (ex-housing, ex-storage)'!F188/100*AH188/100/VLOOKUP($C$182,'DB animal categories'!$C$68:$AC$80,27,FALSE)*AJ189+Q189+R189+S189,IF(AS189=5,('Calc (ex-animal)'!$K$40+'Calc (ex-animal)'!$L$40)*AH188/100*'Calc (ex-housing, ex-storage)'!F188/100/VLOOKUP($C$182,'DB animal categories'!$C$68:$AC$80,27,FALSE)*AJ189+Q189+R189+S189-'Calc (ex-housing, ex-storage)'!AC189,IF(AS189=3,('Calc (ex-animal)'!$K$40+'Calc (ex-animal)'!$L$40)*AH188/100*'Calc (ex-housing, ex-storage)'!F188/100/VLOOKUP($C$182,'DB animal categories'!$C$68:$AC$80,27,FALSE)*AJ189+Q189+R189+S189-'Calc (ex-housing, ex-storage)'!AC189-AD189-AE189,IF(AI189=4,('Calc (ex-animal)'!$K$40+'Calc (ex-animal)'!$L$40)*AH188/100*'Calc (ex-housing, ex-storage)'!F188/100*VLOOKUP(D189,'DB technologies'!$N$96:$Y$107,12,FALSE)/100/VLOOKUP($C$182,'DB animal categories'!$C$68:$AC$80,27,FALSE)*AJ189+Q189+R189+S189-(VLOOKUP(D189,'DB technologies'!$N$96:$Y$107,12,FALSE)/100*AC189)-AD189-AE189,0))))))</f>
        <v/>
      </c>
      <c r="AY189" s="184" t="str">
        <f>IF(D189="","",IF(AS189=2,0,IF(AS189=1,'Calc (ex-animal)'!$N$40*AH188/100*'Calc (ex-housing, ex-storage)'!F188/100/VLOOKUP($C$182,'DB animal categories'!$C$68:$AC$80,27,FALSE)*AJ189+U189+V189+W189,IF(AS189=5,('Calc (ex-animal)'!$N$40+'Calc (ex-animal)'!$O$40)*AH188/100*'Calc (ex-housing, ex-storage)'!F188/100/VLOOKUP($C$182,'DB animal categories'!$C$68:$AC$80,27,FALSE)*AJ189+U189+V189+W189,IF(AS189=3,('Calc (ex-animal)'!$N$40+'Calc (ex-animal)'!$O$40)*AH188/100*'Calc (ex-housing, ex-storage)'!F188/100/VLOOKUP($C$182,'DB animal categories'!$C$68:$AC$80,27,FALSE)*AJ189+U189+V189+W189,IF(AS189=4,('Calc (ex-animal)'!$N$40+'Calc (ex-animal)'!$O$40)*AH188/100*'Calc (ex-housing, ex-storage)'!F188/100*VLOOKUP(D189,'DB technologies'!$N$96:$Y$107,12,FALSE)/100/VLOOKUP($C$182,'DB animal categories'!$C$68:$AC$80,27,FALSE)*AJ189+U189+V189+W189,0))))))</f>
        <v/>
      </c>
      <c r="AZ189" s="184" t="str">
        <f>IF(D189="","",IF(AS189=2,0,IF(AS189=1,'Calc (ex-animal)'!$Q$40*AH188/100*'Calc (ex-housing, ex-storage)'!F188/100/VLOOKUP($C$182,'DB animal categories'!$C$68:$AC$80,27,FALSE)*AJ189+Y189+Z189+AA189,IF(AS189=5,('Calc (ex-animal)'!$Q$40+'Calc (ex-animal)'!$R$40)*AH188/100*'Calc (ex-housing, ex-storage)'!F188/100/VLOOKUP($C$182,'DB animal categories'!$C$68:$AC$80,27,FALSE)*AJ189+Y189+Z189+AA189,IF(AS189=3,('Calc (ex-animal)'!$Q$40+'Calc (ex-animal)'!$R$40)*AH188/100*'Calc (ex-housing, ex-storage)'!F188/100/VLOOKUP($C$182,'DB animal categories'!$C$68:$AC$80,27,FALSE)*AJ189+Y189+Z189+AA189,IF(AS189=4,('Calc (ex-animal)'!$Q$40+'Calc (ex-animal)'!$R$40)*AH188/100*'Calc (ex-housing, ex-storage)'!F188/100*VLOOKUP(D189,'DB technologies'!$N$96:$Y$107,12,FALSE)/100/VLOOKUP($C$182,'DB animal categories'!$C$68:$AC$80,27,FALSE)*AJ189+Y189+Z189+AA189,0))))))</f>
        <v/>
      </c>
      <c r="BA189" s="506"/>
      <c r="BB189" s="506"/>
      <c r="BC189" s="506"/>
    </row>
    <row r="190" spans="1:55" x14ac:dyDescent="0.2">
      <c r="A190" s="684"/>
      <c r="B190" s="695"/>
      <c r="C190" s="251"/>
      <c r="D190" s="1357"/>
      <c r="E190" s="1372"/>
      <c r="F190" s="692" t="str">
        <f>IF('Calc (ex-animal)'!$F$38=1,"",IF($C$182=0,"",IF(D190="","",E190/'Calc (ex-animal)'!$E$40*100)))</f>
        <v/>
      </c>
      <c r="G190" s="485" t="str">
        <f>IF($C$182=0,"",IF('Calc (ex-animal)'!$F$38=1,"",IF(D190="","",SUM(H190:O190))))</f>
        <v/>
      </c>
      <c r="H190" s="423" t="str">
        <f>IF('Calc (ex-animal)'!$F$38=1,"",IF(D190="","",(((VLOOKUP($C$182,'Calc (ex-animal)'!$D$38:$Y$42,6,FALSE)-VLOOKUP($C$182,'Calc (ex-animal)'!$D$38:$Y$42,17,FALSE))*F190/100*AG190/100))*VLOOKUP($C$182,'Calc (ex-animal)'!$D$38:$Y$42,7,FALSE)/100*(1-VLOOKUP(D190,'DB technologies'!$N$83:$Y$94,9,FALSE)/100)))</f>
        <v/>
      </c>
      <c r="I190" s="423" t="str">
        <f>IF(D190="","",((VLOOKUP(D190,'DB technologies'!$N$83:$Y$94,2,FALSE)*VLOOKUP($C$182,'DB animal categories'!$C$68:$AC$80,27,FALSE)*E190/1000*AG190/100)/VLOOKUP($C$182,'DB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'!$S$6/100*(1-VLOOKUP(D190,'DB technologies'!$N$83:$Y$94,9,FALSE)/100)))</f>
        <v/>
      </c>
      <c r="J190" s="434" t="str">
        <f>IF(D190="","",((VLOOKUP(D190,'DB technologies'!$N$83:$Y$94,3,FALSE)*VLOOKUP($C$182,'DB animal categories'!$C$68:$AC$80,27,FALSE)*E190/1000*AG190/100)/VLOOKUP($C$182,'DB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'!$S$7/100*(1-VLOOKUP(D190,'DB technologies'!$N$83:$Y$94,9,FALSE)/100)))</f>
        <v/>
      </c>
      <c r="K190" s="526" t="str">
        <f>IF(D190="","",((VLOOKUP(D190,'DB technologies'!$N$83:$Y$94,4,FALSE)*E190*AG190/100*'DB additional information '!$S$8/100*(1-VLOOKUP(D190,'DB technologies'!$N$83:$Y$94,9,FALSE)/100))/VLOOKUP($C$182,'DB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90" s="423" t="str">
        <f>IF('Calc (ex-animal)'!$F$38=1,"",IF(D190="","",(((VLOOKUP($C$182,'Calc (ex-animal)'!$D$38:$Y$42,6,FALSE)-VLOOKUP($C$182,'Calc (ex-animal)'!$D$38:$Y$42,17,FALSE))*F190/100*AG190/100))*(1-VLOOKUP($C$182,'Calc (ex-animal)'!$D$38:$Y$42,7,FALSE)/100)*(1-VLOOKUP(D190,'DB technologies'!$N$83:$V$94,8,FALSE)/100)))</f>
        <v/>
      </c>
      <c r="M190" s="434" t="str">
        <f>IF(D190="","",((VLOOKUP(D190,'DB technologies'!$N$83:$Y$94,2,FALSE)*VLOOKUP($C$182,'DB animal categories'!$C$68:$AC$80,27,FALSE)*E190/1000*AG190/100)/VLOOKUP($C$182,'DB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'!$S$6/100)*(1-VLOOKUP(D190,'DB technologies'!$N$83:$Y$94,9,FALSE)/100))</f>
        <v/>
      </c>
      <c r="N190" s="434" t="str">
        <f>IF(D190="","",((VLOOKUP(D190,'DB technologies'!$N$83:$Y$94,3,FALSE)*VLOOKUP($C$182,'DB animal categories'!$C$68:$AC$80,27,FALSE)*E190/1000*AG190/100)/VLOOKUP($C$182,'DB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'!$S$7/100)*(1-VLOOKUP(D190,'DB technologies'!$N$83:$Y$94,9,FALSE)/100))</f>
        <v/>
      </c>
      <c r="O190" s="423" t="str">
        <f>IF(D190="","",((VLOOKUP(D190,'DB technologies'!$N$83:$Y$94,4,FALSE)*E190*AG190/100*(1-'DB additional information '!$S$8/100)*(1-VLOOKUP(D190,'DB technologies'!$N$83:$Y$94,8,FALSE)/100))/VLOOKUP($C$182,'DB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90" s="438" t="str">
        <f>IF(G190=0,0,IF(E190="","",IF(F190="","",IF($C$182=0,"",IF(D190="","",SUM(H190:K190)/G190*100)))))</f>
        <v/>
      </c>
      <c r="Q190" s="416" t="str">
        <f>IF(D190="","",(VLOOKUP(D190,'DB technologies'!$N$83:$Y$94,2,FALSE)*'DB additional information '!$S$6/100*'DB additional information '!$T$6*VLOOKUP($C$182,'DB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90" s="416" t="str">
        <f>IF(D190="","",(VLOOKUP(D190,'DB technologies'!$N$83:$Y$94,3,FALSE)*'DB additional information '!$S$7/100*'DB additional information '!$T$7*VLOOKUP($C$182,'DB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90" s="491" t="str">
        <f>IF(D190="","",(VLOOKUP(D190,'DB technologies'!$N$83:$Y$94,4,FALSE)*('DB additional information '!$S$8/100*'DB additional information '!$T$8*E190/1000/1000*AG190/100)))</f>
        <v/>
      </c>
      <c r="T190" s="264" t="str">
        <f>IF($C$182=0,"",IF('Calc (ex-animal)'!$F$38=1,"",IF(D190="","",((VLOOKUP($C$182,'Calc (ex-animal)'!$D$38:$Y$42,10,FALSE)-VLOOKUP($C$182,'Calc (ex-animal)'!$D$38:$Y$42,18,FALSE))*F190/100*AG190/100+Q190+R190+S190)-AC190-AD190-AE190)))</f>
        <v/>
      </c>
      <c r="U190" s="422" t="str">
        <f>IF(D190="","",(VLOOKUP(D190,'DB technologies'!$N$83:$Y$94,2,FALSE)*'DB additional information '!$S$6/100*'DB additional information '!$U$6*VLOOKUP($C$182,'DB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90" s="418" t="str">
        <f>IF(D190="","",(VLOOKUP(D190,'DB technologies'!$N$83:$Y$94,3,FALSE)*'DB additional information '!$S$7/100*'DB additional information '!$U$7*VLOOKUP($C$182,'DB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90" s="417" t="str">
        <f>IF(D190="","",(VLOOKUP(D190,'DB technologies'!$N$83:$Y$94,4,FALSE)*('DB additional information '!$S$8/100*'DB additional information '!$U$8*E190/1000/1000*AG190/100)))</f>
        <v/>
      </c>
      <c r="X190" s="261" t="str">
        <f>IF($C$182=0,"",IF('Calc (ex-animal)'!$F$38=1,"",IF(D190="","",((VLOOKUP($C$182,'Calc (ex-animal)'!$D$38:$Y$42,13,FALSE)-VLOOKUP($C$182,'Calc (ex-animal)'!$D$38:$Y$42,19,FALSE))*F190/100*AG190/100+U190+V190+W190))))</f>
        <v/>
      </c>
      <c r="Y190" s="418" t="str">
        <f>IF(D190="","",(VLOOKUP(D190,'DB technologies'!$N$83:$Y$94,2,FALSE)*'DB additional information '!$S$6/100*'DB additional information '!$V$6*VLOOKUP($C$182,'DB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90" s="418" t="str">
        <f>IF(D190="","",(VLOOKUP(D190,'DB technologies'!$N$83:$Y$94,3,FALSE)*'DB additional information '!$S$7/100*'DB additional information '!$V$7*VLOOKUP($C$182,'DB animal categories'!$C$68:$AC$80,27,FALSE)*E190/1000/1000*AG190/100)/VLOOKUP($C$182,'DB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90" s="418" t="str">
        <f>IF(D190="","",(VLOOKUP(D190,'DB technologies'!$N$83:$Y$94,4,FALSE)*('DB additional information '!$S$8/100*'DB additional information '!$V$8*E190/1000/1000*AG190/100)))</f>
        <v/>
      </c>
      <c r="AB190" s="261" t="str">
        <f>IF($C$182=0,"",IF('Calc (ex-animal)'!$F$38=1,"",IF(D190="","",((VLOOKUP($C$182,'Calc (ex-animal)'!$D$38:$Y$42,16,FALSE)-VLOOKUP($C$182,'Calc (ex-animal)'!$D$38:$Y$42,20,FALSE))*F190/100*AG190/100+Y190+Z190+AA190))))</f>
        <v/>
      </c>
      <c r="AC190" s="261" t="str">
        <f>IF($C$182=0,"",IF('Calc (ex-animal)'!$F$38=1,"",IF(D190="","",VLOOKUP($C$182,'Calc (ex-animal)'!$D$38:$Y$42,9,FALSE)*AG190/100/VLOOKUP($C$182,'DB animal categories'!$C$68:$AC$80,27,FALSE)*(VLOOKUP($C$182,'DB animal categories'!$C$68:$AC$80,27,FALSE)-VLOOKUP($C$182,'DB animal categories'!$C$68:$AC$80,25,FALSE)*VLOOKUP($C$182,'DB animal categories'!$C$68:$AC$80,26,FALSE)/24)*F190/100*VLOOKUP(D190,'DB technologies'!$N$83:$R$94,5,FALSE)/100)))</f>
        <v/>
      </c>
      <c r="AD190" s="261" t="str">
        <f>IF($C$182=0,"",IF('Calc (ex-animal)'!$F$38=1,"",IF(D190="","",VLOOKUP($C$182,'Calc (ex-animal)'!$D$38:$Y$42,10,FALSE)*AG190/100/VLOOKUP($C$182,'DB animal categories'!$C$68:$AC$80,27,FALSE)*(VLOOKUP($C$182,'DB animal categories'!$C$68:$AC$80,27,FALSE)-VLOOKUP($C$182,'DB animal categories'!$C$68:$AC$80,25,FALSE)*VLOOKUP($C$182,'DB animal categories'!$C$68:$AC$80,26,FALSE)/24)*F190/100*VLOOKUP(D190,'DB technologies'!$N$83:$Y$94,6,FALSE)/100)))</f>
        <v/>
      </c>
      <c r="AE190" s="262" t="str">
        <f>IF($C$182=0,"",IF('Calc (ex-animal)'!$F$38=1,"",IF(D190="","",VLOOKUP($C$182,'Calc (ex-animal)'!$D$38:$Y$42,10,FALSE)*AG190/100/VLOOKUP($C$182,'DB animal categories'!$C$68:$AC$80,27,FALSE)*(VLOOKUP($C$182,'DB animal categories'!$C$68:$AC$80,27,FALSE)-VLOOKUP($C$182,'DB animal categories'!$C$68:$AC$80,25,FALSE)*VLOOKUP($C$182,'DB animal categories'!$C$68:$AC$80,26,FALSE)/24)*F190/100*VLOOKUP(D190,'DB technologies'!$N$83:$Y$94,7,FALSE)/100)))</f>
        <v/>
      </c>
      <c r="AG190" s="1391"/>
      <c r="AH190" s="1388"/>
      <c r="AI190" s="185" t="str">
        <f>IF(D190="","",VLOOKUP(D190,'DB technologies'!$N$82:$Y$94,10,FALSE))</f>
        <v/>
      </c>
      <c r="AJ190" s="482" t="e">
        <f>VLOOKUP($C$182,'DB animal categories'!$C$68:$AN$80,27,FALSE)-VLOOKUP($C$182,'DB animal categories'!$C$68:$AN$80,26,FALSE)*VLOOKUP($C$182,'DB animal categories'!$C$68:$AN$80,25,FALSE)/24</f>
        <v>#N/A</v>
      </c>
      <c r="AK190" s="453" t="str">
        <f t="shared" si="30"/>
        <v/>
      </c>
      <c r="AL190" s="453" t="str">
        <f>IF(D190="","",IF(AI190=2,(('Calc (ex-animal)'!$G$40*'DB additional information '!$K$12/100*AG190/100*(1-VLOOKUP(D190,'DB technologies'!$N$82:$Y$94,9,FALSE)/100)*'Calc (ex-housing, ex-storage)'!F190/100+'Calc (ex-animal)'!$H$40*'DB additional information '!$L$12/100*AG190/100*(1-VLOOKUP(D190,'DB technologies'!$N$82:$Y$94,9,FALSE)/100)*'Calc (ex-housing, ex-storage)'!F190/100))/VLOOKUP($C$182,'DB animal categories'!$C$68:$AC$80,27,FALSE)*AJ190+I190+J190+K190,IF(AI190=1,('Calc (ex-animal)'!$H$40*AG190/100*'DB additional information '!$L$12/100*(1-VLOOKUP(D190,'DB technologies'!$N$82:$Y$94,9,FALSE)/100)*'Calc (ex-housing, ex-storage)'!F190/100)/VLOOKUP($C$182,'DB animal categories'!$C$68:$AC$80,27,FALSE)*AJ190,IF(AI190=4,('Calc (ex-animal)'!$G$40*'DB additional information '!$K$12/100+'Calc (ex-animal)'!$H$40*'DB additional information '!$L$12/100)*AG190/100*(1-VLOOKUP(D190,'DB technologies'!$N$82:$Y$94,9,FALSE)/100)*'Calc (ex-housing, ex-storage)'!F190/100*VLOOKUP(D190,'DB technologies'!$N$82:$Y$94,11,FALSE)/100/VLOOKUP($C$182,'DB animal categories'!$C$68:$AC$80,27,FALSE)*AJ190,0))))</f>
        <v/>
      </c>
      <c r="AM190" s="453" t="str">
        <f>IF(D190="","",IF(AI190=2,(('Calc (ex-animal)'!$G$40*(1-'DB additional information '!$K$12/100)*AG190/100*(1-VLOOKUP(D190,'DB technologies'!$N$82:$Y$94,8,FALSE)/100)*'Calc (ex-housing, ex-storage)'!F190/100+'Calc (ex-animal)'!$H$40*(1-'DB additional information '!$L$12/100)*AG190/100*(1-VLOOKUP(D190,'DB technologies'!$N$82:$Y$94,8,FALSE)/100)*'Calc (ex-housing, ex-storage)'!F190/100))/VLOOKUP($C$182,'DB animal categories'!$C$68:$AC$80,27,FALSE)*AJ190+M190+N190+O190,IF(AI190=1,('Calc (ex-animal)'!$H$40*(1-'DB additional information '!$L$12/100)*AG190/100*(1-VLOOKUP(D190,'DB technologies'!$N$82:$Y$94,8,FALSE)/100)*'Calc (ex-housing, ex-storage)'!F190/100)/VLOOKUP($C$182,'DB animal categories'!$C$68:$AC$80,27,FALSE)*AJ190,IF(AI190=4,('Calc (ex-animal)'!$G$40*(1-'DB additional information '!$K$12/100)+'Calc (ex-animal)'!$H$40*(1-'DB additional information '!$L$12/100))*AG190/100*(1-VLOOKUP(D190,'DB technologies'!$N$82:$Y$94,8,FALSE)/100)*'Calc (ex-housing, ex-storage)'!F190/100*VLOOKUP(D190,'DB technologies'!$N$82:$Y$94,11,FALSE)/100/VLOOKUP($C$182,'DB animal categories'!$C$68:$AC$80,27,FALSE)*AJ190,0))))</f>
        <v/>
      </c>
      <c r="AN190" s="453" t="str">
        <f t="shared" si="31"/>
        <v/>
      </c>
      <c r="AO190" s="180" t="str">
        <f>IF(D190="","",IF(AI190=2,(('Calc (ex-animal)'!$L$40*'Calc (ex-housing, ex-storage)'!F190/100+'Calc (ex-animal)'!$K$40*'Calc (ex-housing, ex-storage)'!F190/100))*AG190/100/VLOOKUP($C$182,'DB animal categories'!$C$68:$AC$80,27,FALSE)*AJ190+Q190+R190+S190-AC190,IF(AI190=1,('Calc (ex-animal)'!$L$40*'Calc (ex-housing, ex-storage)'!F190/100)*AG190/100/VLOOKUP($C$182,'DB animal categories'!$C$68:$AC$80,27,FALSE)*AJ190-'Calc (ex-housing, ex-storage)'!AC190,IF(AI190=4,('Calc (ex-animal)'!$L$40+'Calc (ex-animal)'!$K$40)*'Calc (ex-housing, ex-storage)'!F190/100*AG190/100*VLOOKUP(D190,'DB technologies'!$N$82:$Y$94,11,FALSE)/100/VLOOKUP($C$182,'DB animal categories'!$C$68:$AC$80,27,FALSE)*AJ190-AC190*VLOOKUP(D190,'DB technologies'!$N$82:$Y$94,11,FALSE)/100,0))))</f>
        <v/>
      </c>
      <c r="AP190" s="180" t="str">
        <f>IF(D190="","",IF(AO190&lt;-0.01,0,IF(AI190=2,(('Calc (ex-animal)'!$L$40*'Calc (ex-housing, ex-storage)'!F190/100+'Calc (ex-animal)'!$K$40*'Calc (ex-housing, ex-storage)'!F190/100))*AG190/100/VLOOKUP($C$182,'DB animal categories'!$C$68:$AC$80,27,FALSE)*AJ190+Q190+R190+S190-AC190,IF(AI190=1,('Calc (ex-animal)'!$L$40*'Calc (ex-housing, ex-storage)'!F190/100)*AG190/100/VLOOKUP($C$182,'DB animal categories'!$C$68:$AC$80,27,FALSE)*AJ190-'Calc (ex-housing, ex-storage)'!AC190,IF(AI190=4,('Calc (ex-animal)'!$L$40+'Calc (ex-animal)'!$K$40)*'Calc (ex-housing, ex-storage)'!F190/100*AG190/100*VLOOKUP(D190,'DB technologies'!$N$82:$Y$94,11,FALSE)/100/VLOOKUP($C$182,'DB animal categories'!$C$68:$AC$80,27,FALSE)*AJ190-AC190*VLOOKUP(D190,'DB technologies'!$N$82:$Y$94,11,FALSE)/100,0)))))</f>
        <v/>
      </c>
      <c r="AQ190" s="180" t="str">
        <f>IF(D190="","",IF(AI190=2,('Calc (ex-animal)'!$O$40*'Calc (ex-housing, ex-storage)'!F190/100+'Calc (ex-animal)'!$N$40*'Calc (ex-housing, ex-storage)'!F190/100)*AG190/100/VLOOKUP($C$182,'DB animal categories'!$C$68:$AC$80,27,FALSE)*AJ190+U190+V190+W190,IF(AI190=1,'Calc (ex-animal)'!$O$40*'Calc (ex-housing, ex-storage)'!F190/100*AG190/100/VLOOKUP($C$182,'DB animal categories'!$C$68:$AC$80,27,FALSE)*AJ190,IF(AI190=4,('Calc (ex-animal)'!$O$40+'Calc (ex-animal)'!$N$40)*'Calc (ex-housing, ex-storage)'!F190/100*AG190/100*VLOOKUP(D190,'DB technologies'!$N$82:$Y$94,11,FALSE)/100/VLOOKUP($C$182,'DB animal categories'!$C$68:$AC$80,27,FALSE)*AJ190,0))))</f>
        <v/>
      </c>
      <c r="AR190" s="180" t="str">
        <f>IF(D190="","",IF(AI190=2,('Calc (ex-animal)'!$R$40*'Calc (ex-housing, ex-storage)'!F190/100+'Calc (ex-animal)'!$Q$40*'Calc (ex-housing, ex-storage)'!F190/100)*AG190/100/VLOOKUP($C$182,'DB animal categories'!$C$68:$AC$80,27,FALSE)*AJ190+Y190+Z190+AA190,IF(AI190=1,'Calc (ex-animal)'!$R$40*'Calc (ex-housing, ex-storage)'!F190/100*AG190/100/VLOOKUP($C$182,'DB animal categories'!$C$68:$AC$80,27,FALSE)*AJ190,IF(AI190=4,('Calc (ex-animal)'!$R$40+'Calc (ex-animal)'!$Q$40)*'Calc (ex-housing, ex-storage)'!F190/100*AG190/100*VLOOKUP(D190,'DB technologies'!$N$82:$Y$94,11,FALSE)/100/VLOOKUP($C$182,'DB animal categories'!$C$68:$AC$80,27,FALSE)*AJ190,0))))</f>
        <v/>
      </c>
      <c r="AS190" s="179" t="str">
        <f>IF(D190="","",VLOOKUP(D190,'DB technologies'!$N$82:$Y$94,10,FALSE))</f>
        <v/>
      </c>
      <c r="AT190" s="453" t="str">
        <f t="shared" si="32"/>
        <v/>
      </c>
      <c r="AU190" s="453" t="str">
        <f>IF(D190="","",IF(AS190=2,0,IF(AS190=1,'Calc (ex-animal)'!$G$40*'DB additional information '!$K$12/100*AG190/100*(1-VLOOKUP(D190,'DB technologies'!$N$82:$Y$94,8,FALSE)/100)*'Calc (ex-housing, ex-storage)'!F190/100/VLOOKUP($C$182,'DB animal categories'!$C$68:$AC$80,27,FALSE)*AJ190+I190+J190+K190,IF(AS190=5,(('Calc (ex-animal)'!$G$40*'DB additional information '!$K$12/100+'Calc (ex-animal)'!$H$40*'DB additional information '!$L$12/100))*AG190/100*(1-VLOOKUP(D190,'DB technologies'!$N$82:$Y$94,9,FALSE)/100)*'Calc (ex-housing, ex-storage)'!F190/100/VLOOKUP($C$182,'DB animal categories'!$C$68:$AC$80,27,FALSE)*AJ190+I190+J190+K190,IF(AS190=3,('Calc (ex-animal)'!$G$40*'DB additional information '!$K$12/100+'Calc (ex-animal)'!$H$40*'DB additional information '!$L$12/100)*AG190/100*(1-VLOOKUP(D190,'DB technologies'!$N$82:$Y$94,9,FALSE)/100)*'Calc (ex-housing, ex-storage)'!F190/100/VLOOKUP($C$182,'DB animal categories'!$C$68:$AC$80,27,FALSE)*AJ190+I190+J190+K190,IF(AS190=4,('Calc (ex-animal)'!$G$40*'DB additional information '!$K$12/100+'Calc (ex-animal)'!$H$40*'DB additional information '!$L$12/100)*AG190/100*(1-VLOOKUP(D190,'DB technologies'!$N$82:$Y$94,9,FALSE)/100)*'Calc (ex-housing, ex-storage)'!F190/100*VLOOKUP(D190,'DB technologies'!$N$82:$Y$94,12,FALSE)/100/VLOOKUP($C$182,'DB animal categories'!$C$68:$AC$80,27,FALSE)*AJ190+I190+J190+K190,0))))))</f>
        <v/>
      </c>
      <c r="AV190" s="453" t="str">
        <f>IF(D190="","",IF(AS190=2,0,IF(AS190=1,'Calc (ex-animal)'!$G$40*(1-'DB additional information '!$K$12/100)*AG190/100*(1-VLOOKUP(D190,'DB technologies'!$N$82:$Y$94,8,FALSE)/100)*'Calc (ex-housing, ex-storage)'!F190/100/VLOOKUP($C$182,'DB animal categories'!$C$68:$AC$80,27,FALSE)*AJ190+M190+N190+O190,IF(AS190=5,('Calc (ex-animal)'!$G$40*(1-'DB additional information '!$K$12/100)+'Calc (ex-animal)'!$H$40*(1-'DB additional information '!$L$12/100))*AG190/100*(1-VLOOKUP(D190,'DB technologies'!$N$82:$Y$94,8,FALSE)/100)*'Calc (ex-housing, ex-storage)'!F190/100/VLOOKUP($C$182,'DB animal categories'!$C$68:$AC$80,27,FALSE)*AJ190+M190+N190+O190,IF(AS190=3,('Calc (ex-animal)'!$G$40*(1-'DB additional information '!$K$12/100)+'Calc (ex-animal)'!$H$40*(1-'DB additional information '!$L$12/100))*AG190/100*(1-VLOOKUP(D190,'DB technologies'!$N$82:$Y$94,8,FALSE)/100)*'Calc (ex-housing, ex-storage)'!F190/100/VLOOKUP($C$182,'DB animal categories'!$C$68:$AC$80,27,FALSE)*AJ190+M190+N190+O190,IF(AS190=4,('Calc (ex-animal)'!$G$40*(1-'DB additional information '!$K$12/100)+'Calc (ex-animal)'!$H$40*(1-'DB additional information '!$L$12/100))*AG190/100*(1-VLOOKUP(D190,'DB technologies'!$N$82:$Y$94,8,FALSE)/100)*'Calc (ex-housing, ex-storage)'!F190/100*VLOOKUP(D190,'DB technologies'!$N$82:$Y$94,12,FALSE)/100/VLOOKUP($C$182,'DB animal categories'!$C$68:$AC$80,27,FALSE)*AJ190+M190+N190+O190,0))))))</f>
        <v/>
      </c>
      <c r="AW190" s="453" t="str">
        <f t="shared" si="33"/>
        <v/>
      </c>
      <c r="AX190" s="180" t="str">
        <f>IF(D190="","",IF(AS190=2,0,IF(AS190=1,'Calc (ex-animal)'!$K$40*'Calc (ex-housing, ex-storage)'!F190/100*AG190/100/VLOOKUP($C$182,'DB animal categories'!$C$68:$AC$80,27,FALSE)*AJ190+Q190+R190+S190,IF(AS190=5,('Calc (ex-animal)'!$K$40+'Calc (ex-animal)'!$L$40)*AG190/100*'Calc (ex-housing, ex-storage)'!F190/100/VLOOKUP($C$182,'DB animal categories'!$C$68:$AC$80,27,FALSE)*AJ190+Q190+R190+S190-'Calc (ex-housing, ex-storage)'!AC190,IF(AS190=3,('Calc (ex-animal)'!$K$40+'Calc (ex-animal)'!$L$40)*AG190/100*'Calc (ex-housing, ex-storage)'!F190/100/VLOOKUP($C$182,'DB animal categories'!$C$68:$AC$80,27,FALSE)*AJ190+Q190+R190+S190-'Calc (ex-housing, ex-storage)'!AC190-AD190-AE190,IF(AI190=4,('Calc (ex-animal)'!$K$40+'Calc (ex-animal)'!$L$40)*AG190/100*'Calc (ex-housing, ex-storage)'!F190/100*VLOOKUP(D190,'DB technologies'!$N$82:$Y$94,12,FALSE)/100/VLOOKUP($C$182,'DB animal categories'!$C$68:$AC$80,27,FALSE)*AJ190+Q190+R190+S190-(VLOOKUP(D190,'DB technologies'!$N$82:$Y$94,12,FALSE)/100*AC190)-AD190-AE190,0))))))</f>
        <v/>
      </c>
      <c r="AY190" s="180" t="str">
        <f>IF(D190="","",IF(AS190=2,0,IF(AS190=1,'Calc (ex-animal)'!$N$40*AG190/100*'Calc (ex-housing, ex-storage)'!F190/100/VLOOKUP($C$182,'DB animal categories'!$C$68:$AC$80,27,FALSE)*AJ190+U190+V190+W190,IF(AS190=5,('Calc (ex-animal)'!$N$40+'Calc (ex-animal)'!$O$40)*AG190/100*'Calc (ex-housing, ex-storage)'!F190/100/VLOOKUP($C$182,'DB animal categories'!$C$68:$AC$80,27,FALSE)*AJ190+U190+V190+W190,IF(AS190=3,('Calc (ex-animal)'!$N$40+'Calc (ex-animal)'!$O$40)*AG190/100*'Calc (ex-housing, ex-storage)'!F190/100/VLOOKUP($C$182,'DB animal categories'!$C$68:$AC$80,27,FALSE)*AJ190+U190+V190+W190,IF(AS190=4,('Calc (ex-animal)'!$N$40+'Calc (ex-animal)'!$O$40)*AG190/100*'Calc (ex-housing, ex-storage)'!F190/100*VLOOKUP(D190,'DB technologies'!$N$82:$Y$94,12,FALSE)/100/VLOOKUP($C$182,'DB animal categories'!$C$68:$AC$80,27,FALSE)*AJ190+U190+V190+W190,0))))))</f>
        <v/>
      </c>
      <c r="AZ190" s="180" t="str">
        <f>IF(D190="","",IF(AS190=2,0,IF(AS190=1,'Calc (ex-animal)'!$Q$40*AG190/100*'Calc (ex-housing, ex-storage)'!F190/100/VLOOKUP($C$182,'DB animal categories'!$C$68:$AC$80,27,FALSE)*AJ190+Y190+Z190+AA190,IF(AS190=5,('Calc (ex-animal)'!$Q$40+'Calc (ex-animal)'!$R$40)*AG190/100*'Calc (ex-housing, ex-storage)'!F190/100/VLOOKUP($C$182,'DB animal categories'!$C$68:$AC$80,27,FALSE)*AJ190+Y190+Z190+AA190,IF(AS190=3,('Calc (ex-animal)'!$Q$40+'Calc (ex-animal)'!$R$40)*AG190/100*'Calc (ex-housing, ex-storage)'!F190/100/VLOOKUP($C$182,'DB animal categories'!$C$68:$AC$80,27,FALSE)*AJ190+Y190+Z190+AA190,IF(AS190=4,('Calc (ex-animal)'!$Q$40+'Calc (ex-animal)'!$R$40)*AG190/100*'Calc (ex-housing, ex-storage)'!F190/100*VLOOKUP(D190,'DB technologies'!$N$82:$Y$94,12,FALSE)/100/VLOOKUP($C$182,'DB animal categories'!$C$68:$AC$80,27,FALSE)*AJ190+Y190+Z190+AA190,0))))))</f>
        <v/>
      </c>
      <c r="BA190" s="506"/>
      <c r="BB190" s="506"/>
      <c r="BC190" s="506"/>
    </row>
    <row r="191" spans="1:55" ht="12" thickBot="1" x14ac:dyDescent="0.25">
      <c r="A191" s="684"/>
      <c r="B191" s="695"/>
      <c r="C191" s="251"/>
      <c r="D191" s="1359"/>
      <c r="E191" s="1375"/>
      <c r="F191" s="693" t="str">
        <f>IF('Calc (ex-animal)'!$F$9=1,"",IF($C$152=0,"",IF(D191="","",E191/'Calc (ex-animal)'!$E$32*100)))</f>
        <v/>
      </c>
      <c r="G191" s="483" t="str">
        <f>IF($C$182=0,"",IF('Calc (ex-animal)'!$F$38=1,"",IF(D191="","",SUM(H191:O191))))</f>
        <v/>
      </c>
      <c r="H191" s="445" t="str">
        <f>IF('Calc (ex-animal)'!$F$38=1,"",IF(D191="","",(((VLOOKUP($C$182,'Calc (ex-animal)'!$D$38:$Y$42,6,FALSE)-VLOOKUP($C$182,'Calc (ex-animal)'!$D$38:$Y$42,17,FALSE))*F190/100*AH190/100))*VLOOKUP($C$182,'Calc (ex-animal)'!$D$38:$Y$42,7,FALSE)/100*(1-VLOOKUP(D191,'DB technologies'!$N$96:$Y$107,9,FALSE)/100)))</f>
        <v/>
      </c>
      <c r="I191" s="445" t="str">
        <f>IF(D191="","",((VLOOKUP(D191,'DB technologies'!$N$96:$Y$107,2,FALSE)*VLOOKUP($C$182,'DB animal categories'!$C$68:$AC$80,27,FALSE)*F190/1000*AH190/100)/VLOOKUP($C$182,'DB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'!$S$6/100*(1-VLOOKUP(D191,'DB technologies'!$N$96:$Y$107,9,FALSE)/100)))</f>
        <v/>
      </c>
      <c r="J191" s="446" t="str">
        <f>IF(D191="","",((VLOOKUP(D191,'DB technologies'!$N$96:$Y$107,3,FALSE)*VLOOKUP($C$182,'DB animal categories'!$C$68:$AC$80,27,FALSE)*E190/1000*AH190/100)/VLOOKUP($C$182,'DB animal categories'!$C$68:$AC$80,27,FALSE)*(VLOOKUP($C$182,'DB animal categories'!$C$68:$AC$80,27,FALSE)-(VLOOKUP($C$182,'DB animal categories'!$C$68:$AC$80,25,FALSE)*VLOOKUP($C$182,'DB animal categories'!$C$68:$AC$80,26,FALSE)/24))*'DB additional information '!$S$7/100*(1-VLOOKUP(D191,'DB technologies'!$N$96:$Y$107,9,FALSE)/100)))</f>
        <v/>
      </c>
      <c r="K191" s="541" t="str">
        <f>IF(D191="","",((VLOOKUP(D191,'DB technologies'!$N$96:$Y$107,4,FALSE)*E190*AH190/100*'DB additional information '!$S$8/100*(1-VLOOKUP(D191,'DB technologies'!$N$96:$Y$107,9,FALSE)/100))/VLOOKUP($C$182,'DB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L191" s="445" t="str">
        <f>IF('Calc (ex-animal)'!$F$38=1,"",IF(D191="","",(((VLOOKUP($C$182,'Calc (ex-animal)'!$D$38:$Y$42,6,FALSE)-VLOOKUP($C$182,'Calc (ex-animal)'!$D$38:$Y$42,17,FALSE))*F190/100*AH190/100))*(1-VLOOKUP($C$182,'Calc (ex-animal)'!$D$38:$Y$42,7,FALSE)/100)*(1-VLOOKUP(D191,'DB technologies'!$N$96:$V$107,8,FALSE)/100)))</f>
        <v/>
      </c>
      <c r="M191" s="446" t="str">
        <f>IF(D191="","",((VLOOKUP(D191,'DB technologies'!$N$96:$Y$107,2,FALSE)*VLOOKUP($C$182,'DB animal categories'!$C$68:$AC$80,27,FALSE)*E190/1000*AH190/100)/VLOOKUP($C$182,'DB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'!$S$6/100)*(1-VLOOKUP(D191,'DB technologies'!$N$96:$Y$107,9,FALSE)/100))</f>
        <v/>
      </c>
      <c r="N191" s="446" t="str">
        <f>IF(D191="","",((VLOOKUP(D191,'DB technologies'!$N$96:$Y$107,3,FALSE)*VLOOKUP($C$182,'DB animal categories'!$C$68:$AC$80,27,FALSE)*E190/1000*AH190/100)/VLOOKUP($C$182,'DB animal categories'!$C$68:$AC$80,27,FALSE)*(VLOOKUP($C$182,'DB animal categories'!$C$68:$AC$80,27,FALSE)-VLOOKUP($C$182,'DB animal categories'!$C$68:$AC$80,25,FALSE)*VLOOKUP($C$182,'DB animal categories'!$C$68:$AC$80,26,FALSE)/24))*(1-'DB additional information '!$S$7/100)*(1-VLOOKUP(D191,'DB technologies'!$N$96:$Y$107,9,FALSE)/100))</f>
        <v/>
      </c>
      <c r="O191" s="445" t="str">
        <f>IF(D191="","",((VLOOKUP(D191,'DB technologies'!$N$96:$Y$107,4,FALSE)*E190*AH190/100*(1-'DB additional information '!$S$8/100)*(1-VLOOKUP(D191,'DB technologies'!$N$96:$Y$107,8,FALSE)/100))/VLOOKUP($C$182,'DB animal categories'!$C$68:$AC$80,27,FALSE)*(VLOOKUP($C$182,'DB animal categories'!$C$68:$AC$80,27,FALSE)-VLOOKUP($C$182,'DB animal categories'!$C$68:$AC$80,25,FALSE)*VLOOKUP($C$182,'DB animal categories'!$C$68:$AC$80,26,FALSE)/24)))</f>
        <v/>
      </c>
      <c r="P191" s="444" t="str">
        <f>IF(G191=0,0,IF(E190="","",IF(F190="","",IF($C$182=0,"",IF(D191="","",SUM(H191:K191)/G191*100)))))</f>
        <v/>
      </c>
      <c r="Q191" s="476" t="str">
        <f>IF(D191="","",(VLOOKUP(D191,'DB technologies'!$N$96:$Y$107,2,FALSE)*'DB additional information '!$S$6/100*'DB additional information '!$T$6*VLOOKUP($C$182,'DB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R191" s="476" t="str">
        <f>IF(D191="","",(VLOOKUP(D191,'DB technologies'!$N$96:$Y$107,3,FALSE)*'DB additional information '!$S$7/100*'DB additional information '!$T$7*VLOOKUP($C$182,'DB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S191" s="494" t="str">
        <f>IF(D191="","",(VLOOKUP(D191,'DB technologies'!$N$96:$Y$107,4,FALSE)*('DB additional information '!$S$8/100*'DB additional information '!$T$8*E190/1000/1000*AH190/100)))</f>
        <v/>
      </c>
      <c r="T191" s="266" t="str">
        <f>IF($C$182=0,"",IF('Calc (ex-animal)'!$F$38=1,"",IF(D191="","",((VLOOKUP($C$182,'Calc (ex-animal)'!$D$38:$Y$42,10,FALSE)-VLOOKUP($C$182,'Calc (ex-animal)'!$D$38:$Y$42,18,FALSE))*F190/100*AH190/100+Q191+R191+S191)-AC191-AD191-AE191)))</f>
        <v/>
      </c>
      <c r="U191" s="477" t="str">
        <f>IF(D191="","",(VLOOKUP(D191,'DB technologies'!$N$96:$Y$107,2,FALSE)*'DB additional information '!$S$6/100*'DB additional information '!$U$6*VLOOKUP($C$182,'DB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V191" s="433" t="str">
        <f>IF(D191="","",(VLOOKUP(D191,'DB technologies'!$N$96:$Y$107,3,FALSE)*'DB additional information '!$S$7/100*'DB additional information '!$U$7*VLOOKUP($C$182,'DB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W191" s="475" t="str">
        <f>IF(D191="","",(VLOOKUP(D191,'DB technologies'!$N$96:$Y$107,4,FALSE)*('DB additional information '!$S$8/100*'DB additional information '!$U$8*E190/1000/1000*AH190/100)))</f>
        <v/>
      </c>
      <c r="X191" s="267" t="str">
        <f>IF($C$182=0,"",IF('Calc (ex-animal)'!$F$38=1,"",IF(D191="","",((VLOOKUP($C$182,'Calc (ex-animal)'!$D$38:$Y$42,13,FALSE)-VLOOKUP($C$182,'Calc (ex-animal)'!$D$38:$Y$42,19,FALSE))*F190/100*AH190/100+U191+V191+W191))))</f>
        <v/>
      </c>
      <c r="Y191" s="433" t="str">
        <f>IF(D191="","",(VLOOKUP(D191,'DB technologies'!$N$96:$Y$107,2,FALSE)*'DB additional information '!$S$6/100*'DB additional information '!$V$6*VLOOKUP($C$182,'DB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Z191" s="433" t="str">
        <f>IF(D191="","",(VLOOKUP(D191,'DB technologies'!$N$96:$Y$107,3,FALSE)*'DB additional information '!$S$7/100*'DB additional information '!$V$7*VLOOKUP($C$182,'DB animal categories'!$C$68:$AC$80,27,FALSE)*E190/1000/1000*AH190/100)/VLOOKUP($C$182,'DB animal categories'!$C$68:$AC$80,27,FALSE)*(VLOOKUP($C$182,'DB animal categories'!$C$68:$AC$80,27,FALSE)-VLOOKUP($C$182,'DB animal categories'!$C$68:$AC$80,25,FALSE)*VLOOKUP($C$182,'DB animal categories'!$C$68:$AC$80,26,FALSE)/24))</f>
        <v/>
      </c>
      <c r="AA191" s="433" t="str">
        <f>IF(D191="","",(VLOOKUP(D191,'DB technologies'!$N$96:$Y$107,4,FALSE)*('DB additional information '!$S$8/100*'DB additional information '!$V$8*E190/1000/1000*AH190/100)))</f>
        <v/>
      </c>
      <c r="AB191" s="267" t="str">
        <f>IF($C$182=0,"",IF('Calc (ex-animal)'!$F$38=1,"",IF(D191="","",((VLOOKUP($C$182,'Calc (ex-animal)'!$D$38:$Y$42,16,FALSE)-VLOOKUP($C$182,'Calc (ex-animal)'!$D$38:$Y$42,20,FALSE))*F190/100*AH190/100+Y191+Z191+AA191))))</f>
        <v/>
      </c>
      <c r="AC191" s="267" t="str">
        <f>IF($C$182=0,"",IF('Calc (ex-animal)'!$F$38=1,"",IF(D191="","",VLOOKUP($C$182,'Calc (ex-animal)'!$D$38:$Y$42,9,FALSE)*AH190/100/VLOOKUP($C$182,'DB animal categories'!$C$68:$AC$80,27,FALSE)*(VLOOKUP($C$182,'DB animal categories'!$C$68:$AC$80,27,FALSE)-VLOOKUP($C$182,'DB animal categories'!$C$68:$AC$80,25,FALSE)*VLOOKUP($C$182,'DB animal categories'!$C$68:$AC$80,26,FALSE)/24)*F190/100*VLOOKUP(D191,'DB technologies'!$N$96:$R$107,5,FALSE)/100)))</f>
        <v/>
      </c>
      <c r="AD191" s="267" t="str">
        <f>IF($C$182=0,"",IF('Calc (ex-animal)'!$F$38=1,"",IF(D191="","",VLOOKUP($C$182,'Calc (ex-animal)'!$D$38:$Y$42,10,FALSE)*AH190/100/VLOOKUP($C$182,'DB animal categories'!$C$68:$AC$80,27,FALSE)*(VLOOKUP($C$182,'DB animal categories'!$C$68:$AC$80,27,FALSE)-VLOOKUP($C$182,'DB animal categories'!$C$68:$AC$80,25,FALSE)*VLOOKUP($C$182,'DB animal categories'!$C$68:$AC$80,26,FALSE)/24)*F190/100*VLOOKUP(D191,'DB technologies'!$N$96:$Y$107,6,FALSE)/100)))</f>
        <v/>
      </c>
      <c r="AE191" s="268" t="str">
        <f>IF($C$182=0,"",IF('Calc (ex-animal)'!$F$38=1,"",IF(D191="","",VLOOKUP($C$182,'Calc (ex-animal)'!$D$38:$Y$42,10,FALSE)*AH190/100/VLOOKUP($C$182,'DB animal categories'!$C$68:$AC$80,27,FALSE)*(VLOOKUP($C$182,'DB animal categories'!$C$68:$AC$80,27,FALSE)-VLOOKUP($C$182,'DB animal categories'!$C$68:$AC$80,25,FALSE)*VLOOKUP($C$182,'DB animal categories'!$C$68:$AC$80,26,FALSE)/24)*F190/100*VLOOKUP(D191,'DB technologies'!$N$96:$Y$107,7,FALSE)/100)))</f>
        <v/>
      </c>
      <c r="AG191" s="1392"/>
      <c r="AH191" s="1386"/>
      <c r="AI191" s="187" t="str">
        <f>IF(D191="","",VLOOKUP(D191,'DB technologies'!$N$96:$Y$107,10,FALSE))</f>
        <v/>
      </c>
      <c r="AJ191" s="451" t="e">
        <f>VLOOKUP($C$182,'DB animal categories'!$C$68:$AN$80,27,FALSE)-VLOOKUP($C$182,'DB animal categories'!$C$68:$AN$80,26,FALSE)*VLOOKUP($C$182,'DB animal categories'!$C$68:$AN$80,25,FALSE)/24</f>
        <v>#N/A</v>
      </c>
      <c r="AK191" s="452" t="str">
        <f t="shared" si="30"/>
        <v/>
      </c>
      <c r="AL191" s="452" t="str">
        <f>IF(D191="","",IF(AI191=2,(('Calc (ex-animal)'!$G$40*'DB additional information '!$K$12/100*AH190/100*(1-VLOOKUP(D191,'DB technologies'!$N$96:$Y$107,9,FALSE)/100)*'Calc (ex-housing, ex-storage)'!F190/100+'Calc (ex-animal)'!$H$40*'DB additional information '!$L$12/100*AH190/100*(1-VLOOKUP(D191,'DB technologies'!$N$96:$Y$107,9,FALSE)/100)*'Calc (ex-housing, ex-storage)'!F190/100))/VLOOKUP($C$182,'DB animal categories'!$C$68:$AC$80,27,FALSE)*AJ191+I191+J191+K191,IF(AI191=1,('Calc (ex-animal)'!$H$40*AH190/100*'DB additional information '!$L$12/100*(1-VLOOKUP(D191,'DB technologies'!$N$96:$Y$107,9,FALSE)/100)*'Calc (ex-housing, ex-storage)'!F190/100)/VLOOKUP($C$182,'DB animal categories'!$C$68:$AC$80,27,FALSE)*AJ191,IF(AI191=4,('Calc (ex-animal)'!$G$40*'DB additional information '!$K$12/100+'Calc (ex-animal)'!$H$40*'DB additional information '!$L$12/100)*AH190/100*(1-VLOOKUP(D191,'DB technologies'!$N$96:$Y$107,9,FALSE)/100)*'Calc (ex-housing, ex-storage)'!F190/100*VLOOKUP(D191,'DB technologies'!$N$96:$Y$107,11,FALSE)/100/VLOOKUP($C$182,'DB animal categories'!$C$68:$AC$80,27,FALSE)*AJ191,0))))</f>
        <v/>
      </c>
      <c r="AM191" s="452" t="str">
        <f>IF(D191="","",IF(AI191=2,(('Calc (ex-animal)'!$G$40*(1-'DB additional information '!$K$12/100)*AH190/100*(1-VLOOKUP(D191,'DB technologies'!$N$96:$Y$107,8,FALSE)/100)*'Calc (ex-housing, ex-storage)'!F190/100+'Calc (ex-animal)'!$H$40*(1-'DB additional information '!$L$12/100)*AH190/100*(1-VLOOKUP(D191,'DB technologies'!$N$96:$Y$107,8,FALSE)/100)*'Calc (ex-housing, ex-storage)'!F190/100))/VLOOKUP($C$182,'DB animal categories'!$C$68:$AC$80,27,FALSE)*AJ191+M191+N191+O191,IF(AI191=1,('Calc (ex-animal)'!$H$40*(1-'DB additional information '!$L$12/100)*AH190/100*(1-VLOOKUP(D191,'DB technologies'!$N$96:$Y$107,8,FALSE)/100)*'Calc (ex-housing, ex-storage)'!F190/100)/VLOOKUP($C$182,'DB animal categories'!$C$68:$AC$80,27,FALSE)*AJ191,IF(AI191=4,('Calc (ex-animal)'!$G$40*(1-'DB additional information '!$K$12/100)+'Calc (ex-animal)'!$H$40*(1-'DB additional information '!$L$12/100))*AH190/100*(1-VLOOKUP(D191,'DB technologies'!$N$96:$Y$107,8,FALSE)/100)*'Calc (ex-housing, ex-storage)'!F190/100*VLOOKUP(D191,'DB technologies'!$N$96:$Y$107,11,FALSE)/100/VLOOKUP($C$182,'DB animal categories'!$C$68:$AC$80,27,FALSE)*AJ191,0))))</f>
        <v/>
      </c>
      <c r="AN191" s="452" t="str">
        <f t="shared" si="31"/>
        <v/>
      </c>
      <c r="AO191" s="184" t="str">
        <f>IF(D191="","",IF(AI191=2,(('Calc (ex-animal)'!$L$40*'Calc (ex-housing, ex-storage)'!F190/100+'Calc (ex-animal)'!$K$40*'Calc (ex-housing, ex-storage)'!F190/100))*AH190/100/VLOOKUP($C$182,'DB animal categories'!$C$68:$AC$80,27,FALSE)*AJ191+Q191+R191+S191-AC191,IF(AI191=1,('Calc (ex-animal)'!$L$40*'Calc (ex-housing, ex-storage)'!F190/100)*AH190/100/VLOOKUP($C$182,'DB animal categories'!$C$68:$AC$80,27,FALSE)*AJ191-'Calc (ex-housing, ex-storage)'!AC191,IF(AI191=4,('Calc (ex-animal)'!$L$40+'Calc (ex-animal)'!$K$40)*'Calc (ex-housing, ex-storage)'!F190/100*AH190/100*VLOOKUP(D191,'DB technologies'!$N$96:$Y$107,11,FALSE)/100/VLOOKUP($C$182,'DB animal categories'!$C$68:$AC$80,27,FALSE)*AJ191-AC191*VLOOKUP(D191,'DB technologies'!$N$96:$Y$107,11,FALSE)/100,0))))</f>
        <v/>
      </c>
      <c r="AP191" s="184" t="str">
        <f>IF(D191="","",IF(AO191&lt;-0.01,0,IF(AI191=2,(('Calc (ex-animal)'!$L$40*'Calc (ex-housing, ex-storage)'!F190/100+'Calc (ex-animal)'!$K$40*'Calc (ex-housing, ex-storage)'!F190/100))*AH190/100/VLOOKUP($C$182,'DB animal categories'!$C$68:$AC$80,27,FALSE)*AJ191+Q191+R191+S191-AC191,IF(AI191=1,('Calc (ex-animal)'!$L$40*'Calc (ex-housing, ex-storage)'!F190/100)*AH190/100/VLOOKUP($C$182,'DB animal categories'!$C$68:$AC$80,27,FALSE)*AJ191-'Calc (ex-housing, ex-storage)'!AC191,IF(AI191=4,('Calc (ex-animal)'!$L$40+'Calc (ex-animal)'!$K$40)*'Calc (ex-housing, ex-storage)'!F190/100*AH190/100*VLOOKUP(D191,'DB technologies'!$N$96:$Y$107,11,FALSE)/100/VLOOKUP($C$182,'DB animal categories'!$C$68:$AC$80,27,FALSE)*AJ191-AC191*VLOOKUP(D191,'DB technologies'!$N$96:$Y$107,11,FALSE)/100,0)))))</f>
        <v/>
      </c>
      <c r="AQ191" s="184" t="str">
        <f>IF(D191="","",IF(AI191=2,('Calc (ex-animal)'!$O$40*'Calc (ex-housing, ex-storage)'!F190/100+'Calc (ex-animal)'!$N$40*'Calc (ex-housing, ex-storage)'!F190/100)*AH190/100/VLOOKUP($C$182,'DB animal categories'!$C$68:$AC$80,27,FALSE)*AJ191+U191+V191+W191,IF(AI191=1,'Calc (ex-animal)'!$O$40*'Calc (ex-housing, ex-storage)'!F190/100*AH190/100/VLOOKUP($C$182,'DB animal categories'!$C$68:$AC$80,27,FALSE)*AJ191,IF(AI191=4,('Calc (ex-animal)'!$O$40+'Calc (ex-animal)'!$N$40)*'Calc (ex-housing, ex-storage)'!F190/100*AH190/100*VLOOKUP(D191,'DB technologies'!$N$96:$Y$107,11,FALSE)/100/VLOOKUP($C$182,'DB animal categories'!$C$68:$AC$80,27,FALSE)*AJ191,0))))</f>
        <v/>
      </c>
      <c r="AR191" s="184" t="str">
        <f>IF(D191="","",IF(AI191=2,('Calc (ex-animal)'!$R$40*'Calc (ex-housing, ex-storage)'!F190/100+'Calc (ex-animal)'!$Q$40*'Calc (ex-housing, ex-storage)'!F190/100)*AH190/100/VLOOKUP($C$182,'DB animal categories'!$C$68:$AC$80,27,FALSE)*AJ191+Y191+Z191+AA191,IF(AI191=1,'Calc (ex-animal)'!$R$40*'Calc (ex-housing, ex-storage)'!F190/100*AH190/100/VLOOKUP($C$182,'DB animal categories'!$C$68:$AC$80,27,FALSE)*AJ191,IF(AI191=4,('Calc (ex-animal)'!$R$40+'Calc (ex-animal)'!$Q$40)*'Calc (ex-housing, ex-storage)'!F190/100*AH190/100*VLOOKUP(D191,'DB technologies'!$N$96:$Y$107,11,FALSE)/100/VLOOKUP($C$182,'DB animal categories'!$C$68:$AC$80,27,FALSE)*AJ191,0))))</f>
        <v/>
      </c>
      <c r="AS191" s="183" t="str">
        <f>IF(D191="","",VLOOKUP(D191,'DB technologies'!$N$96:$Y$107,10,FALSE))</f>
        <v/>
      </c>
      <c r="AT191" s="452" t="str">
        <f t="shared" si="32"/>
        <v/>
      </c>
      <c r="AU191" s="452" t="str">
        <f>IF(D191="","",IF(AS191=2,0,IF(AS191=1,'Calc (ex-animal)'!$G$40*'DB additional information '!$K$12/100*AH190/100*(1-VLOOKUP(D191,'DB technologies'!$N$96:$Y$107,8,FALSE)/100)*'Calc (ex-housing, ex-storage)'!F190/100/VLOOKUP($C$182,'DB animal categories'!$C$68:$AC$80,27,FALSE)*AJ191+I191+J191+K191,IF(AS191=5,(('Calc (ex-animal)'!$G$40*'DB additional information '!$K$12/100+'Calc (ex-animal)'!$H$40*'DB additional information '!$L$12/100))*AH190/100*(1-VLOOKUP(D191,'DB technologies'!$N$96:$Y$107,9,FALSE)/100)*'Calc (ex-housing, ex-storage)'!F190/100/VLOOKUP($C$182,'DB animal categories'!$C$68:$AC$80,27,FALSE)*AJ191+I191+J191+K191,IF(AS191=3,('Calc (ex-animal)'!$G$40*'DB additional information '!$K$12/100+'Calc (ex-animal)'!$H$40*'DB additional information '!$L$12/100)*AH190/100*(1-VLOOKUP(D191,'DB technologies'!$N$96:$Y$107,9,FALSE)/100)*'Calc (ex-housing, ex-storage)'!F190/100/VLOOKUP($C$182,'DB animal categories'!$C$68:$AC$80,27,FALSE)*AJ191+I191+J191+K191,IF(AS191=4,('Calc (ex-animal)'!$G$40*'DB additional information '!$K$12/100+'Calc (ex-animal)'!$H$40*'DB additional information '!$L$12/100)*AH190/100*(1-VLOOKUP(D191,'DB technologies'!$N$96:$Y$107,9,FALSE)/100)*'Calc (ex-housing, ex-storage)'!F190/100*VLOOKUP(D191,'DB technologies'!$N$96:$Y$107,12,FALSE)/100/VLOOKUP($C$182,'DB animal categories'!$C$68:$AC$80,27,FALSE)*AJ191+I191+J191+K191,0))))))</f>
        <v/>
      </c>
      <c r="AV191" s="452" t="str">
        <f>IF(D191="","",IF(AS191=2,0,IF(AS191=1,'Calc (ex-animal)'!$G$40*(1-'DB additional information '!$K$12/100)*AH190/100*(1-VLOOKUP(D191,'DB technologies'!$N$96:$Y$107,8,FALSE)/100)*'Calc (ex-housing, ex-storage)'!F190/100/VLOOKUP($C$182,'DB animal categories'!$C$68:$AC$80,27,FALSE)*AJ191+M191+N191+O191,IF(AS191=5,('Calc (ex-animal)'!$G$40*(1-'DB additional information '!$K$12/100)+'Calc (ex-animal)'!$H$40*(1-'DB additional information '!$L$12/100))*AH190/100*(1-VLOOKUP(D191,'DB technologies'!$N$96:$Y$107,8,FALSE)/100)*'Calc (ex-housing, ex-storage)'!F190/100/VLOOKUP($C$182,'DB animal categories'!$C$68:$AC$80,27,FALSE)*AJ191+M191+N191+O191,IF(AS191=3,('Calc (ex-animal)'!$G$40*(1-'DB additional information '!$K$12/100)+'Calc (ex-animal)'!$H$40*(1-'DB additional information '!$L$12/100))*AH190/100*(1-VLOOKUP(D191,'DB technologies'!$N$96:$Y$107,8,FALSE)/100)*'Calc (ex-housing, ex-storage)'!F190/100/VLOOKUP($C$182,'DB animal categories'!$C$68:$AC$80,27,FALSE)*AJ191+M191+N191+O191,IF(AS191=4,('Calc (ex-animal)'!$G$40*(1-'DB additional information '!$K$12/100)+'Calc (ex-animal)'!$H$40*(1-'DB additional information '!$L$12/100))*AH190/100*(1-VLOOKUP(D191,'DB technologies'!$N$96:$Y$107,8,FALSE)/100)*'Calc (ex-housing, ex-storage)'!F190/100*VLOOKUP(D191,'DB technologies'!$N$96:$Y$107,12,FALSE)/100/VLOOKUP($C$182,'DB animal categories'!$C$68:$AC$80,27,FALSE)*AJ191+M191+N191+O191,0))))))</f>
        <v/>
      </c>
      <c r="AW191" s="452" t="str">
        <f t="shared" si="33"/>
        <v/>
      </c>
      <c r="AX191" s="184" t="str">
        <f>IF(D191="","",IF(AS191=2,0,IF(AS191=1,'Calc (ex-animal)'!$K$40*'Calc (ex-housing, ex-storage)'!F190/100*AH190/100/VLOOKUP($C$182,'DB animal categories'!$C$68:$AC$80,27,FALSE)*AJ191+Q191+R191+S191,IF(AS191=5,('Calc (ex-animal)'!$K$40+'Calc (ex-animal)'!$L$40)*AH190/100*'Calc (ex-housing, ex-storage)'!F190/100/VLOOKUP($C$182,'DB animal categories'!$C$68:$AC$80,27,FALSE)*AJ191+Q191+R191+S191-'Calc (ex-housing, ex-storage)'!AC191,IF(AS191=3,('Calc (ex-animal)'!$K$40+'Calc (ex-animal)'!$L$40)*AH190/100*'Calc (ex-housing, ex-storage)'!F190/100/VLOOKUP($C$182,'DB animal categories'!$C$68:$AC$80,27,FALSE)*AJ191+Q191+R191+S191-'Calc (ex-housing, ex-storage)'!AC191-AD191-AE191,IF(AI191=4,('Calc (ex-animal)'!$K$40+'Calc (ex-animal)'!$L$40)*AH190/100*'Calc (ex-housing, ex-storage)'!F190/100*VLOOKUP(D191,'DB technologies'!$N$96:$Y$107,12,FALSE)/100/VLOOKUP($C$182,'DB animal categories'!$C$68:$AC$80,27,FALSE)*AJ191+Q191+R191+S191-(VLOOKUP(D191,'DB technologies'!$N$96:$Y$107,12,FALSE)/100*AC191)-AD191-AE191,0))))))</f>
        <v/>
      </c>
      <c r="AY191" s="184" t="str">
        <f>IF(D191="","",IF(AS191=2,0,IF(AS191=1,'Calc (ex-animal)'!$N$40*AH190/100*'Calc (ex-housing, ex-storage)'!F190/100/VLOOKUP($C$182,'DB animal categories'!$C$68:$AC$80,27,FALSE)*AJ191+U191+V191+W191,IF(AS191=5,('Calc (ex-animal)'!$N$40+'Calc (ex-animal)'!$O$40)*AH190/100*'Calc (ex-housing, ex-storage)'!F190/100/VLOOKUP($C$182,'DB animal categories'!$C$68:$AC$80,27,FALSE)*AJ191+U191+V191+W191,IF(AS191=3,('Calc (ex-animal)'!$N$40+'Calc (ex-animal)'!$O$40)*AH190/100*'Calc (ex-housing, ex-storage)'!F190/100/VLOOKUP($C$182,'DB animal categories'!$C$68:$AC$80,27,FALSE)*AJ191+U191+V191+W191,IF(AS191=4,('Calc (ex-animal)'!$N$40+'Calc (ex-animal)'!$O$40)*AH190/100*'Calc (ex-housing, ex-storage)'!F190/100*VLOOKUP(D191,'DB technologies'!$N$96:$Y$107,12,FALSE)/100/VLOOKUP($C$182,'DB animal categories'!$C$68:$AC$80,27,FALSE)*AJ191+U191+V191+W191,0))))))</f>
        <v/>
      </c>
      <c r="AZ191" s="184" t="str">
        <f>IF(D191="","",IF(AS191=2,0,IF(AS191=1,'Calc (ex-animal)'!$Q$40*AH190/100*'Calc (ex-housing, ex-storage)'!F190/100/VLOOKUP($C$182,'DB animal categories'!$C$68:$AC$80,27,FALSE)*AJ191+Y191+Z191+AA191,IF(AS191=5,('Calc (ex-animal)'!$Q$40+'Calc (ex-animal)'!$R$40)*AH190/100*'Calc (ex-housing, ex-storage)'!F190/100/VLOOKUP($C$182,'DB animal categories'!$C$68:$AC$80,27,FALSE)*AJ191+Y191+Z191+AA191,IF(AS191=3,('Calc (ex-animal)'!$Q$40+'Calc (ex-animal)'!$R$40)*AH190/100*'Calc (ex-housing, ex-storage)'!F190/100/VLOOKUP($C$182,'DB animal categories'!$C$68:$AC$80,27,FALSE)*AJ191+Y191+Z191+AA191,IF(AS191=4,('Calc (ex-animal)'!$Q$40+'Calc (ex-animal)'!$R$40)*AH190/100*'Calc (ex-housing, ex-storage)'!F190/100*VLOOKUP(D191,'DB technologies'!$N$96:$Y$107,12,FALSE)/100/VLOOKUP($C$182,'DB animal categories'!$C$68:$AC$80,27,FALSE)*AJ191+Y191+Z191+AA191,0))))))</f>
        <v/>
      </c>
      <c r="BA191" s="506"/>
      <c r="BB191" s="506"/>
      <c r="BC191" s="506"/>
    </row>
    <row r="192" spans="1:55" ht="12" thickBot="1" x14ac:dyDescent="0.25">
      <c r="A192" s="684"/>
      <c r="B192" s="695"/>
      <c r="C192" s="252"/>
      <c r="D192" s="269" t="s">
        <v>58</v>
      </c>
      <c r="E192" s="270">
        <f>IF('Calc (ex-animal)'!F40=1,'Calc (ex-animal)'!E40,IF(F192&lt;=100,SUM(E182:E191),"ERROR"))</f>
        <v>0</v>
      </c>
      <c r="F192" s="284">
        <f>IF('Calc (ex-animal)'!F40=1,100,IF(SUM(F182:F191) &lt;=100,SUM(F182:F191),"ERROR, SUM&gt;100%"))</f>
        <v>0</v>
      </c>
      <c r="G192" s="546">
        <f>IF('Calc (ex-animal)'!$F$38=1,"",SUM(G182:G191))</f>
        <v>0</v>
      </c>
      <c r="H192" s="421">
        <f>IF('Calc (ex-animal)'!$F$38=1,"",SUM(H182:H191))</f>
        <v>0</v>
      </c>
      <c r="I192" s="421">
        <f>IF('Calc (ex-animal)'!$F$38=1,"",SUM(I182:I191))</f>
        <v>0</v>
      </c>
      <c r="J192" s="421">
        <f>IF('Calc (ex-animal)'!$F$38=1,"",SUM(J182:J191))</f>
        <v>0</v>
      </c>
      <c r="K192" s="421">
        <f>IF('Calc (ex-animal)'!$F$38=1,"",SUM(K182:K191))</f>
        <v>0</v>
      </c>
      <c r="L192" s="421">
        <f>IF('Calc (ex-animal)'!$F$38=1,"",SUM(L182:L191))</f>
        <v>0</v>
      </c>
      <c r="M192" s="522"/>
      <c r="N192" s="522"/>
      <c r="O192" s="522"/>
      <c r="P192" s="496">
        <f>IF(G192=0,0,IF('Calc (ex-animal)'!$F$38=1,"",IF(D192="","",SUM(H192:K192)/G192*100)))</f>
        <v>0</v>
      </c>
      <c r="Q192" s="522"/>
      <c r="R192" s="522"/>
      <c r="S192" s="547"/>
      <c r="T192" s="279">
        <f>IF('Calc (ex-animal)'!$F$40=1,"",SUM(T182:T191))</f>
        <v>0</v>
      </c>
      <c r="U192" s="433"/>
      <c r="V192" s="433"/>
      <c r="W192" s="433"/>
      <c r="X192" s="279">
        <f>IF('Calc (ex-animal)'!$F$40=1,"",SUM(X182:X191))</f>
        <v>0</v>
      </c>
      <c r="Y192" s="433"/>
      <c r="Z192" s="433"/>
      <c r="AA192" s="433"/>
      <c r="AB192" s="279">
        <f>IF('Calc (ex-animal)'!$F$40=1,"",SUM(AB182:AB191))</f>
        <v>0</v>
      </c>
      <c r="AC192" s="279">
        <f>IF('Calc (ex-animal)'!$F$40=1,"",SUM(AC182:AC191))</f>
        <v>0</v>
      </c>
      <c r="AD192" s="279">
        <f>IF('Calc (ex-animal)'!$F$40=1,"",SUM(AD182:AD191))</f>
        <v>0</v>
      </c>
      <c r="AE192" s="280">
        <f>IF('Calc (ex-animal)'!$F$40=1,"",SUM(AE182:AE191))</f>
        <v>0</v>
      </c>
      <c r="AJ192" s="450"/>
      <c r="AK192" s="450"/>
      <c r="AL192" s="450"/>
      <c r="AM192" s="450"/>
      <c r="AN192" s="450"/>
      <c r="AQ192" s="97"/>
      <c r="AT192" s="450"/>
      <c r="AU192" s="450"/>
      <c r="AV192" s="450"/>
      <c r="AW192" s="450"/>
    </row>
    <row r="193" spans="1:55" x14ac:dyDescent="0.2">
      <c r="A193" s="684"/>
      <c r="B193" s="695"/>
      <c r="C193" s="250">
        <f>'Calc (ex-animal)'!D41</f>
        <v>0</v>
      </c>
      <c r="D193" s="1355"/>
      <c r="E193" s="1368"/>
      <c r="F193" s="700" t="str">
        <f>IF('Calc (ex-animal)'!$F$38=1,"",IF($C$193=0,"",IF(D193="","",E193/'Calc (ex-animal)'!$E$41*100)))</f>
        <v/>
      </c>
      <c r="G193" s="443" t="str">
        <f>IF($C$193=0,"",IF('Calc (ex-animal)'!$F$38=1,"",IF(D193="","",SUM(H193:O193))))</f>
        <v/>
      </c>
      <c r="H193" s="471" t="str">
        <f>IF('Calc (ex-animal)'!$F$38=1,"",IF(D193="","",(((VLOOKUP($C$193,'Calc (ex-animal)'!$D$38:$Y$42,6,FALSE)-VLOOKUP($C$193,'Calc (ex-animal)'!$D$38:$Y$42,17,FALSE))*F193/100*AG193/100))*VLOOKUP($C$193,'Calc (ex-animal)'!$D$38:$Y$42,7,FALSE)/100*(1-VLOOKUP(D193,'DB technologies'!$N$83:$Y$94,9,FALSE)/100)))</f>
        <v/>
      </c>
      <c r="I193" s="471" t="str">
        <f>IF(D193="","",((VLOOKUP(D193,'DB technologies'!$N$83:$Y$94,2,FALSE)*VLOOKUP($C$193,'DB animal categories'!$C$68:$AC$80,27,FALSE)*E193/1000*AG193/100)/VLOOKUP($C$193,'DB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'!$S$6/100*(1-VLOOKUP(D193,'DB technologies'!$N$83:$Y$94,9,FALSE)/100)))</f>
        <v/>
      </c>
      <c r="J193" s="472" t="str">
        <f>IF(D193="","",((VLOOKUP(D193,'DB technologies'!$N$83:$Y$94,3,FALSE)*VLOOKUP($C$193,'DB animal categories'!$C$68:$AC$80,27,FALSE)*E193/1000*AG193/100)/VLOOKUP($C$193,'DB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'!$S$7/100*(1-VLOOKUP(D193,'DB technologies'!$N$83:$Y$94,9,FALSE)/100)))</f>
        <v/>
      </c>
      <c r="K193" s="525" t="str">
        <f>IF(D193="","",((VLOOKUP(D193,'DB technologies'!$N$83:$Y$94,4,FALSE)*E193*AG193/100*'DB additional information '!$S$8/100*(1-VLOOKUP(D193,'DB technologies'!$N$83:$Y$94,9,FALSE)/100))/VLOOKUP($C$193,'DB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3" s="471" t="str">
        <f>IF('Calc (ex-animal)'!$F$38=1,"",IF(D193="","",(((VLOOKUP($C$193,'Calc (ex-animal)'!$D$38:$Y$42,6,FALSE)-VLOOKUP($C$193,'Calc (ex-animal)'!$D$38:$Y$42,17,FALSE))*F193/100*AG193/100))*(1-VLOOKUP($C$193,'Calc (ex-animal)'!$D$38:$Y$42,7,FALSE)/100)*(1-VLOOKUP(D193,'DB technologies'!$N$83:$V$94,8,FALSE)/100)))</f>
        <v/>
      </c>
      <c r="M193" s="472" t="str">
        <f>IF(D193="","",((VLOOKUP(D193,'DB technologies'!$N$83:$Y$94,2,FALSE)*VLOOKUP($C$193,'DB animal categories'!$C$68:$AC$80,27,FALSE)*E193/1000*AG193/100)/VLOOKUP($C$193,'DB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'!$S$6/100)*(1-VLOOKUP(D193,'DB technologies'!$N$83:$Y$94,9,FALSE)/100))</f>
        <v/>
      </c>
      <c r="N193" s="472" t="str">
        <f>IF(D193="","",((VLOOKUP(D193,'DB technologies'!$N$83:$Y$94,3,FALSE)*VLOOKUP($C$193,'DB animal categories'!$C$68:$AC$80,27,FALSE)*E193/1000*AG193/100)/VLOOKUP($C$193,'DB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'!$S$7/100)*(1-VLOOKUP(D193,'DB technologies'!$N$83:$Y$94,9,FALSE)/100))</f>
        <v/>
      </c>
      <c r="O193" s="471" t="str">
        <f>IF(D193="","",((VLOOKUP(D193,'DB technologies'!$N$83:$Y$94,4,FALSE)*E193*AG193/100*(1-'DB additional information '!$S$8/100)*(1-VLOOKUP(D193,'DB technologies'!$N$83:$Y$94,8,FALSE)/100))/VLOOKUP($C$193,'DB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3" s="443" t="str">
        <f>IF(G193=0,0,IF(E193="","",IF(F193="","",IF($C$193=0,"",IF(D193="","",SUM(H193:K193)/G193*100)))))</f>
        <v/>
      </c>
      <c r="Q193" s="473" t="str">
        <f>IF(D193="","",(VLOOKUP(D193,'DB technologies'!$N$83:$Y$94,2,FALSE)*'DB additional information '!$S$6/100*'DB additional information '!$T$6*VLOOKUP($C$193,'DB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3" s="473" t="str">
        <f>IF(D193="","",(VLOOKUP(D193,'DB technologies'!$N$83:$Y$94,3,FALSE)*'DB additional information '!$S$7/100*'DB additional information '!$T$7*VLOOKUP($C$193,'DB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3" s="490" t="str">
        <f>IF(D193="","",(VLOOKUP(D193,'DB technologies'!$N$83:$Y$94,4,FALSE)*('DB additional information '!$S$8/100*'DB additional information '!$T$8*E193/1000/1000*AG193/100)))</f>
        <v/>
      </c>
      <c r="T193" s="263" t="str">
        <f>IF($C$193=0,"",IF('Calc (ex-animal)'!$F$38=1,"",IF(D193="","",((VLOOKUP($C$193,'Calc (ex-animal)'!$D$38:$Y$42,10,FALSE)-VLOOKUP($C$193,'Calc (ex-animal)'!$D$38:$Y$42,18,FALSE))*F193/100*AG193/100+Q193+R193+S193)-AC193-AD193-AE193)))</f>
        <v/>
      </c>
      <c r="U193" s="474" t="str">
        <f>IF(D193="","",(VLOOKUP(D193,'DB technologies'!$N$83:$Y$94,2,FALSE)*'DB additional information '!$S$6/100*'DB additional information '!$U$6*VLOOKUP($C$193,'DB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3" s="420" t="str">
        <f>IF(D193="","",(VLOOKUP(D193,'DB technologies'!$N$83:$Y$94,3,FALSE)*'DB additional information '!$S$7/100*'DB additional information '!$U$7*VLOOKUP($C$193,'DB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3" s="415" t="str">
        <f>IF(D193="","",(VLOOKUP(D193,'DB technologies'!$N$83:$Y$94,4,FALSE)*('DB additional information '!$S$8/100*'DB additional information '!$U$8*E193/1000/1000*AG193/100)))</f>
        <v/>
      </c>
      <c r="X193" s="259" t="str">
        <f>IF($C$193=0,"",IF('Calc (ex-animal)'!$F$38=1,"",IF(D193="","",((VLOOKUP($C$193,'Calc (ex-animal)'!$D$38:$Y$42,13,FALSE)-VLOOKUP($C$193,'Calc (ex-animal)'!$D$38:$Y$42,19,FALSE))*F193/100*AG193/100+U193+V193+W193))))</f>
        <v/>
      </c>
      <c r="Y193" s="420" t="str">
        <f>IF(D193="","",(VLOOKUP(D193,'DB technologies'!$N$83:$Y$94,2,FALSE)*'DB additional information '!$S$6/100*'DB additional information '!$V$6*VLOOKUP($C$193,'DB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3" s="420" t="str">
        <f>IF(D193="","",(VLOOKUP(D193,'DB technologies'!$N$83:$Y$94,3,FALSE)*'DB additional information '!$S$7/100*'DB additional information '!$V$7*VLOOKUP($C$193,'DB animal categories'!$C$68:$AC$80,27,FALSE)*E193/1000/1000*AG193/100)/VLOOKUP($C$193,'DB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3" s="420" t="str">
        <f>IF(D193="","",(VLOOKUP(D193,'DB technologies'!$N$83:$Y$94,4,FALSE)*('DB additional information '!$S$8/100*'DB additional information '!$V$8*E193/1000/1000*AG193/100)))</f>
        <v/>
      </c>
      <c r="AB193" s="259" t="str">
        <f>IF($C$193=0,"",IF('Calc (ex-animal)'!$F$38=1,"",IF(D193="","",((VLOOKUP($C$193,'Calc (ex-animal)'!$D$38:$Y$42,16,FALSE)-VLOOKUP($C$193,'Calc (ex-animal)'!$D$38:$Y$42,20,FALSE))*F193/100*AG193/100+Y193+Z193+AA193))))</f>
        <v/>
      </c>
      <c r="AC193" s="259" t="str">
        <f>IF($C$193=0,"",IF('Calc (ex-animal)'!$F$38=1,"",IF(D193="","",VLOOKUP($C$193,'Calc (ex-animal)'!$D$38:$Y$42,9,FALSE)*AG193/100/VLOOKUP($C$193,'DB animal categories'!$C$68:$AC$80,27,FALSE)*(VLOOKUP($C$193,'DB animal categories'!$C$68:$AC$80,27,FALSE)-VLOOKUP($C$193,'DB animal categories'!$C$68:$AC$80,25,FALSE)*VLOOKUP($C$193,'DB animal categories'!$C$68:$AC$80,26,FALSE)/24)*F193/100*VLOOKUP(D193,'DB technologies'!$N$83:$R$94,5,FALSE)/100)))</f>
        <v/>
      </c>
      <c r="AD193" s="259" t="str">
        <f>IF($C$193=0,"",IF('Calc (ex-animal)'!$F$38=1,"",IF(D193="","",VLOOKUP($C$193,'Calc (ex-animal)'!$D$38:$Y$42,10,FALSE)*AG193/100/VLOOKUP($C$193,'DB animal categories'!$C$68:$AC$80,27,FALSE)*(VLOOKUP($C$193,'DB animal categories'!$C$68:$AC$80,27,FALSE)-VLOOKUP($C$193,'DB animal categories'!$C$68:$AC$80,25,FALSE)*VLOOKUP($C$193,'DB animal categories'!$C$68:$AC$80,26,FALSE)/24)*F193/100*VLOOKUP(D193,'DB technologies'!$N$83:$Y$94,6,FALSE)/100)))</f>
        <v/>
      </c>
      <c r="AE193" s="260" t="str">
        <f>IF($C$193=0,"",IF('Calc (ex-animal)'!$F$38=1,"",IF(D193="","",VLOOKUP($C$193,'Calc (ex-animal)'!$D$38:$Y$42,10,FALSE)*AG193/100/VLOOKUP($C$193,'DB animal categories'!$C$68:$AC$80,27,FALSE)*(VLOOKUP($C$193,'DB animal categories'!$C$68:$AC$80,27,FALSE)-VLOOKUP($C$193,'DB animal categories'!$C$68:$AC$80,25,FALSE)*VLOOKUP($C$193,'DB animal categories'!$C$68:$AC$80,26,FALSE)/24)*F193/100*VLOOKUP(D193,'DB technologies'!$N$83:$Y$94,7,FALSE)/100)))</f>
        <v/>
      </c>
      <c r="AG193" s="1377"/>
      <c r="AH193" s="1378"/>
      <c r="AI193" s="185" t="str">
        <f>IF(D193="","",VLOOKUP(D193,'DB technologies'!$N$82:$Y$94,10,FALSE))</f>
        <v/>
      </c>
      <c r="AJ193" s="482" t="e">
        <f>VLOOKUP($C$193,'DB animal categories'!$C$68:$AN$80,27,FALSE)-VLOOKUP($C$193,'DB animal categories'!$C$68:$AN$80,26,FALSE)*VLOOKUP($C$193,'DB animal categories'!$C$68:$AN$80,25,FALSE)/24</f>
        <v>#N/A</v>
      </c>
      <c r="AK193" s="453" t="str">
        <f>IF(AI193="","",AL193+AM193)</f>
        <v/>
      </c>
      <c r="AL193" s="453" t="str">
        <f>IF(D193="","",IF(AI193=2,(('Calc (ex-animal)'!$G$41*'DB additional information '!$K$12/100*AG193/100*(1-VLOOKUP(D193,'DB technologies'!$N$82:$Y$94,9,FALSE)/100)*'Calc (ex-housing, ex-storage)'!F193/100+'Calc (ex-animal)'!$H$41*'DB additional information '!$L$12/100*AG193/100*(1-VLOOKUP(D193,'DB technologies'!$N$82:$Y$94,9,FALSE)/100)*'Calc (ex-housing, ex-storage)'!F193/100))/VLOOKUP($C$193,'DB animal categories'!$C$68:$AC$80,27,FALSE)*AJ193+I193+J193+K193,IF(AI193=1,('Calc (ex-animal)'!$H$41*AG193/100*'DB additional information '!$L$12/100*(1-VLOOKUP(D193,'DB technologies'!$N$82:$Y$94,9,FALSE)/100)*'Calc (ex-housing, ex-storage)'!F193/100)/VLOOKUP($C$193,'DB animal categories'!$C$68:$AC$80,27,FALSE)*AJ193,IF(AI193=4,('Calc (ex-animal)'!$G$41*'DB additional information '!$K$12/100+'Calc (ex-animal)'!$H$41*'DB additional information '!$L$12/100)*AG193/100*(1-VLOOKUP(D193,'DB technologies'!$N$82:$Y$94,9,FALSE)/100)*'Calc (ex-housing, ex-storage)'!F193/100*VLOOKUP(D193,'DB technologies'!$N$82:$Y$94,11,FALSE)/100/VLOOKUP($C$193,'DB animal categories'!$C$68:$AC$80,27,FALSE)*AJ193,0))))</f>
        <v/>
      </c>
      <c r="AM193" s="453" t="str">
        <f>IF(D193="","",IF(AI193=2,(('Calc (ex-animal)'!$G$41*(1-'DB additional information '!$K$12/100)*AG193/100*(1-VLOOKUP(D193,'DB technologies'!$N$82:$Y$94,8,FALSE)/100)*'Calc (ex-housing, ex-storage)'!F193/100+'Calc (ex-animal)'!$H$41*(1-'DB additional information '!$L$12/100)*AG193/100*(1-VLOOKUP(D193,'DB technologies'!$N$82:$Y$94,8,FALSE)/100)*'Calc (ex-housing, ex-storage)'!F193/100))/VLOOKUP($C$193,'DB animal categories'!$C$68:$AC$80,27,FALSE)*AJ193+M193+N193+O193,IF(AI193=1,('Calc (ex-animal)'!$H$41*(1-'DB additional information '!$L$12/100)*AG193/100*(1-VLOOKUP(D193,'DB technologies'!$N$82:$Y$94,8,FALSE)/100)*'Calc (ex-housing, ex-storage)'!F193/100)/VLOOKUP($C$193,'DB animal categories'!$C$68:$AC$80,27,FALSE)*AJ193,IF(AI193=4,('Calc (ex-animal)'!$G$41*(1-'DB additional information '!$K$12/100)+'Calc (ex-animal)'!$H$41*(1-'DB additional information '!$L$12/100))*AG193/100*(1-VLOOKUP(D193,'DB technologies'!$N$82:$Y$94,8,FALSE)/100)*'Calc (ex-housing, ex-storage)'!F193/100*VLOOKUP(D193,'DB technologies'!$N$82:$Y$94,11,FALSE)/100/VLOOKUP($C$193,'DB animal categories'!$C$68:$AC$80,27,FALSE)*AJ193,0))))</f>
        <v/>
      </c>
      <c r="AN193" s="453" t="str">
        <f>IF(AI193="","",IF(AL193=0,0,AL193/AK193*100))</f>
        <v/>
      </c>
      <c r="AO193" s="180" t="str">
        <f>IF(D193="","",IF(AI193=2,(('Calc (ex-animal)'!$L$41*'Calc (ex-housing, ex-storage)'!F193/100+'Calc (ex-animal)'!$K$41*'Calc (ex-housing, ex-storage)'!F193/100))*AG193/100/VLOOKUP($C$193,'DB animal categories'!$C$68:$AC$80,27,FALSE)*AJ193+Q193+R193+S193-AC193,IF(AI193=1,('Calc (ex-animal)'!$L$41*'Calc (ex-housing, ex-storage)'!F193/100)*AG193/100/VLOOKUP($C$193,'DB animal categories'!$C$68:$AC$80,27,FALSE)*AJ193-'Calc (ex-housing, ex-storage)'!AC193,IF(AI193=4,('Calc (ex-animal)'!$L$41+'Calc (ex-animal)'!$K$41)*'Calc (ex-housing, ex-storage)'!F193/100*AG193/100*VLOOKUP(D193,'DB technologies'!$N$82:$Y$94,11,FALSE)/100/VLOOKUP($C$193,'DB animal categories'!$C$68:$AC$80,27,FALSE)*AJ193-AC193*VLOOKUP(D193,'DB technologies'!$N$82:$Y$94,11,FALSE)/100,0))))</f>
        <v/>
      </c>
      <c r="AP193" s="180" t="str">
        <f>IF(D193="","",IF(AO193&lt;-0.01,0,IF(AI193=2,(('Calc (ex-animal)'!$L$41*'Calc (ex-housing, ex-storage)'!F193/100+'Calc (ex-animal)'!$K$41*'Calc (ex-housing, ex-storage)'!F193/100))*AG193/100/VLOOKUP($C$193,'DB animal categories'!$C$68:$AC$80,27,FALSE)*AJ193+Q193+R193+S193-AC193,IF(AI193=1,('Calc (ex-animal)'!$L$41*'Calc (ex-housing, ex-storage)'!F193/100)*AG193/100/VLOOKUP($C$193,'DB animal categories'!$C$68:$AC$80,27,FALSE)*AJ193-'Calc (ex-housing, ex-storage)'!AC193,IF(AI193=4,('Calc (ex-animal)'!$L$41+'Calc (ex-animal)'!$K$41)*'Calc (ex-housing, ex-storage)'!F193/100*AG193/100*VLOOKUP(D193,'DB technologies'!$N$82:$Y$94,11,FALSE)/100/VLOOKUP($C$193,'DB animal categories'!$C$68:$AC$80,27,FALSE)*AJ193-AC193*VLOOKUP(D193,'DB technologies'!$N$82:$Y$94,11,FALSE)/100,0)))))</f>
        <v/>
      </c>
      <c r="AQ193" s="180" t="str">
        <f>IF(D193="","",IF(AI193=2,('Calc (ex-animal)'!$O$41*'Calc (ex-housing, ex-storage)'!F193/100+'Calc (ex-animal)'!$N$41*'Calc (ex-housing, ex-storage)'!F193/100)*AG193/100/VLOOKUP($C$193,'DB animal categories'!$C$68:$AC$80,27,FALSE)*AJ193+U193+V193+W193,IF(AI193=1,'Calc (ex-animal)'!$O$41*'Calc (ex-housing, ex-storage)'!F193/100*AG193/100/VLOOKUP($C$193,'DB animal categories'!$C$68:$AC$80,27,FALSE)*AJ193,IF(AI193=4,('Calc (ex-animal)'!$O$41+'Calc (ex-animal)'!$N$41)*'Calc (ex-housing, ex-storage)'!F193/100*AG193/100*VLOOKUP(D193,'DB technologies'!$N$82:$Y$94,11,FALSE)/100/VLOOKUP($C$193,'DB animal categories'!$C$68:$AC$80,27,FALSE)*AJ193,0))))</f>
        <v/>
      </c>
      <c r="AR193" s="180" t="str">
        <f>IF(D193="","",IF(AI193=2,('Calc (ex-animal)'!$R$41*'Calc (ex-housing, ex-storage)'!F193/100+'Calc (ex-animal)'!$Q$41*'Calc (ex-housing, ex-storage)'!F193/100)*AG193/100/VLOOKUP($C$193,'DB animal categories'!$C$68:$AC$80,27,FALSE)*AJ193+Y193+Z193+AA193,IF(AI193=1,'Calc (ex-animal)'!$R$41*'Calc (ex-housing, ex-storage)'!F193/100*AG193/100/VLOOKUP($C$193,'DB animal categories'!$C$68:$AC$80,27,FALSE)*AJ193,IF(AI193=4,('Calc (ex-animal)'!$R$41+'Calc (ex-animal)'!$Q$41)*'Calc (ex-housing, ex-storage)'!F193/100*AG193/100*VLOOKUP(D193,'DB technologies'!$N$82:$Y$94,11,FALSE)/100/VLOOKUP($C$193,'DB animal categories'!$C$68:$AC$80,27,FALSE)*AJ193,0))))</f>
        <v/>
      </c>
      <c r="AS193" s="179" t="str">
        <f>IF(D193="","",VLOOKUP(D193,'DB technologies'!$N$82:$Y$94,10,FALSE))</f>
        <v/>
      </c>
      <c r="AT193" s="453" t="str">
        <f>IF(AS193="","",AU193+AV193)</f>
        <v/>
      </c>
      <c r="AU193" s="453" t="str">
        <f>IF(D193="","",IF(AS193=2,0,IF(AS193=1,'Calc (ex-animal)'!$G$41*'DB additional information '!$K$12/100*AG193/100*(1-VLOOKUP(D193,'DB technologies'!$N$82:$Y$94,8,FALSE)/100)*'Calc (ex-housing, ex-storage)'!F193/100/VLOOKUP($C$193,'DB animal categories'!$C$68:$AC$80,27,FALSE)*AJ193+I193+J193+K193,IF(AS193=5,(('Calc (ex-animal)'!$G$41*'DB additional information '!$K$12/100+'Calc (ex-animal)'!$H$41*'DB additional information '!$L$12/100))*AG193/100*(1-VLOOKUP(D193,'DB technologies'!$N$82:$Y$94,9,FALSE)/100)*'Calc (ex-housing, ex-storage)'!F193/100/VLOOKUP($C$193,'DB animal categories'!$C$68:$AC$80,27,FALSE)*AJ193+I193+J193+K193,IF(AS193=3,('Calc (ex-animal)'!$G$41*'DB additional information '!$K$12/100+'Calc (ex-animal)'!$H$41*'DB additional information '!$L$12/100)*AG193/100*(1-VLOOKUP(D193,'DB technologies'!$N$82:$Y$94,9,FALSE)/100)*'Calc (ex-housing, ex-storage)'!F193/100/VLOOKUP($C$193,'DB animal categories'!$C$68:$AC$80,27,FALSE)*AJ193+I193+J193+K193,IF(AS193=4,('Calc (ex-animal)'!$G$41*'DB additional information '!$K$12/100+'Calc (ex-animal)'!$H$41*'DB additional information '!$L$12/100)*AG193/100*(1-VLOOKUP(D193,'DB technologies'!$N$82:$Y$94,9,FALSE)/100)*'Calc (ex-housing, ex-storage)'!F193/100*VLOOKUP(D193,'DB technologies'!$N$82:$Y$94,12,FALSE)/100/VLOOKUP($C$193,'DB animal categories'!$C$68:$AC$80,27,FALSE)*AJ193+I193+J193+K193,0))))))</f>
        <v/>
      </c>
      <c r="AV193" s="453" t="str">
        <f>IF(D193="","",IF(AS193=2,0,IF(AS193=1,'Calc (ex-animal)'!$G$41*(1-'DB additional information '!$K$12/100)*AG193/100*(1-VLOOKUP(D193,'DB technologies'!$N$82:$Y$94,8,FALSE)/100)*'Calc (ex-housing, ex-storage)'!F193/100/VLOOKUP($C$193,'DB animal categories'!$C$68:$AC$80,27,FALSE)*AJ193+M193+N193+O193,IF(AS193=5,('Calc (ex-animal)'!$G$41*(1-'DB additional information '!$K$12/100)+'Calc (ex-animal)'!$H$41*(1-'DB additional information '!$L$12/100))*AG193/100*(1-VLOOKUP(D193,'DB technologies'!$N$82:$Y$94,8,FALSE)/100)*'Calc (ex-housing, ex-storage)'!F193/100/VLOOKUP($C$193,'DB animal categories'!$C$68:$AC$80,27,FALSE)*AJ193+M193+N193+O193,IF(AS193=3,('Calc (ex-animal)'!$G$41*(1-'DB additional information '!$K$12/100)+'Calc (ex-animal)'!$H$41*(1-'DB additional information '!$L$12/100))*AG193/100*(1-VLOOKUP(D193,'DB technologies'!$N$82:$Y$94,8,FALSE)/100)*'Calc (ex-housing, ex-storage)'!F193/100/VLOOKUP($C$193,'DB animal categories'!$C$68:$AC$80,27,FALSE)*AJ193+M193+N193+O193,IF(AS193=4,('Calc (ex-animal)'!$G$41*(1-'DB additional information '!$K$12/100)+'Calc (ex-animal)'!$H$41*(1-'DB additional information '!$L$12/100))*AG193/100*(1-VLOOKUP(D193,'DB technologies'!$N$82:$Y$94,8,FALSE)/100)*'Calc (ex-housing, ex-storage)'!F193/100*VLOOKUP(D193,'DB technologies'!$N$82:$Y$94,12,FALSE)/100/VLOOKUP($C$193,'DB animal categories'!$C$68:$AC$80,27,FALSE)*AJ193+M193+N193+O193,0))))))</f>
        <v/>
      </c>
      <c r="AW193" s="453" t="str">
        <f>IF(AS193="","",IF(AU193=0,0,AU193/AT193*100))</f>
        <v/>
      </c>
      <c r="AX193" s="180" t="str">
        <f>IF(D193="","",IF(AS193=2,0,IF(AS193=1,'Calc (ex-animal)'!$K$41*'Calc (ex-housing, ex-storage)'!F193/100*AG193/100/VLOOKUP($C$193,'DB animal categories'!$C$68:$AC$80,27,FALSE)*AJ193+Q193+R193+S193,IF(AS193=5,('Calc (ex-animal)'!$K$41+'Calc (ex-animal)'!$L$41)*AG193/100*'Calc (ex-housing, ex-storage)'!F193/100/VLOOKUP($C$193,'DB animal categories'!$C$68:$AC$80,27,FALSE)*AJ193+Q193+R193+S193-'Calc (ex-housing, ex-storage)'!AC193,IF(AS193=3,('Calc (ex-animal)'!$K$41+'Calc (ex-animal)'!$L$41)*AG193/100*'Calc (ex-housing, ex-storage)'!F193/100/VLOOKUP($C$193,'DB animal categories'!$C$68:$AC$80,27,FALSE)*AJ193+Q193+R193+S193-'Calc (ex-housing, ex-storage)'!AC193-AD193-AE193,IF(AI193=4,('Calc (ex-animal)'!$K$41+'Calc (ex-animal)'!$L$41)*AG193/100*'Calc (ex-housing, ex-storage)'!F193/100*VLOOKUP(D193,'DB technologies'!$N$82:$Y$94,12,FALSE)/100/VLOOKUP($C$193,'DB animal categories'!$C$68:$AC$80,27,FALSE)*AJ193+Q193+R193+S193-(VLOOKUP(D193,'DB technologies'!$N$82:$Y$94,12,FALSE)/100*AC193)-AD193-AE193,0))))))</f>
        <v/>
      </c>
      <c r="AY193" s="180" t="str">
        <f>IF(D193="","",IF(AS193=2,0,IF(AS193=1,'Calc (ex-animal)'!$N$41*AG193/100*'Calc (ex-housing, ex-storage)'!F193/100/VLOOKUP($C$193,'DB animal categories'!$C$68:$AC$80,27,FALSE)*AJ193+U193+V193+W193,IF(AS193=5,('Calc (ex-animal)'!$N$41+'Calc (ex-animal)'!$O$41)*AG193/100*'Calc (ex-housing, ex-storage)'!F193/100/VLOOKUP($C$193,'DB animal categories'!$C$68:$AC$80,27,FALSE)*AJ193+U193+V193+W193,IF(AS193=3,('Calc (ex-animal)'!$N$41+'Calc (ex-animal)'!$O$41)*AG193/100*'Calc (ex-housing, ex-storage)'!F193/100/VLOOKUP($C$193,'DB animal categories'!$C$68:$AC$80,27,FALSE)*AJ193+U193+V193+W193,IF(AS193=4,('Calc (ex-animal)'!$N$41+'Calc (ex-animal)'!$O$41)*AG193/100*'Calc (ex-housing, ex-storage)'!F193/100*VLOOKUP(D193,'DB technologies'!$N$82:$Y$94,12,FALSE)/100/VLOOKUP($C$193,'DB animal categories'!$C$68:$AC$80,27,FALSE)*AJ193+U193+V193+W193,0))))))</f>
        <v/>
      </c>
      <c r="AZ193" s="180" t="str">
        <f>IF(D193="","",IF(AS193=2,0,IF(AS193=1,'Calc (ex-animal)'!$Q$41*AG193/100*'Calc (ex-housing, ex-storage)'!F193/100/VLOOKUP($C$193,'DB animal categories'!$C$68:$AC$80,27,FALSE)*AJ193+Y193+Z193+AA193,IF(AS193=5,('Calc (ex-animal)'!$Q$41+'Calc (ex-animal)'!$R$41)*AG193/100*'Calc (ex-housing, ex-storage)'!F193/100/VLOOKUP($C$193,'DB animal categories'!$C$68:$AC$80,27,FALSE)*AJ193+Y193+Z193+AA193,IF(AS193=3,('Calc (ex-animal)'!$Q$41+'Calc (ex-animal)'!$R$41)*AG193/100*'Calc (ex-housing, ex-storage)'!F193/100/VLOOKUP($C$193,'DB animal categories'!$C$68:$AC$80,27,FALSE)*AJ193+Y193+Z193+AA193,IF(AS193=4,('Calc (ex-animal)'!$Q$41+'Calc (ex-animal)'!$R$41)*AG193/100*'Calc (ex-housing, ex-storage)'!F193/100*VLOOKUP(D193,'DB technologies'!$N$82:$Y$94,12,FALSE)/100/VLOOKUP($C$193,'DB animal categories'!$C$68:$AC$80,27,FALSE)*AJ193+Y193+Z193+AA193,0))))))</f>
        <v/>
      </c>
      <c r="BA193" s="506"/>
      <c r="BB193" s="506"/>
      <c r="BC193" s="506"/>
    </row>
    <row r="194" spans="1:55" x14ac:dyDescent="0.2">
      <c r="A194" s="684"/>
      <c r="B194" s="695"/>
      <c r="C194" s="251"/>
      <c r="D194" s="1367"/>
      <c r="E194" s="1393"/>
      <c r="F194" s="701" t="str">
        <f>IF('Calc (ex-animal)'!$F$9=1,"",IF($C$152=0,"",IF(D194="","",E194/'Calc (ex-animal)'!$E$32*100)))</f>
        <v/>
      </c>
      <c r="G194" s="438" t="str">
        <f>IF($C$193=0,"",IF('Calc (ex-animal)'!$F$38=1,"",IF(D194="","",SUM(H194:O194))))</f>
        <v/>
      </c>
      <c r="H194" s="423" t="str">
        <f>IF('Calc (ex-animal)'!$F$38=1,"",IF(D194="","",(((VLOOKUP($C$193,'Calc (ex-animal)'!$D$38:$Y$42,6,FALSE)-VLOOKUP($C$193,'Calc (ex-animal)'!$D$38:$Y$42,17,FALSE))*F193/100*AH193/100))*VLOOKUP($C$193,'Calc (ex-animal)'!$D$38:$Y$42,7,FALSE)/100*(1-VLOOKUP(D194,'DB technologies'!$N$96:$Y$107,9,FALSE)/100)))</f>
        <v/>
      </c>
      <c r="I194" s="423" t="str">
        <f>IF(D194="","",((VLOOKUP(D194,'DB technologies'!$N$96:$Y$107,2,FALSE)*VLOOKUP($C$193,'DB animal categories'!$C$68:$AC$80,27,FALSE)*F193/1000*AH193/100)/VLOOKUP($C$193,'DB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'!$S$6/100*(1-VLOOKUP(D194,'DB technologies'!$N$96:$Y$107,9,FALSE)/100)))</f>
        <v/>
      </c>
      <c r="J194" s="434" t="str">
        <f>IF(D194="","",((VLOOKUP(D194,'DB technologies'!$N$96:$Y$107,3,FALSE)*VLOOKUP($C$193,'DB animal categories'!$C$68:$AC$80,27,FALSE)*E193/1000*AH193/100)/VLOOKUP($C$193,'DB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'!$S$7/100*(1-VLOOKUP(D194,'DB technologies'!$N$96:$Y$107,9,FALSE)/100)))</f>
        <v/>
      </c>
      <c r="K194" s="526" t="str">
        <f>IF(D194="","",((VLOOKUP(D194,'DB technologies'!$N$96:$Y$107,4,FALSE)*E193*AH193/100*'DB additional information '!$S$8/100*(1-VLOOKUP(D194,'DB technologies'!$N$96:$Y$107,9,FALSE)/100))/VLOOKUP($C$193,'DB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4" s="423" t="str">
        <f>IF('Calc (ex-animal)'!$F$38=1,"",IF(D194="","",(((VLOOKUP($C$193,'Calc (ex-animal)'!$D$38:$Y$42,6,FALSE)-VLOOKUP($C$193,'Calc (ex-animal)'!$D$38:$Y$42,17,FALSE))*F193/100*AH193/100))*(1-VLOOKUP($C$193,'Calc (ex-animal)'!$D$38:$Y$42,7,FALSE)/100)*(1-VLOOKUP(D194,'DB technologies'!$N$96:$V$107,8,FALSE)/100)))</f>
        <v/>
      </c>
      <c r="M194" s="434" t="str">
        <f>IF(D194="","",((VLOOKUP(D194,'DB technologies'!$N$96:$Y$107,2,FALSE)*VLOOKUP($C$193,'DB animal categories'!$C$68:$AC$80,27,FALSE)*E193/1000*AH193/100)/VLOOKUP($C$193,'DB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'!$S$6/100)*(1-VLOOKUP(D194,'DB technologies'!$N$96:$Y$107,9,FALSE)/100))</f>
        <v/>
      </c>
      <c r="N194" s="434" t="str">
        <f>IF(D194="","",((VLOOKUP(D194,'DB technologies'!$N$96:$Y$107,3,FALSE)*VLOOKUP($C$193,'DB animal categories'!$C$68:$AC$80,27,FALSE)*E193/1000*AH193/100)/VLOOKUP($C$193,'DB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'!$S$7/100)*(1-VLOOKUP(D194,'DB technologies'!$N$96:$Y$107,9,FALSE)/100))</f>
        <v/>
      </c>
      <c r="O194" s="423" t="str">
        <f>IF(D194="","",((VLOOKUP(D194,'DB technologies'!$N$96:$Y$107,4,FALSE)*E193*AH193/100*(1-'DB additional information '!$S$8/100)*(1-VLOOKUP(D194,'DB technologies'!$N$96:$Y$107,8,FALSE)/100))/VLOOKUP($C$193,'DB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4" s="438" t="str">
        <f>IF(G194=0,0,IF(E193="","",IF(F193="","",IF($C$193=0,"",IF(D194="","",SUM(H194:K194)/G194*100)))))</f>
        <v/>
      </c>
      <c r="Q194" s="416" t="str">
        <f>IF(D194="","",(VLOOKUP(D194,'DB technologies'!$N$96:$Y$107,2,FALSE)*'DB additional information '!$S$6/100*'DB additional information '!$T$6*VLOOKUP($C$193,'DB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4" s="416" t="str">
        <f>IF(D194="","",(VLOOKUP(D194,'DB technologies'!$N$96:$Y$107,3,FALSE)*'DB additional information '!$S$7/100*'DB additional information '!$T$7*VLOOKUP($C$193,'DB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4" s="491" t="str">
        <f>IF(D194="","",(VLOOKUP(D194,'DB technologies'!$N$96:$Y$107,4,FALSE)*('DB additional information '!$S$8/100*'DB additional information '!$T$8*E193/1000/1000*AH193/100)))</f>
        <v/>
      </c>
      <c r="T194" s="264" t="str">
        <f>IF($C$193=0,"",IF('Calc (ex-animal)'!$F$38=1,"",IF(D194="","",((VLOOKUP($C$193,'Calc (ex-animal)'!$D$38:$Y$42,10,FALSE)-VLOOKUP($C$193,'Calc (ex-animal)'!$D$38:$Y$42,18,FALSE))*F193/100*AH193/100+Q194+R194+S194)-AC194-AD194-AE194)))</f>
        <v/>
      </c>
      <c r="U194" s="422" t="str">
        <f>IF(D194="","",(VLOOKUP(D194,'DB technologies'!$N$96:$Y$107,2,FALSE)*'DB additional information '!$S$6/100*'DB additional information '!$U$6*VLOOKUP($C$193,'DB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4" s="418" t="str">
        <f>IF(D194="","",(VLOOKUP(D194,'DB technologies'!$N$96:$Y$107,3,FALSE)*'DB additional information '!$S$7/100*'DB additional information '!$U$7*VLOOKUP($C$193,'DB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4" s="417" t="str">
        <f>IF(D194="","",(VLOOKUP(D194,'DB technologies'!$N$96:$Y$107,4,FALSE)*('DB additional information '!$S$8/100*'DB additional information '!$U$8*E193/1000/1000*AH193/100)))</f>
        <v/>
      </c>
      <c r="X194" s="261" t="str">
        <f>IF($C$193=0,"",IF('Calc (ex-animal)'!$F$38=1,"",IF(D194="","",((VLOOKUP($C$193,'Calc (ex-animal)'!$D$38:$Y$42,13,FALSE)-VLOOKUP($C$193,'Calc (ex-animal)'!$D$38:$Y$42,19,FALSE))*F193/100*AH193/100+U194+V194+W194))))</f>
        <v/>
      </c>
      <c r="Y194" s="418" t="str">
        <f>IF(D194="","",(VLOOKUP(D194,'DB technologies'!$N$96:$Y$107,2,FALSE)*'DB additional information '!$S$6/100*'DB additional information '!$V$6*VLOOKUP($C$193,'DB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4" s="418" t="str">
        <f>IF(D194="","",(VLOOKUP(D194,'DB technologies'!$N$96:$Y$107,3,FALSE)*'DB additional information '!$S$7/100*'DB additional information '!$V$7*VLOOKUP($C$193,'DB animal categories'!$C$68:$AC$80,27,FALSE)*E193/1000/1000*AH193/100)/VLOOKUP($C$193,'DB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4" s="418" t="str">
        <f>IF(D194="","",(VLOOKUP(D194,'DB technologies'!$N$96:$Y$107,4,FALSE)*('DB additional information '!$S$8/100*'DB additional information '!$V$8*E193/1000/1000*AH193/100)))</f>
        <v/>
      </c>
      <c r="AB194" s="261" t="str">
        <f>IF($C$193=0,"",IF('Calc (ex-animal)'!$F$38=1,"",IF(D194="","",((VLOOKUP($C$193,'Calc (ex-animal)'!$D$38:$Y$42,16,FALSE)-VLOOKUP($C$193,'Calc (ex-animal)'!$D$38:$Y$42,20,FALSE))*F193/100*AH193/100+Y194+Z194+AA194))))</f>
        <v/>
      </c>
      <c r="AC194" s="261" t="str">
        <f>IF($C$193=0,"",IF('Calc (ex-animal)'!$F$38=1,"",IF(D194="","",VLOOKUP($C$193,'Calc (ex-animal)'!$D$38:$Y$42,9,FALSE)*AH193/100/VLOOKUP($C$193,'DB animal categories'!$C$68:$AC$80,27,FALSE)*(VLOOKUP($C$193,'DB animal categories'!$C$68:$AC$80,27,FALSE)-VLOOKUP($C$193,'DB animal categories'!$C$68:$AC$80,25,FALSE)*VLOOKUP($C$193,'DB animal categories'!$C$68:$AC$80,26,FALSE)/24)*F193/100*VLOOKUP(D194,'DB technologies'!$N$96:$R$107,5,FALSE)/100)))</f>
        <v/>
      </c>
      <c r="AD194" s="261" t="str">
        <f>IF($C$193=0,"",IF('Calc (ex-animal)'!$F$38=1,"",IF(D194="","",VLOOKUP($C$193,'Calc (ex-animal)'!$D$38:$Y$42,10,FALSE)*AH193/100/VLOOKUP($C$193,'DB animal categories'!$C$68:$AC$80,27,FALSE)*(VLOOKUP($C$193,'DB animal categories'!$C$68:$AC$80,27,FALSE)-VLOOKUP($C$193,'DB animal categories'!$C$68:$AC$80,25,FALSE)*VLOOKUP($C$193,'DB animal categories'!$C$68:$AC$80,26,FALSE)/24)*F193/100*VLOOKUP(D194,'DB technologies'!$N$96:$Y$107,6,FALSE)/100)))</f>
        <v/>
      </c>
      <c r="AE194" s="262" t="str">
        <f>IF($C$193=0,"",IF('Calc (ex-animal)'!$F$38=1,"",IF(D194="","",VLOOKUP($C$193,'Calc (ex-animal)'!$D$38:$Y$42,10,FALSE)*AH193/100/VLOOKUP($C$193,'DB animal categories'!$C$68:$AC$80,27,FALSE)*(VLOOKUP($C$193,'DB animal categories'!$C$68:$AC$80,27,FALSE)-VLOOKUP($C$193,'DB animal categories'!$C$68:$AC$80,25,FALSE)*VLOOKUP($C$193,'DB animal categories'!$C$68:$AC$80,26,FALSE)/24)*F193/100*VLOOKUP(D194,'DB technologies'!$N$96:$Y$107,7,FALSE)/100)))</f>
        <v/>
      </c>
      <c r="AG194" s="1387"/>
      <c r="AH194" s="1388"/>
      <c r="AI194" s="187" t="str">
        <f>IF(D194="","",VLOOKUP(D194,'DB technologies'!$N$96:$Y$107,10,FALSE))</f>
        <v/>
      </c>
      <c r="AJ194" s="451" t="e">
        <f>VLOOKUP($C$193,'DB animal categories'!$C$68:$AN$80,27,FALSE)-VLOOKUP($C$193,'DB animal categories'!$C$68:$AN$80,26,FALSE)*VLOOKUP($C$193,'DB animal categories'!$C$68:$AN$80,25,FALSE)/24</f>
        <v>#N/A</v>
      </c>
      <c r="AK194" s="452" t="str">
        <f>IF(AI194="","",AL194+AM194)</f>
        <v/>
      </c>
      <c r="AL194" s="452" t="str">
        <f>IF(D194="","",IF(AI194=2,(('Calc (ex-animal)'!$G$41*'DB additional information '!$K$12/100*AH193/100*(1-VLOOKUP(D194,'DB technologies'!$N$96:$Y$107,9,FALSE)/100)*'Calc (ex-housing, ex-storage)'!F193/100+'Calc (ex-animal)'!$H$41*'DB additional information '!$L$12/100*AH193/100*(1-VLOOKUP(D194,'DB technologies'!$N$96:$Y$107,9,FALSE)/100)*'Calc (ex-housing, ex-storage)'!F193/100))/VLOOKUP($C$193,'DB animal categories'!$C$68:$AC$80,27,FALSE)*AJ194+I194+J194+K194,IF(AI194=1,('Calc (ex-animal)'!$H$41*AH193/100*'DB additional information '!$L$12/100*(1-VLOOKUP(D194,'DB technologies'!$N$96:$Y$107,9,FALSE)/100)*'Calc (ex-housing, ex-storage)'!F193/100)/VLOOKUP($C$193,'DB animal categories'!$C$68:$AC$80,27,FALSE)*AJ194,IF(AI194=4,('Calc (ex-animal)'!$G$41*'DB additional information '!$K$12/100+'Calc (ex-animal)'!$H$41*'DB additional information '!$L$12/100)*AH193/100*(1-VLOOKUP(D194,'DB technologies'!$N$96:$Y$107,9,FALSE)/100)*'Calc (ex-housing, ex-storage)'!F193/100*VLOOKUP(D194,'DB technologies'!$N$96:$Y$107,11,FALSE)/100/VLOOKUP($C$193,'DB animal categories'!$C$68:$AC$80,27,FALSE)*AJ194,0))))</f>
        <v/>
      </c>
      <c r="AM194" s="452" t="str">
        <f>IF(D194="","",IF(AI194=2,(('Calc (ex-animal)'!$G$41*(1-'DB additional information '!$K$12/100)*AH193/100*(1-VLOOKUP(D194,'DB technologies'!$N$96:$Y$107,8,FALSE)/100)*'Calc (ex-housing, ex-storage)'!F193/100+'Calc (ex-animal)'!$H$41*(1-'DB additional information '!$L$12/100)*AH193/100*(1-VLOOKUP(D194,'DB technologies'!$N$96:$Y$107,8,FALSE)/100)*'Calc (ex-housing, ex-storage)'!F193/100))/VLOOKUP($C$193,'DB animal categories'!$C$68:$AC$80,27,FALSE)*AJ194+M194+N194+O194,IF(AI194=1,('Calc (ex-animal)'!$H$41*(1-'DB additional information '!$L$12/100)*AH193/100*(1-VLOOKUP(D194,'DB technologies'!$N$96:$Y$107,8,FALSE)/100)*'Calc (ex-housing, ex-storage)'!F193/100)/VLOOKUP($C$193,'DB animal categories'!$C$68:$AC$80,27,FALSE)*AJ194,IF(AI194=4,('Calc (ex-animal)'!$G$41*(1-'DB additional information '!$K$12/100)+'Calc (ex-animal)'!$H$41*(1-'DB additional information '!$L$12/100))*AH193/100*(1-VLOOKUP(D194,'DB technologies'!$N$96:$Y$107,8,FALSE)/100)*'Calc (ex-housing, ex-storage)'!F193/100*VLOOKUP(D194,'DB technologies'!$N$96:$Y$107,11,FALSE)/100/VLOOKUP($C$193,'DB animal categories'!$C$68:$AC$80,27,FALSE)*AJ194,0))))</f>
        <v/>
      </c>
      <c r="AN194" s="452" t="str">
        <f>IF(AI194="","",IF(AL194=0,0,AL194/AK194*100))</f>
        <v/>
      </c>
      <c r="AO194" s="184" t="str">
        <f>IF(D194="","",IF(AI194=2,(('Calc (ex-animal)'!$L$41*'Calc (ex-housing, ex-storage)'!F193/100+'Calc (ex-animal)'!$K$41*'Calc (ex-housing, ex-storage)'!F193/100))*AH193/100/VLOOKUP($C$193,'DB animal categories'!$C$68:$AC$80,27,FALSE)*AJ194+Q194+R194+S194-AC194,IF(AI194=1,('Calc (ex-animal)'!$L$41*'Calc (ex-housing, ex-storage)'!F193/100)*AH193/100/VLOOKUP($C$193,'DB animal categories'!$C$68:$AC$80,27,FALSE)*AJ194-'Calc (ex-housing, ex-storage)'!AC194,IF(AI194=4,('Calc (ex-animal)'!$L$41+'Calc (ex-animal)'!$K$41)*'Calc (ex-housing, ex-storage)'!F193/100*AH193/100*VLOOKUP(D194,'DB technologies'!$N$96:$Y$107,11,FALSE)/100/VLOOKUP($C$193,'DB animal categories'!$C$68:$AC$80,27,FALSE)*AJ194-AC194*VLOOKUP(D194,'DB technologies'!$N$96:$Y$107,11,FALSE)/100,0))))</f>
        <v/>
      </c>
      <c r="AP194" s="184" t="str">
        <f>IF(D194="","",IF(AO194&lt;-0.01,0,IF(AI194=2,(('Calc (ex-animal)'!$L$41*'Calc (ex-housing, ex-storage)'!F193/100+'Calc (ex-animal)'!$K$41*'Calc (ex-housing, ex-storage)'!F193/100))*AH193/100/VLOOKUP($C$193,'DB animal categories'!$C$68:$AC$80,27,FALSE)*AJ194+Q194+R194+S194-AC194,IF(AI194=1,('Calc (ex-animal)'!$L$41*'Calc (ex-housing, ex-storage)'!F193/100)*AH193/100/VLOOKUP($C$193,'DB animal categories'!$C$68:$AC$80,27,FALSE)*AJ194-'Calc (ex-housing, ex-storage)'!AC194,IF(AI194=4,('Calc (ex-animal)'!$L$41+'Calc (ex-animal)'!$K$41)*'Calc (ex-housing, ex-storage)'!F193/100*AH193/100*VLOOKUP(D194,'DB technologies'!$N$96:$Y$107,11,FALSE)/100/VLOOKUP($C$193,'DB animal categories'!$C$68:$AC$80,27,FALSE)*AJ194-AC194*VLOOKUP(D194,'DB technologies'!$N$96:$Y$107,11,FALSE)/100,0)))))</f>
        <v/>
      </c>
      <c r="AQ194" s="184" t="str">
        <f>IF(D194="","",IF(AI194=2,('Calc (ex-animal)'!$O$41*'Calc (ex-housing, ex-storage)'!F193/100+'Calc (ex-animal)'!$N$41*'Calc (ex-housing, ex-storage)'!F193/100)*AH193/100/VLOOKUP($C$193,'DB animal categories'!$C$68:$AC$80,27,FALSE)*AJ194+U194+V194+W194,IF(AI194=1,'Calc (ex-animal)'!$O$41*'Calc (ex-housing, ex-storage)'!F193/100*AH193/100/VLOOKUP($C$193,'DB animal categories'!$C$68:$AC$80,27,FALSE)*AJ194,IF(AI194=4,('Calc (ex-animal)'!$O$41+'Calc (ex-animal)'!$N$41)*'Calc (ex-housing, ex-storage)'!F193/100*AH193/100*VLOOKUP(D194,'DB technologies'!$N$96:$Y$107,11,FALSE)/100/VLOOKUP($C$193,'DB animal categories'!$C$68:$AC$80,27,FALSE)*AJ194,0))))</f>
        <v/>
      </c>
      <c r="AR194" s="184" t="str">
        <f>IF(D194="","",IF(AI194=2,('Calc (ex-animal)'!$R$41*'Calc (ex-housing, ex-storage)'!F193/100+'Calc (ex-animal)'!$Q$41*'Calc (ex-housing, ex-storage)'!F193/100)*AH193/100/VLOOKUP($C$193,'DB animal categories'!$C$68:$AC$80,27,FALSE)*AJ194+Y194+Z194+AA194,IF(AI194=1,'Calc (ex-animal)'!$R$41*'Calc (ex-housing, ex-storage)'!F193/100*AH193/100/VLOOKUP($C$193,'DB animal categories'!$C$68:$AC$80,27,FALSE)*AJ194,IF(AI194=4,('Calc (ex-animal)'!$R$41+'Calc (ex-animal)'!$Q$41)*'Calc (ex-housing, ex-storage)'!F193/100*AH193/100*VLOOKUP(D194,'DB technologies'!$N$96:$Y$107,11,FALSE)/100/VLOOKUP($C$193,'DB animal categories'!$C$68:$AC$80,27,FALSE)*AJ194,0))))</f>
        <v/>
      </c>
      <c r="AS194" s="183" t="str">
        <f>IF(D194="","",VLOOKUP(D194,'DB technologies'!$N$96:$Y$107,10,FALSE))</f>
        <v/>
      </c>
      <c r="AT194" s="452" t="str">
        <f>IF(AS194="","",AU194+AV194)</f>
        <v/>
      </c>
      <c r="AU194" s="452" t="str">
        <f>IF(D194="","",IF(AS194=2,0,IF(AS194=1,'Calc (ex-animal)'!$G$41*'DB additional information '!$K$12/100*AH193/100*(1-VLOOKUP(D194,'DB technologies'!$N$96:$Y$107,8,FALSE)/100)*'Calc (ex-housing, ex-storage)'!F193/100/VLOOKUP($C$193,'DB animal categories'!$C$68:$AC$80,27,FALSE)*AJ194+I194+J194+K194,IF(AS194=5,(('Calc (ex-animal)'!$G$41*'DB additional information '!$K$12/100+'Calc (ex-animal)'!$H$41*'DB additional information '!$L$12/100))*AH193/100*(1-VLOOKUP(D194,'DB technologies'!$N$96:$Y$107,9,FALSE)/100)*'Calc (ex-housing, ex-storage)'!F193/100/VLOOKUP($C$193,'DB animal categories'!$C$68:$AC$80,27,FALSE)*AJ194+I194+J194+K194,IF(AS194=3,('Calc (ex-animal)'!$G$41*'DB additional information '!$K$12/100+'Calc (ex-animal)'!$H$41*'DB additional information '!$L$12/100)*AH193/100*(1-VLOOKUP(D194,'DB technologies'!$N$96:$Y$107,9,FALSE)/100)*'Calc (ex-housing, ex-storage)'!F193/100/VLOOKUP($C$193,'DB animal categories'!$C$68:$AC$80,27,FALSE)*AJ194+I194+J194+K194,IF(AS194=4,('Calc (ex-animal)'!$G$41*'DB additional information '!$K$12/100+'Calc (ex-animal)'!$H$41*'DB additional information '!$L$12/100)*AH193/100*(1-VLOOKUP(D194,'DB technologies'!$N$96:$Y$107,9,FALSE)/100)*'Calc (ex-housing, ex-storage)'!F193/100*VLOOKUP(D194,'DB technologies'!$N$96:$Y$107,12,FALSE)/100/VLOOKUP($C$193,'DB animal categories'!$C$68:$AC$80,27,FALSE)*AJ194+I194+J194+K194,0))))))</f>
        <v/>
      </c>
      <c r="AV194" s="452" t="str">
        <f>IF(D194="","",IF(AS194=2,0,IF(AS194=1,'Calc (ex-animal)'!$G$41*(1-'DB additional information '!$K$12/100)*AH193/100*(1-VLOOKUP(D194,'DB technologies'!$N$96:$Y$107,8,FALSE)/100)*'Calc (ex-housing, ex-storage)'!F193/100/VLOOKUP($C$193,'DB animal categories'!$C$68:$AC$80,27,FALSE)*AJ194+M194+N194+O194,IF(AS194=5,('Calc (ex-animal)'!$G$41*(1-'DB additional information '!$K$12/100)+'Calc (ex-animal)'!$H$41*(1-'DB additional information '!$L$12/100))*AH193/100*(1-VLOOKUP(D194,'DB technologies'!$N$96:$Y$107,8,FALSE)/100)*'Calc (ex-housing, ex-storage)'!F193/100/VLOOKUP($C$193,'DB animal categories'!$C$68:$AC$80,27,FALSE)*AJ194+M194+N194+O194,IF(AS194=3,('Calc (ex-animal)'!$G$41*(1-'DB additional information '!$K$12/100)+'Calc (ex-animal)'!$H$41*(1-'DB additional information '!$L$12/100))*AH193/100*(1-VLOOKUP(D194,'DB technologies'!$N$96:$Y$107,8,FALSE)/100)*'Calc (ex-housing, ex-storage)'!F193/100/VLOOKUP($C$193,'DB animal categories'!$C$68:$AC$80,27,FALSE)*AJ194+M194+N194+O194,IF(AS194=4,('Calc (ex-animal)'!$G$41*(1-'DB additional information '!$K$12/100)+'Calc (ex-animal)'!$H$41*(1-'DB additional information '!$L$12/100))*AH193/100*(1-VLOOKUP(D194,'DB technologies'!$N$96:$Y$107,8,FALSE)/100)*'Calc (ex-housing, ex-storage)'!F193/100*VLOOKUP(D194,'DB technologies'!$N$96:$Y$107,12,FALSE)/100/VLOOKUP($C$193,'DB animal categories'!$C$68:$AC$80,27,FALSE)*AJ194+M194+N194+O194,0))))))</f>
        <v/>
      </c>
      <c r="AW194" s="452" t="str">
        <f>IF(AS194="","",IF(AU194=0,0,AU194/AT194*100))</f>
        <v/>
      </c>
      <c r="AX194" s="184" t="str">
        <f>IF(D194="","",IF(AS194=2,0,IF(AS194=1,'Calc (ex-animal)'!$K$41*'Calc (ex-housing, ex-storage)'!F193/100*AH193/100/VLOOKUP($C$193,'DB animal categories'!$C$68:$AC$80,27,FALSE)*AJ194+Q194+R194+S194,IF(AS194=5,('Calc (ex-animal)'!$K$41+'Calc (ex-animal)'!$L$41)*AH193/100*'Calc (ex-housing, ex-storage)'!F193/100/VLOOKUP($C$193,'DB animal categories'!$C$68:$AC$80,27,FALSE)*AJ194+Q194+R194+S194-'Calc (ex-housing, ex-storage)'!AC194,IF(AS194=3,('Calc (ex-animal)'!$K$41+'Calc (ex-animal)'!$L$41)*AH193/100*'Calc (ex-housing, ex-storage)'!F193/100/VLOOKUP($C$193,'DB animal categories'!$C$68:$AC$80,27,FALSE)*AJ194+Q194+R194+S194-'Calc (ex-housing, ex-storage)'!AC194-AD194-AE194,IF(AI194=4,('Calc (ex-animal)'!$K$41+'Calc (ex-animal)'!$L$41)*AH193/100*'Calc (ex-housing, ex-storage)'!F193/100*VLOOKUP(D194,'DB technologies'!$N$96:$Y$107,12,FALSE)/100/VLOOKUP($C$193,'DB animal categories'!$C$68:$AC$80,27,FALSE)*AJ194+Q194+R194+S194-(VLOOKUP(D194,'DB technologies'!$N$96:$Y$107,12,FALSE)/100*AC194)-AD194-AE194,0))))))</f>
        <v/>
      </c>
      <c r="AY194" s="184" t="str">
        <f>IF(D194="","",IF(AS194=2,0,IF(AS194=1,'Calc (ex-animal)'!$N$41*AH193/100*'Calc (ex-housing, ex-storage)'!F193/100/VLOOKUP($C$193,'DB animal categories'!$C$68:$AC$80,27,FALSE)*AJ194+U194+V194+W194,IF(AS194=5,('Calc (ex-animal)'!$N$41+'Calc (ex-animal)'!$O$41)*AH193/100*'Calc (ex-housing, ex-storage)'!F193/100/VLOOKUP($C$193,'DB animal categories'!$C$68:$AC$80,27,FALSE)*AJ194+U194+V194+W194,IF(AS194=3,('Calc (ex-animal)'!$N$41+'Calc (ex-animal)'!$O$41)*AH193/100*'Calc (ex-housing, ex-storage)'!F193/100/VLOOKUP($C$193,'DB animal categories'!$C$68:$AC$80,27,FALSE)*AJ194+U194+V194+W194,IF(AS194=4,('Calc (ex-animal)'!$N$41+'Calc (ex-animal)'!$O$41)*AH193/100*'Calc (ex-housing, ex-storage)'!F193/100*VLOOKUP(D194,'DB technologies'!$N$96:$Y$107,12,FALSE)/100/VLOOKUP($C$193,'DB animal categories'!$C$68:$AC$80,27,FALSE)*AJ194+U194+V194+W194,0))))))</f>
        <v/>
      </c>
      <c r="AZ194" s="184" t="str">
        <f>IF(D194="","",IF(AS194=2,0,IF(AS194=1,'Calc (ex-animal)'!$Q$41*AH193/100*'Calc (ex-housing, ex-storage)'!F193/100/VLOOKUP($C$193,'DB animal categories'!$C$68:$AC$80,27,FALSE)*AJ194+Y194+Z194+AA194,IF(AS194=5,('Calc (ex-animal)'!$Q$41+'Calc (ex-animal)'!$R$41)*AH193/100*'Calc (ex-housing, ex-storage)'!F193/100/VLOOKUP($C$193,'DB animal categories'!$C$68:$AC$80,27,FALSE)*AJ194+Y194+Z194+AA194,IF(AS194=3,('Calc (ex-animal)'!$Q$41+'Calc (ex-animal)'!$R$41)*AH193/100*'Calc (ex-housing, ex-storage)'!F193/100/VLOOKUP($C$193,'DB animal categories'!$C$68:$AC$80,27,FALSE)*AJ194+Y194+Z194+AA194,IF(AS194=4,('Calc (ex-animal)'!$Q$41+'Calc (ex-animal)'!$R$41)*AH193/100*'Calc (ex-housing, ex-storage)'!F193/100*VLOOKUP(D194,'DB technologies'!$N$96:$Y$107,12,FALSE)/100/VLOOKUP($C$193,'DB animal categories'!$C$68:$AC$80,27,FALSE)*AJ194+Y194+Z194+AA194,0))))))</f>
        <v/>
      </c>
      <c r="BA194" s="506"/>
      <c r="BB194" s="506"/>
      <c r="BC194" s="506"/>
    </row>
    <row r="195" spans="1:55" x14ac:dyDescent="0.2">
      <c r="A195" s="684"/>
      <c r="B195" s="695"/>
      <c r="C195" s="251"/>
      <c r="D195" s="1357"/>
      <c r="E195" s="1394"/>
      <c r="F195" s="692" t="str">
        <f>IF('Calc (ex-animal)'!$F$38=1,"",IF($C$193=0,"",IF(D195="","",E195/'Calc (ex-animal)'!$E$41*100)))</f>
        <v/>
      </c>
      <c r="G195" s="537" t="str">
        <f>IF($C$193=0,"",IF('Calc (ex-animal)'!$F$38=1,"",IF(D195="","",SUM(H195:O195))))</f>
        <v/>
      </c>
      <c r="H195" s="527" t="str">
        <f>IF('Calc (ex-animal)'!$F$38=1,"",IF(D195="","",(((VLOOKUP($C$193,'Calc (ex-animal)'!$D$38:$Y$42,6,FALSE)-VLOOKUP($C$193,'Calc (ex-animal)'!$D$38:$Y$42,17,FALSE))*F195/100*AG195/100))*VLOOKUP($C$193,'Calc (ex-animal)'!$D$38:$Y$42,7,FALSE)/100*(1-VLOOKUP(D195,'DB technologies'!$N$83:$Y$94,9,FALSE)/100)))</f>
        <v/>
      </c>
      <c r="I195" s="527" t="str">
        <f>IF(D195="","",((VLOOKUP(D195,'DB technologies'!$N$83:$Y$94,2,FALSE)*VLOOKUP($C$193,'DB animal categories'!$C$68:$AC$80,27,FALSE)*E195/1000*AG195/100)/VLOOKUP($C$193,'DB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'!$S$6/100*(1-VLOOKUP(D195,'DB technologies'!$N$83:$Y$94,9,FALSE)/100)))</f>
        <v/>
      </c>
      <c r="J195" s="528" t="str">
        <f>IF(D195="","",((VLOOKUP(D195,'DB technologies'!$N$83:$Y$94,3,FALSE)*VLOOKUP($C$193,'DB animal categories'!$C$68:$AC$80,27,FALSE)*E195/1000*AG195/100)/VLOOKUP($C$193,'DB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'!$S$7/100*(1-VLOOKUP(D195,'DB technologies'!$N$83:$Y$94,9,FALSE)/100)))</f>
        <v/>
      </c>
      <c r="K195" s="529" t="str">
        <f>IF(D195="","",((VLOOKUP(D195,'DB technologies'!$N$83:$Y$94,4,FALSE)*E195*AG195/100*'DB additional information '!$S$8/100*(1-VLOOKUP(D195,'DB technologies'!$N$83:$Y$94,9,FALSE)/100))/VLOOKUP($C$193,'DB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5" s="527" t="str">
        <f>IF('Calc (ex-animal)'!$F$38=1,"",IF(D195="","",(((VLOOKUP($C$193,'Calc (ex-animal)'!$D$38:$Y$42,6,FALSE)-VLOOKUP($C$193,'Calc (ex-animal)'!$D$38:$Y$42,17,FALSE))*F195/100*AG195/100))*(1-VLOOKUP($C$193,'Calc (ex-animal)'!$D$38:$Y$42,7,FALSE)/100)*(1-VLOOKUP(D195,'DB technologies'!$N$83:$V$94,8,FALSE)/100)))</f>
        <v/>
      </c>
      <c r="M195" s="528" t="str">
        <f>IF(D195="","",((VLOOKUP(D195,'DB technologies'!$N$83:$Y$94,2,FALSE)*VLOOKUP($C$193,'DB animal categories'!$C$68:$AC$80,27,FALSE)*E195/1000*AG195/100)/VLOOKUP($C$193,'DB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'!$S$6/100)*(1-VLOOKUP(D195,'DB technologies'!$N$83:$Y$94,9,FALSE)/100))</f>
        <v/>
      </c>
      <c r="N195" s="528" t="str">
        <f>IF(D195="","",((VLOOKUP(D195,'DB technologies'!$N$83:$Y$94,3,FALSE)*VLOOKUP($C$193,'DB animal categories'!$C$68:$AC$80,27,FALSE)*E195/1000*AG195/100)/VLOOKUP($C$193,'DB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'!$S$7/100)*(1-VLOOKUP(D195,'DB technologies'!$N$83:$Y$94,9,FALSE)/100))</f>
        <v/>
      </c>
      <c r="O195" s="527" t="str">
        <f>IF(D195="","",((VLOOKUP(D195,'DB technologies'!$N$83:$Y$94,4,FALSE)*E195*AG195/100*(1-'DB additional information '!$S$8/100)*(1-VLOOKUP(D195,'DB technologies'!$N$83:$Y$94,8,FALSE)/100))/VLOOKUP($C$193,'DB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5" s="530" t="str">
        <f>IF(G195=0,0,IF(E195="","",IF(F195="","",IF($C$193=0,"",IF(D195="","",SUM(H195:K195)/G195*100)))))</f>
        <v/>
      </c>
      <c r="Q195" s="531" t="str">
        <f>IF(D195="","",(VLOOKUP(D195,'DB technologies'!$N$83:$Y$94,2,FALSE)*'DB additional information '!$S$6/100*'DB additional information '!$T$6*VLOOKUP($C$193,'DB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5" s="531" t="str">
        <f>IF(D195="","",(VLOOKUP(D195,'DB technologies'!$N$83:$Y$94,3,FALSE)*'DB additional information '!$S$7/100*'DB additional information '!$T$7*VLOOKUP($C$193,'DB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5" s="538" t="str">
        <f>IF(D195="","",(VLOOKUP(D195,'DB technologies'!$N$83:$Y$94,4,FALSE)*('DB additional information '!$S$8/100*'DB additional information '!$T$8*E195/1000/1000*AG195/100)))</f>
        <v/>
      </c>
      <c r="T195" s="300" t="str">
        <f>IF($C$193=0,"",IF('Calc (ex-animal)'!$F$38=1,"",IF(D195="","",((VLOOKUP($C$193,'Calc (ex-animal)'!$D$38:$Y$42,10,FALSE)-VLOOKUP($C$193,'Calc (ex-animal)'!$D$38:$Y$42,18,FALSE))*F195/100*AG195/100+Q195+R195+S195)-AC195-AD195-AE195)))</f>
        <v/>
      </c>
      <c r="U195" s="544" t="str">
        <f>IF(D195="","",(VLOOKUP(D195,'DB technologies'!$N$83:$Y$94,2,FALSE)*'DB additional information '!$S$6/100*'DB additional information '!$U$6*VLOOKUP($C$193,'DB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5" s="523" t="str">
        <f>IF(D195="","",(VLOOKUP(D195,'DB technologies'!$N$83:$Y$94,3,FALSE)*'DB additional information '!$S$7/100*'DB additional information '!$U$7*VLOOKUP($C$193,'DB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5" s="545" t="str">
        <f>IF(D195="","",(VLOOKUP(D195,'DB technologies'!$N$83:$Y$94,4,FALSE)*('DB additional information '!$S$8/100*'DB additional information '!$U$8*E195/1000/1000*AG195/100)))</f>
        <v/>
      </c>
      <c r="X195" s="301" t="str">
        <f>IF($C$193=0,"",IF('Calc (ex-animal)'!$F$38=1,"",IF(D195="","",((VLOOKUP($C$193,'Calc (ex-animal)'!$D$38:$Y$42,13,FALSE)-VLOOKUP($C$193,'Calc (ex-animal)'!$D$38:$Y$42,19,FALSE))*F195/100*AG195/100+U195+V195+W195))))</f>
        <v/>
      </c>
      <c r="Y195" s="523" t="str">
        <f>IF(D195="","",(VLOOKUP(D195,'DB technologies'!$N$83:$Y$94,2,FALSE)*'DB additional information '!$S$6/100*'DB additional information '!$V$6*VLOOKUP($C$193,'DB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5" s="523" t="str">
        <f>IF(D195="","",(VLOOKUP(D195,'DB technologies'!$N$83:$Y$94,3,FALSE)*'DB additional information '!$S$7/100*'DB additional information '!$V$7*VLOOKUP($C$193,'DB animal categories'!$C$68:$AC$80,27,FALSE)*E195/1000/1000*AG195/100)/VLOOKUP($C$193,'DB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5" s="523" t="str">
        <f>IF(D195="","",(VLOOKUP(D195,'DB technologies'!$N$83:$Y$94,4,FALSE)*('DB additional information '!$S$8/100*'DB additional information '!$V$8*E195/1000/1000*AG195/100)))</f>
        <v/>
      </c>
      <c r="AB195" s="301" t="str">
        <f>IF($C$193=0,"",IF('Calc (ex-animal)'!$F$38=1,"",IF(D195="","",((VLOOKUP($C$193,'Calc (ex-animal)'!$D$38:$Y$42,16,FALSE)-VLOOKUP($C$193,'Calc (ex-animal)'!$D$38:$Y$42,20,FALSE))*F195/100*AG195/100+Y195+Z195+AA195))))</f>
        <v/>
      </c>
      <c r="AC195" s="301" t="str">
        <f>IF($C$193=0,"",IF('Calc (ex-animal)'!$F$38=1,"",IF(D195="","",VLOOKUP($C$193,'Calc (ex-animal)'!$D$38:$Y$42,9,FALSE)*AG195/100/VLOOKUP($C$193,'DB animal categories'!$C$68:$AC$80,27,FALSE)*(VLOOKUP($C$193,'DB animal categories'!$C$68:$AC$80,27,FALSE)-VLOOKUP($C$193,'DB animal categories'!$C$68:$AC$80,25,FALSE)*VLOOKUP($C$193,'DB animal categories'!$C$68:$AC$80,26,FALSE)/24)*F195/100*VLOOKUP(D195,'DB technologies'!$N$83:$R$94,5,FALSE)/100)))</f>
        <v/>
      </c>
      <c r="AD195" s="301" t="str">
        <f>IF($C$193=0,"",IF('Calc (ex-animal)'!$F$38=1,"",IF(D195="","",VLOOKUP($C$193,'Calc (ex-animal)'!$D$38:$Y$42,10,FALSE)*AG195/100/VLOOKUP($C$193,'DB animal categories'!$C$68:$AC$80,27,FALSE)*(VLOOKUP($C$193,'DB animal categories'!$C$68:$AC$80,27,FALSE)-VLOOKUP($C$193,'DB animal categories'!$C$68:$AC$80,25,FALSE)*VLOOKUP($C$193,'DB animal categories'!$C$68:$AC$80,26,FALSE)/24)*F195/100*VLOOKUP(D195,'DB technologies'!$N$83:$Y$94,6,FALSE)/100)))</f>
        <v/>
      </c>
      <c r="AE195" s="302" t="str">
        <f>IF($C$193=0,"",IF('Calc (ex-animal)'!$F$38=1,"",IF(D195="","",VLOOKUP($C$193,'Calc (ex-animal)'!$D$38:$Y$42,10,FALSE)*AG195/100/VLOOKUP($C$193,'DB animal categories'!$C$68:$AC$80,27,FALSE)*(VLOOKUP($C$193,'DB animal categories'!$C$68:$AC$80,27,FALSE)-VLOOKUP($C$193,'DB animal categories'!$C$68:$AC$80,25,FALSE)*VLOOKUP($C$193,'DB animal categories'!$C$68:$AC$80,26,FALSE)/24)*F195/100*VLOOKUP(D195,'DB technologies'!$N$83:$Y$94,7,FALSE)/100)))</f>
        <v/>
      </c>
      <c r="AG195" s="1389"/>
      <c r="AH195" s="1382"/>
      <c r="AI195" s="185" t="str">
        <f>IF(D195="","",VLOOKUP(D195,'DB technologies'!$N$82:$Y$94,10,FALSE))</f>
        <v/>
      </c>
      <c r="AJ195" s="482" t="e">
        <f>VLOOKUP($C$193,'DB animal categories'!$C$68:$AN$80,27,FALSE)-VLOOKUP($C$193,'DB animal categories'!$C$68:$AN$80,26,FALSE)*VLOOKUP($C$193,'DB animal categories'!$C$68:$AN$80,25,FALSE)/24</f>
        <v>#N/A</v>
      </c>
      <c r="AK195" s="453" t="str">
        <f t="shared" ref="AK195:AK202" si="34">IF(AI195="","",AL195+AM195)</f>
        <v/>
      </c>
      <c r="AL195" s="453" t="str">
        <f>IF(D195="","",IF(AI195=2,(('Calc (ex-animal)'!$G$41*'DB additional information '!$K$12/100*AG195/100*(1-VLOOKUP(D195,'DB technologies'!$N$82:$Y$94,9,FALSE)/100)*'Calc (ex-housing, ex-storage)'!F195/100+'Calc (ex-animal)'!$H$41*'DB additional information '!$L$12/100*AG195/100*(1-VLOOKUP(D195,'DB technologies'!$N$82:$Y$94,9,FALSE)/100)*'Calc (ex-housing, ex-storage)'!F195/100))/VLOOKUP($C$193,'DB animal categories'!$C$68:$AC$80,27,FALSE)*AJ195+I195+J195+K195,IF(AI195=1,('Calc (ex-animal)'!$H$41*AG195/100*'DB additional information '!$L$12/100*(1-VLOOKUP(D195,'DB technologies'!$N$82:$Y$94,9,FALSE)/100)*'Calc (ex-housing, ex-storage)'!F195/100)/VLOOKUP($C$193,'DB animal categories'!$C$68:$AC$80,27,FALSE)*AJ195,IF(AI195=4,('Calc (ex-animal)'!$G$41*'DB additional information '!$K$12/100+'Calc (ex-animal)'!$H$41*'DB additional information '!$L$12/100)*AG195/100*(1-VLOOKUP(D195,'DB technologies'!$N$82:$Y$94,9,FALSE)/100)*'Calc (ex-housing, ex-storage)'!F195/100*VLOOKUP(D195,'DB technologies'!$N$82:$Y$94,11,FALSE)/100/VLOOKUP($C$193,'DB animal categories'!$C$68:$AC$80,27,FALSE)*AJ195,0))))</f>
        <v/>
      </c>
      <c r="AM195" s="453" t="str">
        <f>IF(D195="","",IF(AI195=2,(('Calc (ex-animal)'!$G$41*(1-'DB additional information '!$K$12/100)*AG195/100*(1-VLOOKUP(D195,'DB technologies'!$N$82:$Y$94,8,FALSE)/100)*'Calc (ex-housing, ex-storage)'!F195/100+'Calc (ex-animal)'!$H$41*(1-'DB additional information '!$L$12/100)*AG195/100*(1-VLOOKUP(D195,'DB technologies'!$N$82:$Y$94,8,FALSE)/100)*'Calc (ex-housing, ex-storage)'!F195/100))/VLOOKUP($C$193,'DB animal categories'!$C$68:$AC$80,27,FALSE)*AJ195+M195+N195+O195,IF(AI195=1,('Calc (ex-animal)'!$H$41*(1-'DB additional information '!$L$12/100)*AG195/100*(1-VLOOKUP(D195,'DB technologies'!$N$82:$Y$94,8,FALSE)/100)*'Calc (ex-housing, ex-storage)'!F195/100)/VLOOKUP($C$193,'DB animal categories'!$C$68:$AC$80,27,FALSE)*AJ195,IF(AI195=4,('Calc (ex-animal)'!$G$41*(1-'DB additional information '!$K$12/100)+'Calc (ex-animal)'!$H$41*(1-'DB additional information '!$L$12/100))*AG195/100*(1-VLOOKUP(D195,'DB technologies'!$N$82:$Y$94,8,FALSE)/100)*'Calc (ex-housing, ex-storage)'!F195/100*VLOOKUP(D195,'DB technologies'!$N$82:$Y$94,11,FALSE)/100/VLOOKUP($C$193,'DB animal categories'!$C$68:$AC$80,27,FALSE)*AJ195,0))))</f>
        <v/>
      </c>
      <c r="AN195" s="453" t="str">
        <f t="shared" ref="AN195:AN202" si="35">IF(AI195="","",IF(AL195=0,0,AL195/AK195*100))</f>
        <v/>
      </c>
      <c r="AO195" s="180" t="str">
        <f>IF(D195="","",IF(AI195=2,(('Calc (ex-animal)'!$L$41*'Calc (ex-housing, ex-storage)'!F195/100+'Calc (ex-animal)'!$K$41*'Calc (ex-housing, ex-storage)'!F195/100))*AG195/100/VLOOKUP($C$193,'DB animal categories'!$C$68:$AC$80,27,FALSE)*AJ195+Q195+R195+S195-AC195,IF(AI195=1,('Calc (ex-animal)'!$L$41*'Calc (ex-housing, ex-storage)'!F195/100)*AG195/100/VLOOKUP($C$193,'DB animal categories'!$C$68:$AC$80,27,FALSE)*AJ195-'Calc (ex-housing, ex-storage)'!AC195,IF(AI195=4,('Calc (ex-animal)'!$L$41+'Calc (ex-animal)'!$K$41)*'Calc (ex-housing, ex-storage)'!F195/100*AG195/100*VLOOKUP(D195,'DB technologies'!$N$82:$Y$94,11,FALSE)/100/VLOOKUP($C$193,'DB animal categories'!$C$68:$AC$80,27,FALSE)*AJ195-AC195*VLOOKUP(D195,'DB technologies'!$N$82:$Y$94,11,FALSE)/100,0))))</f>
        <v/>
      </c>
      <c r="AP195" s="180" t="str">
        <f>IF(D195="","",IF(AO195&lt;-0.01,0,IF(AI195=2,(('Calc (ex-animal)'!$L$41*'Calc (ex-housing, ex-storage)'!F195/100+'Calc (ex-animal)'!$K$41*'Calc (ex-housing, ex-storage)'!F195/100))*AG195/100/VLOOKUP($C$193,'DB animal categories'!$C$68:$AC$80,27,FALSE)*AJ195+Q195+R195+S195-AC195,IF(AI195=1,('Calc (ex-animal)'!$L$41*'Calc (ex-housing, ex-storage)'!F195/100)*AG195/100/VLOOKUP($C$193,'DB animal categories'!$C$68:$AC$80,27,FALSE)*AJ195-'Calc (ex-housing, ex-storage)'!AC195,IF(AI195=4,('Calc (ex-animal)'!$L$41+'Calc (ex-animal)'!$K$41)*'Calc (ex-housing, ex-storage)'!F195/100*AG195/100*VLOOKUP(D195,'DB technologies'!$N$82:$Y$94,11,FALSE)/100/VLOOKUP($C$193,'DB animal categories'!$C$68:$AC$80,27,FALSE)*AJ195-AC195*VLOOKUP(D195,'DB technologies'!$N$82:$Y$94,11,FALSE)/100,0)))))</f>
        <v/>
      </c>
      <c r="AQ195" s="180" t="str">
        <f>IF(D195="","",IF(AI195=2,('Calc (ex-animal)'!$O$41*'Calc (ex-housing, ex-storage)'!F195/100+'Calc (ex-animal)'!$N$41*'Calc (ex-housing, ex-storage)'!F195/100)*AG195/100/VLOOKUP($C$193,'DB animal categories'!$C$68:$AC$80,27,FALSE)*AJ195+U195+V195+W195,IF(AI195=1,'Calc (ex-animal)'!$O$41*'Calc (ex-housing, ex-storage)'!F195/100*AG195/100/VLOOKUP($C$193,'DB animal categories'!$C$68:$AC$80,27,FALSE)*AJ195,IF(AI195=4,('Calc (ex-animal)'!$O$41+'Calc (ex-animal)'!$N$41)*'Calc (ex-housing, ex-storage)'!F195/100*AG195/100*VLOOKUP(D195,'DB technologies'!$N$82:$Y$94,11,FALSE)/100/VLOOKUP($C$193,'DB animal categories'!$C$68:$AC$80,27,FALSE)*AJ195,0))))</f>
        <v/>
      </c>
      <c r="AR195" s="180" t="str">
        <f>IF(D195="","",IF(AI195=2,('Calc (ex-animal)'!$R$41*'Calc (ex-housing, ex-storage)'!F195/100+'Calc (ex-animal)'!$Q$41*'Calc (ex-housing, ex-storage)'!F195/100)*AG195/100/VLOOKUP($C$193,'DB animal categories'!$C$68:$AC$80,27,FALSE)*AJ195+Y195+Z195+AA195,IF(AI195=1,'Calc (ex-animal)'!$R$41*'Calc (ex-housing, ex-storage)'!F195/100*AG195/100/VLOOKUP($C$193,'DB animal categories'!$C$68:$AC$80,27,FALSE)*AJ195,IF(AI195=4,('Calc (ex-animal)'!$R$41+'Calc (ex-animal)'!$Q$41)*'Calc (ex-housing, ex-storage)'!F195/100*AG195/100*VLOOKUP(D195,'DB technologies'!$N$82:$Y$94,11,FALSE)/100/VLOOKUP($C$193,'DB animal categories'!$C$68:$AC$80,27,FALSE)*AJ195,0))))</f>
        <v/>
      </c>
      <c r="AS195" s="179" t="str">
        <f>IF(D195="","",VLOOKUP(D195,'DB technologies'!$N$82:$Y$94,10,FALSE))</f>
        <v/>
      </c>
      <c r="AT195" s="453" t="str">
        <f t="shared" ref="AT195:AT202" si="36">IF(AS195="","",AU195+AV195)</f>
        <v/>
      </c>
      <c r="AU195" s="453" t="str">
        <f>IF(D195="","",IF(AS195=2,0,IF(AS195=1,'Calc (ex-animal)'!$G$41*'DB additional information '!$K$12/100*AG195/100*(1-VLOOKUP(D195,'DB technologies'!$N$82:$Y$94,8,FALSE)/100)*'Calc (ex-housing, ex-storage)'!F195/100/VLOOKUP($C$193,'DB animal categories'!$C$68:$AC$80,27,FALSE)*AJ195+I195+J195+K195,IF(AS195=5,(('Calc (ex-animal)'!$G$41*'DB additional information '!$K$12/100+'Calc (ex-animal)'!$H$41*'DB additional information '!$L$12/100))*AG195/100*(1-VLOOKUP(D195,'DB technologies'!$N$82:$Y$94,9,FALSE)/100)*'Calc (ex-housing, ex-storage)'!F195/100/VLOOKUP($C$193,'DB animal categories'!$C$68:$AC$80,27,FALSE)*AJ195+I195+J195+K195,IF(AS195=3,('Calc (ex-animal)'!$G$41*'DB additional information '!$K$12/100+'Calc (ex-animal)'!$H$41*'DB additional information '!$L$12/100)*AG195/100*(1-VLOOKUP(D195,'DB technologies'!$N$82:$Y$94,9,FALSE)/100)*'Calc (ex-housing, ex-storage)'!F195/100/VLOOKUP($C$193,'DB animal categories'!$C$68:$AC$80,27,FALSE)*AJ195+I195+J195+K195,IF(AS195=4,('Calc (ex-animal)'!$G$41*'DB additional information '!$K$12/100+'Calc (ex-animal)'!$H$41*'DB additional information '!$L$12/100)*AG195/100*(1-VLOOKUP(D195,'DB technologies'!$N$82:$Y$94,9,FALSE)/100)*'Calc (ex-housing, ex-storage)'!F195/100*VLOOKUP(D195,'DB technologies'!$N$82:$Y$94,12,FALSE)/100/VLOOKUP($C$193,'DB animal categories'!$C$68:$AC$80,27,FALSE)*AJ195+I195+J195+K195,0))))))</f>
        <v/>
      </c>
      <c r="AV195" s="453" t="str">
        <f>IF(D195="","",IF(AS195=2,0,IF(AS195=1,'Calc (ex-animal)'!$G$41*(1-'DB additional information '!$K$12/100)*AG195/100*(1-VLOOKUP(D195,'DB technologies'!$N$82:$Y$94,8,FALSE)/100)*'Calc (ex-housing, ex-storage)'!F195/100/VLOOKUP($C$193,'DB animal categories'!$C$68:$AC$80,27,FALSE)*AJ195+M195+N195+O195,IF(AS195=5,('Calc (ex-animal)'!$G$41*(1-'DB additional information '!$K$12/100)+'Calc (ex-animal)'!$H$41*(1-'DB additional information '!$L$12/100))*AG195/100*(1-VLOOKUP(D195,'DB technologies'!$N$82:$Y$94,8,FALSE)/100)*'Calc (ex-housing, ex-storage)'!F195/100/VLOOKUP($C$193,'DB animal categories'!$C$68:$AC$80,27,FALSE)*AJ195+M195+N195+O195,IF(AS195=3,('Calc (ex-animal)'!$G$41*(1-'DB additional information '!$K$12/100)+'Calc (ex-animal)'!$H$41*(1-'DB additional information '!$L$12/100))*AG195/100*(1-VLOOKUP(D195,'DB technologies'!$N$82:$Y$94,8,FALSE)/100)*'Calc (ex-housing, ex-storage)'!F195/100/VLOOKUP($C$193,'DB animal categories'!$C$68:$AC$80,27,FALSE)*AJ195+M195+N195+O195,IF(AS195=4,('Calc (ex-animal)'!$G$41*(1-'DB additional information '!$K$12/100)+'Calc (ex-animal)'!$H$41*(1-'DB additional information '!$L$12/100))*AG195/100*(1-VLOOKUP(D195,'DB technologies'!$N$82:$Y$94,8,FALSE)/100)*'Calc (ex-housing, ex-storage)'!F195/100*VLOOKUP(D195,'DB technologies'!$N$82:$Y$94,12,FALSE)/100/VLOOKUP($C$193,'DB animal categories'!$C$68:$AC$80,27,FALSE)*AJ195+M195+N195+O195,0))))))</f>
        <v/>
      </c>
      <c r="AW195" s="453" t="str">
        <f t="shared" ref="AW195:AW202" si="37">IF(AS195="","",IF(AU195=0,0,AU195/AT195*100))</f>
        <v/>
      </c>
      <c r="AX195" s="180" t="str">
        <f>IF(D195="","",IF(AS195=2,0,IF(AS195=1,'Calc (ex-animal)'!$K$41*'Calc (ex-housing, ex-storage)'!F195/100*AG195/100/VLOOKUP($C$193,'DB animal categories'!$C$68:$AC$80,27,FALSE)*AJ195+Q195+R195+S195,IF(AS195=5,('Calc (ex-animal)'!$K$41+'Calc (ex-animal)'!$L$41)*AG195/100*'Calc (ex-housing, ex-storage)'!F195/100/VLOOKUP($C$193,'DB animal categories'!$C$68:$AC$80,27,FALSE)*AJ195+Q195+R195+S195-'Calc (ex-housing, ex-storage)'!AC195,IF(AS195=3,('Calc (ex-animal)'!$K$41+'Calc (ex-animal)'!$L$41)*AG195/100*'Calc (ex-housing, ex-storage)'!F195/100/VLOOKUP($C$193,'DB animal categories'!$C$68:$AC$80,27,FALSE)*AJ195+Q195+R195+S195-'Calc (ex-housing, ex-storage)'!AC195-AD195-AE195,IF(AI195=4,('Calc (ex-animal)'!$K$41+'Calc (ex-animal)'!$L$41)*AG195/100*'Calc (ex-housing, ex-storage)'!F195/100*VLOOKUP(D195,'DB technologies'!$N$82:$Y$94,12,FALSE)/100/VLOOKUP($C$193,'DB animal categories'!$C$68:$AC$80,27,FALSE)*AJ195+Q195+R195+S195-(VLOOKUP(D195,'DB technologies'!$N$82:$Y$94,12,FALSE)/100*AC195)-AD195-AE195,0))))))</f>
        <v/>
      </c>
      <c r="AY195" s="180" t="str">
        <f>IF(D195="","",IF(AS195=2,0,IF(AS195=1,'Calc (ex-animal)'!$N$41*AG195/100*'Calc (ex-housing, ex-storage)'!F195/100/VLOOKUP($C$193,'DB animal categories'!$C$68:$AC$80,27,FALSE)*AJ195+U195+V195+W195,IF(AS195=5,('Calc (ex-animal)'!$N$41+'Calc (ex-animal)'!$O$41)*AG195/100*'Calc (ex-housing, ex-storage)'!F195/100/VLOOKUP($C$193,'DB animal categories'!$C$68:$AC$80,27,FALSE)*AJ195+U195+V195+W195,IF(AS195=3,('Calc (ex-animal)'!$N$41+'Calc (ex-animal)'!$O$41)*AG195/100*'Calc (ex-housing, ex-storage)'!F195/100/VLOOKUP($C$193,'DB animal categories'!$C$68:$AC$80,27,FALSE)*AJ195+U195+V195+W195,IF(AS195=4,('Calc (ex-animal)'!$N$41+'Calc (ex-animal)'!$O$41)*AG195/100*'Calc (ex-housing, ex-storage)'!F195/100*VLOOKUP(D195,'DB technologies'!$N$82:$Y$94,12,FALSE)/100/VLOOKUP($C$193,'DB animal categories'!$C$68:$AC$80,27,FALSE)*AJ195+U195+V195+W195,0))))))</f>
        <v/>
      </c>
      <c r="AZ195" s="180" t="str">
        <f>IF(D195="","",IF(AS195=2,0,IF(AS195=1,'Calc (ex-animal)'!$Q$41*AG195/100*'Calc (ex-housing, ex-storage)'!F195/100/VLOOKUP($C$193,'DB animal categories'!$C$68:$AC$80,27,FALSE)*AJ195+Y195+Z195+AA195,IF(AS195=5,('Calc (ex-animal)'!$Q$41+'Calc (ex-animal)'!$R$41)*AG195/100*'Calc (ex-housing, ex-storage)'!F195/100/VLOOKUP($C$193,'DB animal categories'!$C$68:$AC$80,27,FALSE)*AJ195+Y195+Z195+AA195,IF(AS195=3,('Calc (ex-animal)'!$Q$41+'Calc (ex-animal)'!$R$41)*AG195/100*'Calc (ex-housing, ex-storage)'!F195/100/VLOOKUP($C$193,'DB animal categories'!$C$68:$AC$80,27,FALSE)*AJ195+Y195+Z195+AA195,IF(AS195=4,('Calc (ex-animal)'!$Q$41+'Calc (ex-animal)'!$R$41)*AG195/100*'Calc (ex-housing, ex-storage)'!F195/100*VLOOKUP(D195,'DB technologies'!$N$82:$Y$94,12,FALSE)/100/VLOOKUP($C$193,'DB animal categories'!$C$68:$AC$80,27,FALSE)*AJ195+Y195+Z195+AA195,0))))))</f>
        <v/>
      </c>
      <c r="BA195" s="506"/>
      <c r="BB195" s="506"/>
      <c r="BC195" s="506"/>
    </row>
    <row r="196" spans="1:55" x14ac:dyDescent="0.2">
      <c r="A196" s="684"/>
      <c r="B196" s="695"/>
      <c r="C196" s="251"/>
      <c r="D196" s="1367"/>
      <c r="E196" s="1393"/>
      <c r="F196" s="692" t="str">
        <f>IF('Calc (ex-animal)'!$F$9=1,"",IF($C$152=0,"",IF(D196="","",E196/'Calc (ex-animal)'!$E$32*100)))</f>
        <v/>
      </c>
      <c r="G196" s="539" t="str">
        <f>IF($C$193=0,"",IF('Calc (ex-animal)'!$F$38=1,"",IF(D196="","",SUM(H196:O196))))</f>
        <v/>
      </c>
      <c r="H196" s="532" t="str">
        <f>IF('Calc (ex-animal)'!$F$38=1,"",IF(D196="","",(((VLOOKUP($C$193,'Calc (ex-animal)'!$D$38:$Y$42,6,FALSE)-VLOOKUP($C$193,'Calc (ex-animal)'!$D$38:$Y$42,17,FALSE))*F195/100*AH195/100))*VLOOKUP($C$193,'Calc (ex-animal)'!$D$38:$Y$42,7,FALSE)/100*(1-VLOOKUP(D196,'DB technologies'!$N$96:$Y$107,9,FALSE)/100)))</f>
        <v/>
      </c>
      <c r="I196" s="532" t="str">
        <f>IF(D196="","",((VLOOKUP(D196,'DB technologies'!$N$96:$Y$107,2,FALSE)*VLOOKUP($C$193,'DB animal categories'!$C$68:$AC$80,27,FALSE)*F195/1000*AH195/100)/VLOOKUP($C$193,'DB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'!$S$6/100*(1-VLOOKUP(D196,'DB technologies'!$N$96:$Y$107,9,FALSE)/100)))</f>
        <v/>
      </c>
      <c r="J196" s="533" t="str">
        <f>IF(D196="","",((VLOOKUP(D196,'DB technologies'!$N$96:$Y$107,3,FALSE)*VLOOKUP($C$193,'DB animal categories'!$C$68:$AC$80,27,FALSE)*E195/1000*AH195/100)/VLOOKUP($C$193,'DB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'!$S$7/100*(1-VLOOKUP(D196,'DB technologies'!$N$96:$Y$107,9,FALSE)/100)))</f>
        <v/>
      </c>
      <c r="K196" s="534" t="str">
        <f>IF(D196="","",((VLOOKUP(D196,'DB technologies'!$N$96:$Y$107,4,FALSE)*E195*AH195/100*'DB additional information '!$S$8/100*(1-VLOOKUP(D196,'DB technologies'!$N$96:$Y$107,9,FALSE)/100))/VLOOKUP($C$193,'DB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6" s="532" t="str">
        <f>IF('Calc (ex-animal)'!$F$38=1,"",IF(D196="","",(((VLOOKUP($C$193,'Calc (ex-animal)'!$D$38:$Y$42,6,FALSE)-VLOOKUP($C$193,'Calc (ex-animal)'!$D$38:$Y$42,17,FALSE))*F195/100*AH195/100))*(1-VLOOKUP($C$193,'Calc (ex-animal)'!$D$38:$Y$42,7,FALSE)/100)*(1-VLOOKUP(D196,'DB technologies'!$N$96:$V$107,8,FALSE)/100)))</f>
        <v/>
      </c>
      <c r="M196" s="533" t="str">
        <f>IF(D196="","",((VLOOKUP(D196,'DB technologies'!$N$96:$Y$107,2,FALSE)*VLOOKUP($C$193,'DB animal categories'!$C$68:$AC$80,27,FALSE)*E195/1000*AH195/100)/VLOOKUP($C$193,'DB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'!$S$6/100)*(1-VLOOKUP(D196,'DB technologies'!$N$96:$Y$107,9,FALSE)/100))</f>
        <v/>
      </c>
      <c r="N196" s="533" t="str">
        <f>IF(D196="","",((VLOOKUP(D196,'DB technologies'!$N$96:$Y$107,3,FALSE)*VLOOKUP($C$193,'DB animal categories'!$C$68:$AC$80,27,FALSE)*E195/1000*AH195/100)/VLOOKUP($C$193,'DB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'!$S$7/100)*(1-VLOOKUP(D196,'DB technologies'!$N$96:$Y$107,9,FALSE)/100))</f>
        <v/>
      </c>
      <c r="O196" s="532" t="str">
        <f>IF(D196="","",((VLOOKUP(D196,'DB technologies'!$N$96:$Y$107,4,FALSE)*E195*AH195/100*(1-'DB additional information '!$S$8/100)*(1-VLOOKUP(D196,'DB technologies'!$N$96:$Y$107,8,FALSE)/100))/VLOOKUP($C$193,'DB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6" s="535" t="str">
        <f>IF(G196=0,0,IF(E195="","",IF(F195="","",IF($C$193=0,"",IF(D196="","",SUM(H196:K196)/G196*100)))))</f>
        <v/>
      </c>
      <c r="Q196" s="536" t="str">
        <f>IF(D196="","",(VLOOKUP(D196,'DB technologies'!$N$96:$Y$107,2,FALSE)*'DB additional information '!$S$6/100*'DB additional information '!$T$6*VLOOKUP($C$193,'DB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6" s="536" t="str">
        <f>IF(D196="","",(VLOOKUP(D196,'DB technologies'!$N$96:$Y$107,3,FALSE)*'DB additional information '!$S$7/100*'DB additional information '!$T$7*VLOOKUP($C$193,'DB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6" s="540" t="str">
        <f>IF(D196="","",(VLOOKUP(D196,'DB technologies'!$N$96:$Y$107,4,FALSE)*('DB additional information '!$S$8/100*'DB additional information '!$T$8*E195/1000/1000*AH195/100)))</f>
        <v/>
      </c>
      <c r="T196" s="303" t="str">
        <f>IF($C$193=0,"",IF('Calc (ex-animal)'!$F$38=1,"",IF(D196="","",((VLOOKUP($C$193,'Calc (ex-animal)'!$D$38:$Y$42,10,FALSE)-VLOOKUP($C$193,'Calc (ex-animal)'!$D$38:$Y$42,18,FALSE))*F195/100*AH195/100+Q196+R196+S196)-AC196-AD196-AE196)))</f>
        <v/>
      </c>
      <c r="U196" s="542" t="str">
        <f>IF(D196="","",(VLOOKUP(D196,'DB technologies'!$N$96:$Y$107,2,FALSE)*'DB additional information '!$S$6/100*'DB additional information '!$U$6*VLOOKUP($C$193,'DB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6" s="524" t="str">
        <f>IF(D196="","",(VLOOKUP(D196,'DB technologies'!$N$96:$Y$107,3,FALSE)*'DB additional information '!$S$7/100*'DB additional information '!$U$7*VLOOKUP($C$193,'DB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6" s="543" t="str">
        <f>IF(D196="","",(VLOOKUP(D196,'DB technologies'!$N$96:$Y$107,4,FALSE)*('DB additional information '!$S$8/100*'DB additional information '!$U$8*E195/1000/1000*AH195/100)))</f>
        <v/>
      </c>
      <c r="X196" s="304" t="str">
        <f>IF($C$193=0,"",IF('Calc (ex-animal)'!$F$38=1,"",IF(D196="","",((VLOOKUP($C$193,'Calc (ex-animal)'!$D$38:$Y$42,13,FALSE)-VLOOKUP($C$193,'Calc (ex-animal)'!$D$38:$Y$42,19,FALSE))*F195/100*AH195/100+U196+V196+W196))))</f>
        <v/>
      </c>
      <c r="Y196" s="524" t="str">
        <f>IF(D196="","",(VLOOKUP(D196,'DB technologies'!$N$96:$Y$107,2,FALSE)*'DB additional information '!$S$6/100*'DB additional information '!$V$6*VLOOKUP($C$193,'DB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6" s="524" t="str">
        <f>IF(D196="","",(VLOOKUP(D196,'DB technologies'!$N$96:$Y$107,3,FALSE)*'DB additional information '!$S$7/100*'DB additional information '!$V$7*VLOOKUP($C$193,'DB animal categories'!$C$68:$AC$80,27,FALSE)*E195/1000/1000*AH195/100)/VLOOKUP($C$193,'DB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6" s="524" t="str">
        <f>IF(D196="","",(VLOOKUP(D196,'DB technologies'!$N$96:$Y$107,4,FALSE)*('DB additional information '!$S$8/100*'DB additional information '!$V$8*E195/1000/1000*AH195/100)))</f>
        <v/>
      </c>
      <c r="AB196" s="304" t="str">
        <f>IF($C$193=0,"",IF('Calc (ex-animal)'!$F$38=1,"",IF(D196="","",((VLOOKUP($C$193,'Calc (ex-animal)'!$D$38:$Y$42,16,FALSE)-VLOOKUP($C$193,'Calc (ex-animal)'!$D$38:$Y$42,20,FALSE))*F195/100*AH195/100+Y196+Z196+AA196))))</f>
        <v/>
      </c>
      <c r="AC196" s="304" t="str">
        <f>IF($C$193=0,"",IF('Calc (ex-animal)'!$F$38=1,"",IF(D196="","",VLOOKUP($C$193,'Calc (ex-animal)'!$D$38:$Y$42,9,FALSE)*AH195/100/VLOOKUP($C$193,'DB animal categories'!$C$68:$AC$80,27,FALSE)*(VLOOKUP($C$193,'DB animal categories'!$C$68:$AC$80,27,FALSE)-VLOOKUP($C$193,'DB animal categories'!$C$68:$AC$80,25,FALSE)*VLOOKUP($C$193,'DB animal categories'!$C$68:$AC$80,26,FALSE)/24)*F195/100*VLOOKUP(D196,'DB technologies'!$N$96:$R$107,5,FALSE)/100)))</f>
        <v/>
      </c>
      <c r="AD196" s="304" t="str">
        <f>IF($C$193=0,"",IF('Calc (ex-animal)'!$F$38=1,"",IF(D196="","",VLOOKUP($C$193,'Calc (ex-animal)'!$D$38:$Y$42,10,FALSE)*AH195/100/VLOOKUP($C$193,'DB animal categories'!$C$68:$AC$80,27,FALSE)*(VLOOKUP($C$193,'DB animal categories'!$C$68:$AC$80,27,FALSE)-VLOOKUP($C$193,'DB animal categories'!$C$68:$AC$80,25,FALSE)*VLOOKUP($C$193,'DB animal categories'!$C$68:$AC$80,26,FALSE)/24)*F195/100*VLOOKUP(D196,'DB technologies'!$N$96:$Y$107,6,FALSE)/100)))</f>
        <v/>
      </c>
      <c r="AE196" s="305" t="str">
        <f>IF($C$193=0,"",IF('Calc (ex-animal)'!$F$38=1,"",IF(D196="","",VLOOKUP($C$193,'Calc (ex-animal)'!$D$38:$Y$42,10,FALSE)*AH195/100/VLOOKUP($C$193,'DB animal categories'!$C$68:$AC$80,27,FALSE)*(VLOOKUP($C$193,'DB animal categories'!$C$68:$AC$80,27,FALSE)-VLOOKUP($C$193,'DB animal categories'!$C$68:$AC$80,25,FALSE)*VLOOKUP($C$193,'DB animal categories'!$C$68:$AC$80,26,FALSE)/24)*F195/100*VLOOKUP(D196,'DB technologies'!$N$96:$Y$107,7,FALSE)/100)))</f>
        <v/>
      </c>
      <c r="AG196" s="1390"/>
      <c r="AH196" s="1380"/>
      <c r="AI196" s="187" t="str">
        <f>IF(D196="","",VLOOKUP(D196,'DB technologies'!$N$96:$Y$107,10,FALSE))</f>
        <v/>
      </c>
      <c r="AJ196" s="451" t="e">
        <f>VLOOKUP($C$193,'DB animal categories'!$C$68:$AN$80,27,FALSE)-VLOOKUP($C$193,'DB animal categories'!$C$68:$AN$80,26,FALSE)*VLOOKUP($C$193,'DB animal categories'!$C$68:$AN$80,25,FALSE)/24</f>
        <v>#N/A</v>
      </c>
      <c r="AK196" s="452" t="str">
        <f t="shared" si="34"/>
        <v/>
      </c>
      <c r="AL196" s="452" t="str">
        <f>IF(D196="","",IF(AI196=2,(('Calc (ex-animal)'!$G$41*'DB additional information '!$K$12/100*AH195/100*(1-VLOOKUP(D196,'DB technologies'!$N$96:$Y$107,9,FALSE)/100)*'Calc (ex-housing, ex-storage)'!F195/100+'Calc (ex-animal)'!$H$41*'DB additional information '!$L$12/100*AH195/100*(1-VLOOKUP(D196,'DB technologies'!$N$96:$Y$107,9,FALSE)/100)*'Calc (ex-housing, ex-storage)'!F195/100))/VLOOKUP($C$193,'DB animal categories'!$C$68:$AC$80,27,FALSE)*AJ196+I196+J196+K196,IF(AI196=1,('Calc (ex-animal)'!$H$41*AH195/100*'DB additional information '!$L$12/100*(1-VLOOKUP(D196,'DB technologies'!$N$96:$Y$107,9,FALSE)/100)*'Calc (ex-housing, ex-storage)'!F195/100)/VLOOKUP($C$193,'DB animal categories'!$C$68:$AC$80,27,FALSE)*AJ196,IF(AI196=4,('Calc (ex-animal)'!$G$41*'DB additional information '!$K$12/100+'Calc (ex-animal)'!$H$41*'DB additional information '!$L$12/100)*AH195/100*(1-VLOOKUP(D196,'DB technologies'!$N$96:$Y$107,9,FALSE)/100)*'Calc (ex-housing, ex-storage)'!F195/100*VLOOKUP(D196,'DB technologies'!$N$96:$Y$107,11,FALSE)/100/VLOOKUP($C$193,'DB animal categories'!$C$68:$AC$80,27,FALSE)*AJ196,0))))</f>
        <v/>
      </c>
      <c r="AM196" s="452" t="str">
        <f>IF(D196="","",IF(AI196=2,(('Calc (ex-animal)'!$G$41*(1-'DB additional information '!$K$12/100)*AH195/100*(1-VLOOKUP(D196,'DB technologies'!$N$96:$Y$107,8,FALSE)/100)*'Calc (ex-housing, ex-storage)'!F195/100+'Calc (ex-animal)'!$H$41*(1-'DB additional information '!$L$12/100)*AH195/100*(1-VLOOKUP(D196,'DB technologies'!$N$96:$Y$107,8,FALSE)/100)*'Calc (ex-housing, ex-storage)'!F195/100))/VLOOKUP($C$193,'DB animal categories'!$C$68:$AC$80,27,FALSE)*AJ196+M196+N196+O196,IF(AI196=1,('Calc (ex-animal)'!$H$41*(1-'DB additional information '!$L$12/100)*AH195/100*(1-VLOOKUP(D196,'DB technologies'!$N$96:$Y$107,8,FALSE)/100)*'Calc (ex-housing, ex-storage)'!F195/100)/VLOOKUP($C$193,'DB animal categories'!$C$68:$AC$80,27,FALSE)*AJ196,IF(AI196=4,('Calc (ex-animal)'!$G$41*(1-'DB additional information '!$K$12/100)+'Calc (ex-animal)'!$H$41*(1-'DB additional information '!$L$12/100))*AH195/100*(1-VLOOKUP(D196,'DB technologies'!$N$96:$Y$107,8,FALSE)/100)*'Calc (ex-housing, ex-storage)'!F195/100*VLOOKUP(D196,'DB technologies'!$N$96:$Y$107,11,FALSE)/100/VLOOKUP($C$193,'DB animal categories'!$C$68:$AC$80,27,FALSE)*AJ196,0))))</f>
        <v/>
      </c>
      <c r="AN196" s="452" t="str">
        <f t="shared" si="35"/>
        <v/>
      </c>
      <c r="AO196" s="184" t="str">
        <f>IF(D196="","",IF(AI196=2,(('Calc (ex-animal)'!$L$41*'Calc (ex-housing, ex-storage)'!F195/100+'Calc (ex-animal)'!$K$41*'Calc (ex-housing, ex-storage)'!F195/100))*AH195/100/VLOOKUP($C$193,'DB animal categories'!$C$68:$AC$80,27,FALSE)*AJ196+Q196+R196+S196-AC196,IF(AI196=1,('Calc (ex-animal)'!$L$41*'Calc (ex-housing, ex-storage)'!F195/100)*AH195/100/VLOOKUP($C$193,'DB animal categories'!$C$68:$AC$80,27,FALSE)*AJ196-'Calc (ex-housing, ex-storage)'!AC196,IF(AI196=4,('Calc (ex-animal)'!$L$41+'Calc (ex-animal)'!$K$41)*'Calc (ex-housing, ex-storage)'!F195/100*AH195/100*VLOOKUP(D196,'DB technologies'!$N$96:$Y$107,11,FALSE)/100/VLOOKUP($C$193,'DB animal categories'!$C$68:$AC$80,27,FALSE)*AJ196-AC196*VLOOKUP(D196,'DB technologies'!$N$96:$Y$107,11,FALSE)/100,0))))</f>
        <v/>
      </c>
      <c r="AP196" s="184" t="str">
        <f>IF(D196="","",IF(AO196&lt;-0.01,0,IF(AI196=2,(('Calc (ex-animal)'!$L$41*'Calc (ex-housing, ex-storage)'!F195/100+'Calc (ex-animal)'!$K$41*'Calc (ex-housing, ex-storage)'!F195/100))*AH195/100/VLOOKUP($C$193,'DB animal categories'!$C$68:$AC$80,27,FALSE)*AJ196+Q196+R196+S196-AC196,IF(AI196=1,('Calc (ex-animal)'!$L$41*'Calc (ex-housing, ex-storage)'!F195/100)*AH195/100/VLOOKUP($C$193,'DB animal categories'!$C$68:$AC$80,27,FALSE)*AJ196-'Calc (ex-housing, ex-storage)'!AC196,IF(AI196=4,('Calc (ex-animal)'!$L$41+'Calc (ex-animal)'!$K$41)*'Calc (ex-housing, ex-storage)'!F195/100*AH195/100*VLOOKUP(D196,'DB technologies'!$N$96:$Y$107,11,FALSE)/100/VLOOKUP($C$193,'DB animal categories'!$C$68:$AC$80,27,FALSE)*AJ196-AC196*VLOOKUP(D196,'DB technologies'!$N$96:$Y$107,11,FALSE)/100,0)))))</f>
        <v/>
      </c>
      <c r="AQ196" s="184" t="str">
        <f>IF(D196="","",IF(AI196=2,('Calc (ex-animal)'!$O$41*'Calc (ex-housing, ex-storage)'!F195/100+'Calc (ex-animal)'!$N$41*'Calc (ex-housing, ex-storage)'!F195/100)*AH195/100/VLOOKUP($C$193,'DB animal categories'!$C$68:$AC$80,27,FALSE)*AJ196+U196+V196+W196,IF(AI196=1,'Calc (ex-animal)'!$O$41*'Calc (ex-housing, ex-storage)'!F195/100*AH195/100/VLOOKUP($C$193,'DB animal categories'!$C$68:$AC$80,27,FALSE)*AJ196,IF(AI196=4,('Calc (ex-animal)'!$O$41+'Calc (ex-animal)'!$N$41)*'Calc (ex-housing, ex-storage)'!F195/100*AH195/100*VLOOKUP(D196,'DB technologies'!$N$96:$Y$107,11,FALSE)/100/VLOOKUP($C$193,'DB animal categories'!$C$68:$AC$80,27,FALSE)*AJ196,0))))</f>
        <v/>
      </c>
      <c r="AR196" s="184" t="str">
        <f>IF(D196="","",IF(AI196=2,('Calc (ex-animal)'!$R$41*'Calc (ex-housing, ex-storage)'!F195/100+'Calc (ex-animal)'!$Q$41*'Calc (ex-housing, ex-storage)'!F195/100)*AH195/100/VLOOKUP($C$193,'DB animal categories'!$C$68:$AC$80,27,FALSE)*AJ196+Y196+Z196+AA196,IF(AI196=1,'Calc (ex-animal)'!$R$41*'Calc (ex-housing, ex-storage)'!F195/100*AH195/100/VLOOKUP($C$193,'DB animal categories'!$C$68:$AC$80,27,FALSE)*AJ196,IF(AI196=4,('Calc (ex-animal)'!$R$41+'Calc (ex-animal)'!$Q$41)*'Calc (ex-housing, ex-storage)'!F195/100*AH195/100*VLOOKUP(D196,'DB technologies'!$N$96:$Y$107,11,FALSE)/100/VLOOKUP($C$193,'DB animal categories'!$C$68:$AC$80,27,FALSE)*AJ196,0))))</f>
        <v/>
      </c>
      <c r="AS196" s="183" t="str">
        <f>IF(D196="","",VLOOKUP(D196,'DB technologies'!$N$96:$Y$107,10,FALSE))</f>
        <v/>
      </c>
      <c r="AT196" s="452" t="str">
        <f t="shared" si="36"/>
        <v/>
      </c>
      <c r="AU196" s="452" t="str">
        <f>IF(D196="","",IF(AS196=2,0,IF(AS196=1,'Calc (ex-animal)'!$G$41*'DB additional information '!$K$12/100*AH195/100*(1-VLOOKUP(D196,'DB technologies'!$N$96:$Y$107,8,FALSE)/100)*'Calc (ex-housing, ex-storage)'!F195/100/VLOOKUP($C$193,'DB animal categories'!$C$68:$AC$80,27,FALSE)*AJ196+I196+J196+K196,IF(AS196=5,(('Calc (ex-animal)'!$G$41*'DB additional information '!$K$12/100+'Calc (ex-animal)'!$H$41*'DB additional information '!$L$12/100))*AH195/100*(1-VLOOKUP(D196,'DB technologies'!$N$96:$Y$107,9,FALSE)/100)*'Calc (ex-housing, ex-storage)'!F195/100/VLOOKUP($C$193,'DB animal categories'!$C$68:$AC$80,27,FALSE)*AJ196+I196+J196+K196,IF(AS196=3,('Calc (ex-animal)'!$G$41*'DB additional information '!$K$12/100+'Calc (ex-animal)'!$H$41*'DB additional information '!$L$12/100)*AH195/100*(1-VLOOKUP(D196,'DB technologies'!$N$96:$Y$107,9,FALSE)/100)*'Calc (ex-housing, ex-storage)'!F195/100/VLOOKUP($C$193,'DB animal categories'!$C$68:$AC$80,27,FALSE)*AJ196+I196+J196+K196,IF(AS196=4,('Calc (ex-animal)'!$G$41*'DB additional information '!$K$12/100+'Calc (ex-animal)'!$H$41*'DB additional information '!$L$12/100)*AH195/100*(1-VLOOKUP(D196,'DB technologies'!$N$96:$Y$107,9,FALSE)/100)*'Calc (ex-housing, ex-storage)'!F195/100*VLOOKUP(D196,'DB technologies'!$N$96:$Y$107,12,FALSE)/100/VLOOKUP($C$193,'DB animal categories'!$C$68:$AC$80,27,FALSE)*AJ196+I196+J196+K196,0))))))</f>
        <v/>
      </c>
      <c r="AV196" s="452" t="str">
        <f>IF(D196="","",IF(AS196=2,0,IF(AS196=1,'Calc (ex-animal)'!$G$41*(1-'DB additional information '!$K$12/100)*AH195/100*(1-VLOOKUP(D196,'DB technologies'!$N$96:$Y$107,8,FALSE)/100)*'Calc (ex-housing, ex-storage)'!F195/100/VLOOKUP($C$193,'DB animal categories'!$C$68:$AC$80,27,FALSE)*AJ196+M196+N196+O196,IF(AS196=5,('Calc (ex-animal)'!$G$41*(1-'DB additional information '!$K$12/100)+'Calc (ex-animal)'!$H$41*(1-'DB additional information '!$L$12/100))*AH195/100*(1-VLOOKUP(D196,'DB technologies'!$N$96:$Y$107,8,FALSE)/100)*'Calc (ex-housing, ex-storage)'!F195/100/VLOOKUP($C$193,'DB animal categories'!$C$68:$AC$80,27,FALSE)*AJ196+M196+N196+O196,IF(AS196=3,('Calc (ex-animal)'!$G$41*(1-'DB additional information '!$K$12/100)+'Calc (ex-animal)'!$H$41*(1-'DB additional information '!$L$12/100))*AH195/100*(1-VLOOKUP(D196,'DB technologies'!$N$96:$Y$107,8,FALSE)/100)*'Calc (ex-housing, ex-storage)'!F195/100/VLOOKUP($C$193,'DB animal categories'!$C$68:$AC$80,27,FALSE)*AJ196+M196+N196+O196,IF(AS196=4,('Calc (ex-animal)'!$G$41*(1-'DB additional information '!$K$12/100)+'Calc (ex-animal)'!$H$41*(1-'DB additional information '!$L$12/100))*AH195/100*(1-VLOOKUP(D196,'DB technologies'!$N$96:$Y$107,8,FALSE)/100)*'Calc (ex-housing, ex-storage)'!F195/100*VLOOKUP(D196,'DB technologies'!$N$96:$Y$107,12,FALSE)/100/VLOOKUP($C$193,'DB animal categories'!$C$68:$AC$80,27,FALSE)*AJ196+M196+N196+O196,0))))))</f>
        <v/>
      </c>
      <c r="AW196" s="452" t="str">
        <f t="shared" si="37"/>
        <v/>
      </c>
      <c r="AX196" s="184" t="str">
        <f>IF(D196="","",IF(AS196=2,0,IF(AS196=1,'Calc (ex-animal)'!$K$41*'Calc (ex-housing, ex-storage)'!F195/100*AH195/100/VLOOKUP($C$193,'DB animal categories'!$C$68:$AC$80,27,FALSE)*AJ196+Q196+R196+S196,IF(AS196=5,('Calc (ex-animal)'!$K$41+'Calc (ex-animal)'!$L$41)*AH195/100*'Calc (ex-housing, ex-storage)'!F195/100/VLOOKUP($C$193,'DB animal categories'!$C$68:$AC$80,27,FALSE)*AJ196+Q196+R196+S196-'Calc (ex-housing, ex-storage)'!AC196,IF(AS196=3,('Calc (ex-animal)'!$K$41+'Calc (ex-animal)'!$L$41)*AH195/100*'Calc (ex-housing, ex-storage)'!F195/100/VLOOKUP($C$193,'DB animal categories'!$C$68:$AC$80,27,FALSE)*AJ196+Q196+R196+S196-'Calc (ex-housing, ex-storage)'!AC196-AD196-AE196,IF(AI196=4,('Calc (ex-animal)'!$K$41+'Calc (ex-animal)'!$L$41)*AH195/100*'Calc (ex-housing, ex-storage)'!F195/100*VLOOKUP(D196,'DB technologies'!$N$96:$Y$107,12,FALSE)/100/VLOOKUP($C$193,'DB animal categories'!$C$68:$AC$80,27,FALSE)*AJ196+Q196+R196+S196-(VLOOKUP(D196,'DB technologies'!$N$96:$Y$107,12,FALSE)/100*AC196)-AD196-AE196,0))))))</f>
        <v/>
      </c>
      <c r="AY196" s="184" t="str">
        <f>IF(D196="","",IF(AS196=2,0,IF(AS196=1,'Calc (ex-animal)'!$N$41*AH195/100*'Calc (ex-housing, ex-storage)'!F195/100/VLOOKUP($C$193,'DB animal categories'!$C$68:$AC$80,27,FALSE)*AJ196+U196+V196+W196,IF(AS196=5,('Calc (ex-animal)'!$N$41+'Calc (ex-animal)'!$O$41)*AH195/100*'Calc (ex-housing, ex-storage)'!F195/100/VLOOKUP($C$193,'DB animal categories'!$C$68:$AC$80,27,FALSE)*AJ196+U196+V196+W196,IF(AS196=3,('Calc (ex-animal)'!$N$41+'Calc (ex-animal)'!$O$41)*AH195/100*'Calc (ex-housing, ex-storage)'!F195/100/VLOOKUP($C$193,'DB animal categories'!$C$68:$AC$80,27,FALSE)*AJ196+U196+V196+W196,IF(AS196=4,('Calc (ex-animal)'!$N$41+'Calc (ex-animal)'!$O$41)*AH195/100*'Calc (ex-housing, ex-storage)'!F195/100*VLOOKUP(D196,'DB technologies'!$N$96:$Y$107,12,FALSE)/100/VLOOKUP($C$193,'DB animal categories'!$C$68:$AC$80,27,FALSE)*AJ196+U196+V196+W196,0))))))</f>
        <v/>
      </c>
      <c r="AZ196" s="184" t="str">
        <f>IF(D196="","",IF(AS196=2,0,IF(AS196=1,'Calc (ex-animal)'!$Q$41*AH195/100*'Calc (ex-housing, ex-storage)'!F195/100/VLOOKUP($C$193,'DB animal categories'!$C$68:$AC$80,27,FALSE)*AJ196+Y196+Z196+AA196,IF(AS196=5,('Calc (ex-animal)'!$Q$41+'Calc (ex-animal)'!$R$41)*AH195/100*'Calc (ex-housing, ex-storage)'!F195/100/VLOOKUP($C$193,'DB animal categories'!$C$68:$AC$80,27,FALSE)*AJ196+Y196+Z196+AA196,IF(AS196=3,('Calc (ex-animal)'!$Q$41+'Calc (ex-animal)'!$R$41)*AH195/100*'Calc (ex-housing, ex-storage)'!F195/100/VLOOKUP($C$193,'DB animal categories'!$C$68:$AC$80,27,FALSE)*AJ196+Y196+Z196+AA196,IF(AS196=4,('Calc (ex-animal)'!$Q$41+'Calc (ex-animal)'!$R$41)*AH195/100*'Calc (ex-housing, ex-storage)'!F195/100*VLOOKUP(D196,'DB technologies'!$N$96:$Y$107,12,FALSE)/100/VLOOKUP($C$193,'DB animal categories'!$C$68:$AC$80,27,FALSE)*AJ196+Y196+Z196+AA196,0))))))</f>
        <v/>
      </c>
      <c r="BA196" s="506"/>
      <c r="BB196" s="506"/>
      <c r="BC196" s="506"/>
    </row>
    <row r="197" spans="1:55" x14ac:dyDescent="0.2">
      <c r="A197" s="684"/>
      <c r="B197" s="695"/>
      <c r="C197" s="251"/>
      <c r="D197" s="1357"/>
      <c r="E197" s="1394"/>
      <c r="F197" s="692" t="str">
        <f>IF('Calc (ex-animal)'!$F$38=1,"",IF($C$193=0,"",IF(D197="","",E197/'Calc (ex-animal)'!$E$41*100)))</f>
        <v/>
      </c>
      <c r="G197" s="438" t="str">
        <f>IF($C$193=0,"",IF('Calc (ex-animal)'!$F$38=1,"",IF(D197="","",SUM(H197:O197))))</f>
        <v/>
      </c>
      <c r="H197" s="423" t="str">
        <f>IF('Calc (ex-animal)'!$F$38=1,"",IF(D197="","",(((VLOOKUP($C$193,'Calc (ex-animal)'!$D$38:$Y$42,6,FALSE)-VLOOKUP($C$193,'Calc (ex-animal)'!$D$38:$Y$42,17,FALSE))*F197/100*AG197/100))*VLOOKUP($C$193,'Calc (ex-animal)'!$D$38:$Y$42,7,FALSE)/100*(1-VLOOKUP(D197,'DB technologies'!$N$83:$Y$94,9,FALSE)/100)))</f>
        <v/>
      </c>
      <c r="I197" s="423" t="str">
        <f>IF(D197="","",((VLOOKUP(D197,'DB technologies'!$N$83:$Y$94,2,FALSE)*VLOOKUP($C$193,'DB animal categories'!$C$68:$AC$80,27,FALSE)*E197/1000*AG197/100)/VLOOKUP($C$193,'DB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'!$S$6/100*(1-VLOOKUP(D197,'DB technologies'!$N$83:$Y$94,9,FALSE)/100)))</f>
        <v/>
      </c>
      <c r="J197" s="434" t="str">
        <f>IF(D197="","",((VLOOKUP(D197,'DB technologies'!$N$83:$Y$94,3,FALSE)*VLOOKUP($C$193,'DB animal categories'!$C$68:$AC$80,27,FALSE)*E197/1000*AG197/100)/VLOOKUP($C$193,'DB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'!$S$7/100*(1-VLOOKUP(D197,'DB technologies'!$N$83:$Y$94,9,FALSE)/100)))</f>
        <v/>
      </c>
      <c r="K197" s="526" t="str">
        <f>IF(D197="","",((VLOOKUP(D197,'DB technologies'!$N$83:$Y$94,4,FALSE)*E197*AG197/100*'DB additional information '!$S$8/100*(1-VLOOKUP(D197,'DB technologies'!$N$83:$Y$94,9,FALSE)/100))/VLOOKUP($C$193,'DB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7" s="423" t="str">
        <f>IF('Calc (ex-animal)'!$F$38=1,"",IF(D197="","",(((VLOOKUP($C$193,'Calc (ex-animal)'!$D$38:$Y$42,6,FALSE)-VLOOKUP($C$193,'Calc (ex-animal)'!$D$38:$Y$42,17,FALSE))*F197/100*AG197/100))*(1-VLOOKUP($C$193,'Calc (ex-animal)'!$D$38:$Y$42,7,FALSE)/100)*(1-VLOOKUP(D197,'DB technologies'!$N$83:$V$94,8,FALSE)/100)))</f>
        <v/>
      </c>
      <c r="M197" s="434" t="str">
        <f>IF(D197="","",((VLOOKUP(D197,'DB technologies'!$N$83:$Y$94,2,FALSE)*VLOOKUP($C$193,'DB animal categories'!$C$68:$AC$80,27,FALSE)*E197/1000*AG197/100)/VLOOKUP($C$193,'DB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'!$S$6/100)*(1-VLOOKUP(D197,'DB technologies'!$N$83:$Y$94,9,FALSE)/100))</f>
        <v/>
      </c>
      <c r="N197" s="434" t="str">
        <f>IF(D197="","",((VLOOKUP(D197,'DB technologies'!$N$83:$Y$94,3,FALSE)*VLOOKUP($C$193,'DB animal categories'!$C$68:$AC$80,27,FALSE)*E197/1000*AG197/100)/VLOOKUP($C$193,'DB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'!$S$7/100)*(1-VLOOKUP(D197,'DB technologies'!$N$83:$Y$94,9,FALSE)/100))</f>
        <v/>
      </c>
      <c r="O197" s="423" t="str">
        <f>IF(D197="","",((VLOOKUP(D197,'DB technologies'!$N$83:$Y$94,4,FALSE)*E197*AG197/100*(1-'DB additional information '!$S$8/100)*(1-VLOOKUP(D197,'DB technologies'!$N$83:$Y$94,8,FALSE)/100))/VLOOKUP($C$193,'DB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7" s="438" t="str">
        <f>IF(G197=0,0,IF(E197="","",IF(F197="","",IF($C$193=0,"",IF(D197="","",SUM(H197:K197)/G197*100)))))</f>
        <v/>
      </c>
      <c r="Q197" s="416" t="str">
        <f>IF(D197="","",(VLOOKUP(D197,'DB technologies'!$N$83:$Y$94,2,FALSE)*'DB additional information '!$S$6/100*'DB additional information '!$T$6*VLOOKUP($C$193,'DB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7" s="416" t="str">
        <f>IF(D197="","",(VLOOKUP(D197,'DB technologies'!$N$83:$Y$94,3,FALSE)*'DB additional information '!$S$7/100*'DB additional information '!$T$7*VLOOKUP($C$193,'DB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7" s="491" t="str">
        <f>IF(D197="","",(VLOOKUP(D197,'DB technologies'!$N$83:$Y$94,4,FALSE)*('DB additional information '!$S$8/100*'DB additional information '!$T$8*E197/1000/1000*AG197/100)))</f>
        <v/>
      </c>
      <c r="T197" s="264" t="str">
        <f>IF($C$193=0,"",IF('Calc (ex-animal)'!$F$38=1,"",IF(D197="","",((VLOOKUP($C$193,'Calc (ex-animal)'!$D$38:$Y$42,10,FALSE)-VLOOKUP($C$193,'Calc (ex-animal)'!$D$38:$Y$42,18,FALSE))*F197/100*AG197/100+Q197+R197+S197)-AC197-AD197-AE197)))</f>
        <v/>
      </c>
      <c r="U197" s="422" t="str">
        <f>IF(D197="","",(VLOOKUP(D197,'DB technologies'!$N$83:$Y$94,2,FALSE)*'DB additional information '!$S$6/100*'DB additional information '!$U$6*VLOOKUP($C$193,'DB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7" s="418" t="str">
        <f>IF(D197="","",(VLOOKUP(D197,'DB technologies'!$N$83:$Y$94,3,FALSE)*'DB additional information '!$S$7/100*'DB additional information '!$U$7*VLOOKUP($C$193,'DB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7" s="417" t="str">
        <f>IF(D197="","",(VLOOKUP(D197,'DB technologies'!$N$83:$Y$94,4,FALSE)*('DB additional information '!$S$8/100*'DB additional information '!$U$8*E197/1000/1000*AG197/100)))</f>
        <v/>
      </c>
      <c r="X197" s="261" t="str">
        <f>IF($C$193=0,"",IF('Calc (ex-animal)'!$F$38=1,"",IF(D197="","",((VLOOKUP($C$193,'Calc (ex-animal)'!$D$38:$Y$42,13,FALSE)-VLOOKUP($C$193,'Calc (ex-animal)'!$D$38:$Y$42,19,FALSE))*F197/100*AG197/100+U197+V197+W197))))</f>
        <v/>
      </c>
      <c r="Y197" s="418" t="str">
        <f>IF(D197="","",(VLOOKUP(D197,'DB technologies'!$N$83:$Y$94,2,FALSE)*'DB additional information '!$S$6/100*'DB additional information '!$V$6*VLOOKUP($C$193,'DB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7" s="418" t="str">
        <f>IF(D197="","",(VLOOKUP(D197,'DB technologies'!$N$83:$Y$94,3,FALSE)*'DB additional information '!$S$7/100*'DB additional information '!$V$7*VLOOKUP($C$193,'DB animal categories'!$C$68:$AC$80,27,FALSE)*E197/1000/1000*AG197/100)/VLOOKUP($C$193,'DB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7" s="418" t="str">
        <f>IF(D197="","",(VLOOKUP(D197,'DB technologies'!$N$83:$Y$94,4,FALSE)*('DB additional information '!$S$8/100*'DB additional information '!$V$8*E197/1000/1000*AG197/100)))</f>
        <v/>
      </c>
      <c r="AB197" s="261" t="str">
        <f>IF($C$193=0,"",IF('Calc (ex-animal)'!$F$38=1,"",IF(D197="","",((VLOOKUP($C$193,'Calc (ex-animal)'!$D$38:$Y$42,16,FALSE)-VLOOKUP($C$193,'Calc (ex-animal)'!$D$38:$Y$42,20,FALSE))*F197/100*AG197/100+Y197+Z197+AA197))))</f>
        <v/>
      </c>
      <c r="AC197" s="261" t="str">
        <f>IF($C$193=0,"",IF('Calc (ex-animal)'!$F$38=1,"",IF(D197="","",VLOOKUP($C$193,'Calc (ex-animal)'!$D$38:$Y$42,9,FALSE)*AG197/100/VLOOKUP($C$193,'DB animal categories'!$C$68:$AC$80,27,FALSE)*(VLOOKUP($C$193,'DB animal categories'!$C$68:$AC$80,27,FALSE)-VLOOKUP($C$193,'DB animal categories'!$C$68:$AC$80,25,FALSE)*VLOOKUP($C$193,'DB animal categories'!$C$68:$AC$80,26,FALSE)/24)*F197/100*VLOOKUP(D197,'DB technologies'!$N$83:$R$94,5,FALSE)/100)))</f>
        <v/>
      </c>
      <c r="AD197" s="261" t="str">
        <f>IF($C$193=0,"",IF('Calc (ex-animal)'!$F$38=1,"",IF(D197="","",VLOOKUP($C$193,'Calc (ex-animal)'!$D$38:$Y$42,10,FALSE)*AG197/100/VLOOKUP($C$193,'DB animal categories'!$C$68:$AC$80,27,FALSE)*(VLOOKUP($C$193,'DB animal categories'!$C$68:$AC$80,27,FALSE)-VLOOKUP($C$193,'DB animal categories'!$C$68:$AC$80,25,FALSE)*VLOOKUP($C$193,'DB animal categories'!$C$68:$AC$80,26,FALSE)/24)*F197/100*VLOOKUP(D197,'DB technologies'!$N$83:$Y$94,6,FALSE)/100)))</f>
        <v/>
      </c>
      <c r="AE197" s="262" t="str">
        <f>IF($C$193=0,"",IF('Calc (ex-animal)'!$F$38=1,"",IF(D197="","",VLOOKUP($C$193,'Calc (ex-animal)'!$D$38:$Y$42,10,FALSE)*AG197/100/VLOOKUP($C$193,'DB animal categories'!$C$68:$AC$80,27,FALSE)*(VLOOKUP($C$193,'DB animal categories'!$C$68:$AC$80,27,FALSE)-VLOOKUP($C$193,'DB animal categories'!$C$68:$AC$80,25,FALSE)*VLOOKUP($C$193,'DB animal categories'!$C$68:$AC$80,26,FALSE)/24)*F197/100*VLOOKUP(D197,'DB technologies'!$N$83:$Y$94,7,FALSE)/100)))</f>
        <v/>
      </c>
      <c r="AG197" s="1389"/>
      <c r="AH197" s="1382"/>
      <c r="AI197" s="185" t="str">
        <f>IF(D197="","",VLOOKUP(D197,'DB technologies'!$N$82:$Y$94,10,FALSE))</f>
        <v/>
      </c>
      <c r="AJ197" s="482" t="e">
        <f>VLOOKUP($C$193,'DB animal categories'!$C$68:$AN$80,27,FALSE)-VLOOKUP($C$193,'DB animal categories'!$C$68:$AN$80,26,FALSE)*VLOOKUP($C$193,'DB animal categories'!$C$68:$AN$80,25,FALSE)/24</f>
        <v>#N/A</v>
      </c>
      <c r="AK197" s="453" t="str">
        <f t="shared" si="34"/>
        <v/>
      </c>
      <c r="AL197" s="453" t="str">
        <f>IF(D197="","",IF(AI197=2,(('Calc (ex-animal)'!$G$41*'DB additional information '!$K$12/100*AG197/100*(1-VLOOKUP(D197,'DB technologies'!$N$82:$Y$94,9,FALSE)/100)*'Calc (ex-housing, ex-storage)'!F197/100+'Calc (ex-animal)'!$H$41*'DB additional information '!$L$12/100*AG197/100*(1-VLOOKUP(D197,'DB technologies'!$N$82:$Y$94,9,FALSE)/100)*'Calc (ex-housing, ex-storage)'!F197/100))/VLOOKUP($C$193,'DB animal categories'!$C$68:$AC$80,27,FALSE)*AJ197+I197+J197+K197,IF(AI197=1,('Calc (ex-animal)'!$H$41*AG197/100*'DB additional information '!$L$12/100*(1-VLOOKUP(D197,'DB technologies'!$N$82:$Y$94,9,FALSE)/100)*'Calc (ex-housing, ex-storage)'!F197/100)/VLOOKUP($C$193,'DB animal categories'!$C$68:$AC$80,27,FALSE)*AJ197,IF(AI197=4,('Calc (ex-animal)'!$G$41*'DB additional information '!$K$12/100+'Calc (ex-animal)'!$H$41*'DB additional information '!$L$12/100)*AG197/100*(1-VLOOKUP(D197,'DB technologies'!$N$82:$Y$94,9,FALSE)/100)*'Calc (ex-housing, ex-storage)'!F197/100*VLOOKUP(D197,'DB technologies'!$N$82:$Y$94,11,FALSE)/100/VLOOKUP($C$193,'DB animal categories'!$C$68:$AC$80,27,FALSE)*AJ197,0))))</f>
        <v/>
      </c>
      <c r="AM197" s="453" t="str">
        <f>IF(D197="","",IF(AI197=2,(('Calc (ex-animal)'!$G$41*(1-'DB additional information '!$K$12/100)*AG197/100*(1-VLOOKUP(D197,'DB technologies'!$N$82:$Y$94,8,FALSE)/100)*'Calc (ex-housing, ex-storage)'!F197/100+'Calc (ex-animal)'!$H$41*(1-'DB additional information '!$L$12/100)*AG197/100*(1-VLOOKUP(D197,'DB technologies'!$N$82:$Y$94,8,FALSE)/100)*'Calc (ex-housing, ex-storage)'!F197/100))/VLOOKUP($C$193,'DB animal categories'!$C$68:$AC$80,27,FALSE)*AJ197+M197+N197+O197,IF(AI197=1,('Calc (ex-animal)'!$H$41*(1-'DB additional information '!$L$12/100)*AG197/100*(1-VLOOKUP(D197,'DB technologies'!$N$82:$Y$94,8,FALSE)/100)*'Calc (ex-housing, ex-storage)'!F197/100)/VLOOKUP($C$193,'DB animal categories'!$C$68:$AC$80,27,FALSE)*AJ197,IF(AI197=4,('Calc (ex-animal)'!$G$41*(1-'DB additional information '!$K$12/100)+'Calc (ex-animal)'!$H$41*(1-'DB additional information '!$L$12/100))*AG197/100*(1-VLOOKUP(D197,'DB technologies'!$N$82:$Y$94,8,FALSE)/100)*'Calc (ex-housing, ex-storage)'!F197/100*VLOOKUP(D197,'DB technologies'!$N$82:$Y$94,11,FALSE)/100/VLOOKUP($C$193,'DB animal categories'!$C$68:$AC$80,27,FALSE)*AJ197,0))))</f>
        <v/>
      </c>
      <c r="AN197" s="453" t="str">
        <f t="shared" si="35"/>
        <v/>
      </c>
      <c r="AO197" s="180" t="str">
        <f>IF(D197="","",IF(AI197=2,(('Calc (ex-animal)'!$L$41*'Calc (ex-housing, ex-storage)'!F197/100+'Calc (ex-animal)'!$K$41*'Calc (ex-housing, ex-storage)'!F197/100))*AG197/100/VLOOKUP($C$193,'DB animal categories'!$C$68:$AC$80,27,FALSE)*AJ197+Q197+R197+S197-AC197,IF(AI197=1,('Calc (ex-animal)'!$L$41*'Calc (ex-housing, ex-storage)'!F197/100)*AG197/100/VLOOKUP($C$193,'DB animal categories'!$C$68:$AC$80,27,FALSE)*AJ197-'Calc (ex-housing, ex-storage)'!AC197,IF(AI197=4,('Calc (ex-animal)'!$L$41+'Calc (ex-animal)'!$K$41)*'Calc (ex-housing, ex-storage)'!F197/100*AG197/100*VLOOKUP(D197,'DB technologies'!$N$82:$Y$94,11,FALSE)/100/VLOOKUP($C$193,'DB animal categories'!$C$68:$AC$80,27,FALSE)*AJ197-AC197*VLOOKUP(D197,'DB technologies'!$N$82:$Y$94,11,FALSE)/100,0))))</f>
        <v/>
      </c>
      <c r="AP197" s="180" t="str">
        <f>IF(D197="","",IF(AO197&lt;-0.01,0,IF(AI197=2,(('Calc (ex-animal)'!$L$41*'Calc (ex-housing, ex-storage)'!F197/100+'Calc (ex-animal)'!$K$41*'Calc (ex-housing, ex-storage)'!F197/100))*AG197/100/VLOOKUP($C$193,'DB animal categories'!$C$68:$AC$80,27,FALSE)*AJ197+Q197+R197+S197-AC197,IF(AI197=1,('Calc (ex-animal)'!$L$41*'Calc (ex-housing, ex-storage)'!F197/100)*AG197/100/VLOOKUP($C$193,'DB animal categories'!$C$68:$AC$80,27,FALSE)*AJ197-'Calc (ex-housing, ex-storage)'!AC197,IF(AI197=4,('Calc (ex-animal)'!$L$41+'Calc (ex-animal)'!$K$41)*'Calc (ex-housing, ex-storage)'!F197/100*AG197/100*VLOOKUP(D197,'DB technologies'!$N$82:$Y$94,11,FALSE)/100/VLOOKUP($C$193,'DB animal categories'!$C$68:$AC$80,27,FALSE)*AJ197-AC197*VLOOKUP(D197,'DB technologies'!$N$82:$Y$94,11,FALSE)/100,0)))))</f>
        <v/>
      </c>
      <c r="AQ197" s="180" t="str">
        <f>IF(D197="","",IF(AI197=2,('Calc (ex-animal)'!$O$41*'Calc (ex-housing, ex-storage)'!F197/100+'Calc (ex-animal)'!$N$41*'Calc (ex-housing, ex-storage)'!F197/100)*AG197/100/VLOOKUP($C$193,'DB animal categories'!$C$68:$AC$80,27,FALSE)*AJ197+U197+V197+W197,IF(AI197=1,'Calc (ex-animal)'!$O$41*'Calc (ex-housing, ex-storage)'!F197/100*AG197/100/VLOOKUP($C$193,'DB animal categories'!$C$68:$AC$80,27,FALSE)*AJ197,IF(AI197=4,('Calc (ex-animal)'!$O$41+'Calc (ex-animal)'!$N$41)*'Calc (ex-housing, ex-storage)'!F197/100*AG197/100*VLOOKUP(D197,'DB technologies'!$N$82:$Y$94,11,FALSE)/100/VLOOKUP($C$193,'DB animal categories'!$C$68:$AC$80,27,FALSE)*AJ197,0))))</f>
        <v/>
      </c>
      <c r="AR197" s="180" t="str">
        <f>IF(D197="","",IF(AI197=2,('Calc (ex-animal)'!$R$41*'Calc (ex-housing, ex-storage)'!F197/100+'Calc (ex-animal)'!$Q$41*'Calc (ex-housing, ex-storage)'!F197/100)*AG197/100/VLOOKUP($C$193,'DB animal categories'!$C$68:$AC$80,27,FALSE)*AJ197+Y197+Z197+AA197,IF(AI197=1,'Calc (ex-animal)'!$R$41*'Calc (ex-housing, ex-storage)'!F197/100*AG197/100/VLOOKUP($C$193,'DB animal categories'!$C$68:$AC$80,27,FALSE)*AJ197,IF(AI197=4,('Calc (ex-animal)'!$R$41+'Calc (ex-animal)'!$Q$41)*'Calc (ex-housing, ex-storage)'!F197/100*AG197/100*VLOOKUP(D197,'DB technologies'!$N$82:$Y$94,11,FALSE)/100/VLOOKUP($C$193,'DB animal categories'!$C$68:$AC$80,27,FALSE)*AJ197,0))))</f>
        <v/>
      </c>
      <c r="AS197" s="179" t="str">
        <f>IF(D197="","",VLOOKUP(D197,'DB technologies'!$N$82:$Y$94,10,FALSE))</f>
        <v/>
      </c>
      <c r="AT197" s="453" t="str">
        <f>IF(AS197="","",AU197+AV197)</f>
        <v/>
      </c>
      <c r="AU197" s="453" t="str">
        <f>IF(D197="","",IF(AS197=2,0,IF(AS197=1,'Calc (ex-animal)'!$G$41*'DB additional information '!$K$12/100*AG197/100*(1-VLOOKUP(D197,'DB technologies'!$N$82:$Y$94,8,FALSE)/100)*'Calc (ex-housing, ex-storage)'!F197/100/VLOOKUP($C$193,'DB animal categories'!$C$68:$AC$80,27,FALSE)*AJ197+I197+J197+K197,IF(AS197=5,(('Calc (ex-animal)'!$G$41*'DB additional information '!$K$12/100+'Calc (ex-animal)'!$H$41*'DB additional information '!$L$12/100))*AG197/100*(1-VLOOKUP(D197,'DB technologies'!$N$82:$Y$94,9,FALSE)/100)*'Calc (ex-housing, ex-storage)'!F197/100/VLOOKUP($C$193,'DB animal categories'!$C$68:$AC$80,27,FALSE)*AJ197+I197+J197+K197,IF(AS197=3,('Calc (ex-animal)'!$G$41*'DB additional information '!$K$12/100+'Calc (ex-animal)'!$H$41*'DB additional information '!$L$12/100)*AG197/100*(1-VLOOKUP(D197,'DB technologies'!$N$82:$Y$94,9,FALSE)/100)*'Calc (ex-housing, ex-storage)'!F197/100/VLOOKUP($C$193,'DB animal categories'!$C$68:$AC$80,27,FALSE)*AJ197+I197+J197+K197,IF(AS197=4,('Calc (ex-animal)'!$G$41*'DB additional information '!$K$12/100+'Calc (ex-animal)'!$H$41*'DB additional information '!$L$12/100)*AG197/100*(1-VLOOKUP(D197,'DB technologies'!$N$82:$Y$94,9,FALSE)/100)*'Calc (ex-housing, ex-storage)'!F197/100*VLOOKUP(D197,'DB technologies'!$N$82:$Y$94,12,FALSE)/100/VLOOKUP($C$193,'DB animal categories'!$C$68:$AC$80,27,FALSE)*AJ197+I197+J197+K197,0))))))</f>
        <v/>
      </c>
      <c r="AV197" s="453" t="str">
        <f>IF(D197="","",IF(AS197=2,0,IF(AS197=1,'Calc (ex-animal)'!$G$41*(1-'DB additional information '!$K$12/100)*AG197/100*(1-VLOOKUP(D197,'DB technologies'!$N$82:$Y$94,8,FALSE)/100)*'Calc (ex-housing, ex-storage)'!F197/100/VLOOKUP($C$193,'DB animal categories'!$C$68:$AC$80,27,FALSE)*AJ197+M197+N197+O197,IF(AS197=5,('Calc (ex-animal)'!$G$41*(1-'DB additional information '!$K$12/100)+'Calc (ex-animal)'!$H$41*(1-'DB additional information '!$L$12/100))*AG197/100*(1-VLOOKUP(D197,'DB technologies'!$N$82:$Y$94,8,FALSE)/100)*'Calc (ex-housing, ex-storage)'!F197/100/VLOOKUP($C$193,'DB animal categories'!$C$68:$AC$80,27,FALSE)*AJ197+M197+N197+O197,IF(AS197=3,('Calc (ex-animal)'!$G$41*(1-'DB additional information '!$K$12/100)+'Calc (ex-animal)'!$H$41*(1-'DB additional information '!$L$12/100))*AG197/100*(1-VLOOKUP(D197,'DB technologies'!$N$82:$Y$94,8,FALSE)/100)*'Calc (ex-housing, ex-storage)'!F197/100/VLOOKUP($C$193,'DB animal categories'!$C$68:$AC$80,27,FALSE)*AJ197+M197+N197+O197,IF(AS197=4,('Calc (ex-animal)'!$G$41*(1-'DB additional information '!$K$12/100)+'Calc (ex-animal)'!$H$41*(1-'DB additional information '!$L$12/100))*AG197/100*(1-VLOOKUP(D197,'DB technologies'!$N$82:$Y$94,8,FALSE)/100)*'Calc (ex-housing, ex-storage)'!F197/100*VLOOKUP(D197,'DB technologies'!$N$82:$Y$94,12,FALSE)/100/VLOOKUP($C$193,'DB animal categories'!$C$68:$AC$80,27,FALSE)*AJ197+M197+N197+O197,0))))))</f>
        <v/>
      </c>
      <c r="AW197" s="453" t="str">
        <f>IF(AS197="","",IF(AU197=0,0,AU197/AT197*100))</f>
        <v/>
      </c>
      <c r="AX197" s="180" t="str">
        <f>IF(D197="","",IF(AS197=2,0,IF(AS197=1,'Calc (ex-animal)'!$K$41*'Calc (ex-housing, ex-storage)'!F197/100*AG197/100/VLOOKUP($C$193,'DB animal categories'!$C$68:$AC$80,27,FALSE)*AJ197+Q197+R197+S197,IF(AS197=5,('Calc (ex-animal)'!$K$41+'Calc (ex-animal)'!$L$41)*AG197/100*'Calc (ex-housing, ex-storage)'!F197/100/VLOOKUP($C$193,'DB animal categories'!$C$68:$AC$80,27,FALSE)*AJ197+Q197+R197+S197-'Calc (ex-housing, ex-storage)'!AC197,IF(AS197=3,('Calc (ex-animal)'!$K$41+'Calc (ex-animal)'!$L$41)*AG197/100*'Calc (ex-housing, ex-storage)'!F197/100/VLOOKUP($C$193,'DB animal categories'!$C$68:$AC$80,27,FALSE)*AJ197+Q197+R197+S197-'Calc (ex-housing, ex-storage)'!AC197-AD197-AE197,IF(AI197=4,('Calc (ex-animal)'!$K$41+'Calc (ex-animal)'!$L$41)*AG197/100*'Calc (ex-housing, ex-storage)'!F197/100*VLOOKUP(D197,'DB technologies'!$N$82:$Y$94,12,FALSE)/100/VLOOKUP($C$193,'DB animal categories'!$C$68:$AC$80,27,FALSE)*AJ197+Q197+R197+S197-(VLOOKUP(D197,'DB technologies'!$N$82:$Y$94,12,FALSE)/100*AC197)-AD197-AE197,0))))))</f>
        <v/>
      </c>
      <c r="AY197" s="180" t="str">
        <f>IF(D197="","",IF(AS197=2,0,IF(AS197=1,'Calc (ex-animal)'!$N$41*AG197/100*'Calc (ex-housing, ex-storage)'!F197/100/VLOOKUP($C$193,'DB animal categories'!$C$68:$AC$80,27,FALSE)*AJ197+U197+V197+W197,IF(AS197=5,('Calc (ex-animal)'!$N$41+'Calc (ex-animal)'!$O$41)*AG197/100*'Calc (ex-housing, ex-storage)'!F197/100/VLOOKUP($C$193,'DB animal categories'!$C$68:$AC$80,27,FALSE)*AJ197+U197+V197+W197,IF(AS197=3,('Calc (ex-animal)'!$N$41+'Calc (ex-animal)'!$O$41)*AG197/100*'Calc (ex-housing, ex-storage)'!F197/100/VLOOKUP($C$193,'DB animal categories'!$C$68:$AC$80,27,FALSE)*AJ197+U197+V197+W197,IF(AS197=4,('Calc (ex-animal)'!$N$41+'Calc (ex-animal)'!$O$41)*AG197/100*'Calc (ex-housing, ex-storage)'!F197/100*VLOOKUP(D197,'DB technologies'!$N$82:$Y$94,12,FALSE)/100/VLOOKUP($C$193,'DB animal categories'!$C$68:$AC$80,27,FALSE)*AJ197+U197+V197+W197,0))))))</f>
        <v/>
      </c>
      <c r="AZ197" s="180" t="str">
        <f>IF(D197="","",IF(AS197=2,0,IF(AS197=1,'Calc (ex-animal)'!$Q$41*AG197/100*'Calc (ex-housing, ex-storage)'!F197/100/VLOOKUP($C$193,'DB animal categories'!$C$68:$AC$80,27,FALSE)*AJ197+Y197+Z197+AA197,IF(AS197=5,('Calc (ex-animal)'!$Q$41+'Calc (ex-animal)'!$R$41)*AG197/100*'Calc (ex-housing, ex-storage)'!F197/100/VLOOKUP($C$193,'DB animal categories'!$C$68:$AC$80,27,FALSE)*AJ197+Y197+Z197+AA197,IF(AS197=3,('Calc (ex-animal)'!$Q$41+'Calc (ex-animal)'!$R$41)*AG197/100*'Calc (ex-housing, ex-storage)'!F197/100/VLOOKUP($C$193,'DB animal categories'!$C$68:$AC$80,27,FALSE)*AJ197+Y197+Z197+AA197,IF(AS197=4,('Calc (ex-animal)'!$Q$41+'Calc (ex-animal)'!$R$41)*AG197/100*'Calc (ex-housing, ex-storage)'!F197/100*VLOOKUP(D197,'DB technologies'!$N$82:$Y$94,12,FALSE)/100/VLOOKUP($C$193,'DB animal categories'!$C$68:$AC$80,27,FALSE)*AJ197+Y197+Z197+AA197,0))))))</f>
        <v/>
      </c>
      <c r="BA197" s="506"/>
      <c r="BB197" s="506"/>
      <c r="BC197" s="506"/>
    </row>
    <row r="198" spans="1:55" x14ac:dyDescent="0.2">
      <c r="A198" s="684"/>
      <c r="B198" s="695"/>
      <c r="C198" s="251"/>
      <c r="D198" s="1367"/>
      <c r="E198" s="1393"/>
      <c r="F198" s="692" t="str">
        <f>IF('Calc (ex-animal)'!$F$9=1,"",IF($C$152=0,"",IF(D198="","",E198/'Calc (ex-animal)'!$E$32*100)))</f>
        <v/>
      </c>
      <c r="G198" s="438" t="str">
        <f>IF($C$193=0,"",IF('Calc (ex-animal)'!$F$38=1,"",IF(D198="","",SUM(H198:O198))))</f>
        <v/>
      </c>
      <c r="H198" s="423" t="str">
        <f>IF('Calc (ex-animal)'!$F$38=1,"",IF(D198="","",(((VLOOKUP($C$193,'Calc (ex-animal)'!$D$38:$Y$42,6,FALSE)-VLOOKUP($C$193,'Calc (ex-animal)'!$D$38:$Y$42,17,FALSE))*F197/100*AH197/100))*VLOOKUP($C$193,'Calc (ex-animal)'!$D$38:$Y$42,7,FALSE)/100*(1-VLOOKUP(D198,'DB technologies'!$N$96:$Y$107,9,FALSE)/100)))</f>
        <v/>
      </c>
      <c r="I198" s="423" t="str">
        <f>IF(D198="","",((VLOOKUP(D198,'DB technologies'!$N$96:$Y$107,2,FALSE)*VLOOKUP($C$193,'DB animal categories'!$C$68:$AC$80,27,FALSE)*F197/1000*AH197/100)/VLOOKUP($C$193,'DB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'!$S$6/100*(1-VLOOKUP(D198,'DB technologies'!$N$96:$Y$107,9,FALSE)/100)))</f>
        <v/>
      </c>
      <c r="J198" s="434" t="str">
        <f>IF(D198="","",((VLOOKUP(D198,'DB technologies'!$N$96:$Y$107,3,FALSE)*VLOOKUP($C$193,'DB animal categories'!$C$68:$AC$80,27,FALSE)*E197/1000*AH197/100)/VLOOKUP($C$193,'DB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'!$S$7/100*(1-VLOOKUP(D198,'DB technologies'!$N$96:$Y$107,9,FALSE)/100)))</f>
        <v/>
      </c>
      <c r="K198" s="526" t="str">
        <f>IF(D198="","",((VLOOKUP(D198,'DB technologies'!$N$96:$Y$107,4,FALSE)*E197*AH197/100*'DB additional information '!$S$8/100*(1-VLOOKUP(D198,'DB technologies'!$N$96:$Y$107,9,FALSE)/100))/VLOOKUP($C$193,'DB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8" s="423" t="str">
        <f>IF('Calc (ex-animal)'!$F$38=1,"",IF(D198="","",(((VLOOKUP($C$193,'Calc (ex-animal)'!$D$38:$Y$42,6,FALSE)-VLOOKUP($C$193,'Calc (ex-animal)'!$D$38:$Y$42,17,FALSE))*F197/100*AH197/100))*(1-VLOOKUP($C$193,'Calc (ex-animal)'!$D$38:$Y$42,7,FALSE)/100)*(1-VLOOKUP(D198,'DB technologies'!$N$96:$V$107,8,FALSE)/100)))</f>
        <v/>
      </c>
      <c r="M198" s="434" t="str">
        <f>IF(D198="","",((VLOOKUP(D198,'DB technologies'!$N$96:$Y$107,2,FALSE)*VLOOKUP($C$193,'DB animal categories'!$C$68:$AC$80,27,FALSE)*E197/1000*AH197/100)/VLOOKUP($C$193,'DB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'!$S$6/100)*(1-VLOOKUP(D198,'DB technologies'!$N$96:$Y$107,9,FALSE)/100))</f>
        <v/>
      </c>
      <c r="N198" s="434" t="str">
        <f>IF(D198="","",((VLOOKUP(D198,'DB technologies'!$N$96:$Y$107,3,FALSE)*VLOOKUP($C$193,'DB animal categories'!$C$68:$AC$80,27,FALSE)*E197/1000*AH197/100)/VLOOKUP($C$193,'DB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'!$S$7/100)*(1-VLOOKUP(D198,'DB technologies'!$N$96:$Y$107,9,FALSE)/100))</f>
        <v/>
      </c>
      <c r="O198" s="423" t="str">
        <f>IF(D198="","",((VLOOKUP(D198,'DB technologies'!$N$96:$Y$107,4,FALSE)*E197*AH197/100*(1-'DB additional information '!$S$8/100)*(1-VLOOKUP(D198,'DB technologies'!$N$96:$Y$107,8,FALSE)/100))/VLOOKUP($C$193,'DB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8" s="438" t="str">
        <f>IF(G198=0,0,IF(E197="","",IF(F197="","",IF($C$193=0,"",IF(D198="","",SUM(H198:K198)/G198*100)))))</f>
        <v/>
      </c>
      <c r="Q198" s="416" t="str">
        <f>IF(D198="","",(VLOOKUP(D198,'DB technologies'!$N$96:$Y$107,2,FALSE)*'DB additional information '!$S$6/100*'DB additional information '!$T$6*VLOOKUP($C$193,'DB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8" s="416" t="str">
        <f>IF(D198="","",(VLOOKUP(D198,'DB technologies'!$N$96:$Y$107,3,FALSE)*'DB additional information '!$S$7/100*'DB additional information '!$T$7*VLOOKUP($C$193,'DB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8" s="491" t="str">
        <f>IF(D198="","",(VLOOKUP(D198,'DB technologies'!$N$96:$Y$107,4,FALSE)*('DB additional information '!$S$8/100*'DB additional information '!$T$8*E197/1000/1000*AH197/100)))</f>
        <v/>
      </c>
      <c r="T198" s="264" t="str">
        <f>IF($C$193=0,"",IF('Calc (ex-animal)'!$F$38=1,"",IF(D198="","",((VLOOKUP($C$193,'Calc (ex-animal)'!$D$38:$Y$42,10,FALSE)-VLOOKUP($C$193,'Calc (ex-animal)'!$D$38:$Y$42,18,FALSE))*F197/100*AH197/100+Q198+R198+S198)-AC198-AD198-AE198)))</f>
        <v/>
      </c>
      <c r="U198" s="422" t="str">
        <f>IF(D198="","",(VLOOKUP(D198,'DB technologies'!$N$96:$Y$107,2,FALSE)*'DB additional information '!$S$6/100*'DB additional information '!$U$6*VLOOKUP($C$193,'DB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8" s="418" t="str">
        <f>IF(D198="","",(VLOOKUP(D198,'DB technologies'!$N$96:$Y$107,3,FALSE)*'DB additional information '!$S$7/100*'DB additional information '!$U$7*VLOOKUP($C$193,'DB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8" s="417" t="str">
        <f>IF(D198="","",(VLOOKUP(D198,'DB technologies'!$N$96:$Y$107,4,FALSE)*('DB additional information '!$S$8/100*'DB additional information '!$U$8*E197/1000/1000*AH197/100)))</f>
        <v/>
      </c>
      <c r="X198" s="261" t="str">
        <f>IF($C$193=0,"",IF('Calc (ex-animal)'!$F$38=1,"",IF(D198="","",((VLOOKUP($C$193,'Calc (ex-animal)'!$D$38:$Y$42,13,FALSE)-VLOOKUP($C$193,'Calc (ex-animal)'!$D$38:$Y$42,19,FALSE))*F197/100*AH197/100+U198+V198+W198))))</f>
        <v/>
      </c>
      <c r="Y198" s="418" t="str">
        <f>IF(D198="","",(VLOOKUP(D198,'DB technologies'!$N$96:$Y$107,2,FALSE)*'DB additional information '!$S$6/100*'DB additional information '!$V$6*VLOOKUP($C$193,'DB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8" s="418" t="str">
        <f>IF(D198="","",(VLOOKUP(D198,'DB technologies'!$N$96:$Y$107,3,FALSE)*'DB additional information '!$S$7/100*'DB additional information '!$V$7*VLOOKUP($C$193,'DB animal categories'!$C$68:$AC$80,27,FALSE)*E197/1000/1000*AH197/100)/VLOOKUP($C$193,'DB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8" s="418" t="str">
        <f>IF(D198="","",(VLOOKUP(D198,'DB technologies'!$N$96:$Y$107,4,FALSE)*('DB additional information '!$S$8/100*'DB additional information '!$V$8*E197/1000/1000*AH197/100)))</f>
        <v/>
      </c>
      <c r="AB198" s="261" t="str">
        <f>IF($C$193=0,"",IF('Calc (ex-animal)'!$F$38=1,"",IF(D198="","",((VLOOKUP($C$193,'Calc (ex-animal)'!$D$38:$Y$42,16,FALSE)-VLOOKUP($C$193,'Calc (ex-animal)'!$D$38:$Y$42,20,FALSE))*F197/100*AH197/100+Y198+Z198+AA198))))</f>
        <v/>
      </c>
      <c r="AC198" s="261" t="str">
        <f>IF($C$193=0,"",IF('Calc (ex-animal)'!$F$38=1,"",IF(D198="","",VLOOKUP($C$193,'Calc (ex-animal)'!$D$38:$Y$42,9,FALSE)*AH197/100/VLOOKUP($C$193,'DB animal categories'!$C$68:$AC$80,27,FALSE)*(VLOOKUP($C$193,'DB animal categories'!$C$68:$AC$80,27,FALSE)-VLOOKUP($C$193,'DB animal categories'!$C$68:$AC$80,25,FALSE)*VLOOKUP($C$193,'DB animal categories'!$C$68:$AC$80,26,FALSE)/24)*F197/100*VLOOKUP(D198,'DB technologies'!$N$96:$R$107,5,FALSE)/100)))</f>
        <v/>
      </c>
      <c r="AD198" s="261" t="str">
        <f>IF($C$193=0,"",IF('Calc (ex-animal)'!$F$38=1,"",IF(D198="","",VLOOKUP($C$193,'Calc (ex-animal)'!$D$38:$Y$42,10,FALSE)*AH197/100/VLOOKUP($C$193,'DB animal categories'!$C$68:$AC$80,27,FALSE)*(VLOOKUP($C$193,'DB animal categories'!$C$68:$AC$80,27,FALSE)-VLOOKUP($C$193,'DB animal categories'!$C$68:$AC$80,25,FALSE)*VLOOKUP($C$193,'DB animal categories'!$C$68:$AC$80,26,FALSE)/24)*F197/100*VLOOKUP(D198,'DB technologies'!$N$96:$Y$107,6,FALSE)/100)))</f>
        <v/>
      </c>
      <c r="AE198" s="262" t="str">
        <f>IF($C$193=0,"",IF('Calc (ex-animal)'!$F$38=1,"",IF(D198="","",VLOOKUP($C$193,'Calc (ex-animal)'!$D$38:$Y$42,10,FALSE)*AH197/100/VLOOKUP($C$193,'DB animal categories'!$C$68:$AC$80,27,FALSE)*(VLOOKUP($C$193,'DB animal categories'!$C$68:$AC$80,27,FALSE)-VLOOKUP($C$193,'DB animal categories'!$C$68:$AC$80,25,FALSE)*VLOOKUP($C$193,'DB animal categories'!$C$68:$AC$80,26,FALSE)/24)*F197/100*VLOOKUP(D198,'DB technologies'!$N$96:$Y$107,7,FALSE)/100)))</f>
        <v/>
      </c>
      <c r="AG198" s="1390"/>
      <c r="AH198" s="1380"/>
      <c r="AI198" s="187" t="str">
        <f>IF(D198="","",VLOOKUP(D198,'DB technologies'!$N$96:$Y$107,10,FALSE))</f>
        <v/>
      </c>
      <c r="AJ198" s="451" t="e">
        <f>VLOOKUP($C$193,'DB animal categories'!$C$68:$AN$80,27,FALSE)-VLOOKUP($C$193,'DB animal categories'!$C$68:$AN$80,26,FALSE)*VLOOKUP($C$193,'DB animal categories'!$C$68:$AN$80,25,FALSE)/24</f>
        <v>#N/A</v>
      </c>
      <c r="AK198" s="452" t="str">
        <f t="shared" si="34"/>
        <v/>
      </c>
      <c r="AL198" s="452" t="str">
        <f>IF(D198="","",IF(AI198=2,(('Calc (ex-animal)'!$G$41*'DB additional information '!$K$12/100*AH197/100*(1-VLOOKUP(D198,'DB technologies'!$N$96:$Y$107,9,FALSE)/100)*'Calc (ex-housing, ex-storage)'!F197/100+'Calc (ex-animal)'!$H$41*'DB additional information '!$L$12/100*AH197/100*(1-VLOOKUP(D198,'DB technologies'!$N$96:$Y$107,9,FALSE)/100)*'Calc (ex-housing, ex-storage)'!F197/100))/VLOOKUP($C$193,'DB animal categories'!$C$68:$AC$80,27,FALSE)*AJ198+I198+J198+K198,IF(AI198=1,('Calc (ex-animal)'!$H$41*AH197/100*'DB additional information '!$L$12/100*(1-VLOOKUP(D198,'DB technologies'!$N$96:$Y$107,9,FALSE)/100)*'Calc (ex-housing, ex-storage)'!F197/100)/VLOOKUP($C$193,'DB animal categories'!$C$68:$AC$80,27,FALSE)*AJ198,IF(AI198=4,('Calc (ex-animal)'!$G$41*'DB additional information '!$K$12/100+'Calc (ex-animal)'!$H$41*'DB additional information '!$L$12/100)*AH197/100*(1-VLOOKUP(D198,'DB technologies'!$N$96:$Y$107,9,FALSE)/100)*'Calc (ex-housing, ex-storage)'!F197/100*VLOOKUP(D198,'DB technologies'!$N$96:$Y$107,11,FALSE)/100/VLOOKUP($C$193,'DB animal categories'!$C$68:$AC$80,27,FALSE)*AJ198,0))))</f>
        <v/>
      </c>
      <c r="AM198" s="452" t="str">
        <f>IF(D198="","",IF(AI198=2,(('Calc (ex-animal)'!$G$41*(1-'DB additional information '!$K$12/100)*AH197/100*(1-VLOOKUP(D198,'DB technologies'!$N$96:$Y$107,8,FALSE)/100)*'Calc (ex-housing, ex-storage)'!F197/100+'Calc (ex-animal)'!$H$41*(1-'DB additional information '!$L$12/100)*AH197/100*(1-VLOOKUP(D198,'DB technologies'!$N$96:$Y$107,8,FALSE)/100)*'Calc (ex-housing, ex-storage)'!F197/100))/VLOOKUP($C$193,'DB animal categories'!$C$68:$AC$80,27,FALSE)*AJ198+M198+N198+O198,IF(AI198=1,('Calc (ex-animal)'!$H$41*(1-'DB additional information '!$L$12/100)*AH197/100*(1-VLOOKUP(D198,'DB technologies'!$N$96:$Y$107,8,FALSE)/100)*'Calc (ex-housing, ex-storage)'!F197/100)/VLOOKUP($C$193,'DB animal categories'!$C$68:$AC$80,27,FALSE)*AJ198,IF(AI198=4,('Calc (ex-animal)'!$G$41*(1-'DB additional information '!$K$12/100)+'Calc (ex-animal)'!$H$41*(1-'DB additional information '!$L$12/100))*AH197/100*(1-VLOOKUP(D198,'DB technologies'!$N$96:$Y$107,8,FALSE)/100)*'Calc (ex-housing, ex-storage)'!F197/100*VLOOKUP(D198,'DB technologies'!$N$96:$Y$107,11,FALSE)/100/VLOOKUP($C$193,'DB animal categories'!$C$68:$AC$80,27,FALSE)*AJ198,0))))</f>
        <v/>
      </c>
      <c r="AN198" s="452" t="str">
        <f t="shared" si="35"/>
        <v/>
      </c>
      <c r="AO198" s="184" t="str">
        <f>IF(D198="","",IF(AI198=2,(('Calc (ex-animal)'!$L$41*'Calc (ex-housing, ex-storage)'!F197/100+'Calc (ex-animal)'!$K$41*'Calc (ex-housing, ex-storage)'!F197/100))*AH197/100/VLOOKUP($C$193,'DB animal categories'!$C$68:$AC$80,27,FALSE)*AJ198+Q198+R198+S198-AC198,IF(AI198=1,('Calc (ex-animal)'!$L$41*'Calc (ex-housing, ex-storage)'!F197/100)*AH197/100/VLOOKUP($C$193,'DB animal categories'!$C$68:$AC$80,27,FALSE)*AJ198-'Calc (ex-housing, ex-storage)'!AC198,IF(AI198=4,('Calc (ex-animal)'!$L$41+'Calc (ex-animal)'!$K$41)*'Calc (ex-housing, ex-storage)'!F197/100*AH197/100*VLOOKUP(D198,'DB technologies'!$N$96:$Y$107,11,FALSE)/100/VLOOKUP($C$193,'DB animal categories'!$C$68:$AC$80,27,FALSE)*AJ198-AC198*VLOOKUP(D198,'DB technologies'!$N$96:$Y$107,11,FALSE)/100,0))))</f>
        <v/>
      </c>
      <c r="AP198" s="184" t="str">
        <f>IF(D198="","",IF(AO198&lt;-0.01,0,IF(AI198=2,(('Calc (ex-animal)'!$L$41*'Calc (ex-housing, ex-storage)'!F197/100+'Calc (ex-animal)'!$K$41*'Calc (ex-housing, ex-storage)'!F197/100))*AH197/100/VLOOKUP($C$193,'DB animal categories'!$C$68:$AC$80,27,FALSE)*AJ198+Q198+R198+S198-AC198,IF(AI198=1,('Calc (ex-animal)'!$L$41*'Calc (ex-housing, ex-storage)'!F197/100)*AH197/100/VLOOKUP($C$193,'DB animal categories'!$C$68:$AC$80,27,FALSE)*AJ198-'Calc (ex-housing, ex-storage)'!AC198,IF(AI198=4,('Calc (ex-animal)'!$L$41+'Calc (ex-animal)'!$K$41)*'Calc (ex-housing, ex-storage)'!F197/100*AH197/100*VLOOKUP(D198,'DB technologies'!$N$96:$Y$107,11,FALSE)/100/VLOOKUP($C$193,'DB animal categories'!$C$68:$AC$80,27,FALSE)*AJ198-AC198*VLOOKUP(D198,'DB technologies'!$N$96:$Y$107,11,FALSE)/100,0)))))</f>
        <v/>
      </c>
      <c r="AQ198" s="184" t="str">
        <f>IF(D198="","",IF(AI198=2,('Calc (ex-animal)'!$O$41*'Calc (ex-housing, ex-storage)'!F197/100+'Calc (ex-animal)'!$N$41*'Calc (ex-housing, ex-storage)'!F197/100)*AH197/100/VLOOKUP($C$193,'DB animal categories'!$C$68:$AC$80,27,FALSE)*AJ198+U198+V198+W198,IF(AI198=1,'Calc (ex-animal)'!$O$41*'Calc (ex-housing, ex-storage)'!F197/100*AH197/100/VLOOKUP($C$193,'DB animal categories'!$C$68:$AC$80,27,FALSE)*AJ198,IF(AI198=4,('Calc (ex-animal)'!$O$41+'Calc (ex-animal)'!$N$41)*'Calc (ex-housing, ex-storage)'!F197/100*AH197/100*VLOOKUP(D198,'DB technologies'!$N$96:$Y$107,11,FALSE)/100/VLOOKUP($C$193,'DB animal categories'!$C$68:$AC$80,27,FALSE)*AJ198,0))))</f>
        <v/>
      </c>
      <c r="AR198" s="184" t="str">
        <f>IF(D198="","",IF(AI198=2,('Calc (ex-animal)'!$R$41*'Calc (ex-housing, ex-storage)'!F197/100+'Calc (ex-animal)'!$Q$41*'Calc (ex-housing, ex-storage)'!F197/100)*AH197/100/VLOOKUP($C$193,'DB animal categories'!$C$68:$AC$80,27,FALSE)*AJ198+Y198+Z198+AA198,IF(AI198=1,'Calc (ex-animal)'!$R$41*'Calc (ex-housing, ex-storage)'!F197/100*AH197/100/VLOOKUP($C$193,'DB animal categories'!$C$68:$AC$80,27,FALSE)*AJ198,IF(AI198=4,('Calc (ex-animal)'!$R$41+'Calc (ex-animal)'!$Q$41)*'Calc (ex-housing, ex-storage)'!F197/100*AH197/100*VLOOKUP(D198,'DB technologies'!$N$96:$Y$107,11,FALSE)/100/VLOOKUP($C$193,'DB animal categories'!$C$68:$AC$80,27,FALSE)*AJ198,0))))</f>
        <v/>
      </c>
      <c r="AS198" s="183" t="str">
        <f>IF(D198="","",VLOOKUP(D198,'DB technologies'!$N$96:$Y$107,10,FALSE))</f>
        <v/>
      </c>
      <c r="AT198" s="452" t="str">
        <f t="shared" si="36"/>
        <v/>
      </c>
      <c r="AU198" s="452" t="str">
        <f>IF(D198="","",IF(AS198=2,0,IF(AS198=1,'Calc (ex-animal)'!$G$41*'DB additional information '!$K$12/100*AH197/100*(1-VLOOKUP(D198,'DB technologies'!$N$96:$Y$107,8,FALSE)/100)*'Calc (ex-housing, ex-storage)'!F197/100/VLOOKUP($C$193,'DB animal categories'!$C$68:$AC$80,27,FALSE)*AJ198+I198+J198+K198,IF(AS198=5,(('Calc (ex-animal)'!$G$41*'DB additional information '!$K$12/100+'Calc (ex-animal)'!$H$41*'DB additional information '!$L$12/100))*AH197/100*(1-VLOOKUP(D198,'DB technologies'!$N$96:$Y$107,9,FALSE)/100)*'Calc (ex-housing, ex-storage)'!F197/100/VLOOKUP($C$193,'DB animal categories'!$C$68:$AC$80,27,FALSE)*AJ198+I198+J198+K198,IF(AS198=3,('Calc (ex-animal)'!$G$41*'DB additional information '!$K$12/100+'Calc (ex-animal)'!$H$41*'DB additional information '!$L$12/100)*AH197/100*(1-VLOOKUP(D198,'DB technologies'!$N$96:$Y$107,9,FALSE)/100)*'Calc (ex-housing, ex-storage)'!F197/100/VLOOKUP($C$193,'DB animal categories'!$C$68:$AC$80,27,FALSE)*AJ198+I198+J198+K198,IF(AS198=4,('Calc (ex-animal)'!$G$41*'DB additional information '!$K$12/100+'Calc (ex-animal)'!$H$41*'DB additional information '!$L$12/100)*AH197/100*(1-VLOOKUP(D198,'DB technologies'!$N$96:$Y$107,9,FALSE)/100)*'Calc (ex-housing, ex-storage)'!F197/100*VLOOKUP(D198,'DB technologies'!$N$96:$Y$107,12,FALSE)/100/VLOOKUP($C$193,'DB animal categories'!$C$68:$AC$80,27,FALSE)*AJ198+I198+J198+K198,0))))))</f>
        <v/>
      </c>
      <c r="AV198" s="452" t="str">
        <f>IF(D198="","",IF(AS198=2,0,IF(AS198=1,'Calc (ex-animal)'!$G$41*(1-'DB additional information '!$K$12/100)*AH197/100*(1-VLOOKUP(D198,'DB technologies'!$N$96:$Y$107,8,FALSE)/100)*'Calc (ex-housing, ex-storage)'!F197/100/VLOOKUP($C$193,'DB animal categories'!$C$68:$AC$80,27,FALSE)*AJ198+M198+N198+O198,IF(AS198=5,('Calc (ex-animal)'!$G$41*(1-'DB additional information '!$K$12/100)+'Calc (ex-animal)'!$H$41*(1-'DB additional information '!$L$12/100))*AH197/100*(1-VLOOKUP(D198,'DB technologies'!$N$96:$Y$107,8,FALSE)/100)*'Calc (ex-housing, ex-storage)'!F197/100/VLOOKUP($C$193,'DB animal categories'!$C$68:$AC$80,27,FALSE)*AJ198+M198+N198+O198,IF(AS198=3,('Calc (ex-animal)'!$G$41*(1-'DB additional information '!$K$12/100)+'Calc (ex-animal)'!$H$41*(1-'DB additional information '!$L$12/100))*AH197/100*(1-VLOOKUP(D198,'DB technologies'!$N$96:$Y$107,8,FALSE)/100)*'Calc (ex-housing, ex-storage)'!F197/100/VLOOKUP($C$193,'DB animal categories'!$C$68:$AC$80,27,FALSE)*AJ198+M198+N198+O198,IF(AS198=4,('Calc (ex-animal)'!$G$41*(1-'DB additional information '!$K$12/100)+'Calc (ex-animal)'!$H$41*(1-'DB additional information '!$L$12/100))*AH197/100*(1-VLOOKUP(D198,'DB technologies'!$N$96:$Y$107,8,FALSE)/100)*'Calc (ex-housing, ex-storage)'!F197/100*VLOOKUP(D198,'DB technologies'!$N$96:$Y$107,12,FALSE)/100/VLOOKUP($C$193,'DB animal categories'!$C$68:$AC$80,27,FALSE)*AJ198+M198+N198+O198,0))))))</f>
        <v/>
      </c>
      <c r="AW198" s="452" t="str">
        <f t="shared" si="37"/>
        <v/>
      </c>
      <c r="AX198" s="184" t="str">
        <f>IF(D198="","",IF(AS198=2,0,IF(AS198=1,'Calc (ex-animal)'!$K$41*'Calc (ex-housing, ex-storage)'!F197/100*AH197/100/VLOOKUP($C$193,'DB animal categories'!$C$68:$AC$80,27,FALSE)*AJ198+Q198+R198+S198,IF(AS198=5,('Calc (ex-animal)'!$K$41+'Calc (ex-animal)'!$L$41)*AH197/100*'Calc (ex-housing, ex-storage)'!F197/100/VLOOKUP($C$193,'DB animal categories'!$C$68:$AC$80,27,FALSE)*AJ198+Q198+R198+S198-'Calc (ex-housing, ex-storage)'!AC198,IF(AS198=3,('Calc (ex-animal)'!$K$41+'Calc (ex-animal)'!$L$41)*AH197/100*'Calc (ex-housing, ex-storage)'!F197/100/VLOOKUP($C$193,'DB animal categories'!$C$68:$AC$80,27,FALSE)*AJ198+Q198+R198+S198-'Calc (ex-housing, ex-storage)'!AC198-AD198-AE198,IF(AI198=4,('Calc (ex-animal)'!$K$41+'Calc (ex-animal)'!$L$41)*AH197/100*'Calc (ex-housing, ex-storage)'!F197/100*VLOOKUP(D198,'DB technologies'!$N$96:$Y$107,12,FALSE)/100/VLOOKUP($C$193,'DB animal categories'!$C$68:$AC$80,27,FALSE)*AJ198+Q198+R198+S198-(VLOOKUP(D198,'DB technologies'!$N$96:$Y$107,12,FALSE)/100*AC198)-AD198-AE198,0))))))</f>
        <v/>
      </c>
      <c r="AY198" s="184" t="str">
        <f>IF(D198="","",IF(AS198=2,0,IF(AS198=1,'Calc (ex-animal)'!$N$41*AH197/100*'Calc (ex-housing, ex-storage)'!F197/100/VLOOKUP($C$193,'DB animal categories'!$C$68:$AC$80,27,FALSE)*AJ198+U198+V198+W198,IF(AS198=5,('Calc (ex-animal)'!$N$41+'Calc (ex-animal)'!$O$41)*AH197/100*'Calc (ex-housing, ex-storage)'!F197/100/VLOOKUP($C$193,'DB animal categories'!$C$68:$AC$80,27,FALSE)*AJ198+U198+V198+W198,IF(AS198=3,('Calc (ex-animal)'!$N$41+'Calc (ex-animal)'!$O$41)*AH197/100*'Calc (ex-housing, ex-storage)'!F197/100/VLOOKUP($C$193,'DB animal categories'!$C$68:$AC$80,27,FALSE)*AJ198+U198+V198+W198,IF(AS198=4,('Calc (ex-animal)'!$N$41+'Calc (ex-animal)'!$O$41)*AH197/100*'Calc (ex-housing, ex-storage)'!F197/100*VLOOKUP(D198,'DB technologies'!$N$96:$Y$107,12,FALSE)/100/VLOOKUP($C$193,'DB animal categories'!$C$68:$AC$80,27,FALSE)*AJ198+U198+V198+W198,0))))))</f>
        <v/>
      </c>
      <c r="AZ198" s="184" t="str">
        <f>IF(D198="","",IF(AS198=2,0,IF(AS198=1,'Calc (ex-animal)'!$Q$41*AH197/100*'Calc (ex-housing, ex-storage)'!F197/100/VLOOKUP($C$193,'DB animal categories'!$C$68:$AC$80,27,FALSE)*AJ198+Y198+Z198+AA198,IF(AS198=5,('Calc (ex-animal)'!$Q$41+'Calc (ex-animal)'!$R$41)*AH197/100*'Calc (ex-housing, ex-storage)'!F197/100/VLOOKUP($C$193,'DB animal categories'!$C$68:$AC$80,27,FALSE)*AJ198+Y198+Z198+AA198,IF(AS198=3,('Calc (ex-animal)'!$Q$41+'Calc (ex-animal)'!$R$41)*AH197/100*'Calc (ex-housing, ex-storage)'!F197/100/VLOOKUP($C$193,'DB animal categories'!$C$68:$AC$80,27,FALSE)*AJ198+Y198+Z198+AA198,IF(AS198=4,('Calc (ex-animal)'!$Q$41+'Calc (ex-animal)'!$R$41)*AH197/100*'Calc (ex-housing, ex-storage)'!F197/100*VLOOKUP(D198,'DB technologies'!$N$96:$Y$107,12,FALSE)/100/VLOOKUP($C$193,'DB animal categories'!$C$68:$AC$80,27,FALSE)*AJ198+Y198+Z198+AA198,0))))))</f>
        <v/>
      </c>
      <c r="BA198" s="506"/>
      <c r="BB198" s="506"/>
      <c r="BC198" s="506"/>
    </row>
    <row r="199" spans="1:55" x14ac:dyDescent="0.2">
      <c r="A199" s="684"/>
      <c r="B199" s="695"/>
      <c r="C199" s="251"/>
      <c r="D199" s="1357"/>
      <c r="E199" s="1394"/>
      <c r="F199" s="692" t="str">
        <f>IF('Calc (ex-animal)'!$F$38=1,"",IF($C$193=0,"",IF(D199="","",E199/'Calc (ex-animal)'!$E$41*100)))</f>
        <v/>
      </c>
      <c r="G199" s="537" t="str">
        <f>IF($C$193=0,"",IF('Calc (ex-animal)'!$F$38=1,"",IF(D199="","",SUM(H199:O199))))</f>
        <v/>
      </c>
      <c r="H199" s="527" t="str">
        <f>IF('Calc (ex-animal)'!$F$38=1,"",IF(D199="","",(((VLOOKUP($C$193,'Calc (ex-animal)'!$D$38:$Y$42,6,FALSE)-VLOOKUP($C$193,'Calc (ex-animal)'!$D$38:$Y$42,17,FALSE))*F199/100*AG199/100))*VLOOKUP($C$193,'Calc (ex-animal)'!$D$38:$Y$42,7,FALSE)/100*(1-VLOOKUP(D199,'DB technologies'!$N$83:$Y$94,9,FALSE)/100)))</f>
        <v/>
      </c>
      <c r="I199" s="527" t="str">
        <f>IF(D199="","",((VLOOKUP(D199,'DB technologies'!$N$83:$Y$94,2,FALSE)*VLOOKUP($C$193,'DB animal categories'!$C$68:$AC$80,27,FALSE)*E199/1000*AG199/100)/VLOOKUP($C$193,'DB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'!$S$6/100*(1-VLOOKUP(D199,'DB technologies'!$N$83:$Y$94,9,FALSE)/100)))</f>
        <v/>
      </c>
      <c r="J199" s="528" t="str">
        <f>IF(D199="","",((VLOOKUP(D199,'DB technologies'!$N$83:$Y$94,3,FALSE)*VLOOKUP($C$193,'DB animal categories'!$C$68:$AC$80,27,FALSE)*E199/1000*AG199/100)/VLOOKUP($C$193,'DB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'!$S$7/100*(1-VLOOKUP(D199,'DB technologies'!$N$83:$Y$94,9,FALSE)/100)))</f>
        <v/>
      </c>
      <c r="K199" s="529" t="str">
        <f>IF(D199="","",((VLOOKUP(D199,'DB technologies'!$N$83:$Y$94,4,FALSE)*E199*AG199/100*'DB additional information '!$S$8/100*(1-VLOOKUP(D199,'DB technologies'!$N$83:$Y$94,9,FALSE)/100))/VLOOKUP($C$193,'DB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199" s="527" t="str">
        <f>IF('Calc (ex-animal)'!$F$38=1,"",IF(D199="","",(((VLOOKUP($C$193,'Calc (ex-animal)'!$D$38:$Y$42,6,FALSE)-VLOOKUP($C$193,'Calc (ex-animal)'!$D$38:$Y$42,17,FALSE))*F199/100*AG199/100))*(1-VLOOKUP($C$193,'Calc (ex-animal)'!$D$38:$Y$42,7,FALSE)/100)*(1-VLOOKUP(D199,'DB technologies'!$N$83:$V$94,8,FALSE)/100)))</f>
        <v/>
      </c>
      <c r="M199" s="528" t="str">
        <f>IF(D199="","",((VLOOKUP(D199,'DB technologies'!$N$83:$Y$94,2,FALSE)*VLOOKUP($C$193,'DB animal categories'!$C$68:$AC$80,27,FALSE)*E199/1000*AG199/100)/VLOOKUP($C$193,'DB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'!$S$6/100)*(1-VLOOKUP(D199,'DB technologies'!$N$83:$Y$94,9,FALSE)/100))</f>
        <v/>
      </c>
      <c r="N199" s="528" t="str">
        <f>IF(D199="","",((VLOOKUP(D199,'DB technologies'!$N$83:$Y$94,3,FALSE)*VLOOKUP($C$193,'DB animal categories'!$C$68:$AC$80,27,FALSE)*E199/1000*AG199/100)/VLOOKUP($C$193,'DB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'!$S$7/100)*(1-VLOOKUP(D199,'DB technologies'!$N$83:$Y$94,9,FALSE)/100))</f>
        <v/>
      </c>
      <c r="O199" s="527" t="str">
        <f>IF(D199="","",((VLOOKUP(D199,'DB technologies'!$N$83:$Y$94,4,FALSE)*E199*AG199/100*(1-'DB additional information '!$S$8/100)*(1-VLOOKUP(D199,'DB technologies'!$N$83:$Y$94,8,FALSE)/100))/VLOOKUP($C$193,'DB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199" s="530" t="str">
        <f>IF(G199=0,0,IF(E199="","",IF(F199="","",IF($C$193=0,"",IF(D199="","",SUM(H199:K199)/G199*100)))))</f>
        <v/>
      </c>
      <c r="Q199" s="531" t="str">
        <f>IF(D199="","",(VLOOKUP(D199,'DB technologies'!$N$83:$Y$94,2,FALSE)*'DB additional information '!$S$6/100*'DB additional information '!$T$6*VLOOKUP($C$193,'DB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199" s="531" t="str">
        <f>IF(D199="","",(VLOOKUP(D199,'DB technologies'!$N$83:$Y$94,3,FALSE)*'DB additional information '!$S$7/100*'DB additional information '!$T$7*VLOOKUP($C$193,'DB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199" s="538" t="str">
        <f>IF(D199="","",(VLOOKUP(D199,'DB technologies'!$N$83:$Y$94,4,FALSE)*('DB additional information '!$S$8/100*'DB additional information '!$T$8*E199/1000/1000*AG199/100)))</f>
        <v/>
      </c>
      <c r="T199" s="300" t="str">
        <f>IF($C$193=0,"",IF('Calc (ex-animal)'!$F$38=1,"",IF(D199="","",((VLOOKUP($C$193,'Calc (ex-animal)'!$D$38:$Y$42,10,FALSE)-VLOOKUP($C$193,'Calc (ex-animal)'!$D$38:$Y$42,18,FALSE))*F199/100*AG199/100+Q199+R199+S199)-AC199-AD199-AE199)))</f>
        <v/>
      </c>
      <c r="U199" s="544" t="str">
        <f>IF(D199="","",(VLOOKUP(D199,'DB technologies'!$N$83:$Y$94,2,FALSE)*'DB additional information '!$S$6/100*'DB additional information '!$U$6*VLOOKUP($C$193,'DB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199" s="523" t="str">
        <f>IF(D199="","",(VLOOKUP(D199,'DB technologies'!$N$83:$Y$94,3,FALSE)*'DB additional information '!$S$7/100*'DB additional information '!$U$7*VLOOKUP($C$193,'DB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199" s="545" t="str">
        <f>IF(D199="","",(VLOOKUP(D199,'DB technologies'!$N$83:$Y$94,4,FALSE)*('DB additional information '!$S$8/100*'DB additional information '!$U$8*E199/1000/1000*AG199/100)))</f>
        <v/>
      </c>
      <c r="X199" s="301" t="str">
        <f>IF($C$193=0,"",IF('Calc (ex-animal)'!$F$38=1,"",IF(D199="","",((VLOOKUP($C$193,'Calc (ex-animal)'!$D$38:$Y$42,13,FALSE)-VLOOKUP($C$193,'Calc (ex-animal)'!$D$38:$Y$42,19,FALSE))*F199/100*AG199/100+U199+V199+W199))))</f>
        <v/>
      </c>
      <c r="Y199" s="523" t="str">
        <f>IF(D199="","",(VLOOKUP(D199,'DB technologies'!$N$83:$Y$94,2,FALSE)*'DB additional information '!$S$6/100*'DB additional information '!$V$6*VLOOKUP($C$193,'DB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199" s="523" t="str">
        <f>IF(D199="","",(VLOOKUP(D199,'DB technologies'!$N$83:$Y$94,3,FALSE)*'DB additional information '!$S$7/100*'DB additional information '!$V$7*VLOOKUP($C$193,'DB animal categories'!$C$68:$AC$80,27,FALSE)*E199/1000/1000*AG199/100)/VLOOKUP($C$193,'DB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199" s="523" t="str">
        <f>IF(D199="","",(VLOOKUP(D199,'DB technologies'!$N$83:$Y$94,4,FALSE)*('DB additional information '!$S$8/100*'DB additional information '!$V$8*E199/1000/1000*AG199/100)))</f>
        <v/>
      </c>
      <c r="AB199" s="301" t="str">
        <f>IF($C$193=0,"",IF('Calc (ex-animal)'!$F$38=1,"",IF(D199="","",((VLOOKUP($C$193,'Calc (ex-animal)'!$D$38:$Y$42,16,FALSE)-VLOOKUP($C$193,'Calc (ex-animal)'!$D$38:$Y$42,20,FALSE))*F199/100*AG199/100+Y199+Z199+AA199))))</f>
        <v/>
      </c>
      <c r="AC199" s="301" t="str">
        <f>IF($C$193=0,"",IF('Calc (ex-animal)'!$F$38=1,"",IF(D199="","",VLOOKUP($C$193,'Calc (ex-animal)'!$D$38:$Y$42,9,FALSE)*AG199/100/VLOOKUP($C$193,'DB animal categories'!$C$68:$AC$80,27,FALSE)*(VLOOKUP($C$193,'DB animal categories'!$C$68:$AC$80,27,FALSE)-VLOOKUP($C$193,'DB animal categories'!$C$68:$AC$80,25,FALSE)*VLOOKUP($C$193,'DB animal categories'!$C$68:$AC$80,26,FALSE)/24)*F199/100*VLOOKUP(D199,'DB technologies'!$N$83:$R$94,5,FALSE)/100)))</f>
        <v/>
      </c>
      <c r="AD199" s="301" t="str">
        <f>IF($C$193=0,"",IF('Calc (ex-animal)'!$F$38=1,"",IF(D199="","",VLOOKUP($C$193,'Calc (ex-animal)'!$D$38:$Y$42,10,FALSE)*AG199/100/VLOOKUP($C$193,'DB animal categories'!$C$68:$AC$80,27,FALSE)*(VLOOKUP($C$193,'DB animal categories'!$C$68:$AC$80,27,FALSE)-VLOOKUP($C$193,'DB animal categories'!$C$68:$AC$80,25,FALSE)*VLOOKUP($C$193,'DB animal categories'!$C$68:$AC$80,26,FALSE)/24)*F199/100*VLOOKUP(D199,'DB technologies'!$N$83:$Y$94,6,FALSE)/100)))</f>
        <v/>
      </c>
      <c r="AE199" s="302" t="str">
        <f>IF($C$193=0,"",IF('Calc (ex-animal)'!$F$38=1,"",IF(D199="","",VLOOKUP($C$193,'Calc (ex-animal)'!$D$38:$Y$42,10,FALSE)*AG199/100/VLOOKUP($C$193,'DB animal categories'!$C$68:$AC$80,27,FALSE)*(VLOOKUP($C$193,'DB animal categories'!$C$68:$AC$80,27,FALSE)-VLOOKUP($C$193,'DB animal categories'!$C$68:$AC$80,25,FALSE)*VLOOKUP($C$193,'DB animal categories'!$C$68:$AC$80,26,FALSE)/24)*F199/100*VLOOKUP(D199,'DB technologies'!$N$83:$Y$94,7,FALSE)/100)))</f>
        <v/>
      </c>
      <c r="AG199" s="1389"/>
      <c r="AH199" s="1382"/>
      <c r="AI199" s="185" t="str">
        <f>IF(D199="","",VLOOKUP(D199,'DB technologies'!$N$82:$Y$94,10,FALSE))</f>
        <v/>
      </c>
      <c r="AJ199" s="482" t="e">
        <f>VLOOKUP($C$193,'DB animal categories'!$C$68:$AN$80,27,FALSE)-VLOOKUP($C$193,'DB animal categories'!$C$68:$AN$80,26,FALSE)*VLOOKUP($C$193,'DB animal categories'!$C$68:$AN$80,25,FALSE)/24</f>
        <v>#N/A</v>
      </c>
      <c r="AK199" s="453" t="str">
        <f t="shared" si="34"/>
        <v/>
      </c>
      <c r="AL199" s="453" t="str">
        <f>IF(D199="","",IF(AI199=2,(('Calc (ex-animal)'!$G$41*'DB additional information '!$K$12/100*AG199/100*(1-VLOOKUP(D199,'DB technologies'!$N$82:$Y$94,9,FALSE)/100)*'Calc (ex-housing, ex-storage)'!F199/100+'Calc (ex-animal)'!$H$41*'DB additional information '!$L$12/100*AG199/100*(1-VLOOKUP(D199,'DB technologies'!$N$82:$Y$94,9,FALSE)/100)*'Calc (ex-housing, ex-storage)'!F199/100))/VLOOKUP($C$193,'DB animal categories'!$C$68:$AC$80,27,FALSE)*AJ199+I199+J199+K199,IF(AI199=1,('Calc (ex-animal)'!$H$41*AG199/100*'DB additional information '!$L$12/100*(1-VLOOKUP(D199,'DB technologies'!$N$82:$Y$94,9,FALSE)/100)*'Calc (ex-housing, ex-storage)'!F199/100)/VLOOKUP($C$193,'DB animal categories'!$C$68:$AC$80,27,FALSE)*AJ199,IF(AI199=4,('Calc (ex-animal)'!$G$41*'DB additional information '!$K$12/100+'Calc (ex-animal)'!$H$41*'DB additional information '!$L$12/100)*AG199/100*(1-VLOOKUP(D199,'DB technologies'!$N$82:$Y$94,9,FALSE)/100)*'Calc (ex-housing, ex-storage)'!F199/100*VLOOKUP(D199,'DB technologies'!$N$82:$Y$94,11,FALSE)/100/VLOOKUP($C$193,'DB animal categories'!$C$68:$AC$80,27,FALSE)*AJ199,0))))</f>
        <v/>
      </c>
      <c r="AM199" s="453" t="str">
        <f>IF(D199="","",IF(AI199=2,(('Calc (ex-animal)'!$G$41*(1-'DB additional information '!$K$12/100)*AG199/100*(1-VLOOKUP(D199,'DB technologies'!$N$82:$Y$94,8,FALSE)/100)*'Calc (ex-housing, ex-storage)'!F199/100+'Calc (ex-animal)'!$H$41*(1-'DB additional information '!$L$12/100)*AG199/100*(1-VLOOKUP(D199,'DB technologies'!$N$82:$Y$94,8,FALSE)/100)*'Calc (ex-housing, ex-storage)'!F199/100))/VLOOKUP($C$193,'DB animal categories'!$C$68:$AC$80,27,FALSE)*AJ199+M199+N199+O199,IF(AI199=1,('Calc (ex-animal)'!$H$41*(1-'DB additional information '!$L$12/100)*AG199/100*(1-VLOOKUP(D199,'DB technologies'!$N$82:$Y$94,8,FALSE)/100)*'Calc (ex-housing, ex-storage)'!F199/100)/VLOOKUP($C$193,'DB animal categories'!$C$68:$AC$80,27,FALSE)*AJ199,IF(AI199=4,('Calc (ex-animal)'!$G$41*(1-'DB additional information '!$K$12/100)+'Calc (ex-animal)'!$H$41*(1-'DB additional information '!$L$12/100))*AG199/100*(1-VLOOKUP(D199,'DB technologies'!$N$82:$Y$94,8,FALSE)/100)*'Calc (ex-housing, ex-storage)'!F199/100*VLOOKUP(D199,'DB technologies'!$N$82:$Y$94,11,FALSE)/100/VLOOKUP($C$193,'DB animal categories'!$C$68:$AC$80,27,FALSE)*AJ199,0))))</f>
        <v/>
      </c>
      <c r="AN199" s="453" t="str">
        <f t="shared" si="35"/>
        <v/>
      </c>
      <c r="AO199" s="180" t="str">
        <f>IF(D199="","",IF(AI199=2,(('Calc (ex-animal)'!$L$41*'Calc (ex-housing, ex-storage)'!F199/100+'Calc (ex-animal)'!$K$41*'Calc (ex-housing, ex-storage)'!F199/100))*AG199/100/VLOOKUP($C$193,'DB animal categories'!$C$68:$AC$80,27,FALSE)*AJ199+Q199+R199+S199-AC199,IF(AI199=1,('Calc (ex-animal)'!$L$41*'Calc (ex-housing, ex-storage)'!F199/100)*AG199/100/VLOOKUP($C$193,'DB animal categories'!$C$68:$AC$80,27,FALSE)*AJ199-'Calc (ex-housing, ex-storage)'!AC199,IF(AI199=4,('Calc (ex-animal)'!$L$41+'Calc (ex-animal)'!$K$41)*'Calc (ex-housing, ex-storage)'!F199/100*AG199/100*VLOOKUP(D199,'DB technologies'!$N$82:$Y$94,11,FALSE)/100/VLOOKUP($C$193,'DB animal categories'!$C$68:$AC$80,27,FALSE)*AJ199-AC199*VLOOKUP(D199,'DB technologies'!$N$82:$Y$94,11,FALSE)/100,0))))</f>
        <v/>
      </c>
      <c r="AP199" s="180" t="str">
        <f>IF(D199="","",IF(AO199&lt;-0.01,0,IF(AI199=2,(('Calc (ex-animal)'!$L$41*'Calc (ex-housing, ex-storage)'!F199/100+'Calc (ex-animal)'!$K$41*'Calc (ex-housing, ex-storage)'!F199/100))*AG199/100/VLOOKUP($C$193,'DB animal categories'!$C$68:$AC$80,27,FALSE)*AJ199+Q199+R199+S199-AC199,IF(AI199=1,('Calc (ex-animal)'!$L$41*'Calc (ex-housing, ex-storage)'!F199/100)*AG199/100/VLOOKUP($C$193,'DB animal categories'!$C$68:$AC$80,27,FALSE)*AJ199-'Calc (ex-housing, ex-storage)'!AC199,IF(AI199=4,('Calc (ex-animal)'!$L$41+'Calc (ex-animal)'!$K$41)*'Calc (ex-housing, ex-storage)'!F199/100*AG199/100*VLOOKUP(D199,'DB technologies'!$N$82:$Y$94,11,FALSE)/100/VLOOKUP($C$193,'DB animal categories'!$C$68:$AC$80,27,FALSE)*AJ199-AC199*VLOOKUP(D199,'DB technologies'!$N$82:$Y$94,11,FALSE)/100,0)))))</f>
        <v/>
      </c>
      <c r="AQ199" s="180" t="str">
        <f>IF(D199="","",IF(AI199=2,('Calc (ex-animal)'!$O$41*'Calc (ex-housing, ex-storage)'!F199/100+'Calc (ex-animal)'!$N$41*'Calc (ex-housing, ex-storage)'!F199/100)*AG199/100/VLOOKUP($C$193,'DB animal categories'!$C$68:$AC$80,27,FALSE)*AJ199+U199+V199+W199,IF(AI199=1,'Calc (ex-animal)'!$O$41*'Calc (ex-housing, ex-storage)'!F199/100*AG199/100/VLOOKUP($C$193,'DB animal categories'!$C$68:$AC$80,27,FALSE)*AJ199,IF(AI199=4,('Calc (ex-animal)'!$O$41+'Calc (ex-animal)'!$N$41)*'Calc (ex-housing, ex-storage)'!F199/100*AG199/100*VLOOKUP(D199,'DB technologies'!$N$82:$Y$94,11,FALSE)/100/VLOOKUP($C$193,'DB animal categories'!$C$68:$AC$80,27,FALSE)*AJ199,0))))</f>
        <v/>
      </c>
      <c r="AR199" s="180" t="str">
        <f>IF(D199="","",IF(AI199=2,('Calc (ex-animal)'!$R$41*'Calc (ex-housing, ex-storage)'!F199/100+'Calc (ex-animal)'!$Q$41*'Calc (ex-housing, ex-storage)'!F199/100)*AG199/100/VLOOKUP($C$193,'DB animal categories'!$C$68:$AC$80,27,FALSE)*AJ199+Y199+Z199+AA199,IF(AI199=1,'Calc (ex-animal)'!$R$41*'Calc (ex-housing, ex-storage)'!F199/100*AG199/100/VLOOKUP($C$193,'DB animal categories'!$C$68:$AC$80,27,FALSE)*AJ199,IF(AI199=4,('Calc (ex-animal)'!$R$41+'Calc (ex-animal)'!$Q$41)*'Calc (ex-housing, ex-storage)'!F199/100*AG199/100*VLOOKUP(D199,'DB technologies'!$N$82:$Y$94,11,FALSE)/100/VLOOKUP($C$193,'DB animal categories'!$C$68:$AC$80,27,FALSE)*AJ199,0))))</f>
        <v/>
      </c>
      <c r="AS199" s="179" t="str">
        <f>IF(D199="","",VLOOKUP(D199,'DB technologies'!$N$82:$Y$94,10,FALSE))</f>
        <v/>
      </c>
      <c r="AT199" s="453" t="str">
        <f t="shared" si="36"/>
        <v/>
      </c>
      <c r="AU199" s="453" t="str">
        <f>IF(D199="","",IF(AS199=2,0,IF(AS199=1,'Calc (ex-animal)'!$G$41*'DB additional information '!$K$12/100*AG199/100*(1-VLOOKUP(D199,'DB technologies'!$N$82:$Y$94,8,FALSE)/100)*'Calc (ex-housing, ex-storage)'!F199/100/VLOOKUP($C$193,'DB animal categories'!$C$68:$AC$80,27,FALSE)*AJ199+I199+J199+K199,IF(AS199=5,(('Calc (ex-animal)'!$G$41*'DB additional information '!$K$12/100+'Calc (ex-animal)'!$H$41*'DB additional information '!$L$12/100))*AG199/100*(1-VLOOKUP(D199,'DB technologies'!$N$82:$Y$94,9,FALSE)/100)*'Calc (ex-housing, ex-storage)'!F199/100/VLOOKUP($C$193,'DB animal categories'!$C$68:$AC$80,27,FALSE)*AJ199+I199+J199+K199,IF(AS199=3,('Calc (ex-animal)'!$G$41*'DB additional information '!$K$12/100+'Calc (ex-animal)'!$H$41*'DB additional information '!$L$12/100)*AG199/100*(1-VLOOKUP(D199,'DB technologies'!$N$82:$Y$94,9,FALSE)/100)*'Calc (ex-housing, ex-storage)'!F199/100/VLOOKUP($C$193,'DB animal categories'!$C$68:$AC$80,27,FALSE)*AJ199+I199+J199+K199,IF(AS199=4,('Calc (ex-animal)'!$G$41*'DB additional information '!$K$12/100+'Calc (ex-animal)'!$H$41*'DB additional information '!$L$12/100)*AG199/100*(1-VLOOKUP(D199,'DB technologies'!$N$82:$Y$94,9,FALSE)/100)*'Calc (ex-housing, ex-storage)'!F199/100*VLOOKUP(D199,'DB technologies'!$N$82:$Y$94,12,FALSE)/100/VLOOKUP($C$193,'DB animal categories'!$C$68:$AC$80,27,FALSE)*AJ199+I199+J199+K199,0))))))</f>
        <v/>
      </c>
      <c r="AV199" s="453" t="str">
        <f>IF(D199="","",IF(AS199=2,0,IF(AS199=1,'Calc (ex-animal)'!$G$41*(1-'DB additional information '!$K$12/100)*AG199/100*(1-VLOOKUP(D199,'DB technologies'!$N$82:$Y$94,8,FALSE)/100)*'Calc (ex-housing, ex-storage)'!F199/100/VLOOKUP($C$193,'DB animal categories'!$C$68:$AC$80,27,FALSE)*AJ199+M199+N199+O199,IF(AS199=5,('Calc (ex-animal)'!$G$41*(1-'DB additional information '!$K$12/100)+'Calc (ex-animal)'!$H$41*(1-'DB additional information '!$L$12/100))*AG199/100*(1-VLOOKUP(D199,'DB technologies'!$N$82:$Y$94,8,FALSE)/100)*'Calc (ex-housing, ex-storage)'!F199/100/VLOOKUP($C$193,'DB animal categories'!$C$68:$AC$80,27,FALSE)*AJ199+M199+N199+O199,IF(AS199=3,('Calc (ex-animal)'!$G$41*(1-'DB additional information '!$K$12/100)+'Calc (ex-animal)'!$H$41*(1-'DB additional information '!$L$12/100))*AG199/100*(1-VLOOKUP(D199,'DB technologies'!$N$82:$Y$94,8,FALSE)/100)*'Calc (ex-housing, ex-storage)'!F199/100/VLOOKUP($C$193,'DB animal categories'!$C$68:$AC$80,27,FALSE)*AJ199+M199+N199+O199,IF(AS199=4,('Calc (ex-animal)'!$G$41*(1-'DB additional information '!$K$12/100)+'Calc (ex-animal)'!$H$41*(1-'DB additional information '!$L$12/100))*AG199/100*(1-VLOOKUP(D199,'DB technologies'!$N$82:$Y$94,8,FALSE)/100)*'Calc (ex-housing, ex-storage)'!F199/100*VLOOKUP(D199,'DB technologies'!$N$82:$Y$94,12,FALSE)/100/VLOOKUP($C$193,'DB animal categories'!$C$68:$AC$80,27,FALSE)*AJ199+M199+N199+O199,0))))))</f>
        <v/>
      </c>
      <c r="AW199" s="453" t="str">
        <f t="shared" si="37"/>
        <v/>
      </c>
      <c r="AX199" s="180" t="str">
        <f>IF(D199="","",IF(AS199=2,0,IF(AS199=1,'Calc (ex-animal)'!$K$41*'Calc (ex-housing, ex-storage)'!F199/100*AG199/100/VLOOKUP($C$193,'DB animal categories'!$C$68:$AC$80,27,FALSE)*AJ199+Q199+R199+S199,IF(AS199=5,('Calc (ex-animal)'!$K$41+'Calc (ex-animal)'!$L$41)*AG199/100*'Calc (ex-housing, ex-storage)'!F199/100/VLOOKUP($C$193,'DB animal categories'!$C$68:$AC$80,27,FALSE)*AJ199+Q199+R199+S199-'Calc (ex-housing, ex-storage)'!AC199,IF(AS199=3,('Calc (ex-animal)'!$K$41+'Calc (ex-animal)'!$L$41)*AG199/100*'Calc (ex-housing, ex-storage)'!F199/100/VLOOKUP($C$193,'DB animal categories'!$C$68:$AC$80,27,FALSE)*AJ199+Q199+R199+S199-'Calc (ex-housing, ex-storage)'!AC199-AD199-AE199,IF(AI199=4,('Calc (ex-animal)'!$K$41+'Calc (ex-animal)'!$L$41)*AG199/100*'Calc (ex-housing, ex-storage)'!F199/100*VLOOKUP(D199,'DB technologies'!$N$82:$Y$94,12,FALSE)/100/VLOOKUP($C$193,'DB animal categories'!$C$68:$AC$80,27,FALSE)*AJ199+Q199+R199+S199-(VLOOKUP(D199,'DB technologies'!$N$82:$Y$94,12,FALSE)/100*AC199)-AD199-AE199,0))))))</f>
        <v/>
      </c>
      <c r="AY199" s="180" t="str">
        <f>IF(D199="","",IF(AS199=2,0,IF(AS199=1,'Calc (ex-animal)'!$N$41*AG199/100*'Calc (ex-housing, ex-storage)'!F199/100/VLOOKUP($C$193,'DB animal categories'!$C$68:$AC$80,27,FALSE)*AJ199+U199+V199+W199,IF(AS199=5,('Calc (ex-animal)'!$N$41+'Calc (ex-animal)'!$O$41)*AG199/100*'Calc (ex-housing, ex-storage)'!F199/100/VLOOKUP($C$193,'DB animal categories'!$C$68:$AC$80,27,FALSE)*AJ199+U199+V199+W199,IF(AS199=3,('Calc (ex-animal)'!$N$41+'Calc (ex-animal)'!$O$41)*AG199/100*'Calc (ex-housing, ex-storage)'!F199/100/VLOOKUP($C$193,'DB animal categories'!$C$68:$AC$80,27,FALSE)*AJ199+U199+V199+W199,IF(AS199=4,('Calc (ex-animal)'!$N$41+'Calc (ex-animal)'!$O$41)*AG199/100*'Calc (ex-housing, ex-storage)'!F199/100*VLOOKUP(D199,'DB technologies'!$N$82:$Y$94,12,FALSE)/100/VLOOKUP($C$193,'DB animal categories'!$C$68:$AC$80,27,FALSE)*AJ199+U199+V199+W199,0))))))</f>
        <v/>
      </c>
      <c r="AZ199" s="180" t="str">
        <f>IF(D199="","",IF(AS199=2,0,IF(AS199=1,'Calc (ex-animal)'!$Q$41*AG199/100*'Calc (ex-housing, ex-storage)'!F199/100/VLOOKUP($C$193,'DB animal categories'!$C$68:$AC$80,27,FALSE)*AJ199+Y199+Z199+AA199,IF(AS199=5,('Calc (ex-animal)'!$Q$41+'Calc (ex-animal)'!$R$41)*AG199/100*'Calc (ex-housing, ex-storage)'!F199/100/VLOOKUP($C$193,'DB animal categories'!$C$68:$AC$80,27,FALSE)*AJ199+Y199+Z199+AA199,IF(AS199=3,('Calc (ex-animal)'!$Q$41+'Calc (ex-animal)'!$R$41)*AG199/100*'Calc (ex-housing, ex-storage)'!F199/100/VLOOKUP($C$193,'DB animal categories'!$C$68:$AC$80,27,FALSE)*AJ199+Y199+Z199+AA199,IF(AS199=4,('Calc (ex-animal)'!$Q$41+'Calc (ex-animal)'!$R$41)*AG199/100*'Calc (ex-housing, ex-storage)'!F199/100*VLOOKUP(D199,'DB technologies'!$N$82:$Y$94,12,FALSE)/100/VLOOKUP($C$193,'DB animal categories'!$C$68:$AC$80,27,FALSE)*AJ199+Y199+Z199+AA199,0))))))</f>
        <v/>
      </c>
      <c r="BA199" s="506"/>
      <c r="BB199" s="506"/>
      <c r="BC199" s="506"/>
    </row>
    <row r="200" spans="1:55" x14ac:dyDescent="0.2">
      <c r="A200" s="684"/>
      <c r="B200" s="695"/>
      <c r="C200" s="251"/>
      <c r="D200" s="1367"/>
      <c r="E200" s="1393"/>
      <c r="F200" s="692" t="str">
        <f>IF('Calc (ex-animal)'!$F$9=1,"",IF($C$152=0,"",IF(D200="","",E200/'Calc (ex-animal)'!$E$32*100)))</f>
        <v/>
      </c>
      <c r="G200" s="539" t="str">
        <f>IF($C$193=0,"",IF('Calc (ex-animal)'!$F$38=1,"",IF(D200="","",SUM(H200:O200))))</f>
        <v/>
      </c>
      <c r="H200" s="532" t="str">
        <f>IF('Calc (ex-animal)'!$F$38=1,"",IF(D200="","",(((VLOOKUP($C$193,'Calc (ex-animal)'!$D$38:$Y$42,6,FALSE)-VLOOKUP($C$193,'Calc (ex-animal)'!$D$38:$Y$42,17,FALSE))*F199/100*AH199/100))*VLOOKUP($C$193,'Calc (ex-animal)'!$D$38:$Y$42,7,FALSE)/100*(1-VLOOKUP(D200,'DB technologies'!$N$96:$Y$107,9,FALSE)/100)))</f>
        <v/>
      </c>
      <c r="I200" s="532" t="str">
        <f>IF(D200="","",((VLOOKUP(D200,'DB technologies'!$N$96:$Y$107,2,FALSE)*VLOOKUP($C$193,'DB animal categories'!$C$68:$AC$80,27,FALSE)*F199/1000*AH199/100)/VLOOKUP($C$193,'DB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'!$S$6/100*(1-VLOOKUP(D200,'DB technologies'!$N$96:$Y$107,9,FALSE)/100)))</f>
        <v/>
      </c>
      <c r="J200" s="533" t="str">
        <f>IF(D200="","",((VLOOKUP(D200,'DB technologies'!$N$96:$Y$107,3,FALSE)*VLOOKUP($C$193,'DB animal categories'!$C$68:$AC$80,27,FALSE)*E199/1000*AH199/100)/VLOOKUP($C$193,'DB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'!$S$7/100*(1-VLOOKUP(D200,'DB technologies'!$N$96:$Y$107,9,FALSE)/100)))</f>
        <v/>
      </c>
      <c r="K200" s="534" t="str">
        <f>IF(D200="","",((VLOOKUP(D200,'DB technologies'!$N$96:$Y$107,4,FALSE)*E199*AH199/100*'DB additional information '!$S$8/100*(1-VLOOKUP(D200,'DB technologies'!$N$96:$Y$107,9,FALSE)/100))/VLOOKUP($C$193,'DB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200" s="532" t="str">
        <f>IF('Calc (ex-animal)'!$F$38=1,"",IF(D200="","",(((VLOOKUP($C$193,'Calc (ex-animal)'!$D$38:$Y$42,6,FALSE)-VLOOKUP($C$193,'Calc (ex-animal)'!$D$38:$Y$42,17,FALSE))*F199/100*AH199/100))*(1-VLOOKUP($C$193,'Calc (ex-animal)'!$D$38:$Y$42,7,FALSE)/100)*(1-VLOOKUP(D200,'DB technologies'!$N$96:$V$107,8,FALSE)/100)))</f>
        <v/>
      </c>
      <c r="M200" s="533" t="str">
        <f>IF(D200="","",((VLOOKUP(D200,'DB technologies'!$N$96:$Y$107,2,FALSE)*VLOOKUP($C$193,'DB animal categories'!$C$68:$AC$80,27,FALSE)*E199/1000*AH199/100)/VLOOKUP($C$193,'DB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'!$S$6/100)*(1-VLOOKUP(D200,'DB technologies'!$N$96:$Y$107,9,FALSE)/100))</f>
        <v/>
      </c>
      <c r="N200" s="533" t="str">
        <f>IF(D200="","",((VLOOKUP(D200,'DB technologies'!$N$96:$Y$107,3,FALSE)*VLOOKUP($C$193,'DB animal categories'!$C$68:$AC$80,27,FALSE)*E199/1000*AH199/100)/VLOOKUP($C$193,'DB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'!$S$7/100)*(1-VLOOKUP(D200,'DB technologies'!$N$96:$Y$107,9,FALSE)/100))</f>
        <v/>
      </c>
      <c r="O200" s="532" t="str">
        <f>IF(D200="","",((VLOOKUP(D200,'DB technologies'!$N$96:$Y$107,4,FALSE)*E199*AH199/100*(1-'DB additional information '!$S$8/100)*(1-VLOOKUP(D200,'DB technologies'!$N$96:$Y$107,8,FALSE)/100))/VLOOKUP($C$193,'DB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200" s="535" t="str">
        <f>IF(G200=0,0,IF(E199="","",IF(F199="","",IF($C$193=0,"",IF(D200="","",SUM(H200:K200)/G200*100)))))</f>
        <v/>
      </c>
      <c r="Q200" s="536" t="str">
        <f>IF(D200="","",(VLOOKUP(D200,'DB technologies'!$N$96:$Y$107,2,FALSE)*'DB additional information '!$S$6/100*'DB additional information '!$T$6*VLOOKUP($C$193,'DB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200" s="536" t="str">
        <f>IF(D200="","",(VLOOKUP(D200,'DB technologies'!$N$96:$Y$107,3,FALSE)*'DB additional information '!$S$7/100*'DB additional information '!$T$7*VLOOKUP($C$193,'DB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200" s="540" t="str">
        <f>IF(D200="","",(VLOOKUP(D200,'DB technologies'!$N$96:$Y$107,4,FALSE)*('DB additional information '!$S$8/100*'DB additional information '!$T$8*E199/1000/1000*AH199/100)))</f>
        <v/>
      </c>
      <c r="T200" s="303" t="str">
        <f>IF($C$193=0,"",IF('Calc (ex-animal)'!$F$38=1,"",IF(D200="","",((VLOOKUP($C$193,'Calc (ex-animal)'!$D$38:$Y$42,10,FALSE)-VLOOKUP($C$193,'Calc (ex-animal)'!$D$38:$Y$42,18,FALSE))*F199/100*AH199/100+Q200+R200+S200)-AC200-AD200-AE200)))</f>
        <v/>
      </c>
      <c r="U200" s="542" t="str">
        <f>IF(D200="","",(VLOOKUP(D200,'DB technologies'!$N$96:$Y$107,2,FALSE)*'DB additional information '!$S$6/100*'DB additional information '!$U$6*VLOOKUP($C$193,'DB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200" s="524" t="str">
        <f>IF(D200="","",(VLOOKUP(D200,'DB technologies'!$N$96:$Y$107,3,FALSE)*'DB additional information '!$S$7/100*'DB additional information '!$U$7*VLOOKUP($C$193,'DB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200" s="543" t="str">
        <f>IF(D200="","",(VLOOKUP(D200,'DB technologies'!$N$96:$Y$107,4,FALSE)*('DB additional information '!$S$8/100*'DB additional information '!$U$8*E199/1000/1000*AH199/100)))</f>
        <v/>
      </c>
      <c r="X200" s="304" t="str">
        <f>IF($C$193=0,"",IF('Calc (ex-animal)'!$F$38=1,"",IF(D200="","",((VLOOKUP($C$193,'Calc (ex-animal)'!$D$38:$Y$42,13,FALSE)-VLOOKUP($C$193,'Calc (ex-animal)'!$D$38:$Y$42,19,FALSE))*F199/100*AH199/100+U200+V200+W200))))</f>
        <v/>
      </c>
      <c r="Y200" s="524" t="str">
        <f>IF(D200="","",(VLOOKUP(D200,'DB technologies'!$N$96:$Y$107,2,FALSE)*'DB additional information '!$S$6/100*'DB additional information '!$V$6*VLOOKUP($C$193,'DB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200" s="524" t="str">
        <f>IF(D200="","",(VLOOKUP(D200,'DB technologies'!$N$96:$Y$107,3,FALSE)*'DB additional information '!$S$7/100*'DB additional information '!$V$7*VLOOKUP($C$193,'DB animal categories'!$C$68:$AC$80,27,FALSE)*E199/1000/1000*AH199/100)/VLOOKUP($C$193,'DB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200" s="524" t="str">
        <f>IF(D200="","",(VLOOKUP(D200,'DB technologies'!$N$96:$Y$107,4,FALSE)*('DB additional information '!$S$8/100*'DB additional information '!$V$8*E199/1000/1000*AH199/100)))</f>
        <v/>
      </c>
      <c r="AB200" s="304" t="str">
        <f>IF($C$193=0,"",IF('Calc (ex-animal)'!$F$38=1,"",IF(D200="","",((VLOOKUP($C$193,'Calc (ex-animal)'!$D$38:$Y$42,16,FALSE)-VLOOKUP($C$193,'Calc (ex-animal)'!$D$38:$Y$42,20,FALSE))*F199/100*AH199/100+Y200+Z200+AA200))))</f>
        <v/>
      </c>
      <c r="AC200" s="304" t="str">
        <f>IF($C$193=0,"",IF('Calc (ex-animal)'!$F$38=1,"",IF(D200="","",VLOOKUP($C$193,'Calc (ex-animal)'!$D$38:$Y$42,9,FALSE)*AH199/100/VLOOKUP($C$193,'DB animal categories'!$C$68:$AC$80,27,FALSE)*(VLOOKUP($C$193,'DB animal categories'!$C$68:$AC$80,27,FALSE)-VLOOKUP($C$193,'DB animal categories'!$C$68:$AC$80,25,FALSE)*VLOOKUP($C$193,'DB animal categories'!$C$68:$AC$80,26,FALSE)/24)*F199/100*VLOOKUP(D200,'DB technologies'!$N$96:$R$107,5,FALSE)/100)))</f>
        <v/>
      </c>
      <c r="AD200" s="304" t="str">
        <f>IF($C$193=0,"",IF('Calc (ex-animal)'!$F$38=1,"",IF(D200="","",VLOOKUP($C$193,'Calc (ex-animal)'!$D$38:$Y$42,10,FALSE)*AH199/100/VLOOKUP($C$193,'DB animal categories'!$C$68:$AC$80,27,FALSE)*(VLOOKUP($C$193,'DB animal categories'!$C$68:$AC$80,27,FALSE)-VLOOKUP($C$193,'DB animal categories'!$C$68:$AC$80,25,FALSE)*VLOOKUP($C$193,'DB animal categories'!$C$68:$AC$80,26,FALSE)/24)*F199/100*VLOOKUP(D200,'DB technologies'!$N$96:$Y$107,6,FALSE)/100)))</f>
        <v/>
      </c>
      <c r="AE200" s="305" t="str">
        <f>IF($C$193=0,"",IF('Calc (ex-animal)'!$F$38=1,"",IF(D200="","",VLOOKUP($C$193,'Calc (ex-animal)'!$D$38:$Y$42,10,FALSE)*AH199/100/VLOOKUP($C$193,'DB animal categories'!$C$68:$AC$80,27,FALSE)*(VLOOKUP($C$193,'DB animal categories'!$C$68:$AC$80,27,FALSE)-VLOOKUP($C$193,'DB animal categories'!$C$68:$AC$80,25,FALSE)*VLOOKUP($C$193,'DB animal categories'!$C$68:$AC$80,26,FALSE)/24)*F199/100*VLOOKUP(D200,'DB technologies'!$N$96:$Y$107,7,FALSE)/100)))</f>
        <v/>
      </c>
      <c r="AG200" s="1390"/>
      <c r="AH200" s="1380"/>
      <c r="AI200" s="187" t="str">
        <f>IF(D200="","",VLOOKUP(D200,'DB technologies'!$N$96:$Y$107,10,FALSE))</f>
        <v/>
      </c>
      <c r="AJ200" s="451" t="e">
        <f>VLOOKUP($C$193,'DB animal categories'!$C$68:$AN$80,27,FALSE)-VLOOKUP($C$193,'DB animal categories'!$C$68:$AN$80,26,FALSE)*VLOOKUP($C$193,'DB animal categories'!$C$68:$AN$80,25,FALSE)/24</f>
        <v>#N/A</v>
      </c>
      <c r="AK200" s="452" t="str">
        <f t="shared" si="34"/>
        <v/>
      </c>
      <c r="AL200" s="452" t="str">
        <f>IF(D200="","",IF(AI200=2,(('Calc (ex-animal)'!$G$41*'DB additional information '!$K$12/100*AH199/100*(1-VLOOKUP(D200,'DB technologies'!$N$96:$Y$107,9,FALSE)/100)*'Calc (ex-housing, ex-storage)'!F199/100+'Calc (ex-animal)'!$H$41*'DB additional information '!$L$12/100*AH199/100*(1-VLOOKUP(D200,'DB technologies'!$N$96:$Y$107,9,FALSE)/100)*'Calc (ex-housing, ex-storage)'!F199/100))/VLOOKUP($C$193,'DB animal categories'!$C$68:$AC$80,27,FALSE)*AJ200+I200+J200+K200,IF(AI200=1,('Calc (ex-animal)'!$H$41*AH199/100*'DB additional information '!$L$12/100*(1-VLOOKUP(D200,'DB technologies'!$N$96:$Y$107,9,FALSE)/100)*'Calc (ex-housing, ex-storage)'!F199/100)/VLOOKUP($C$193,'DB animal categories'!$C$68:$AC$80,27,FALSE)*AJ200,IF(AI200=4,('Calc (ex-animal)'!$G$41*'DB additional information '!$K$12/100+'Calc (ex-animal)'!$H$41*'DB additional information '!$L$12/100)*AH199/100*(1-VLOOKUP(D200,'DB technologies'!$N$96:$Y$107,9,FALSE)/100)*'Calc (ex-housing, ex-storage)'!F199/100*VLOOKUP(D200,'DB technologies'!$N$96:$Y$107,11,FALSE)/100/VLOOKUP($C$193,'DB animal categories'!$C$68:$AC$80,27,FALSE)*AJ200,0))))</f>
        <v/>
      </c>
      <c r="AM200" s="452" t="str">
        <f>IF(D200="","",IF(AI200=2,(('Calc (ex-animal)'!$G$41*(1-'DB additional information '!$K$12/100)*AH199/100*(1-VLOOKUP(D200,'DB technologies'!$N$96:$Y$107,8,FALSE)/100)*'Calc (ex-housing, ex-storage)'!F199/100+'Calc (ex-animal)'!$H$41*(1-'DB additional information '!$L$12/100)*AH199/100*(1-VLOOKUP(D200,'DB technologies'!$N$96:$Y$107,8,FALSE)/100)*'Calc (ex-housing, ex-storage)'!F199/100))/VLOOKUP($C$193,'DB animal categories'!$C$68:$AC$80,27,FALSE)*AJ200+M200+N200+O200,IF(AI200=1,('Calc (ex-animal)'!$H$41*(1-'DB additional information '!$L$12/100)*AH199/100*(1-VLOOKUP(D200,'DB technologies'!$N$96:$Y$107,8,FALSE)/100)*'Calc (ex-housing, ex-storage)'!F199/100)/VLOOKUP($C$193,'DB animal categories'!$C$68:$AC$80,27,FALSE)*AJ200,IF(AI200=4,('Calc (ex-animal)'!$G$41*(1-'DB additional information '!$K$12/100)+'Calc (ex-animal)'!$H$41*(1-'DB additional information '!$L$12/100))*AH199/100*(1-VLOOKUP(D200,'DB technologies'!$N$96:$Y$107,8,FALSE)/100)*'Calc (ex-housing, ex-storage)'!F199/100*VLOOKUP(D200,'DB technologies'!$N$96:$Y$107,11,FALSE)/100/VLOOKUP($C$193,'DB animal categories'!$C$68:$AC$80,27,FALSE)*AJ200,0))))</f>
        <v/>
      </c>
      <c r="AN200" s="452" t="str">
        <f t="shared" si="35"/>
        <v/>
      </c>
      <c r="AO200" s="184" t="str">
        <f>IF(D200="","",IF(AI200=2,(('Calc (ex-animal)'!$L$41*'Calc (ex-housing, ex-storage)'!F199/100+'Calc (ex-animal)'!$K$41*'Calc (ex-housing, ex-storage)'!F199/100))*AH199/100/VLOOKUP($C$193,'DB animal categories'!$C$68:$AC$80,27,FALSE)*AJ200+Q200+R200+S200-AC200,IF(AI200=1,('Calc (ex-animal)'!$L$41*'Calc (ex-housing, ex-storage)'!F199/100)*AH199/100/VLOOKUP($C$193,'DB animal categories'!$C$68:$AC$80,27,FALSE)*AJ200-'Calc (ex-housing, ex-storage)'!AC200,IF(AI200=4,('Calc (ex-animal)'!$L$41+'Calc (ex-animal)'!$K$41)*'Calc (ex-housing, ex-storage)'!F199/100*AH199/100*VLOOKUP(D200,'DB technologies'!$N$96:$Y$107,11,FALSE)/100/VLOOKUP($C$193,'DB animal categories'!$C$68:$AC$80,27,FALSE)*AJ200-AC200*VLOOKUP(D200,'DB technologies'!$N$96:$Y$107,11,FALSE)/100,0))))</f>
        <v/>
      </c>
      <c r="AP200" s="184" t="str">
        <f>IF(D200="","",IF(AO200&lt;-0.01,0,IF(AI200=2,(('Calc (ex-animal)'!$L$41*'Calc (ex-housing, ex-storage)'!F199/100+'Calc (ex-animal)'!$K$41*'Calc (ex-housing, ex-storage)'!F199/100))*AH199/100/VLOOKUP($C$193,'DB animal categories'!$C$68:$AC$80,27,FALSE)*AJ200+Q200+R200+S200-AC200,IF(AI200=1,('Calc (ex-animal)'!$L$41*'Calc (ex-housing, ex-storage)'!F199/100)*AH199/100/VLOOKUP($C$193,'DB animal categories'!$C$68:$AC$80,27,FALSE)*AJ200-'Calc (ex-housing, ex-storage)'!AC200,IF(AI200=4,('Calc (ex-animal)'!$L$41+'Calc (ex-animal)'!$K$41)*'Calc (ex-housing, ex-storage)'!F199/100*AH199/100*VLOOKUP(D200,'DB technologies'!$N$96:$Y$107,11,FALSE)/100/VLOOKUP($C$193,'DB animal categories'!$C$68:$AC$80,27,FALSE)*AJ200-AC200*VLOOKUP(D200,'DB technologies'!$N$96:$Y$107,11,FALSE)/100,0)))))</f>
        <v/>
      </c>
      <c r="AQ200" s="184" t="str">
        <f>IF(D200="","",IF(AI200=2,('Calc (ex-animal)'!$O$41*'Calc (ex-housing, ex-storage)'!F199/100+'Calc (ex-animal)'!$N$41*'Calc (ex-housing, ex-storage)'!F199/100)*AH199/100/VLOOKUP($C$193,'DB animal categories'!$C$68:$AC$80,27,FALSE)*AJ200+U200+V200+W200,IF(AI200=1,'Calc (ex-animal)'!$O$41*'Calc (ex-housing, ex-storage)'!F199/100*AH199/100/VLOOKUP($C$193,'DB animal categories'!$C$68:$AC$80,27,FALSE)*AJ200,IF(AI200=4,('Calc (ex-animal)'!$O$41+'Calc (ex-animal)'!$N$41)*'Calc (ex-housing, ex-storage)'!F199/100*AH199/100*VLOOKUP(D200,'DB technologies'!$N$96:$Y$107,11,FALSE)/100/VLOOKUP($C$193,'DB animal categories'!$C$68:$AC$80,27,FALSE)*AJ200,0))))</f>
        <v/>
      </c>
      <c r="AR200" s="184" t="str">
        <f>IF(D200="","",IF(AI200=2,('Calc (ex-animal)'!$R$41*'Calc (ex-housing, ex-storage)'!F199/100+'Calc (ex-animal)'!$Q$41*'Calc (ex-housing, ex-storage)'!F199/100)*AH199/100/VLOOKUP($C$193,'DB animal categories'!$C$68:$AC$80,27,FALSE)*AJ200+Y200+Z200+AA200,IF(AI200=1,'Calc (ex-animal)'!$R$41*'Calc (ex-housing, ex-storage)'!F199/100*AH199/100/VLOOKUP($C$193,'DB animal categories'!$C$68:$AC$80,27,FALSE)*AJ200,IF(AI200=4,('Calc (ex-animal)'!$R$41+'Calc (ex-animal)'!$Q$41)*'Calc (ex-housing, ex-storage)'!F199/100*AH199/100*VLOOKUP(D200,'DB technologies'!$N$96:$Y$107,11,FALSE)/100/VLOOKUP($C$193,'DB animal categories'!$C$68:$AC$80,27,FALSE)*AJ200,0))))</f>
        <v/>
      </c>
      <c r="AS200" s="183" t="str">
        <f>IF(D200="","",VLOOKUP(D200,'DB technologies'!$N$96:$Y$107,10,FALSE))</f>
        <v/>
      </c>
      <c r="AT200" s="452" t="str">
        <f t="shared" si="36"/>
        <v/>
      </c>
      <c r="AU200" s="452" t="str">
        <f>IF(D200="","",IF(AS200=2,0,IF(AS200=1,'Calc (ex-animal)'!$G$41*'DB additional information '!$K$12/100*AH199/100*(1-VLOOKUP(D200,'DB technologies'!$N$96:$Y$107,8,FALSE)/100)*'Calc (ex-housing, ex-storage)'!F199/100/VLOOKUP($C$193,'DB animal categories'!$C$68:$AC$80,27,FALSE)*AJ200+I200+J200+K200,IF(AS200=5,(('Calc (ex-animal)'!$G$41*'DB additional information '!$K$12/100+'Calc (ex-animal)'!$H$41*'DB additional information '!$L$12/100))*AH199/100*(1-VLOOKUP(D200,'DB technologies'!$N$96:$Y$107,9,FALSE)/100)*'Calc (ex-housing, ex-storage)'!F199/100/VLOOKUP($C$193,'DB animal categories'!$C$68:$AC$80,27,FALSE)*AJ200+I200+J200+K200,IF(AS200=3,('Calc (ex-animal)'!$G$41*'DB additional information '!$K$12/100+'Calc (ex-animal)'!$H$41*'DB additional information '!$L$12/100)*AH199/100*(1-VLOOKUP(D200,'DB technologies'!$N$96:$Y$107,9,FALSE)/100)*'Calc (ex-housing, ex-storage)'!F199/100/VLOOKUP($C$193,'DB animal categories'!$C$68:$AC$80,27,FALSE)*AJ200+I200+J200+K200,IF(AS200=4,('Calc (ex-animal)'!$G$41*'DB additional information '!$K$12/100+'Calc (ex-animal)'!$H$41*'DB additional information '!$L$12/100)*AH199/100*(1-VLOOKUP(D200,'DB technologies'!$N$96:$Y$107,9,FALSE)/100)*'Calc (ex-housing, ex-storage)'!F199/100*VLOOKUP(D200,'DB technologies'!$N$96:$Y$107,12,FALSE)/100/VLOOKUP($C$193,'DB animal categories'!$C$68:$AC$80,27,FALSE)*AJ200+I200+J200+K200,0))))))</f>
        <v/>
      </c>
      <c r="AV200" s="452" t="str">
        <f>IF(D200="","",IF(AS200=2,0,IF(AS200=1,'Calc (ex-animal)'!$G$41*(1-'DB additional information '!$K$12/100)*AH199/100*(1-VLOOKUP(D200,'DB technologies'!$N$96:$Y$107,8,FALSE)/100)*'Calc (ex-housing, ex-storage)'!F199/100/VLOOKUP($C$193,'DB animal categories'!$C$68:$AC$80,27,FALSE)*AJ200+M200+N200+O200,IF(AS200=5,('Calc (ex-animal)'!$G$41*(1-'DB additional information '!$K$12/100)+'Calc (ex-animal)'!$H$41*(1-'DB additional information '!$L$12/100))*AH199/100*(1-VLOOKUP(D200,'DB technologies'!$N$96:$Y$107,8,FALSE)/100)*'Calc (ex-housing, ex-storage)'!F199/100/VLOOKUP($C$193,'DB animal categories'!$C$68:$AC$80,27,FALSE)*AJ200+M200+N200+O200,IF(AS200=3,('Calc (ex-animal)'!$G$41*(1-'DB additional information '!$K$12/100)+'Calc (ex-animal)'!$H$41*(1-'DB additional information '!$L$12/100))*AH199/100*(1-VLOOKUP(D200,'DB technologies'!$N$96:$Y$107,8,FALSE)/100)*'Calc (ex-housing, ex-storage)'!F199/100/VLOOKUP($C$193,'DB animal categories'!$C$68:$AC$80,27,FALSE)*AJ200+M200+N200+O200,IF(AS200=4,('Calc (ex-animal)'!$G$41*(1-'DB additional information '!$K$12/100)+'Calc (ex-animal)'!$H$41*(1-'DB additional information '!$L$12/100))*AH199/100*(1-VLOOKUP(D200,'DB technologies'!$N$96:$Y$107,8,FALSE)/100)*'Calc (ex-housing, ex-storage)'!F199/100*VLOOKUP(D200,'DB technologies'!$N$96:$Y$107,12,FALSE)/100/VLOOKUP($C$193,'DB animal categories'!$C$68:$AC$80,27,FALSE)*AJ200+M200+N200+O200,0))))))</f>
        <v/>
      </c>
      <c r="AW200" s="452" t="str">
        <f t="shared" si="37"/>
        <v/>
      </c>
      <c r="AX200" s="184" t="str">
        <f>IF(D200="","",IF(AS200=2,0,IF(AS200=1,'Calc (ex-animal)'!$K$41*'Calc (ex-housing, ex-storage)'!F199/100*AH199/100/VLOOKUP($C$193,'DB animal categories'!$C$68:$AC$80,27,FALSE)*AJ200+Q200+R200+S200,IF(AS200=5,('Calc (ex-animal)'!$K$41+'Calc (ex-animal)'!$L$41)*AH199/100*'Calc (ex-housing, ex-storage)'!F199/100/VLOOKUP($C$193,'DB animal categories'!$C$68:$AC$80,27,FALSE)*AJ200+Q200+R200+S200-'Calc (ex-housing, ex-storage)'!AC200,IF(AS200=3,('Calc (ex-animal)'!$K$41+'Calc (ex-animal)'!$L$41)*AH199/100*'Calc (ex-housing, ex-storage)'!F199/100/VLOOKUP($C$193,'DB animal categories'!$C$68:$AC$80,27,FALSE)*AJ200+Q200+R200+S200-'Calc (ex-housing, ex-storage)'!AC200-AD200-AE200,IF(AI200=4,('Calc (ex-animal)'!$K$41+'Calc (ex-animal)'!$L$41)*AH199/100*'Calc (ex-housing, ex-storage)'!F199/100*VLOOKUP(D200,'DB technologies'!$N$96:$Y$107,12,FALSE)/100/VLOOKUP($C$193,'DB animal categories'!$C$68:$AC$80,27,FALSE)*AJ200+Q200+R200+S200-(VLOOKUP(D200,'DB technologies'!$N$96:$Y$107,12,FALSE)/100*AC200)-AD200-AE200,0))))))</f>
        <v/>
      </c>
      <c r="AY200" s="184" t="str">
        <f>IF(D200="","",IF(AS200=2,0,IF(AS200=1,'Calc (ex-animal)'!$N$41*AH199/100*'Calc (ex-housing, ex-storage)'!F199/100/VLOOKUP($C$193,'DB animal categories'!$C$68:$AC$80,27,FALSE)*AJ200+U200+V200+W200,IF(AS200=5,('Calc (ex-animal)'!$N$41+'Calc (ex-animal)'!$O$41)*AH199/100*'Calc (ex-housing, ex-storage)'!F199/100/VLOOKUP($C$193,'DB animal categories'!$C$68:$AC$80,27,FALSE)*AJ200+U200+V200+W200,IF(AS200=3,('Calc (ex-animal)'!$N$41+'Calc (ex-animal)'!$O$41)*AH199/100*'Calc (ex-housing, ex-storage)'!F199/100/VLOOKUP($C$193,'DB animal categories'!$C$68:$AC$80,27,FALSE)*AJ200+U200+V200+W200,IF(AS200=4,('Calc (ex-animal)'!$N$41+'Calc (ex-animal)'!$O$41)*AH199/100*'Calc (ex-housing, ex-storage)'!F199/100*VLOOKUP(D200,'DB technologies'!$N$96:$Y$107,12,FALSE)/100/VLOOKUP($C$193,'DB animal categories'!$C$68:$AC$80,27,FALSE)*AJ200+U200+V200+W200,0))))))</f>
        <v/>
      </c>
      <c r="AZ200" s="184" t="str">
        <f>IF(D200="","",IF(AS200=2,0,IF(AS200=1,'Calc (ex-animal)'!$Q$41*AH199/100*'Calc (ex-housing, ex-storage)'!F199/100/VLOOKUP($C$193,'DB animal categories'!$C$68:$AC$80,27,FALSE)*AJ200+Y200+Z200+AA200,IF(AS200=5,('Calc (ex-animal)'!$Q$41+'Calc (ex-animal)'!$R$41)*AH199/100*'Calc (ex-housing, ex-storage)'!F199/100/VLOOKUP($C$193,'DB animal categories'!$C$68:$AC$80,27,FALSE)*AJ200+Y200+Z200+AA200,IF(AS200=3,('Calc (ex-animal)'!$Q$41+'Calc (ex-animal)'!$R$41)*AH199/100*'Calc (ex-housing, ex-storage)'!F199/100/VLOOKUP($C$193,'DB animal categories'!$C$68:$AC$80,27,FALSE)*AJ200+Y200+Z200+AA200,IF(AS200=4,('Calc (ex-animal)'!$Q$41+'Calc (ex-animal)'!$R$41)*AH199/100*'Calc (ex-housing, ex-storage)'!F199/100*VLOOKUP(D200,'DB technologies'!$N$96:$Y$107,12,FALSE)/100/VLOOKUP($C$193,'DB animal categories'!$C$68:$AC$80,27,FALSE)*AJ200+Y200+Z200+AA200,0))))))</f>
        <v/>
      </c>
      <c r="BA200" s="506"/>
      <c r="BB200" s="506"/>
      <c r="BC200" s="506"/>
    </row>
    <row r="201" spans="1:55" x14ac:dyDescent="0.2">
      <c r="A201" s="684"/>
      <c r="B201" s="695"/>
      <c r="C201" s="251"/>
      <c r="D201" s="1357"/>
      <c r="E201" s="1369"/>
      <c r="F201" s="746" t="str">
        <f>IF('Calc (ex-animal)'!$F$38=1,"",IF($C$193=0,"",IF(D201="","",E201/'Calc (ex-animal)'!$E$41*100)))</f>
        <v/>
      </c>
      <c r="G201" s="438" t="str">
        <f>IF($C$193=0,"",IF('Calc (ex-animal)'!$F$38=1,"",IF(D201="","",SUM(H201:O201))))</f>
        <v/>
      </c>
      <c r="H201" s="423" t="str">
        <f>IF('Calc (ex-animal)'!$F$38=1,"",IF(D201="","",(((VLOOKUP($C$193,'Calc (ex-animal)'!$D$38:$Y$42,6,FALSE)-VLOOKUP($C$193,'Calc (ex-animal)'!$D$38:$Y$42,17,FALSE))*F201/100*AG201/100))*VLOOKUP($C$193,'Calc (ex-animal)'!$D$38:$Y$42,7,FALSE)/100*(1-VLOOKUP(D201,'DB technologies'!$N$83:$Y$94,9,FALSE)/100)))</f>
        <v/>
      </c>
      <c r="I201" s="423" t="str">
        <f>IF(D201="","",((VLOOKUP(D201,'DB technologies'!$N$83:$Y$94,2,FALSE)*VLOOKUP($C$193,'DB animal categories'!$C$68:$AC$80,27,FALSE)*E201/1000*AG201/100)/VLOOKUP($C$193,'DB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'!$S$6/100*(1-VLOOKUP(D201,'DB technologies'!$N$83:$Y$94,9,FALSE)/100)))</f>
        <v/>
      </c>
      <c r="J201" s="434" t="str">
        <f>IF(D201="","",((VLOOKUP(D201,'DB technologies'!$N$83:$Y$94,3,FALSE)*VLOOKUP($C$193,'DB animal categories'!$C$68:$AC$80,27,FALSE)*E201/1000*AG201/100)/VLOOKUP($C$193,'DB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'!$S$7/100*(1-VLOOKUP(D201,'DB technologies'!$N$83:$Y$94,9,FALSE)/100)))</f>
        <v/>
      </c>
      <c r="K201" s="526" t="str">
        <f>IF(D201="","",((VLOOKUP(D201,'DB technologies'!$N$83:$Y$94,4,FALSE)*E201*AG201/100*'DB additional information '!$S$8/100*(1-VLOOKUP(D201,'DB technologies'!$N$83:$Y$94,9,FALSE)/100))/VLOOKUP($C$193,'DB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201" s="423" t="str">
        <f>IF('Calc (ex-animal)'!$F$38=1,"",IF(D201="","",(((VLOOKUP($C$193,'Calc (ex-animal)'!$D$38:$Y$42,6,FALSE)-VLOOKUP($C$193,'Calc (ex-animal)'!$D$38:$Y$42,17,FALSE))*F201/100*AG201/100))*(1-VLOOKUP($C$193,'Calc (ex-animal)'!$D$38:$Y$42,7,FALSE)/100)*(1-VLOOKUP(D201,'DB technologies'!$N$83:$V$94,8,FALSE)/100)))</f>
        <v/>
      </c>
      <c r="M201" s="434" t="str">
        <f>IF(D201="","",((VLOOKUP(D201,'DB technologies'!$N$83:$Y$94,2,FALSE)*VLOOKUP($C$193,'DB animal categories'!$C$68:$AC$80,27,FALSE)*E201/1000*AG201/100)/VLOOKUP($C$193,'DB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'!$S$6/100)*(1-VLOOKUP(D201,'DB technologies'!$N$83:$Y$94,9,FALSE)/100))</f>
        <v/>
      </c>
      <c r="N201" s="434" t="str">
        <f>IF(D201="","",((VLOOKUP(D201,'DB technologies'!$N$83:$Y$94,3,FALSE)*VLOOKUP($C$193,'DB animal categories'!$C$68:$AC$80,27,FALSE)*E201/1000*AG201/100)/VLOOKUP($C$193,'DB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'!$S$7/100)*(1-VLOOKUP(D201,'DB technologies'!$N$83:$Y$94,9,FALSE)/100))</f>
        <v/>
      </c>
      <c r="O201" s="423" t="str">
        <f>IF(D201="","",((VLOOKUP(D201,'DB technologies'!$N$83:$Y$94,4,FALSE)*E201*AG201/100*(1-'DB additional information '!$S$8/100)*(1-VLOOKUP(D201,'DB technologies'!$N$83:$Y$94,8,FALSE)/100))/VLOOKUP($C$193,'DB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201" s="438" t="str">
        <f>IF(G201=0,0,IF(E201="","",IF(F201="","",IF($C$193=0,"",IF(D201="","",SUM(H201:K201)/G201*100)))))</f>
        <v/>
      </c>
      <c r="Q201" s="416" t="str">
        <f>IF(D201="","",(VLOOKUP(D201,'DB technologies'!$N$83:$Y$94,2,FALSE)*'DB additional information '!$S$6/100*'DB additional information '!$T$6*VLOOKUP($C$193,'DB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201" s="416" t="str">
        <f>IF(D201="","",(VLOOKUP(D201,'DB technologies'!$N$83:$Y$94,3,FALSE)*'DB additional information '!$S$7/100*'DB additional information '!$T$7*VLOOKUP($C$193,'DB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201" s="491" t="str">
        <f>IF(D201="","",(VLOOKUP(D201,'DB technologies'!$N$83:$Y$94,4,FALSE)*('DB additional information '!$S$8/100*'DB additional information '!$T$8*E201/1000/1000*AG201/100)))</f>
        <v/>
      </c>
      <c r="T201" s="264" t="str">
        <f>IF($C$193=0,"",IF('Calc (ex-animal)'!$F$38=1,"",IF(D201="","",((VLOOKUP($C$193,'Calc (ex-animal)'!$D$38:$Y$42,10,FALSE)-VLOOKUP($C$193,'Calc (ex-animal)'!$D$38:$Y$42,18,FALSE))*F201/100*AG201/100+Q201+R201+S201)-AC201-AD201-AE201)))</f>
        <v/>
      </c>
      <c r="U201" s="422" t="str">
        <f>IF(D201="","",(VLOOKUP(D201,'DB technologies'!$N$83:$Y$94,2,FALSE)*'DB additional information '!$S$6/100*'DB additional information '!$U$6*VLOOKUP($C$193,'DB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201" s="418" t="str">
        <f>IF(D201="","",(VLOOKUP(D201,'DB technologies'!$N$83:$Y$94,3,FALSE)*'DB additional information '!$S$7/100*'DB additional information '!$U$7*VLOOKUP($C$193,'DB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201" s="417" t="str">
        <f>IF(D201="","",(VLOOKUP(D201,'DB technologies'!$N$83:$Y$94,4,FALSE)*('DB additional information '!$S$8/100*'DB additional information '!$U$8*E201/1000/1000*AG201/100)))</f>
        <v/>
      </c>
      <c r="X201" s="261" t="str">
        <f>IF($C$193=0,"",IF('Calc (ex-animal)'!$F$38=1,"",IF(D201="","",((VLOOKUP($C$193,'Calc (ex-animal)'!$D$38:$Y$42,13,FALSE)-VLOOKUP($C$193,'Calc (ex-animal)'!$D$38:$Y$42,19,FALSE))*F201/100*AG201/100+U201+V201+W201))))</f>
        <v/>
      </c>
      <c r="Y201" s="418" t="str">
        <f>IF(D201="","",(VLOOKUP(D201,'DB technologies'!$N$83:$Y$94,2,FALSE)*'DB additional information '!$S$6/100*'DB additional information '!$V$6*VLOOKUP($C$193,'DB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201" s="418" t="str">
        <f>IF(D201="","",(VLOOKUP(D201,'DB technologies'!$N$83:$Y$94,3,FALSE)*'DB additional information '!$S$7/100*'DB additional information '!$V$7*VLOOKUP($C$193,'DB animal categories'!$C$68:$AC$80,27,FALSE)*E201/1000/1000*AG201/100)/VLOOKUP($C$193,'DB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201" s="418" t="str">
        <f>IF(D201="","",(VLOOKUP(D201,'DB technologies'!$N$83:$Y$94,4,FALSE)*('DB additional information '!$S$8/100*'DB additional information '!$V$8*E201/1000/1000*AG201/100)))</f>
        <v/>
      </c>
      <c r="AB201" s="261" t="str">
        <f>IF($C$193=0,"",IF('Calc (ex-animal)'!$F$38=1,"",IF(D201="","",((VLOOKUP($C$193,'Calc (ex-animal)'!$D$38:$Y$42,16,FALSE)-VLOOKUP($C$193,'Calc (ex-animal)'!$D$38:$Y$42,20,FALSE))*F201/100*AG201/100+Y201+Z201+AA201))))</f>
        <v/>
      </c>
      <c r="AC201" s="261" t="str">
        <f>IF($C$193=0,"",IF('Calc (ex-animal)'!$F$38=1,"",IF(D201="","",VLOOKUP($C$193,'Calc (ex-animal)'!$D$38:$Y$42,9,FALSE)*AG201/100/VLOOKUP($C$193,'DB animal categories'!$C$68:$AC$80,27,FALSE)*(VLOOKUP($C$193,'DB animal categories'!$C$68:$AC$80,27,FALSE)-VLOOKUP($C$193,'DB animal categories'!$C$68:$AC$80,25,FALSE)*VLOOKUP($C$193,'DB animal categories'!$C$68:$AC$80,26,FALSE)/24)*F201/100*VLOOKUP(D201,'DB technologies'!$N$83:$R$94,5,FALSE)/100)))</f>
        <v/>
      </c>
      <c r="AD201" s="261" t="str">
        <f>IF($C$193=0,"",IF('Calc (ex-animal)'!$F$38=1,"",IF(D201="","",VLOOKUP($C$193,'Calc (ex-animal)'!$D$38:$Y$42,10,FALSE)*AG201/100/VLOOKUP($C$193,'DB animal categories'!$C$68:$AC$80,27,FALSE)*(VLOOKUP($C$193,'DB animal categories'!$C$68:$AC$80,27,FALSE)-VLOOKUP($C$193,'DB animal categories'!$C$68:$AC$80,25,FALSE)*VLOOKUP($C$193,'DB animal categories'!$C$68:$AC$80,26,FALSE)/24)*F201/100*VLOOKUP(D201,'DB technologies'!$N$83:$Y$94,6,FALSE)/100)))</f>
        <v/>
      </c>
      <c r="AE201" s="262" t="str">
        <f>IF($C$193=0,"",IF('Calc (ex-animal)'!$F$38=1,"",IF(D201="","",VLOOKUP($C$193,'Calc (ex-animal)'!$D$38:$Y$42,10,FALSE)*AG201/100/VLOOKUP($C$193,'DB animal categories'!$C$68:$AC$80,27,FALSE)*(VLOOKUP($C$193,'DB animal categories'!$C$68:$AC$80,27,FALSE)-VLOOKUP($C$193,'DB animal categories'!$C$68:$AC$80,25,FALSE)*VLOOKUP($C$193,'DB animal categories'!$C$68:$AC$80,26,FALSE)/24)*F201/100*VLOOKUP(D201,'DB technologies'!$N$83:$Y$94,7,FALSE)/100)))</f>
        <v/>
      </c>
      <c r="AG201" s="1391"/>
      <c r="AH201" s="1388"/>
      <c r="AI201" s="185" t="str">
        <f>IF(D201="","",VLOOKUP(D201,'DB technologies'!$N$82:$Y$94,10,FALSE))</f>
        <v/>
      </c>
      <c r="AJ201" s="482" t="e">
        <f>VLOOKUP($C$193,'DB animal categories'!$C$68:$AN$80,27,FALSE)-VLOOKUP($C$193,'DB animal categories'!$C$68:$AN$80,26,FALSE)*VLOOKUP($C$193,'DB animal categories'!$C$68:$AN$80,25,FALSE)/24</f>
        <v>#N/A</v>
      </c>
      <c r="AK201" s="453" t="str">
        <f t="shared" si="34"/>
        <v/>
      </c>
      <c r="AL201" s="453" t="str">
        <f>IF(D201="","",IF(AI201=2,(('Calc (ex-animal)'!$G$41*'DB additional information '!$K$12/100*AG201/100*(1-VLOOKUP(D201,'DB technologies'!$N$82:$Y$94,9,FALSE)/100)*'Calc (ex-housing, ex-storage)'!F201/100+'Calc (ex-animal)'!$H$41*'DB additional information '!$L$12/100*AG201/100*(1-VLOOKUP(D201,'DB technologies'!$N$82:$Y$94,9,FALSE)/100)*'Calc (ex-housing, ex-storage)'!F201/100))/VLOOKUP($C$193,'DB animal categories'!$C$68:$AC$80,27,FALSE)*AJ201+I201+J201+K201,IF(AI201=1,('Calc (ex-animal)'!$H$41*AG201/100*'DB additional information '!$L$12/100*(1-VLOOKUP(D201,'DB technologies'!$N$82:$Y$94,9,FALSE)/100)*'Calc (ex-housing, ex-storage)'!F201/100)/VLOOKUP($C$193,'DB animal categories'!$C$68:$AC$80,27,FALSE)*AJ201,IF(AI201=4,('Calc (ex-animal)'!$G$41*'DB additional information '!$K$12/100+'Calc (ex-animal)'!$H$41*'DB additional information '!$L$12/100)*AG201/100*(1-VLOOKUP(D201,'DB technologies'!$N$82:$Y$94,9,FALSE)/100)*'Calc (ex-housing, ex-storage)'!F201/100*VLOOKUP(D201,'DB technologies'!$N$82:$Y$94,11,FALSE)/100/VLOOKUP($C$193,'DB animal categories'!$C$68:$AC$80,27,FALSE)*AJ201,0))))</f>
        <v/>
      </c>
      <c r="AM201" s="453" t="str">
        <f>IF(D201="","",IF(AI201=2,(('Calc (ex-animal)'!$G$41*(1-'DB additional information '!$K$12/100)*AG201/100*(1-VLOOKUP(D201,'DB technologies'!$N$82:$Y$94,8,FALSE)/100)*'Calc (ex-housing, ex-storage)'!F201/100+'Calc (ex-animal)'!$H$41*(1-'DB additional information '!$L$12/100)*AG201/100*(1-VLOOKUP(D201,'DB technologies'!$N$82:$Y$94,8,FALSE)/100)*'Calc (ex-housing, ex-storage)'!F201/100))/VLOOKUP($C$193,'DB animal categories'!$C$68:$AC$80,27,FALSE)*AJ201+M201+N201+O201,IF(AI201=1,('Calc (ex-animal)'!$H$41*(1-'DB additional information '!$L$12/100)*AG201/100*(1-VLOOKUP(D201,'DB technologies'!$N$82:$Y$94,8,FALSE)/100)*'Calc (ex-housing, ex-storage)'!F201/100)/VLOOKUP($C$193,'DB animal categories'!$C$68:$AC$80,27,FALSE)*AJ201,IF(AI201=4,('Calc (ex-animal)'!$G$41*(1-'DB additional information '!$K$12/100)+'Calc (ex-animal)'!$H$41*(1-'DB additional information '!$L$12/100))*AG201/100*(1-VLOOKUP(D201,'DB technologies'!$N$82:$Y$94,8,FALSE)/100)*'Calc (ex-housing, ex-storage)'!F201/100*VLOOKUP(D201,'DB technologies'!$N$82:$Y$94,11,FALSE)/100/VLOOKUP($C$193,'DB animal categories'!$C$68:$AC$80,27,FALSE)*AJ201,0))))</f>
        <v/>
      </c>
      <c r="AN201" s="453" t="str">
        <f t="shared" si="35"/>
        <v/>
      </c>
      <c r="AO201" s="180" t="str">
        <f>IF(D201="","",IF(AI201=2,(('Calc (ex-animal)'!$L$41*'Calc (ex-housing, ex-storage)'!F201/100+'Calc (ex-animal)'!$K$41*'Calc (ex-housing, ex-storage)'!F201/100))*AG201/100/VLOOKUP($C$193,'DB animal categories'!$C$68:$AC$80,27,FALSE)*AJ201+Q201+R201+S201-AC201,IF(AI201=1,('Calc (ex-animal)'!$L$41*'Calc (ex-housing, ex-storage)'!F201/100)*AG201/100/VLOOKUP($C$193,'DB animal categories'!$C$68:$AC$80,27,FALSE)*AJ201-'Calc (ex-housing, ex-storage)'!AC201,IF(AI201=4,('Calc (ex-animal)'!$L$41+'Calc (ex-animal)'!$K$41)*'Calc (ex-housing, ex-storage)'!F201/100*AG201/100*VLOOKUP(D201,'DB technologies'!$N$82:$Y$94,11,FALSE)/100/VLOOKUP($C$193,'DB animal categories'!$C$68:$AC$80,27,FALSE)*AJ201-AC201*VLOOKUP(D201,'DB technologies'!$N$82:$Y$94,11,FALSE)/100,0))))</f>
        <v/>
      </c>
      <c r="AP201" s="180" t="str">
        <f>IF(D201="","",IF(AO201&lt;-0.01,0,IF(AI201=2,(('Calc (ex-animal)'!$L$41*'Calc (ex-housing, ex-storage)'!F201/100+'Calc (ex-animal)'!$K$41*'Calc (ex-housing, ex-storage)'!F201/100))*AG201/100/VLOOKUP($C$193,'DB animal categories'!$C$68:$AC$80,27,FALSE)*AJ201+Q201+R201+S201-AC201,IF(AI201=1,('Calc (ex-animal)'!$L$41*'Calc (ex-housing, ex-storage)'!F201/100)*AG201/100/VLOOKUP($C$193,'DB animal categories'!$C$68:$AC$80,27,FALSE)*AJ201-'Calc (ex-housing, ex-storage)'!AC201,IF(AI201=4,('Calc (ex-animal)'!$L$41+'Calc (ex-animal)'!$K$41)*'Calc (ex-housing, ex-storage)'!F201/100*AG201/100*VLOOKUP(D201,'DB technologies'!$N$82:$Y$94,11,FALSE)/100/VLOOKUP($C$193,'DB animal categories'!$C$68:$AC$80,27,FALSE)*AJ201-AC201*VLOOKUP(D201,'DB technologies'!$N$82:$Y$94,11,FALSE)/100,0)))))</f>
        <v/>
      </c>
      <c r="AQ201" s="180" t="str">
        <f>IF(D201="","",IF(AI201=2,('Calc (ex-animal)'!$O$41*'Calc (ex-housing, ex-storage)'!F201/100+'Calc (ex-animal)'!$N$41*'Calc (ex-housing, ex-storage)'!F201/100)*AG201/100/VLOOKUP($C$193,'DB animal categories'!$C$68:$AC$80,27,FALSE)*AJ201+U201+V201+W201,IF(AI201=1,'Calc (ex-animal)'!$O$41*'Calc (ex-housing, ex-storage)'!F201/100*AG201/100/VLOOKUP($C$193,'DB animal categories'!$C$68:$AC$80,27,FALSE)*AJ201,IF(AI201=4,('Calc (ex-animal)'!$O$41+'Calc (ex-animal)'!$N$41)*'Calc (ex-housing, ex-storage)'!F201/100*AG201/100*VLOOKUP(D201,'DB technologies'!$N$82:$Y$94,11,FALSE)/100/VLOOKUP($C$193,'DB animal categories'!$C$68:$AC$80,27,FALSE)*AJ201,0))))</f>
        <v/>
      </c>
      <c r="AR201" s="180" t="str">
        <f>IF(D201="","",IF(AI201=2,('Calc (ex-animal)'!$R$41*'Calc (ex-housing, ex-storage)'!F201/100+'Calc (ex-animal)'!$Q$41*'Calc (ex-housing, ex-storage)'!F201/100)*AG201/100/VLOOKUP($C$193,'DB animal categories'!$C$68:$AC$80,27,FALSE)*AJ201+Y201+Z201+AA201,IF(AI201=1,'Calc (ex-animal)'!$R$41*'Calc (ex-housing, ex-storage)'!F201/100*AG201/100/VLOOKUP($C$193,'DB animal categories'!$C$68:$AC$80,27,FALSE)*AJ201,IF(AI201=4,('Calc (ex-animal)'!$R$41+'Calc (ex-animal)'!$Q$41)*'Calc (ex-housing, ex-storage)'!F201/100*AG201/100*VLOOKUP(D201,'DB technologies'!$N$82:$Y$94,11,FALSE)/100/VLOOKUP($C$193,'DB animal categories'!$C$68:$AC$80,27,FALSE)*AJ201,0))))</f>
        <v/>
      </c>
      <c r="AS201" s="179" t="str">
        <f>IF(D201="","",VLOOKUP(D201,'DB technologies'!$N$82:$Y$94,10,FALSE))</f>
        <v/>
      </c>
      <c r="AT201" s="453" t="str">
        <f t="shared" si="36"/>
        <v/>
      </c>
      <c r="AU201" s="453" t="str">
        <f>IF(D201="","",IF(AS201=2,0,IF(AS201=1,'Calc (ex-animal)'!$G$41*'DB additional information '!$K$12/100*AG201/100*(1-VLOOKUP(D201,'DB technologies'!$N$82:$Y$94,8,FALSE)/100)*'Calc (ex-housing, ex-storage)'!F201/100/VLOOKUP($C$193,'DB animal categories'!$C$68:$AC$80,27,FALSE)*AJ201+I201+J201+K201,IF(AS201=5,(('Calc (ex-animal)'!$G$41*'DB additional information '!$K$12/100+'Calc (ex-animal)'!$H$41*'DB additional information '!$L$12/100))*AG201/100*(1-VLOOKUP(D201,'DB technologies'!$N$82:$Y$94,9,FALSE)/100)*'Calc (ex-housing, ex-storage)'!F201/100/VLOOKUP($C$193,'DB animal categories'!$C$68:$AC$80,27,FALSE)*AJ201+I201+J201+K201,IF(AS201=3,('Calc (ex-animal)'!$G$41*'DB additional information '!$K$12/100+'Calc (ex-animal)'!$H$41*'DB additional information '!$L$12/100)*AG201/100*(1-VLOOKUP(D201,'DB technologies'!$N$82:$Y$94,9,FALSE)/100)*'Calc (ex-housing, ex-storage)'!F201/100/VLOOKUP($C$193,'DB animal categories'!$C$68:$AC$80,27,FALSE)*AJ201+I201+J201+K201,IF(AS201=4,('Calc (ex-animal)'!$G$41*'DB additional information '!$K$12/100+'Calc (ex-animal)'!$H$41*'DB additional information '!$L$12/100)*AG201/100*(1-VLOOKUP(D201,'DB technologies'!$N$82:$Y$94,9,FALSE)/100)*'Calc (ex-housing, ex-storage)'!F201/100*VLOOKUP(D201,'DB technologies'!$N$82:$Y$94,12,FALSE)/100/VLOOKUP($C$193,'DB animal categories'!$C$68:$AC$80,27,FALSE)*AJ201+I201+J201+K201,0))))))</f>
        <v/>
      </c>
      <c r="AV201" s="453" t="str">
        <f>IF(D201="","",IF(AS201=2,0,IF(AS201=1,'Calc (ex-animal)'!$G$41*(1-'DB additional information '!$K$12/100)*AG201/100*(1-VLOOKUP(D201,'DB technologies'!$N$82:$Y$94,8,FALSE)/100)*'Calc (ex-housing, ex-storage)'!F201/100/VLOOKUP($C$193,'DB animal categories'!$C$68:$AC$80,27,FALSE)*AJ201+M201+N201+O201,IF(AS201=5,('Calc (ex-animal)'!$G$41*(1-'DB additional information '!$K$12/100)+'Calc (ex-animal)'!$H$41*(1-'DB additional information '!$L$12/100))*AG201/100*(1-VLOOKUP(D201,'DB technologies'!$N$82:$Y$94,8,FALSE)/100)*'Calc (ex-housing, ex-storage)'!F201/100/VLOOKUP($C$193,'DB animal categories'!$C$68:$AC$80,27,FALSE)*AJ201+M201+N201+O201,IF(AS201=3,('Calc (ex-animal)'!$G$41*(1-'DB additional information '!$K$12/100)+'Calc (ex-animal)'!$H$41*(1-'DB additional information '!$L$12/100))*AG201/100*(1-VLOOKUP(D201,'DB technologies'!$N$82:$Y$94,8,FALSE)/100)*'Calc (ex-housing, ex-storage)'!F201/100/VLOOKUP($C$193,'DB animal categories'!$C$68:$AC$80,27,FALSE)*AJ201+M201+N201+O201,IF(AS201=4,('Calc (ex-animal)'!$G$41*(1-'DB additional information '!$K$12/100)+'Calc (ex-animal)'!$H$41*(1-'DB additional information '!$L$12/100))*AG201/100*(1-VLOOKUP(D201,'DB technologies'!$N$82:$Y$94,8,FALSE)/100)*'Calc (ex-housing, ex-storage)'!F201/100*VLOOKUP(D201,'DB technologies'!$N$82:$Y$94,12,FALSE)/100/VLOOKUP($C$193,'DB animal categories'!$C$68:$AC$80,27,FALSE)*AJ201+M201+N201+O201,0))))))</f>
        <v/>
      </c>
      <c r="AW201" s="453" t="str">
        <f t="shared" si="37"/>
        <v/>
      </c>
      <c r="AX201" s="180" t="str">
        <f>IF(D201="","",IF(AS201=2,0,IF(AS201=1,'Calc (ex-animal)'!$K$41*'Calc (ex-housing, ex-storage)'!F201/100*AG201/100/VLOOKUP($C$193,'DB animal categories'!$C$68:$AC$80,27,FALSE)*AJ201+Q201+R201+S201,IF(AS201=5,('Calc (ex-animal)'!$K$41+'Calc (ex-animal)'!$L$41)*AG201/100*'Calc (ex-housing, ex-storage)'!F201/100/VLOOKUP($C$193,'DB animal categories'!$C$68:$AC$80,27,FALSE)*AJ201+Q201+R201+S201-'Calc (ex-housing, ex-storage)'!AC201,IF(AS201=3,('Calc (ex-animal)'!$K$41+'Calc (ex-animal)'!$L$41)*AG201/100*'Calc (ex-housing, ex-storage)'!F201/100/VLOOKUP($C$193,'DB animal categories'!$C$68:$AC$80,27,FALSE)*AJ201+Q201+R201+S201-'Calc (ex-housing, ex-storage)'!AC201-AD201-AE201,IF(AI201=4,('Calc (ex-animal)'!$K$41+'Calc (ex-animal)'!$L$41)*AG201/100*'Calc (ex-housing, ex-storage)'!F201/100*VLOOKUP(D201,'DB technologies'!$N$82:$Y$94,12,FALSE)/100/VLOOKUP($C$193,'DB animal categories'!$C$68:$AC$80,27,FALSE)*AJ201+Q201+R201+S201-(VLOOKUP(D201,'DB technologies'!$N$82:$Y$94,12,FALSE)/100*AC201)-AD201-AE201,0))))))</f>
        <v/>
      </c>
      <c r="AY201" s="180" t="str">
        <f>IF(D201="","",IF(AS201=2,0,IF(AS201=1,'Calc (ex-animal)'!$N$41*AG201/100*'Calc (ex-housing, ex-storage)'!F201/100/VLOOKUP($C$193,'DB animal categories'!$C$68:$AC$80,27,FALSE)*AJ201+U201+V201+W201,IF(AS201=5,('Calc (ex-animal)'!$N$41+'Calc (ex-animal)'!$O$41)*AG201/100*'Calc (ex-housing, ex-storage)'!F201/100/VLOOKUP($C$193,'DB animal categories'!$C$68:$AC$80,27,FALSE)*AJ201+U201+V201+W201,IF(AS201=3,('Calc (ex-animal)'!$N$41+'Calc (ex-animal)'!$O$41)*AG201/100*'Calc (ex-housing, ex-storage)'!F201/100/VLOOKUP($C$193,'DB animal categories'!$C$68:$AC$80,27,FALSE)*AJ201+U201+V201+W201,IF(AS201=4,('Calc (ex-animal)'!$N$41+'Calc (ex-animal)'!$O$41)*AG201/100*'Calc (ex-housing, ex-storage)'!F201/100*VLOOKUP(D201,'DB technologies'!$N$82:$Y$94,12,FALSE)/100/VLOOKUP($C$193,'DB animal categories'!$C$68:$AC$80,27,FALSE)*AJ201+U201+V201+W201,0))))))</f>
        <v/>
      </c>
      <c r="AZ201" s="180" t="str">
        <f>IF(D201="","",IF(AS201=2,0,IF(AS201=1,'Calc (ex-animal)'!$Q$41*AG201/100*'Calc (ex-housing, ex-storage)'!F201/100/VLOOKUP($C$193,'DB animal categories'!$C$68:$AC$80,27,FALSE)*AJ201+Y201+Z201+AA201,IF(AS201=5,('Calc (ex-animal)'!$Q$41+'Calc (ex-animal)'!$R$41)*AG201/100*'Calc (ex-housing, ex-storage)'!F201/100/VLOOKUP($C$193,'DB animal categories'!$C$68:$AC$80,27,FALSE)*AJ201+Y201+Z201+AA201,IF(AS201=3,('Calc (ex-animal)'!$Q$41+'Calc (ex-animal)'!$R$41)*AG201/100*'Calc (ex-housing, ex-storage)'!F201/100/VLOOKUP($C$193,'DB animal categories'!$C$68:$AC$80,27,FALSE)*AJ201+Y201+Z201+AA201,IF(AS201=4,('Calc (ex-animal)'!$Q$41+'Calc (ex-animal)'!$R$41)*AG201/100*'Calc (ex-housing, ex-storage)'!F201/100*VLOOKUP(D201,'DB technologies'!$N$82:$Y$94,12,FALSE)/100/VLOOKUP($C$193,'DB animal categories'!$C$68:$AC$80,27,FALSE)*AJ201+Y201+Z201+AA201,0))))))</f>
        <v/>
      </c>
      <c r="BA201" s="506"/>
      <c r="BB201" s="506"/>
      <c r="BC201" s="506"/>
    </row>
    <row r="202" spans="1:55" ht="12" thickBot="1" x14ac:dyDescent="0.25">
      <c r="A202" s="684"/>
      <c r="B202" s="695"/>
      <c r="C202" s="251"/>
      <c r="D202" s="1359"/>
      <c r="E202" s="1395"/>
      <c r="F202" s="693" t="str">
        <f>IF('Calc (ex-animal)'!$F$9=1,"",IF($C$152=0,"",IF(D202="","",E202/'Calc (ex-animal)'!$E$32*100)))</f>
        <v/>
      </c>
      <c r="G202" s="535" t="str">
        <f>IF($C$193=0,"",IF('Calc (ex-animal)'!$F$38=1,"",IF(D202="","",SUM(H202:O202))))</f>
        <v/>
      </c>
      <c r="H202" s="532" t="str">
        <f>IF('Calc (ex-animal)'!$F$38=1,"",IF(D202="","",(((VLOOKUP($C$193,'Calc (ex-animal)'!$D$38:$Y$42,6,FALSE)-VLOOKUP($C$193,'Calc (ex-animal)'!$D$38:$Y$42,17,FALSE))*F201/100*AH201/100))*VLOOKUP($C$193,'Calc (ex-animal)'!$D$38:$Y$42,7,FALSE)/100*(1-VLOOKUP(D202,'DB technologies'!$N$96:$Y$107,9,FALSE)/100)))</f>
        <v/>
      </c>
      <c r="I202" s="532" t="str">
        <f>IF(D202="","",((VLOOKUP(D202,'DB technologies'!$N$96:$Y$107,2,FALSE)*VLOOKUP($C$193,'DB animal categories'!$C$68:$AC$80,27,FALSE)*F201/1000*AH201/100)/VLOOKUP($C$193,'DB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'!$S$6/100*(1-VLOOKUP(D202,'DB technologies'!$N$96:$Y$107,9,FALSE)/100)))</f>
        <v/>
      </c>
      <c r="J202" s="533" t="str">
        <f>IF(D202="","",((VLOOKUP(D202,'DB technologies'!$N$96:$Y$107,3,FALSE)*VLOOKUP($C$193,'DB animal categories'!$C$68:$AC$80,27,FALSE)*E201/1000*AH201/100)/VLOOKUP($C$193,'DB animal categories'!$C$68:$AC$80,27,FALSE)*(VLOOKUP($C$193,'DB animal categories'!$C$68:$AC$80,27,FALSE)-(VLOOKUP($C$193,'DB animal categories'!$C$68:$AC$80,25,FALSE)*VLOOKUP($C$193,'DB animal categories'!$C$68:$AC$80,26,FALSE)/24))*'DB additional information '!$S$7/100*(1-VLOOKUP(D202,'DB technologies'!$N$96:$Y$107,9,FALSE)/100)))</f>
        <v/>
      </c>
      <c r="K202" s="534" t="str">
        <f>IF(D202="","",((VLOOKUP(D202,'DB technologies'!$N$96:$Y$107,4,FALSE)*E201*AH201/100*'DB additional information '!$S$8/100*(1-VLOOKUP(D202,'DB technologies'!$N$96:$Y$107,9,FALSE)/100))/VLOOKUP($C$193,'DB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L202" s="532" t="str">
        <f>IF('Calc (ex-animal)'!$F$38=1,"",IF(D202="","",(((VLOOKUP($C$193,'Calc (ex-animal)'!$D$38:$Y$42,6,FALSE)-VLOOKUP($C$193,'Calc (ex-animal)'!$D$38:$Y$42,17,FALSE))*F201/100*AH201/100))*(1-VLOOKUP($C$193,'Calc (ex-animal)'!$D$38:$Y$42,7,FALSE)/100)*(1-VLOOKUP(D202,'DB technologies'!$N$96:$V$107,8,FALSE)/100)))</f>
        <v/>
      </c>
      <c r="M202" s="533" t="str">
        <f>IF(D202="","",((VLOOKUP(D202,'DB technologies'!$N$96:$Y$107,2,FALSE)*VLOOKUP($C$193,'DB animal categories'!$C$68:$AC$80,27,FALSE)*E201/1000*AH201/100)/VLOOKUP($C$193,'DB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'!$S$6/100)*(1-VLOOKUP(D202,'DB technologies'!$N$96:$Y$107,9,FALSE)/100))</f>
        <v/>
      </c>
      <c r="N202" s="533" t="str">
        <f>IF(D202="","",((VLOOKUP(D202,'DB technologies'!$N$96:$Y$107,3,FALSE)*VLOOKUP($C$193,'DB animal categories'!$C$68:$AC$80,27,FALSE)*E201/1000*AH201/100)/VLOOKUP($C$193,'DB animal categories'!$C$68:$AC$80,27,FALSE)*(VLOOKUP($C$193,'DB animal categories'!$C$68:$AC$80,27,FALSE)-VLOOKUP($C$193,'DB animal categories'!$C$68:$AC$80,25,FALSE)*VLOOKUP($C$193,'DB animal categories'!$C$68:$AC$80,26,FALSE)/24))*(1-'DB additional information '!$S$7/100)*(1-VLOOKUP(D202,'DB technologies'!$N$96:$Y$107,9,FALSE)/100))</f>
        <v/>
      </c>
      <c r="O202" s="532" t="str">
        <f>IF(D202="","",((VLOOKUP(D202,'DB technologies'!$N$96:$Y$107,4,FALSE)*E201*AH201/100*(1-'DB additional information '!$S$8/100)*(1-VLOOKUP(D202,'DB technologies'!$N$96:$Y$107,8,FALSE)/100))/VLOOKUP($C$193,'DB animal categories'!$C$68:$AC$80,27,FALSE)*(VLOOKUP($C$193,'DB animal categories'!$C$68:$AC$80,27,FALSE)-VLOOKUP($C$193,'DB animal categories'!$C$68:$AC$80,25,FALSE)*VLOOKUP($C$193,'DB animal categories'!$C$68:$AC$80,26,FALSE)/24)))</f>
        <v/>
      </c>
      <c r="P202" s="535" t="str">
        <f>IF(G202=0,0,IF(E201="","",IF(F201="","",IF($C$193=0,"",IF(D202="","",SUM(H202:K202)/G202*100)))))</f>
        <v/>
      </c>
      <c r="Q202" s="536" t="str">
        <f>IF(D202="","",(VLOOKUP(D202,'DB technologies'!$N$96:$Y$107,2,FALSE)*'DB additional information '!$S$6/100*'DB additional information '!$T$6*VLOOKUP($C$193,'DB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R202" s="536" t="str">
        <f>IF(D202="","",(VLOOKUP(D202,'DB technologies'!$N$96:$Y$107,3,FALSE)*'DB additional information '!$S$7/100*'DB additional information '!$T$7*VLOOKUP($C$193,'DB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S202" s="540" t="str">
        <f>IF(D202="","",(VLOOKUP(D202,'DB technologies'!$N$96:$Y$107,4,FALSE)*('DB additional information '!$S$8/100*'DB additional information '!$T$8*E201/1000/1000*AH201/100)))</f>
        <v/>
      </c>
      <c r="T202" s="303" t="str">
        <f>IF($C$193=0,"",IF('Calc (ex-animal)'!$F$38=1,"",IF(D202="","",((VLOOKUP($C$193,'Calc (ex-animal)'!$D$38:$Y$42,10,FALSE)-VLOOKUP($C$193,'Calc (ex-animal)'!$D$38:$Y$42,18,FALSE))*F201/100*AH201/100+Q202+R202+S202)-AC202-AD202-AE202)))</f>
        <v/>
      </c>
      <c r="U202" s="542" t="str">
        <f>IF(D202="","",(VLOOKUP(D202,'DB technologies'!$N$96:$Y$107,2,FALSE)*'DB additional information '!$S$6/100*'DB additional information '!$U$6*VLOOKUP($C$193,'DB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V202" s="524" t="str">
        <f>IF(D202="","",(VLOOKUP(D202,'DB technologies'!$N$96:$Y$107,3,FALSE)*'DB additional information '!$S$7/100*'DB additional information '!$U$7*VLOOKUP($C$193,'DB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W202" s="543" t="str">
        <f>IF(D202="","",(VLOOKUP(D202,'DB technologies'!$N$96:$Y$107,4,FALSE)*('DB additional information '!$S$8/100*'DB additional information '!$U$8*E201/1000/1000*AH201/100)))</f>
        <v/>
      </c>
      <c r="X202" s="267" t="str">
        <f>IF($C$193=0,"",IF('Calc (ex-animal)'!$F$38=1,"",IF(D202="","",((VLOOKUP($C$193,'Calc (ex-animal)'!$D$38:$Y$42,13,FALSE)-VLOOKUP($C$193,'Calc (ex-animal)'!$D$38:$Y$42,19,FALSE))*F201/100*AH201/100+U202+V202+W202))))</f>
        <v/>
      </c>
      <c r="Y202" s="524" t="str">
        <f>IF(D202="","",(VLOOKUP(D202,'DB technologies'!$N$96:$Y$107,2,FALSE)*'DB additional information '!$S$6/100*'DB additional information '!$V$6*VLOOKUP($C$193,'DB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Z202" s="524" t="str">
        <f>IF(D202="","",(VLOOKUP(D202,'DB technologies'!$N$96:$Y$107,3,FALSE)*'DB additional information '!$S$7/100*'DB additional information '!$V$7*VLOOKUP($C$193,'DB animal categories'!$C$68:$AC$80,27,FALSE)*E201/1000/1000*AH201/100)/VLOOKUP($C$193,'DB animal categories'!$C$68:$AC$80,27,FALSE)*(VLOOKUP($C$193,'DB animal categories'!$C$68:$AC$80,27,FALSE)-VLOOKUP($C$193,'DB animal categories'!$C$68:$AC$80,25,FALSE)*VLOOKUP($C$193,'DB animal categories'!$C$68:$AC$80,26,FALSE)/24))</f>
        <v/>
      </c>
      <c r="AA202" s="524" t="str">
        <f>IF(D202="","",(VLOOKUP(D202,'DB technologies'!$N$96:$Y$107,4,FALSE)*('DB additional information '!$S$8/100*'DB additional information '!$V$8*E201/1000/1000*AH201/100)))</f>
        <v/>
      </c>
      <c r="AB202" s="304" t="str">
        <f>IF($C$193=0,"",IF('Calc (ex-animal)'!$F$38=1,"",IF(D202="","",((VLOOKUP($C$193,'Calc (ex-animal)'!$D$38:$Y$42,16,FALSE)-VLOOKUP($C$193,'Calc (ex-animal)'!$D$38:$Y$42,20,FALSE))*F201/100*AH201/100+Y202+Z202+AA202))))</f>
        <v/>
      </c>
      <c r="AC202" s="304" t="str">
        <f>IF($C$193=0,"",IF('Calc (ex-animal)'!$F$38=1,"",IF(D202="","",VLOOKUP($C$193,'Calc (ex-animal)'!$D$38:$Y$42,9,FALSE)*AH201/100/VLOOKUP($C$193,'DB animal categories'!$C$68:$AC$80,27,FALSE)*(VLOOKUP($C$193,'DB animal categories'!$C$68:$AC$80,27,FALSE)-VLOOKUP($C$193,'DB animal categories'!$C$68:$AC$80,25,FALSE)*VLOOKUP($C$193,'DB animal categories'!$C$68:$AC$80,26,FALSE)/24)*F201/100*VLOOKUP(D202,'DB technologies'!$N$96:$R$107,5,FALSE)/100)))</f>
        <v/>
      </c>
      <c r="AD202" s="304" t="str">
        <f>IF($C$193=0,"",IF('Calc (ex-animal)'!$F$38=1,"",IF(D202="","",VLOOKUP($C$193,'Calc (ex-animal)'!$D$38:$Y$42,10,FALSE)*AH201/100/VLOOKUP($C$193,'DB animal categories'!$C$68:$AC$80,27,FALSE)*(VLOOKUP($C$193,'DB animal categories'!$C$68:$AC$80,27,FALSE)-VLOOKUP($C$193,'DB animal categories'!$C$68:$AC$80,25,FALSE)*VLOOKUP($C$193,'DB animal categories'!$C$68:$AC$80,26,FALSE)/24)*F201/100*VLOOKUP(D202,'DB technologies'!$N$96:$Y$107,6,FALSE)/100)))</f>
        <v/>
      </c>
      <c r="AE202" s="305" t="str">
        <f>IF($C$193=0,"",IF('Calc (ex-animal)'!$F$38=1,"",IF(D202="","",VLOOKUP($C$193,'Calc (ex-animal)'!$D$38:$Y$42,10,FALSE)*AH201/100/VLOOKUP($C$193,'DB animal categories'!$C$68:$AC$80,27,FALSE)*(VLOOKUP($C$193,'DB animal categories'!$C$68:$AC$80,27,FALSE)-VLOOKUP($C$193,'DB animal categories'!$C$68:$AC$80,25,FALSE)*VLOOKUP($C$193,'DB animal categories'!$C$68:$AC$80,26,FALSE)/24)*F201/100*VLOOKUP(D202,'DB technologies'!$N$96:$Y$107,7,FALSE)/100)))</f>
        <v/>
      </c>
      <c r="AG202" s="1392"/>
      <c r="AH202" s="1386"/>
      <c r="AI202" s="187" t="str">
        <f>IF(D202="","",VLOOKUP(D202,'DB technologies'!$N$96:$Y$107,10,FALSE))</f>
        <v/>
      </c>
      <c r="AJ202" s="451" t="e">
        <f>VLOOKUP($C$193,'DB animal categories'!$C$68:$AN$80,27,FALSE)-VLOOKUP($C$193,'DB animal categories'!$C$68:$AN$80,26,FALSE)*VLOOKUP($C$193,'DB animal categories'!$C$68:$AN$80,25,FALSE)/24</f>
        <v>#N/A</v>
      </c>
      <c r="AK202" s="452" t="str">
        <f t="shared" si="34"/>
        <v/>
      </c>
      <c r="AL202" s="452" t="str">
        <f>IF(D202="","",IF(AI202=2,(('Calc (ex-animal)'!$G$41*'DB additional information '!$K$12/100*AH201/100*(1-VLOOKUP(D202,'DB technologies'!$N$96:$Y$107,9,FALSE)/100)*'Calc (ex-housing, ex-storage)'!F201/100+'Calc (ex-animal)'!$H$41*'DB additional information '!$L$12/100*AH201/100*(1-VLOOKUP(D202,'DB technologies'!$N$96:$Y$107,9,FALSE)/100)*'Calc (ex-housing, ex-storage)'!F201/100))/VLOOKUP($C$193,'DB animal categories'!$C$68:$AC$80,27,FALSE)*AJ202+I202+J202+K202,IF(AI202=1,('Calc (ex-animal)'!$H$41*AH201/100*'DB additional information '!$L$12/100*(1-VLOOKUP(D202,'DB technologies'!$N$96:$Y$107,9,FALSE)/100)*'Calc (ex-housing, ex-storage)'!F201/100)/VLOOKUP($C$193,'DB animal categories'!$C$68:$AC$80,27,FALSE)*AJ202,IF(AI202=4,('Calc (ex-animal)'!$G$41*'DB additional information '!$K$12/100+'Calc (ex-animal)'!$H$41*'DB additional information '!$L$12/100)*AH201/100*(1-VLOOKUP(D202,'DB technologies'!$N$96:$Y$107,9,FALSE)/100)*'Calc (ex-housing, ex-storage)'!F201/100*VLOOKUP(D202,'DB technologies'!$N$96:$Y$107,11,FALSE)/100/VLOOKUP($C$193,'DB animal categories'!$C$68:$AC$80,27,FALSE)*AJ202,0))))</f>
        <v/>
      </c>
      <c r="AM202" s="452" t="str">
        <f>IF(D202="","",IF(AI202=2,(('Calc (ex-animal)'!$G$41*(1-'DB additional information '!$K$12/100)*AH201/100*(1-VLOOKUP(D202,'DB technologies'!$N$96:$Y$107,8,FALSE)/100)*'Calc (ex-housing, ex-storage)'!F201/100+'Calc (ex-animal)'!$H$41*(1-'DB additional information '!$L$12/100)*AH201/100*(1-VLOOKUP(D202,'DB technologies'!$N$96:$Y$107,8,FALSE)/100)*'Calc (ex-housing, ex-storage)'!F201/100))/VLOOKUP($C$193,'DB animal categories'!$C$68:$AC$80,27,FALSE)*AJ202+M202+N202+O202,IF(AI202=1,('Calc (ex-animal)'!$H$41*(1-'DB additional information '!$L$12/100)*AH201/100*(1-VLOOKUP(D202,'DB technologies'!$N$96:$Y$107,8,FALSE)/100)*'Calc (ex-housing, ex-storage)'!F201/100)/VLOOKUP($C$193,'DB animal categories'!$C$68:$AC$80,27,FALSE)*AJ202,IF(AI202=4,('Calc (ex-animal)'!$G$41*(1-'DB additional information '!$K$12/100)+'Calc (ex-animal)'!$H$41*(1-'DB additional information '!$L$12/100))*AH201/100*(1-VLOOKUP(D202,'DB technologies'!$N$96:$Y$107,8,FALSE)/100)*'Calc (ex-housing, ex-storage)'!F201/100*VLOOKUP(D202,'DB technologies'!$N$96:$Y$107,11,FALSE)/100/VLOOKUP($C$193,'DB animal categories'!$C$68:$AC$80,27,FALSE)*AJ202,0))))</f>
        <v/>
      </c>
      <c r="AN202" s="452" t="str">
        <f t="shared" si="35"/>
        <v/>
      </c>
      <c r="AO202" s="184" t="str">
        <f>IF(D202="","",IF(AI202=2,(('Calc (ex-animal)'!$L$41*'Calc (ex-housing, ex-storage)'!F201/100+'Calc (ex-animal)'!$K$41*'Calc (ex-housing, ex-storage)'!F201/100))*AH201/100/VLOOKUP($C$193,'DB animal categories'!$C$68:$AC$80,27,FALSE)*AJ202+Q202+R202+S202-AC202,IF(AI202=1,('Calc (ex-animal)'!$L$41*'Calc (ex-housing, ex-storage)'!F201/100)*AH201/100/VLOOKUP($C$193,'DB animal categories'!$C$68:$AC$80,27,FALSE)*AJ202-'Calc (ex-housing, ex-storage)'!AC202,IF(AI202=4,('Calc (ex-animal)'!$L$41+'Calc (ex-animal)'!$K$41)*'Calc (ex-housing, ex-storage)'!F201/100*AH201/100*VLOOKUP(D202,'DB technologies'!$N$96:$Y$107,11,FALSE)/100/VLOOKUP($C$193,'DB animal categories'!$C$68:$AC$80,27,FALSE)*AJ202-AC202*VLOOKUP(D202,'DB technologies'!$N$96:$Y$107,11,FALSE)/100,0))))</f>
        <v/>
      </c>
      <c r="AP202" s="184" t="str">
        <f>IF(D202="","",IF(AO202&lt;-0.01,0,IF(AI202=2,(('Calc (ex-animal)'!$L$41*'Calc (ex-housing, ex-storage)'!F201/100+'Calc (ex-animal)'!$K$41*'Calc (ex-housing, ex-storage)'!F201/100))*AH201/100/VLOOKUP($C$193,'DB animal categories'!$C$68:$AC$80,27,FALSE)*AJ202+Q202+R202+S202-AC202,IF(AI202=1,('Calc (ex-animal)'!$L$41*'Calc (ex-housing, ex-storage)'!F201/100)*AH201/100/VLOOKUP($C$193,'DB animal categories'!$C$68:$AC$80,27,FALSE)*AJ202-'Calc (ex-housing, ex-storage)'!AC202,IF(AI202=4,('Calc (ex-animal)'!$L$41+'Calc (ex-animal)'!$K$41)*'Calc (ex-housing, ex-storage)'!F201/100*AH201/100*VLOOKUP(D202,'DB technologies'!$N$96:$Y$107,11,FALSE)/100/VLOOKUP($C$193,'DB animal categories'!$C$68:$AC$80,27,FALSE)*AJ202-AC202*VLOOKUP(D202,'DB technologies'!$N$96:$Y$107,11,FALSE)/100,0)))))</f>
        <v/>
      </c>
      <c r="AQ202" s="184" t="str">
        <f>IF(D202="","",IF(AI202=2,('Calc (ex-animal)'!$O$41*'Calc (ex-housing, ex-storage)'!F201/100+'Calc (ex-animal)'!$N$41*'Calc (ex-housing, ex-storage)'!F201/100)*AH201/100/VLOOKUP($C$193,'DB animal categories'!$C$68:$AC$80,27,FALSE)*AJ202+U202+V202+W202,IF(AI202=1,'Calc (ex-animal)'!$O$41*'Calc (ex-housing, ex-storage)'!F201/100*AH201/100/VLOOKUP($C$193,'DB animal categories'!$C$68:$AC$80,27,FALSE)*AJ202,IF(AI202=4,('Calc (ex-animal)'!$O$41+'Calc (ex-animal)'!$N$41)*'Calc (ex-housing, ex-storage)'!F201/100*AH201/100*VLOOKUP(D202,'DB technologies'!$N$96:$Y$107,11,FALSE)/100/VLOOKUP($C$193,'DB animal categories'!$C$68:$AC$80,27,FALSE)*AJ202,0))))</f>
        <v/>
      </c>
      <c r="AR202" s="184" t="str">
        <f>IF(D202="","",IF(AI202=2,('Calc (ex-animal)'!$R$41*'Calc (ex-housing, ex-storage)'!F201/100+'Calc (ex-animal)'!$Q$41*'Calc (ex-housing, ex-storage)'!F201/100)*AH201/100/VLOOKUP($C$193,'DB animal categories'!$C$68:$AC$80,27,FALSE)*AJ202+Y202+Z202+AA202,IF(AI202=1,'Calc (ex-animal)'!$R$41*'Calc (ex-housing, ex-storage)'!F201/100*AH201/100/VLOOKUP($C$193,'DB animal categories'!$C$68:$AC$80,27,FALSE)*AJ202,IF(AI202=4,('Calc (ex-animal)'!$R$41+'Calc (ex-animal)'!$Q$41)*'Calc (ex-housing, ex-storage)'!F201/100*AH201/100*VLOOKUP(D202,'DB technologies'!$N$96:$Y$107,11,FALSE)/100/VLOOKUP($C$193,'DB animal categories'!$C$68:$AC$80,27,FALSE)*AJ202,0))))</f>
        <v/>
      </c>
      <c r="AS202" s="183" t="str">
        <f>IF(D202="","",VLOOKUP(D202,'DB technologies'!$N$96:$Y$107,10,FALSE))</f>
        <v/>
      </c>
      <c r="AT202" s="452" t="str">
        <f t="shared" si="36"/>
        <v/>
      </c>
      <c r="AU202" s="452" t="str">
        <f>IF(D202="","",IF(AS202=2,0,IF(AS202=1,'Calc (ex-animal)'!$G$41*'DB additional information '!$K$12/100*AH201/100*(1-VLOOKUP(D202,'DB technologies'!$N$96:$Y$107,8,FALSE)/100)*'Calc (ex-housing, ex-storage)'!F201/100/VLOOKUP($C$193,'DB animal categories'!$C$68:$AC$80,27,FALSE)*AJ202+I202+J202+K202,IF(AS202=5,(('Calc (ex-animal)'!$G$41*'DB additional information '!$K$12/100+'Calc (ex-animal)'!$H$41*'DB additional information '!$L$12/100))*AH201/100*(1-VLOOKUP(D202,'DB technologies'!$N$96:$Y$107,9,FALSE)/100)*'Calc (ex-housing, ex-storage)'!F201/100/VLOOKUP($C$193,'DB animal categories'!$C$68:$AC$80,27,FALSE)*AJ202+I202+J202+K202,IF(AS202=3,('Calc (ex-animal)'!$G$41*'DB additional information '!$K$12/100+'Calc (ex-animal)'!$H$41*'DB additional information '!$L$12/100)*AH201/100*(1-VLOOKUP(D202,'DB technologies'!$N$96:$Y$107,9,FALSE)/100)*'Calc (ex-housing, ex-storage)'!F201/100/VLOOKUP($C$193,'DB animal categories'!$C$68:$AC$80,27,FALSE)*AJ202+I202+J202+K202,IF(AS202=4,('Calc (ex-animal)'!$G$41*'DB additional information '!$K$12/100+'Calc (ex-animal)'!$H$41*'DB additional information '!$L$12/100)*AH201/100*(1-VLOOKUP(D202,'DB technologies'!$N$96:$Y$107,9,FALSE)/100)*'Calc (ex-housing, ex-storage)'!F201/100*VLOOKUP(D202,'DB technologies'!$N$96:$Y$107,12,FALSE)/100/VLOOKUP($C$193,'DB animal categories'!$C$68:$AC$80,27,FALSE)*AJ202+I202+J202+K202,0))))))</f>
        <v/>
      </c>
      <c r="AV202" s="452" t="str">
        <f>IF(D202="","",IF(AS202=2,0,IF(AS202=1,'Calc (ex-animal)'!$G$41*(1-'DB additional information '!$K$12/100)*AH201/100*(1-VLOOKUP(D202,'DB technologies'!$N$96:$Y$107,8,FALSE)/100)*'Calc (ex-housing, ex-storage)'!F201/100/VLOOKUP($C$193,'DB animal categories'!$C$68:$AC$80,27,FALSE)*AJ202+M202+N202+O202,IF(AS202=5,('Calc (ex-animal)'!$G$41*(1-'DB additional information '!$K$12/100)+'Calc (ex-animal)'!$H$41*(1-'DB additional information '!$L$12/100))*AH201/100*(1-VLOOKUP(D202,'DB technologies'!$N$96:$Y$107,8,FALSE)/100)*'Calc (ex-housing, ex-storage)'!F201/100/VLOOKUP($C$193,'DB animal categories'!$C$68:$AC$80,27,FALSE)*AJ202+M202+N202+O202,IF(AS202=3,('Calc (ex-animal)'!$G$41*(1-'DB additional information '!$K$12/100)+'Calc (ex-animal)'!$H$41*(1-'DB additional information '!$L$12/100))*AH201/100*(1-VLOOKUP(D202,'DB technologies'!$N$96:$Y$107,8,FALSE)/100)*'Calc (ex-housing, ex-storage)'!F201/100/VLOOKUP($C$193,'DB animal categories'!$C$68:$AC$80,27,FALSE)*AJ202+M202+N202+O202,IF(AS202=4,('Calc (ex-animal)'!$G$41*(1-'DB additional information '!$K$12/100)+'Calc (ex-animal)'!$H$41*(1-'DB additional information '!$L$12/100))*AH201/100*(1-VLOOKUP(D202,'DB technologies'!$N$96:$Y$107,8,FALSE)/100)*'Calc (ex-housing, ex-storage)'!F201/100*VLOOKUP(D202,'DB technologies'!$N$96:$Y$107,12,FALSE)/100/VLOOKUP($C$193,'DB animal categories'!$C$68:$AC$80,27,FALSE)*AJ202+M202+N202+O202,0))))))</f>
        <v/>
      </c>
      <c r="AW202" s="452" t="str">
        <f t="shared" si="37"/>
        <v/>
      </c>
      <c r="AX202" s="184" t="str">
        <f>IF(D202="","",IF(AS202=2,0,IF(AS202=1,'Calc (ex-animal)'!$K$41*'Calc (ex-housing, ex-storage)'!F201/100*AH201/100/VLOOKUP($C$193,'DB animal categories'!$C$68:$AC$80,27,FALSE)*AJ202+Q202+R202+S202,IF(AS202=5,('Calc (ex-animal)'!$K$41+'Calc (ex-animal)'!$L$41)*AH201/100*'Calc (ex-housing, ex-storage)'!F201/100/VLOOKUP($C$193,'DB animal categories'!$C$68:$AC$80,27,FALSE)*AJ202+Q202+R202+S202-'Calc (ex-housing, ex-storage)'!AC202,IF(AS202=3,('Calc (ex-animal)'!$K$41+'Calc (ex-animal)'!$L$41)*AH201/100*'Calc (ex-housing, ex-storage)'!F201/100/VLOOKUP($C$193,'DB animal categories'!$C$68:$AC$80,27,FALSE)*AJ202+Q202+R202+S202-'Calc (ex-housing, ex-storage)'!AC202-AD202-AE202,IF(AI202=4,('Calc (ex-animal)'!$K$41+'Calc (ex-animal)'!$L$41)*AH201/100*'Calc (ex-housing, ex-storage)'!F201/100*VLOOKUP(D202,'DB technologies'!$N$96:$Y$107,12,FALSE)/100/VLOOKUP($C$193,'DB animal categories'!$C$68:$AC$80,27,FALSE)*AJ202+Q202+R202+S202-(VLOOKUP(D202,'DB technologies'!$N$96:$Y$107,12,FALSE)/100*AC202)-AD202-AE202,0))))))</f>
        <v/>
      </c>
      <c r="AY202" s="184" t="str">
        <f>IF(D202="","",IF(AS202=2,0,IF(AS202=1,'Calc (ex-animal)'!$N$41*AH201/100*'Calc (ex-housing, ex-storage)'!F201/100/VLOOKUP($C$193,'DB animal categories'!$C$68:$AC$80,27,FALSE)*AJ202+U202+V202+W202,IF(AS202=5,('Calc (ex-animal)'!$N$41+'Calc (ex-animal)'!$O$41)*AH201/100*'Calc (ex-housing, ex-storage)'!F201/100/VLOOKUP($C$193,'DB animal categories'!$C$68:$AC$80,27,FALSE)*AJ202+U202+V202+W202,IF(AS202=3,('Calc (ex-animal)'!$N$41+'Calc (ex-animal)'!$O$41)*AH201/100*'Calc (ex-housing, ex-storage)'!F201/100/VLOOKUP($C$193,'DB animal categories'!$C$68:$AC$80,27,FALSE)*AJ202+U202+V202+W202,IF(AS202=4,('Calc (ex-animal)'!$N$41+'Calc (ex-animal)'!$O$41)*AH201/100*'Calc (ex-housing, ex-storage)'!F201/100*VLOOKUP(D202,'DB technologies'!$N$96:$Y$107,12,FALSE)/100/VLOOKUP($C$193,'DB animal categories'!$C$68:$AC$80,27,FALSE)*AJ202+U202+V202+W202,0))))))</f>
        <v/>
      </c>
      <c r="AZ202" s="184" t="str">
        <f>IF(D202="","",IF(AS202=2,0,IF(AS202=1,'Calc (ex-animal)'!$Q$41*AH201/100*'Calc (ex-housing, ex-storage)'!F201/100/VLOOKUP($C$193,'DB animal categories'!$C$68:$AC$80,27,FALSE)*AJ202+Y202+Z202+AA202,IF(AS202=5,('Calc (ex-animal)'!$Q$41+'Calc (ex-animal)'!$R$41)*AH201/100*'Calc (ex-housing, ex-storage)'!F201/100/VLOOKUP($C$193,'DB animal categories'!$C$68:$AC$80,27,FALSE)*AJ202+Y202+Z202+AA202,IF(AS202=3,('Calc (ex-animal)'!$Q$41+'Calc (ex-animal)'!$R$41)*AH201/100*'Calc (ex-housing, ex-storage)'!F201/100/VLOOKUP($C$193,'DB animal categories'!$C$68:$AC$80,27,FALSE)*AJ202+Y202+Z202+AA202,IF(AS202=4,('Calc (ex-animal)'!$Q$41+'Calc (ex-animal)'!$R$41)*AH201/100*'Calc (ex-housing, ex-storage)'!F201/100*VLOOKUP(D202,'DB technologies'!$N$96:$Y$107,12,FALSE)/100/VLOOKUP($C$193,'DB animal categories'!$C$68:$AC$80,27,FALSE)*AJ202+Y202+Z202+AA202,0))))))</f>
        <v/>
      </c>
      <c r="BA202" s="506"/>
      <c r="BB202" s="506"/>
      <c r="BC202" s="506"/>
    </row>
    <row r="203" spans="1:55" ht="12" thickBot="1" x14ac:dyDescent="0.25">
      <c r="A203" s="684"/>
      <c r="B203" s="695"/>
      <c r="C203" s="252"/>
      <c r="D203" s="275" t="s">
        <v>58</v>
      </c>
      <c r="E203" s="276">
        <f>IF(F203&lt;=100,SUM(E193:E202),"ERROR")</f>
        <v>0</v>
      </c>
      <c r="F203" s="288">
        <f>IF(SUM(F193:F202) &lt;=100,SUM(F193:F202),"ERROR, SUM&gt;100%")</f>
        <v>0</v>
      </c>
      <c r="G203" s="546">
        <f>IF('Calc (ex-animal)'!$F$38=1,"",SUM(G193:G202))</f>
        <v>0</v>
      </c>
      <c r="H203" s="421">
        <f>IF('Calc (ex-animal)'!$F$38=1,"",SUM(H193:H202))</f>
        <v>0</v>
      </c>
      <c r="I203" s="421">
        <f>IF('Calc (ex-animal)'!$F$38=1,"",SUM(I193:I202))</f>
        <v>0</v>
      </c>
      <c r="J203" s="421">
        <f>IF('Calc (ex-animal)'!$F$38=1,"",SUM(J193:J202))</f>
        <v>0</v>
      </c>
      <c r="K203" s="421">
        <f>IF('Calc (ex-animal)'!$F$38=1,"",SUM(K193:K202))</f>
        <v>0</v>
      </c>
      <c r="L203" s="421">
        <f>IF('Calc (ex-animal)'!$F$38=1,"",SUM(L193:L202))</f>
        <v>0</v>
      </c>
      <c r="M203" s="522"/>
      <c r="N203" s="522"/>
      <c r="O203" s="522"/>
      <c r="P203" s="496">
        <f>IF(G203=0,0,IF('Calc (ex-animal)'!$F$38=1,"",IF(D203="","",SUM(H203:K203)/G203*100)))</f>
        <v>0</v>
      </c>
      <c r="Q203" s="522"/>
      <c r="R203" s="522"/>
      <c r="S203" s="547"/>
      <c r="T203" s="273">
        <f>IF('Calc (ex-animal)'!$F$41=1,"",SUM(T193:T202))</f>
        <v>0</v>
      </c>
      <c r="U203" s="421"/>
      <c r="V203" s="421"/>
      <c r="W203" s="421"/>
      <c r="X203" s="279">
        <f>IF('Calc (ex-animal)'!$F$41=1,"",SUM(X193:X202))</f>
        <v>0</v>
      </c>
      <c r="Y203" s="421"/>
      <c r="Z203" s="421"/>
      <c r="AA203" s="421"/>
      <c r="AB203" s="273">
        <f>IF('Calc (ex-animal)'!$F$41=1,"",SUM(AB193:AB202))</f>
        <v>0</v>
      </c>
      <c r="AC203" s="273">
        <f>IF('Calc (ex-animal)'!$F$41=1,"",SUM(AC193:AC202))</f>
        <v>0</v>
      </c>
      <c r="AD203" s="273">
        <f>IF('Calc (ex-animal)'!$F$41=1,"",SUM(AD193:AD202))</f>
        <v>0</v>
      </c>
      <c r="AE203" s="274">
        <f>IF('Calc (ex-animal)'!$F$41=1,"",SUM(AE193:AE202))</f>
        <v>0</v>
      </c>
      <c r="AJ203" s="450"/>
      <c r="AK203" s="450"/>
      <c r="AL203" s="450"/>
      <c r="AM203" s="450"/>
      <c r="AN203" s="450"/>
      <c r="AT203" s="450"/>
      <c r="AU203" s="450"/>
      <c r="AV203" s="450"/>
      <c r="AW203" s="450"/>
    </row>
    <row r="204" spans="1:55" x14ac:dyDescent="0.2">
      <c r="A204" s="684"/>
      <c r="B204" s="695"/>
      <c r="C204" s="250">
        <f>'Calc (ex-animal)'!D42</f>
        <v>0</v>
      </c>
      <c r="D204" s="1355"/>
      <c r="E204" s="1368"/>
      <c r="F204" s="700" t="str">
        <f>IF('Calc (ex-animal)'!$F$38=1,"",IF($C$204=0,"",IF(D204="","",E204/'Calc (ex-animal)'!$E$42*100)))</f>
        <v/>
      </c>
      <c r="G204" s="443" t="str">
        <f>IF($C$204=0,"",IF('Calc (ex-animal)'!$F$38=1,"",IF(D204="","",SUM(H204:O204))))</f>
        <v/>
      </c>
      <c r="H204" s="471" t="str">
        <f>IF('Calc (ex-animal)'!$F$38=1,"",IF(D204="","",(((VLOOKUP($C$204,'Calc (ex-animal)'!$D$38:$Y$42,6,FALSE)-VLOOKUP($C$204,'Calc (ex-animal)'!$D$38:$Y$42,17,FALSE))*F204/100*AG204/100))*VLOOKUP($C$204,'Calc (ex-animal)'!$D$38:$Y$42,7,FALSE)/100*(1-VLOOKUP(D204,'DB technologies'!$N$83:$Y$94,9,FALSE)/100)))</f>
        <v/>
      </c>
      <c r="I204" s="471" t="str">
        <f>IF(D204="","",((VLOOKUP(D204,'DB technologies'!$N$83:$Y$94,2,FALSE)*VLOOKUP($C$204,'DB animal categories'!$C$68:$AC$80,27,FALSE)*E204/1000*AG204/100)/VLOOKUP($C$204,'DB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'!$S$6/100*(1-VLOOKUP(D204,'DB technologies'!$N$83:$Y$94,9,FALSE)/100)))</f>
        <v/>
      </c>
      <c r="J204" s="472" t="str">
        <f>IF(D204="","",((VLOOKUP(D204,'DB technologies'!$N$83:$Y$94,3,FALSE)*VLOOKUP($C$204,'DB animal categories'!$C$68:$AC$80,27,FALSE)*E204/1000*AG204/100)/VLOOKUP($C$204,'DB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'!$S$7/100*(1-VLOOKUP(D204,'DB technologies'!$N$83:$Y$94,9,FALSE)/100)))</f>
        <v/>
      </c>
      <c r="K204" s="525" t="str">
        <f>IF(D204="","",((VLOOKUP(D204,'DB technologies'!$N$83:$Y$94,4,FALSE)*E204*AG204/100*'DB additional information '!$S$8/100*(1-VLOOKUP(D204,'DB technologies'!$N$83:$Y$94,9,FALSE)/100))/VLOOKUP($C$204,'DB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4" s="471" t="str">
        <f>IF('Calc (ex-animal)'!$F$38=1,"",IF(D204="","",(((VLOOKUP($C$204,'Calc (ex-animal)'!$D$38:$Y$42,6,FALSE)-VLOOKUP($C$204,'Calc (ex-animal)'!$D$38:$Y$42,17,FALSE))*F204/100*AG204/100))*(1-VLOOKUP($C$204,'Calc (ex-animal)'!$D$38:$Y$42,7,FALSE)/100)*(1-VLOOKUP(D204,'DB technologies'!$N$83:$V$94,8,FALSE)/100)))</f>
        <v/>
      </c>
      <c r="M204" s="472" t="str">
        <f>IF(D204="","",((VLOOKUP(D204,'DB technologies'!$N$83:$Y$94,2,FALSE)*VLOOKUP($C$204,'DB animal categories'!$C$68:$AC$80,27,FALSE)*E204/1000*AG204/100)/VLOOKUP($C$204,'DB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'!$S$6/100)*(1-VLOOKUP(D204,'DB technologies'!$N$83:$Y$94,9,FALSE)/100))</f>
        <v/>
      </c>
      <c r="N204" s="472" t="str">
        <f>IF(D204="","",((VLOOKUP(D204,'DB technologies'!$N$83:$Y$94,3,FALSE)*VLOOKUP($C$204,'DB animal categories'!$C$68:$AC$80,27,FALSE)*E204/1000*AG204/100)/VLOOKUP($C$204,'DB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'!$S$7/100)*(1-VLOOKUP(D204,'DB technologies'!$N$83:$Y$94,9,FALSE)/100))</f>
        <v/>
      </c>
      <c r="O204" s="471" t="str">
        <f>IF(D204="","",((VLOOKUP(D204,'DB technologies'!$N$83:$Y$94,4,FALSE)*E204*AG204/100*(1-'DB additional information '!$S$8/100)*(1-VLOOKUP(D204,'DB technologies'!$N$83:$Y$94,8,FALSE)/100))/VLOOKUP($C$204,'DB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4" s="443" t="str">
        <f>IF(G204=0,0,IF(E204="","",IF(F204="","",IF($C$204=0,"",IF(D204="","",SUM(H204:K204)/G204*100)))))</f>
        <v/>
      </c>
      <c r="Q204" s="473" t="str">
        <f>IF(D204="","",(VLOOKUP(D204,'DB technologies'!$N$83:$Y$94,2,FALSE)*'DB additional information '!$S$6/100*'DB additional information '!$T$6*VLOOKUP($C$204,'DB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4" s="473" t="str">
        <f>IF(D204="","",(VLOOKUP(D204,'DB technologies'!$N$83:$Y$94,3,FALSE)*'DB additional information '!$S$7/100*'DB additional information '!$T$7*VLOOKUP($C$204,'DB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4" s="415" t="str">
        <f>IF(D204="","",(VLOOKUP(D204,'DB technologies'!$N$83:$Y$94,4,FALSE)*('DB additional information '!$S$8/100*'DB additional information '!$T$8*E204/1000/1000*AG204/100)))</f>
        <v/>
      </c>
      <c r="T204" s="263" t="str">
        <f>IF($C$204=0,"",IF('Calc (ex-animal)'!$F$38=1,"",IF(D204="","",((VLOOKUP($C$204,'Calc (ex-animal)'!$D$38:$Y$42,10,FALSE)-VLOOKUP($C$204,'Calc (ex-animal)'!$D$38:$Y$42,18,FALSE))*F204/100*AG204/100+Q204+R204+S204)-AC204-AD204-AE204)))</f>
        <v/>
      </c>
      <c r="U204" s="474" t="str">
        <f>IF(D204="","",(VLOOKUP(D204,'DB technologies'!$N$83:$Y$94,2,FALSE)*'DB additional information '!$S$6/100*'DB additional information '!$U$6*VLOOKUP($C$204,'DB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4" s="420" t="str">
        <f>IF(D204="","",(VLOOKUP(D204,'DB technologies'!$N$83:$Y$94,3,FALSE)*'DB additional information '!$S$7/100*'DB additional information '!$U$7*VLOOKUP($C$204,'DB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4" s="415" t="str">
        <f>IF(D204="","",(VLOOKUP(D204,'DB technologies'!$N$83:$Y$94,4,FALSE)*('DB additional information '!$S$8/100*'DB additional information '!$U$8*E204/1000/1000*AG204/100)))</f>
        <v/>
      </c>
      <c r="X204" s="259" t="str">
        <f>IF($C$204=0,"",IF('Calc (ex-animal)'!$F$38=1,"",IF(D204="","",((VLOOKUP($C$204,'Calc (ex-animal)'!$D$38:$Y$42,13,FALSE)-VLOOKUP($C$204,'Calc (ex-animal)'!$D$38:$Y$42,19,FALSE))*F204/100*AG204/100+U204+V204+W204))))</f>
        <v/>
      </c>
      <c r="Y204" s="420" t="str">
        <f>IF(D204="","",(VLOOKUP(D204,'DB technologies'!$N$83:$Y$94,2,FALSE)*'DB additional information '!$S$6/100*'DB additional information '!$V$6*VLOOKUP($C$204,'DB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4" s="420" t="str">
        <f>IF(D204="","",(VLOOKUP(D204,'DB technologies'!$N$83:$Y$94,3,FALSE)*'DB additional information '!$S$7/100*'DB additional information '!$V$7*VLOOKUP($C$204,'DB animal categories'!$C$68:$AC$80,27,FALSE)*E204/1000/1000*AG204/100)/VLOOKUP($C$204,'DB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4" s="420" t="str">
        <f>IF(D204="","",(VLOOKUP(D204,'DB technologies'!$N$83:$Y$94,4,FALSE)*('DB additional information '!$S$8/100*'DB additional information '!$V$8*E204/1000/1000*AG204/100)))</f>
        <v/>
      </c>
      <c r="AB204" s="259" t="str">
        <f>IF($C$204=0,"",IF('Calc (ex-animal)'!$F$38=1,"",IF(D204="","",((VLOOKUP($C$204,'Calc (ex-animal)'!$D$38:$Y$42,16,FALSE)-VLOOKUP($C$204,'Calc (ex-animal)'!$D$38:$Y$42,20,FALSE))*F204/100*AG204/100+Y204+Z204+AA204))))</f>
        <v/>
      </c>
      <c r="AC204" s="259" t="str">
        <f>IF($C$204=0,"",IF('Calc (ex-animal)'!$F$38=1,"",IF(D204="","",VLOOKUP($C$204,'Calc (ex-animal)'!$D$38:$Y$42,9,FALSE)*AG204/100/VLOOKUP($C$204,'DB animal categories'!$C$68:$AC$80,27,FALSE)*(VLOOKUP($C$204,'DB animal categories'!$C$68:$AC$80,27,FALSE)-VLOOKUP($C$204,'DB animal categories'!$C$68:$AC$80,25,FALSE)*VLOOKUP($C$204,'DB animal categories'!$C$68:$AC$80,26,FALSE)/24)*F204/100*VLOOKUP(D204,'DB technologies'!$N$83:$R$94,5,FALSE)/100)))</f>
        <v/>
      </c>
      <c r="AD204" s="259" t="str">
        <f>IF($C$204=0,"",IF('Calc (ex-animal)'!$F$38=1,"",IF(D204="","",VLOOKUP($C$204,'Calc (ex-animal)'!$D$38:$Y$42,10,FALSE)*AG204/100/VLOOKUP($C$204,'DB animal categories'!$C$68:$AC$80,27,FALSE)*(VLOOKUP($C$204,'DB animal categories'!$C$68:$AC$80,27,FALSE)-VLOOKUP($C$204,'DB animal categories'!$C$68:$AC$80,25,FALSE)*VLOOKUP($C$204,'DB animal categories'!$C$68:$AC$80,26,FALSE)/24)*F204/100*VLOOKUP(D204,'DB technologies'!$N$83:$Y$94,6,FALSE)/100)))</f>
        <v/>
      </c>
      <c r="AE204" s="260" t="str">
        <f>IF($C$204=0,"",IF('Calc (ex-animal)'!$F$38=1,"",IF(D204="","",VLOOKUP($C$204,'Calc (ex-animal)'!$D$38:$Y$42,10,FALSE)*AG204/100/VLOOKUP($C$204,'DB animal categories'!$C$68:$AC$80,27,FALSE)*(VLOOKUP($C$204,'DB animal categories'!$C$68:$AC$80,27,FALSE)-VLOOKUP($C$204,'DB animal categories'!$C$68:$AC$80,25,FALSE)*VLOOKUP($C$204,'DB animal categories'!$C$68:$AC$80,26,FALSE)/24)*F204/100*VLOOKUP(D204,'DB technologies'!$N$83:$Y$94,7,FALSE)/100)))</f>
        <v/>
      </c>
      <c r="AG204" s="1377"/>
      <c r="AH204" s="1378"/>
      <c r="AI204" s="185" t="str">
        <f>IF(D204="","",VLOOKUP(D204,'DB technologies'!$N$82:$Y$94,10,FALSE))</f>
        <v/>
      </c>
      <c r="AJ204" s="482" t="e">
        <f>VLOOKUP($C$204,'DB animal categories'!$C$68:$AN$80,27,FALSE)-VLOOKUP($C$204,'DB animal categories'!$C$68:$AN$80,26,FALSE)*VLOOKUP($C$204,'DB animal categories'!$C$68:$AN$80,25,FALSE)/24</f>
        <v>#N/A</v>
      </c>
      <c r="AK204" s="453" t="str">
        <f>IF(AI204="","",AL204+AM204)</f>
        <v/>
      </c>
      <c r="AL204" s="453" t="str">
        <f>IF(D204="","",IF(AI204=2,(('Calc (ex-animal)'!$G$42*'DB additional information '!$K$12/100*AG204/100*(1-VLOOKUP(D204,'DB technologies'!$N$82:$Y$94,9,FALSE)/100)*'Calc (ex-housing, ex-storage)'!F204/100+'Calc (ex-animal)'!$H$42*'DB additional information '!$L$12/100*AG204/100*(1-VLOOKUP(D204,'DB technologies'!$N$82:$Y$94,9,FALSE)/100)*'Calc (ex-housing, ex-storage)'!F204/100))/VLOOKUP($C$204,'DB animal categories'!$C$68:$AC$80,27,FALSE)*AJ204+I204+J204+K204,IF(AI204=1,('Calc (ex-animal)'!$H$42*AG204/100*'DB additional information '!$L$12/100*(1-VLOOKUP(D204,'DB technologies'!$N$82:$Y$94,9,FALSE)/100)*'Calc (ex-housing, ex-storage)'!F204/100)/VLOOKUP($C$204,'DB animal categories'!$C$68:$AC$80,27,FALSE)*AJ204,IF(AI204=4,('Calc (ex-animal)'!$G$42*'DB additional information '!$K$12/100+'Calc (ex-animal)'!$H$42*'DB additional information '!$L$12/100)*AG204/100*(1-VLOOKUP(D204,'DB technologies'!$N$82:$Y$94,9,FALSE)/100)*'Calc (ex-housing, ex-storage)'!F204/100*VLOOKUP(D204,'DB technologies'!$N$82:$Y$94,11,FALSE)/100/VLOOKUP($C$204,'DB animal categories'!$C$68:$AC$80,27,FALSE)*AJ204,0))))</f>
        <v/>
      </c>
      <c r="AM204" s="453" t="str">
        <f>IF(D204="","",IF(AI204=2,(('Calc (ex-animal)'!$G$42*(1-'DB additional information '!$K$12/100)*AG204/100*(1-VLOOKUP(D204,'DB technologies'!$N$82:$Y$94,8,FALSE)/100)*'Calc (ex-housing, ex-storage)'!F204/100+'Calc (ex-animal)'!$H$42*(1-'DB additional information '!$L$12/100)*AG204/100*(1-VLOOKUP(D204,'DB technologies'!$N$82:$Y$94,8,FALSE)/100)*'Calc (ex-housing, ex-storage)'!F204/100))/VLOOKUP($C$204,'DB animal categories'!$C$68:$AC$80,27,FALSE)*AJ204+M204+N204+O204,IF(AI204=1,('Calc (ex-animal)'!$H$42*(1-'DB additional information '!$L$12/100)*AG204/100*(1-VLOOKUP(D204,'DB technologies'!$N$82:$Y$94,8,FALSE)/100)*'Calc (ex-housing, ex-storage)'!F204/100)/VLOOKUP($C$204,'DB animal categories'!$C$68:$AC$80,27,FALSE)*AJ204,IF(AI204=4,('Calc (ex-animal)'!$G$42*(1-'DB additional information '!$K$12/100)+'Calc (ex-animal)'!$H$42*(1-'DB additional information '!$L$12/100))*AG204/100*(1-VLOOKUP(D204,'DB technologies'!$N$82:$Y$94,8,FALSE)/100)*'Calc (ex-housing, ex-storage)'!F204/100*VLOOKUP(D204,'DB technologies'!$N$82:$Y$94,11,FALSE)/100/VLOOKUP($C$204,'DB animal categories'!$C$68:$AC$80,27,FALSE)*AJ204,0))))</f>
        <v/>
      </c>
      <c r="AN204" s="453" t="str">
        <f>IF(AI204="","",IF(AL204=0,0,AL204/AK204*100))</f>
        <v/>
      </c>
      <c r="AO204" s="180" t="str">
        <f>IF(D204="","",IF(AI204=2,(('Calc (ex-animal)'!$L$42*'Calc (ex-housing, ex-storage)'!F204/100+'Calc (ex-animal)'!$K$42*'Calc (ex-housing, ex-storage)'!F204/100))*AG204/100/VLOOKUP($C$204,'DB animal categories'!$C$68:$AC$80,27,FALSE)*AJ204+Q204+R204+S204-AC204,IF(AI204=1,('Calc (ex-animal)'!$L$42*'Calc (ex-housing, ex-storage)'!F204/100)*AG204/100/VLOOKUP($C$204,'DB animal categories'!$C$68:$AC$80,27,FALSE)*AJ204-'Calc (ex-housing, ex-storage)'!AC204,IF(AI204=4,('Calc (ex-animal)'!$L$42+'Calc (ex-animal)'!$K$42)*'Calc (ex-housing, ex-storage)'!F204/100*AG204/100*VLOOKUP(D204,'DB technologies'!$N$82:$Y$94,11,FALSE)/100/VLOOKUP($C$204,'DB animal categories'!$C$68:$AC$80,27,FALSE)*AJ204-AC204*VLOOKUP(D204,'DB technologies'!$N$82:$Y$94,11,FALSE)/100,0))))</f>
        <v/>
      </c>
      <c r="AP204" s="180" t="str">
        <f>IF(D204="","",IF(AO204&lt;-0.01,0,IF(AI204=2,(('Calc (ex-animal)'!$L$42*'Calc (ex-housing, ex-storage)'!F204/100+'Calc (ex-animal)'!$K$42*'Calc (ex-housing, ex-storage)'!F204/100))*AG204/100/VLOOKUP($C$204,'DB animal categories'!$C$68:$AC$80,27,FALSE)*AJ204+Q204+R204+S204-AC204,IF(AI204=1,('Calc (ex-animal)'!$L$42*'Calc (ex-housing, ex-storage)'!F204/100)*AG204/100/VLOOKUP($C$204,'DB animal categories'!$C$68:$AC$80,27,FALSE)*AJ204-'Calc (ex-housing, ex-storage)'!AC204,IF(AI204=4,('Calc (ex-animal)'!$L$42+'Calc (ex-animal)'!$K$42)*'Calc (ex-housing, ex-storage)'!F204/100*AG204/100*VLOOKUP(D204,'DB technologies'!$N$82:$Y$94,11,FALSE)/100/VLOOKUP($C$204,'DB animal categories'!$C$68:$AC$80,27,FALSE)*AJ204-AC204*VLOOKUP(D204,'DB technologies'!$N$82:$Y$94,11,FALSE)/100,0)))))</f>
        <v/>
      </c>
      <c r="AQ204" s="180" t="str">
        <f>IF(D204="","",IF(AI204=2,('Calc (ex-animal)'!$O$42*'Calc (ex-housing, ex-storage)'!F204/100+'Calc (ex-animal)'!$N$42*'Calc (ex-housing, ex-storage)'!F204/100)*AG204/100/VLOOKUP($C$204,'DB animal categories'!$C$68:$AC$80,27,FALSE)*AJ204+U204+V204+W204,IF(AI204=1,'Calc (ex-animal)'!$O$42*'Calc (ex-housing, ex-storage)'!F204/100*AG204/100/VLOOKUP($C$204,'DB animal categories'!$C$68:$AC$80,27,FALSE)*AJ204,IF(AI204=4,('Calc (ex-animal)'!$O$42+'Calc (ex-animal)'!$N$42)*'Calc (ex-housing, ex-storage)'!F204/100*AG204/100*VLOOKUP(D204,'DB technologies'!$N$82:$Y$94,11,FALSE)/100/VLOOKUP($C$204,'DB animal categories'!$C$68:$AC$80,27,FALSE)*AJ204,0))))</f>
        <v/>
      </c>
      <c r="AR204" s="180" t="str">
        <f>IF(D204="","",IF(AI204=2,('Calc (ex-animal)'!$R$42*'Calc (ex-housing, ex-storage)'!F204/100+'Calc (ex-animal)'!$Q$42*'Calc (ex-housing, ex-storage)'!F204/100)*AG204/100/VLOOKUP($C$204,'DB animal categories'!$C$68:$AC$80,27,FALSE)*AJ204+Y204+Z204+AA204,IF(AI204=1,'Calc (ex-animal)'!$R$42*'Calc (ex-housing, ex-storage)'!F204/100*AG204/100/VLOOKUP($C$204,'DB animal categories'!$C$68:$AC$80,27,FALSE)*AJ204,IF(AI204=4,('Calc (ex-animal)'!$R$42+'Calc (ex-animal)'!$Q$42)*'Calc (ex-housing, ex-storage)'!F204/100*AG204/100*VLOOKUP(D204,'DB technologies'!$N$82:$Y$94,11,FALSE)/100/VLOOKUP($C$204,'DB animal categories'!$C$68:$AC$80,27,FALSE)*AJ204,0))))</f>
        <v/>
      </c>
      <c r="AS204" s="179" t="str">
        <f>IF(D204="","",VLOOKUP(D204,'DB technologies'!$N$82:$Y$94,10,FALSE))</f>
        <v/>
      </c>
      <c r="AT204" s="453" t="str">
        <f>IF(AS204="","",AU204+AV204)</f>
        <v/>
      </c>
      <c r="AU204" s="453" t="str">
        <f>IF(D204="","",IF(AS204=2,0,IF(AS204=1,'Calc (ex-animal)'!$G$42*'DB additional information '!$K$12/100*AG204/100*(1-VLOOKUP(D204,'DB technologies'!$N$82:$Y$94,8,FALSE)/100)*'Calc (ex-housing, ex-storage)'!F204/100/VLOOKUP($C$204,'DB animal categories'!$C$68:$AC$80,27,FALSE)*AJ204+I204+J204+K204,IF(AS204=5,(('Calc (ex-animal)'!$G$42*'DB additional information '!$K$12/100+'Calc (ex-animal)'!$H$42*'DB additional information '!$L$12/100))*AG204/100*(1-VLOOKUP(D204,'DB technologies'!$N$82:$Y$94,9,FALSE)/100)*'Calc (ex-housing, ex-storage)'!F204/100/VLOOKUP($C$204,'DB animal categories'!$C$68:$AC$80,27,FALSE)*AJ204+I204+J204+K204,IF(AS204=3,('Calc (ex-animal)'!$G$42*'DB additional information '!$K$12/100+'Calc (ex-animal)'!$H$42*'DB additional information '!$L$12/100)*AG204/100*(1-VLOOKUP(D204,'DB technologies'!$N$82:$Y$94,9,FALSE)/100)*'Calc (ex-housing, ex-storage)'!F204/100/VLOOKUP($C$204,'DB animal categories'!$C$68:$AC$80,27,FALSE)*AJ204+I204+J204+K204,IF(AS204=4,('Calc (ex-animal)'!$G$42*'DB additional information '!$K$12/100+'Calc (ex-animal)'!$H$42*'DB additional information '!$L$12/100)*AG204/100*(1-VLOOKUP(D204,'DB technologies'!$N$82:$Y$94,9,FALSE)/100)*'Calc (ex-housing, ex-storage)'!F204/100*VLOOKUP(D204,'DB technologies'!$N$82:$Y$94,12,FALSE)/100/VLOOKUP($C$204,'DB animal categories'!$C$68:$AC$80,27,FALSE)*AJ204+I204+J204+K204,0))))))</f>
        <v/>
      </c>
      <c r="AV204" s="453" t="str">
        <f>IF(D204="","",IF(AS204=2,0,IF(AS204=1,'Calc (ex-animal)'!$G$42*(1-'DB additional information '!$K$12/100)*AG204/100*(1-VLOOKUP(D204,'DB technologies'!$N$82:$Y$94,8,FALSE)/100)*'Calc (ex-housing, ex-storage)'!F204/100/VLOOKUP($C$204,'DB animal categories'!$C$68:$AC$80,27,FALSE)*AJ204+M204+N204+O204,IF(AS204=5,('Calc (ex-animal)'!$G$42*(1-'DB additional information '!$K$12/100)+'Calc (ex-animal)'!$H$42*(1-'DB additional information '!$L$12/100))*AG204/100*(1-VLOOKUP(D204,'DB technologies'!$N$82:$Y$94,8,FALSE)/100)*'Calc (ex-housing, ex-storage)'!F204/100/VLOOKUP($C$204,'DB animal categories'!$C$68:$AC$80,27,FALSE)*AJ204+M204+N204+O204,IF(AS204=3,('Calc (ex-animal)'!$G$42*(1-'DB additional information '!$K$12/100)+'Calc (ex-animal)'!$H$42*(1-'DB additional information '!$L$12/100))*AG204/100*(1-VLOOKUP(D204,'DB technologies'!$N$82:$Y$94,8,FALSE)/100)*'Calc (ex-housing, ex-storage)'!F204/100/VLOOKUP($C$204,'DB animal categories'!$C$68:$AC$80,27,FALSE)*AJ204+M204+N204+O204,IF(AS204=4,('Calc (ex-animal)'!$G$42*(1-'DB additional information '!$K$12/100)+'Calc (ex-animal)'!$H$42*(1-'DB additional information '!$L$12/100))*AG204/100*(1-VLOOKUP(D204,'DB technologies'!$N$82:$Y$94,8,FALSE)/100)*'Calc (ex-housing, ex-storage)'!F204/100*VLOOKUP(D204,'DB technologies'!$N$82:$Y$94,12,FALSE)/100/VLOOKUP($C$204,'DB animal categories'!$C$68:$AC$80,27,FALSE)*AJ204+M204+N204+O204,0))))))</f>
        <v/>
      </c>
      <c r="AW204" s="453" t="str">
        <f>IF(AS204="","",IF(AU204=0,0,AU204/AT204*100))</f>
        <v/>
      </c>
      <c r="AX204" s="180" t="str">
        <f>IF(D204="","",IF(AS204=2,0,IF(AS204=1,'Calc (ex-animal)'!$K$42*'Calc (ex-housing, ex-storage)'!F204/100*AG204/100/VLOOKUP($C$204,'DB animal categories'!$C$68:$AC$80,27,FALSE)*AJ204+Q204+R204+S204,IF(AS204=5,('Calc (ex-animal)'!$K$42+'Calc (ex-animal)'!$L$42)*AG204/100*'Calc (ex-housing, ex-storage)'!F204/100/VLOOKUP($C$204,'DB animal categories'!$C$68:$AC$80,27,FALSE)*AJ204+Q204+R204+S204-'Calc (ex-housing, ex-storage)'!AC204,IF(AS204=3,('Calc (ex-animal)'!$K$42+'Calc (ex-animal)'!$L$42)*AG204/100*'Calc (ex-housing, ex-storage)'!F204/100/VLOOKUP($C$204,'DB animal categories'!$C$68:$AC$80,27,FALSE)*AJ204+Q204+R204+S204-'Calc (ex-housing, ex-storage)'!AC204-AD204-AE204,IF(AI204=4,('Calc (ex-animal)'!$K$42+'Calc (ex-animal)'!$L$42)*AG204/100*'Calc (ex-housing, ex-storage)'!F204/100*VLOOKUP(D204,'DB technologies'!$N$82:$Y$94,12,FALSE)/100/VLOOKUP($C$204,'DB animal categories'!$C$68:$AC$80,27,FALSE)*AJ204+Q204+R204+S204-(VLOOKUP(D204,'DB technologies'!$N$82:$Y$94,12,FALSE)/100*AC204)-AD204-AE204,0))))))</f>
        <v/>
      </c>
      <c r="AY204" s="180" t="str">
        <f>IF(D204="","",IF(AS204=2,0,IF(AS204=1,'Calc (ex-animal)'!$N$42*AG204/100*'Calc (ex-housing, ex-storage)'!F204/100/VLOOKUP($C$204,'DB animal categories'!$C$68:$AC$80,27,FALSE)*AJ204+U204+V204+W204,IF(AS204=5,('Calc (ex-animal)'!$N$42+'Calc (ex-animal)'!$O$42)*AG204/100*'Calc (ex-housing, ex-storage)'!F204/100/VLOOKUP($C$204,'DB animal categories'!$C$68:$AC$80,27,FALSE)*AJ204+U204+V204+W204,IF(AS204=3,('Calc (ex-animal)'!$N$42+'Calc (ex-animal)'!$O$42)*AG204/100*'Calc (ex-housing, ex-storage)'!F204/100/VLOOKUP($C$204,'DB animal categories'!$C$68:$AC$80,27,FALSE)*AJ204+U204+V204+W204,IF(AS204=4,('Calc (ex-animal)'!$N$42+'Calc (ex-animal)'!$O$42)*AG204/100*'Calc (ex-housing, ex-storage)'!F204/100*VLOOKUP(D204,'DB technologies'!$N$82:$Y$94,12,FALSE)/100/VLOOKUP($C$204,'DB animal categories'!$C$68:$AC$80,27,FALSE)*AJ204+U204+V204+W204,0))))))</f>
        <v/>
      </c>
      <c r="AZ204" s="180" t="str">
        <f>IF(D204="","",IF(AS204=2,0,IF(AS204=1,'Calc (ex-animal)'!$Q$42*AG204/100*'Calc (ex-housing, ex-storage)'!F204/100/VLOOKUP($C$204,'DB animal categories'!$C$68:$AC$80,27,FALSE)*AJ204+Y204+Z204+AA204,IF(AS204=5,('Calc (ex-animal)'!$Q$42+'Calc (ex-animal)'!$R$42)*AG204/100*'Calc (ex-housing, ex-storage)'!F204/100/VLOOKUP($C$204,'DB animal categories'!$C$68:$AC$80,27,FALSE)*AJ204+Y204+Z204+AA204,IF(AS204=3,('Calc (ex-animal)'!$Q$42+'Calc (ex-animal)'!$R$42)*AG204/100*'Calc (ex-housing, ex-storage)'!F204/100/VLOOKUP($C$204,'DB animal categories'!$C$68:$AC$80,27,FALSE)*AJ204+Y204+Z204+AA204,IF(AS204=4,('Calc (ex-animal)'!$Q$42+'Calc (ex-animal)'!$R$42)*AG204/100*'Calc (ex-housing, ex-storage)'!F204/100*VLOOKUP(D204,'DB technologies'!$N$82:$Y$94,12,FALSE)/100/VLOOKUP($C$204,'DB animal categories'!$C$68:$AC$80,27,FALSE)*AJ204+Y204+Z204+AA204,0))))))</f>
        <v/>
      </c>
      <c r="BA204" s="506"/>
      <c r="BB204" s="506"/>
      <c r="BC204" s="506"/>
    </row>
    <row r="205" spans="1:55" x14ac:dyDescent="0.2">
      <c r="A205" s="684"/>
      <c r="B205" s="695"/>
      <c r="C205" s="251"/>
      <c r="D205" s="1367"/>
      <c r="E205" s="1393"/>
      <c r="F205" s="701" t="str">
        <f>IF('Calc (ex-animal)'!$F$9=1,"",IF($C$152=0,"",IF(D205="","",E205/'Calc (ex-animal)'!$E$32*100)))</f>
        <v/>
      </c>
      <c r="G205" s="438" t="str">
        <f>IF($C$204=0,"",IF('Calc (ex-animal)'!$F$38=1,"",IF(D205="","",SUM(H205:O205))))</f>
        <v/>
      </c>
      <c r="H205" s="423" t="str">
        <f>IF('Calc (ex-animal)'!$F$38=1,"",IF(D205="","",(((VLOOKUP($C$204,'Calc (ex-animal)'!$D$38:$Y$42,6,FALSE)-VLOOKUP($C$204,'Calc (ex-animal)'!$D$38:$Y$42,17,FALSE))*F204/100*AH204/100))*VLOOKUP($C$204,'Calc (ex-animal)'!$D$38:$Y$42,7,FALSE)/100*(1-VLOOKUP(D205,'DB technologies'!$N$96:$Y$107,9,FALSE)/100)))</f>
        <v/>
      </c>
      <c r="I205" s="423" t="str">
        <f>IF(D205="","",((VLOOKUP(D205,'DB technologies'!$N$96:$Y$107,2,FALSE)*VLOOKUP($C$204,'DB animal categories'!$C$68:$AC$80,27,FALSE)*F204/1000*AH204/100)/VLOOKUP($C$204,'DB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'!$S$6/100*(1-VLOOKUP(D205,'DB technologies'!$N$96:$Y$107,9,FALSE)/100)))</f>
        <v/>
      </c>
      <c r="J205" s="434" t="str">
        <f>IF(D205="","",((VLOOKUP(D205,'DB technologies'!$N$96:$Y$107,3,FALSE)*VLOOKUP($C$204,'DB animal categories'!$C$68:$AC$80,27,FALSE)*E204/1000*AH204/100)/VLOOKUP($C$204,'DB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'!$S$7/100*(1-VLOOKUP(D205,'DB technologies'!$N$96:$Y$107,9,FALSE)/100)))</f>
        <v/>
      </c>
      <c r="K205" s="526" t="str">
        <f>IF(D205="","",((VLOOKUP(D205,'DB technologies'!$N$96:$Y$107,4,FALSE)*E204*AH204/100*'DB additional information '!$S$8/100*(1-VLOOKUP(D205,'DB technologies'!$N$96:$Y$107,9,FALSE)/100))/VLOOKUP($C$204,'DB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5" s="423" t="str">
        <f>IF('Calc (ex-animal)'!$F$38=1,"",IF(D205="","",(((VLOOKUP($C$204,'Calc (ex-animal)'!$D$38:$Y$42,6,FALSE)-VLOOKUP($C$204,'Calc (ex-animal)'!$D$38:$Y$42,17,FALSE))*F204/100*AH204/100))*(1-VLOOKUP($C$204,'Calc (ex-animal)'!$D$38:$Y$42,7,FALSE)/100)*(1-VLOOKUP(D205,'DB technologies'!$N$96:$V$107,8,FALSE)/100)))</f>
        <v/>
      </c>
      <c r="M205" s="434" t="str">
        <f>IF(D205="","",((VLOOKUP(D205,'DB technologies'!$N$96:$Y$107,2,FALSE)*VLOOKUP($C$204,'DB animal categories'!$C$68:$AC$80,27,FALSE)*E204/1000*AH204/100)/VLOOKUP($C$204,'DB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'!$S$6/100)*(1-VLOOKUP(D205,'DB technologies'!$N$96:$Y$107,9,FALSE)/100))</f>
        <v/>
      </c>
      <c r="N205" s="434" t="str">
        <f>IF(D205="","",((VLOOKUP(D205,'DB technologies'!$N$96:$Y$107,3,FALSE)*VLOOKUP($C$204,'DB animal categories'!$C$68:$AC$80,27,FALSE)*E204/1000*AH204/100)/VLOOKUP($C$204,'DB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'!$S$7/100)*(1-VLOOKUP(D205,'DB technologies'!$N$96:$Y$107,9,FALSE)/100))</f>
        <v/>
      </c>
      <c r="O205" s="423" t="str">
        <f>IF(D205="","",((VLOOKUP(D205,'DB technologies'!$N$96:$Y$107,4,FALSE)*E204*AH204/100*(1-'DB additional information '!$S$8/100)*(1-VLOOKUP(D205,'DB technologies'!$N$96:$Y$107,8,FALSE)/100))/VLOOKUP($C$204,'DB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5" s="438" t="str">
        <f>IF(G205=0,0,IF(E204="","",IF(F204="","",IF($C$204=0,"",IF(D205="","",SUM(H205:K205)/G205*100)))))</f>
        <v/>
      </c>
      <c r="Q205" s="416" t="str">
        <f>IF(D205="","",(VLOOKUP(D205,'DB technologies'!$N$96:$Y$107,2,FALSE)*'DB additional information '!$S$6/100*'DB additional information '!$T$6*VLOOKUP($C$204,'DB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5" s="416" t="str">
        <f>IF(D205="","",(VLOOKUP(D205,'DB technologies'!$N$96:$Y$107,3,FALSE)*'DB additional information '!$S$7/100*'DB additional information '!$T$7*VLOOKUP($C$204,'DB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5" s="417" t="str">
        <f>IF(D205="","",(VLOOKUP(D205,'DB technologies'!$N$96:$Y$107,4,FALSE)*('DB additional information '!$S$8/100*'DB additional information '!$T$8*E204/1000/1000*AH204/100)))</f>
        <v/>
      </c>
      <c r="T205" s="264" t="str">
        <f>IF($C$204=0,"",IF('Calc (ex-animal)'!$F$38=1,"",IF(D205="","",((VLOOKUP($C$204,'Calc (ex-animal)'!$D$38:$Y$42,10,FALSE)-VLOOKUP($C$204,'Calc (ex-animal)'!$D$38:$Y$42,18,FALSE))*F204/100*AH204/100+Q205+R205+S205)-AC205-AD205-AE205)))</f>
        <v/>
      </c>
      <c r="U205" s="422" t="str">
        <f>IF(D205="","",(VLOOKUP(D205,'DB technologies'!$N$96:$Y$107,2,FALSE)*'DB additional information '!$S$6/100*'DB additional information '!$U$6*VLOOKUP($C$204,'DB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5" s="418" t="str">
        <f>IF(D205="","",(VLOOKUP(D205,'DB technologies'!$N$96:$Y$107,3,FALSE)*'DB additional information '!$S$7/100*'DB additional information '!$U$7*VLOOKUP($C$204,'DB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5" s="417" t="str">
        <f>IF(D205="","",(VLOOKUP(D205,'DB technologies'!$N$96:$Y$107,4,FALSE)*('DB additional information '!$S$8/100*'DB additional information '!$U$8*E204/1000/1000*AH204/100)))</f>
        <v/>
      </c>
      <c r="X205" s="261" t="str">
        <f>IF($C$204=0,"",IF('Calc (ex-animal)'!$F$38=1,"",IF(D205="","",((VLOOKUP($C$204,'Calc (ex-animal)'!$D$38:$Y$42,13,FALSE)-VLOOKUP($C$204,'Calc (ex-animal)'!$D$38:$Y$42,19,FALSE))*F204/100*AH204/100+U205+V205+W205))))</f>
        <v/>
      </c>
      <c r="Y205" s="418" t="str">
        <f>IF(D205="","",(VLOOKUP(D205,'DB technologies'!$N$96:$Y$107,2,FALSE)*'DB additional information '!$S$6/100*'DB additional information '!$V$6*VLOOKUP($C$204,'DB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5" s="418" t="str">
        <f>IF(D205="","",(VLOOKUP(D205,'DB technologies'!$N$96:$Y$107,3,FALSE)*'DB additional information '!$S$7/100*'DB additional information '!$V$7*VLOOKUP($C$204,'DB animal categories'!$C$68:$AC$80,27,FALSE)*E204/1000/1000*AH204/100)/VLOOKUP($C$204,'DB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5" s="418" t="str">
        <f>IF(D205="","",(VLOOKUP(D205,'DB technologies'!$N$96:$Y$107,4,FALSE)*('DB additional information '!$S$8/100*'DB additional information '!$V$8*E204/1000/1000*AH204/100)))</f>
        <v/>
      </c>
      <c r="AB205" s="261" t="str">
        <f>IF($C$204=0,"",IF('Calc (ex-animal)'!$F$38=1,"",IF(D205="","",((VLOOKUP($C$204,'Calc (ex-animal)'!$D$38:$Y$42,16,FALSE)-VLOOKUP($C$204,'Calc (ex-animal)'!$D$38:$Y$42,20,FALSE))*F204/100*AH204/100+Y205+Z205+AA205))))</f>
        <v/>
      </c>
      <c r="AC205" s="261" t="str">
        <f>IF($C$204=0,"",IF('Calc (ex-animal)'!$F$38=1,"",IF(D205="","",VLOOKUP($C$204,'Calc (ex-animal)'!$D$38:$Y$42,9,FALSE)*AH204/100/VLOOKUP($C$204,'DB animal categories'!$C$68:$AC$80,27,FALSE)*(VLOOKUP($C$204,'DB animal categories'!$C$68:$AC$80,27,FALSE)-VLOOKUP($C$204,'DB animal categories'!$C$68:$AC$80,25,FALSE)*VLOOKUP($C$204,'DB animal categories'!$C$68:$AC$80,26,FALSE)/24)*F204/100*VLOOKUP(D205,'DB technologies'!$N$96:$R$107,5,FALSE)/100)))</f>
        <v/>
      </c>
      <c r="AD205" s="261" t="str">
        <f>IF($C$204=0,"",IF('Calc (ex-animal)'!$F$38=1,"",IF(D205="","",VLOOKUP($C$204,'Calc (ex-animal)'!$D$38:$Y$42,10,FALSE)*AH204/100/VLOOKUP($C$204,'DB animal categories'!$C$68:$AC$80,27,FALSE)*(VLOOKUP($C$204,'DB animal categories'!$C$68:$AC$80,27,FALSE)-VLOOKUP($C$204,'DB animal categories'!$C$68:$AC$80,25,FALSE)*VLOOKUP($C$204,'DB animal categories'!$C$68:$AC$80,26,FALSE)/24)*F204/100*VLOOKUP(D205,'DB technologies'!$N$96:$Y$107,6,FALSE)/100)))</f>
        <v/>
      </c>
      <c r="AE205" s="262" t="str">
        <f>IF($C$204=0,"",IF('Calc (ex-animal)'!$F$38=1,"",IF(D205="","",VLOOKUP($C$204,'Calc (ex-animal)'!$D$38:$Y$42,10,FALSE)*AH204/100/VLOOKUP($C$204,'DB animal categories'!$C$68:$AC$80,27,FALSE)*(VLOOKUP($C$204,'DB animal categories'!$C$68:$AC$80,27,FALSE)-VLOOKUP($C$204,'DB animal categories'!$C$68:$AC$80,25,FALSE)*VLOOKUP($C$204,'DB animal categories'!$C$68:$AC$80,26,FALSE)/24)*F204/100*VLOOKUP(D205,'DB technologies'!$N$96:$Y$107,7,FALSE)/100)))</f>
        <v/>
      </c>
      <c r="AG205" s="1387"/>
      <c r="AH205" s="1388"/>
      <c r="AI205" s="187" t="str">
        <f>IF(D205="","",VLOOKUP(D205,'DB technologies'!$N$96:$Y$107,10,FALSE))</f>
        <v/>
      </c>
      <c r="AJ205" s="451" t="e">
        <f>VLOOKUP($C$204,'DB animal categories'!$C$68:$AN$80,27,FALSE)-VLOOKUP($C$204,'DB animal categories'!$C$68:$AN$80,26,FALSE)*VLOOKUP($C$204,'DB animal categories'!$C$68:$AN$80,25,FALSE)/24</f>
        <v>#N/A</v>
      </c>
      <c r="AK205" s="452" t="str">
        <f>IF(AI205="","",AL205+AM205)</f>
        <v/>
      </c>
      <c r="AL205" s="452" t="str">
        <f>IF(D205="","",IF(AI205=2,(('Calc (ex-animal)'!$G$42*'DB additional information '!$K$12/100*AH204/100*(1-VLOOKUP(D205,'DB technologies'!$N$96:$Y$107,9,FALSE)/100)*'Calc (ex-housing, ex-storage)'!F204/100+'Calc (ex-animal)'!$H$42*'DB additional information '!$L$12/100*AH204/100*(1-VLOOKUP(D205,'DB technologies'!$N$96:$Y$107,9,FALSE)/100)*'Calc (ex-housing, ex-storage)'!F204/100))/VLOOKUP($C$204,'DB animal categories'!$C$68:$AC$80,27,FALSE)*AJ205+I205+J205+K205,IF(AI205=1,('Calc (ex-animal)'!$H$42*AH204/100*'DB additional information '!$L$12/100*(1-VLOOKUP(D205,'DB technologies'!$N$96:$Y$107,9,FALSE)/100)*'Calc (ex-housing, ex-storage)'!F204/100)/VLOOKUP($C$204,'DB animal categories'!$C$68:$AC$80,27,FALSE)*AJ205,IF(AI205=4,('Calc (ex-animal)'!$G$42*'DB additional information '!$K$12/100+'Calc (ex-animal)'!$H$42*'DB additional information '!$L$12/100)*AH204/100*(1-VLOOKUP(D205,'DB technologies'!$N$96:$Y$107,9,FALSE)/100)*'Calc (ex-housing, ex-storage)'!F204/100*VLOOKUP(D205,'DB technologies'!$N$96:$Y$107,11,FALSE)/100/VLOOKUP($C$204,'DB animal categories'!$C$68:$AC$80,27,FALSE)*AJ205,0))))</f>
        <v/>
      </c>
      <c r="AM205" s="452" t="str">
        <f>IF(D205="","",IF(AI205=2,(('Calc (ex-animal)'!$G$42*(1-'DB additional information '!$K$12/100)*AH204/100*(1-VLOOKUP(D205,'DB technologies'!$N$96:$Y$107,8,FALSE)/100)*'Calc (ex-housing, ex-storage)'!F204/100+'Calc (ex-animal)'!$H$42*(1-'DB additional information '!$L$12/100)*AH204/100*(1-VLOOKUP(D205,'DB technologies'!$N$96:$Y$107,8,FALSE)/100)*'Calc (ex-housing, ex-storage)'!F204/100))/VLOOKUP($C$204,'DB animal categories'!$C$68:$AC$80,27,FALSE)*AJ205+M205+N205+O205,IF(AI205=1,('Calc (ex-animal)'!$H$42*(1-'DB additional information '!$L$12/100)*AH204/100*(1-VLOOKUP(D205,'DB technologies'!$N$96:$Y$107,8,FALSE)/100)*'Calc (ex-housing, ex-storage)'!F204/100)/VLOOKUP($C$204,'DB animal categories'!$C$68:$AC$80,27,FALSE)*AJ205,IF(AI205=4,('Calc (ex-animal)'!$G$42*(1-'DB additional information '!$K$12/100)+'Calc (ex-animal)'!$H$42*(1-'DB additional information '!$L$12/100))*AH204/100*(1-VLOOKUP(D205,'DB technologies'!$N$96:$Y$107,8,FALSE)/100)*'Calc (ex-housing, ex-storage)'!F204/100*VLOOKUP(D205,'DB technologies'!$N$96:$Y$107,11,FALSE)/100/VLOOKUP($C$204,'DB animal categories'!$C$68:$AC$80,27,FALSE)*AJ205,0))))</f>
        <v/>
      </c>
      <c r="AN205" s="452" t="str">
        <f>IF(AI205="","",IF(AL205=0,0,AL205/AK205*100))</f>
        <v/>
      </c>
      <c r="AO205" s="184" t="str">
        <f>IF(D205="","",IF(AI205=2,(('Calc (ex-animal)'!$L$42*'Calc (ex-housing, ex-storage)'!F204/100+'Calc (ex-animal)'!$K$42*'Calc (ex-housing, ex-storage)'!F204/100))*AH204/100/VLOOKUP($C$204,'DB animal categories'!$C$68:$AC$80,27,FALSE)*AJ205+Q205+R205+S205-AC205,IF(AI205=1,('Calc (ex-animal)'!$L$42*'Calc (ex-housing, ex-storage)'!F204/100)*AH204/100/VLOOKUP($C$204,'DB animal categories'!$C$68:$AC$80,27,FALSE)*AJ205-'Calc (ex-housing, ex-storage)'!AC205,IF(AI205=4,('Calc (ex-animal)'!$L$42+'Calc (ex-animal)'!$K$42)*'Calc (ex-housing, ex-storage)'!F204/100*AH204/100*VLOOKUP(D205,'DB technologies'!$N$96:$Y$107,11,FALSE)/100/VLOOKUP($C$204,'DB animal categories'!$C$68:$AC$80,27,FALSE)*AJ205-AC205*VLOOKUP(D205,'DB technologies'!$N$96:$Y$107,11,FALSE)/100,0))))</f>
        <v/>
      </c>
      <c r="AP205" s="184" t="str">
        <f>IF(D205="","",IF(AO205&lt;-0.01,0,IF(AI205=2,(('Calc (ex-animal)'!$L$42*'Calc (ex-housing, ex-storage)'!F204/100+'Calc (ex-animal)'!$K$42*'Calc (ex-housing, ex-storage)'!F204/100))*AH204/100/VLOOKUP($C$204,'DB animal categories'!$C$68:$AC$80,27,FALSE)*AJ205+Q205+R205+S205-AC205,IF(AI205=1,('Calc (ex-animal)'!$L$42*'Calc (ex-housing, ex-storage)'!F204/100)*AH204/100/VLOOKUP($C$204,'DB animal categories'!$C$68:$AC$80,27,FALSE)*AJ205-'Calc (ex-housing, ex-storage)'!AC205,IF(AI205=4,('Calc (ex-animal)'!$L$42+'Calc (ex-animal)'!$K$42)*'Calc (ex-housing, ex-storage)'!F204/100*AH204/100*VLOOKUP(D205,'DB technologies'!$N$96:$Y$107,11,FALSE)/100/VLOOKUP($C$204,'DB animal categories'!$C$68:$AC$80,27,FALSE)*AJ205-AC205*VLOOKUP(D205,'DB technologies'!$N$96:$Y$107,11,FALSE)/100,0)))))</f>
        <v/>
      </c>
      <c r="AQ205" s="184" t="str">
        <f>IF(D205="","",IF(AI205=2,('Calc (ex-animal)'!$O$42*'Calc (ex-housing, ex-storage)'!F204/100+'Calc (ex-animal)'!$N$42*'Calc (ex-housing, ex-storage)'!F204/100)*AH204/100/VLOOKUP($C$204,'DB animal categories'!$C$68:$AC$80,27,FALSE)*AJ205+U205+V205+W205,IF(AI205=1,'Calc (ex-animal)'!$O$42*'Calc (ex-housing, ex-storage)'!F204/100*AH204/100/VLOOKUP($C$204,'DB animal categories'!$C$68:$AC$80,27,FALSE)*AJ205,IF(AI205=4,('Calc (ex-animal)'!$O$42+'Calc (ex-animal)'!$N$42)*'Calc (ex-housing, ex-storage)'!F204/100*AH204/100*VLOOKUP(D205,'DB technologies'!$N$96:$Y$107,11,FALSE)/100/VLOOKUP($C$204,'DB animal categories'!$C$68:$AC$80,27,FALSE)*AJ205,0))))</f>
        <v/>
      </c>
      <c r="AR205" s="184" t="str">
        <f>IF(D205="","",IF(AI205=2,('Calc (ex-animal)'!$R$42*'Calc (ex-housing, ex-storage)'!F204/100+'Calc (ex-animal)'!$Q$42*'Calc (ex-housing, ex-storage)'!F204/100)*AH204/100/VLOOKUP($C$204,'DB animal categories'!$C$68:$AC$80,27,FALSE)*AJ205+Y205+Z205+AA205,IF(AI205=1,'Calc (ex-animal)'!$R$42*'Calc (ex-housing, ex-storage)'!F204/100*AH204/100/VLOOKUP($C$204,'DB animal categories'!$C$68:$AC$80,27,FALSE)*AJ205,IF(AI205=4,('Calc (ex-animal)'!$R$42+'Calc (ex-animal)'!$Q$42)*'Calc (ex-housing, ex-storage)'!F204/100*AH204/100*VLOOKUP(D205,'DB technologies'!$N$96:$Y$107,11,FALSE)/100/VLOOKUP($C$204,'DB animal categories'!$C$68:$AC$80,27,FALSE)*AJ205,0))))</f>
        <v/>
      </c>
      <c r="AS205" s="183" t="str">
        <f>IF(D205="","",VLOOKUP(D205,'DB technologies'!$N$96:$Y$107,10,FALSE))</f>
        <v/>
      </c>
      <c r="AT205" s="452" t="str">
        <f>IF(AS205="","",AU205+AV205)</f>
        <v/>
      </c>
      <c r="AU205" s="452" t="str">
        <f>IF(D205="","",IF(AS205=2,0,IF(AS205=1,'Calc (ex-animal)'!$G$42*'DB additional information '!$K$12/100*AH204/100*(1-VLOOKUP(D205,'DB technologies'!$N$96:$Y$107,8,FALSE)/100)*'Calc (ex-housing, ex-storage)'!F204/100/VLOOKUP($C$204,'DB animal categories'!$C$68:$AC$80,27,FALSE)*AJ205+I205+J205+K205,IF(AS205=5,(('Calc (ex-animal)'!$G$42*'DB additional information '!$K$12/100+'Calc (ex-animal)'!$H$42*'DB additional information '!$L$12/100))*AH204/100*(1-VLOOKUP(D205,'DB technologies'!$N$96:$Y$107,9,FALSE)/100)*'Calc (ex-housing, ex-storage)'!F204/100/VLOOKUP($C$204,'DB animal categories'!$C$68:$AC$80,27,FALSE)*AJ205+I205+J205+K205,IF(AS205=3,('Calc (ex-animal)'!$G$42*'DB additional information '!$K$12/100+'Calc (ex-animal)'!$H$42*'DB additional information '!$L$12/100)*AH204/100*(1-VLOOKUP(D205,'DB technologies'!$N$96:$Y$107,9,FALSE)/100)*'Calc (ex-housing, ex-storage)'!F204/100/VLOOKUP($C$204,'DB animal categories'!$C$68:$AC$80,27,FALSE)*AJ205+I205+J205+K205,IF(AS205=4,('Calc (ex-animal)'!$G$42*'DB additional information '!$K$12/100+'Calc (ex-animal)'!$H$42*'DB additional information '!$L$12/100)*AH204/100*(1-VLOOKUP(D205,'DB technologies'!$N$96:$Y$107,9,FALSE)/100)*'Calc (ex-housing, ex-storage)'!F204/100*VLOOKUP(D205,'DB technologies'!$N$96:$Y$107,12,FALSE)/100/VLOOKUP($C$204,'DB animal categories'!$C$68:$AC$80,27,FALSE)*AJ205+I205+J205+K205,0))))))</f>
        <v/>
      </c>
      <c r="AV205" s="452" t="str">
        <f>IF(D205="","",IF(AS205=2,0,IF(AS205=1,'Calc (ex-animal)'!$G$42*(1-'DB additional information '!$K$12/100)*AH204/100*(1-VLOOKUP(D205,'DB technologies'!$N$96:$Y$107,8,FALSE)/100)*'Calc (ex-housing, ex-storage)'!F204/100/VLOOKUP($C$204,'DB animal categories'!$C$68:$AC$80,27,FALSE)*AJ205+M205+N205+O205,IF(AS205=5,('Calc (ex-animal)'!$G$42*(1-'DB additional information '!$K$12/100)+'Calc (ex-animal)'!$H$42*(1-'DB additional information '!$L$12/100))*AH204/100*(1-VLOOKUP(D205,'DB technologies'!$N$96:$Y$107,8,FALSE)/100)*'Calc (ex-housing, ex-storage)'!F204/100/VLOOKUP($C$204,'DB animal categories'!$C$68:$AC$80,27,FALSE)*AJ205+M205+N205+O205,IF(AS205=3,('Calc (ex-animal)'!$G$42*(1-'DB additional information '!$K$12/100)+'Calc (ex-animal)'!$H$42*(1-'DB additional information '!$L$12/100))*AH204/100*(1-VLOOKUP(D205,'DB technologies'!$N$96:$Y$107,8,FALSE)/100)*'Calc (ex-housing, ex-storage)'!F204/100/VLOOKUP($C$204,'DB animal categories'!$C$68:$AC$80,27,FALSE)*AJ205+M205+N205+O205,IF(AS205=4,('Calc (ex-animal)'!$G$42*(1-'DB additional information '!$K$12/100)+'Calc (ex-animal)'!$H$42*(1-'DB additional information '!$L$12/100))*AH204/100*(1-VLOOKUP(D205,'DB technologies'!$N$96:$Y$107,8,FALSE)/100)*'Calc (ex-housing, ex-storage)'!F204/100*VLOOKUP(D205,'DB technologies'!$N$96:$Y$107,12,FALSE)/100/VLOOKUP($C$204,'DB animal categories'!$C$68:$AC$80,27,FALSE)*AJ205+M205+N205+O205,0))))))</f>
        <v/>
      </c>
      <c r="AW205" s="452" t="str">
        <f>IF(AS205="","",IF(AU205=0,0,AU205/AT205*100))</f>
        <v/>
      </c>
      <c r="AX205" s="184" t="str">
        <f>IF(D205="","",IF(AS205=2,0,IF(AS205=1,'Calc (ex-animal)'!$K$42*'Calc (ex-housing, ex-storage)'!F204/100*AH204/100/VLOOKUP($C$204,'DB animal categories'!$C$68:$AC$80,27,FALSE)*AJ205+Q205+R205+S205,IF(AS205=5,('Calc (ex-animal)'!$K$42+'Calc (ex-animal)'!$L$42)*AH204/100*'Calc (ex-housing, ex-storage)'!F204/100/VLOOKUP($C$204,'DB animal categories'!$C$68:$AC$80,27,FALSE)*AJ205+Q205+R205+S205-'Calc (ex-housing, ex-storage)'!AC205,IF(AS205=3,('Calc (ex-animal)'!$K$42+'Calc (ex-animal)'!$L$42)*AH204/100*'Calc (ex-housing, ex-storage)'!F204/100/VLOOKUP($C$204,'DB animal categories'!$C$68:$AC$80,27,FALSE)*AJ205+Q205+R205+S205-'Calc (ex-housing, ex-storage)'!AC205-AD205-AE205,IF(AI205=4,('Calc (ex-animal)'!$K$42+'Calc (ex-animal)'!$L$42)*AH204/100*'Calc (ex-housing, ex-storage)'!F204/100*VLOOKUP(D205,'DB technologies'!$N$96:$Y$107,12,FALSE)/100/VLOOKUP($C$204,'DB animal categories'!$C$68:$AC$80,27,FALSE)*AJ205+Q205+R205+S205-(VLOOKUP(D205,'DB technologies'!$N$96:$Y$107,12,FALSE)/100*AC205)-AD205-AE205,0))))))</f>
        <v/>
      </c>
      <c r="AY205" s="184" t="str">
        <f>IF(D205="","",IF(AS205=2,0,IF(AS205=1,'Calc (ex-animal)'!$N$42*AH204/100*'Calc (ex-housing, ex-storage)'!F204/100/VLOOKUP($C$204,'DB animal categories'!$C$68:$AC$80,27,FALSE)*AJ205+U205+V205+W205,IF(AS205=5,('Calc (ex-animal)'!$N$42+'Calc (ex-animal)'!$O$42)*AH204/100*'Calc (ex-housing, ex-storage)'!F204/100/VLOOKUP($C$204,'DB animal categories'!$C$68:$AC$80,27,FALSE)*AJ205+U205+V205+W205,IF(AS205=3,('Calc (ex-animal)'!$N$42+'Calc (ex-animal)'!$O$42)*AH204/100*'Calc (ex-housing, ex-storage)'!F204/100/VLOOKUP($C$204,'DB animal categories'!$C$68:$AC$80,27,FALSE)*AJ205+U205+V205+W205,IF(AS205=4,('Calc (ex-animal)'!$N$42+'Calc (ex-animal)'!$O$42)*AH204/100*'Calc (ex-housing, ex-storage)'!F204/100*VLOOKUP(D205,'DB technologies'!$N$96:$Y$107,12,FALSE)/100/VLOOKUP($C$204,'DB animal categories'!$C$68:$AC$80,27,FALSE)*AJ205+U205+V205+W205,0))))))</f>
        <v/>
      </c>
      <c r="AZ205" s="184" t="str">
        <f>IF(D205="","",IF(AS205=2,0,IF(AS205=1,'Calc (ex-animal)'!$Q$42*AH204/100*'Calc (ex-housing, ex-storage)'!F204/100/VLOOKUP($C$204,'DB animal categories'!$C$68:$AC$80,27,FALSE)*AJ205+Y205+Z205+AA205,IF(AS205=5,('Calc (ex-animal)'!$Q$42+'Calc (ex-animal)'!$R$42)*AH204/100*'Calc (ex-housing, ex-storage)'!F204/100/VLOOKUP($C$204,'DB animal categories'!$C$68:$AC$80,27,FALSE)*AJ205+Y205+Z205+AA205,IF(AS205=3,('Calc (ex-animal)'!$Q$42+'Calc (ex-animal)'!$R$42)*AH204/100*'Calc (ex-housing, ex-storage)'!F204/100/VLOOKUP($C$204,'DB animal categories'!$C$68:$AC$80,27,FALSE)*AJ205+Y205+Z205+AA205,IF(AS205=4,('Calc (ex-animal)'!$Q$42+'Calc (ex-animal)'!$R$42)*AH204/100*'Calc (ex-housing, ex-storage)'!F204/100*VLOOKUP(D205,'DB technologies'!$N$96:$Y$107,12,FALSE)/100/VLOOKUP($C$204,'DB animal categories'!$C$68:$AC$80,27,FALSE)*AJ205+Y205+Z205+AA205,0))))))</f>
        <v/>
      </c>
      <c r="BA205" s="506"/>
      <c r="BB205" s="506"/>
      <c r="BC205" s="506"/>
    </row>
    <row r="206" spans="1:55" x14ac:dyDescent="0.2">
      <c r="A206" s="684"/>
      <c r="B206" s="695"/>
      <c r="C206" s="251"/>
      <c r="D206" s="1357"/>
      <c r="E206" s="1394"/>
      <c r="F206" s="692" t="str">
        <f>IF('Calc (ex-animal)'!$F$38=1,"",IF($C$204=0,"",IF(D206="","",E206/'Calc (ex-animal)'!$E$42*100)))</f>
        <v/>
      </c>
      <c r="G206" s="537" t="str">
        <f>IF($C$204=0,"",IF('Calc (ex-animal)'!$F$38=1,"",IF(D206="","",SUM(H206:O206))))</f>
        <v/>
      </c>
      <c r="H206" s="527" t="str">
        <f>IF('Calc (ex-animal)'!$F$38=1,"",IF(D206="","",(((VLOOKUP($C$204,'Calc (ex-animal)'!$D$38:$Y$42,6,FALSE)-VLOOKUP($C$204,'Calc (ex-animal)'!$D$38:$Y$42,17,FALSE))*F206/100*AG206/100))*VLOOKUP($C$204,'Calc (ex-animal)'!$D$38:$Y$42,7,FALSE)/100*(1-VLOOKUP(D206,'DB technologies'!$N$83:$Y$94,9,FALSE)/100)))</f>
        <v/>
      </c>
      <c r="I206" s="527" t="str">
        <f>IF(D206="","",((VLOOKUP(D206,'DB technologies'!$N$83:$Y$94,2,FALSE)*VLOOKUP($C$204,'DB animal categories'!$C$68:$AC$80,27,FALSE)*E206/1000*AG206/100)/VLOOKUP($C$204,'DB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'!$S$6/100*(1-VLOOKUP(D206,'DB technologies'!$N$83:$Y$94,9,FALSE)/100)))</f>
        <v/>
      </c>
      <c r="J206" s="528" t="str">
        <f>IF(D206="","",((VLOOKUP(D206,'DB technologies'!$N$83:$Y$94,3,FALSE)*VLOOKUP($C$204,'DB animal categories'!$C$68:$AC$80,27,FALSE)*E206/1000*AG206/100)/VLOOKUP($C$204,'DB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'!$S$7/100*(1-VLOOKUP(D206,'DB technologies'!$N$83:$Y$94,9,FALSE)/100)))</f>
        <v/>
      </c>
      <c r="K206" s="529" t="str">
        <f>IF(D206="","",((VLOOKUP(D206,'DB technologies'!$N$83:$Y$94,4,FALSE)*E206*AG206/100*'DB additional information '!$S$8/100*(1-VLOOKUP(D206,'DB technologies'!$N$83:$Y$94,9,FALSE)/100))/VLOOKUP($C$204,'DB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6" s="527" t="str">
        <f>IF('Calc (ex-animal)'!$F$38=1,"",IF(D206="","",(((VLOOKUP($C$204,'Calc (ex-animal)'!$D$38:$Y$42,6,FALSE)-VLOOKUP($C$204,'Calc (ex-animal)'!$D$38:$Y$42,17,FALSE))*F206/100*AG206/100))*(1-VLOOKUP($C$204,'Calc (ex-animal)'!$D$38:$Y$42,7,FALSE)/100)*(1-VLOOKUP(D206,'DB technologies'!$N$83:$V$94,8,FALSE)/100)))</f>
        <v/>
      </c>
      <c r="M206" s="528" t="str">
        <f>IF(D206="","",((VLOOKUP(D206,'DB technologies'!$N$83:$Y$94,2,FALSE)*VLOOKUP($C$204,'DB animal categories'!$C$68:$AC$80,27,FALSE)*E206/1000*AG206/100)/VLOOKUP($C$204,'DB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'!$S$6/100)*(1-VLOOKUP(D206,'DB technologies'!$N$83:$Y$94,9,FALSE)/100))</f>
        <v/>
      </c>
      <c r="N206" s="528" t="str">
        <f>IF(D206="","",((VLOOKUP(D206,'DB technologies'!$N$83:$Y$94,3,FALSE)*VLOOKUP($C$204,'DB animal categories'!$C$68:$AC$80,27,FALSE)*E206/1000*AG206/100)/VLOOKUP($C$204,'DB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'!$S$7/100)*(1-VLOOKUP(D206,'DB technologies'!$N$83:$Y$94,9,FALSE)/100))</f>
        <v/>
      </c>
      <c r="O206" s="527" t="str">
        <f>IF(D206="","",((VLOOKUP(D206,'DB technologies'!$N$83:$Y$94,4,FALSE)*E206*AG206/100*(1-'DB additional information '!$S$8/100)*(1-VLOOKUP(D206,'DB technologies'!$N$83:$Y$94,8,FALSE)/100))/VLOOKUP($C$204,'DB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6" s="530" t="str">
        <f>IF(G206=0,0,IF(E206="","",IF(F206="","",IF($C$204=0,"",IF(D206="","",SUM(H206:K206)/G206*100)))))</f>
        <v/>
      </c>
      <c r="Q206" s="531" t="str">
        <f>IF(D206="","",(VLOOKUP(D206,'DB technologies'!$N$83:$Y$94,2,FALSE)*'DB additional information '!$S$6/100*'DB additional information '!$T$6*VLOOKUP($C$204,'DB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6" s="531" t="str">
        <f>IF(D206="","",(VLOOKUP(D206,'DB technologies'!$N$83:$Y$94,3,FALSE)*'DB additional information '!$S$7/100*'DB additional information '!$T$7*VLOOKUP($C$204,'DB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6" s="545" t="str">
        <f>IF(D206="","",(VLOOKUP(D206,'DB technologies'!$N$83:$Y$94,4,FALSE)*('DB additional information '!$S$8/100*'DB additional information '!$T$8*E206/1000/1000*AG206/100)))</f>
        <v/>
      </c>
      <c r="T206" s="300" t="str">
        <f>IF($C$204=0,"",IF('Calc (ex-animal)'!$F$38=1,"",IF(D206="","",((VLOOKUP($C$204,'Calc (ex-animal)'!$D$38:$Y$42,10,FALSE)-VLOOKUP($C$204,'Calc (ex-animal)'!$D$38:$Y$42,18,FALSE))*F206/100*AG206/100+Q206+R206+S206)-AC206-AD206-AE206)))</f>
        <v/>
      </c>
      <c r="U206" s="544" t="str">
        <f>IF(D206="","",(VLOOKUP(D206,'DB technologies'!$N$83:$Y$94,2,FALSE)*'DB additional information '!$S$6/100*'DB additional information '!$U$6*VLOOKUP($C$204,'DB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6" s="523" t="str">
        <f>IF(D206="","",(VLOOKUP(D206,'DB technologies'!$N$83:$Y$94,3,FALSE)*'DB additional information '!$S$7/100*'DB additional information '!$U$7*VLOOKUP($C$204,'DB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6" s="545" t="str">
        <f>IF(D206="","",(VLOOKUP(D206,'DB technologies'!$N$83:$Y$94,4,FALSE)*('DB additional information '!$S$8/100*'DB additional information '!$U$8*E206/1000/1000*AG206/100)))</f>
        <v/>
      </c>
      <c r="X206" s="301" t="str">
        <f>IF($C$204=0,"",IF('Calc (ex-animal)'!$F$38=1,"",IF(D206="","",((VLOOKUP($C$204,'Calc (ex-animal)'!$D$38:$Y$42,13,FALSE)-VLOOKUP($C$204,'Calc (ex-animal)'!$D$38:$Y$42,19,FALSE))*F206/100*AG206/100+U206+V206+W206))))</f>
        <v/>
      </c>
      <c r="Y206" s="523" t="str">
        <f>IF(D206="","",(VLOOKUP(D206,'DB technologies'!$N$83:$Y$94,2,FALSE)*'DB additional information '!$S$6/100*'DB additional information '!$V$6*VLOOKUP($C$204,'DB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6" s="523" t="str">
        <f>IF(D206="","",(VLOOKUP(D206,'DB technologies'!$N$83:$Y$94,3,FALSE)*'DB additional information '!$S$7/100*'DB additional information '!$V$7*VLOOKUP($C$204,'DB animal categories'!$C$68:$AC$80,27,FALSE)*E206/1000/1000*AG206/100)/VLOOKUP($C$204,'DB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6" s="523" t="str">
        <f>IF(D206="","",(VLOOKUP(D206,'DB technologies'!$N$83:$Y$94,4,FALSE)*('DB additional information '!$S$8/100*'DB additional information '!$V$8*E206/1000/1000*AG206/100)))</f>
        <v/>
      </c>
      <c r="AB206" s="301" t="str">
        <f>IF($C$204=0,"",IF('Calc (ex-animal)'!$F$38=1,"",IF(D206="","",((VLOOKUP($C$204,'Calc (ex-animal)'!$D$38:$Y$42,16,FALSE)-VLOOKUP($C$204,'Calc (ex-animal)'!$D$38:$Y$42,20,FALSE))*F206/100*AG206/100+Y206+Z206+AA206))))</f>
        <v/>
      </c>
      <c r="AC206" s="301" t="str">
        <f>IF($C$204=0,"",IF('Calc (ex-animal)'!$F$38=1,"",IF(D206="","",VLOOKUP($C$204,'Calc (ex-animal)'!$D$38:$Y$42,9,FALSE)*AG206/100/VLOOKUP($C$204,'DB animal categories'!$C$68:$AC$80,27,FALSE)*(VLOOKUP($C$204,'DB animal categories'!$C$68:$AC$80,27,FALSE)-VLOOKUP($C$204,'DB animal categories'!$C$68:$AC$80,25,FALSE)*VLOOKUP($C$204,'DB animal categories'!$C$68:$AC$80,26,FALSE)/24)*F206/100*VLOOKUP(D206,'DB technologies'!$N$83:$R$94,5,FALSE)/100)))</f>
        <v/>
      </c>
      <c r="AD206" s="301" t="str">
        <f>IF($C$204=0,"",IF('Calc (ex-animal)'!$F$38=1,"",IF(D206="","",VLOOKUP($C$204,'Calc (ex-animal)'!$D$38:$Y$42,10,FALSE)*AG206/100/VLOOKUP($C$204,'DB animal categories'!$C$68:$AC$80,27,FALSE)*(VLOOKUP($C$204,'DB animal categories'!$C$68:$AC$80,27,FALSE)-VLOOKUP($C$204,'DB animal categories'!$C$68:$AC$80,25,FALSE)*VLOOKUP($C$204,'DB animal categories'!$C$68:$AC$80,26,FALSE)/24)*F206/100*VLOOKUP(D206,'DB technologies'!$N$83:$Y$94,6,FALSE)/100)))</f>
        <v/>
      </c>
      <c r="AE206" s="302" t="str">
        <f>IF($C$204=0,"",IF('Calc (ex-animal)'!$F$38=1,"",IF(D206="","",VLOOKUP($C$204,'Calc (ex-animal)'!$D$38:$Y$42,10,FALSE)*AG206/100/VLOOKUP($C$204,'DB animal categories'!$C$68:$AC$80,27,FALSE)*(VLOOKUP($C$204,'DB animal categories'!$C$68:$AC$80,27,FALSE)-VLOOKUP($C$204,'DB animal categories'!$C$68:$AC$80,25,FALSE)*VLOOKUP($C$204,'DB animal categories'!$C$68:$AC$80,26,FALSE)/24)*F206/100*VLOOKUP(D206,'DB technologies'!$N$83:$Y$94,7,FALSE)/100)))</f>
        <v/>
      </c>
      <c r="AG206" s="1389"/>
      <c r="AH206" s="1382"/>
      <c r="AI206" s="185" t="str">
        <f>IF(D206="","",VLOOKUP(D206,'DB technologies'!$N$82:$Y$94,10,FALSE))</f>
        <v/>
      </c>
      <c r="AJ206" s="482" t="e">
        <f>VLOOKUP($C$204,'DB animal categories'!$C$68:$AN$80,27,FALSE)-VLOOKUP($C$204,'DB animal categories'!$C$68:$AN$80,26,FALSE)*VLOOKUP($C$204,'DB animal categories'!$C$68:$AN$80,25,FALSE)/24</f>
        <v>#N/A</v>
      </c>
      <c r="AK206" s="453" t="str">
        <f t="shared" ref="AK206:AK213" si="38">IF(AI206="","",AL206+AM206)</f>
        <v/>
      </c>
      <c r="AL206" s="453" t="str">
        <f>IF(D206="","",IF(AI206=2,(('Calc (ex-animal)'!$G$42*'DB additional information '!$K$12/100*AG206/100*(1-VLOOKUP(D206,'DB technologies'!$N$82:$Y$94,9,FALSE)/100)*'Calc (ex-housing, ex-storage)'!F206/100+'Calc (ex-animal)'!$H$42*'DB additional information '!$L$12/100*AG206/100*(1-VLOOKUP(D206,'DB technologies'!$N$82:$Y$94,9,FALSE)/100)*'Calc (ex-housing, ex-storage)'!F206/100))/VLOOKUP($C$204,'DB animal categories'!$C$68:$AC$80,27,FALSE)*AJ206+I206+J206+K206,IF(AI206=1,('Calc (ex-animal)'!$H$42*AG206/100*'DB additional information '!$L$12/100*(1-VLOOKUP(D206,'DB technologies'!$N$82:$Y$94,9,FALSE)/100)*'Calc (ex-housing, ex-storage)'!F206/100)/VLOOKUP($C$204,'DB animal categories'!$C$68:$AC$80,27,FALSE)*AJ206,IF(AI206=4,('Calc (ex-animal)'!$G$42*'DB additional information '!$K$12/100+'Calc (ex-animal)'!$H$42*'DB additional information '!$L$12/100)*AG206/100*(1-VLOOKUP(D206,'DB technologies'!$N$82:$Y$94,9,FALSE)/100)*'Calc (ex-housing, ex-storage)'!F206/100*VLOOKUP(D206,'DB technologies'!$N$82:$Y$94,11,FALSE)/100/VLOOKUP($C$204,'DB animal categories'!$C$68:$AC$80,27,FALSE)*AJ206,0))))</f>
        <v/>
      </c>
      <c r="AM206" s="453" t="str">
        <f>IF(D206="","",IF(AI206=2,(('Calc (ex-animal)'!$G$42*(1-'DB additional information '!$K$12/100)*AG206/100*(1-VLOOKUP(D206,'DB technologies'!$N$82:$Y$94,8,FALSE)/100)*'Calc (ex-housing, ex-storage)'!F206/100+'Calc (ex-animal)'!$H$42*(1-'DB additional information '!$L$12/100)*AG206/100*(1-VLOOKUP(D206,'DB technologies'!$N$82:$Y$94,8,FALSE)/100)*'Calc (ex-housing, ex-storage)'!F206/100))/VLOOKUP($C$204,'DB animal categories'!$C$68:$AC$80,27,FALSE)*AJ206+M206+N206+O206,IF(AI206=1,('Calc (ex-animal)'!$H$42*(1-'DB additional information '!$L$12/100)*AG206/100*(1-VLOOKUP(D206,'DB technologies'!$N$82:$Y$94,8,FALSE)/100)*'Calc (ex-housing, ex-storage)'!F206/100)/VLOOKUP($C$204,'DB animal categories'!$C$68:$AC$80,27,FALSE)*AJ206,IF(AI206=4,('Calc (ex-animal)'!$G$42*(1-'DB additional information '!$K$12/100)+'Calc (ex-animal)'!$H$42*(1-'DB additional information '!$L$12/100))*AG206/100*(1-VLOOKUP(D206,'DB technologies'!$N$82:$Y$94,8,FALSE)/100)*'Calc (ex-housing, ex-storage)'!F206/100*VLOOKUP(D206,'DB technologies'!$N$82:$Y$94,11,FALSE)/100/VLOOKUP($C$204,'DB animal categories'!$C$68:$AC$80,27,FALSE)*AJ206,0))))</f>
        <v/>
      </c>
      <c r="AN206" s="453" t="str">
        <f t="shared" ref="AN206:AN213" si="39">IF(AI206="","",IF(AL206=0,0,AL206/AK206*100))</f>
        <v/>
      </c>
      <c r="AO206" s="180" t="str">
        <f>IF(D206="","",IF(AI206=2,(('Calc (ex-animal)'!$L$42*'Calc (ex-housing, ex-storage)'!F206/100+'Calc (ex-animal)'!$K$42*'Calc (ex-housing, ex-storage)'!F206/100))*AG206/100/VLOOKUP($C$204,'DB animal categories'!$C$68:$AC$80,27,FALSE)*AJ206+Q206+R206+S206-AC206,IF(AI206=1,('Calc (ex-animal)'!$L$42*'Calc (ex-housing, ex-storage)'!F206/100)*AG206/100/VLOOKUP($C$204,'DB animal categories'!$C$68:$AC$80,27,FALSE)*AJ206-'Calc (ex-housing, ex-storage)'!AC206,IF(AI206=4,('Calc (ex-animal)'!$L$42+'Calc (ex-animal)'!$K$42)*'Calc (ex-housing, ex-storage)'!F206/100*AG206/100*VLOOKUP(D206,'DB technologies'!$N$82:$Y$94,11,FALSE)/100/VLOOKUP($C$204,'DB animal categories'!$C$68:$AC$80,27,FALSE)*AJ206-AC206*VLOOKUP(D206,'DB technologies'!$N$82:$Y$94,11,FALSE)/100,0))))</f>
        <v/>
      </c>
      <c r="AP206" s="180" t="str">
        <f>IF(D206="","",IF(AO206&lt;-0.01,0,IF(AI206=2,(('Calc (ex-animal)'!$L$42*'Calc (ex-housing, ex-storage)'!F206/100+'Calc (ex-animal)'!$K$42*'Calc (ex-housing, ex-storage)'!F206/100))*AG206/100/VLOOKUP($C$204,'DB animal categories'!$C$68:$AC$80,27,FALSE)*AJ206+Q206+R206+S206-AC206,IF(AI206=1,('Calc (ex-animal)'!$L$42*'Calc (ex-housing, ex-storage)'!F206/100)*AG206/100/VLOOKUP($C$204,'DB animal categories'!$C$68:$AC$80,27,FALSE)*AJ206-'Calc (ex-housing, ex-storage)'!AC206,IF(AI206=4,('Calc (ex-animal)'!$L$42+'Calc (ex-animal)'!$K$42)*'Calc (ex-housing, ex-storage)'!F206/100*AG206/100*VLOOKUP(D206,'DB technologies'!$N$82:$Y$94,11,FALSE)/100/VLOOKUP($C$204,'DB animal categories'!$C$68:$AC$80,27,FALSE)*AJ206-AC206*VLOOKUP(D206,'DB technologies'!$N$82:$Y$94,11,FALSE)/100,0)))))</f>
        <v/>
      </c>
      <c r="AQ206" s="180" t="str">
        <f>IF(D206="","",IF(AI206=2,('Calc (ex-animal)'!$O$42*'Calc (ex-housing, ex-storage)'!F206/100+'Calc (ex-animal)'!$N$42*'Calc (ex-housing, ex-storage)'!F206/100)*AG206/100/VLOOKUP($C$204,'DB animal categories'!$C$68:$AC$80,27,FALSE)*AJ206+U206+V206+W206,IF(AI206=1,'Calc (ex-animal)'!$O$42*'Calc (ex-housing, ex-storage)'!F206/100*AG206/100/VLOOKUP($C$204,'DB animal categories'!$C$68:$AC$80,27,FALSE)*AJ206,IF(AI206=4,('Calc (ex-animal)'!$O$42+'Calc (ex-animal)'!$N$42)*'Calc (ex-housing, ex-storage)'!F206/100*AG206/100*VLOOKUP(D206,'DB technologies'!$N$82:$Y$94,11,FALSE)/100/VLOOKUP($C$204,'DB animal categories'!$C$68:$AC$80,27,FALSE)*AJ206,0))))</f>
        <v/>
      </c>
      <c r="AR206" s="180" t="str">
        <f>IF(D206="","",IF(AI206=2,('Calc (ex-animal)'!$R$42*'Calc (ex-housing, ex-storage)'!F206/100+'Calc (ex-animal)'!$Q$42*'Calc (ex-housing, ex-storage)'!F206/100)*AG206/100/VLOOKUP($C$204,'DB animal categories'!$C$68:$AC$80,27,FALSE)*AJ206+Y206+Z206+AA206,IF(AI206=1,'Calc (ex-animal)'!$R$42*'Calc (ex-housing, ex-storage)'!F206/100*AG206/100/VLOOKUP($C$204,'DB animal categories'!$C$68:$AC$80,27,FALSE)*AJ206,IF(AI206=4,('Calc (ex-animal)'!$R$42+'Calc (ex-animal)'!$Q$42)*'Calc (ex-housing, ex-storage)'!F206/100*AG206/100*VLOOKUP(D206,'DB technologies'!$N$82:$Y$94,11,FALSE)/100/VLOOKUP($C$204,'DB animal categories'!$C$68:$AC$80,27,FALSE)*AJ206,0))))</f>
        <v/>
      </c>
      <c r="AS206" s="179" t="str">
        <f>IF(D206="","",VLOOKUP(D206,'DB technologies'!$N$82:$Y$94,10,FALSE))</f>
        <v/>
      </c>
      <c r="AT206" s="453" t="str">
        <f t="shared" ref="AT206:AT213" si="40">IF(AS206="","",AU206+AV206)</f>
        <v/>
      </c>
      <c r="AU206" s="453" t="str">
        <f>IF(D206="","",IF(AS206=2,0,IF(AS206=1,'Calc (ex-animal)'!$G$42*'DB additional information '!$K$12/100*AG206/100*(1-VLOOKUP(D206,'DB technologies'!$N$82:$Y$94,8,FALSE)/100)*'Calc (ex-housing, ex-storage)'!F206/100/VLOOKUP($C$204,'DB animal categories'!$C$68:$AC$80,27,FALSE)*AJ206+I206+J206+K206,IF(AS206=5,(('Calc (ex-animal)'!$G$42*'DB additional information '!$K$12/100+'Calc (ex-animal)'!$H$42*'DB additional information '!$L$12/100))*AG206/100*(1-VLOOKUP(D206,'DB technologies'!$N$82:$Y$94,9,FALSE)/100)*'Calc (ex-housing, ex-storage)'!F206/100/VLOOKUP($C$204,'DB animal categories'!$C$68:$AC$80,27,FALSE)*AJ206+I206+J206+K206,IF(AS206=3,('Calc (ex-animal)'!$G$42*'DB additional information '!$K$12/100+'Calc (ex-animal)'!$H$42*'DB additional information '!$L$12/100)*AG206/100*(1-VLOOKUP(D206,'DB technologies'!$N$82:$Y$94,9,FALSE)/100)*'Calc (ex-housing, ex-storage)'!F206/100/VLOOKUP($C$204,'DB animal categories'!$C$68:$AC$80,27,FALSE)*AJ206+I206+J206+K206,IF(AS206=4,('Calc (ex-animal)'!$G$42*'DB additional information '!$K$12/100+'Calc (ex-animal)'!$H$42*'DB additional information '!$L$12/100)*AG206/100*(1-VLOOKUP(D206,'DB technologies'!$N$82:$Y$94,9,FALSE)/100)*'Calc (ex-housing, ex-storage)'!F206/100*VLOOKUP(D206,'DB technologies'!$N$82:$Y$94,12,FALSE)/100/VLOOKUP($C$204,'DB animal categories'!$C$68:$AC$80,27,FALSE)*AJ206+I206+J206+K206,0))))))</f>
        <v/>
      </c>
      <c r="AV206" s="453" t="str">
        <f>IF(D206="","",IF(AS206=2,0,IF(AS206=1,'Calc (ex-animal)'!$G$42*(1-'DB additional information '!$K$12/100)*AG206/100*(1-VLOOKUP(D206,'DB technologies'!$N$82:$Y$94,8,FALSE)/100)*'Calc (ex-housing, ex-storage)'!F206/100/VLOOKUP($C$204,'DB animal categories'!$C$68:$AC$80,27,FALSE)*AJ206+M206+N206+O206,IF(AS206=5,('Calc (ex-animal)'!$G$42*(1-'DB additional information '!$K$12/100)+'Calc (ex-animal)'!$H$42*(1-'DB additional information '!$L$12/100))*AG206/100*(1-VLOOKUP(D206,'DB technologies'!$N$82:$Y$94,8,FALSE)/100)*'Calc (ex-housing, ex-storage)'!F206/100/VLOOKUP($C$204,'DB animal categories'!$C$68:$AC$80,27,FALSE)*AJ206+M206+N206+O206,IF(AS206=3,('Calc (ex-animal)'!$G$42*(1-'DB additional information '!$K$12/100)+'Calc (ex-animal)'!$H$42*(1-'DB additional information '!$L$12/100))*AG206/100*(1-VLOOKUP(D206,'DB technologies'!$N$82:$Y$94,8,FALSE)/100)*'Calc (ex-housing, ex-storage)'!F206/100/VLOOKUP($C$204,'DB animal categories'!$C$68:$AC$80,27,FALSE)*AJ206+M206+N206+O206,IF(AS206=4,('Calc (ex-animal)'!$G$42*(1-'DB additional information '!$K$12/100)+'Calc (ex-animal)'!$H$42*(1-'DB additional information '!$L$12/100))*AG206/100*(1-VLOOKUP(D206,'DB technologies'!$N$82:$Y$94,8,FALSE)/100)*'Calc (ex-housing, ex-storage)'!F206/100*VLOOKUP(D206,'DB technologies'!$N$82:$Y$94,12,FALSE)/100/VLOOKUP($C$204,'DB animal categories'!$C$68:$AC$80,27,FALSE)*AJ206+M206+N206+O206,0))))))</f>
        <v/>
      </c>
      <c r="AW206" s="453" t="str">
        <f t="shared" ref="AW206:AW213" si="41">IF(AS206="","",IF(AU206=0,0,AU206/AT206*100))</f>
        <v/>
      </c>
      <c r="AX206" s="180" t="str">
        <f>IF(D206="","",IF(AS206=2,0,IF(AS206=1,'Calc (ex-animal)'!$K$42*'Calc (ex-housing, ex-storage)'!F206/100*AG206/100/VLOOKUP($C$204,'DB animal categories'!$C$68:$AC$80,27,FALSE)*AJ206+Q206+R206+S206,IF(AS206=5,('Calc (ex-animal)'!$K$42+'Calc (ex-animal)'!$L$42)*AG206/100*'Calc (ex-housing, ex-storage)'!F206/100/VLOOKUP($C$204,'DB animal categories'!$C$68:$AC$80,27,FALSE)*AJ206+Q206+R206+S206-'Calc (ex-housing, ex-storage)'!AC206,IF(AS206=3,('Calc (ex-animal)'!$K$42+'Calc (ex-animal)'!$L$42)*AG206/100*'Calc (ex-housing, ex-storage)'!F206/100/VLOOKUP($C$204,'DB animal categories'!$C$68:$AC$80,27,FALSE)*AJ206+Q206+R206+S206-'Calc (ex-housing, ex-storage)'!AC206-AD206-AE206,IF(AI206=4,('Calc (ex-animal)'!$K$42+'Calc (ex-animal)'!$L$42)*AG206/100*'Calc (ex-housing, ex-storage)'!F206/100*VLOOKUP(D206,'DB technologies'!$N$82:$Y$94,12,FALSE)/100/VLOOKUP($C$204,'DB animal categories'!$C$68:$AC$80,27,FALSE)*AJ206+Q206+R206+S206-(VLOOKUP(D206,'DB technologies'!$N$82:$Y$94,12,FALSE)/100*AC206)-AD206-AE206,0))))))</f>
        <v/>
      </c>
      <c r="AY206" s="180" t="str">
        <f>IF(D206="","",IF(AS206=2,0,IF(AS206=1,'Calc (ex-animal)'!$N$42*AG206/100*'Calc (ex-housing, ex-storage)'!F206/100/VLOOKUP($C$204,'DB animal categories'!$C$68:$AC$80,27,FALSE)*AJ206+U206+V206+W206,IF(AS206=5,('Calc (ex-animal)'!$N$42+'Calc (ex-animal)'!$O$42)*AG206/100*'Calc (ex-housing, ex-storage)'!F206/100/VLOOKUP($C$204,'DB animal categories'!$C$68:$AC$80,27,FALSE)*AJ206+U206+V206+W206,IF(AS206=3,('Calc (ex-animal)'!$N$42+'Calc (ex-animal)'!$O$42)*AG206/100*'Calc (ex-housing, ex-storage)'!F206/100/VLOOKUP($C$204,'DB animal categories'!$C$68:$AC$80,27,FALSE)*AJ206+U206+V206+W206,IF(AS206=4,('Calc (ex-animal)'!$N$42+'Calc (ex-animal)'!$O$42)*AG206/100*'Calc (ex-housing, ex-storage)'!F206/100*VLOOKUP(D206,'DB technologies'!$N$82:$Y$94,12,FALSE)/100/VLOOKUP($C$204,'DB animal categories'!$C$68:$AC$80,27,FALSE)*AJ206+U206+V206+W206,0))))))</f>
        <v/>
      </c>
      <c r="AZ206" s="180" t="str">
        <f>IF(D206="","",IF(AS206=2,0,IF(AS206=1,'Calc (ex-animal)'!$Q$42*AG206/100*'Calc (ex-housing, ex-storage)'!F206/100/VLOOKUP($C$204,'DB animal categories'!$C$68:$AC$80,27,FALSE)*AJ206+Y206+Z206+AA206,IF(AS206=5,('Calc (ex-animal)'!$Q$42+'Calc (ex-animal)'!$R$42)*AG206/100*'Calc (ex-housing, ex-storage)'!F206/100/VLOOKUP($C$204,'DB animal categories'!$C$68:$AC$80,27,FALSE)*AJ206+Y206+Z206+AA206,IF(AS206=3,('Calc (ex-animal)'!$Q$42+'Calc (ex-animal)'!$R$42)*AG206/100*'Calc (ex-housing, ex-storage)'!F206/100/VLOOKUP($C$204,'DB animal categories'!$C$68:$AC$80,27,FALSE)*AJ206+Y206+Z206+AA206,IF(AS206=4,('Calc (ex-animal)'!$Q$42+'Calc (ex-animal)'!$R$42)*AG206/100*'Calc (ex-housing, ex-storage)'!F206/100*VLOOKUP(D206,'DB technologies'!$N$82:$Y$94,12,FALSE)/100/VLOOKUP($C$204,'DB animal categories'!$C$68:$AC$80,27,FALSE)*AJ206+Y206+Z206+AA206,0))))))</f>
        <v/>
      </c>
      <c r="BA206" s="506"/>
      <c r="BB206" s="506"/>
      <c r="BC206" s="506"/>
    </row>
    <row r="207" spans="1:55" x14ac:dyDescent="0.2">
      <c r="A207" s="684"/>
      <c r="B207" s="695"/>
      <c r="C207" s="251"/>
      <c r="D207" s="1367"/>
      <c r="E207" s="1393"/>
      <c r="F207" s="692" t="str">
        <f>IF('Calc (ex-animal)'!$F$9=1,"",IF($C$152=0,"",IF(D207="","",E207/'Calc (ex-animal)'!$E$32*100)))</f>
        <v/>
      </c>
      <c r="G207" s="539" t="str">
        <f>IF($C$204=0,"",IF('Calc (ex-animal)'!$F$38=1,"",IF(D207="","",SUM(H207:O207))))</f>
        <v/>
      </c>
      <c r="H207" s="532" t="str">
        <f>IF('Calc (ex-animal)'!$F$38=1,"",IF(D207="","",(((VLOOKUP($C$204,'Calc (ex-animal)'!$D$38:$Y$42,6,FALSE)-VLOOKUP($C$204,'Calc (ex-animal)'!$D$38:$Y$42,17,FALSE))*F206/100*AH206/100))*VLOOKUP($C$204,'Calc (ex-animal)'!$D$38:$Y$42,7,FALSE)/100*(1-VLOOKUP(D207,'DB technologies'!$N$96:$Y$107,9,FALSE)/100)))</f>
        <v/>
      </c>
      <c r="I207" s="532" t="str">
        <f>IF(D207="","",((VLOOKUP(D207,'DB technologies'!$N$96:$Y$107,2,FALSE)*VLOOKUP($C$204,'DB animal categories'!$C$68:$AC$80,27,FALSE)*F206/1000*AH206/100)/VLOOKUP($C$204,'DB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'!$S$6/100*(1-VLOOKUP(D207,'DB technologies'!$N$96:$Y$107,9,FALSE)/100)))</f>
        <v/>
      </c>
      <c r="J207" s="533" t="str">
        <f>IF(D207="","",((VLOOKUP(D207,'DB technologies'!$N$96:$Y$107,3,FALSE)*VLOOKUP($C$204,'DB animal categories'!$C$68:$AC$80,27,FALSE)*E206/1000*AH206/100)/VLOOKUP($C$204,'DB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'!$S$7/100*(1-VLOOKUP(D207,'DB technologies'!$N$96:$Y$107,9,FALSE)/100)))</f>
        <v/>
      </c>
      <c r="K207" s="534" t="str">
        <f>IF(D207="","",((VLOOKUP(D207,'DB technologies'!$N$96:$Y$107,4,FALSE)*E206*AH206/100*'DB additional information '!$S$8/100*(1-VLOOKUP(D207,'DB technologies'!$N$96:$Y$107,9,FALSE)/100))/VLOOKUP($C$204,'DB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7" s="532" t="str">
        <f>IF('Calc (ex-animal)'!$F$38=1,"",IF(D207="","",(((VLOOKUP($C$204,'Calc (ex-animal)'!$D$38:$Y$42,6,FALSE)-VLOOKUP($C$204,'Calc (ex-animal)'!$D$38:$Y$42,17,FALSE))*F206/100*AH206/100))*(1-VLOOKUP($C$204,'Calc (ex-animal)'!$D$38:$Y$42,7,FALSE)/100)*(1-VLOOKUP(D207,'DB technologies'!$N$96:$V$107,8,FALSE)/100)))</f>
        <v/>
      </c>
      <c r="M207" s="533" t="str">
        <f>IF(D207="","",((VLOOKUP(D207,'DB technologies'!$N$96:$Y$107,2,FALSE)*VLOOKUP($C$204,'DB animal categories'!$C$68:$AC$80,27,FALSE)*E206/1000*AH206/100)/VLOOKUP($C$204,'DB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'!$S$6/100)*(1-VLOOKUP(D207,'DB technologies'!$N$96:$Y$107,9,FALSE)/100))</f>
        <v/>
      </c>
      <c r="N207" s="533" t="str">
        <f>IF(D207="","",((VLOOKUP(D207,'DB technologies'!$N$96:$Y$107,3,FALSE)*VLOOKUP($C$204,'DB animal categories'!$C$68:$AC$80,27,FALSE)*E206/1000*AH206/100)/VLOOKUP($C$204,'DB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'!$S$7/100)*(1-VLOOKUP(D207,'DB technologies'!$N$96:$Y$107,9,FALSE)/100))</f>
        <v/>
      </c>
      <c r="O207" s="532" t="str">
        <f>IF(D207="","",((VLOOKUP(D207,'DB technologies'!$N$96:$Y$107,4,FALSE)*E206*AH206/100*(1-'DB additional information '!$S$8/100)*(1-VLOOKUP(D207,'DB technologies'!$N$96:$Y$107,8,FALSE)/100))/VLOOKUP($C$204,'DB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7" s="535" t="str">
        <f>IF(G207=0,0,IF(E206="","",IF(F206="","",IF($C$204=0,"",IF(D207="","",SUM(H207:K207)/G207*100)))))</f>
        <v/>
      </c>
      <c r="Q207" s="536" t="str">
        <f>IF(D207="","",(VLOOKUP(D207,'DB technologies'!$N$96:$Y$107,2,FALSE)*'DB additional information '!$S$6/100*'DB additional information '!$T$6*VLOOKUP($C$204,'DB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7" s="536" t="str">
        <f>IF(D207="","",(VLOOKUP(D207,'DB technologies'!$N$96:$Y$107,3,FALSE)*'DB additional information '!$S$7/100*'DB additional information '!$T$7*VLOOKUP($C$204,'DB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7" s="543" t="str">
        <f>IF(D207="","",(VLOOKUP(D207,'DB technologies'!$N$96:$Y$107,4,FALSE)*('DB additional information '!$S$8/100*'DB additional information '!$T$8*E206/1000/1000*AH206/100)))</f>
        <v/>
      </c>
      <c r="T207" s="303" t="str">
        <f>IF($C$204=0,"",IF('Calc (ex-animal)'!$F$38=1,"",IF(D207="","",((VLOOKUP($C$204,'Calc (ex-animal)'!$D$38:$Y$42,10,FALSE)-VLOOKUP($C$204,'Calc (ex-animal)'!$D$38:$Y$42,18,FALSE))*F206/100*AH206/100+Q207+R207+S207)-AC207-AD207-AE207)))</f>
        <v/>
      </c>
      <c r="U207" s="542" t="str">
        <f>IF(D207="","",(VLOOKUP(D207,'DB technologies'!$N$96:$Y$107,2,FALSE)*'DB additional information '!$S$6/100*'DB additional information '!$U$6*VLOOKUP($C$204,'DB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7" s="524" t="str">
        <f>IF(D207="","",(VLOOKUP(D207,'DB technologies'!$N$96:$Y$107,3,FALSE)*'DB additional information '!$S$7/100*'DB additional information '!$U$7*VLOOKUP($C$204,'DB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7" s="543" t="str">
        <f>IF(D207="","",(VLOOKUP(D207,'DB technologies'!$N$96:$Y$107,4,FALSE)*('DB additional information '!$S$8/100*'DB additional information '!$U$8*E206/1000/1000*AH206/100)))</f>
        <v/>
      </c>
      <c r="X207" s="304" t="str">
        <f>IF($C$204=0,"",IF('Calc (ex-animal)'!$F$38=1,"",IF(D207="","",((VLOOKUP($C$204,'Calc (ex-animal)'!$D$38:$Y$42,13,FALSE)-VLOOKUP($C$204,'Calc (ex-animal)'!$D$38:$Y$42,19,FALSE))*F206/100*AH206/100+U207+V207+W207))))</f>
        <v/>
      </c>
      <c r="Y207" s="524" t="str">
        <f>IF(D207="","",(VLOOKUP(D207,'DB technologies'!$N$96:$Y$107,2,FALSE)*'DB additional information '!$S$6/100*'DB additional information '!$V$6*VLOOKUP($C$204,'DB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7" s="524" t="str">
        <f>IF(D207="","",(VLOOKUP(D207,'DB technologies'!$N$96:$Y$107,3,FALSE)*'DB additional information '!$S$7/100*'DB additional information '!$V$7*VLOOKUP($C$204,'DB animal categories'!$C$68:$AC$80,27,FALSE)*E206/1000/1000*AH206/100)/VLOOKUP($C$204,'DB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7" s="524" t="str">
        <f>IF(D207="","",(VLOOKUP(D207,'DB technologies'!$N$96:$Y$107,4,FALSE)*('DB additional information '!$S$8/100*'DB additional information '!$V$8*E206/1000/1000*AH206/100)))</f>
        <v/>
      </c>
      <c r="AB207" s="304" t="str">
        <f>IF($C$204=0,"",IF('Calc (ex-animal)'!$F$38=1,"",IF(D207="","",((VLOOKUP($C$204,'Calc (ex-animal)'!$D$38:$Y$42,16,FALSE)-VLOOKUP($C$204,'Calc (ex-animal)'!$D$38:$Y$42,20,FALSE))*F206/100*AH206/100+Y207+Z207+AA207))))</f>
        <v/>
      </c>
      <c r="AC207" s="304" t="str">
        <f>IF($C$204=0,"",IF('Calc (ex-animal)'!$F$38=1,"",IF(D207="","",VLOOKUP($C$204,'Calc (ex-animal)'!$D$38:$Y$42,9,FALSE)*AH206/100/VLOOKUP($C$204,'DB animal categories'!$C$68:$AC$80,27,FALSE)*(VLOOKUP($C$204,'DB animal categories'!$C$68:$AC$80,27,FALSE)-VLOOKUP($C$204,'DB animal categories'!$C$68:$AC$80,25,FALSE)*VLOOKUP($C$204,'DB animal categories'!$C$68:$AC$80,26,FALSE)/24)*F206/100*VLOOKUP(D207,'DB technologies'!$N$96:$R$107,5,FALSE)/100)))</f>
        <v/>
      </c>
      <c r="AD207" s="304" t="str">
        <f>IF($C$204=0,"",IF('Calc (ex-animal)'!$F$38=1,"",IF(D207="","",VLOOKUP($C$204,'Calc (ex-animal)'!$D$38:$Y$42,10,FALSE)*AH206/100/VLOOKUP($C$204,'DB animal categories'!$C$68:$AC$80,27,FALSE)*(VLOOKUP($C$204,'DB animal categories'!$C$68:$AC$80,27,FALSE)-VLOOKUP($C$204,'DB animal categories'!$C$68:$AC$80,25,FALSE)*VLOOKUP($C$204,'DB animal categories'!$C$68:$AC$80,26,FALSE)/24)*F206/100*VLOOKUP(D207,'DB technologies'!$N$96:$Y$107,6,FALSE)/100)))</f>
        <v/>
      </c>
      <c r="AE207" s="305" t="str">
        <f>IF($C$204=0,"",IF('Calc (ex-animal)'!$F$38=1,"",IF(D207="","",VLOOKUP($C$204,'Calc (ex-animal)'!$D$38:$Y$42,10,FALSE)*AH206/100/VLOOKUP($C$204,'DB animal categories'!$C$68:$AC$80,27,FALSE)*(VLOOKUP($C$204,'DB animal categories'!$C$68:$AC$80,27,FALSE)-VLOOKUP($C$204,'DB animal categories'!$C$68:$AC$80,25,FALSE)*VLOOKUP($C$204,'DB animal categories'!$C$68:$AC$80,26,FALSE)/24)*F206/100*VLOOKUP(D207,'DB technologies'!$N$96:$Y$107,7,FALSE)/100)))</f>
        <v/>
      </c>
      <c r="AG207" s="1390"/>
      <c r="AH207" s="1380"/>
      <c r="AI207" s="187" t="str">
        <f>IF(D207="","",VLOOKUP(D207,'DB technologies'!$N$96:$Y$107,10,FALSE))</f>
        <v/>
      </c>
      <c r="AJ207" s="451" t="e">
        <f>VLOOKUP($C$204,'DB animal categories'!$C$68:$AN$80,27,FALSE)-VLOOKUP($C$204,'DB animal categories'!$C$68:$AN$80,26,FALSE)*VLOOKUP($C$204,'DB animal categories'!$C$68:$AN$80,25,FALSE)/24</f>
        <v>#N/A</v>
      </c>
      <c r="AK207" s="452" t="str">
        <f t="shared" si="38"/>
        <v/>
      </c>
      <c r="AL207" s="452" t="str">
        <f>IF(D207="","",IF(AI207=2,(('Calc (ex-animal)'!$G$42*'DB additional information '!$K$12/100*AH206/100*(1-VLOOKUP(D207,'DB technologies'!$N$96:$Y$107,9,FALSE)/100)*'Calc (ex-housing, ex-storage)'!F206/100+'Calc (ex-animal)'!$H$42*'DB additional information '!$L$12/100*AH206/100*(1-VLOOKUP(D207,'DB technologies'!$N$96:$Y$107,9,FALSE)/100)*'Calc (ex-housing, ex-storage)'!F206/100))/VLOOKUP($C$204,'DB animal categories'!$C$68:$AC$80,27,FALSE)*AJ207+I207+J207+K207,IF(AI207=1,('Calc (ex-animal)'!$H$42*AH206/100*'DB additional information '!$L$12/100*(1-VLOOKUP(D207,'DB technologies'!$N$96:$Y$107,9,FALSE)/100)*'Calc (ex-housing, ex-storage)'!F206/100)/VLOOKUP($C$204,'DB animal categories'!$C$68:$AC$80,27,FALSE)*AJ207,IF(AI207=4,('Calc (ex-animal)'!$G$42*'DB additional information '!$K$12/100+'Calc (ex-animal)'!$H$42*'DB additional information '!$L$12/100)*AH206/100*(1-VLOOKUP(D207,'DB technologies'!$N$96:$Y$107,9,FALSE)/100)*'Calc (ex-housing, ex-storage)'!F206/100*VLOOKUP(D207,'DB technologies'!$N$96:$Y$107,11,FALSE)/100/VLOOKUP($C$204,'DB animal categories'!$C$68:$AC$80,27,FALSE)*AJ207,0))))</f>
        <v/>
      </c>
      <c r="AM207" s="452" t="str">
        <f>IF(D207="","",IF(AI207=2,(('Calc (ex-animal)'!$G$42*(1-'DB additional information '!$K$12/100)*AH206/100*(1-VLOOKUP(D207,'DB technologies'!$N$96:$Y$107,8,FALSE)/100)*'Calc (ex-housing, ex-storage)'!F206/100+'Calc (ex-animal)'!$H$42*(1-'DB additional information '!$L$12/100)*AH206/100*(1-VLOOKUP(D207,'DB technologies'!$N$96:$Y$107,8,FALSE)/100)*'Calc (ex-housing, ex-storage)'!F206/100))/VLOOKUP($C$204,'DB animal categories'!$C$68:$AC$80,27,FALSE)*AJ207+M207+N207+O207,IF(AI207=1,('Calc (ex-animal)'!$H$42*(1-'DB additional information '!$L$12/100)*AH206/100*(1-VLOOKUP(D207,'DB technologies'!$N$96:$Y$107,8,FALSE)/100)*'Calc (ex-housing, ex-storage)'!F206/100)/VLOOKUP($C$204,'DB animal categories'!$C$68:$AC$80,27,FALSE)*AJ207,IF(AI207=4,('Calc (ex-animal)'!$G$42*(1-'DB additional information '!$K$12/100)+'Calc (ex-animal)'!$H$42*(1-'DB additional information '!$L$12/100))*AH206/100*(1-VLOOKUP(D207,'DB technologies'!$N$96:$Y$107,8,FALSE)/100)*'Calc (ex-housing, ex-storage)'!F206/100*VLOOKUP(D207,'DB technologies'!$N$96:$Y$107,11,FALSE)/100/VLOOKUP($C$204,'DB animal categories'!$C$68:$AC$80,27,FALSE)*AJ207,0))))</f>
        <v/>
      </c>
      <c r="AN207" s="452" t="str">
        <f t="shared" si="39"/>
        <v/>
      </c>
      <c r="AO207" s="184" t="str">
        <f>IF(D207="","",IF(AI207=2,(('Calc (ex-animal)'!$L$42*'Calc (ex-housing, ex-storage)'!F206/100+'Calc (ex-animal)'!$K$42*'Calc (ex-housing, ex-storage)'!F206/100))*AH206/100/VLOOKUP($C$204,'DB animal categories'!$C$68:$AC$80,27,FALSE)*AJ207+Q207+R207+S207-AC207,IF(AI207=1,('Calc (ex-animal)'!$L$42*'Calc (ex-housing, ex-storage)'!F206/100)*AH206/100/VLOOKUP($C$204,'DB animal categories'!$C$68:$AC$80,27,FALSE)*AJ207-'Calc (ex-housing, ex-storage)'!AC207,IF(AI207=4,('Calc (ex-animal)'!$L$42+'Calc (ex-animal)'!$K$42)*'Calc (ex-housing, ex-storage)'!F206/100*AH206/100*VLOOKUP(D207,'DB technologies'!$N$96:$Y$107,11,FALSE)/100/VLOOKUP($C$204,'DB animal categories'!$C$68:$AC$80,27,FALSE)*AJ207-AC207*VLOOKUP(D207,'DB technologies'!$N$96:$Y$107,11,FALSE)/100,0))))</f>
        <v/>
      </c>
      <c r="AP207" s="184" t="str">
        <f>IF(D207="","",IF(AO207&lt;-0.01,0,IF(AI207=2,(('Calc (ex-animal)'!$L$42*'Calc (ex-housing, ex-storage)'!F206/100+'Calc (ex-animal)'!$K$42*'Calc (ex-housing, ex-storage)'!F206/100))*AH206/100/VLOOKUP($C$204,'DB animal categories'!$C$68:$AC$80,27,FALSE)*AJ207+Q207+R207+S207-AC207,IF(AI207=1,('Calc (ex-animal)'!$L$42*'Calc (ex-housing, ex-storage)'!F206/100)*AH206/100/VLOOKUP($C$204,'DB animal categories'!$C$68:$AC$80,27,FALSE)*AJ207-'Calc (ex-housing, ex-storage)'!AC207,IF(AI207=4,('Calc (ex-animal)'!$L$42+'Calc (ex-animal)'!$K$42)*'Calc (ex-housing, ex-storage)'!F206/100*AH206/100*VLOOKUP(D207,'DB technologies'!$N$96:$Y$107,11,FALSE)/100/VLOOKUP($C$204,'DB animal categories'!$C$68:$AC$80,27,FALSE)*AJ207-AC207*VLOOKUP(D207,'DB technologies'!$N$96:$Y$107,11,FALSE)/100,0)))))</f>
        <v/>
      </c>
      <c r="AQ207" s="184" t="str">
        <f>IF(D207="","",IF(AI207=2,('Calc (ex-animal)'!$O$42*'Calc (ex-housing, ex-storage)'!F206/100+'Calc (ex-animal)'!$N$42*'Calc (ex-housing, ex-storage)'!F206/100)*AH206/100/VLOOKUP($C$204,'DB animal categories'!$C$68:$AC$80,27,FALSE)*AJ207+U207+V207+W207,IF(AI207=1,'Calc (ex-animal)'!$O$42*'Calc (ex-housing, ex-storage)'!F206/100*AH206/100/VLOOKUP($C$204,'DB animal categories'!$C$68:$AC$80,27,FALSE)*AJ207,IF(AI207=4,('Calc (ex-animal)'!$O$42+'Calc (ex-animal)'!$N$42)*'Calc (ex-housing, ex-storage)'!F206/100*AH206/100*VLOOKUP(D207,'DB technologies'!$N$96:$Y$107,11,FALSE)/100/VLOOKUP($C$204,'DB animal categories'!$C$68:$AC$80,27,FALSE)*AJ207,0))))</f>
        <v/>
      </c>
      <c r="AR207" s="184" t="str">
        <f>IF(D207="","",IF(AI207=2,('Calc (ex-animal)'!$R$42*'Calc (ex-housing, ex-storage)'!F206/100+'Calc (ex-animal)'!$Q$42*'Calc (ex-housing, ex-storage)'!F206/100)*AH206/100/VLOOKUP($C$204,'DB animal categories'!$C$68:$AC$80,27,FALSE)*AJ207+Y207+Z207+AA207,IF(AI207=1,'Calc (ex-animal)'!$R$42*'Calc (ex-housing, ex-storage)'!F206/100*AH206/100/VLOOKUP($C$204,'DB animal categories'!$C$68:$AC$80,27,FALSE)*AJ207,IF(AI207=4,('Calc (ex-animal)'!$R$42+'Calc (ex-animal)'!$Q$42)*'Calc (ex-housing, ex-storage)'!F206/100*AH206/100*VLOOKUP(D207,'DB technologies'!$N$96:$Y$107,11,FALSE)/100/VLOOKUP($C$204,'DB animal categories'!$C$68:$AC$80,27,FALSE)*AJ207,0))))</f>
        <v/>
      </c>
      <c r="AS207" s="183" t="str">
        <f>IF(D207="","",VLOOKUP(D207,'DB technologies'!$N$96:$Y$107,10,FALSE))</f>
        <v/>
      </c>
      <c r="AT207" s="452" t="str">
        <f t="shared" si="40"/>
        <v/>
      </c>
      <c r="AU207" s="452" t="str">
        <f>IF(D207="","",IF(AS207=2,0,IF(AS207=1,'Calc (ex-animal)'!$G$42*'DB additional information '!$K$12/100*AH206/100*(1-VLOOKUP(D207,'DB technologies'!$N$96:$Y$107,8,FALSE)/100)*'Calc (ex-housing, ex-storage)'!F206/100/VLOOKUP($C$204,'DB animal categories'!$C$68:$AC$80,27,FALSE)*AJ207+I207+J207+K207,IF(AS207=5,(('Calc (ex-animal)'!$G$42*'DB additional information '!$K$12/100+'Calc (ex-animal)'!$H$42*'DB additional information '!$L$12/100))*AH206/100*(1-VLOOKUP(D207,'DB technologies'!$N$96:$Y$107,9,FALSE)/100)*'Calc (ex-housing, ex-storage)'!F206/100/VLOOKUP($C$204,'DB animal categories'!$C$68:$AC$80,27,FALSE)*AJ207+I207+J207+K207,IF(AS207=3,('Calc (ex-animal)'!$G$42*'DB additional information '!$K$12/100+'Calc (ex-animal)'!$H$42*'DB additional information '!$L$12/100)*AH206/100*(1-VLOOKUP(D207,'DB technologies'!$N$96:$Y$107,9,FALSE)/100)*'Calc (ex-housing, ex-storage)'!F206/100/VLOOKUP($C$204,'DB animal categories'!$C$68:$AC$80,27,FALSE)*AJ207+I207+J207+K207,IF(AS207=4,('Calc (ex-animal)'!$G$42*'DB additional information '!$K$12/100+'Calc (ex-animal)'!$H$42*'DB additional information '!$L$12/100)*AH206/100*(1-VLOOKUP(D207,'DB technologies'!$N$96:$Y$107,9,FALSE)/100)*'Calc (ex-housing, ex-storage)'!F206/100*VLOOKUP(D207,'DB technologies'!$N$96:$Y$107,12,FALSE)/100/VLOOKUP($C$204,'DB animal categories'!$C$68:$AC$80,27,FALSE)*AJ207+I207+J207+K207,0))))))</f>
        <v/>
      </c>
      <c r="AV207" s="452" t="str">
        <f>IF(D207="","",IF(AS207=2,0,IF(AS207=1,'Calc (ex-animal)'!$G$42*(1-'DB additional information '!$K$12/100)*AH206/100*(1-VLOOKUP(D207,'DB technologies'!$N$96:$Y$107,8,FALSE)/100)*'Calc (ex-housing, ex-storage)'!F206/100/VLOOKUP($C$204,'DB animal categories'!$C$68:$AC$80,27,FALSE)*AJ207+M207+N207+O207,IF(AS207=5,('Calc (ex-animal)'!$G$42*(1-'DB additional information '!$K$12/100)+'Calc (ex-animal)'!$H$42*(1-'DB additional information '!$L$12/100))*AH206/100*(1-VLOOKUP(D207,'DB technologies'!$N$96:$Y$107,8,FALSE)/100)*'Calc (ex-housing, ex-storage)'!F206/100/VLOOKUP($C$204,'DB animal categories'!$C$68:$AC$80,27,FALSE)*AJ207+M207+N207+O207,IF(AS207=3,('Calc (ex-animal)'!$G$42*(1-'DB additional information '!$K$12/100)+'Calc (ex-animal)'!$H$42*(1-'DB additional information '!$L$12/100))*AH206/100*(1-VLOOKUP(D207,'DB technologies'!$N$96:$Y$107,8,FALSE)/100)*'Calc (ex-housing, ex-storage)'!F206/100/VLOOKUP($C$204,'DB animal categories'!$C$68:$AC$80,27,FALSE)*AJ207+M207+N207+O207,IF(AS207=4,('Calc (ex-animal)'!$G$42*(1-'DB additional information '!$K$12/100)+'Calc (ex-animal)'!$H$42*(1-'DB additional information '!$L$12/100))*AH206/100*(1-VLOOKUP(D207,'DB technologies'!$N$96:$Y$107,8,FALSE)/100)*'Calc (ex-housing, ex-storage)'!F206/100*VLOOKUP(D207,'DB technologies'!$N$96:$Y$107,12,FALSE)/100/VLOOKUP($C$204,'DB animal categories'!$C$68:$AC$80,27,FALSE)*AJ207+M207+N207+O207,0))))))</f>
        <v/>
      </c>
      <c r="AW207" s="452" t="str">
        <f t="shared" si="41"/>
        <v/>
      </c>
      <c r="AX207" s="184" t="str">
        <f>IF(D207="","",IF(AS207=2,0,IF(AS207=1,'Calc (ex-animal)'!$K$42*'Calc (ex-housing, ex-storage)'!F206/100*AH206/100/VLOOKUP($C$204,'DB animal categories'!$C$68:$AC$80,27,FALSE)*AJ207+Q207+R207+S207,IF(AS207=5,('Calc (ex-animal)'!$K$42+'Calc (ex-animal)'!$L$42)*AH206/100*'Calc (ex-housing, ex-storage)'!F206/100/VLOOKUP($C$204,'DB animal categories'!$C$68:$AC$80,27,FALSE)*AJ207+Q207+R207+S207-'Calc (ex-housing, ex-storage)'!AC207,IF(AS207=3,('Calc (ex-animal)'!$K$42+'Calc (ex-animal)'!$L$42)*AH206/100*'Calc (ex-housing, ex-storage)'!F206/100/VLOOKUP($C$204,'DB animal categories'!$C$68:$AC$80,27,FALSE)*AJ207+Q207+R207+S207-'Calc (ex-housing, ex-storage)'!AC207-AD207-AE207,IF(AI207=4,('Calc (ex-animal)'!$K$42+'Calc (ex-animal)'!$L$42)*AH206/100*'Calc (ex-housing, ex-storage)'!F206/100*VLOOKUP(D207,'DB technologies'!$N$96:$Y$107,12,FALSE)/100/VLOOKUP($C$204,'DB animal categories'!$C$68:$AC$80,27,FALSE)*AJ207+Q207+R207+S207-(VLOOKUP(D207,'DB technologies'!$N$96:$Y$107,12,FALSE)/100*AC207)-AD207-AE207,0))))))</f>
        <v/>
      </c>
      <c r="AY207" s="184" t="str">
        <f>IF(D207="","",IF(AS207=2,0,IF(AS207=1,'Calc (ex-animal)'!$N$42*AH206/100*'Calc (ex-housing, ex-storage)'!F206/100/VLOOKUP($C$204,'DB animal categories'!$C$68:$AC$80,27,FALSE)*AJ207+U207+V207+W207,IF(AS207=5,('Calc (ex-animal)'!$N$42+'Calc (ex-animal)'!$O$42)*AH206/100*'Calc (ex-housing, ex-storage)'!F206/100/VLOOKUP($C$204,'DB animal categories'!$C$68:$AC$80,27,FALSE)*AJ207+U207+V207+W207,IF(AS207=3,('Calc (ex-animal)'!$N$42+'Calc (ex-animal)'!$O$42)*AH206/100*'Calc (ex-housing, ex-storage)'!F206/100/VLOOKUP($C$204,'DB animal categories'!$C$68:$AC$80,27,FALSE)*AJ207+U207+V207+W207,IF(AS207=4,('Calc (ex-animal)'!$N$42+'Calc (ex-animal)'!$O$42)*AH206/100*'Calc (ex-housing, ex-storage)'!F206/100*VLOOKUP(D207,'DB technologies'!$N$96:$Y$107,12,FALSE)/100/VLOOKUP($C$204,'DB animal categories'!$C$68:$AC$80,27,FALSE)*AJ207+U207+V207+W207,0))))))</f>
        <v/>
      </c>
      <c r="AZ207" s="184" t="str">
        <f>IF(D207="","",IF(AS207=2,0,IF(AS207=1,'Calc (ex-animal)'!$Q$42*AH206/100*'Calc (ex-housing, ex-storage)'!F206/100/VLOOKUP($C$204,'DB animal categories'!$C$68:$AC$80,27,FALSE)*AJ207+Y207+Z207+AA207,IF(AS207=5,('Calc (ex-animal)'!$Q$42+'Calc (ex-animal)'!$R$42)*AH206/100*'Calc (ex-housing, ex-storage)'!F206/100/VLOOKUP($C$204,'DB animal categories'!$C$68:$AC$80,27,FALSE)*AJ207+Y207+Z207+AA207,IF(AS207=3,('Calc (ex-animal)'!$Q$42+'Calc (ex-animal)'!$R$42)*AH206/100*'Calc (ex-housing, ex-storage)'!F206/100/VLOOKUP($C$204,'DB animal categories'!$C$68:$AC$80,27,FALSE)*AJ207+Y207+Z207+AA207,IF(AS207=4,('Calc (ex-animal)'!$Q$42+'Calc (ex-animal)'!$R$42)*AH206/100*'Calc (ex-housing, ex-storage)'!F206/100*VLOOKUP(D207,'DB technologies'!$N$96:$Y$107,12,FALSE)/100/VLOOKUP($C$204,'DB animal categories'!$C$68:$AC$80,27,FALSE)*AJ207+Y207+Z207+AA207,0))))))</f>
        <v/>
      </c>
      <c r="BA207" s="506"/>
      <c r="BB207" s="506"/>
      <c r="BC207" s="506"/>
    </row>
    <row r="208" spans="1:55" x14ac:dyDescent="0.2">
      <c r="A208" s="684"/>
      <c r="B208" s="695"/>
      <c r="C208" s="251"/>
      <c r="D208" s="1357"/>
      <c r="E208" s="1394"/>
      <c r="F208" s="692" t="str">
        <f>IF('Calc (ex-animal)'!$F$38=1,"",IF($C$204=0,"",IF(D208="","",E208/'Calc (ex-animal)'!$E$42*100)))</f>
        <v/>
      </c>
      <c r="G208" s="438" t="str">
        <f>IF($C$204=0,"",IF('Calc (ex-animal)'!$F$38=1,"",IF(D208="","",SUM(H208:O208))))</f>
        <v/>
      </c>
      <c r="H208" s="423" t="str">
        <f>IF('Calc (ex-animal)'!$F$38=1,"",IF(D208="","",(((VLOOKUP($C$204,'Calc (ex-animal)'!$D$38:$Y$42,6,FALSE)-VLOOKUP($C$204,'Calc (ex-animal)'!$D$38:$Y$42,17,FALSE))*F208/100*AG208/100))*VLOOKUP($C$204,'Calc (ex-animal)'!$D$38:$Y$42,7,FALSE)/100*(1-VLOOKUP(D208,'DB technologies'!$N$83:$Y$94,9,FALSE)/100)))</f>
        <v/>
      </c>
      <c r="I208" s="423" t="str">
        <f>IF(D208="","",((VLOOKUP(D208,'DB technologies'!$N$83:$Y$94,2,FALSE)*VLOOKUP($C$204,'DB animal categories'!$C$68:$AC$80,27,FALSE)*E208/1000*AG208/100)/VLOOKUP($C$204,'DB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'!$S$6/100*(1-VLOOKUP(D208,'DB technologies'!$N$83:$Y$94,9,FALSE)/100)))</f>
        <v/>
      </c>
      <c r="J208" s="434" t="str">
        <f>IF(D208="","",((VLOOKUP(D208,'DB technologies'!$N$83:$Y$94,3,FALSE)*VLOOKUP($C$204,'DB animal categories'!$C$68:$AC$80,27,FALSE)*E208/1000*AG208/100)/VLOOKUP($C$204,'DB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'!$S$7/100*(1-VLOOKUP(D208,'DB technologies'!$N$83:$Y$94,9,FALSE)/100)))</f>
        <v/>
      </c>
      <c r="K208" s="526" t="str">
        <f>IF(D208="","",((VLOOKUP(D208,'DB technologies'!$N$83:$Y$94,4,FALSE)*E208*AG208/100*'DB additional information '!$S$8/100*(1-VLOOKUP(D208,'DB technologies'!$N$83:$Y$94,9,FALSE)/100))/VLOOKUP($C$204,'DB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8" s="423" t="str">
        <f>IF('Calc (ex-animal)'!$F$38=1,"",IF(D208="","",(((VLOOKUP($C$204,'Calc (ex-animal)'!$D$38:$Y$42,6,FALSE)-VLOOKUP($C$204,'Calc (ex-animal)'!$D$38:$Y$42,17,FALSE))*F208/100*AG208/100))*(1-VLOOKUP($C$204,'Calc (ex-animal)'!$D$38:$Y$42,7,FALSE)/100)*(1-VLOOKUP(D208,'DB technologies'!$N$83:$V$94,8,FALSE)/100)))</f>
        <v/>
      </c>
      <c r="M208" s="434" t="str">
        <f>IF(D208="","",((VLOOKUP(D208,'DB technologies'!$N$83:$Y$94,2,FALSE)*VLOOKUP($C$204,'DB animal categories'!$C$68:$AC$80,27,FALSE)*E208/1000*AG208/100)/VLOOKUP($C$204,'DB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'!$S$6/100)*(1-VLOOKUP(D208,'DB technologies'!$N$83:$Y$94,9,FALSE)/100))</f>
        <v/>
      </c>
      <c r="N208" s="434" t="str">
        <f>IF(D208="","",((VLOOKUP(D208,'DB technologies'!$N$83:$Y$94,3,FALSE)*VLOOKUP($C$204,'DB animal categories'!$C$68:$AC$80,27,FALSE)*E208/1000*AG208/100)/VLOOKUP($C$204,'DB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'!$S$7/100)*(1-VLOOKUP(D208,'DB technologies'!$N$83:$Y$94,9,FALSE)/100))</f>
        <v/>
      </c>
      <c r="O208" s="423" t="str">
        <f>IF(D208="","",((VLOOKUP(D208,'DB technologies'!$N$83:$Y$94,4,FALSE)*E208*AG208/100*(1-'DB additional information '!$S$8/100)*(1-VLOOKUP(D208,'DB technologies'!$N$83:$Y$94,8,FALSE)/100))/VLOOKUP($C$204,'DB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8" s="438" t="str">
        <f>IF(G208=0,0,IF(E208="","",IF(F208="","",IF($C$204=0,"",IF(D208="","",SUM(H208:K208)/G208*100)))))</f>
        <v/>
      </c>
      <c r="Q208" s="416" t="str">
        <f>IF(D208="","",(VLOOKUP(D208,'DB technologies'!$N$83:$Y$94,2,FALSE)*'DB additional information '!$S$6/100*'DB additional information '!$T$6*VLOOKUP($C$204,'DB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8" s="416" t="str">
        <f>IF(D208="","",(VLOOKUP(D208,'DB technologies'!$N$83:$Y$94,3,FALSE)*'DB additional information '!$S$7/100*'DB additional information '!$T$7*VLOOKUP($C$204,'DB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8" s="417" t="str">
        <f>IF(D208="","",(VLOOKUP(D208,'DB technologies'!$N$83:$Y$94,4,FALSE)*('DB additional information '!$S$8/100*'DB additional information '!$T$8*E208/1000/1000*AG208/100)))</f>
        <v/>
      </c>
      <c r="T208" s="264" t="str">
        <f>IF($C$204=0,"",IF('Calc (ex-animal)'!$F$38=1,"",IF(D208="","",((VLOOKUP($C$204,'Calc (ex-animal)'!$D$38:$Y$42,10,FALSE)-VLOOKUP($C$204,'Calc (ex-animal)'!$D$38:$Y$42,18,FALSE))*F208/100*AG208/100+Q208+R208+S208)-AC208-AD208-AE208)))</f>
        <v/>
      </c>
      <c r="U208" s="422" t="str">
        <f>IF(D208="","",(VLOOKUP(D208,'DB technologies'!$N$83:$Y$94,2,FALSE)*'DB additional information '!$S$6/100*'DB additional information '!$U$6*VLOOKUP($C$204,'DB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8" s="418" t="str">
        <f>IF(D208="","",(VLOOKUP(D208,'DB technologies'!$N$83:$Y$94,3,FALSE)*'DB additional information '!$S$7/100*'DB additional information '!$U$7*VLOOKUP($C$204,'DB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8" s="417" t="str">
        <f>IF(D208="","",(VLOOKUP(D208,'DB technologies'!$N$83:$Y$94,4,FALSE)*('DB additional information '!$S$8/100*'DB additional information '!$U$8*E208/1000/1000*AG208/100)))</f>
        <v/>
      </c>
      <c r="X208" s="261" t="str">
        <f>IF($C$204=0,"",IF('Calc (ex-animal)'!$F$38=1,"",IF(D208="","",((VLOOKUP($C$204,'Calc (ex-animal)'!$D$38:$Y$42,13,FALSE)-VLOOKUP($C$204,'Calc (ex-animal)'!$D$38:$Y$42,19,FALSE))*F208/100*AG208/100+U208+V208+W208))))</f>
        <v/>
      </c>
      <c r="Y208" s="418" t="str">
        <f>IF(D208="","",(VLOOKUP(D208,'DB technologies'!$N$83:$Y$94,2,FALSE)*'DB additional information '!$S$6/100*'DB additional information '!$V$6*VLOOKUP($C$204,'DB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8" s="418" t="str">
        <f>IF(D208="","",(VLOOKUP(D208,'DB technologies'!$N$83:$Y$94,3,FALSE)*'DB additional information '!$S$7/100*'DB additional information '!$V$7*VLOOKUP($C$204,'DB animal categories'!$C$68:$AC$80,27,FALSE)*E208/1000/1000*AG208/100)/VLOOKUP($C$204,'DB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8" s="418" t="str">
        <f>IF(D208="","",(VLOOKUP(D208,'DB technologies'!$N$83:$Y$94,4,FALSE)*('DB additional information '!$S$8/100*'DB additional information '!$V$8*E208/1000/1000*AG208/100)))</f>
        <v/>
      </c>
      <c r="AB208" s="261" t="str">
        <f>IF($C$204=0,"",IF('Calc (ex-animal)'!$F$38=1,"",IF(D208="","",((VLOOKUP($C$204,'Calc (ex-animal)'!$D$38:$Y$42,16,FALSE)-VLOOKUP($C$204,'Calc (ex-animal)'!$D$38:$Y$42,20,FALSE))*F208/100*AG208/100+Y208+Z208+AA208))))</f>
        <v/>
      </c>
      <c r="AC208" s="261" t="str">
        <f>IF($C$204=0,"",IF('Calc (ex-animal)'!$F$38=1,"",IF(D208="","",VLOOKUP($C$204,'Calc (ex-animal)'!$D$38:$Y$42,9,FALSE)*AG208/100/VLOOKUP($C$204,'DB animal categories'!$C$68:$AC$80,27,FALSE)*(VLOOKUP($C$204,'DB animal categories'!$C$68:$AC$80,27,FALSE)-VLOOKUP($C$204,'DB animal categories'!$C$68:$AC$80,25,FALSE)*VLOOKUP($C$204,'DB animal categories'!$C$68:$AC$80,26,FALSE)/24)*F208/100*VLOOKUP(D208,'DB technologies'!$N$83:$R$94,5,FALSE)/100)))</f>
        <v/>
      </c>
      <c r="AD208" s="261" t="str">
        <f>IF($C$204=0,"",IF('Calc (ex-animal)'!$F$38=1,"",IF(D208="","",VLOOKUP($C$204,'Calc (ex-animal)'!$D$38:$Y$42,10,FALSE)*AG208/100/VLOOKUP($C$204,'DB animal categories'!$C$68:$AC$80,27,FALSE)*(VLOOKUP($C$204,'DB animal categories'!$C$68:$AC$80,27,FALSE)-VLOOKUP($C$204,'DB animal categories'!$C$68:$AC$80,25,FALSE)*VLOOKUP($C$204,'DB animal categories'!$C$68:$AC$80,26,FALSE)/24)*F208/100*VLOOKUP(D208,'DB technologies'!$N$83:$Y$94,6,FALSE)/100)))</f>
        <v/>
      </c>
      <c r="AE208" s="262" t="str">
        <f>IF($C$204=0,"",IF('Calc (ex-animal)'!$F$38=1,"",IF(D208="","",VLOOKUP($C$204,'Calc (ex-animal)'!$D$38:$Y$42,10,FALSE)*AG208/100/VLOOKUP($C$204,'DB animal categories'!$C$68:$AC$80,27,FALSE)*(VLOOKUP($C$204,'DB animal categories'!$C$68:$AC$80,27,FALSE)-VLOOKUP($C$204,'DB animal categories'!$C$68:$AC$80,25,FALSE)*VLOOKUP($C$204,'DB animal categories'!$C$68:$AC$80,26,FALSE)/24)*F208/100*VLOOKUP(D208,'DB technologies'!$N$83:$Y$94,7,FALSE)/100)))</f>
        <v/>
      </c>
      <c r="AG208" s="1389"/>
      <c r="AH208" s="1382"/>
      <c r="AI208" s="185" t="str">
        <f>IF(D208="","",VLOOKUP(D208,'DB technologies'!$N$82:$Y$94,10,FALSE))</f>
        <v/>
      </c>
      <c r="AJ208" s="482" t="e">
        <f>VLOOKUP($C$204,'DB animal categories'!$C$68:$AN$80,27,FALSE)-VLOOKUP($C$204,'DB animal categories'!$C$68:$AN$80,26,FALSE)*VLOOKUP($C$204,'DB animal categories'!$C$68:$AN$80,25,FALSE)/24</f>
        <v>#N/A</v>
      </c>
      <c r="AK208" s="453" t="str">
        <f t="shared" si="38"/>
        <v/>
      </c>
      <c r="AL208" s="453" t="str">
        <f>IF(D208="","",IF(AI208=2,(('Calc (ex-animal)'!$G$42*'DB additional information '!$K$12/100*AG208/100*(1-VLOOKUP(D208,'DB technologies'!$N$82:$Y$94,9,FALSE)/100)*'Calc (ex-housing, ex-storage)'!F208/100+'Calc (ex-animal)'!$H$42*'DB additional information '!$L$12/100*AG208/100*(1-VLOOKUP(D208,'DB technologies'!$N$82:$Y$94,9,FALSE)/100)*'Calc (ex-housing, ex-storage)'!F208/100))/VLOOKUP($C$204,'DB animal categories'!$C$68:$AC$80,27,FALSE)*AJ208+I208+J208+K208,IF(AI208=1,('Calc (ex-animal)'!$H$42*AG208/100*'DB additional information '!$L$12/100*(1-VLOOKUP(D208,'DB technologies'!$N$82:$Y$94,9,FALSE)/100)*'Calc (ex-housing, ex-storage)'!F208/100)/VLOOKUP($C$204,'DB animal categories'!$C$68:$AC$80,27,FALSE)*AJ208,IF(AI208=4,('Calc (ex-animal)'!$G$42*'DB additional information '!$K$12/100+'Calc (ex-animal)'!$H$42*'DB additional information '!$L$12/100)*AG208/100*(1-VLOOKUP(D208,'DB technologies'!$N$82:$Y$94,9,FALSE)/100)*'Calc (ex-housing, ex-storage)'!F208/100*VLOOKUP(D208,'DB technologies'!$N$82:$Y$94,11,FALSE)/100/VLOOKUP($C$204,'DB animal categories'!$C$68:$AC$80,27,FALSE)*AJ208,0))))</f>
        <v/>
      </c>
      <c r="AM208" s="453" t="str">
        <f>IF(D208="","",IF(AI208=2,(('Calc (ex-animal)'!$G$42*(1-'DB additional information '!$K$12/100)*AG208/100*(1-VLOOKUP(D208,'DB technologies'!$N$82:$Y$94,8,FALSE)/100)*'Calc (ex-housing, ex-storage)'!F208/100+'Calc (ex-animal)'!$H$42*(1-'DB additional information '!$L$12/100)*AG208/100*(1-VLOOKUP(D208,'DB technologies'!$N$82:$Y$94,8,FALSE)/100)*'Calc (ex-housing, ex-storage)'!F208/100))/VLOOKUP($C$204,'DB animal categories'!$C$68:$AC$80,27,FALSE)*AJ208+M208+N208+O208,IF(AI208=1,('Calc (ex-animal)'!$H$42*(1-'DB additional information '!$L$12/100)*AG208/100*(1-VLOOKUP(D208,'DB technologies'!$N$82:$Y$94,8,FALSE)/100)*'Calc (ex-housing, ex-storage)'!F208/100)/VLOOKUP($C$204,'DB animal categories'!$C$68:$AC$80,27,FALSE)*AJ208,IF(AI208=4,('Calc (ex-animal)'!$G$42*(1-'DB additional information '!$K$12/100)+'Calc (ex-animal)'!$H$42*(1-'DB additional information '!$L$12/100))*AG208/100*(1-VLOOKUP(D208,'DB technologies'!$N$82:$Y$94,8,FALSE)/100)*'Calc (ex-housing, ex-storage)'!F208/100*VLOOKUP(D208,'DB technologies'!$N$82:$Y$94,11,FALSE)/100/VLOOKUP($C$204,'DB animal categories'!$C$68:$AC$80,27,FALSE)*AJ208,0))))</f>
        <v/>
      </c>
      <c r="AN208" s="453" t="str">
        <f t="shared" si="39"/>
        <v/>
      </c>
      <c r="AO208" s="180" t="str">
        <f>IF(D208="","",IF(AI208=2,(('Calc (ex-animal)'!$L$42*'Calc (ex-housing, ex-storage)'!F208/100+'Calc (ex-animal)'!$K$42*'Calc (ex-housing, ex-storage)'!F208/100))*AG208/100/VLOOKUP($C$204,'DB animal categories'!$C$68:$AC$80,27,FALSE)*AJ208+Q208+R208+S208-AC208,IF(AI208=1,('Calc (ex-animal)'!$L$42*'Calc (ex-housing, ex-storage)'!F208/100)*AG208/100/VLOOKUP($C$204,'DB animal categories'!$C$68:$AC$80,27,FALSE)*AJ208-'Calc (ex-housing, ex-storage)'!AC208,IF(AI208=4,('Calc (ex-animal)'!$L$42+'Calc (ex-animal)'!$K$42)*'Calc (ex-housing, ex-storage)'!F208/100*AG208/100*VLOOKUP(D208,'DB technologies'!$N$82:$Y$94,11,FALSE)/100/VLOOKUP($C$204,'DB animal categories'!$C$68:$AC$80,27,FALSE)*AJ208-AC208*VLOOKUP(D208,'DB technologies'!$N$82:$Y$94,11,FALSE)/100,0))))</f>
        <v/>
      </c>
      <c r="AP208" s="180" t="str">
        <f>IF(D208="","",IF(AO208&lt;-0.01,0,IF(AI208=2,(('Calc (ex-animal)'!$L$42*'Calc (ex-housing, ex-storage)'!F208/100+'Calc (ex-animal)'!$K$42*'Calc (ex-housing, ex-storage)'!F208/100))*AG208/100/VLOOKUP($C$204,'DB animal categories'!$C$68:$AC$80,27,FALSE)*AJ208+Q208+R208+S208-AC208,IF(AI208=1,('Calc (ex-animal)'!$L$42*'Calc (ex-housing, ex-storage)'!F208/100)*AG208/100/VLOOKUP($C$204,'DB animal categories'!$C$68:$AC$80,27,FALSE)*AJ208-'Calc (ex-housing, ex-storage)'!AC208,IF(AI208=4,('Calc (ex-animal)'!$L$42+'Calc (ex-animal)'!$K$42)*'Calc (ex-housing, ex-storage)'!F208/100*AG208/100*VLOOKUP(D208,'DB technologies'!$N$82:$Y$94,11,FALSE)/100/VLOOKUP($C$204,'DB animal categories'!$C$68:$AC$80,27,FALSE)*AJ208-AC208*VLOOKUP(D208,'DB technologies'!$N$82:$Y$94,11,FALSE)/100,0)))))</f>
        <v/>
      </c>
      <c r="AQ208" s="180" t="str">
        <f>IF(D208="","",IF(AI208=2,('Calc (ex-animal)'!$O$42*'Calc (ex-housing, ex-storage)'!F208/100+'Calc (ex-animal)'!$N$42*'Calc (ex-housing, ex-storage)'!F208/100)*AG208/100/VLOOKUP($C$204,'DB animal categories'!$C$68:$AC$80,27,FALSE)*AJ208+U208+V208+W208,IF(AI208=1,'Calc (ex-animal)'!$O$42*'Calc (ex-housing, ex-storage)'!F208/100*AG208/100/VLOOKUP($C$204,'DB animal categories'!$C$68:$AC$80,27,FALSE)*AJ208,IF(AI208=4,('Calc (ex-animal)'!$O$42+'Calc (ex-animal)'!$N$42)*'Calc (ex-housing, ex-storage)'!F208/100*AG208/100*VLOOKUP(D208,'DB technologies'!$N$82:$Y$94,11,FALSE)/100/VLOOKUP($C$204,'DB animal categories'!$C$68:$AC$80,27,FALSE)*AJ208,0))))</f>
        <v/>
      </c>
      <c r="AR208" s="180" t="str">
        <f>IF(D208="","",IF(AI208=2,('Calc (ex-animal)'!$R$42*'Calc (ex-housing, ex-storage)'!F208/100+'Calc (ex-animal)'!$Q$42*'Calc (ex-housing, ex-storage)'!F208/100)*AG208/100/VLOOKUP($C$204,'DB animal categories'!$C$68:$AC$80,27,FALSE)*AJ208+Y208+Z208+AA208,IF(AI208=1,'Calc (ex-animal)'!$R$42*'Calc (ex-housing, ex-storage)'!F208/100*AG208/100/VLOOKUP($C$204,'DB animal categories'!$C$68:$AC$80,27,FALSE)*AJ208,IF(AI208=4,('Calc (ex-animal)'!$R$42+'Calc (ex-animal)'!$Q$42)*'Calc (ex-housing, ex-storage)'!F208/100*AG208/100*VLOOKUP(D208,'DB technologies'!$N$82:$Y$94,11,FALSE)/100/VLOOKUP($C$204,'DB animal categories'!$C$68:$AC$80,27,FALSE)*AJ208,0))))</f>
        <v/>
      </c>
      <c r="AS208" s="179" t="str">
        <f>IF(D208="","",VLOOKUP(D208,'DB technologies'!$N$82:$Y$94,10,FALSE))</f>
        <v/>
      </c>
      <c r="AT208" s="453" t="str">
        <f t="shared" si="40"/>
        <v/>
      </c>
      <c r="AU208" s="453" t="str">
        <f>IF(D208="","",IF(AS208=2,0,IF(AS208=1,'Calc (ex-animal)'!$G$42*'DB additional information '!$K$12/100*AG208/100*(1-VLOOKUP(D208,'DB technologies'!$N$82:$Y$94,8,FALSE)/100)*'Calc (ex-housing, ex-storage)'!F208/100/VLOOKUP($C$204,'DB animal categories'!$C$68:$AC$80,27,FALSE)*AJ208+I208+J208+K208,IF(AS208=5,(('Calc (ex-animal)'!$G$42*'DB additional information '!$K$12/100+'Calc (ex-animal)'!$H$42*'DB additional information '!$L$12/100))*AG208/100*(1-VLOOKUP(D208,'DB technologies'!$N$82:$Y$94,9,FALSE)/100)*'Calc (ex-housing, ex-storage)'!F208/100/VLOOKUP($C$204,'DB animal categories'!$C$68:$AC$80,27,FALSE)*AJ208+I208+J208+K208,IF(AS208=3,('Calc (ex-animal)'!$G$42*'DB additional information '!$K$12/100+'Calc (ex-animal)'!$H$42*'DB additional information '!$L$12/100)*AG208/100*(1-VLOOKUP(D208,'DB technologies'!$N$82:$Y$94,9,FALSE)/100)*'Calc (ex-housing, ex-storage)'!F208/100/VLOOKUP($C$204,'DB animal categories'!$C$68:$AC$80,27,FALSE)*AJ208+I208+J208+K208,IF(AS208=4,('Calc (ex-animal)'!$G$42*'DB additional information '!$K$12/100+'Calc (ex-animal)'!$H$42*'DB additional information '!$L$12/100)*AG208/100*(1-VLOOKUP(D208,'DB technologies'!$N$82:$Y$94,9,FALSE)/100)*'Calc (ex-housing, ex-storage)'!F208/100*VLOOKUP(D208,'DB technologies'!$N$82:$Y$94,12,FALSE)/100/VLOOKUP($C$204,'DB animal categories'!$C$68:$AC$80,27,FALSE)*AJ208+I208+J208+K208,0))))))</f>
        <v/>
      </c>
      <c r="AV208" s="453" t="str">
        <f>IF(D208="","",IF(AS208=2,0,IF(AS208=1,'Calc (ex-animal)'!$G$42*(1-'DB additional information '!$K$12/100)*AG208/100*(1-VLOOKUP(D208,'DB technologies'!$N$82:$Y$94,8,FALSE)/100)*'Calc (ex-housing, ex-storage)'!F208/100/VLOOKUP($C$204,'DB animal categories'!$C$68:$AC$80,27,FALSE)*AJ208+M208+N208+O208,IF(AS208=5,('Calc (ex-animal)'!$G$42*(1-'DB additional information '!$K$12/100)+'Calc (ex-animal)'!$H$42*(1-'DB additional information '!$L$12/100))*AG208/100*(1-VLOOKUP(D208,'DB technologies'!$N$82:$Y$94,8,FALSE)/100)*'Calc (ex-housing, ex-storage)'!F208/100/VLOOKUP($C$204,'DB animal categories'!$C$68:$AC$80,27,FALSE)*AJ208+M208+N208+O208,IF(AS208=3,('Calc (ex-animal)'!$G$42*(1-'DB additional information '!$K$12/100)+'Calc (ex-animal)'!$H$42*(1-'DB additional information '!$L$12/100))*AG208/100*(1-VLOOKUP(D208,'DB technologies'!$N$82:$Y$94,8,FALSE)/100)*'Calc (ex-housing, ex-storage)'!F208/100/VLOOKUP($C$204,'DB animal categories'!$C$68:$AC$80,27,FALSE)*AJ208+M208+N208+O208,IF(AS208=4,('Calc (ex-animal)'!$G$42*(1-'DB additional information '!$K$12/100)+'Calc (ex-animal)'!$H$42*(1-'DB additional information '!$L$12/100))*AG208/100*(1-VLOOKUP(D208,'DB technologies'!$N$82:$Y$94,8,FALSE)/100)*'Calc (ex-housing, ex-storage)'!F208/100*VLOOKUP(D208,'DB technologies'!$N$82:$Y$94,12,FALSE)/100/VLOOKUP($C$204,'DB animal categories'!$C$68:$AC$80,27,FALSE)*AJ208+M208+N208+O208,0))))))</f>
        <v/>
      </c>
      <c r="AW208" s="453" t="str">
        <f t="shared" si="41"/>
        <v/>
      </c>
      <c r="AX208" s="180" t="str">
        <f>IF(D208="","",IF(AS208=2,0,IF(AS208=1,'Calc (ex-animal)'!$K$42*'Calc (ex-housing, ex-storage)'!F208/100*AG208/100/VLOOKUP($C$204,'DB animal categories'!$C$68:$AC$80,27,FALSE)*AJ208+Q208+R208+S208,IF(AS208=5,('Calc (ex-animal)'!$K$42+'Calc (ex-animal)'!$L$42)*AG208/100*'Calc (ex-housing, ex-storage)'!F208/100/VLOOKUP($C$204,'DB animal categories'!$C$68:$AC$80,27,FALSE)*AJ208+Q208+R208+S208-'Calc (ex-housing, ex-storage)'!AC208,IF(AS208=3,('Calc (ex-animal)'!$K$42+'Calc (ex-animal)'!$L$42)*AG208/100*'Calc (ex-housing, ex-storage)'!F208/100/VLOOKUP($C$204,'DB animal categories'!$C$68:$AC$80,27,FALSE)*AJ208+Q208+R208+S208-'Calc (ex-housing, ex-storage)'!AC208-AD208-AE208,IF(AI208=4,('Calc (ex-animal)'!$K$42+'Calc (ex-animal)'!$L$42)*AG208/100*'Calc (ex-housing, ex-storage)'!F208/100*VLOOKUP(D208,'DB technologies'!$N$82:$Y$94,12,FALSE)/100/VLOOKUP($C$204,'DB animal categories'!$C$68:$AC$80,27,FALSE)*AJ208+Q208+R208+S208-(VLOOKUP(D208,'DB technologies'!$N$82:$Y$94,12,FALSE)/100*AC208)-AD208-AE208,0))))))</f>
        <v/>
      </c>
      <c r="AY208" s="180" t="str">
        <f>IF(D208="","",IF(AS208=2,0,IF(AS208=1,'Calc (ex-animal)'!$N$42*AG208/100*'Calc (ex-housing, ex-storage)'!F208/100/VLOOKUP($C$204,'DB animal categories'!$C$68:$AC$80,27,FALSE)*AJ208+U208+V208+W208,IF(AS208=5,('Calc (ex-animal)'!$N$42+'Calc (ex-animal)'!$O$42)*AG208/100*'Calc (ex-housing, ex-storage)'!F208/100/VLOOKUP($C$204,'DB animal categories'!$C$68:$AC$80,27,FALSE)*AJ208+U208+V208+W208,IF(AS208=3,('Calc (ex-animal)'!$N$42+'Calc (ex-animal)'!$O$42)*AG208/100*'Calc (ex-housing, ex-storage)'!F208/100/VLOOKUP($C$204,'DB animal categories'!$C$68:$AC$80,27,FALSE)*AJ208+U208+V208+W208,IF(AS208=4,('Calc (ex-animal)'!$N$42+'Calc (ex-animal)'!$O$42)*AG208/100*'Calc (ex-housing, ex-storage)'!F208/100*VLOOKUP(D208,'DB technologies'!$N$82:$Y$94,12,FALSE)/100/VLOOKUP($C$204,'DB animal categories'!$C$68:$AC$80,27,FALSE)*AJ208+U208+V208+W208,0))))))</f>
        <v/>
      </c>
      <c r="AZ208" s="180" t="str">
        <f>IF(D208="","",IF(AS208=2,0,IF(AS208=1,'Calc (ex-animal)'!$Q$42*AG208/100*'Calc (ex-housing, ex-storage)'!F208/100/VLOOKUP($C$204,'DB animal categories'!$C$68:$AC$80,27,FALSE)*AJ208+Y208+Z208+AA208,IF(AS208=5,('Calc (ex-animal)'!$Q$42+'Calc (ex-animal)'!$R$42)*AG208/100*'Calc (ex-housing, ex-storage)'!F208/100/VLOOKUP($C$204,'DB animal categories'!$C$68:$AC$80,27,FALSE)*AJ208+Y208+Z208+AA208,IF(AS208=3,('Calc (ex-animal)'!$Q$42+'Calc (ex-animal)'!$R$42)*AG208/100*'Calc (ex-housing, ex-storage)'!F208/100/VLOOKUP($C$204,'DB animal categories'!$C$68:$AC$80,27,FALSE)*AJ208+Y208+Z208+AA208,IF(AS208=4,('Calc (ex-animal)'!$Q$42+'Calc (ex-animal)'!$R$42)*AG208/100*'Calc (ex-housing, ex-storage)'!F208/100*VLOOKUP(D208,'DB technologies'!$N$82:$Y$94,12,FALSE)/100/VLOOKUP($C$204,'DB animal categories'!$C$68:$AC$80,27,FALSE)*AJ208+Y208+Z208+AA208,0))))))</f>
        <v/>
      </c>
      <c r="BA208" s="506"/>
      <c r="BB208" s="506"/>
      <c r="BC208" s="506"/>
    </row>
    <row r="209" spans="1:55" x14ac:dyDescent="0.2">
      <c r="A209" s="684"/>
      <c r="B209" s="695"/>
      <c r="C209" s="251"/>
      <c r="D209" s="1367"/>
      <c r="E209" s="1393"/>
      <c r="F209" s="692" t="str">
        <f>IF('Calc (ex-animal)'!$F$9=1,"",IF($C$152=0,"",IF(D209="","",E209/'Calc (ex-animal)'!$E$32*100)))</f>
        <v/>
      </c>
      <c r="G209" s="438" t="str">
        <f>IF($C$204=0,"",IF('Calc (ex-animal)'!$F$38=1,"",IF(D209="","",SUM(H209:O209))))</f>
        <v/>
      </c>
      <c r="H209" s="423" t="str">
        <f>IF('Calc (ex-animal)'!$F$38=1,"",IF(D209="","",(((VLOOKUP($C$204,'Calc (ex-animal)'!$D$38:$Y$42,6,FALSE)-VLOOKUP($C$204,'Calc (ex-animal)'!$D$38:$Y$42,17,FALSE))*F208/100*AH208/100))*VLOOKUP($C$204,'Calc (ex-animal)'!$D$38:$Y$42,7,FALSE)/100*(1-VLOOKUP(D209,'DB technologies'!$N$96:$Y$107,9,FALSE)/100)))</f>
        <v/>
      </c>
      <c r="I209" s="423" t="str">
        <f>IF(D209="","",((VLOOKUP(D209,'DB technologies'!$N$96:$Y$107,2,FALSE)*VLOOKUP($C$204,'DB animal categories'!$C$68:$AC$80,27,FALSE)*F208/1000*AH208/100)/VLOOKUP($C$204,'DB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'!$S$6/100*(1-VLOOKUP(D209,'DB technologies'!$N$96:$Y$107,9,FALSE)/100)))</f>
        <v/>
      </c>
      <c r="J209" s="434" t="str">
        <f>IF(D209="","",((VLOOKUP(D209,'DB technologies'!$N$96:$Y$107,3,FALSE)*VLOOKUP($C$204,'DB animal categories'!$C$68:$AC$80,27,FALSE)*E208/1000*AH208/100)/VLOOKUP($C$204,'DB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'!$S$7/100*(1-VLOOKUP(D209,'DB technologies'!$N$96:$Y$107,9,FALSE)/100)))</f>
        <v/>
      </c>
      <c r="K209" s="526" t="str">
        <f>IF(D209="","",((VLOOKUP(D209,'DB technologies'!$N$96:$Y$107,4,FALSE)*E208*AH208/100*'DB additional information '!$S$8/100*(1-VLOOKUP(D209,'DB technologies'!$N$96:$Y$107,9,FALSE)/100))/VLOOKUP($C$204,'DB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09" s="423" t="str">
        <f>IF('Calc (ex-animal)'!$F$38=1,"",IF(D209="","",(((VLOOKUP($C$204,'Calc (ex-animal)'!$D$38:$Y$42,6,FALSE)-VLOOKUP($C$204,'Calc (ex-animal)'!$D$38:$Y$42,17,FALSE))*F208/100*AH208/100))*(1-VLOOKUP($C$204,'Calc (ex-animal)'!$D$38:$Y$42,7,FALSE)/100)*(1-VLOOKUP(D209,'DB technologies'!$N$96:$V$107,8,FALSE)/100)))</f>
        <v/>
      </c>
      <c r="M209" s="434" t="str">
        <f>IF(D209="","",((VLOOKUP(D209,'DB technologies'!$N$96:$Y$107,2,FALSE)*VLOOKUP($C$204,'DB animal categories'!$C$68:$AC$80,27,FALSE)*E208/1000*AH208/100)/VLOOKUP($C$204,'DB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'!$S$6/100)*(1-VLOOKUP(D209,'DB technologies'!$N$96:$Y$107,9,FALSE)/100))</f>
        <v/>
      </c>
      <c r="N209" s="434" t="str">
        <f>IF(D209="","",((VLOOKUP(D209,'DB technologies'!$N$96:$Y$107,3,FALSE)*VLOOKUP($C$204,'DB animal categories'!$C$68:$AC$80,27,FALSE)*E208/1000*AH208/100)/VLOOKUP($C$204,'DB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'!$S$7/100)*(1-VLOOKUP(D209,'DB technologies'!$N$96:$Y$107,9,FALSE)/100))</f>
        <v/>
      </c>
      <c r="O209" s="423" t="str">
        <f>IF(D209="","",((VLOOKUP(D209,'DB technologies'!$N$96:$Y$107,4,FALSE)*E208*AH208/100*(1-'DB additional information '!$S$8/100)*(1-VLOOKUP(D209,'DB technologies'!$N$96:$Y$107,8,FALSE)/100))/VLOOKUP($C$204,'DB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09" s="438" t="str">
        <f>IF(G209=0,0,IF(E208="","",IF(F208="","",IF($C$204=0,"",IF(D209="","",SUM(H209:K209)/G209*100)))))</f>
        <v/>
      </c>
      <c r="Q209" s="416" t="str">
        <f>IF(D209="","",(VLOOKUP(D209,'DB technologies'!$N$96:$Y$107,2,FALSE)*'DB additional information '!$S$6/100*'DB additional information '!$T$6*VLOOKUP($C$204,'DB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09" s="416" t="str">
        <f>IF(D209="","",(VLOOKUP(D209,'DB technologies'!$N$96:$Y$107,3,FALSE)*'DB additional information '!$S$7/100*'DB additional information '!$T$7*VLOOKUP($C$204,'DB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09" s="417" t="str">
        <f>IF(D209="","",(VLOOKUP(D209,'DB technologies'!$N$96:$Y$107,4,FALSE)*('DB additional information '!$S$8/100*'DB additional information '!$T$8*E208/1000/1000*AH208/100)))</f>
        <v/>
      </c>
      <c r="T209" s="264" t="str">
        <f>IF($C$204=0,"",IF('Calc (ex-animal)'!$F$38=1,"",IF(D209="","",((VLOOKUP($C$204,'Calc (ex-animal)'!$D$38:$Y$42,10,FALSE)-VLOOKUP($C$204,'Calc (ex-animal)'!$D$38:$Y$42,18,FALSE))*F208/100*AH208/100+Q209+R209+S209)-AC209-AD209-AE209)))</f>
        <v/>
      </c>
      <c r="U209" s="422" t="str">
        <f>IF(D209="","",(VLOOKUP(D209,'DB technologies'!$N$96:$Y$107,2,FALSE)*'DB additional information '!$S$6/100*'DB additional information '!$U$6*VLOOKUP($C$204,'DB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09" s="418" t="str">
        <f>IF(D209="","",(VLOOKUP(D209,'DB technologies'!$N$96:$Y$107,3,FALSE)*'DB additional information '!$S$7/100*'DB additional information '!$U$7*VLOOKUP($C$204,'DB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09" s="417" t="str">
        <f>IF(D209="","",(VLOOKUP(D209,'DB technologies'!$N$96:$Y$107,4,FALSE)*('DB additional information '!$S$8/100*'DB additional information '!$U$8*E208/1000/1000*AH208/100)))</f>
        <v/>
      </c>
      <c r="X209" s="261" t="str">
        <f>IF($C$204=0,"",IF('Calc (ex-animal)'!$F$38=1,"",IF(D209="","",((VLOOKUP($C$204,'Calc (ex-animal)'!$D$38:$Y$42,13,FALSE)-VLOOKUP($C$204,'Calc (ex-animal)'!$D$38:$Y$42,19,FALSE))*F208/100*AH208/100+U209+V209+W209))))</f>
        <v/>
      </c>
      <c r="Y209" s="418" t="str">
        <f>IF(D209="","",(VLOOKUP(D209,'DB technologies'!$N$96:$Y$107,2,FALSE)*'DB additional information '!$S$6/100*'DB additional information '!$V$6*VLOOKUP($C$204,'DB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09" s="418" t="str">
        <f>IF(D209="","",(VLOOKUP(D209,'DB technologies'!$N$96:$Y$107,3,FALSE)*'DB additional information '!$S$7/100*'DB additional information '!$V$7*VLOOKUP($C$204,'DB animal categories'!$C$68:$AC$80,27,FALSE)*E208/1000/1000*AH208/100)/VLOOKUP($C$204,'DB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09" s="418" t="str">
        <f>IF(D209="","",(VLOOKUP(D209,'DB technologies'!$N$96:$Y$107,4,FALSE)*('DB additional information '!$S$8/100*'DB additional information '!$V$8*E208/1000/1000*AH208/100)))</f>
        <v/>
      </c>
      <c r="AB209" s="261" t="str">
        <f>IF($C$204=0,"",IF('Calc (ex-animal)'!$F$38=1,"",IF(D209="","",((VLOOKUP($C$204,'Calc (ex-animal)'!$D$38:$Y$42,16,FALSE)-VLOOKUP($C$204,'Calc (ex-animal)'!$D$38:$Y$42,20,FALSE))*F208/100*AH208/100+Y209+Z209+AA209))))</f>
        <v/>
      </c>
      <c r="AC209" s="261" t="str">
        <f>IF($C$204=0,"",IF('Calc (ex-animal)'!$F$38=1,"",IF(D209="","",VLOOKUP($C$204,'Calc (ex-animal)'!$D$38:$Y$42,9,FALSE)*AH208/100/VLOOKUP($C$204,'DB animal categories'!$C$68:$AC$80,27,FALSE)*(VLOOKUP($C$204,'DB animal categories'!$C$68:$AC$80,27,FALSE)-VLOOKUP($C$204,'DB animal categories'!$C$68:$AC$80,25,FALSE)*VLOOKUP($C$204,'DB animal categories'!$C$68:$AC$80,26,FALSE)/24)*F208/100*VLOOKUP(D209,'DB technologies'!$N$96:$R$107,5,FALSE)/100)))</f>
        <v/>
      </c>
      <c r="AD209" s="261" t="str">
        <f>IF($C$204=0,"",IF('Calc (ex-animal)'!$F$38=1,"",IF(D209="","",VLOOKUP($C$204,'Calc (ex-animal)'!$D$38:$Y$42,10,FALSE)*AH208/100/VLOOKUP($C$204,'DB animal categories'!$C$68:$AC$80,27,FALSE)*(VLOOKUP($C$204,'DB animal categories'!$C$68:$AC$80,27,FALSE)-VLOOKUP($C$204,'DB animal categories'!$C$68:$AC$80,25,FALSE)*VLOOKUP($C$204,'DB animal categories'!$C$68:$AC$80,26,FALSE)/24)*F208/100*VLOOKUP(D209,'DB technologies'!$N$96:$Y$107,6,FALSE)/100)))</f>
        <v/>
      </c>
      <c r="AE209" s="262" t="str">
        <f>IF($C$204=0,"",IF('Calc (ex-animal)'!$F$38=1,"",IF(D209="","",VLOOKUP($C$204,'Calc (ex-animal)'!$D$38:$Y$42,10,FALSE)*AH208/100/VLOOKUP($C$204,'DB animal categories'!$C$68:$AC$80,27,FALSE)*(VLOOKUP($C$204,'DB animal categories'!$C$68:$AC$80,27,FALSE)-VLOOKUP($C$204,'DB animal categories'!$C$68:$AC$80,25,FALSE)*VLOOKUP($C$204,'DB animal categories'!$C$68:$AC$80,26,FALSE)/24)*F208/100*VLOOKUP(D209,'DB technologies'!$N$96:$Y$107,7,FALSE)/100)))</f>
        <v/>
      </c>
      <c r="AG209" s="1390"/>
      <c r="AH209" s="1380"/>
      <c r="AI209" s="187" t="str">
        <f>IF(D209="","",VLOOKUP(D209,'DB technologies'!$N$96:$Y$107,10,FALSE))</f>
        <v/>
      </c>
      <c r="AJ209" s="451" t="e">
        <f>VLOOKUP($C$204,'DB animal categories'!$C$68:$AN$80,27,FALSE)-VLOOKUP($C$204,'DB animal categories'!$C$68:$AN$80,26,FALSE)*VLOOKUP($C$204,'DB animal categories'!$C$68:$AN$80,25,FALSE)/24</f>
        <v>#N/A</v>
      </c>
      <c r="AK209" s="452" t="str">
        <f t="shared" si="38"/>
        <v/>
      </c>
      <c r="AL209" s="452" t="str">
        <f>IF(D209="","",IF(AI209=2,(('Calc (ex-animal)'!$G$42*'DB additional information '!$K$12/100*AH208/100*(1-VLOOKUP(D209,'DB technologies'!$N$96:$Y$107,9,FALSE)/100)*'Calc (ex-housing, ex-storage)'!F208/100+'Calc (ex-animal)'!$H$42*'DB additional information '!$L$12/100*AH208/100*(1-VLOOKUP(D209,'DB technologies'!$N$96:$Y$107,9,FALSE)/100)*'Calc (ex-housing, ex-storage)'!F208/100))/VLOOKUP($C$204,'DB animal categories'!$C$68:$AC$80,27,FALSE)*AJ209+I209+J209+K209,IF(AI209=1,('Calc (ex-animal)'!$H$42*AH208/100*'DB additional information '!$L$12/100*(1-VLOOKUP(D209,'DB technologies'!$N$96:$Y$107,9,FALSE)/100)*'Calc (ex-housing, ex-storage)'!F208/100)/VLOOKUP($C$204,'DB animal categories'!$C$68:$AC$80,27,FALSE)*AJ209,IF(AI209=4,('Calc (ex-animal)'!$G$42*'DB additional information '!$K$12/100+'Calc (ex-animal)'!$H$42*'DB additional information '!$L$12/100)*AH208/100*(1-VLOOKUP(D209,'DB technologies'!$N$96:$Y$107,9,FALSE)/100)*'Calc (ex-housing, ex-storage)'!F208/100*VLOOKUP(D209,'DB technologies'!$N$96:$Y$107,11,FALSE)/100/VLOOKUP($C$204,'DB animal categories'!$C$68:$AC$80,27,FALSE)*AJ209,0))))</f>
        <v/>
      </c>
      <c r="AM209" s="452" t="str">
        <f>IF(D209="","",IF(AI209=2,(('Calc (ex-animal)'!$G$42*(1-'DB additional information '!$K$12/100)*AH208/100*(1-VLOOKUP(D209,'DB technologies'!$N$96:$Y$107,8,FALSE)/100)*'Calc (ex-housing, ex-storage)'!F208/100+'Calc (ex-animal)'!$H$42*(1-'DB additional information '!$L$12/100)*AH208/100*(1-VLOOKUP(D209,'DB technologies'!$N$96:$Y$107,8,FALSE)/100)*'Calc (ex-housing, ex-storage)'!F208/100))/VLOOKUP($C$204,'DB animal categories'!$C$68:$AC$80,27,FALSE)*AJ209+M209+N209+O209,IF(AI209=1,('Calc (ex-animal)'!$H$42*(1-'DB additional information '!$L$12/100)*AH208/100*(1-VLOOKUP(D209,'DB technologies'!$N$96:$Y$107,8,FALSE)/100)*'Calc (ex-housing, ex-storage)'!F208/100)/VLOOKUP($C$204,'DB animal categories'!$C$68:$AC$80,27,FALSE)*AJ209,IF(AI209=4,('Calc (ex-animal)'!$G$42*(1-'DB additional information '!$K$12/100)+'Calc (ex-animal)'!$H$42*(1-'DB additional information '!$L$12/100))*AH208/100*(1-VLOOKUP(D209,'DB technologies'!$N$96:$Y$107,8,FALSE)/100)*'Calc (ex-housing, ex-storage)'!F208/100*VLOOKUP(D209,'DB technologies'!$N$96:$Y$107,11,FALSE)/100/VLOOKUP($C$204,'DB animal categories'!$C$68:$AC$80,27,FALSE)*AJ209,0))))</f>
        <v/>
      </c>
      <c r="AN209" s="452" t="str">
        <f t="shared" si="39"/>
        <v/>
      </c>
      <c r="AO209" s="184" t="str">
        <f>IF(D209="","",IF(AI209=2,(('Calc (ex-animal)'!$L$42*'Calc (ex-housing, ex-storage)'!F208/100+'Calc (ex-animal)'!$K$42*'Calc (ex-housing, ex-storage)'!F208/100))*AH208/100/VLOOKUP($C$204,'DB animal categories'!$C$68:$AC$80,27,FALSE)*AJ209+Q209+R209+S209-AC209,IF(AI209=1,('Calc (ex-animal)'!$L$42*'Calc (ex-housing, ex-storage)'!F208/100)*AH208/100/VLOOKUP($C$204,'DB animal categories'!$C$68:$AC$80,27,FALSE)*AJ209-'Calc (ex-housing, ex-storage)'!AC209,IF(AI209=4,('Calc (ex-animal)'!$L$42+'Calc (ex-animal)'!$K$42)*'Calc (ex-housing, ex-storage)'!F208/100*AH208/100*VLOOKUP(D209,'DB technologies'!$N$96:$Y$107,11,FALSE)/100/VLOOKUP($C$204,'DB animal categories'!$C$68:$AC$80,27,FALSE)*AJ209-AC209*VLOOKUP(D209,'DB technologies'!$N$96:$Y$107,11,FALSE)/100,0))))</f>
        <v/>
      </c>
      <c r="AP209" s="184" t="str">
        <f>IF(D209="","",IF(AO209&lt;-0.01,0,IF(AI209=2,(('Calc (ex-animal)'!$L$42*'Calc (ex-housing, ex-storage)'!F208/100+'Calc (ex-animal)'!$K$42*'Calc (ex-housing, ex-storage)'!F208/100))*AH208/100/VLOOKUP($C$204,'DB animal categories'!$C$68:$AC$80,27,FALSE)*AJ209+Q209+R209+S209-AC209,IF(AI209=1,('Calc (ex-animal)'!$L$42*'Calc (ex-housing, ex-storage)'!F208/100)*AH208/100/VLOOKUP($C$204,'DB animal categories'!$C$68:$AC$80,27,FALSE)*AJ209-'Calc (ex-housing, ex-storage)'!AC209,IF(AI209=4,('Calc (ex-animal)'!$L$42+'Calc (ex-animal)'!$K$42)*'Calc (ex-housing, ex-storage)'!F208/100*AH208/100*VLOOKUP(D209,'DB technologies'!$N$96:$Y$107,11,FALSE)/100/VLOOKUP($C$204,'DB animal categories'!$C$68:$AC$80,27,FALSE)*AJ209-AC209*VLOOKUP(D209,'DB technologies'!$N$96:$Y$107,11,FALSE)/100,0)))))</f>
        <v/>
      </c>
      <c r="AQ209" s="184" t="str">
        <f>IF(D209="","",IF(AI209=2,('Calc (ex-animal)'!$O$42*'Calc (ex-housing, ex-storage)'!F208/100+'Calc (ex-animal)'!$N$42*'Calc (ex-housing, ex-storage)'!F208/100)*AH208/100/VLOOKUP($C$204,'DB animal categories'!$C$68:$AC$80,27,FALSE)*AJ209+U209+V209+W209,IF(AI209=1,'Calc (ex-animal)'!$O$42*'Calc (ex-housing, ex-storage)'!F208/100*AH208/100/VLOOKUP($C$204,'DB animal categories'!$C$68:$AC$80,27,FALSE)*AJ209,IF(AI209=4,('Calc (ex-animal)'!$O$42+'Calc (ex-animal)'!$N$42)*'Calc (ex-housing, ex-storage)'!F208/100*AH208/100*VLOOKUP(D209,'DB technologies'!$N$96:$Y$107,11,FALSE)/100/VLOOKUP($C$204,'DB animal categories'!$C$68:$AC$80,27,FALSE)*AJ209,0))))</f>
        <v/>
      </c>
      <c r="AR209" s="184" t="str">
        <f>IF(D209="","",IF(AI209=2,('Calc (ex-animal)'!$R$42*'Calc (ex-housing, ex-storage)'!F208/100+'Calc (ex-animal)'!$Q$42*'Calc (ex-housing, ex-storage)'!F208/100)*AH208/100/VLOOKUP($C$204,'DB animal categories'!$C$68:$AC$80,27,FALSE)*AJ209+Y209+Z209+AA209,IF(AI209=1,'Calc (ex-animal)'!$R$42*'Calc (ex-housing, ex-storage)'!F208/100*AH208/100/VLOOKUP($C$204,'DB animal categories'!$C$68:$AC$80,27,FALSE)*AJ209,IF(AI209=4,('Calc (ex-animal)'!$R$42+'Calc (ex-animal)'!$Q$42)*'Calc (ex-housing, ex-storage)'!F208/100*AH208/100*VLOOKUP(D209,'DB technologies'!$N$96:$Y$107,11,FALSE)/100/VLOOKUP($C$204,'DB animal categories'!$C$68:$AC$80,27,FALSE)*AJ209,0))))</f>
        <v/>
      </c>
      <c r="AS209" s="183" t="str">
        <f>IF(D209="","",VLOOKUP(D209,'DB technologies'!$N$96:$Y$107,10,FALSE))</f>
        <v/>
      </c>
      <c r="AT209" s="452" t="str">
        <f t="shared" si="40"/>
        <v/>
      </c>
      <c r="AU209" s="452" t="str">
        <f>IF(D209="","",IF(AS209=2,0,IF(AS209=1,'Calc (ex-animal)'!$G$42*'DB additional information '!$K$12/100*AH208/100*(1-VLOOKUP(D209,'DB technologies'!$N$96:$Y$107,8,FALSE)/100)*'Calc (ex-housing, ex-storage)'!F208/100/VLOOKUP($C$204,'DB animal categories'!$C$68:$AC$80,27,FALSE)*AJ209+I209+J209+K209,IF(AS209=5,(('Calc (ex-animal)'!$G$42*'DB additional information '!$K$12/100+'Calc (ex-animal)'!$H$42*'DB additional information '!$L$12/100))*AH208/100*(1-VLOOKUP(D209,'DB technologies'!$N$96:$Y$107,9,FALSE)/100)*'Calc (ex-housing, ex-storage)'!F208/100/VLOOKUP($C$204,'DB animal categories'!$C$68:$AC$80,27,FALSE)*AJ209+I209+J209+K209,IF(AS209=3,('Calc (ex-animal)'!$G$42*'DB additional information '!$K$12/100+'Calc (ex-animal)'!$H$42*'DB additional information '!$L$12/100)*AH208/100*(1-VLOOKUP(D209,'DB technologies'!$N$96:$Y$107,9,FALSE)/100)*'Calc (ex-housing, ex-storage)'!F208/100/VLOOKUP($C$204,'DB animal categories'!$C$68:$AC$80,27,FALSE)*AJ209+I209+J209+K209,IF(AS209=4,('Calc (ex-animal)'!$G$42*'DB additional information '!$K$12/100+'Calc (ex-animal)'!$H$42*'DB additional information '!$L$12/100)*AH208/100*(1-VLOOKUP(D209,'DB technologies'!$N$96:$Y$107,9,FALSE)/100)*'Calc (ex-housing, ex-storage)'!F208/100*VLOOKUP(D209,'DB technologies'!$N$96:$Y$107,12,FALSE)/100/VLOOKUP($C$204,'DB animal categories'!$C$68:$AC$80,27,FALSE)*AJ209+I209+J209+K209,0))))))</f>
        <v/>
      </c>
      <c r="AV209" s="452" t="str">
        <f>IF(D209="","",IF(AS209=2,0,IF(AS209=1,'Calc (ex-animal)'!$G$42*(1-'DB additional information '!$K$12/100)*AH208/100*(1-VLOOKUP(D209,'DB technologies'!$N$96:$Y$107,8,FALSE)/100)*'Calc (ex-housing, ex-storage)'!F208/100/VLOOKUP($C$204,'DB animal categories'!$C$68:$AC$80,27,FALSE)*AJ209+M209+N209+O209,IF(AS209=5,('Calc (ex-animal)'!$G$42*(1-'DB additional information '!$K$12/100)+'Calc (ex-animal)'!$H$42*(1-'DB additional information '!$L$12/100))*AH208/100*(1-VLOOKUP(D209,'DB technologies'!$N$96:$Y$107,8,FALSE)/100)*'Calc (ex-housing, ex-storage)'!F208/100/VLOOKUP($C$204,'DB animal categories'!$C$68:$AC$80,27,FALSE)*AJ209+M209+N209+O209,IF(AS209=3,('Calc (ex-animal)'!$G$42*(1-'DB additional information '!$K$12/100)+'Calc (ex-animal)'!$H$42*(1-'DB additional information '!$L$12/100))*AH208/100*(1-VLOOKUP(D209,'DB technologies'!$N$96:$Y$107,8,FALSE)/100)*'Calc (ex-housing, ex-storage)'!F208/100/VLOOKUP($C$204,'DB animal categories'!$C$68:$AC$80,27,FALSE)*AJ209+M209+N209+O209,IF(AS209=4,('Calc (ex-animal)'!$G$42*(1-'DB additional information '!$K$12/100)+'Calc (ex-animal)'!$H$42*(1-'DB additional information '!$L$12/100))*AH208/100*(1-VLOOKUP(D209,'DB technologies'!$N$96:$Y$107,8,FALSE)/100)*'Calc (ex-housing, ex-storage)'!F208/100*VLOOKUP(D209,'DB technologies'!$N$96:$Y$107,12,FALSE)/100/VLOOKUP($C$204,'DB animal categories'!$C$68:$AC$80,27,FALSE)*AJ209+M209+N209+O209,0))))))</f>
        <v/>
      </c>
      <c r="AW209" s="452" t="str">
        <f t="shared" si="41"/>
        <v/>
      </c>
      <c r="AX209" s="184" t="str">
        <f>IF(D209="","",IF(AS209=2,0,IF(AS209=1,'Calc (ex-animal)'!$K$42*'Calc (ex-housing, ex-storage)'!F208/100*AH208/100/VLOOKUP($C$204,'DB animal categories'!$C$68:$AC$80,27,FALSE)*AJ209+Q209+R209+S209,IF(AS209=5,('Calc (ex-animal)'!$K$42+'Calc (ex-animal)'!$L$42)*AH208/100*'Calc (ex-housing, ex-storage)'!F208/100/VLOOKUP($C$204,'DB animal categories'!$C$68:$AC$80,27,FALSE)*AJ209+Q209+R209+S209-'Calc (ex-housing, ex-storage)'!AC209,IF(AS209=3,('Calc (ex-animal)'!$K$42+'Calc (ex-animal)'!$L$42)*AH208/100*'Calc (ex-housing, ex-storage)'!F208/100/VLOOKUP($C$204,'DB animal categories'!$C$68:$AC$80,27,FALSE)*AJ209+Q209+R209+S209-'Calc (ex-housing, ex-storage)'!AC209-AD209-AE209,IF(AI209=4,('Calc (ex-animal)'!$K$42+'Calc (ex-animal)'!$L$42)*AH208/100*'Calc (ex-housing, ex-storage)'!F208/100*VLOOKUP(D209,'DB technologies'!$N$96:$Y$107,12,FALSE)/100/VLOOKUP($C$204,'DB animal categories'!$C$68:$AC$80,27,FALSE)*AJ209+Q209+R209+S209-(VLOOKUP(D209,'DB technologies'!$N$96:$Y$107,12,FALSE)/100*AC209)-AD209-AE209,0))))))</f>
        <v/>
      </c>
      <c r="AY209" s="184" t="str">
        <f>IF(D209="","",IF(AS209=2,0,IF(AS209=1,'Calc (ex-animal)'!$N$42*AH208/100*'Calc (ex-housing, ex-storage)'!F208/100/VLOOKUP($C$204,'DB animal categories'!$C$68:$AC$80,27,FALSE)*AJ209+U209+V209+W209,IF(AS209=5,('Calc (ex-animal)'!$N$42+'Calc (ex-animal)'!$O$42)*AH208/100*'Calc (ex-housing, ex-storage)'!F208/100/VLOOKUP($C$204,'DB animal categories'!$C$68:$AC$80,27,FALSE)*AJ209+U209+V209+W209,IF(AS209=3,('Calc (ex-animal)'!$N$42+'Calc (ex-animal)'!$O$42)*AH208/100*'Calc (ex-housing, ex-storage)'!F208/100/VLOOKUP($C$204,'DB animal categories'!$C$68:$AC$80,27,FALSE)*AJ209+U209+V209+W209,IF(AS209=4,('Calc (ex-animal)'!$N$42+'Calc (ex-animal)'!$O$42)*AH208/100*'Calc (ex-housing, ex-storage)'!F208/100*VLOOKUP(D209,'DB technologies'!$N$96:$Y$107,12,FALSE)/100/VLOOKUP($C$204,'DB animal categories'!$C$68:$AC$80,27,FALSE)*AJ209+U209+V209+W209,0))))))</f>
        <v/>
      </c>
      <c r="AZ209" s="184" t="str">
        <f>IF(D209="","",IF(AS209=2,0,IF(AS209=1,'Calc (ex-animal)'!$Q$42*AH208/100*'Calc (ex-housing, ex-storage)'!F208/100/VLOOKUP($C$204,'DB animal categories'!$C$68:$AC$80,27,FALSE)*AJ209+Y209+Z209+AA209,IF(AS209=5,('Calc (ex-animal)'!$Q$42+'Calc (ex-animal)'!$R$42)*AH208/100*'Calc (ex-housing, ex-storage)'!F208/100/VLOOKUP($C$204,'DB animal categories'!$C$68:$AC$80,27,FALSE)*AJ209+Y209+Z209+AA209,IF(AS209=3,('Calc (ex-animal)'!$Q$42+'Calc (ex-animal)'!$R$42)*AH208/100*'Calc (ex-housing, ex-storage)'!F208/100/VLOOKUP($C$204,'DB animal categories'!$C$68:$AC$80,27,FALSE)*AJ209+Y209+Z209+AA209,IF(AS209=4,('Calc (ex-animal)'!$Q$42+'Calc (ex-animal)'!$R$42)*AH208/100*'Calc (ex-housing, ex-storage)'!F208/100*VLOOKUP(D209,'DB technologies'!$N$96:$Y$107,12,FALSE)/100/VLOOKUP($C$204,'DB animal categories'!$C$68:$AC$80,27,FALSE)*AJ209+Y209+Z209+AA209,0))))))</f>
        <v/>
      </c>
      <c r="BA209" s="506"/>
      <c r="BB209" s="506"/>
      <c r="BC209" s="506"/>
    </row>
    <row r="210" spans="1:55" x14ac:dyDescent="0.2">
      <c r="A210" s="684"/>
      <c r="B210" s="695"/>
      <c r="C210" s="251"/>
      <c r="D210" s="1357"/>
      <c r="E210" s="1394"/>
      <c r="F210" s="692" t="str">
        <f>IF('Calc (ex-animal)'!$F$38=1,"",IF($C$204=0,"",IF(D210="","",E210/'Calc (ex-animal)'!$E$42*100)))</f>
        <v/>
      </c>
      <c r="G210" s="537" t="str">
        <f>IF($C$204=0,"",IF('Calc (ex-animal)'!$F$38=1,"",IF(D210="","",SUM(H210:O210))))</f>
        <v/>
      </c>
      <c r="H210" s="527" t="str">
        <f>IF('Calc (ex-animal)'!$F$38=1,"",IF(D210="","",(((VLOOKUP($C$204,'Calc (ex-animal)'!$D$38:$Y$42,6,FALSE)-VLOOKUP($C$204,'Calc (ex-animal)'!$D$38:$Y$42,17,FALSE))*F210/100*AG210/100))*VLOOKUP($C$204,'Calc (ex-animal)'!$D$38:$Y$42,7,FALSE)/100*(1-VLOOKUP(D210,'DB technologies'!$N$83:$Y$94,9,FALSE)/100)))</f>
        <v/>
      </c>
      <c r="I210" s="527" t="str">
        <f>IF(D210="","",((VLOOKUP(D210,'DB technologies'!$N$83:$Y$94,2,FALSE)*VLOOKUP($C$204,'DB animal categories'!$C$68:$AC$80,27,FALSE)*E210/1000*AG210/100)/VLOOKUP($C$204,'DB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'!$S$6/100*(1-VLOOKUP(D210,'DB technologies'!$N$83:$Y$94,9,FALSE)/100)))</f>
        <v/>
      </c>
      <c r="J210" s="528" t="str">
        <f>IF(D210="","",((VLOOKUP(D210,'DB technologies'!$N$83:$Y$94,3,FALSE)*VLOOKUP($C$204,'DB animal categories'!$C$68:$AC$80,27,FALSE)*E210/1000*AG210/100)/VLOOKUP($C$204,'DB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'!$S$7/100*(1-VLOOKUP(D210,'DB technologies'!$N$83:$Y$94,9,FALSE)/100)))</f>
        <v/>
      </c>
      <c r="K210" s="529" t="str">
        <f>IF(D210="","",((VLOOKUP(D210,'DB technologies'!$N$83:$Y$94,4,FALSE)*E210*AG210/100*'DB additional information '!$S$8/100*(1-VLOOKUP(D210,'DB technologies'!$N$83:$Y$94,9,FALSE)/100))/VLOOKUP($C$204,'DB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10" s="527" t="str">
        <f>IF('Calc (ex-animal)'!$F$38=1,"",IF(D210="","",(((VLOOKUP($C$204,'Calc (ex-animal)'!$D$38:$Y$42,6,FALSE)-VLOOKUP($C$204,'Calc (ex-animal)'!$D$38:$Y$42,17,FALSE))*F210/100*AG210/100))*(1-VLOOKUP($C$204,'Calc (ex-animal)'!$D$38:$Y$42,7,FALSE)/100)*(1-VLOOKUP(D210,'DB technologies'!$N$83:$V$94,8,FALSE)/100)))</f>
        <v/>
      </c>
      <c r="M210" s="528" t="str">
        <f>IF(D210="","",((VLOOKUP(D210,'DB technologies'!$N$83:$Y$94,2,FALSE)*VLOOKUP($C$204,'DB animal categories'!$C$68:$AC$80,27,FALSE)*E210/1000*AG210/100)/VLOOKUP($C$204,'DB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'!$S$6/100)*(1-VLOOKUP(D210,'DB technologies'!$N$83:$Y$94,9,FALSE)/100))</f>
        <v/>
      </c>
      <c r="N210" s="528" t="str">
        <f>IF(D210="","",((VLOOKUP(D210,'DB technologies'!$N$83:$Y$94,3,FALSE)*VLOOKUP($C$204,'DB animal categories'!$C$68:$AC$80,27,FALSE)*E210/1000*AG210/100)/VLOOKUP($C$204,'DB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'!$S$7/100)*(1-VLOOKUP(D210,'DB technologies'!$N$83:$Y$94,9,FALSE)/100))</f>
        <v/>
      </c>
      <c r="O210" s="527" t="str">
        <f>IF(D210="","",((VLOOKUP(D210,'DB technologies'!$N$83:$Y$94,4,FALSE)*E210*AG210/100*(1-'DB additional information '!$S$8/100)*(1-VLOOKUP(D210,'DB technologies'!$N$83:$Y$94,8,FALSE)/100))/VLOOKUP($C$204,'DB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10" s="530" t="str">
        <f>IF(G210=0,0,IF(E210="","",IF(F210="","",IF($C$204=0,"",IF(D210="","",SUM(H210:K210)/G210*100)))))</f>
        <v/>
      </c>
      <c r="Q210" s="531" t="str">
        <f>IF(D210="","",(VLOOKUP(D210,'DB technologies'!$N$83:$Y$94,2,FALSE)*'DB additional information '!$S$6/100*'DB additional information '!$T$6*VLOOKUP($C$204,'DB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10" s="531" t="str">
        <f>IF(D210="","",(VLOOKUP(D210,'DB technologies'!$N$83:$Y$94,3,FALSE)*'DB additional information '!$S$7/100*'DB additional information '!$T$7*VLOOKUP($C$204,'DB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10" s="545" t="str">
        <f>IF(D210="","",(VLOOKUP(D210,'DB technologies'!$N$83:$Y$94,4,FALSE)*('DB additional information '!$S$8/100*'DB additional information '!$T$8*E210/1000/1000*AG210/100)))</f>
        <v/>
      </c>
      <c r="T210" s="300" t="str">
        <f>IF($C$204=0,"",IF('Calc (ex-animal)'!$F$38=1,"",IF(D210="","",((VLOOKUP($C$204,'Calc (ex-animal)'!$D$38:$Y$42,10,FALSE)-VLOOKUP($C$204,'Calc (ex-animal)'!$D$38:$Y$42,18,FALSE))*F210/100*AG210/100+Q210+R210+S210)-AC210-AD210-AE210)))</f>
        <v/>
      </c>
      <c r="U210" s="544" t="str">
        <f>IF(D210="","",(VLOOKUP(D210,'DB technologies'!$N$83:$Y$94,2,FALSE)*'DB additional information '!$S$6/100*'DB additional information '!$U$6*VLOOKUP($C$204,'DB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10" s="523" t="str">
        <f>IF(D210="","",(VLOOKUP(D210,'DB technologies'!$N$83:$Y$94,3,FALSE)*'DB additional information '!$S$7/100*'DB additional information '!$U$7*VLOOKUP($C$204,'DB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10" s="545" t="str">
        <f>IF(D210="","",(VLOOKUP(D210,'DB technologies'!$N$83:$Y$94,4,FALSE)*('DB additional information '!$S$8/100*'DB additional information '!$U$8*E210/1000/1000*AG210/100)))</f>
        <v/>
      </c>
      <c r="X210" s="301" t="str">
        <f>IF($C$204=0,"",IF('Calc (ex-animal)'!$F$38=1,"",IF(D210="","",((VLOOKUP($C$204,'Calc (ex-animal)'!$D$38:$Y$42,13,FALSE)-VLOOKUP($C$204,'Calc (ex-animal)'!$D$38:$Y$42,19,FALSE))*F210/100*AG210/100+U210+V210+W210))))</f>
        <v/>
      </c>
      <c r="Y210" s="523" t="str">
        <f>IF(D210="","",(VLOOKUP(D210,'DB technologies'!$N$83:$Y$94,2,FALSE)*'DB additional information '!$S$6/100*'DB additional information '!$V$6*VLOOKUP($C$204,'DB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10" s="523" t="str">
        <f>IF(D210="","",(VLOOKUP(D210,'DB technologies'!$N$83:$Y$94,3,FALSE)*'DB additional information '!$S$7/100*'DB additional information '!$V$7*VLOOKUP($C$204,'DB animal categories'!$C$68:$AC$80,27,FALSE)*E210/1000/1000*AG210/100)/VLOOKUP($C$204,'DB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10" s="523" t="str">
        <f>IF(D210="","",(VLOOKUP(D210,'DB technologies'!$N$83:$Y$94,4,FALSE)*('DB additional information '!$S$8/100*'DB additional information '!$V$8*E210/1000/1000*AG210/100)))</f>
        <v/>
      </c>
      <c r="AB210" s="301" t="str">
        <f>IF($C$204=0,"",IF('Calc (ex-animal)'!$F$38=1,"",IF(D210="","",((VLOOKUP($C$204,'Calc (ex-animal)'!$D$38:$Y$42,16,FALSE)-VLOOKUP($C$204,'Calc (ex-animal)'!$D$38:$Y$42,20,FALSE))*F210/100*AG210/100+Y210+Z210+AA210))))</f>
        <v/>
      </c>
      <c r="AC210" s="301" t="str">
        <f>IF($C$204=0,"",IF('Calc (ex-animal)'!$F$38=1,"",IF(D210="","",VLOOKUP($C$204,'Calc (ex-animal)'!$D$38:$Y$42,9,FALSE)*AG210/100/VLOOKUP($C$204,'DB animal categories'!$C$68:$AC$80,27,FALSE)*(VLOOKUP($C$204,'DB animal categories'!$C$68:$AC$80,27,FALSE)-VLOOKUP($C$204,'DB animal categories'!$C$68:$AC$80,25,FALSE)*VLOOKUP($C$204,'DB animal categories'!$C$68:$AC$80,26,FALSE)/24)*F210/100*VLOOKUP(D210,'DB technologies'!$N$83:$R$94,5,FALSE)/100)))</f>
        <v/>
      </c>
      <c r="AD210" s="301" t="str">
        <f>IF($C$204=0,"",IF('Calc (ex-animal)'!$F$38=1,"",IF(D210="","",VLOOKUP($C$204,'Calc (ex-animal)'!$D$38:$Y$42,10,FALSE)*AG210/100/VLOOKUP($C$204,'DB animal categories'!$C$68:$AC$80,27,FALSE)*(VLOOKUP($C$204,'DB animal categories'!$C$68:$AC$80,27,FALSE)-VLOOKUP($C$204,'DB animal categories'!$C$68:$AC$80,25,FALSE)*VLOOKUP($C$204,'DB animal categories'!$C$68:$AC$80,26,FALSE)/24)*F210/100*VLOOKUP(D210,'DB technologies'!$N$83:$Y$94,6,FALSE)/100)))</f>
        <v/>
      </c>
      <c r="AE210" s="302" t="str">
        <f>IF($C$204=0,"",IF('Calc (ex-animal)'!$F$38=1,"",IF(D210="","",VLOOKUP($C$204,'Calc (ex-animal)'!$D$38:$Y$42,10,FALSE)*AG210/100/VLOOKUP($C$204,'DB animal categories'!$C$68:$AC$80,27,FALSE)*(VLOOKUP($C$204,'DB animal categories'!$C$68:$AC$80,27,FALSE)-VLOOKUP($C$204,'DB animal categories'!$C$68:$AC$80,25,FALSE)*VLOOKUP($C$204,'DB animal categories'!$C$68:$AC$80,26,FALSE)/24)*F210/100*VLOOKUP(D210,'DB technologies'!$N$83:$Y$94,7,FALSE)/100)))</f>
        <v/>
      </c>
      <c r="AG210" s="1389"/>
      <c r="AH210" s="1382"/>
      <c r="AI210" s="185" t="str">
        <f>IF(D210="","",VLOOKUP(D210,'DB technologies'!$N$82:$Y$94,10,FALSE))</f>
        <v/>
      </c>
      <c r="AJ210" s="482" t="e">
        <f>VLOOKUP($C$204,'DB animal categories'!$C$68:$AN$80,27,FALSE)-VLOOKUP($C$204,'DB animal categories'!$C$68:$AN$80,26,FALSE)*VLOOKUP($C$204,'DB animal categories'!$C$68:$AN$80,25,FALSE)/24</f>
        <v>#N/A</v>
      </c>
      <c r="AK210" s="453" t="str">
        <f t="shared" si="38"/>
        <v/>
      </c>
      <c r="AL210" s="453" t="str">
        <f>IF(D210="","",IF(AI210=2,(('Calc (ex-animal)'!$G$42*'DB additional information '!$K$12/100*AG210/100*(1-VLOOKUP(D210,'DB technologies'!$N$82:$Y$94,9,FALSE)/100)*'Calc (ex-housing, ex-storage)'!F210/100+'Calc (ex-animal)'!$H$42*'DB additional information '!$L$12/100*AG210/100*(1-VLOOKUP(D210,'DB technologies'!$N$82:$Y$94,9,FALSE)/100)*'Calc (ex-housing, ex-storage)'!F210/100))/VLOOKUP($C$204,'DB animal categories'!$C$68:$AC$80,27,FALSE)*AJ210+I210+J210+K210,IF(AI210=1,('Calc (ex-animal)'!$H$42*AG210/100*'DB additional information '!$L$12/100*(1-VLOOKUP(D210,'DB technologies'!$N$82:$Y$94,9,FALSE)/100)*'Calc (ex-housing, ex-storage)'!F210/100)/VLOOKUP($C$204,'DB animal categories'!$C$68:$AC$80,27,FALSE)*AJ210,IF(AI210=4,('Calc (ex-animal)'!$G$42*'DB additional information '!$K$12/100+'Calc (ex-animal)'!$H$42*'DB additional information '!$L$12/100)*AG210/100*(1-VLOOKUP(D210,'DB technologies'!$N$82:$Y$94,9,FALSE)/100)*'Calc (ex-housing, ex-storage)'!F210/100*VLOOKUP(D210,'DB technologies'!$N$82:$Y$94,11,FALSE)/100/VLOOKUP($C$204,'DB animal categories'!$C$68:$AC$80,27,FALSE)*AJ210,0))))</f>
        <v/>
      </c>
      <c r="AM210" s="453" t="str">
        <f>IF(D210="","",IF(AI210=2,(('Calc (ex-animal)'!$G$42*(1-'DB additional information '!$K$12/100)*AG210/100*(1-VLOOKUP(D210,'DB technologies'!$N$82:$Y$94,8,FALSE)/100)*'Calc (ex-housing, ex-storage)'!F210/100+'Calc (ex-animal)'!$H$42*(1-'DB additional information '!$L$12/100)*AG210/100*(1-VLOOKUP(D210,'DB technologies'!$N$82:$Y$94,8,FALSE)/100)*'Calc (ex-housing, ex-storage)'!F210/100))/VLOOKUP($C$204,'DB animal categories'!$C$68:$AC$80,27,FALSE)*AJ210+M210+N210+O210,IF(AI210=1,('Calc (ex-animal)'!$H$42*(1-'DB additional information '!$L$12/100)*AG210/100*(1-VLOOKUP(D210,'DB technologies'!$N$82:$Y$94,8,FALSE)/100)*'Calc (ex-housing, ex-storage)'!F210/100)/VLOOKUP($C$204,'DB animal categories'!$C$68:$AC$80,27,FALSE)*AJ210,IF(AI210=4,('Calc (ex-animal)'!$G$42*(1-'DB additional information '!$K$12/100)+'Calc (ex-animal)'!$H$42*(1-'DB additional information '!$L$12/100))*AG210/100*(1-VLOOKUP(D210,'DB technologies'!$N$82:$Y$94,8,FALSE)/100)*'Calc (ex-housing, ex-storage)'!F210/100*VLOOKUP(D210,'DB technologies'!$N$82:$Y$94,11,FALSE)/100/VLOOKUP($C$204,'DB animal categories'!$C$68:$AC$80,27,FALSE)*AJ210,0))))</f>
        <v/>
      </c>
      <c r="AN210" s="453" t="str">
        <f t="shared" si="39"/>
        <v/>
      </c>
      <c r="AO210" s="180" t="str">
        <f>IF(D210="","",IF(AI210=2,(('Calc (ex-animal)'!$L$42*'Calc (ex-housing, ex-storage)'!F210/100+'Calc (ex-animal)'!$K$42*'Calc (ex-housing, ex-storage)'!F210/100))*AG210/100/VLOOKUP($C$204,'DB animal categories'!$C$68:$AC$80,27,FALSE)*AJ210+Q210+R210+S210-AC210,IF(AI210=1,('Calc (ex-animal)'!$L$42*'Calc (ex-housing, ex-storage)'!F210/100)*AG210/100/VLOOKUP($C$204,'DB animal categories'!$C$68:$AC$80,27,FALSE)*AJ210-'Calc (ex-housing, ex-storage)'!AC210,IF(AI210=4,('Calc (ex-animal)'!$L$42+'Calc (ex-animal)'!$K$42)*'Calc (ex-housing, ex-storage)'!F210/100*AG210/100*VLOOKUP(D210,'DB technologies'!$N$82:$Y$94,11,FALSE)/100/VLOOKUP($C$204,'DB animal categories'!$C$68:$AC$80,27,FALSE)*AJ210-AC210*VLOOKUP(D210,'DB technologies'!$N$82:$Y$94,11,FALSE)/100,0))))</f>
        <v/>
      </c>
      <c r="AP210" s="180" t="str">
        <f>IF(D210="","",IF(AO210&lt;-0.01,0,IF(AI210=2,(('Calc (ex-animal)'!$L$42*'Calc (ex-housing, ex-storage)'!F210/100+'Calc (ex-animal)'!$K$42*'Calc (ex-housing, ex-storage)'!F210/100))*AG210/100/VLOOKUP($C$204,'DB animal categories'!$C$68:$AC$80,27,FALSE)*AJ210+Q210+R210+S210-AC210,IF(AI210=1,('Calc (ex-animal)'!$L$42*'Calc (ex-housing, ex-storage)'!F210/100)*AG210/100/VLOOKUP($C$204,'DB animal categories'!$C$68:$AC$80,27,FALSE)*AJ210-'Calc (ex-housing, ex-storage)'!AC210,IF(AI210=4,('Calc (ex-animal)'!$L$42+'Calc (ex-animal)'!$K$42)*'Calc (ex-housing, ex-storage)'!F210/100*AG210/100*VLOOKUP(D210,'DB technologies'!$N$82:$Y$94,11,FALSE)/100/VLOOKUP($C$204,'DB animal categories'!$C$68:$AC$80,27,FALSE)*AJ210-AC210*VLOOKUP(D210,'DB technologies'!$N$82:$Y$94,11,FALSE)/100,0)))))</f>
        <v/>
      </c>
      <c r="AQ210" s="180" t="str">
        <f>IF(D210="","",IF(AI210=2,('Calc (ex-animal)'!$O$42*'Calc (ex-housing, ex-storage)'!F210/100+'Calc (ex-animal)'!$N$42*'Calc (ex-housing, ex-storage)'!F210/100)*AG210/100/VLOOKUP($C$204,'DB animal categories'!$C$68:$AC$80,27,FALSE)*AJ210+U210+V210+W210,IF(AI210=1,'Calc (ex-animal)'!$O$42*'Calc (ex-housing, ex-storage)'!F210/100*AG210/100/VLOOKUP($C$204,'DB animal categories'!$C$68:$AC$80,27,FALSE)*AJ210,IF(AI210=4,('Calc (ex-animal)'!$O$42+'Calc (ex-animal)'!$N$42)*'Calc (ex-housing, ex-storage)'!F210/100*AG210/100*VLOOKUP(D210,'DB technologies'!$N$82:$Y$94,11,FALSE)/100/VLOOKUP($C$204,'DB animal categories'!$C$68:$AC$80,27,FALSE)*AJ210,0))))</f>
        <v/>
      </c>
      <c r="AR210" s="180" t="str">
        <f>IF(D210="","",IF(AI210=2,('Calc (ex-animal)'!$R$42*'Calc (ex-housing, ex-storage)'!F210/100+'Calc (ex-animal)'!$Q$42*'Calc (ex-housing, ex-storage)'!F210/100)*AG210/100/VLOOKUP($C$204,'DB animal categories'!$C$68:$AC$80,27,FALSE)*AJ210+Y210+Z210+AA210,IF(AI210=1,'Calc (ex-animal)'!$R$42*'Calc (ex-housing, ex-storage)'!F210/100*AG210/100/VLOOKUP($C$204,'DB animal categories'!$C$68:$AC$80,27,FALSE)*AJ210,IF(AI210=4,('Calc (ex-animal)'!$R$42+'Calc (ex-animal)'!$Q$42)*'Calc (ex-housing, ex-storage)'!F210/100*AG210/100*VLOOKUP(D210,'DB technologies'!$N$82:$Y$94,11,FALSE)/100/VLOOKUP($C$204,'DB animal categories'!$C$68:$AC$80,27,FALSE)*AJ210,0))))</f>
        <v/>
      </c>
      <c r="AS210" s="179" t="str">
        <f>IF(D210="","",VLOOKUP(D210,'DB technologies'!$N$82:$Y$94,10,FALSE))</f>
        <v/>
      </c>
      <c r="AT210" s="453" t="str">
        <f t="shared" si="40"/>
        <v/>
      </c>
      <c r="AU210" s="453" t="str">
        <f>IF(D210="","",IF(AS210=2,0,IF(AS210=1,'Calc (ex-animal)'!$G$42*'DB additional information '!$K$12/100*AG210/100*(1-VLOOKUP(D210,'DB technologies'!$N$82:$Y$94,8,FALSE)/100)*'Calc (ex-housing, ex-storage)'!F210/100/VLOOKUP($C$204,'DB animal categories'!$C$68:$AC$80,27,FALSE)*AJ210+I210+J210+K210,IF(AS210=5,(('Calc (ex-animal)'!$G$42*'DB additional information '!$K$12/100+'Calc (ex-animal)'!$H$42*'DB additional information '!$L$12/100))*AG210/100*(1-VLOOKUP(D210,'DB technologies'!$N$82:$Y$94,9,FALSE)/100)*'Calc (ex-housing, ex-storage)'!F210/100/VLOOKUP($C$204,'DB animal categories'!$C$68:$AC$80,27,FALSE)*AJ210+I210+J210+K210,IF(AS210=3,('Calc (ex-animal)'!$G$42*'DB additional information '!$K$12/100+'Calc (ex-animal)'!$H$42*'DB additional information '!$L$12/100)*AG210/100*(1-VLOOKUP(D210,'DB technologies'!$N$82:$Y$94,9,FALSE)/100)*'Calc (ex-housing, ex-storage)'!F210/100/VLOOKUP($C$204,'DB animal categories'!$C$68:$AC$80,27,FALSE)*AJ210+I210+J210+K210,IF(AS210=4,('Calc (ex-animal)'!$G$42*'DB additional information '!$K$12/100+'Calc (ex-animal)'!$H$42*'DB additional information '!$L$12/100)*AG210/100*(1-VLOOKUP(D210,'DB technologies'!$N$82:$Y$94,9,FALSE)/100)*'Calc (ex-housing, ex-storage)'!F210/100*VLOOKUP(D210,'DB technologies'!$N$82:$Y$94,12,FALSE)/100/VLOOKUP($C$204,'DB animal categories'!$C$68:$AC$80,27,FALSE)*AJ210+I210+J210+K210,0))))))</f>
        <v/>
      </c>
      <c r="AV210" s="453" t="str">
        <f>IF(D210="","",IF(AS210=2,0,IF(AS210=1,'Calc (ex-animal)'!$G$42*(1-'DB additional information '!$K$12/100)*AG210/100*(1-VLOOKUP(D210,'DB technologies'!$N$82:$Y$94,8,FALSE)/100)*'Calc (ex-housing, ex-storage)'!F210/100/VLOOKUP($C$204,'DB animal categories'!$C$68:$AC$80,27,FALSE)*AJ210+M210+N210+O210,IF(AS210=5,('Calc (ex-animal)'!$G$42*(1-'DB additional information '!$K$12/100)+'Calc (ex-animal)'!$H$42*(1-'DB additional information '!$L$12/100))*AG210/100*(1-VLOOKUP(D210,'DB technologies'!$N$82:$Y$94,8,FALSE)/100)*'Calc (ex-housing, ex-storage)'!F210/100/VLOOKUP($C$204,'DB animal categories'!$C$68:$AC$80,27,FALSE)*AJ210+M210+N210+O210,IF(AS210=3,('Calc (ex-animal)'!$G$42*(1-'DB additional information '!$K$12/100)+'Calc (ex-animal)'!$H$42*(1-'DB additional information '!$L$12/100))*AG210/100*(1-VLOOKUP(D210,'DB technologies'!$N$82:$Y$94,8,FALSE)/100)*'Calc (ex-housing, ex-storage)'!F210/100/VLOOKUP($C$204,'DB animal categories'!$C$68:$AC$80,27,FALSE)*AJ210+M210+N210+O210,IF(AS210=4,('Calc (ex-animal)'!$G$42*(1-'DB additional information '!$K$12/100)+'Calc (ex-animal)'!$H$42*(1-'DB additional information '!$L$12/100))*AG210/100*(1-VLOOKUP(D210,'DB technologies'!$N$82:$Y$94,8,FALSE)/100)*'Calc (ex-housing, ex-storage)'!F210/100*VLOOKUP(D210,'DB technologies'!$N$82:$Y$94,12,FALSE)/100/VLOOKUP($C$204,'DB animal categories'!$C$68:$AC$80,27,FALSE)*AJ210+M210+N210+O210,0))))))</f>
        <v/>
      </c>
      <c r="AW210" s="453" t="str">
        <f t="shared" si="41"/>
        <v/>
      </c>
      <c r="AX210" s="180" t="str">
        <f>IF(D210="","",IF(AS210=2,0,IF(AS210=1,'Calc (ex-animal)'!$K$42*'Calc (ex-housing, ex-storage)'!F210/100*AG210/100/VLOOKUP($C$204,'DB animal categories'!$C$68:$AC$80,27,FALSE)*AJ210+Q210+R210+S210,IF(AS210=5,('Calc (ex-animal)'!$K$42+'Calc (ex-animal)'!$L$42)*AG210/100*'Calc (ex-housing, ex-storage)'!F210/100/VLOOKUP($C$204,'DB animal categories'!$C$68:$AC$80,27,FALSE)*AJ210+Q210+R210+S210-'Calc (ex-housing, ex-storage)'!AC210,IF(AS210=3,('Calc (ex-animal)'!$K$42+'Calc (ex-animal)'!$L$42)*AG210/100*'Calc (ex-housing, ex-storage)'!F210/100/VLOOKUP($C$204,'DB animal categories'!$C$68:$AC$80,27,FALSE)*AJ210+Q210+R210+S210-'Calc (ex-housing, ex-storage)'!AC210-AD210-AE210,IF(AI210=4,('Calc (ex-animal)'!$K$42+'Calc (ex-animal)'!$L$42)*AG210/100*'Calc (ex-housing, ex-storage)'!F210/100*VLOOKUP(D210,'DB technologies'!$N$82:$Y$94,12,FALSE)/100/VLOOKUP($C$204,'DB animal categories'!$C$68:$AC$80,27,FALSE)*AJ210+Q210+R210+S210-(VLOOKUP(D210,'DB technologies'!$N$82:$Y$94,12,FALSE)/100*AC210)-AD210-AE210,0))))))</f>
        <v/>
      </c>
      <c r="AY210" s="180" t="str">
        <f>IF(D210="","",IF(AS210=2,0,IF(AS210=1,'Calc (ex-animal)'!$N$42*AG210/100*'Calc (ex-housing, ex-storage)'!F210/100/VLOOKUP($C$204,'DB animal categories'!$C$68:$AC$80,27,FALSE)*AJ210+U210+V210+W210,IF(AS210=5,('Calc (ex-animal)'!$N$42+'Calc (ex-animal)'!$O$42)*AG210/100*'Calc (ex-housing, ex-storage)'!F210/100/VLOOKUP($C$204,'DB animal categories'!$C$68:$AC$80,27,FALSE)*AJ210+U210+V210+W210,IF(AS210=3,('Calc (ex-animal)'!$N$42+'Calc (ex-animal)'!$O$42)*AG210/100*'Calc (ex-housing, ex-storage)'!F210/100/VLOOKUP($C$204,'DB animal categories'!$C$68:$AC$80,27,FALSE)*AJ210+U210+V210+W210,IF(AS210=4,('Calc (ex-animal)'!$N$42+'Calc (ex-animal)'!$O$42)*AG210/100*'Calc (ex-housing, ex-storage)'!F210/100*VLOOKUP(D210,'DB technologies'!$N$82:$Y$94,12,FALSE)/100/VLOOKUP($C$204,'DB animal categories'!$C$68:$AC$80,27,FALSE)*AJ210+U210+V210+W210,0))))))</f>
        <v/>
      </c>
      <c r="AZ210" s="180" t="str">
        <f>IF(D210="","",IF(AS210=2,0,IF(AS210=1,'Calc (ex-animal)'!$Q$42*AG210/100*'Calc (ex-housing, ex-storage)'!F210/100/VLOOKUP($C$204,'DB animal categories'!$C$68:$AC$80,27,FALSE)*AJ210+Y210+Z210+AA210,IF(AS210=5,('Calc (ex-animal)'!$Q$42+'Calc (ex-animal)'!$R$42)*AG210/100*'Calc (ex-housing, ex-storage)'!F210/100/VLOOKUP($C$204,'DB animal categories'!$C$68:$AC$80,27,FALSE)*AJ210+Y210+Z210+AA210,IF(AS210=3,('Calc (ex-animal)'!$Q$42+'Calc (ex-animal)'!$R$42)*AG210/100*'Calc (ex-housing, ex-storage)'!F210/100/VLOOKUP($C$204,'DB animal categories'!$C$68:$AC$80,27,FALSE)*AJ210+Y210+Z210+AA210,IF(AS210=4,('Calc (ex-animal)'!$Q$42+'Calc (ex-animal)'!$R$42)*AG210/100*'Calc (ex-housing, ex-storage)'!F210/100*VLOOKUP(D210,'DB technologies'!$N$82:$Y$94,12,FALSE)/100/VLOOKUP($C$204,'DB animal categories'!$C$68:$AC$80,27,FALSE)*AJ210+Y210+Z210+AA210,0))))))</f>
        <v/>
      </c>
      <c r="BA210" s="506"/>
      <c r="BB210" s="506"/>
      <c r="BC210" s="506"/>
    </row>
    <row r="211" spans="1:55" x14ac:dyDescent="0.2">
      <c r="A211" s="684"/>
      <c r="B211" s="695"/>
      <c r="C211" s="251"/>
      <c r="D211" s="1367"/>
      <c r="E211" s="1393"/>
      <c r="F211" s="692" t="str">
        <f>IF('Calc (ex-animal)'!$F$9=1,"",IF($C$152=0,"",IF(D211="","",E211/'Calc (ex-animal)'!$E$32*100)))</f>
        <v/>
      </c>
      <c r="G211" s="539" t="str">
        <f>IF($C$204=0,"",IF('Calc (ex-animal)'!$F$38=1,"",IF(D211="","",SUM(H211:O211))))</f>
        <v/>
      </c>
      <c r="H211" s="532" t="str">
        <f>IF('Calc (ex-animal)'!$F$38=1,"",IF(D211="","",(((VLOOKUP($C$204,'Calc (ex-animal)'!$D$38:$Y$42,6,FALSE)-VLOOKUP($C$204,'Calc (ex-animal)'!$D$38:$Y$42,17,FALSE))*F210/100*AH210/100))*VLOOKUP($C$204,'Calc (ex-animal)'!$D$38:$Y$42,7,FALSE)/100*(1-VLOOKUP(D211,'DB technologies'!$N$96:$Y$107,9,FALSE)/100)))</f>
        <v/>
      </c>
      <c r="I211" s="532" t="str">
        <f>IF(D211="","",((VLOOKUP(D211,'DB technologies'!$N$96:$Y$107,2,FALSE)*VLOOKUP($C$204,'DB animal categories'!$C$68:$AC$80,27,FALSE)*F210/1000*AH210/100)/VLOOKUP($C$204,'DB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'!$S$6/100*(1-VLOOKUP(D211,'DB technologies'!$N$96:$Y$107,9,FALSE)/100)))</f>
        <v/>
      </c>
      <c r="J211" s="533" t="str">
        <f>IF(D211="","",((VLOOKUP(D211,'DB technologies'!$N$96:$Y$107,3,FALSE)*VLOOKUP($C$204,'DB animal categories'!$C$68:$AC$80,27,FALSE)*E210/1000*AH210/100)/VLOOKUP($C$204,'DB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'!$S$7/100*(1-VLOOKUP(D211,'DB technologies'!$N$96:$Y$107,9,FALSE)/100)))</f>
        <v/>
      </c>
      <c r="K211" s="534" t="str">
        <f>IF(D211="","",((VLOOKUP(D211,'DB technologies'!$N$96:$Y$107,4,FALSE)*E210*AH210/100*'DB additional information '!$S$8/100*(1-VLOOKUP(D211,'DB technologies'!$N$96:$Y$107,9,FALSE)/100))/VLOOKUP($C$204,'DB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11" s="532" t="str">
        <f>IF('Calc (ex-animal)'!$F$38=1,"",IF(D211="","",(((VLOOKUP($C$204,'Calc (ex-animal)'!$D$38:$Y$42,6,FALSE)-VLOOKUP($C$204,'Calc (ex-animal)'!$D$38:$Y$42,17,FALSE))*F210/100*AH210/100))*(1-VLOOKUP($C$204,'Calc (ex-animal)'!$D$38:$Y$42,7,FALSE)/100)*(1-VLOOKUP(D211,'DB technologies'!$N$96:$V$107,8,FALSE)/100)))</f>
        <v/>
      </c>
      <c r="M211" s="533" t="str">
        <f>IF(D211="","",((VLOOKUP(D211,'DB technologies'!$N$96:$Y$107,2,FALSE)*VLOOKUP($C$204,'DB animal categories'!$C$68:$AC$80,27,FALSE)*E210/1000*AH210/100)/VLOOKUP($C$204,'DB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'!$S$6/100)*(1-VLOOKUP(D211,'DB technologies'!$N$96:$Y$107,9,FALSE)/100))</f>
        <v/>
      </c>
      <c r="N211" s="533" t="str">
        <f>IF(D211="","",((VLOOKUP(D211,'DB technologies'!$N$96:$Y$107,3,FALSE)*VLOOKUP($C$204,'DB animal categories'!$C$68:$AC$80,27,FALSE)*E210/1000*AH210/100)/VLOOKUP($C$204,'DB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'!$S$7/100)*(1-VLOOKUP(D211,'DB technologies'!$N$96:$Y$107,9,FALSE)/100))</f>
        <v/>
      </c>
      <c r="O211" s="532" t="str">
        <f>IF(D211="","",((VLOOKUP(D211,'DB technologies'!$N$96:$Y$107,4,FALSE)*E210*AH210/100*(1-'DB additional information '!$S$8/100)*(1-VLOOKUP(D211,'DB technologies'!$N$96:$Y$107,8,FALSE)/100))/VLOOKUP($C$204,'DB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11" s="535" t="str">
        <f>IF(G211=0,0,IF(E210="","",IF(F210="","",IF($C$204=0,"",IF(D211="","",SUM(H211:K211)/G211*100)))))</f>
        <v/>
      </c>
      <c r="Q211" s="536" t="str">
        <f>IF(D211="","",(VLOOKUP(D211,'DB technologies'!$N$96:$Y$107,2,FALSE)*'DB additional information '!$S$6/100*'DB additional information '!$T$6*VLOOKUP($C$204,'DB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11" s="536" t="str">
        <f>IF(D211="","",(VLOOKUP(D211,'DB technologies'!$N$96:$Y$107,3,FALSE)*'DB additional information '!$S$7/100*'DB additional information '!$T$7*VLOOKUP($C$204,'DB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11" s="543" t="str">
        <f>IF(D211="","",(VLOOKUP(D211,'DB technologies'!$N$96:$Y$107,4,FALSE)*('DB additional information '!$S$8/100*'DB additional information '!$T$8*E210/1000/1000*AH210/100)))</f>
        <v/>
      </c>
      <c r="T211" s="303" t="str">
        <f>IF($C$204=0,"",IF('Calc (ex-animal)'!$F$38=1,"",IF(D211="","",((VLOOKUP($C$204,'Calc (ex-animal)'!$D$38:$Y$42,10,FALSE)-VLOOKUP($C$204,'Calc (ex-animal)'!$D$38:$Y$42,18,FALSE))*F210/100*AH210/100+Q211+R211+S211)-AC211-AD211-AE211)))</f>
        <v/>
      </c>
      <c r="U211" s="542" t="str">
        <f>IF(D211="","",(VLOOKUP(D211,'DB technologies'!$N$96:$Y$107,2,FALSE)*'DB additional information '!$S$6/100*'DB additional information '!$U$6*VLOOKUP($C$204,'DB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11" s="524" t="str">
        <f>IF(D211="","",(VLOOKUP(D211,'DB technologies'!$N$96:$Y$107,3,FALSE)*'DB additional information '!$S$7/100*'DB additional information '!$U$7*VLOOKUP($C$204,'DB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11" s="543" t="str">
        <f>IF(D211="","",(VLOOKUP(D211,'DB technologies'!$N$96:$Y$107,4,FALSE)*('DB additional information '!$S$8/100*'DB additional information '!$U$8*E210/1000/1000*AH210/100)))</f>
        <v/>
      </c>
      <c r="X211" s="304" t="str">
        <f>IF($C$204=0,"",IF('Calc (ex-animal)'!$F$38=1,"",IF(D211="","",((VLOOKUP($C$204,'Calc (ex-animal)'!$D$38:$Y$42,13,FALSE)-VLOOKUP($C$204,'Calc (ex-animal)'!$D$38:$Y$42,19,FALSE))*F210/100*AH210/100+U211+V211+W211))))</f>
        <v/>
      </c>
      <c r="Y211" s="524" t="str">
        <f>IF(D211="","",(VLOOKUP(D211,'DB technologies'!$N$96:$Y$107,2,FALSE)*'DB additional information '!$S$6/100*'DB additional information '!$V$6*VLOOKUP($C$204,'DB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11" s="524" t="str">
        <f>IF(D211="","",(VLOOKUP(D211,'DB technologies'!$N$96:$Y$107,3,FALSE)*'DB additional information '!$S$7/100*'DB additional information '!$V$7*VLOOKUP($C$204,'DB animal categories'!$C$68:$AC$80,27,FALSE)*E210/1000/1000*AH210/100)/VLOOKUP($C$204,'DB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11" s="524" t="str">
        <f>IF(D211="","",(VLOOKUP(D211,'DB technologies'!$N$96:$Y$107,4,FALSE)*('DB additional information '!$S$8/100*'DB additional information '!$V$8*E210/1000/1000*AH210/100)))</f>
        <v/>
      </c>
      <c r="AB211" s="304" t="str">
        <f>IF($C$204=0,"",IF('Calc (ex-animal)'!$F$38=1,"",IF(D211="","",((VLOOKUP($C$204,'Calc (ex-animal)'!$D$38:$Y$42,16,FALSE)-VLOOKUP($C$204,'Calc (ex-animal)'!$D$38:$Y$42,20,FALSE))*F210/100*AH210/100+Y211+Z211+AA211))))</f>
        <v/>
      </c>
      <c r="AC211" s="304" t="str">
        <f>IF($C$204=0,"",IF('Calc (ex-animal)'!$F$38=1,"",IF(D211="","",VLOOKUP($C$204,'Calc (ex-animal)'!$D$38:$Y$42,9,FALSE)*AH210/100/VLOOKUP($C$204,'DB animal categories'!$C$68:$AC$80,27,FALSE)*(VLOOKUP($C$204,'DB animal categories'!$C$68:$AC$80,27,FALSE)-VLOOKUP($C$204,'DB animal categories'!$C$68:$AC$80,25,FALSE)*VLOOKUP($C$204,'DB animal categories'!$C$68:$AC$80,26,FALSE)/24)*F210/100*VLOOKUP(D211,'DB technologies'!$N$96:$R$107,5,FALSE)/100)))</f>
        <v/>
      </c>
      <c r="AD211" s="304" t="str">
        <f>IF($C$204=0,"",IF('Calc (ex-animal)'!$F$38=1,"",IF(D211="","",VLOOKUP($C$204,'Calc (ex-animal)'!$D$38:$Y$42,10,FALSE)*AH210/100/VLOOKUP($C$204,'DB animal categories'!$C$68:$AC$80,27,FALSE)*(VLOOKUP($C$204,'DB animal categories'!$C$68:$AC$80,27,FALSE)-VLOOKUP($C$204,'DB animal categories'!$C$68:$AC$80,25,FALSE)*VLOOKUP($C$204,'DB animal categories'!$C$68:$AC$80,26,FALSE)/24)*F210/100*VLOOKUP(D211,'DB technologies'!$N$96:$Y$107,6,FALSE)/100)))</f>
        <v/>
      </c>
      <c r="AE211" s="305" t="str">
        <f>IF($C$204=0,"",IF('Calc (ex-animal)'!$F$38=1,"",IF(D211="","",VLOOKUP($C$204,'Calc (ex-animal)'!$D$38:$Y$42,10,FALSE)*AH210/100/VLOOKUP($C$204,'DB animal categories'!$C$68:$AC$80,27,FALSE)*(VLOOKUP($C$204,'DB animal categories'!$C$68:$AC$80,27,FALSE)-VLOOKUP($C$204,'DB animal categories'!$C$68:$AC$80,25,FALSE)*VLOOKUP($C$204,'DB animal categories'!$C$68:$AC$80,26,FALSE)/24)*F210/100*VLOOKUP(D211,'DB technologies'!$N$96:$Y$107,7,FALSE)/100)))</f>
        <v/>
      </c>
      <c r="AG211" s="1390"/>
      <c r="AH211" s="1380"/>
      <c r="AI211" s="187" t="str">
        <f>IF(D211="","",VLOOKUP(D211,'DB technologies'!$N$96:$Y$107,10,FALSE))</f>
        <v/>
      </c>
      <c r="AJ211" s="451" t="e">
        <f>VLOOKUP($C$204,'DB animal categories'!$C$68:$AN$80,27,FALSE)-VLOOKUP($C$204,'DB animal categories'!$C$68:$AN$80,26,FALSE)*VLOOKUP($C$204,'DB animal categories'!$C$68:$AN$80,25,FALSE)/24</f>
        <v>#N/A</v>
      </c>
      <c r="AK211" s="452" t="str">
        <f t="shared" si="38"/>
        <v/>
      </c>
      <c r="AL211" s="452" t="str">
        <f>IF(D211="","",IF(AI211=2,(('Calc (ex-animal)'!$G$42*'DB additional information '!$K$12/100*AH210/100*(1-VLOOKUP(D211,'DB technologies'!$N$96:$Y$107,9,FALSE)/100)*'Calc (ex-housing, ex-storage)'!F210/100+'Calc (ex-animal)'!$H$42*'DB additional information '!$L$12/100*AH210/100*(1-VLOOKUP(D211,'DB technologies'!$N$96:$Y$107,9,FALSE)/100)*'Calc (ex-housing, ex-storage)'!F210/100))/VLOOKUP($C$204,'DB animal categories'!$C$68:$AC$80,27,FALSE)*AJ211+I211+J211+K211,IF(AI211=1,('Calc (ex-animal)'!$H$42*AH210/100*'DB additional information '!$L$12/100*(1-VLOOKUP(D211,'DB technologies'!$N$96:$Y$107,9,FALSE)/100)*'Calc (ex-housing, ex-storage)'!F210/100)/VLOOKUP($C$204,'DB animal categories'!$C$68:$AC$80,27,FALSE)*AJ211,IF(AI211=4,('Calc (ex-animal)'!$G$42*'DB additional information '!$K$12/100+'Calc (ex-animal)'!$H$42*'DB additional information '!$L$12/100)*AH210/100*(1-VLOOKUP(D211,'DB technologies'!$N$96:$Y$107,9,FALSE)/100)*'Calc (ex-housing, ex-storage)'!F210/100*VLOOKUP(D211,'DB technologies'!$N$96:$Y$107,11,FALSE)/100/VLOOKUP($C$204,'DB animal categories'!$C$68:$AC$80,27,FALSE)*AJ211,0))))</f>
        <v/>
      </c>
      <c r="AM211" s="452" t="str">
        <f>IF(D211="","",IF(AI211=2,(('Calc (ex-animal)'!$G$42*(1-'DB additional information '!$K$12/100)*AH210/100*(1-VLOOKUP(D211,'DB technologies'!$N$96:$Y$107,8,FALSE)/100)*'Calc (ex-housing, ex-storage)'!F210/100+'Calc (ex-animal)'!$H$42*(1-'DB additional information '!$L$12/100)*AH210/100*(1-VLOOKUP(D211,'DB technologies'!$N$96:$Y$107,8,FALSE)/100)*'Calc (ex-housing, ex-storage)'!F210/100))/VLOOKUP($C$204,'DB animal categories'!$C$68:$AC$80,27,FALSE)*AJ211+M211+N211+O211,IF(AI211=1,('Calc (ex-animal)'!$H$42*(1-'DB additional information '!$L$12/100)*AH210/100*(1-VLOOKUP(D211,'DB technologies'!$N$96:$Y$107,8,FALSE)/100)*'Calc (ex-housing, ex-storage)'!F210/100)/VLOOKUP($C$204,'DB animal categories'!$C$68:$AC$80,27,FALSE)*AJ211,IF(AI211=4,('Calc (ex-animal)'!$G$42*(1-'DB additional information '!$K$12/100)+'Calc (ex-animal)'!$H$42*(1-'DB additional information '!$L$12/100))*AH210/100*(1-VLOOKUP(D211,'DB technologies'!$N$96:$Y$107,8,FALSE)/100)*'Calc (ex-housing, ex-storage)'!F210/100*VLOOKUP(D211,'DB technologies'!$N$96:$Y$107,11,FALSE)/100/VLOOKUP($C$204,'DB animal categories'!$C$68:$AC$80,27,FALSE)*AJ211,0))))</f>
        <v/>
      </c>
      <c r="AN211" s="452" t="str">
        <f t="shared" si="39"/>
        <v/>
      </c>
      <c r="AO211" s="184" t="str">
        <f>IF(D211="","",IF(AI211=2,(('Calc (ex-animal)'!$L$42*'Calc (ex-housing, ex-storage)'!F210/100+'Calc (ex-animal)'!$K$42*'Calc (ex-housing, ex-storage)'!F210/100))*AH210/100/VLOOKUP($C$204,'DB animal categories'!$C$68:$AC$80,27,FALSE)*AJ211+Q211+R211+S211-AC211,IF(AI211=1,('Calc (ex-animal)'!$L$42*'Calc (ex-housing, ex-storage)'!F210/100)*AH210/100/VLOOKUP($C$204,'DB animal categories'!$C$68:$AC$80,27,FALSE)*AJ211-'Calc (ex-housing, ex-storage)'!AC211,IF(AI211=4,('Calc (ex-animal)'!$L$42+'Calc (ex-animal)'!$K$42)*'Calc (ex-housing, ex-storage)'!F210/100*AH210/100*VLOOKUP(D211,'DB technologies'!$N$96:$Y$107,11,FALSE)/100/VLOOKUP($C$204,'DB animal categories'!$C$68:$AC$80,27,FALSE)*AJ211-AC211*VLOOKUP(D211,'DB technologies'!$N$96:$Y$107,11,FALSE)/100,0))))</f>
        <v/>
      </c>
      <c r="AP211" s="184" t="str">
        <f>IF(D211="","",IF(AO211&lt;-0.01,0,IF(AI211=2,(('Calc (ex-animal)'!$L$42*'Calc (ex-housing, ex-storage)'!F210/100+'Calc (ex-animal)'!$K$42*'Calc (ex-housing, ex-storage)'!F210/100))*AH210/100/VLOOKUP($C$204,'DB animal categories'!$C$68:$AC$80,27,FALSE)*AJ211+Q211+R211+S211-AC211,IF(AI211=1,('Calc (ex-animal)'!$L$42*'Calc (ex-housing, ex-storage)'!F210/100)*AH210/100/VLOOKUP($C$204,'DB animal categories'!$C$68:$AC$80,27,FALSE)*AJ211-'Calc (ex-housing, ex-storage)'!AC211,IF(AI211=4,('Calc (ex-animal)'!$L$42+'Calc (ex-animal)'!$K$42)*'Calc (ex-housing, ex-storage)'!F210/100*AH210/100*VLOOKUP(D211,'DB technologies'!$N$96:$Y$107,11,FALSE)/100/VLOOKUP($C$204,'DB animal categories'!$C$68:$AC$80,27,FALSE)*AJ211-AC211*VLOOKUP(D211,'DB technologies'!$N$96:$Y$107,11,FALSE)/100,0)))))</f>
        <v/>
      </c>
      <c r="AQ211" s="184" t="str">
        <f>IF(D211="","",IF(AI211=2,('Calc (ex-animal)'!$O$42*'Calc (ex-housing, ex-storage)'!F210/100+'Calc (ex-animal)'!$N$42*'Calc (ex-housing, ex-storage)'!F210/100)*AH210/100/VLOOKUP($C$204,'DB animal categories'!$C$68:$AC$80,27,FALSE)*AJ211+U211+V211+W211,IF(AI211=1,'Calc (ex-animal)'!$O$42*'Calc (ex-housing, ex-storage)'!F210/100*AH210/100/VLOOKUP($C$204,'DB animal categories'!$C$68:$AC$80,27,FALSE)*AJ211,IF(AI211=4,('Calc (ex-animal)'!$O$42+'Calc (ex-animal)'!$N$42)*'Calc (ex-housing, ex-storage)'!F210/100*AH210/100*VLOOKUP(D211,'DB technologies'!$N$96:$Y$107,11,FALSE)/100/VLOOKUP($C$204,'DB animal categories'!$C$68:$AC$80,27,FALSE)*AJ211,0))))</f>
        <v/>
      </c>
      <c r="AR211" s="184" t="str">
        <f>IF(D211="","",IF(AI211=2,('Calc (ex-animal)'!$R$42*'Calc (ex-housing, ex-storage)'!F210/100+'Calc (ex-animal)'!$Q$42*'Calc (ex-housing, ex-storage)'!F210/100)*AH210/100/VLOOKUP($C$204,'DB animal categories'!$C$68:$AC$80,27,FALSE)*AJ211+Y211+Z211+AA211,IF(AI211=1,'Calc (ex-animal)'!$R$42*'Calc (ex-housing, ex-storage)'!F210/100*AH210/100/VLOOKUP($C$204,'DB animal categories'!$C$68:$AC$80,27,FALSE)*AJ211,IF(AI211=4,('Calc (ex-animal)'!$R$42+'Calc (ex-animal)'!$Q$42)*'Calc (ex-housing, ex-storage)'!F210/100*AH210/100*VLOOKUP(D211,'DB technologies'!$N$96:$Y$107,11,FALSE)/100/VLOOKUP($C$204,'DB animal categories'!$C$68:$AC$80,27,FALSE)*AJ211,0))))</f>
        <v/>
      </c>
      <c r="AS211" s="183" t="str">
        <f>IF(D211="","",VLOOKUP(D211,'DB technologies'!$N$96:$Y$107,10,FALSE))</f>
        <v/>
      </c>
      <c r="AT211" s="452" t="str">
        <f t="shared" si="40"/>
        <v/>
      </c>
      <c r="AU211" s="452" t="str">
        <f>IF(D211="","",IF(AS211=2,0,IF(AS211=1,'Calc (ex-animal)'!$G$42*'DB additional information '!$K$12/100*AH210/100*(1-VLOOKUP(D211,'DB technologies'!$N$96:$Y$107,8,FALSE)/100)*'Calc (ex-housing, ex-storage)'!F210/100/VLOOKUP($C$204,'DB animal categories'!$C$68:$AC$80,27,FALSE)*AJ211+I211+J211+K211,IF(AS211=5,(('Calc (ex-animal)'!$G$42*'DB additional information '!$K$12/100+'Calc (ex-animal)'!$H$42*'DB additional information '!$L$12/100))*AH210/100*(1-VLOOKUP(D211,'DB technologies'!$N$96:$Y$107,9,FALSE)/100)*'Calc (ex-housing, ex-storage)'!F210/100/VLOOKUP($C$204,'DB animal categories'!$C$68:$AC$80,27,FALSE)*AJ211+I211+J211+K211,IF(AS211=3,('Calc (ex-animal)'!$G$42*'DB additional information '!$K$12/100+'Calc (ex-animal)'!$H$42*'DB additional information '!$L$12/100)*AH210/100*(1-VLOOKUP(D211,'DB technologies'!$N$96:$Y$107,9,FALSE)/100)*'Calc (ex-housing, ex-storage)'!F210/100/VLOOKUP($C$204,'DB animal categories'!$C$68:$AC$80,27,FALSE)*AJ211+I211+J211+K211,IF(AS211=4,('Calc (ex-animal)'!$G$42*'DB additional information '!$K$12/100+'Calc (ex-animal)'!$H$42*'DB additional information '!$L$12/100)*AH210/100*(1-VLOOKUP(D211,'DB technologies'!$N$96:$Y$107,9,FALSE)/100)*'Calc (ex-housing, ex-storage)'!F210/100*VLOOKUP(D211,'DB technologies'!$N$96:$Y$107,12,FALSE)/100/VLOOKUP($C$204,'DB animal categories'!$C$68:$AC$80,27,FALSE)*AJ211+I211+J211+K211,0))))))</f>
        <v/>
      </c>
      <c r="AV211" s="452" t="str">
        <f>IF(D211="","",IF(AS211=2,0,IF(AS211=1,'Calc (ex-animal)'!$G$42*(1-'DB additional information '!$K$12/100)*AH210/100*(1-VLOOKUP(D211,'DB technologies'!$N$96:$Y$107,8,FALSE)/100)*'Calc (ex-housing, ex-storage)'!F210/100/VLOOKUP($C$204,'DB animal categories'!$C$68:$AC$80,27,FALSE)*AJ211+M211+N211+O211,IF(AS211=5,('Calc (ex-animal)'!$G$42*(1-'DB additional information '!$K$12/100)+'Calc (ex-animal)'!$H$42*(1-'DB additional information '!$L$12/100))*AH210/100*(1-VLOOKUP(D211,'DB technologies'!$N$96:$Y$107,8,FALSE)/100)*'Calc (ex-housing, ex-storage)'!F210/100/VLOOKUP($C$204,'DB animal categories'!$C$68:$AC$80,27,FALSE)*AJ211+M211+N211+O211,IF(AS211=3,('Calc (ex-animal)'!$G$42*(1-'DB additional information '!$K$12/100)+'Calc (ex-animal)'!$H$42*(1-'DB additional information '!$L$12/100))*AH210/100*(1-VLOOKUP(D211,'DB technologies'!$N$96:$Y$107,8,FALSE)/100)*'Calc (ex-housing, ex-storage)'!F210/100/VLOOKUP($C$204,'DB animal categories'!$C$68:$AC$80,27,FALSE)*AJ211+M211+N211+O211,IF(AS211=4,('Calc (ex-animal)'!$G$42*(1-'DB additional information '!$K$12/100)+'Calc (ex-animal)'!$H$42*(1-'DB additional information '!$L$12/100))*AH210/100*(1-VLOOKUP(D211,'DB technologies'!$N$96:$Y$107,8,FALSE)/100)*'Calc (ex-housing, ex-storage)'!F210/100*VLOOKUP(D211,'DB technologies'!$N$96:$Y$107,12,FALSE)/100/VLOOKUP($C$204,'DB animal categories'!$C$68:$AC$80,27,FALSE)*AJ211+M211+N211+O211,0))))))</f>
        <v/>
      </c>
      <c r="AW211" s="452" t="str">
        <f t="shared" si="41"/>
        <v/>
      </c>
      <c r="AX211" s="184" t="str">
        <f>IF(D211="","",IF(AS211=2,0,IF(AS211=1,'Calc (ex-animal)'!$K$42*'Calc (ex-housing, ex-storage)'!F210/100*AH210/100/VLOOKUP($C$204,'DB animal categories'!$C$68:$AC$80,27,FALSE)*AJ211+Q211+R211+S211,IF(AS211=5,('Calc (ex-animal)'!$K$42+'Calc (ex-animal)'!$L$42)*AH210/100*'Calc (ex-housing, ex-storage)'!F210/100/VLOOKUP($C$204,'DB animal categories'!$C$68:$AC$80,27,FALSE)*AJ211+Q211+R211+S211-'Calc (ex-housing, ex-storage)'!AC211,IF(AS211=3,('Calc (ex-animal)'!$K$42+'Calc (ex-animal)'!$L$42)*AH210/100*'Calc (ex-housing, ex-storage)'!F210/100/VLOOKUP($C$204,'DB animal categories'!$C$68:$AC$80,27,FALSE)*AJ211+Q211+R211+S211-'Calc (ex-housing, ex-storage)'!AC211-AD211-AE211,IF(AI211=4,('Calc (ex-animal)'!$K$42+'Calc (ex-animal)'!$L$42)*AH210/100*'Calc (ex-housing, ex-storage)'!F210/100*VLOOKUP(D211,'DB technologies'!$N$96:$Y$107,12,FALSE)/100/VLOOKUP($C$204,'DB animal categories'!$C$68:$AC$80,27,FALSE)*AJ211+Q211+R211+S211-(VLOOKUP(D211,'DB technologies'!$N$96:$Y$107,12,FALSE)/100*AC211)-AD211-AE211,0))))))</f>
        <v/>
      </c>
      <c r="AY211" s="184" t="str">
        <f>IF(D211="","",IF(AS211=2,0,IF(AS211=1,'Calc (ex-animal)'!$N$42*AH210/100*'Calc (ex-housing, ex-storage)'!F210/100/VLOOKUP($C$204,'DB animal categories'!$C$68:$AC$80,27,FALSE)*AJ211+U211+V211+W211,IF(AS211=5,('Calc (ex-animal)'!$N$42+'Calc (ex-animal)'!$O$42)*AH210/100*'Calc (ex-housing, ex-storage)'!F210/100/VLOOKUP($C$204,'DB animal categories'!$C$68:$AC$80,27,FALSE)*AJ211+U211+V211+W211,IF(AS211=3,('Calc (ex-animal)'!$N$42+'Calc (ex-animal)'!$O$42)*AH210/100*'Calc (ex-housing, ex-storage)'!F210/100/VLOOKUP($C$204,'DB animal categories'!$C$68:$AC$80,27,FALSE)*AJ211+U211+V211+W211,IF(AS211=4,('Calc (ex-animal)'!$N$42+'Calc (ex-animal)'!$O$42)*AH210/100*'Calc (ex-housing, ex-storage)'!F210/100*VLOOKUP(D211,'DB technologies'!$N$96:$Y$107,12,FALSE)/100/VLOOKUP($C$204,'DB animal categories'!$C$68:$AC$80,27,FALSE)*AJ211+U211+V211+W211,0))))))</f>
        <v/>
      </c>
      <c r="AZ211" s="184" t="str">
        <f>IF(D211="","",IF(AS211=2,0,IF(AS211=1,'Calc (ex-animal)'!$Q$42*AH210/100*'Calc (ex-housing, ex-storage)'!F210/100/VLOOKUP($C$204,'DB animal categories'!$C$68:$AC$80,27,FALSE)*AJ211+Y211+Z211+AA211,IF(AS211=5,('Calc (ex-animal)'!$Q$42+'Calc (ex-animal)'!$R$42)*AH210/100*'Calc (ex-housing, ex-storage)'!F210/100/VLOOKUP($C$204,'DB animal categories'!$C$68:$AC$80,27,FALSE)*AJ211+Y211+Z211+AA211,IF(AS211=3,('Calc (ex-animal)'!$Q$42+'Calc (ex-animal)'!$R$42)*AH210/100*'Calc (ex-housing, ex-storage)'!F210/100/VLOOKUP($C$204,'DB animal categories'!$C$68:$AC$80,27,FALSE)*AJ211+Y211+Z211+AA211,IF(AS211=4,('Calc (ex-animal)'!$Q$42+'Calc (ex-animal)'!$R$42)*AH210/100*'Calc (ex-housing, ex-storage)'!F210/100*VLOOKUP(D211,'DB technologies'!$N$96:$Y$107,12,FALSE)/100/VLOOKUP($C$204,'DB animal categories'!$C$68:$AC$80,27,FALSE)*AJ211+Y211+Z211+AA211,0))))))</f>
        <v/>
      </c>
      <c r="BA211" s="506"/>
      <c r="BB211" s="506"/>
      <c r="BC211" s="506"/>
    </row>
    <row r="212" spans="1:55" x14ac:dyDescent="0.2">
      <c r="A212" s="684"/>
      <c r="B212" s="695"/>
      <c r="C212" s="251"/>
      <c r="D212" s="1357"/>
      <c r="E212" s="1369"/>
      <c r="F212" s="746" t="str">
        <f>IF('Calc (ex-animal)'!$F$38=1,"",IF($C$204=0,"",IF(D212="","",E212/'Calc (ex-animal)'!$E$42*100)))</f>
        <v/>
      </c>
      <c r="G212" s="438" t="str">
        <f>IF($C$204=0,"",IF('Calc (ex-animal)'!$F$38=1,"",IF(D212="","",SUM(H212:O212))))</f>
        <v/>
      </c>
      <c r="H212" s="423" t="str">
        <f>IF('Calc (ex-animal)'!$F$38=1,"",IF(D212="","",(((VLOOKUP($C$204,'Calc (ex-animal)'!$D$38:$Y$42,6,FALSE)-VLOOKUP($C$204,'Calc (ex-animal)'!$D$38:$Y$42,17,FALSE))*F212/100*AG212/100))*VLOOKUP($C$204,'Calc (ex-animal)'!$D$38:$Y$42,7,FALSE)/100*(1-VLOOKUP(D212,'DB technologies'!$N$83:$Y$94,9,FALSE)/100)))</f>
        <v/>
      </c>
      <c r="I212" s="423" t="str">
        <f>IF(D212="","",((VLOOKUP(D212,'DB technologies'!$N$83:$Y$94,2,FALSE)*VLOOKUP($C$204,'DB animal categories'!$C$68:$AC$80,27,FALSE)*E212/1000*AG212/100)/VLOOKUP($C$204,'DB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'!$S$6/100*(1-VLOOKUP(D212,'DB technologies'!$N$83:$Y$94,9,FALSE)/100)))</f>
        <v/>
      </c>
      <c r="J212" s="434" t="str">
        <f>IF(D212="","",((VLOOKUP(D212,'DB technologies'!$N$83:$Y$94,3,FALSE)*VLOOKUP($C$204,'DB animal categories'!$C$68:$AC$80,27,FALSE)*E212/1000*AG212/100)/VLOOKUP($C$204,'DB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'!$S$7/100*(1-VLOOKUP(D212,'DB technologies'!$N$83:$Y$94,9,FALSE)/100)))</f>
        <v/>
      </c>
      <c r="K212" s="526" t="str">
        <f>IF(D212="","",((VLOOKUP(D212,'DB technologies'!$N$83:$Y$94,4,FALSE)*E212*AG212/100*'DB additional information '!$S$8/100*(1-VLOOKUP(D212,'DB technologies'!$N$83:$Y$94,9,FALSE)/100))/VLOOKUP($C$204,'DB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12" s="423" t="str">
        <f>IF('Calc (ex-animal)'!$F$38=1,"",IF(D212="","",(((VLOOKUP($C$204,'Calc (ex-animal)'!$D$38:$Y$42,6,FALSE)-VLOOKUP($C$204,'Calc (ex-animal)'!$D$38:$Y$42,17,FALSE))*F212/100*AG212/100))*(1-VLOOKUP($C$204,'Calc (ex-animal)'!$D$38:$Y$42,7,FALSE)/100)*(1-VLOOKUP(D212,'DB technologies'!$N$83:$V$94,8,FALSE)/100)))</f>
        <v/>
      </c>
      <c r="M212" s="434" t="str">
        <f>IF(D212="","",((VLOOKUP(D212,'DB technologies'!$N$83:$Y$94,2,FALSE)*VLOOKUP($C$204,'DB animal categories'!$C$68:$AC$80,27,FALSE)*E212/1000*AG212/100)/VLOOKUP($C$204,'DB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'!$S$6/100)*(1-VLOOKUP(D212,'DB technologies'!$N$83:$Y$94,9,FALSE)/100))</f>
        <v/>
      </c>
      <c r="N212" s="434" t="str">
        <f>IF(D212="","",((VLOOKUP(D212,'DB technologies'!$N$83:$Y$94,3,FALSE)*VLOOKUP($C$204,'DB animal categories'!$C$68:$AC$80,27,FALSE)*E212/1000*AG212/100)/VLOOKUP($C$204,'DB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'!$S$7/100)*(1-VLOOKUP(D212,'DB technologies'!$N$83:$Y$94,9,FALSE)/100))</f>
        <v/>
      </c>
      <c r="O212" s="423" t="str">
        <f>IF(D212="","",((VLOOKUP(D212,'DB technologies'!$N$83:$Y$94,4,FALSE)*E212*AG212/100*(1-'DB additional information '!$S$8/100)*(1-VLOOKUP(D212,'DB technologies'!$N$83:$Y$94,8,FALSE)/100))/VLOOKUP($C$204,'DB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12" s="438" t="str">
        <f>IF(G212=0,0,IF(E212="","",IF(F212="","",IF($C$204=0,"",IF(D212="","",SUM(H212:K212)/G212*100)))))</f>
        <v/>
      </c>
      <c r="Q212" s="416" t="str">
        <f>IF(D212="","",(VLOOKUP(D212,'DB technologies'!$N$83:$Y$94,2,FALSE)*'DB additional information '!$S$6/100*'DB additional information '!$T$6*VLOOKUP($C$204,'DB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12" s="416" t="str">
        <f>IF(D212="","",(VLOOKUP(D212,'DB technologies'!$N$83:$Y$94,3,FALSE)*'DB additional information '!$S$7/100*'DB additional information '!$T$7*VLOOKUP($C$204,'DB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12" s="417" t="str">
        <f>IF(D212="","",(VLOOKUP(D212,'DB technologies'!$N$83:$Y$94,4,FALSE)*('DB additional information '!$S$8/100*'DB additional information '!$T$8*E212/1000/1000*AG212/100)))</f>
        <v/>
      </c>
      <c r="T212" s="264" t="str">
        <f>IF($C$204=0,"",IF('Calc (ex-animal)'!$F$38=1,"",IF(D212="","",((VLOOKUP($C$204,'Calc (ex-animal)'!$D$38:$Y$42,10,FALSE)-VLOOKUP($C$204,'Calc (ex-animal)'!$D$38:$Y$42,18,FALSE))*F212/100*AG212/100+Q212+R212+S212)-AC212-AD212-AE212)))</f>
        <v/>
      </c>
      <c r="U212" s="422" t="str">
        <f>IF(D212="","",(VLOOKUP(D212,'DB technologies'!$N$83:$Y$94,2,FALSE)*'DB additional information '!$S$6/100*'DB additional information '!$U$6*VLOOKUP($C$204,'DB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12" s="418" t="str">
        <f>IF(D212="","",(VLOOKUP(D212,'DB technologies'!$N$83:$Y$94,3,FALSE)*'DB additional information '!$S$7/100*'DB additional information '!$U$7*VLOOKUP($C$204,'DB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12" s="417" t="str">
        <f>IF(D212="","",(VLOOKUP(D212,'DB technologies'!$N$83:$Y$94,4,FALSE)*('DB additional information '!$S$8/100*'DB additional information '!$U$8*E212/1000/1000*AG212/100)))</f>
        <v/>
      </c>
      <c r="X212" s="261" t="str">
        <f>IF($C$204=0,"",IF('Calc (ex-animal)'!$F$38=1,"",IF(D212="","",((VLOOKUP($C$204,'Calc (ex-animal)'!$D$38:$Y$42,13,FALSE)-VLOOKUP($C$204,'Calc (ex-animal)'!$D$38:$Y$42,19,FALSE))*F212/100*AG212/100+U212+V212+W212))))</f>
        <v/>
      </c>
      <c r="Y212" s="418" t="str">
        <f>IF(D212="","",(VLOOKUP(D212,'DB technologies'!$N$83:$Y$94,2,FALSE)*'DB additional information '!$S$6/100*'DB additional information '!$V$6*VLOOKUP($C$204,'DB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12" s="418" t="str">
        <f>IF(D212="","",(VLOOKUP(D212,'DB technologies'!$N$83:$Y$94,3,FALSE)*'DB additional information '!$S$7/100*'DB additional information '!$V$7*VLOOKUP($C$204,'DB animal categories'!$C$68:$AC$80,27,FALSE)*E212/1000/1000*AG212/100)/VLOOKUP($C$204,'DB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12" s="418" t="str">
        <f>IF(D212="","",(VLOOKUP(D212,'DB technologies'!$N$83:$Y$94,4,FALSE)*('DB additional information '!$S$8/100*'DB additional information '!$V$8*E212/1000/1000*AG212/100)))</f>
        <v/>
      </c>
      <c r="AB212" s="261" t="str">
        <f>IF($C$204=0,"",IF('Calc (ex-animal)'!$F$38=1,"",IF(D212="","",((VLOOKUP($C$204,'Calc (ex-animal)'!$D$38:$Y$42,16,FALSE)-VLOOKUP($C$204,'Calc (ex-animal)'!$D$38:$Y$42,20,FALSE))*F212/100*AG212/100+Y212+Z212+AA212))))</f>
        <v/>
      </c>
      <c r="AC212" s="261" t="str">
        <f>IF($C$204=0,"",IF('Calc (ex-animal)'!$F$38=1,"",IF(D212="","",VLOOKUP($C$204,'Calc (ex-animal)'!$D$38:$Y$42,9,FALSE)*AG212/100/VLOOKUP($C$204,'DB animal categories'!$C$68:$AC$80,27,FALSE)*(VLOOKUP($C$204,'DB animal categories'!$C$68:$AC$80,27,FALSE)-VLOOKUP($C$204,'DB animal categories'!$C$68:$AC$80,25,FALSE)*VLOOKUP($C$204,'DB animal categories'!$C$68:$AC$80,26,FALSE)/24)*F212/100*VLOOKUP(D212,'DB technologies'!$N$83:$R$94,5,FALSE)/100)))</f>
        <v/>
      </c>
      <c r="AD212" s="261" t="str">
        <f>IF($C$204=0,"",IF('Calc (ex-animal)'!$F$38=1,"",IF(D212="","",VLOOKUP($C$204,'Calc (ex-animal)'!$D$38:$Y$42,10,FALSE)*AG212/100/VLOOKUP($C$204,'DB animal categories'!$C$68:$AC$80,27,FALSE)*(VLOOKUP($C$204,'DB animal categories'!$C$68:$AC$80,27,FALSE)-VLOOKUP($C$204,'DB animal categories'!$C$68:$AC$80,25,FALSE)*VLOOKUP($C$204,'DB animal categories'!$C$68:$AC$80,26,FALSE)/24)*F212/100*VLOOKUP(D212,'DB technologies'!$N$83:$Y$94,6,FALSE)/100)))</f>
        <v/>
      </c>
      <c r="AE212" s="262" t="str">
        <f>IF($C$204=0,"",IF('Calc (ex-animal)'!$F$38=1,"",IF(D212="","",VLOOKUP($C$204,'Calc (ex-animal)'!$D$38:$Y$42,10,FALSE)*AG212/100/VLOOKUP($C$204,'DB animal categories'!$C$68:$AC$80,27,FALSE)*(VLOOKUP($C$204,'DB animal categories'!$C$68:$AC$80,27,FALSE)-VLOOKUP($C$204,'DB animal categories'!$C$68:$AC$80,25,FALSE)*VLOOKUP($C$204,'DB animal categories'!$C$68:$AC$80,26,FALSE)/24)*F212/100*VLOOKUP(D212,'DB technologies'!$N$83:$Y$94,7,FALSE)/100)))</f>
        <v/>
      </c>
      <c r="AG212" s="1391"/>
      <c r="AH212" s="1388"/>
      <c r="AI212" s="185" t="str">
        <f>IF(D212="","",VLOOKUP(D212,'DB technologies'!$N$82:$Y$94,10,FALSE))</f>
        <v/>
      </c>
      <c r="AJ212" s="482" t="e">
        <f>VLOOKUP($C$204,'DB animal categories'!$C$68:$AN$80,27,FALSE)-VLOOKUP($C$204,'DB animal categories'!$C$68:$AN$80,26,FALSE)*VLOOKUP($C$204,'DB animal categories'!$C$68:$AN$80,25,FALSE)/24</f>
        <v>#N/A</v>
      </c>
      <c r="AK212" s="453" t="str">
        <f t="shared" si="38"/>
        <v/>
      </c>
      <c r="AL212" s="453" t="str">
        <f>IF(D212="","",IF(AI212=2,(('Calc (ex-animal)'!$G$42*'DB additional information '!$K$12/100*AG212/100*(1-VLOOKUP(D212,'DB technologies'!$N$82:$Y$94,9,FALSE)/100)*'Calc (ex-housing, ex-storage)'!F212/100+'Calc (ex-animal)'!$H$42*'DB additional information '!$L$12/100*AG212/100*(1-VLOOKUP(D212,'DB technologies'!$N$82:$Y$94,9,FALSE)/100)*'Calc (ex-housing, ex-storage)'!F212/100))/VLOOKUP($C$204,'DB animal categories'!$C$68:$AC$80,27,FALSE)*AJ212+I212+J212+K212,IF(AI212=1,('Calc (ex-animal)'!$H$42*AG212/100*'DB additional information '!$L$12/100*(1-VLOOKUP(D212,'DB technologies'!$N$82:$Y$94,9,FALSE)/100)*'Calc (ex-housing, ex-storage)'!F212/100)/VLOOKUP($C$204,'DB animal categories'!$C$68:$AC$80,27,FALSE)*AJ212,IF(AI212=4,('Calc (ex-animal)'!$G$42*'DB additional information '!$K$12/100+'Calc (ex-animal)'!$H$42*'DB additional information '!$L$12/100)*AG212/100*(1-VLOOKUP(D212,'DB technologies'!$N$82:$Y$94,9,FALSE)/100)*'Calc (ex-housing, ex-storage)'!F212/100*VLOOKUP(D212,'DB technologies'!$N$82:$Y$94,11,FALSE)/100/VLOOKUP($C$204,'DB animal categories'!$C$68:$AC$80,27,FALSE)*AJ212,0))))</f>
        <v/>
      </c>
      <c r="AM212" s="453" t="str">
        <f>IF(D212="","",IF(AI212=2,(('Calc (ex-animal)'!$G$42*(1-'DB additional information '!$K$12/100)*AG212/100*(1-VLOOKUP(D212,'DB technologies'!$N$82:$Y$94,8,FALSE)/100)*'Calc (ex-housing, ex-storage)'!F212/100+'Calc (ex-animal)'!$H$42*(1-'DB additional information '!$L$12/100)*AG212/100*(1-VLOOKUP(D212,'DB technologies'!$N$82:$Y$94,8,FALSE)/100)*'Calc (ex-housing, ex-storage)'!F212/100))/VLOOKUP($C$204,'DB animal categories'!$C$68:$AC$80,27,FALSE)*AJ212+M212+N212+O212,IF(AI212=1,('Calc (ex-animal)'!$H$42*(1-'DB additional information '!$L$12/100)*AG212/100*(1-VLOOKUP(D212,'DB technologies'!$N$82:$Y$94,8,FALSE)/100)*'Calc (ex-housing, ex-storage)'!F212/100)/VLOOKUP($C$204,'DB animal categories'!$C$68:$AC$80,27,FALSE)*AJ212,IF(AI212=4,('Calc (ex-animal)'!$G$42*(1-'DB additional information '!$K$12/100)+'Calc (ex-animal)'!$H$42*(1-'DB additional information '!$L$12/100))*AG212/100*(1-VLOOKUP(D212,'DB technologies'!$N$82:$Y$94,8,FALSE)/100)*'Calc (ex-housing, ex-storage)'!F212/100*VLOOKUP(D212,'DB technologies'!$N$82:$Y$94,11,FALSE)/100/VLOOKUP($C$204,'DB animal categories'!$C$68:$AC$80,27,FALSE)*AJ212,0))))</f>
        <v/>
      </c>
      <c r="AN212" s="453" t="str">
        <f t="shared" si="39"/>
        <v/>
      </c>
      <c r="AO212" s="180" t="str">
        <f>IF(D212="","",IF(AI212=2,(('Calc (ex-animal)'!$L$42*'Calc (ex-housing, ex-storage)'!F212/100+'Calc (ex-animal)'!$K$42*'Calc (ex-housing, ex-storage)'!F212/100))*AG212/100/VLOOKUP($C$204,'DB animal categories'!$C$68:$AC$80,27,FALSE)*AJ212+Q212+R212+S212-AC212,IF(AI212=1,('Calc (ex-animal)'!$L$42*'Calc (ex-housing, ex-storage)'!F212/100)*AG212/100/VLOOKUP($C$204,'DB animal categories'!$C$68:$AC$80,27,FALSE)*AJ212-'Calc (ex-housing, ex-storage)'!AC212,IF(AI212=4,('Calc (ex-animal)'!$L$42+'Calc (ex-animal)'!$K$42)*'Calc (ex-housing, ex-storage)'!F212/100*AG212/100*VLOOKUP(D212,'DB technologies'!$N$82:$Y$94,11,FALSE)/100/VLOOKUP($C$204,'DB animal categories'!$C$68:$AC$80,27,FALSE)*AJ212-AC212*VLOOKUP(D212,'DB technologies'!$N$82:$Y$94,11,FALSE)/100,0))))</f>
        <v/>
      </c>
      <c r="AP212" s="180" t="str">
        <f>IF(D212="","",IF(AO212&lt;-0.01,0,IF(AI212=2,(('Calc (ex-animal)'!$L$42*'Calc (ex-housing, ex-storage)'!F212/100+'Calc (ex-animal)'!$K$42*'Calc (ex-housing, ex-storage)'!F212/100))*AG212/100/VLOOKUP($C$204,'DB animal categories'!$C$68:$AC$80,27,FALSE)*AJ212+Q212+R212+S212-AC212,IF(AI212=1,('Calc (ex-animal)'!$L$42*'Calc (ex-housing, ex-storage)'!F212/100)*AG212/100/VLOOKUP($C$204,'DB animal categories'!$C$68:$AC$80,27,FALSE)*AJ212-'Calc (ex-housing, ex-storage)'!AC212,IF(AI212=4,('Calc (ex-animal)'!$L$42+'Calc (ex-animal)'!$K$42)*'Calc (ex-housing, ex-storage)'!F212/100*AG212/100*VLOOKUP(D212,'DB technologies'!$N$82:$Y$94,11,FALSE)/100/VLOOKUP($C$204,'DB animal categories'!$C$68:$AC$80,27,FALSE)*AJ212-AC212*VLOOKUP(D212,'DB technologies'!$N$82:$Y$94,11,FALSE)/100,0)))))</f>
        <v/>
      </c>
      <c r="AQ212" s="180" t="str">
        <f>IF(D212="","",IF(AI212=2,('Calc (ex-animal)'!$O$42*'Calc (ex-housing, ex-storage)'!F212/100+'Calc (ex-animal)'!$N$42*'Calc (ex-housing, ex-storage)'!F212/100)*AG212/100/VLOOKUP($C$204,'DB animal categories'!$C$68:$AC$80,27,FALSE)*AJ212+U212+V212+W212,IF(AI212=1,'Calc (ex-animal)'!$O$42*'Calc (ex-housing, ex-storage)'!F212/100*AG212/100/VLOOKUP($C$204,'DB animal categories'!$C$68:$AC$80,27,FALSE)*AJ212,IF(AI212=4,('Calc (ex-animal)'!$O$42+'Calc (ex-animal)'!$N$42)*'Calc (ex-housing, ex-storage)'!F212/100*AG212/100*VLOOKUP(D212,'DB technologies'!$N$82:$Y$94,11,FALSE)/100/VLOOKUP($C$204,'DB animal categories'!$C$68:$AC$80,27,FALSE)*AJ212,0))))</f>
        <v/>
      </c>
      <c r="AR212" s="180" t="str">
        <f>IF(D212="","",IF(AI212=2,('Calc (ex-animal)'!$R$42*'Calc (ex-housing, ex-storage)'!F212/100+'Calc (ex-animal)'!$Q$42*'Calc (ex-housing, ex-storage)'!F212/100)*AG212/100/VLOOKUP($C$204,'DB animal categories'!$C$68:$AC$80,27,FALSE)*AJ212+Y212+Z212+AA212,IF(AI212=1,'Calc (ex-animal)'!$R$42*'Calc (ex-housing, ex-storage)'!F212/100*AG212/100/VLOOKUP($C$204,'DB animal categories'!$C$68:$AC$80,27,FALSE)*AJ212,IF(AI212=4,('Calc (ex-animal)'!$R$42+'Calc (ex-animal)'!$Q$42)*'Calc (ex-housing, ex-storage)'!F212/100*AG212/100*VLOOKUP(D212,'DB technologies'!$N$82:$Y$94,11,FALSE)/100/VLOOKUP($C$204,'DB animal categories'!$C$68:$AC$80,27,FALSE)*AJ212,0))))</f>
        <v/>
      </c>
      <c r="AS212" s="179" t="str">
        <f>IF(D212="","",VLOOKUP(D212,'DB technologies'!$N$82:$Y$94,10,FALSE))</f>
        <v/>
      </c>
      <c r="AT212" s="453" t="str">
        <f t="shared" si="40"/>
        <v/>
      </c>
      <c r="AU212" s="453" t="str">
        <f>IF(D212="","",IF(AS212=2,0,IF(AS212=1,'Calc (ex-animal)'!$G$42*'DB additional information '!$K$12/100*AG212/100*(1-VLOOKUP(D212,'DB technologies'!$N$82:$Y$94,8,FALSE)/100)*'Calc (ex-housing, ex-storage)'!F212/100/VLOOKUP($C$204,'DB animal categories'!$C$68:$AC$80,27,FALSE)*AJ212+I212+J212+K212,IF(AS212=5,(('Calc (ex-animal)'!$G$42*'DB additional information '!$K$12/100+'Calc (ex-animal)'!$H$42*'DB additional information '!$L$12/100))*AG212/100*(1-VLOOKUP(D212,'DB technologies'!$N$82:$Y$94,9,FALSE)/100)*'Calc (ex-housing, ex-storage)'!F212/100/VLOOKUP($C$204,'DB animal categories'!$C$68:$AC$80,27,FALSE)*AJ212+I212+J212+K212,IF(AS212=3,('Calc (ex-animal)'!$G$42*'DB additional information '!$K$12/100+'Calc (ex-animal)'!$H$42*'DB additional information '!$L$12/100)*AG212/100*(1-VLOOKUP(D212,'DB technologies'!$N$82:$Y$94,9,FALSE)/100)*'Calc (ex-housing, ex-storage)'!F212/100/VLOOKUP($C$204,'DB animal categories'!$C$68:$AC$80,27,FALSE)*AJ212+I212+J212+K212,IF(AS212=4,('Calc (ex-animal)'!$G$42*'DB additional information '!$K$12/100+'Calc (ex-animal)'!$H$42*'DB additional information '!$L$12/100)*AG212/100*(1-VLOOKUP(D212,'DB technologies'!$N$82:$Y$94,9,FALSE)/100)*'Calc (ex-housing, ex-storage)'!F212/100*VLOOKUP(D212,'DB technologies'!$N$82:$Y$94,12,FALSE)/100/VLOOKUP($C$204,'DB animal categories'!$C$68:$AC$80,27,FALSE)*AJ212+I212+J212+K212,0))))))</f>
        <v/>
      </c>
      <c r="AV212" s="453" t="str">
        <f>IF(D212="","",IF(AS212=2,0,IF(AS212=1,'Calc (ex-animal)'!$G$42*(1-'DB additional information '!$K$12/100)*AG212/100*(1-VLOOKUP(D212,'DB technologies'!$N$82:$Y$94,8,FALSE)/100)*'Calc (ex-housing, ex-storage)'!F212/100/VLOOKUP($C$204,'DB animal categories'!$C$68:$AC$80,27,FALSE)*AJ212+M212+N212+O212,IF(AS212=5,('Calc (ex-animal)'!$G$42*(1-'DB additional information '!$K$12/100)+'Calc (ex-animal)'!$H$42*(1-'DB additional information '!$L$12/100))*AG212/100*(1-VLOOKUP(D212,'DB technologies'!$N$82:$Y$94,8,FALSE)/100)*'Calc (ex-housing, ex-storage)'!F212/100/VLOOKUP($C$204,'DB animal categories'!$C$68:$AC$80,27,FALSE)*AJ212+M212+N212+O212,IF(AS212=3,('Calc (ex-animal)'!$G$42*(1-'DB additional information '!$K$12/100)+'Calc (ex-animal)'!$H$42*(1-'DB additional information '!$L$12/100))*AG212/100*(1-VLOOKUP(D212,'DB technologies'!$N$82:$Y$94,8,FALSE)/100)*'Calc (ex-housing, ex-storage)'!F212/100/VLOOKUP($C$204,'DB animal categories'!$C$68:$AC$80,27,FALSE)*AJ212+M212+N212+O212,IF(AS212=4,('Calc (ex-animal)'!$G$42*(1-'DB additional information '!$K$12/100)+'Calc (ex-animal)'!$H$42*(1-'DB additional information '!$L$12/100))*AG212/100*(1-VLOOKUP(D212,'DB technologies'!$N$82:$Y$94,8,FALSE)/100)*'Calc (ex-housing, ex-storage)'!F212/100*VLOOKUP(D212,'DB technologies'!$N$82:$Y$94,12,FALSE)/100/VLOOKUP($C$204,'DB animal categories'!$C$68:$AC$80,27,FALSE)*AJ212+M212+N212+O212,0))))))</f>
        <v/>
      </c>
      <c r="AW212" s="453" t="str">
        <f t="shared" si="41"/>
        <v/>
      </c>
      <c r="AX212" s="180" t="str">
        <f>IF(D212="","",IF(AS212=2,0,IF(AS212=1,'Calc (ex-animal)'!$K$42*'Calc (ex-housing, ex-storage)'!F212/100*AG212/100/VLOOKUP($C$204,'DB animal categories'!$C$68:$AC$80,27,FALSE)*AJ212+Q212+R212+S212,IF(AS212=5,('Calc (ex-animal)'!$K$42+'Calc (ex-animal)'!$L$42)*AG212/100*'Calc (ex-housing, ex-storage)'!F212/100/VLOOKUP($C$204,'DB animal categories'!$C$68:$AC$80,27,FALSE)*AJ212+Q212+R212+S212-'Calc (ex-housing, ex-storage)'!AC212,IF(AS212=3,('Calc (ex-animal)'!$K$42+'Calc (ex-animal)'!$L$42)*AG212/100*'Calc (ex-housing, ex-storage)'!F212/100/VLOOKUP($C$204,'DB animal categories'!$C$68:$AC$80,27,FALSE)*AJ212+Q212+R212+S212-'Calc (ex-housing, ex-storage)'!AC212-AD212-AE212,IF(AI212=4,('Calc (ex-animal)'!$K$42+'Calc (ex-animal)'!$L$42)*AG212/100*'Calc (ex-housing, ex-storage)'!F212/100*VLOOKUP(D212,'DB technologies'!$N$82:$Y$94,12,FALSE)/100/VLOOKUP($C$204,'DB animal categories'!$C$68:$AC$80,27,FALSE)*AJ212+Q212+R212+S212-(VLOOKUP(D212,'DB technologies'!$N$82:$Y$94,12,FALSE)/100*AC212)-AD212-AE212,0))))))</f>
        <v/>
      </c>
      <c r="AY212" s="180" t="str">
        <f>IF(D212="","",IF(AS212=2,0,IF(AS212=1,'Calc (ex-animal)'!$N$42*AG212/100*'Calc (ex-housing, ex-storage)'!F212/100/VLOOKUP($C$204,'DB animal categories'!$C$68:$AC$80,27,FALSE)*AJ212+U212+V212+W212,IF(AS212=5,('Calc (ex-animal)'!$N$42+'Calc (ex-animal)'!$O$42)*AG212/100*'Calc (ex-housing, ex-storage)'!F212/100/VLOOKUP($C$204,'DB animal categories'!$C$68:$AC$80,27,FALSE)*AJ212+U212+V212+W212,IF(AS212=3,('Calc (ex-animal)'!$N$42+'Calc (ex-animal)'!$O$42)*AG212/100*'Calc (ex-housing, ex-storage)'!F212/100/VLOOKUP($C$204,'DB animal categories'!$C$68:$AC$80,27,FALSE)*AJ212+U212+V212+W212,IF(AS212=4,('Calc (ex-animal)'!$N$42+'Calc (ex-animal)'!$O$42)*AG212/100*'Calc (ex-housing, ex-storage)'!F212/100*VLOOKUP(D212,'DB technologies'!$N$82:$Y$94,12,FALSE)/100/VLOOKUP($C$204,'DB animal categories'!$C$68:$AC$80,27,FALSE)*AJ212+U212+V212+W212,0))))))</f>
        <v/>
      </c>
      <c r="AZ212" s="180" t="str">
        <f>IF(D212="","",IF(AS212=2,0,IF(AS212=1,'Calc (ex-animal)'!$Q$42*AG212/100*'Calc (ex-housing, ex-storage)'!F212/100/VLOOKUP($C$204,'DB animal categories'!$C$68:$AC$80,27,FALSE)*AJ212+Y212+Z212+AA212,IF(AS212=5,('Calc (ex-animal)'!$Q$42+'Calc (ex-animal)'!$R$42)*AG212/100*'Calc (ex-housing, ex-storage)'!F212/100/VLOOKUP($C$204,'DB animal categories'!$C$68:$AC$80,27,FALSE)*AJ212+Y212+Z212+AA212,IF(AS212=3,('Calc (ex-animal)'!$Q$42+'Calc (ex-animal)'!$R$42)*AG212/100*'Calc (ex-housing, ex-storage)'!F212/100/VLOOKUP($C$204,'DB animal categories'!$C$68:$AC$80,27,FALSE)*AJ212+Y212+Z212+AA212,IF(AS212=4,('Calc (ex-animal)'!$Q$42+'Calc (ex-animal)'!$R$42)*AG212/100*'Calc (ex-housing, ex-storage)'!F212/100*VLOOKUP(D212,'DB technologies'!$N$82:$Y$94,12,FALSE)/100/VLOOKUP($C$204,'DB animal categories'!$C$68:$AC$80,27,FALSE)*AJ212+Y212+Z212+AA212,0))))))</f>
        <v/>
      </c>
      <c r="BA212" s="506"/>
      <c r="BB212" s="506"/>
      <c r="BC212" s="506"/>
    </row>
    <row r="213" spans="1:55" ht="12" thickBot="1" x14ac:dyDescent="0.25">
      <c r="A213" s="684"/>
      <c r="B213" s="695"/>
      <c r="C213" s="251"/>
      <c r="D213" s="1359"/>
      <c r="E213" s="1395"/>
      <c r="F213" s="693" t="str">
        <f>IF('Calc (ex-animal)'!$F$9=1,"",IF($C$152=0,"",IF(D213="","",E213/'Calc (ex-animal)'!$E$32*100)))</f>
        <v/>
      </c>
      <c r="G213" s="438" t="str">
        <f>IF($C$204=0,"",IF('Calc (ex-animal)'!$F$38=1,"",IF(D213="","",SUM(H213:O213))))</f>
        <v/>
      </c>
      <c r="H213" s="423" t="str">
        <f>IF('Calc (ex-animal)'!$F$38=1,"",IF(D213="","",(((VLOOKUP($C$204,'Calc (ex-animal)'!$D$38:$Y$42,6,FALSE)-VLOOKUP($C$204,'Calc (ex-animal)'!$D$38:$Y$42,17,FALSE))*F212/100*AH212/100))*VLOOKUP($C$204,'Calc (ex-animal)'!$D$38:$Y$42,7,FALSE)/100*(1-VLOOKUP(D213,'DB technologies'!$N$96:$Y$107,9,FALSE)/100)))</f>
        <v/>
      </c>
      <c r="I213" s="423" t="str">
        <f>IF(D213="","",((VLOOKUP(D213,'DB technologies'!$N$96:$Y$107,2,FALSE)*VLOOKUP($C$204,'DB animal categories'!$C$68:$AC$80,27,FALSE)*F212/1000*AH212/100)/VLOOKUP($C$204,'DB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'!$S$6/100*(1-VLOOKUP(D213,'DB technologies'!$N$96:$Y$107,9,FALSE)/100)))</f>
        <v/>
      </c>
      <c r="J213" s="434" t="str">
        <f>IF(D213="","",((VLOOKUP(D213,'DB technologies'!$N$96:$Y$107,3,FALSE)*VLOOKUP($C$204,'DB animal categories'!$C$68:$AC$80,27,FALSE)*E212/1000*AH212/100)/VLOOKUP($C$204,'DB animal categories'!$C$68:$AC$80,27,FALSE)*(VLOOKUP($C$204,'DB animal categories'!$C$68:$AC$80,27,FALSE)-(VLOOKUP($C$204,'DB animal categories'!$C$68:$AC$80,25,FALSE)*VLOOKUP($C$204,'DB animal categories'!$C$68:$AC$80,26,FALSE)/24))*'DB additional information '!$S$7/100*(1-VLOOKUP(D213,'DB technologies'!$N$96:$Y$107,9,FALSE)/100)))</f>
        <v/>
      </c>
      <c r="K213" s="526" t="str">
        <f>IF(D213="","",((VLOOKUP(D213,'DB technologies'!$N$96:$Y$107,4,FALSE)*E212*AH212/100*'DB additional information '!$S$8/100*(1-VLOOKUP(D213,'DB technologies'!$N$96:$Y$107,9,FALSE)/100))/VLOOKUP($C$204,'DB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L213" s="423" t="str">
        <f>IF('Calc (ex-animal)'!$F$38=1,"",IF(D213="","",(((VLOOKUP($C$204,'Calc (ex-animal)'!$D$38:$Y$42,6,FALSE)-VLOOKUP($C$204,'Calc (ex-animal)'!$D$38:$Y$42,17,FALSE))*F212/100*AH212/100))*(1-VLOOKUP($C$204,'Calc (ex-animal)'!$D$38:$Y$42,7,FALSE)/100)*(1-VLOOKUP(D213,'DB technologies'!$N$96:$V$107,8,FALSE)/100)))</f>
        <v/>
      </c>
      <c r="M213" s="434" t="str">
        <f>IF(D213="","",((VLOOKUP(D213,'DB technologies'!$N$96:$Y$107,2,FALSE)*VLOOKUP($C$204,'DB animal categories'!$C$68:$AC$80,27,FALSE)*E212/1000*AH212/100)/VLOOKUP($C$204,'DB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'!$S$6/100)*(1-VLOOKUP(D213,'DB technologies'!$N$96:$Y$107,9,FALSE)/100))</f>
        <v/>
      </c>
      <c r="N213" s="434" t="str">
        <f>IF(D213="","",((VLOOKUP(D213,'DB technologies'!$N$96:$Y$107,3,FALSE)*VLOOKUP($C$204,'DB animal categories'!$C$68:$AC$80,27,FALSE)*E212/1000*AH212/100)/VLOOKUP($C$204,'DB animal categories'!$C$68:$AC$80,27,FALSE)*(VLOOKUP($C$204,'DB animal categories'!$C$68:$AC$80,27,FALSE)-VLOOKUP($C$204,'DB animal categories'!$C$68:$AC$80,25,FALSE)*VLOOKUP($C$204,'DB animal categories'!$C$68:$AC$80,26,FALSE)/24))*(1-'DB additional information '!$S$7/100)*(1-VLOOKUP(D213,'DB technologies'!$N$96:$Y$107,9,FALSE)/100))</f>
        <v/>
      </c>
      <c r="O213" s="423" t="str">
        <f>IF(D213="","",((VLOOKUP(D213,'DB technologies'!$N$96:$Y$107,4,FALSE)*E212*AH212/100*(1-'DB additional information '!$S$8/100)*(1-VLOOKUP(D213,'DB technologies'!$N$96:$Y$107,8,FALSE)/100))/VLOOKUP($C$204,'DB animal categories'!$C$68:$AC$80,27,FALSE)*(VLOOKUP($C$204,'DB animal categories'!$C$68:$AC$80,27,FALSE)-VLOOKUP($C$204,'DB animal categories'!$C$68:$AC$80,25,FALSE)*VLOOKUP($C$204,'DB animal categories'!$C$68:$AC$80,26,FALSE)/24)))</f>
        <v/>
      </c>
      <c r="P213" s="438" t="str">
        <f>IF(G213=0,0,IF(E212="","",IF(F212="","",IF($C$204=0,"",IF(D213="","",SUM(H213:K213)/G213*100)))))</f>
        <v/>
      </c>
      <c r="Q213" s="416" t="str">
        <f>IF(D213="","",(VLOOKUP(D213,'DB technologies'!$N$96:$Y$107,2,FALSE)*'DB additional information '!$S$6/100*'DB additional information '!$T$6*VLOOKUP($C$204,'DB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R213" s="416" t="str">
        <f>IF(D213="","",(VLOOKUP(D213,'DB technologies'!$N$96:$Y$107,3,FALSE)*'DB additional information '!$S$7/100*'DB additional information '!$T$7*VLOOKUP($C$204,'DB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S213" s="417" t="str">
        <f>IF(D213="","",(VLOOKUP(D213,'DB technologies'!$N$96:$Y$107,4,FALSE)*('DB additional information '!$S$8/100*'DB additional information '!$T$8*E212/1000/1000*AH212/100)))</f>
        <v/>
      </c>
      <c r="T213" s="266" t="str">
        <f>IF($C$204=0,"",IF('Calc (ex-animal)'!$F$38=1,"",IF(D213="","",((VLOOKUP($C$204,'Calc (ex-animal)'!$D$38:$Y$42,10,FALSE)-VLOOKUP($C$204,'Calc (ex-animal)'!$D$38:$Y$42,18,FALSE))*F212/100*AH212/100+Q213+R213+S213)-AC213-AD213-AE213)))</f>
        <v/>
      </c>
      <c r="U213" s="477" t="str">
        <f>IF(D213="","",(VLOOKUP(D213,'DB technologies'!$N$96:$Y$107,2,FALSE)*'DB additional information '!$S$6/100*'DB additional information '!$U$6*VLOOKUP($C$204,'DB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V213" s="433" t="str">
        <f>IF(D213="","",(VLOOKUP(D213,'DB technologies'!$N$96:$Y$107,3,FALSE)*'DB additional information '!$S$7/100*'DB additional information '!$U$7*VLOOKUP($C$204,'DB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W213" s="475" t="str">
        <f>IF(D213="","",(VLOOKUP(D213,'DB technologies'!$N$96:$Y$107,4,FALSE)*('DB additional information '!$S$8/100*'DB additional information '!$U$8*E212/1000/1000*AH212/100)))</f>
        <v/>
      </c>
      <c r="X213" s="267" t="str">
        <f>IF($C$204=0,"",IF('Calc (ex-animal)'!$F$38=1,"",IF(D213="","",((VLOOKUP($C$204,'Calc (ex-animal)'!$D$38:$Y$42,13,FALSE)-VLOOKUP($C$204,'Calc (ex-animal)'!$D$38:$Y$42,19,FALSE))*F212/100*AH212/100+U213+V213+W213))))</f>
        <v/>
      </c>
      <c r="Y213" s="433" t="str">
        <f>IF(D213="","",(VLOOKUP(D213,'DB technologies'!$N$96:$Y$107,2,FALSE)*'DB additional information '!$S$6/100*'DB additional information '!$V$6*VLOOKUP($C$204,'DB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Z213" s="433" t="str">
        <f>IF(D213="","",(VLOOKUP(D213,'DB technologies'!$N$96:$Y$107,3,FALSE)*'DB additional information '!$S$7/100*'DB additional information '!$V$7*VLOOKUP($C$204,'DB animal categories'!$C$68:$AC$80,27,FALSE)*E212/1000/1000*AH212/100)/VLOOKUP($C$204,'DB animal categories'!$C$68:$AC$80,27,FALSE)*(VLOOKUP($C$204,'DB animal categories'!$C$68:$AC$80,27,FALSE)-VLOOKUP($C$204,'DB animal categories'!$C$68:$AC$80,25,FALSE)*VLOOKUP($C$204,'DB animal categories'!$C$68:$AC$80,26,FALSE)/24))</f>
        <v/>
      </c>
      <c r="AA213" s="433" t="str">
        <f>IF(D213="","",(VLOOKUP(D213,'DB technologies'!$N$96:$Y$107,4,FALSE)*('DB additional information '!$S$8/100*'DB additional information '!$V$8*E212/1000/1000*AH212/100)))</f>
        <v/>
      </c>
      <c r="AB213" s="267" t="str">
        <f>IF($C$204=0,"",IF('Calc (ex-animal)'!$F$38=1,"",IF(D213="","",((VLOOKUP($C$204,'Calc (ex-animal)'!$D$38:$Y$42,16,FALSE)-VLOOKUP($C$204,'Calc (ex-animal)'!$D$38:$Y$42,20,FALSE))*F212/100*AH212/100+Y213+Z213+AA213))))</f>
        <v/>
      </c>
      <c r="AC213" s="267" t="str">
        <f>IF($C$204=0,"",IF('Calc (ex-animal)'!$F$38=1,"",IF(D213="","",VLOOKUP($C$204,'Calc (ex-animal)'!$D$38:$Y$42,9,FALSE)*AH212/100/VLOOKUP($C$204,'DB animal categories'!$C$68:$AC$80,27,FALSE)*(VLOOKUP($C$204,'DB animal categories'!$C$68:$AC$80,27,FALSE)-VLOOKUP($C$204,'DB animal categories'!$C$68:$AC$80,25,FALSE)*VLOOKUP($C$204,'DB animal categories'!$C$68:$AC$80,26,FALSE)/24)*F212/100*VLOOKUP(D213,'DB technologies'!$N$96:$R$107,5,FALSE)/100)))</f>
        <v/>
      </c>
      <c r="AD213" s="267" t="str">
        <f>IF($C$204=0,"",IF('Calc (ex-animal)'!$F$38=1,"",IF(D213="","",VLOOKUP($C$204,'Calc (ex-animal)'!$D$38:$Y$42,10,FALSE)*AH212/100/VLOOKUP($C$204,'DB animal categories'!$C$68:$AC$80,27,FALSE)*(VLOOKUP($C$204,'DB animal categories'!$C$68:$AC$80,27,FALSE)-VLOOKUP($C$204,'DB animal categories'!$C$68:$AC$80,25,FALSE)*VLOOKUP($C$204,'DB animal categories'!$C$68:$AC$80,26,FALSE)/24)*F212/100*VLOOKUP(D213,'DB technologies'!$N$96:$Y$107,6,FALSE)/100)))</f>
        <v/>
      </c>
      <c r="AE213" s="268" t="str">
        <f>IF($C$204=0,"",IF('Calc (ex-animal)'!$F$38=1,"",IF(D213="","",VLOOKUP($C$204,'Calc (ex-animal)'!$D$38:$Y$42,10,FALSE)*AH212/100/VLOOKUP($C$204,'DB animal categories'!$C$68:$AC$80,27,FALSE)*(VLOOKUP($C$204,'DB animal categories'!$C$68:$AC$80,27,FALSE)-VLOOKUP($C$204,'DB animal categories'!$C$68:$AC$80,25,FALSE)*VLOOKUP($C$204,'DB animal categories'!$C$68:$AC$80,26,FALSE)/24)*F212/100*VLOOKUP(D213,'DB technologies'!$N$96:$Y$107,7,FALSE)/100)))</f>
        <v/>
      </c>
      <c r="AG213" s="1392"/>
      <c r="AH213" s="1386"/>
      <c r="AI213" s="187" t="str">
        <f>IF(D213="","",VLOOKUP(D213,'DB technologies'!$N$96:$Y$107,10,FALSE))</f>
        <v/>
      </c>
      <c r="AJ213" s="451" t="e">
        <f>VLOOKUP($C$204,'DB animal categories'!$C$68:$AN$80,27,FALSE)-VLOOKUP($C$204,'DB animal categories'!$C$68:$AN$80,26,FALSE)*VLOOKUP($C$204,'DB animal categories'!$C$68:$AN$80,25,FALSE)/24</f>
        <v>#N/A</v>
      </c>
      <c r="AK213" s="452" t="str">
        <f t="shared" si="38"/>
        <v/>
      </c>
      <c r="AL213" s="452" t="str">
        <f>IF(D213="","",IF(AI213=2,(('Calc (ex-animal)'!$G$42*'DB additional information '!$K$12/100*AH212/100*(1-VLOOKUP(D213,'DB technologies'!$N$96:$Y$107,9,FALSE)/100)*'Calc (ex-housing, ex-storage)'!F212/100+'Calc (ex-animal)'!$H$42*'DB additional information '!$L$12/100*AH212/100*(1-VLOOKUP(D213,'DB technologies'!$N$96:$Y$107,9,FALSE)/100)*'Calc (ex-housing, ex-storage)'!F212/100))/VLOOKUP($C$204,'DB animal categories'!$C$68:$AC$80,27,FALSE)*AJ213+I213+J213+K213,IF(AI213=1,('Calc (ex-animal)'!$H$42*AH212/100*'DB additional information '!$L$12/100*(1-VLOOKUP(D213,'DB technologies'!$N$96:$Y$107,9,FALSE)/100)*'Calc (ex-housing, ex-storage)'!F212/100)/VLOOKUP($C$204,'DB animal categories'!$C$68:$AC$80,27,FALSE)*AJ213,IF(AI213=4,('Calc (ex-animal)'!$G$42*'DB additional information '!$K$12/100+'Calc (ex-animal)'!$H$42*'DB additional information '!$L$12/100)*AH212/100*(1-VLOOKUP(D213,'DB technologies'!$N$96:$Y$107,9,FALSE)/100)*'Calc (ex-housing, ex-storage)'!F212/100*VLOOKUP(D213,'DB technologies'!$N$96:$Y$107,11,FALSE)/100/VLOOKUP($C$204,'DB animal categories'!$C$68:$AC$80,27,FALSE)*AJ213,0))))</f>
        <v/>
      </c>
      <c r="AM213" s="452" t="str">
        <f>IF(D213="","",IF(AI213=2,(('Calc (ex-animal)'!$G$42*(1-'DB additional information '!$K$12/100)*AH212/100*(1-VLOOKUP(D213,'DB technologies'!$N$96:$Y$107,8,FALSE)/100)*'Calc (ex-housing, ex-storage)'!F212/100+'Calc (ex-animal)'!$H$42*(1-'DB additional information '!$L$12/100)*AH212/100*(1-VLOOKUP(D213,'DB technologies'!$N$96:$Y$107,8,FALSE)/100)*'Calc (ex-housing, ex-storage)'!F212/100))/VLOOKUP($C$204,'DB animal categories'!$C$68:$AC$80,27,FALSE)*AJ213+M213+N213+O213,IF(AI213=1,('Calc (ex-animal)'!$H$42*(1-'DB additional information '!$L$12/100)*AH212/100*(1-VLOOKUP(D213,'DB technologies'!$N$96:$Y$107,8,FALSE)/100)*'Calc (ex-housing, ex-storage)'!F212/100)/VLOOKUP($C$204,'DB animal categories'!$C$68:$AC$80,27,FALSE)*AJ213,IF(AI213=4,('Calc (ex-animal)'!$G$42*(1-'DB additional information '!$K$12/100)+'Calc (ex-animal)'!$H$42*(1-'DB additional information '!$L$12/100))*AH212/100*(1-VLOOKUP(D213,'DB technologies'!$N$96:$Y$107,8,FALSE)/100)*'Calc (ex-housing, ex-storage)'!F212/100*VLOOKUP(D213,'DB technologies'!$N$96:$Y$107,11,FALSE)/100/VLOOKUP($C$204,'DB animal categories'!$C$68:$AC$80,27,FALSE)*AJ213,0))))</f>
        <v/>
      </c>
      <c r="AN213" s="452" t="str">
        <f t="shared" si="39"/>
        <v/>
      </c>
      <c r="AO213" s="184" t="str">
        <f>IF(D213="","",IF(AI213=2,(('Calc (ex-animal)'!$L$42*'Calc (ex-housing, ex-storage)'!F212/100+'Calc (ex-animal)'!$K$42*'Calc (ex-housing, ex-storage)'!F212/100))*AH212/100/VLOOKUP($C$204,'DB animal categories'!$C$68:$AC$80,27,FALSE)*AJ213+Q213+R213+S213-AC213,IF(AI213=1,('Calc (ex-animal)'!$L$42*'Calc (ex-housing, ex-storage)'!F212/100)*AH212/100/VLOOKUP($C$204,'DB animal categories'!$C$68:$AC$80,27,FALSE)*AJ213-'Calc (ex-housing, ex-storage)'!AC213,IF(AI213=4,('Calc (ex-animal)'!$L$42+'Calc (ex-animal)'!$K$42)*'Calc (ex-housing, ex-storage)'!F212/100*AH212/100*VLOOKUP(D213,'DB technologies'!$N$96:$Y$107,11,FALSE)/100/VLOOKUP($C$204,'DB animal categories'!$C$68:$AC$80,27,FALSE)*AJ213-AC213*VLOOKUP(D213,'DB technologies'!$N$96:$Y$107,11,FALSE)/100,0))))</f>
        <v/>
      </c>
      <c r="AP213" s="184" t="str">
        <f>IF(D213="","",IF(AO213&lt;-0.01,0,IF(AI213=2,(('Calc (ex-animal)'!$L$42*'Calc (ex-housing, ex-storage)'!F212/100+'Calc (ex-animal)'!$K$42*'Calc (ex-housing, ex-storage)'!F212/100))*AH212/100/VLOOKUP($C$204,'DB animal categories'!$C$68:$AC$80,27,FALSE)*AJ213+Q213+R213+S213-AC213,IF(AI213=1,('Calc (ex-animal)'!$L$42*'Calc (ex-housing, ex-storage)'!F212/100)*AH212/100/VLOOKUP($C$204,'DB animal categories'!$C$68:$AC$80,27,FALSE)*AJ213-'Calc (ex-housing, ex-storage)'!AC213,IF(AI213=4,('Calc (ex-animal)'!$L$42+'Calc (ex-animal)'!$K$42)*'Calc (ex-housing, ex-storage)'!F212/100*AH212/100*VLOOKUP(D213,'DB technologies'!$N$96:$Y$107,11,FALSE)/100/VLOOKUP($C$204,'DB animal categories'!$C$68:$AC$80,27,FALSE)*AJ213-AC213*VLOOKUP(D213,'DB technologies'!$N$96:$Y$107,11,FALSE)/100,0)))))</f>
        <v/>
      </c>
      <c r="AQ213" s="184" t="str">
        <f>IF(D213="","",IF(AI213=2,('Calc (ex-animal)'!$O$42*'Calc (ex-housing, ex-storage)'!F212/100+'Calc (ex-animal)'!$N$42*'Calc (ex-housing, ex-storage)'!F212/100)*AH212/100/VLOOKUP($C$204,'DB animal categories'!$C$68:$AC$80,27,FALSE)*AJ213+U213+V213+W213,IF(AI213=1,'Calc (ex-animal)'!$O$42*'Calc (ex-housing, ex-storage)'!F212/100*AH212/100/VLOOKUP($C$204,'DB animal categories'!$C$68:$AC$80,27,FALSE)*AJ213,IF(AI213=4,('Calc (ex-animal)'!$O$42+'Calc (ex-animal)'!$N$42)*'Calc (ex-housing, ex-storage)'!F212/100*AH212/100*VLOOKUP(D213,'DB technologies'!$N$96:$Y$107,11,FALSE)/100/VLOOKUP($C$204,'DB animal categories'!$C$68:$AC$80,27,FALSE)*AJ213,0))))</f>
        <v/>
      </c>
      <c r="AR213" s="184" t="str">
        <f>IF(D213="","",IF(AI213=2,('Calc (ex-animal)'!$R$42*'Calc (ex-housing, ex-storage)'!F212/100+'Calc (ex-animal)'!$Q$42*'Calc (ex-housing, ex-storage)'!F212/100)*AH212/100/VLOOKUP($C$204,'DB animal categories'!$C$68:$AC$80,27,FALSE)*AJ213+Y213+Z213+AA213,IF(AI213=1,'Calc (ex-animal)'!$R$42*'Calc (ex-housing, ex-storage)'!F212/100*AH212/100/VLOOKUP($C$204,'DB animal categories'!$C$68:$AC$80,27,FALSE)*AJ213,IF(AI213=4,('Calc (ex-animal)'!$R$42+'Calc (ex-animal)'!$Q$42)*'Calc (ex-housing, ex-storage)'!F212/100*AH212/100*VLOOKUP(D213,'DB technologies'!$N$96:$Y$107,11,FALSE)/100/VLOOKUP($C$204,'DB animal categories'!$C$68:$AC$80,27,FALSE)*AJ213,0))))</f>
        <v/>
      </c>
      <c r="AS213" s="183" t="str">
        <f>IF(D213="","",VLOOKUP(D213,'DB technologies'!$N$96:$Y$107,10,FALSE))</f>
        <v/>
      </c>
      <c r="AT213" s="452" t="str">
        <f t="shared" si="40"/>
        <v/>
      </c>
      <c r="AU213" s="452" t="str">
        <f>IF(D213="","",IF(AS213=2,0,IF(AS213=1,'Calc (ex-animal)'!$G$42*'DB additional information '!$K$12/100*AH212/100*(1-VLOOKUP(D213,'DB technologies'!$N$96:$Y$107,8,FALSE)/100)*'Calc (ex-housing, ex-storage)'!F212/100/VLOOKUP($C$204,'DB animal categories'!$C$68:$AC$80,27,FALSE)*AJ213+I213+J213+K213,IF(AS213=5,(('Calc (ex-animal)'!$G$42*'DB additional information '!$K$12/100+'Calc (ex-animal)'!$H$42*'DB additional information '!$L$12/100))*AH212/100*(1-VLOOKUP(D213,'DB technologies'!$N$96:$Y$107,9,FALSE)/100)*'Calc (ex-housing, ex-storage)'!F212/100/VLOOKUP($C$204,'DB animal categories'!$C$68:$AC$80,27,FALSE)*AJ213+I213+J213+K213,IF(AS213=3,('Calc (ex-animal)'!$G$42*'DB additional information '!$K$12/100+'Calc (ex-animal)'!$H$42*'DB additional information '!$L$12/100)*AH212/100*(1-VLOOKUP(D213,'DB technologies'!$N$96:$Y$107,9,FALSE)/100)*'Calc (ex-housing, ex-storage)'!F212/100/VLOOKUP($C$204,'DB animal categories'!$C$68:$AC$80,27,FALSE)*AJ213+I213+J213+K213,IF(AS213=4,('Calc (ex-animal)'!$G$42*'DB additional information '!$K$12/100+'Calc (ex-animal)'!$H$42*'DB additional information '!$L$12/100)*AH212/100*(1-VLOOKUP(D213,'DB technologies'!$N$96:$Y$107,9,FALSE)/100)*'Calc (ex-housing, ex-storage)'!F212/100*VLOOKUP(D213,'DB technologies'!$N$96:$Y$107,12,FALSE)/100/VLOOKUP($C$204,'DB animal categories'!$C$68:$AC$80,27,FALSE)*AJ213+I213+J213+K213,0))))))</f>
        <v/>
      </c>
      <c r="AV213" s="452" t="str">
        <f>IF(D213="","",IF(AS213=2,0,IF(AS213=1,'Calc (ex-animal)'!$G$42*(1-'DB additional information '!$K$12/100)*AH212/100*(1-VLOOKUP(D213,'DB technologies'!$N$96:$Y$107,8,FALSE)/100)*'Calc (ex-housing, ex-storage)'!F212/100/VLOOKUP($C$204,'DB animal categories'!$C$68:$AC$80,27,FALSE)*AJ213+M213+N213+O213,IF(AS213=5,('Calc (ex-animal)'!$G$42*(1-'DB additional information '!$K$12/100)+'Calc (ex-animal)'!$H$42*(1-'DB additional information '!$L$12/100))*AH212/100*(1-VLOOKUP(D213,'DB technologies'!$N$96:$Y$107,8,FALSE)/100)*'Calc (ex-housing, ex-storage)'!F212/100/VLOOKUP($C$204,'DB animal categories'!$C$68:$AC$80,27,FALSE)*AJ213+M213+N213+O213,IF(AS213=3,('Calc (ex-animal)'!$G$42*(1-'DB additional information '!$K$12/100)+'Calc (ex-animal)'!$H$42*(1-'DB additional information '!$L$12/100))*AH212/100*(1-VLOOKUP(D213,'DB technologies'!$N$96:$Y$107,8,FALSE)/100)*'Calc (ex-housing, ex-storage)'!F212/100/VLOOKUP($C$204,'DB animal categories'!$C$68:$AC$80,27,FALSE)*AJ213+M213+N213+O213,IF(AS213=4,('Calc (ex-animal)'!$G$42*(1-'DB additional information '!$K$12/100)+'Calc (ex-animal)'!$H$42*(1-'DB additional information '!$L$12/100))*AH212/100*(1-VLOOKUP(D213,'DB technologies'!$N$96:$Y$107,8,FALSE)/100)*'Calc (ex-housing, ex-storage)'!F212/100*VLOOKUP(D213,'DB technologies'!$N$96:$Y$107,12,FALSE)/100/VLOOKUP($C$204,'DB animal categories'!$C$68:$AC$80,27,FALSE)*AJ213+M213+N213+O213,0))))))</f>
        <v/>
      </c>
      <c r="AW213" s="452" t="str">
        <f t="shared" si="41"/>
        <v/>
      </c>
      <c r="AX213" s="184" t="str">
        <f>IF(D213="","",IF(AS213=2,0,IF(AS213=1,'Calc (ex-animal)'!$K$42*'Calc (ex-housing, ex-storage)'!F212/100*AH212/100/VLOOKUP($C$204,'DB animal categories'!$C$68:$AC$80,27,FALSE)*AJ213+Q213+R213+S213,IF(AS213=5,('Calc (ex-animal)'!$K$42+'Calc (ex-animal)'!$L$42)*AH212/100*'Calc (ex-housing, ex-storage)'!F212/100/VLOOKUP($C$204,'DB animal categories'!$C$68:$AC$80,27,FALSE)*AJ213+Q213+R213+S213-'Calc (ex-housing, ex-storage)'!AC213,IF(AS213=3,('Calc (ex-animal)'!$K$42+'Calc (ex-animal)'!$L$42)*AH212/100*'Calc (ex-housing, ex-storage)'!F212/100/VLOOKUP($C$204,'DB animal categories'!$C$68:$AC$80,27,FALSE)*AJ213+Q213+R213+S213-'Calc (ex-housing, ex-storage)'!AC213-AD213-AE213,IF(AI213=4,('Calc (ex-animal)'!$K$42+'Calc (ex-animal)'!$L$42)*AH212/100*'Calc (ex-housing, ex-storage)'!F212/100*VLOOKUP(D213,'DB technologies'!$N$96:$Y$107,12,FALSE)/100/VLOOKUP($C$204,'DB animal categories'!$C$68:$AC$80,27,FALSE)*AJ213+Q213+R213+S213-(VLOOKUP(D213,'DB technologies'!$N$96:$Y$107,12,FALSE)/100*AC213)-AD213-AE213,0))))))</f>
        <v/>
      </c>
      <c r="AY213" s="184" t="str">
        <f>IF(D213="","",IF(AS213=2,0,IF(AS213=1,'Calc (ex-animal)'!$N$42*AH212/100*'Calc (ex-housing, ex-storage)'!F212/100/VLOOKUP($C$204,'DB animal categories'!$C$68:$AC$80,27,FALSE)*AJ213+U213+V213+W213,IF(AS213=5,('Calc (ex-animal)'!$N$42+'Calc (ex-animal)'!$O$42)*AH212/100*'Calc (ex-housing, ex-storage)'!F212/100/VLOOKUP($C$204,'DB animal categories'!$C$68:$AC$80,27,FALSE)*AJ213+U213+V213+W213,IF(AS213=3,('Calc (ex-animal)'!$N$42+'Calc (ex-animal)'!$O$42)*AH212/100*'Calc (ex-housing, ex-storage)'!F212/100/VLOOKUP($C$204,'DB animal categories'!$C$68:$AC$80,27,FALSE)*AJ213+U213+V213+W213,IF(AS213=4,('Calc (ex-animal)'!$N$42+'Calc (ex-animal)'!$O$42)*AH212/100*'Calc (ex-housing, ex-storage)'!F212/100*VLOOKUP(D213,'DB technologies'!$N$96:$Y$107,12,FALSE)/100/VLOOKUP($C$204,'DB animal categories'!$C$68:$AC$80,27,FALSE)*AJ213+U213+V213+W213,0))))))</f>
        <v/>
      </c>
      <c r="AZ213" s="184" t="str">
        <f>IF(D213="","",IF(AS213=2,0,IF(AS213=1,'Calc (ex-animal)'!$Q$42*AH212/100*'Calc (ex-housing, ex-storage)'!F212/100/VLOOKUP($C$204,'DB animal categories'!$C$68:$AC$80,27,FALSE)*AJ213+Y213+Z213+AA213,IF(AS213=5,('Calc (ex-animal)'!$Q$42+'Calc (ex-animal)'!$R$42)*AH212/100*'Calc (ex-housing, ex-storage)'!F212/100/VLOOKUP($C$204,'DB animal categories'!$C$68:$AC$80,27,FALSE)*AJ213+Y213+Z213+AA213,IF(AS213=3,('Calc (ex-animal)'!$Q$42+'Calc (ex-animal)'!$R$42)*AH212/100*'Calc (ex-housing, ex-storage)'!F212/100/VLOOKUP($C$204,'DB animal categories'!$C$68:$AC$80,27,FALSE)*AJ213+Y213+Z213+AA213,IF(AS213=4,('Calc (ex-animal)'!$Q$42+'Calc (ex-animal)'!$R$42)*AH212/100*'Calc (ex-housing, ex-storage)'!F212/100*VLOOKUP(D213,'DB technologies'!$N$96:$Y$107,12,FALSE)/100/VLOOKUP($C$204,'DB animal categories'!$C$68:$AC$80,27,FALSE)*AJ213+Y213+Z213+AA213,0))))))</f>
        <v/>
      </c>
      <c r="BA213" s="506"/>
      <c r="BB213" s="506"/>
      <c r="BC213" s="506"/>
    </row>
    <row r="214" spans="1:55" ht="12" thickBot="1" x14ac:dyDescent="0.25">
      <c r="A214" s="684"/>
      <c r="B214" s="696"/>
      <c r="C214" s="252"/>
      <c r="D214" s="275" t="s">
        <v>58</v>
      </c>
      <c r="E214" s="276">
        <f>IF(F214&lt;=100,SUM(E204:E213),"ERROR")</f>
        <v>0</v>
      </c>
      <c r="F214" s="288">
        <f>IF(SUM(F204:F213) &lt;=100,SUM(F204:F213),"ERROR, SUM&gt;100%")</f>
        <v>0</v>
      </c>
      <c r="G214" s="546">
        <f>IF('Calc (ex-animal)'!$F$38=1,"",SUM(G204:G213))</f>
        <v>0</v>
      </c>
      <c r="H214" s="421">
        <f>IF('Calc (ex-animal)'!$F$38=1,"",SUM(H204:H213))</f>
        <v>0</v>
      </c>
      <c r="I214" s="421">
        <f>IF('Calc (ex-animal)'!$F$38=1,"",SUM(I204:I213))</f>
        <v>0</v>
      </c>
      <c r="J214" s="421">
        <f>IF('Calc (ex-animal)'!$F$38=1,"",SUM(J204:J213))</f>
        <v>0</v>
      </c>
      <c r="K214" s="421">
        <f>IF('Calc (ex-animal)'!$F$38=1,"",SUM(K204:K213))</f>
        <v>0</v>
      </c>
      <c r="L214" s="421">
        <f>IF('Calc (ex-animal)'!$F$38=1,"",SUM(L204:L213))</f>
        <v>0</v>
      </c>
      <c r="M214" s="522"/>
      <c r="N214" s="522"/>
      <c r="O214" s="522"/>
      <c r="P214" s="496">
        <f>IF(G214=0,0,IF('Calc (ex-animal)'!$F$38=1,"",IF(D214="","",SUM(H214:K214)/G214*100)))</f>
        <v>0</v>
      </c>
      <c r="Q214" s="522"/>
      <c r="R214" s="522"/>
      <c r="S214" s="547"/>
      <c r="T214" s="279">
        <f>IF('Calc (ex-animal)'!$F$42=1,"",SUM(T204:T213))</f>
        <v>0</v>
      </c>
      <c r="U214" s="433"/>
      <c r="V214" s="433"/>
      <c r="W214" s="433"/>
      <c r="X214" s="279">
        <f>IF('Calc (ex-animal)'!$F$42=1,"",SUM(X204:X213))</f>
        <v>0</v>
      </c>
      <c r="Y214" s="433"/>
      <c r="Z214" s="433"/>
      <c r="AA214" s="433"/>
      <c r="AB214" s="279">
        <f>IF('Calc (ex-animal)'!$F$42=1,"",SUM(AB204:AB213))</f>
        <v>0</v>
      </c>
      <c r="AC214" s="279">
        <f>IF('Calc (ex-animal)'!$F$42=1,"",SUM(AC204:AC213))</f>
        <v>0</v>
      </c>
      <c r="AD214" s="279">
        <f>IF('Calc (ex-animal)'!$F$42=1,"",SUM(AD204:AD213))</f>
        <v>0</v>
      </c>
      <c r="AE214" s="280">
        <f>IF('Calc (ex-animal)'!$F$42=1,"",SUM(AE204:AE213))</f>
        <v>0</v>
      </c>
    </row>
    <row r="215" spans="1:55" x14ac:dyDescent="0.2">
      <c r="A215" s="684"/>
      <c r="B215" s="694" t="s">
        <v>28</v>
      </c>
      <c r="C215" s="250">
        <f>'Calc (ex-animal)'!D43</f>
        <v>0</v>
      </c>
      <c r="D215" s="1355"/>
      <c r="E215" s="1356"/>
      <c r="F215" s="479" t="str">
        <f>IF('Calc (ex-animal)'!$F$38=1,"",IF($C$215=0,"",IF(D215="","",E215/'Calc (ex-animal)'!$E$43*100)))</f>
        <v/>
      </c>
      <c r="G215" s="484" t="str">
        <f>IF($C$215=0,"",IF('Calc (ex-animal)'!$F$38=1,"",IF(D215="","",SUM(H215:O215))))</f>
        <v/>
      </c>
      <c r="H215" s="471" t="str">
        <f>IF('Calc (ex-animal)'!$F$38=1,"",IF(D215="","",(((VLOOKUP($C$215,'Calc (ex-animal)'!$D$43:$Y$47,6,FALSE)-VLOOKUP($C$215,'Calc (ex-animal)'!$D$43:$Y$47,17,FALSE))*F215/100))*VLOOKUP($C$215,'Calc (ex-animal)'!$D$43:$Y$47,7,FALSE)/100*(1-VLOOKUP(D215,'DB technologies'!$N$109:$Y$120,9,FALSE)/100)))</f>
        <v/>
      </c>
      <c r="I215" s="471" t="str">
        <f>IF(D215="","",((VLOOKUP(D215,'DB technologies'!$N$109:$Y$120,2,FALSE)*VLOOKUP($C$215,'DB animal categories'!$C$81:$AC$90,27,FALSE)*E215/1000)/VLOOKUP($C$215,'DB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'!$S$6/100*(1-VLOOKUP(D215,'DB technologies'!$N$109:$Y$120,9,FALSE)/100)))</f>
        <v/>
      </c>
      <c r="J215" s="472" t="str">
        <f>IF(D215="","",((VLOOKUP(D215,'DB technologies'!$N$109:$Y$120,3,FALSE)*VLOOKUP($C$215,'DB animal categories'!$C$81:$AC$90,27,FALSE)*E215/1000)/VLOOKUP($C$215,'DB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'!$S$7/100*(1-VLOOKUP(D215,'DB technologies'!$N$109:$Y$120,9,FALSE)/100)))</f>
        <v/>
      </c>
      <c r="K215" s="472" t="str">
        <f>IF(D215="","",((VLOOKUP(D215,'DB technologies'!$N$109:$Y$120,4,FALSE)*E215*'DB additional information '!$S$8/100*(1-VLOOKUP(D215,'DB technologies'!$N$109:$Y$120,9,FALSE)/100))/VLOOKUP($C$215,'DB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L215" s="471" t="str">
        <f>IF('Calc (ex-animal)'!$F$38=1,"",IF(D215="","",(((VLOOKUP($C$215,'Calc (ex-animal)'!$D$43:$Y$47,6,FALSE)-VLOOKUP($C$215,'Calc (ex-animal)'!$D$43:$Y$47,17,FALSE))*F215/100))*(1-VLOOKUP($C$215,'Calc (ex-animal)'!$D$43:$Y$47,7,FALSE)/100)*(1-VLOOKUP(D215,'DB technologies'!$N$109:$V$120,8,FALSE)/100)))</f>
        <v/>
      </c>
      <c r="M215" s="472" t="str">
        <f>IF(D215="","",((VLOOKUP(D215,'DB technologies'!$N$109:$Y$120,2,FALSE)*VLOOKUP($C$215,'DB animal categories'!$C$81:$AC$90,27,FALSE)*E215/1000)/VLOOKUP($C$215,'DB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'!$S$6/100)*(1-VLOOKUP(D215,'DB technologies'!$N$109:$Y$120,9,FALSE)/100))</f>
        <v/>
      </c>
      <c r="N215" s="472" t="str">
        <f>IF(D215="","",((VLOOKUP(D215,'DB technologies'!$N$109:$Y$120,3,FALSE)*VLOOKUP($C$215,'DB animal categories'!$C$81:$AC$90,27,FALSE)*E215/1000)/VLOOKUP($C$215,'DB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'!$S$7/100)*(1-VLOOKUP(D215,'DB technologies'!$N$109:$Y$120,9,FALSE)/100))</f>
        <v/>
      </c>
      <c r="O215" s="471" t="str">
        <f>IF(D215="","",((VLOOKUP(D215,'DB technologies'!$N$109:$Y$120,4,FALSE)*E215*(1-'DB additional information '!$S$8/100)*(1-VLOOKUP(D215,'DB technologies'!$N$109:$Y$120,8,FALSE)/100))/VLOOKUP($C$215,'DB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P215" s="443" t="str">
        <f>IF(G215=0,0,IF(E215="","",IF(F215="","",IF($C$215=0,"",IF(D215="","",SUM(H215:K215)/G215*100)))))</f>
        <v/>
      </c>
      <c r="Q215" s="473" t="str">
        <f>IF(D215="","",(VLOOKUP(D215,'DB technologies'!$N$109:$Y$120,2,FALSE)*'DB additional information '!$S$6/100*'DB additional information '!$T$6*VLOOKUP($C$215,'DB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R215" s="473" t="str">
        <f>IF(D215="","",(VLOOKUP(D215,'DB technologies'!$N$109:$Y$120,3,FALSE)*'DB additional information '!$S$7/100*'DB additional information '!$T$7*VLOOKUP($C$215,'DB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S215" s="490" t="str">
        <f>IF(D215="","",(VLOOKUP(D215,'DB technologies'!$N$109:$Y$120,4,FALSE)*('DB additional information '!$S$8/100*'DB additional information '!$T$8*E215/1000/1000)))</f>
        <v/>
      </c>
      <c r="T215" s="263" t="str">
        <f>IF($C$215=0,"",IF('Calc (ex-animal)'!$F$38=1,"",IF(D215="","",((VLOOKUP($C$215,'Calc (ex-animal)'!$D$43:$Y$47,10,FALSE)-VLOOKUP($C$215,'Calc (ex-animal)'!$D$43:$Y$47,18,FALSE))*F215/100+Q215+R215+S215)-AC215-AD215-AE215)))</f>
        <v/>
      </c>
      <c r="U215" s="474" t="str">
        <f>IF(D215="","",(VLOOKUP(D215,'DB technologies'!$N$109:$Y$120,2,FALSE)*'DB additional information '!$S$6/100*'DB additional information '!$U$6*VLOOKUP($C$215,'DB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V215" s="420" t="str">
        <f>IF(D215="","",(VLOOKUP(D215,'DB technologies'!$N$109:$Y$120,3,FALSE)*'DB additional information '!$S$7/100*'DB additional information '!$U$7*VLOOKUP($C$215,'DB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W215" s="415" t="str">
        <f>IF(D215="","",(VLOOKUP(D215,'DB technologies'!$N$109:$Y$120,4,FALSE)*('DB additional information '!$S$8/100*'DB additional information '!$U$8*E215/1000/1000)))</f>
        <v/>
      </c>
      <c r="X215" s="259" t="str">
        <f>IF($C$215=0,"",IF('Calc (ex-animal)'!$F$38=1,"",IF(D215="","",((VLOOKUP($C$215,'Calc (ex-animal)'!$D$43:$Y$47,13,FALSE)-VLOOKUP($C$215,'Calc (ex-animal)'!$D$43:$Y$47,19,FALSE))*F215/100+U215+V215+W215))))</f>
        <v/>
      </c>
      <c r="Y215" s="420" t="str">
        <f>IF(D215="","",(VLOOKUP(D215,'DB technologies'!$N$109:$Y$120,2,FALSE)*'DB additional information '!$S$6/100*'DB additional information '!$V$6*VLOOKUP($C$215,'DB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Z215" s="420" t="str">
        <f>IF(D215="","",(VLOOKUP(D215,'DB technologies'!$N$109:$Y$120,3,FALSE)*'DB additional information '!$S$7/100*'DB additional information '!$V$7*VLOOKUP($C$215,'DB animal categories'!$C$81:$AC$90,27,FALSE)*E215/1000/1000)/VLOOKUP($C$215,'DB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AA215" s="420" t="str">
        <f>IF(D215="","",(VLOOKUP(D215,'DB technologies'!$N$109:$Y$120,4,FALSE)*('DB additional information '!$S$8/100*'DB additional information '!$V$8*E215/1000/1000)))</f>
        <v/>
      </c>
      <c r="AB215" s="259" t="str">
        <f>IF($C$215=0,"",IF('Calc (ex-animal)'!$F$38=1,"",IF(D215="","",((VLOOKUP($C$215,'Calc (ex-animal)'!$D$43:$Y$47,16,FALSE)-VLOOKUP($C$215,'Calc (ex-animal)'!$D$43:$Y$47,20,FALSE))*F215/100+Y215+Z215+AA215))))</f>
        <v/>
      </c>
      <c r="AC215" s="259" t="str">
        <f>IF($C$215=0,"",IF('Calc (ex-animal)'!$F$38=1,"",IF(D215="","",VLOOKUP($C$215,'Calc (ex-animal)'!$D$43:$Y$47,9,FALSE)/VLOOKUP($C$215,'DB animal categories'!$C$81:$AC$90,27,FALSE)*(VLOOKUP($C$215,'DB animal categories'!$C$81:$AC$90,27,FALSE)-VLOOKUP($C$215,'DB animal categories'!$C$81:$AC$90,25,FALSE)*VLOOKUP($C$215,'DB animal categories'!$C$81:$AC$90,26,FALSE)/24)*F215/100*VLOOKUP(D215,'DB technologies'!$N$109:$R$120,5,FALSE)/100)))</f>
        <v/>
      </c>
      <c r="AD215" s="259" t="str">
        <f>IF($C$215=0,"",IF('Calc (ex-animal)'!$F$38=1,"",IF(D215="","",VLOOKUP($C$215,'Calc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categories'!$C$81:$AC$90,26,FALSE)/24)*F215/100*VLOOKUP(D215,'DB technologies'!$N$109:$Y$120,6,FALSE)/100)))</f>
        <v/>
      </c>
      <c r="AE215" s="260" t="str">
        <f>IF($C$215=0,"",IF('Calc (ex-animal)'!$F$38=1,"",IF(D215="","",VLOOKUP($C$215,'Calc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categories'!$C$81:$AC$90,26,FALSE)/24)*F215/100*VLOOKUP(D215,'DB technologies'!$N$109:$Y$120,7,FALSE)/100)))</f>
        <v/>
      </c>
      <c r="AI215" s="179" t="str">
        <f>IF(D215="","",VLOOKUP(D215,'DB technologies'!$N$109:$Y$120,10,FALSE))</f>
        <v/>
      </c>
      <c r="AJ215" s="482" t="e">
        <f>VLOOKUP($C$215,'DB animal categories'!$C$81:$AN$90,27,FALSE)-VLOOKUP($C$215,'DB animal categories'!$C$81:$AN$90,26,FALSE)*VLOOKUP($C$215,'DB animal categories'!$C$81:$AN$90,25,FALSE)/24</f>
        <v>#N/A</v>
      </c>
      <c r="AK215" s="453" t="str">
        <f>IF(AI215="","",AL215+AM215)</f>
        <v/>
      </c>
      <c r="AL215" s="453" t="str">
        <f>IF(D215="","",IF(AI215=2,(('Calc (ex-animal)'!$G$43*'DB additional information '!$K$10/100*(1-VLOOKUP(D215,'DB technologies'!$N$109:$Y$120,9,FALSE)/100)*'Calc (ex-housing, ex-storage)'!F215/100+'Calc (ex-animal)'!$H$43*'DB additional information '!$L$10/100*(1-VLOOKUP(D215,'DB technologies'!$N$109:$Y$120,9,FALSE)/100)*'Calc (ex-housing, ex-storage)'!F215/100))/VLOOKUP($C$215,'DB animal categories'!$C$81:$AC$90,27,FALSE)*AJ215+I215+J215+K215,IF(AI215=1,('Calc (ex-animal)'!$H$43*'DB additional information '!$L$10/100*(1-VLOOKUP(D215,'DB technologies'!$N$109:$Y$120,9,FALSE)/100)*'Calc (ex-housing, ex-storage)'!F215/100)/VLOOKUP($C$215,'DB animal categories'!$C$81:$AC$90,27,FALSE)*AJ215,IF(AI215=4,('Calc (ex-animal)'!$G$43*'DB additional information '!$K$10/100+'Calc (ex-animal)'!$H$43*'DB additional information '!$L$10/100)*(1-VLOOKUP(D215,'DB technologies'!$N$109:$Y$120,9,FALSE)/100)*'Calc (ex-housing, ex-storage)'!F215/100*VLOOKUP(D215,'DB technologies'!$N$109:$Y$120,11,FALSE)/100/VLOOKUP($C$215,'DB animal categories'!$C$81:$AC$90,27,FALSE)*AJ215,0))))</f>
        <v/>
      </c>
      <c r="AM215" s="453" t="str">
        <f>IF(D215="","",IF(AI215=2,(('Calc (ex-animal)'!$G$43*(1-'DB additional information '!$K$10/100)*(1-VLOOKUP(D215,'DB technologies'!$N$109:$Y$120,8,FALSE)/100)*'Calc (ex-housing, ex-storage)'!F215/100+'Calc (ex-animal)'!$H$43*(1-'DB additional information '!$L$10/100)*(1-VLOOKUP(D215,'DB technologies'!$N$109:$Y$120,8,FALSE)/100)*'Calc (ex-housing, ex-storage)'!F215/100))/VLOOKUP($C$215,'DB animal categories'!$C$81:$AC$90,27,FALSE)*AJ215+M215+N215+O215,IF(AI215=1,('Calc (ex-animal)'!$H$43*(1-'DB additional information '!$L$10/100)*(1-VLOOKUP(D215,'DB technologies'!$N$109:$Y$120,8,FALSE)/100)*'Calc (ex-housing, ex-storage)'!F215/100)/VLOOKUP($C$215,'DB animal categories'!$C$81:$AC$90,27,FALSE)*AJ215,IF(AI215=4,('Calc (ex-animal)'!$G$43*(1-'DB additional information '!$K$10/100)+'Calc (ex-animal)'!$H$43*(1-'DB additional information '!$L$10/100))*(1-VLOOKUP(D215,'DB technologies'!$N$109:$Y$120,8,FALSE)/100)*'Calc (ex-housing, ex-storage)'!F215/100*VLOOKUP(D215,'DB technologies'!$N$109:$Y$120,11,FALSE)/100/VLOOKUP($C$215,'DB animal categories'!$C$81:$AC$90,27,FALSE)*AJ215,0))))</f>
        <v/>
      </c>
      <c r="AN215" s="453" t="str">
        <f>IF(AI215="","",IF(AL215=0,0,AL215/AK215*100))</f>
        <v/>
      </c>
      <c r="AO215" s="180" t="str">
        <f>IF(D215="","",IF(AI215=2,(('Calc (ex-animal)'!$L$43*'Calc (ex-housing, ex-storage)'!F215/100+'Calc (ex-animal)'!$K$43*'Calc (ex-housing, ex-storage)'!F215/100))/VLOOKUP($C$215,'DB animal categories'!$C$81:$AC$90,27,FALSE)*AJ215+Q215+R215+S215-AC215,IF(AI215=1,('Calc (ex-animal)'!$L$43*'Calc (ex-housing, ex-storage)'!F215/100)/VLOOKUP($C$215,'DB animal categories'!$C$81:$AC$90,27,FALSE)*AJ215-'Calc (ex-housing, ex-storage)'!AC215,IF(AI215=4,('Calc (ex-animal)'!$L$43+'Calc (ex-animal)'!$K$43)*'Calc (ex-housing, ex-storage)'!F215/100*VLOOKUP(D215,'DB technologies'!$N$109:$Y$120,11,FALSE)/100/VLOOKUP($C$215,'DB animal categories'!$C$81:$AC$90,27,FALSE)*AJ215-AC215*VLOOKUP(D215,'DB technologies'!$N$109:$Y$120,11,FALSE)/100,0))))</f>
        <v/>
      </c>
      <c r="AP215" s="180" t="str">
        <f>IF(D215="","",IF(AO215&lt;-0.01,0,IF(AI215=2,(('Calc (ex-animal)'!$L$43*'Calc (ex-housing, ex-storage)'!F215/100+'Calc (ex-animal)'!$K$43*'Calc (ex-housing, ex-storage)'!F215/100))/VLOOKUP($C$215,'DB animal categories'!$C$81:$AC$90,27,FALSE)*AJ215+Q215+R215+S215-AC215,IF(AI215=1,('Calc (ex-animal)'!$L$43*'Calc (ex-housing, ex-storage)'!F215/100)/VLOOKUP($C$215,'DB animal categories'!$C$81:$AC$90,27,FALSE)*AJ215-'Calc (ex-housing, ex-storage)'!AC215,IF(AI215=4,('Calc (ex-animal)'!$L$43+'Calc (ex-animal)'!$K$43)*'Calc (ex-housing, ex-storage)'!F215/100*VLOOKUP(D215,'DB technologies'!$N$109:$Y$120,11,FALSE)/100/VLOOKUP($C$215,'DB animal categories'!$C$81:$AC$90,27,FALSE)*AJ215-AC215*VLOOKUP(D215,'DB technologies'!$N$109:$Y$120,11,FALSE)/100,0)))))</f>
        <v/>
      </c>
      <c r="AQ215" s="180" t="str">
        <f>IF(D215="","",IF(AI215=2,('Calc (ex-animal)'!$O$43*'Calc (ex-housing, ex-storage)'!F215/100+'Calc (ex-animal)'!$N$43*'Calc (ex-housing, ex-storage)'!F215/100)/VLOOKUP($C$215,'DB animal categories'!$C$81:$AC$90,27,FALSE)*AJ215+U215+V215+W215,IF(AI215=1,'Calc (ex-animal)'!$O$43*'Calc (ex-housing, ex-storage)'!F215/100/VLOOKUP($C$215,'DB animal categories'!$C$81:$AC$90,27,FALSE)*AJ215,IF(AI215=4,('Calc (ex-animal)'!$O$43+'Calc (ex-animal)'!$N$43)*'Calc (ex-housing, ex-storage)'!F215/100*VLOOKUP(D215,'DB technologies'!$N$109:$Y$120,11,FALSE)/100/VLOOKUP($C$215,'DB animal categories'!$C$81:$AC$90,27,FALSE)*AJ215,0))))</f>
        <v/>
      </c>
      <c r="AR215" s="180" t="str">
        <f>IF(D215="","",IF(AI215=2,('Calc (ex-animal)'!$R$43*'Calc (ex-housing, ex-storage)'!F215/100+'Calc (ex-animal)'!$Q$43*'Calc (ex-housing, ex-storage)'!F215/100)/VLOOKUP($C$215,'DB animal categories'!$C$81:$AC$90,27,FALSE)*AJ215+Y215+Z215+AA215,IF(AI215=1,'Calc (ex-animal)'!$R$43*'Calc (ex-housing, ex-storage)'!F215/100/VLOOKUP($C$215,'DB animal categories'!$C$81:$AC$90,27,FALSE)*AJ215,IF(AI215=4,('Calc (ex-animal)'!$R$43+'Calc (ex-animal)'!$Q$43)*'Calc (ex-housing, ex-storage)'!F215/100*VLOOKUP(D215,'DB technologies'!$N$109:$Y$120,11,FALSE)/100/VLOOKUP($C$215,'DB animal categories'!$C$81:$AC$90,27,FALSE)*AJ215,0))))</f>
        <v/>
      </c>
      <c r="AS215" s="179" t="str">
        <f>IF(D215="","",VLOOKUP(D215,'DB technologies'!$N$109:$Y$120,10,FALSE))</f>
        <v/>
      </c>
      <c r="AT215" s="453" t="str">
        <f>IF(AS215="","",AU215+AV215)</f>
        <v/>
      </c>
      <c r="AU215" s="453" t="str">
        <f>IF(D215="","",IF(AS215=2,0,IF(AS215=1,'Calc (ex-animal)'!$G$43*'DB additional information '!$K$10/100*(1-VLOOKUP(D215,'DB technologies'!$N$109:$Y$120,8,FALSE)/100)*'Calc (ex-housing, ex-storage)'!F215/100/VLOOKUP($C$215,'DB animal categories'!$C$81:$AC$90,27,FALSE)*AJ215+I215+J215+K215,IF(AS215=5,(('Calc (ex-animal)'!$G$43*'DB additional information '!$K$10/100+'Calc (ex-animal)'!$H$43*'DB additional information '!$L$10/100))*(1-VLOOKUP(D215,'DB technologies'!$N$109:$Y$120,9,FALSE)/100)*'Calc (ex-housing, ex-storage)'!F215/100/VLOOKUP($C$215,'DB animal categories'!$C$81:$AC$90,27,FALSE)*AJ215+I215+J215+K215,IF(AS215=3,('Calc (ex-animal)'!$G$43*'DB additional information '!$K$10/100+'Calc (ex-animal)'!$H$43*'DB additional information '!$L$10/100)*(1-VLOOKUP(D215,'DB technologies'!$N$109:$Y$120,9,FALSE)/100)*'Calc (ex-housing, ex-storage)'!F215/100/VLOOKUP($C$215,'DB animal categories'!$C$81:$AC$90,27,FALSE)*AJ215+I215+J215+K215,IF(AS215=4,('Calc (ex-animal)'!$G$43*'DB additional information '!$K$10/100+'Calc (ex-animal)'!$H$43*'DB additional information '!$L$10/100)*(1-VLOOKUP(D215,'DB technologies'!$N$109:$Y$120,9,FALSE)/100)*'Calc (ex-housing, ex-storage)'!F215/100*VLOOKUP(D215,'DB technologies'!$N$109:$Y$120,12,FALSE)/100/VLOOKUP($C$215,'DB animal categories'!$C$81:$AC$90,27,FALSE)*AJ215+I215+J215+K215,0))))))</f>
        <v/>
      </c>
      <c r="AV215" s="453" t="str">
        <f>IF(D215="","",IF(AS215=2,0,IF(AS215=1,'Calc (ex-animal)'!$G$43*(1-'DB additional information '!$K$10/100)*(1-VLOOKUP(D215,'DB technologies'!$N$109:$Y$120,8,FALSE)/100)*'Calc (ex-housing, ex-storage)'!F215/100/VLOOKUP($C$215,'DB animal categories'!$C$81:$AC$90,27,FALSE)*AJ215+M215+N215+O215,IF(AS215=5,('Calc (ex-animal)'!$G$43*(1-'DB additional information '!$K$10/100)+'Calc (ex-animal)'!$H$43*(1-'DB additional information '!$L$10/100))*(1-VLOOKUP(D215,'DB technologies'!$N$109:$Y$120,8,FALSE)/100)*'Calc (ex-housing, ex-storage)'!F215/100/VLOOKUP($C$215,'DB animal categories'!$C$81:$AC$90,27,FALSE)*AJ215+M215+N215+O215,IF(AS215=3,('Calc (ex-animal)'!$G$43*(1-'DB additional information '!$K$10/100)+'Calc (ex-animal)'!$H$43*(1-'DB additional information '!$L$10/100))*(1-VLOOKUP(D215,'DB technologies'!$N$109:$Y$120,8,FALSE)/100)*'Calc (ex-housing, ex-storage)'!F215/100/VLOOKUP($C$215,'DB animal categories'!$C$81:$AC$90,27,FALSE)*AJ215+M215+N215+O215,IF(AS215=4,('Calc (ex-animal)'!$G$43*(1-'DB additional information '!$K$10/100)+'Calc (ex-animal)'!$H$43*(1-'DB additional information '!$L$10/100))*(1-VLOOKUP(D215,'DB technologies'!$N$109:$Y$120,8,FALSE)/100)*'Calc (ex-housing, ex-storage)'!F215/100*VLOOKUP(D215,'DB technologies'!$N$109:$Y$120,12,FALSE)/100/VLOOKUP($C$215,'DB animal categories'!$C$81:$AC$90,27,FALSE)*AJ215+M215+N215+O215,0))))))</f>
        <v/>
      </c>
      <c r="AW215" s="453" t="str">
        <f>IF(AS215="","",IF(AU215=0,0,AU215/AT215*100))</f>
        <v/>
      </c>
      <c r="AX215" s="180" t="str">
        <f>IF(D215="","",IF(AS215=2,0,IF(AS215=1,'Calc (ex-animal)'!$K$43*'Calc (ex-housing, ex-storage)'!F215/100/VLOOKUP($C$215,'DB animal categories'!$C$81:$AC$90,27,FALSE)*AJ215+Q215+R215+S215,IF(AS215=5,('Calc (ex-animal)'!$K$43+'Calc (ex-animal)'!$L$43)*'Calc (ex-housing, ex-storage)'!F215/100/VLOOKUP($C$215,'DB animal categories'!$C$81:$AC$90,27,FALSE)*AJ215+Q215+R215+S215-'Calc (ex-housing, ex-storage)'!AC215,IF(AS215=3,('Calc (ex-animal)'!$K$43+'Calc (ex-animal)'!$L$43)*'Calc (ex-housing, ex-storage)'!F215/100/VLOOKUP($C$215,'DB animal categories'!$C$81:$AC$90,27,FALSE)*AJ215+Q215+R215+S215-'Calc (ex-housing, ex-storage)'!AC215-AD215-AE215,IF(AI215=4,('Calc (ex-animal)'!$K$43+'Calc (ex-animal)'!$L$43)*'Calc (ex-housing, ex-storage)'!F215/100*VLOOKUP(D215,'DB technologies'!$N$109:$Y$120,12,FALSE)/100/VLOOKUP($C$215,'DB animal categories'!$C$81:$AC$90,27,FALSE)*AJ215+Q215+R215+S215-(VLOOKUP(D215,'DB technologies'!$N$109:$Y$120,12,FALSE)/100*AC215)-AD215-AE215,0))))))</f>
        <v/>
      </c>
      <c r="AY215" s="180" t="str">
        <f>IF(D215="","",IF(AS215=2,0,IF(AS215=1,'Calc (ex-animal)'!$N$43*'Calc (ex-housing, ex-storage)'!F215/100/VLOOKUP($C$215,'DB animal categories'!$C$81:$AC$90,27,FALSE)*AJ215+U215+V215+W215,IF(AS215=5,('Calc (ex-animal)'!$N$43+'Calc (ex-animal)'!$O$43)*'Calc (ex-housing, ex-storage)'!F215/100/VLOOKUP($C$215,'DB animal categories'!$C$81:$AC$90,27,FALSE)*AJ215+U215+V215+W215,IF(AS215=3,('Calc (ex-animal)'!$N$43+'Calc (ex-animal)'!$O$43)*'Calc (ex-housing, ex-storage)'!F215/100/VLOOKUP($C$215,'DB animal categories'!$C$81:$AC$90,27,FALSE)*AJ215+U215+V215+W215,IF(AS215=4,('Calc (ex-animal)'!$N$43+'Calc (ex-animal)'!$O$43)*'Calc (ex-housing, ex-storage)'!F215/100*VLOOKUP(D215,'DB technologies'!$N$109:$Y$120,12,FALSE)/100/VLOOKUP($C$215,'DB animal categories'!$C$81:$AC$90,27,FALSE)*AJ215+U215+V215+W215,0))))))</f>
        <v/>
      </c>
      <c r="AZ215" s="180" t="str">
        <f>IF(D215="","",IF(AS215=2,0,IF(AS215=1,'Calc (ex-animal)'!$Q$43*'Calc (ex-housing, ex-storage)'!F215/100/VLOOKUP($C$215,'DB animal categories'!$C$81:$AC$90,27,FALSE)*AJ215+Y215+Z215+AA215,IF(AS215=5,('Calc (ex-animal)'!$Q$43+'Calc (ex-animal)'!$R$43)*'Calc (ex-housing, ex-storage)'!F215/100/VLOOKUP($C$215,'DB animal categories'!$C$81:$AC$90,27,FALSE)*AJ215+Y215+Z215+AA215,IF(AS215=3,('Calc (ex-animal)'!$Q$43+'Calc (ex-animal)'!$R$43)*'Calc (ex-housing, ex-storage)'!F215/100/VLOOKUP($C$215,'DB animal categories'!$C$81:$AC$90,27,FALSE)*AJ215+Y215+Z215+AA215,IF(AS215=4,('Calc (ex-animal)'!$Q$43+'Calc (ex-animal)'!$R$43)*'Calc (ex-housing, ex-storage)'!F215/100*VLOOKUP(D215,'DB technologies'!$N$109:$Y$120,12,FALSE)/100/VLOOKUP($C$215,'DB animal categories'!$C$81:$AC$90,27,FALSE)*AJ215+Y215+Z215+AA215,0))))))</f>
        <v/>
      </c>
      <c r="BA215" s="506"/>
      <c r="BB215" s="506"/>
      <c r="BC215" s="506"/>
    </row>
    <row r="216" spans="1:55" x14ac:dyDescent="0.2">
      <c r="A216" s="684"/>
      <c r="B216" s="695"/>
      <c r="C216" s="251"/>
      <c r="D216" s="1357"/>
      <c r="E216" s="1358"/>
      <c r="F216" s="480" t="str">
        <f>IF('Calc (ex-animal)'!$F$38=1,"",IF($C$215=0,"",IF(D216="","",E216/'Calc (ex-animal)'!$E$43*100)))</f>
        <v/>
      </c>
      <c r="G216" s="485" t="str">
        <f>IF($C$215=0,"",IF('Calc (ex-animal)'!$F$38=1,"",IF(D216="","",SUM(H216:O216))))</f>
        <v/>
      </c>
      <c r="H216" s="423" t="str">
        <f>IF('Calc (ex-animal)'!$F$38=1,"",IF(D216="","",(((VLOOKUP($C$215,'Calc (ex-animal)'!$D$43:$Y$47,6,FALSE)-VLOOKUP($C$215,'Calc (ex-animal)'!$D$43:$Y$47,17,FALSE))*F216/100))*VLOOKUP($C$215,'Calc (ex-animal)'!$D$43:$Y$47,7,FALSE)/100*(1-VLOOKUP(D216,'DB technologies'!$N$109:$Y$120,9,FALSE)/100)))</f>
        <v/>
      </c>
      <c r="I216" s="423" t="str">
        <f>IF(D216="","",((VLOOKUP(D216,'DB technologies'!$N$109:$Y$120,2,FALSE)*VLOOKUP($C$215,'DB animal categories'!$C$81:$AC$90,27,FALSE)*E216/1000)/VLOOKUP($C$215,'DB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'!$S$6/100*(1-VLOOKUP(D216,'DB technologies'!$N$109:$Y$120,9,FALSE)/100)))</f>
        <v/>
      </c>
      <c r="J216" s="434" t="str">
        <f>IF(D216="","",((VLOOKUP(D216,'DB technologies'!$N$109:$Y$120,3,FALSE)*VLOOKUP($C$215,'DB animal categories'!$C$81:$AC$90,27,FALSE)*E216/1000)/VLOOKUP($C$215,'DB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'!$S$7/100*(1-VLOOKUP(D216,'DB technologies'!$N$109:$Y$120,9,FALSE)/100)))</f>
        <v/>
      </c>
      <c r="K216" s="434" t="str">
        <f>IF(D216="","",((VLOOKUP(D216,'DB technologies'!$N$109:$Y$120,4,FALSE)*E216*'DB additional information '!$S$8/100*(1-VLOOKUP(D216,'DB technologies'!$N$109:$Y$120,9,FALSE)/100))/VLOOKUP($C$215,'DB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L216" s="423" t="str">
        <f>IF('Calc (ex-animal)'!$F$38=1,"",IF(D216="","",(((VLOOKUP($C$215,'Calc (ex-animal)'!$D$43:$Y$47,6,FALSE)-VLOOKUP($C$215,'Calc (ex-animal)'!$D$43:$Y$47,17,FALSE))*F216/100))*(1-VLOOKUP($C$215,'Calc (ex-animal)'!$D$43:$Y$47,7,FALSE)/100)*(1-VLOOKUP(D216,'DB technologies'!$N$109:$V$120,8,FALSE)/100)))</f>
        <v/>
      </c>
      <c r="M216" s="434" t="str">
        <f>IF(D216="","",((VLOOKUP(D216,'DB technologies'!$N$109:$Y$120,2,FALSE)*VLOOKUP($C$215,'DB animal categories'!$C$81:$AC$90,27,FALSE)*E216/1000)/VLOOKUP($C$215,'DB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'!$S$6/100)*(1-VLOOKUP(D216,'DB technologies'!$N$109:$Y$120,9,FALSE)/100))</f>
        <v/>
      </c>
      <c r="N216" s="434" t="str">
        <f>IF(D216="","",((VLOOKUP(D216,'DB technologies'!$N$109:$Y$120,3,FALSE)*VLOOKUP($C$215,'DB animal categories'!$C$81:$AC$90,27,FALSE)*E216/1000)/VLOOKUP($C$215,'DB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'!$S$7/100)*(1-VLOOKUP(D216,'DB technologies'!$N$109:$Y$120,9,FALSE)/100))</f>
        <v/>
      </c>
      <c r="O216" s="423" t="str">
        <f>IF(D216="","",((VLOOKUP(D216,'DB technologies'!$N$109:$Y$120,4,FALSE)*E216*(1-'DB additional information '!$S$8/100)*(1-VLOOKUP(D216,'DB technologies'!$N$109:$Y$120,8,FALSE)/100))/VLOOKUP($C$215,'DB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P216" s="438" t="str">
        <f>IF(G216=0,0,IF(E216="","",IF(F216="","",IF($C$215=0,"",IF(D216="","",SUM(H216:K216)/G216*100)))))</f>
        <v/>
      </c>
      <c r="Q216" s="416" t="str">
        <f>IF(D216="","",(VLOOKUP(D216,'DB technologies'!$N$109:$Y$120,2,FALSE)*'DB additional information '!$S$6/100*'DB additional information '!$T$6*VLOOKUP($C$215,'DB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R216" s="416" t="str">
        <f>IF(D216="","",(VLOOKUP(D216,'DB technologies'!$N$109:$Y$120,3,FALSE)*'DB additional information '!$S$7/100*'DB additional information '!$T$7*VLOOKUP($C$215,'DB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S216" s="491" t="str">
        <f>IF(D216="","",(VLOOKUP(D216,'DB technologies'!$N$109:$Y$120,4,FALSE)*('DB additional information '!$S$8/100*'DB additional information '!$T$8*E216/1000/1000)))</f>
        <v/>
      </c>
      <c r="T216" s="264" t="str">
        <f>IF($C$215=0,"",IF('Calc (ex-animal)'!$F$38=1,"",IF(D216="","",((VLOOKUP($C$215,'Calc (ex-animal)'!$D$43:$Y$47,10,FALSE)-VLOOKUP($C$215,'Calc (ex-animal)'!$D$43:$Y$47,18,FALSE))*F216/100+Q216+R216+S216)-AC216-AD216-AE216)))</f>
        <v/>
      </c>
      <c r="U216" s="422" t="str">
        <f>IF(D216="","",(VLOOKUP(D216,'DB technologies'!$N$109:$Y$120,2,FALSE)*'DB additional information '!$S$6/100*'DB additional information '!$U$6*VLOOKUP($C$215,'DB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V216" s="418" t="str">
        <f>IF(D216="","",(VLOOKUP(D216,'DB technologies'!$N$109:$Y$120,3,FALSE)*'DB additional information '!$S$7/100*'DB additional information '!$U$7*VLOOKUP($C$215,'DB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W216" s="417" t="str">
        <f>IF(D216="","",(VLOOKUP(D216,'DB technologies'!$N$109:$Y$120,4,FALSE)*('DB additional information '!$S$8/100*'DB additional information '!$U$8*E216/1000/1000)))</f>
        <v/>
      </c>
      <c r="X216" s="261" t="str">
        <f>IF($C$215=0,"",IF('Calc (ex-animal)'!$F$38=1,"",IF(D216="","",((VLOOKUP($C$215,'Calc (ex-animal)'!$D$43:$Y$47,13,FALSE)-VLOOKUP($C$215,'Calc (ex-animal)'!$D$43:$Y$47,19,FALSE))*F216/100+U216+V216+W216))))</f>
        <v/>
      </c>
      <c r="Y216" s="418" t="str">
        <f>IF(D216="","",(VLOOKUP(D216,'DB technologies'!$N$109:$Y$120,2,FALSE)*'DB additional information '!$S$6/100*'DB additional information '!$V$6*VLOOKUP($C$215,'DB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Z216" s="418" t="str">
        <f>IF(D216="","",(VLOOKUP(D216,'DB technologies'!$N$109:$Y$120,3,FALSE)*'DB additional information '!$S$7/100*'DB additional information '!$V$7*VLOOKUP($C$215,'DB animal categories'!$C$81:$AC$90,27,FALSE)*E216/1000/1000)/VLOOKUP($C$215,'DB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AA216" s="418" t="str">
        <f>IF(D216="","",(VLOOKUP(D216,'DB technologies'!$N$109:$Y$120,4,FALSE)*('DB additional information '!$S$8/100*'DB additional information '!$V$8*E216/1000/1000)))</f>
        <v/>
      </c>
      <c r="AB216" s="261" t="str">
        <f>IF($C$215=0,"",IF('Calc (ex-animal)'!$F$38=1,"",IF(D216="","",((VLOOKUP($C$215,'Calc (ex-animal)'!$D$43:$Y$47,16,FALSE)-VLOOKUP($C$215,'Calc (ex-animal)'!$D$43:$Y$47,20,FALSE))*F216/100+Y216+Z216+AA216))))</f>
        <v/>
      </c>
      <c r="AC216" s="261" t="str">
        <f>IF($C$215=0,"",IF('Calc (ex-animal)'!$F$38=1,"",IF(D216="","",VLOOKUP($C$215,'Calc (ex-animal)'!$D$43:$Y$47,9,FALSE)/VLOOKUP($C$215,'DB animal categories'!$C$81:$AC$90,27,FALSE)*(VLOOKUP($C$215,'DB animal categories'!$C$81:$AC$90,27,FALSE)-VLOOKUP($C$215,'DB animal categories'!$C$81:$AC$90,25,FALSE)*VLOOKUP($C$215,'DB animal categories'!$C$81:$AC$90,26,FALSE)/24)*F216/100*VLOOKUP(D216,'DB technologies'!$N$109:$R$120,5,FALSE)/100)))</f>
        <v/>
      </c>
      <c r="AD216" s="261" t="str">
        <f>IF($C$215=0,"",IF('Calc (ex-animal)'!$F$38=1,"",IF(D216="","",VLOOKUP($C$215,'Calc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categories'!$C$81:$AC$90,26,FALSE)/24)*F216/100*VLOOKUP(D216,'DB technologies'!$N$109:$Y$120,6,FALSE)/100)))</f>
        <v/>
      </c>
      <c r="AE216" s="262" t="str">
        <f>IF($C$215=0,"",IF('Calc (ex-animal)'!$F$38=1,"",IF(D216="","",VLOOKUP($C$215,'Calc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categories'!$C$81:$AC$90,26,FALSE)/24)*F216/100*VLOOKUP(D216,'DB technologies'!$N$109:$Y$120,7,FALSE)/100)))</f>
        <v/>
      </c>
      <c r="AI216" s="181" t="str">
        <f>IF(D216="","",VLOOKUP(D216,'DB technologies'!$N$109:$Y$120,10,FALSE))</f>
        <v/>
      </c>
      <c r="AJ216" s="449" t="e">
        <f>VLOOKUP($C$215,'DB animal categories'!$C$81:$AN$90,27,FALSE)-VLOOKUP($C$215,'DB animal categories'!$C$81:$AN$90,26,FALSE)*VLOOKUP($C$215,'DB animal categories'!$C$81:$AN$90,25,FALSE)/24</f>
        <v>#N/A</v>
      </c>
      <c r="AK216" s="442" t="str">
        <f>IF(AI216="","",AL216+AM216)</f>
        <v/>
      </c>
      <c r="AL216" s="442" t="str">
        <f>IF(D216="","",IF(AI216=2,(('Calc (ex-animal)'!$G$43*'DB additional information '!$K$10/100*(1-VLOOKUP(D216,'DB technologies'!$N$109:$Y$120,9,FALSE)/100)*'Calc (ex-housing, ex-storage)'!F216/100+'Calc (ex-animal)'!$H$43*'DB additional information '!$L$10/100*(1-VLOOKUP(D216,'DB technologies'!$N$109:$Y$120,9,FALSE)/100)*'Calc (ex-housing, ex-storage)'!F216/100))/VLOOKUP($C$215,'DB animal categories'!$C$81:$AC$90,27,FALSE)*AJ216+I216+J216+K216,IF(AI216=1,('Calc (ex-animal)'!$H$43*'DB additional information '!$L$10/100*(1-VLOOKUP(D216,'DB technologies'!$N$109:$Y$120,9,FALSE)/100)*'Calc (ex-housing, ex-storage)'!F216/100)/VLOOKUP($C$215,'DB animal categories'!$C$81:$AC$90,27,FALSE)*AJ216,IF(AI216=4,('Calc (ex-animal)'!$G$43*'DB additional information '!$K$10/100+'Calc (ex-animal)'!$H$43*'DB additional information '!$L$10/100)*(1-VLOOKUP(D216,'DB technologies'!$N$109:$Y$120,9,FALSE)/100)*'Calc (ex-housing, ex-storage)'!F216/100*VLOOKUP(D216,'DB technologies'!$N$109:$Y$120,11,FALSE)/100/VLOOKUP($C$215,'DB animal categories'!$C$81:$AC$90,27,FALSE)*AJ216,0))))</f>
        <v/>
      </c>
      <c r="AM216" s="442" t="str">
        <f>IF(D216="","",IF(AI216=2,(('Calc (ex-animal)'!$G$43*(1-'DB additional information '!$K$10/100)*(1-VLOOKUP(D216,'DB technologies'!$N$109:$Y$120,8,FALSE)/100)*'Calc (ex-housing, ex-storage)'!F216/100+'Calc (ex-animal)'!$H$43*(1-'DB additional information '!$L$10/100)*(1-VLOOKUP(D216,'DB technologies'!$N$109:$Y$120,8,FALSE)/100)*'Calc (ex-housing, ex-storage)'!F216/100))/VLOOKUP($C$215,'DB animal categories'!$C$81:$AC$90,27,FALSE)*AJ216+M216+N216+O216,IF(AI216=1,('Calc (ex-animal)'!$H$43*(1-'DB additional information '!$L$10/100)*(1-VLOOKUP(D216,'DB technologies'!$N$109:$Y$120,8,FALSE)/100)*'Calc (ex-housing, ex-storage)'!F216/100)/VLOOKUP($C$215,'DB animal categories'!$C$81:$AC$90,27,FALSE)*AJ216,IF(AI216=4,('Calc (ex-animal)'!$G$43*(1-'DB additional information '!$K$10/100)+'Calc (ex-animal)'!$H$43*(1-'DB additional information '!$L$10/100))*(1-VLOOKUP(D216,'DB technologies'!$N$109:$Y$120,8,FALSE)/100)*'Calc (ex-housing, ex-storage)'!F216/100*VLOOKUP(D216,'DB technologies'!$N$109:$Y$120,11,FALSE)/100/VLOOKUP($C$215,'DB animal categories'!$C$81:$AC$90,27,FALSE)*AJ216,0))))</f>
        <v/>
      </c>
      <c r="AN216" s="442" t="str">
        <f>IF(AI216="","",IF(AL216=0,0,AL216/AK216*100))</f>
        <v/>
      </c>
      <c r="AO216" s="182" t="str">
        <f>IF(D216="","",IF(AI216=2,(('Calc (ex-animal)'!$L$43*'Calc (ex-housing, ex-storage)'!F216/100+'Calc (ex-animal)'!$K$43*'Calc (ex-housing, ex-storage)'!F216/100))/VLOOKUP($C$215,'DB animal categories'!$C$81:$AC$90,27,FALSE)*AJ216+Q216+R216+S216-AC216,IF(AI216=1,('Calc (ex-animal)'!$L$43*'Calc (ex-housing, ex-storage)'!F216/100)/VLOOKUP($C$215,'DB animal categories'!$C$81:$AC$90,27,FALSE)*AJ216-'Calc (ex-housing, ex-storage)'!AC216,IF(AI216=4,('Calc (ex-animal)'!$L$43+'Calc (ex-animal)'!$K$43)*'Calc (ex-housing, ex-storage)'!F216/100*VLOOKUP(D216,'DB technologies'!$N$109:$Y$120,11,FALSE)/100/VLOOKUP($C$215,'DB animal categories'!$C$81:$AC$90,27,FALSE)*AJ216-AC216*VLOOKUP(D216,'DB technologies'!$N$109:$Y$120,11,FALSE)/100,0))))</f>
        <v/>
      </c>
      <c r="AP216" s="182" t="str">
        <f>IF(D216="","",IF(AO216&lt;-0.01,0,IF(AI216=2,(('Calc (ex-animal)'!$L$43*'Calc (ex-housing, ex-storage)'!F216/100+'Calc (ex-animal)'!$K$43*'Calc (ex-housing, ex-storage)'!F216/100))/VLOOKUP($C$215,'DB animal categories'!$C$81:$AC$90,27,FALSE)*AJ216+Q216+R216+S216-AC216,IF(AI216=1,('Calc (ex-animal)'!$L$43*'Calc (ex-housing, ex-storage)'!F216/100)/VLOOKUP($C$215,'DB animal categories'!$C$81:$AC$90,27,FALSE)*AJ216-'Calc (ex-housing, ex-storage)'!AC216,IF(AI216=4,('Calc (ex-animal)'!$L$43+'Calc (ex-animal)'!$K$43)*'Calc (ex-housing, ex-storage)'!F216/100*VLOOKUP(D216,'DB technologies'!$N$109:$Y$120,11,FALSE)/100/VLOOKUP($C$215,'DB animal categories'!$C$81:$AC$90,27,FALSE)*AJ216-AC216*VLOOKUP(D216,'DB technologies'!$N$109:$Y$120,11,FALSE)/100,0)))))</f>
        <v/>
      </c>
      <c r="AQ216" s="182" t="str">
        <f>IF(D216="","",IF(AI216=2,('Calc (ex-animal)'!$O$43*'Calc (ex-housing, ex-storage)'!F216/100+'Calc (ex-animal)'!$N$43*'Calc (ex-housing, ex-storage)'!F216/100)/VLOOKUP($C$215,'DB animal categories'!$C$81:$AC$90,27,FALSE)*AJ216+U216+V216+W216,IF(AI216=1,'Calc (ex-animal)'!$O$43*'Calc (ex-housing, ex-storage)'!F216/100/VLOOKUP($C$215,'DB animal categories'!$C$81:$AC$90,27,FALSE)*AJ216,IF(AI216=4,('Calc (ex-animal)'!$O$43+'Calc (ex-animal)'!$N$43)*'Calc (ex-housing, ex-storage)'!F216/100*VLOOKUP(D216,'DB technologies'!$N$109:$Y$120,11,FALSE)/100/VLOOKUP($C$215,'DB animal categories'!$C$81:$AC$90,27,FALSE)*AJ216,0))))</f>
        <v/>
      </c>
      <c r="AR216" s="182" t="str">
        <f>IF(D216="","",IF(AI216=2,('Calc (ex-animal)'!$R$43*'Calc (ex-housing, ex-storage)'!F216/100+'Calc (ex-animal)'!$Q$43*'Calc (ex-housing, ex-storage)'!F216/100)/VLOOKUP($C$215,'DB animal categories'!$C$81:$AC$90,27,FALSE)*AJ216+Y216+Z216+AA216,IF(AI216=1,'Calc (ex-animal)'!$R$43*'Calc (ex-housing, ex-storage)'!F216/100/VLOOKUP($C$215,'DB animal categories'!$C$81:$AC$90,27,FALSE)*AJ216,IF(AI216=4,('Calc (ex-animal)'!$R$43+'Calc (ex-animal)'!$Q$43)*'Calc (ex-housing, ex-storage)'!F216/100*VLOOKUP(D216,'DB technologies'!$N$109:$Y$120,11,FALSE)/100/VLOOKUP($C$215,'DB animal categories'!$C$81:$AC$90,27,FALSE)*AJ216,0))))</f>
        <v/>
      </c>
      <c r="AS216" s="181" t="str">
        <f>IF(D216="","",VLOOKUP(D216,'DB technologies'!$N$109:$Y$120,10,FALSE))</f>
        <v/>
      </c>
      <c r="AT216" s="442" t="str">
        <f>IF(AS216="","",AU216+AV216)</f>
        <v/>
      </c>
      <c r="AU216" s="442" t="str">
        <f>IF(D216="","",IF(AS216=2,0,IF(AS216=1,'Calc (ex-animal)'!$G$43*'DB additional information '!$K$10/100*(1-VLOOKUP(D216,'DB technologies'!$N$109:$Y$120,8,FALSE)/100)*'Calc (ex-housing, ex-storage)'!F216/100/VLOOKUP($C$215,'DB animal categories'!$C$81:$AC$90,27,FALSE)*AJ216+I216+J216+K216,IF(AS216=5,(('Calc (ex-animal)'!$G$43*'DB additional information '!$K$10/100+'Calc (ex-animal)'!$H$43*'DB additional information '!$L$10/100))*(1-VLOOKUP(D216,'DB technologies'!$N$109:$Y$120,9,FALSE)/100)*'Calc (ex-housing, ex-storage)'!F216/100/VLOOKUP($C$215,'DB animal categories'!$C$81:$AC$90,27,FALSE)*AJ216+I216+J216+K216,IF(AS216=3,('Calc (ex-animal)'!$G$43*'DB additional information '!$K$10/100+'Calc (ex-animal)'!$H$43*'DB additional information '!$L$10/100)*(1-VLOOKUP(D216,'DB technologies'!$N$109:$Y$120,9,FALSE)/100)*'Calc (ex-housing, ex-storage)'!F216/100/VLOOKUP($C$215,'DB animal categories'!$C$81:$AC$90,27,FALSE)*AJ216+I216+J216+K216,IF(AS216=4,('Calc (ex-animal)'!$G$43*'DB additional information '!$K$10/100+'Calc (ex-animal)'!$H$43*'DB additional information '!$L$10/100)*(1-VLOOKUP(D216,'DB technologies'!$N$109:$Y$120,9,FALSE)/100)*'Calc (ex-housing, ex-storage)'!F216/100*VLOOKUP(D216,'DB technologies'!$N$109:$Y$120,12,FALSE)/100/VLOOKUP($C$215,'DB animal categories'!$C$81:$AC$90,27,FALSE)*AJ216+I216+J216+K216,0))))))</f>
        <v/>
      </c>
      <c r="AV216" s="442" t="str">
        <f>IF(D216="","",IF(AS216=2,0,IF(AS216=1,'Calc (ex-animal)'!$G$43*(1-'DB additional information '!$K$10/100)*(1-VLOOKUP(D216,'DB technologies'!$N$109:$Y$120,8,FALSE)/100)*'Calc (ex-housing, ex-storage)'!F216/100/VLOOKUP($C$215,'DB animal categories'!$C$81:$AC$90,27,FALSE)*AJ216+M216+N216+O216,IF(AS216=5,('Calc (ex-animal)'!$G$43*(1-'DB additional information '!$K$10/100)+'Calc (ex-animal)'!$H$43*(1-'DB additional information '!$L$10/100))*(1-VLOOKUP(D216,'DB technologies'!$N$109:$Y$120,8,FALSE)/100)*'Calc (ex-housing, ex-storage)'!F216/100/VLOOKUP($C$215,'DB animal categories'!$C$81:$AC$90,27,FALSE)*AJ216+M216+N216+O216,IF(AS216=3,('Calc (ex-animal)'!$G$43*(1-'DB additional information '!$K$10/100)+'Calc (ex-animal)'!$H$43*(1-'DB additional information '!$L$10/100))*(1-VLOOKUP(D216,'DB technologies'!$N$109:$Y$120,8,FALSE)/100)*'Calc (ex-housing, ex-storage)'!F216/100/VLOOKUP($C$215,'DB animal categories'!$C$81:$AC$90,27,FALSE)*AJ216+M216+N216+O216,IF(AS216=4,('Calc (ex-animal)'!$G$43*(1-'DB additional information '!$K$10/100)+'Calc (ex-animal)'!$H$43*(1-'DB additional information '!$L$10/100))*(1-VLOOKUP(D216,'DB technologies'!$N$109:$Y$120,8,FALSE)/100)*'Calc (ex-housing, ex-storage)'!F216/100*VLOOKUP(D216,'DB technologies'!$N$109:$Y$120,12,FALSE)/100/VLOOKUP($C$215,'DB animal categories'!$C$81:$AC$90,27,FALSE)*AJ216+M216+N216+O216,0))))))</f>
        <v/>
      </c>
      <c r="AW216" s="442" t="str">
        <f>IF(AS216="","",IF(AU216=0,0,AU216/AT216*100))</f>
        <v/>
      </c>
      <c r="AX216" s="182" t="str">
        <f>IF(D216="","",IF(AS216=2,0,IF(AS216=1,'Calc (ex-animal)'!$K$43*'Calc (ex-housing, ex-storage)'!F216/100/VLOOKUP($C$215,'DB animal categories'!$C$81:$AC$90,27,FALSE)*AJ216+Q216+R216+S216,IF(AS216=5,('Calc (ex-animal)'!$K$43+'Calc (ex-animal)'!$L$43)*'Calc (ex-housing, ex-storage)'!F216/100/VLOOKUP($C$215,'DB animal categories'!$C$81:$AC$90,27,FALSE)*AJ216+Q216+R216+S216-'Calc (ex-housing, ex-storage)'!AC216,IF(AS216=3,('Calc (ex-animal)'!$K$43+'Calc (ex-animal)'!$L$43)*'Calc (ex-housing, ex-storage)'!F216/100/VLOOKUP($C$215,'DB animal categories'!$C$81:$AC$90,27,FALSE)*AJ216+Q216+R216+S216-'Calc (ex-housing, ex-storage)'!AC216-AD216-AE216,IF(AI216=4,('Calc (ex-animal)'!$K$43+'Calc (ex-animal)'!$L$43)*'Calc (ex-housing, ex-storage)'!F216/100*VLOOKUP(D216,'DB technologies'!$N$109:$Y$120,12,FALSE)/100/VLOOKUP($C$215,'DB animal categories'!$C$81:$AC$90,27,FALSE)*AJ216+Q216+R216+S216-(VLOOKUP(D216,'DB technologies'!$N$109:$Y$120,12,FALSE)/100*AC216)-AD216-AE216,0))))))</f>
        <v/>
      </c>
      <c r="AY216" s="182" t="str">
        <f>IF(D216="","",IF(AS216=2,0,IF(AS216=1,'Calc (ex-animal)'!$N$43*'Calc (ex-housing, ex-storage)'!F216/100/VLOOKUP($C$215,'DB animal categories'!$C$81:$AC$90,27,FALSE)*AJ216+U216+V216+W216,IF(AS216=5,('Calc (ex-animal)'!$N$43+'Calc (ex-animal)'!$O$43)*'Calc (ex-housing, ex-storage)'!F216/100/VLOOKUP($C$215,'DB animal categories'!$C$81:$AC$90,27,FALSE)*AJ216+U216+V216+W216,IF(AS216=3,('Calc (ex-animal)'!$N$43+'Calc (ex-animal)'!$O$43)*'Calc (ex-housing, ex-storage)'!F216/100/VLOOKUP($C$215,'DB animal categories'!$C$81:$AC$90,27,FALSE)*AJ216+U216+V216+W216,IF(AS216=4,('Calc (ex-animal)'!$N$43+'Calc (ex-animal)'!$O$43)*'Calc (ex-housing, ex-storage)'!F216/100*VLOOKUP(D216,'DB technologies'!$N$109:$Y$120,12,FALSE)/100/VLOOKUP($C$215,'DB animal categories'!$C$81:$AC$90,27,FALSE)*AJ216+U216+V216+W216,0))))))</f>
        <v/>
      </c>
      <c r="AZ216" s="182" t="str">
        <f>IF(D216="","",IF(AS216=2,0,IF(AS216=1,'Calc (ex-animal)'!$Q$43*'Calc (ex-housing, ex-storage)'!F216/100/VLOOKUP($C$215,'DB animal categories'!$C$81:$AC$90,27,FALSE)*AJ216+Y216+Z216+AA216,IF(AS216=5,('Calc (ex-animal)'!$Q$43+'Calc (ex-animal)'!$R$43)*'Calc (ex-housing, ex-storage)'!F216/100/VLOOKUP($C$215,'DB animal categories'!$C$81:$AC$90,27,FALSE)*AJ216+Y216+Z216+AA216,IF(AS216=3,('Calc (ex-animal)'!$Q$43+'Calc (ex-animal)'!$R$43)*'Calc (ex-housing, ex-storage)'!F216/100/VLOOKUP($C$215,'DB animal categories'!$C$81:$AC$90,27,FALSE)*AJ216+Y216+Z216+AA216,IF(AS216=4,('Calc (ex-animal)'!$Q$43+'Calc (ex-animal)'!$R$43)*'Calc (ex-housing, ex-storage)'!F216/100*VLOOKUP(D216,'DB technologies'!$N$109:$Y$120,12,FALSE)/100/VLOOKUP($C$215,'DB animal categories'!$C$81:$AC$90,27,FALSE)*AJ216+Y216+Z216+AA216,0))))))</f>
        <v/>
      </c>
      <c r="BA216" s="506"/>
      <c r="BB216" s="506"/>
      <c r="BC216" s="506"/>
    </row>
    <row r="217" spans="1:55" x14ac:dyDescent="0.2">
      <c r="A217" s="684"/>
      <c r="B217" s="695"/>
      <c r="C217" s="251"/>
      <c r="D217" s="1357"/>
      <c r="E217" s="1358"/>
      <c r="F217" s="480" t="str">
        <f>IF('Calc (ex-animal)'!$F$38=1,"",IF($C$215=0,"",IF(D217="","",E217/'Calc (ex-animal)'!$E$43*100)))</f>
        <v/>
      </c>
      <c r="G217" s="485" t="str">
        <f>IF($C$215=0,"",IF('Calc (ex-animal)'!$F$38=1,"",IF(D217="","",SUM(H217:O217))))</f>
        <v/>
      </c>
      <c r="H217" s="423" t="str">
        <f>IF('Calc (ex-animal)'!$F$38=1,"",IF(D217="","",(((VLOOKUP($C$215,'Calc (ex-animal)'!$D$43:$Y$47,6,FALSE)-VLOOKUP($C$215,'Calc (ex-animal)'!$D$43:$Y$47,17,FALSE))*F217/100))*VLOOKUP($C$215,'Calc (ex-animal)'!$D$43:$Y$47,7,FALSE)/100*(1-VLOOKUP(D217,'DB technologies'!$N$109:$Y$120,9,FALSE)/100)))</f>
        <v/>
      </c>
      <c r="I217" s="423" t="str">
        <f>IF(D217="","",((VLOOKUP(D217,'DB technologies'!$N$109:$Y$120,2,FALSE)*VLOOKUP($C$215,'DB animal categories'!$C$81:$AC$90,27,FALSE)*E217/1000)/VLOOKUP($C$215,'DB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'!$S$6/100*(1-VLOOKUP(D217,'DB technologies'!$N$109:$Y$120,9,FALSE)/100)))</f>
        <v/>
      </c>
      <c r="J217" s="434" t="str">
        <f>IF(D217="","",((VLOOKUP(D217,'DB technologies'!$N$109:$Y$120,3,FALSE)*VLOOKUP($C$215,'DB animal categories'!$C$81:$AC$90,27,FALSE)*E217/1000)/VLOOKUP($C$215,'DB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'!$S$7/100*(1-VLOOKUP(D217,'DB technologies'!$N$109:$Y$120,9,FALSE)/100)))</f>
        <v/>
      </c>
      <c r="K217" s="434" t="str">
        <f>IF(D217="","",((VLOOKUP(D217,'DB technologies'!$N$109:$Y$120,4,FALSE)*E217*'DB additional information '!$S$8/100*(1-VLOOKUP(D217,'DB technologies'!$N$109:$Y$120,9,FALSE)/100))/VLOOKUP($C$215,'DB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L217" s="423" t="str">
        <f>IF('Calc (ex-animal)'!$F$38=1,"",IF(D217="","",(((VLOOKUP($C$215,'Calc (ex-animal)'!$D$43:$Y$47,6,FALSE)-VLOOKUP($C$215,'Calc (ex-animal)'!$D$43:$Y$47,17,FALSE))*F217/100))*(1-VLOOKUP($C$215,'Calc (ex-animal)'!$D$43:$Y$47,7,FALSE)/100)*(1-VLOOKUP(D217,'DB technologies'!$N$109:$V$120,8,FALSE)/100)))</f>
        <v/>
      </c>
      <c r="M217" s="434" t="str">
        <f>IF(D217="","",((VLOOKUP(D217,'DB technologies'!$N$109:$Y$120,2,FALSE)*VLOOKUP($C$215,'DB animal categories'!$C$81:$AC$90,27,FALSE)*E217/1000)/VLOOKUP($C$215,'DB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'!$S$6/100)*(1-VLOOKUP(D217,'DB technologies'!$N$109:$Y$120,9,FALSE)/100))</f>
        <v/>
      </c>
      <c r="N217" s="434" t="str">
        <f>IF(D217="","",((VLOOKUP(D217,'DB technologies'!$N$109:$Y$120,3,FALSE)*VLOOKUP($C$215,'DB animal categories'!$C$81:$AC$90,27,FALSE)*E217/1000)/VLOOKUP($C$215,'DB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'!$S$7/100)*(1-VLOOKUP(D217,'DB technologies'!$N$109:$Y$120,9,FALSE)/100))</f>
        <v/>
      </c>
      <c r="O217" s="423" t="str">
        <f>IF(D217="","",((VLOOKUP(D217,'DB technologies'!$N$109:$Y$120,4,FALSE)*E217*(1-'DB additional information '!$S$8/100)*(1-VLOOKUP(D217,'DB technologies'!$N$109:$Y$120,8,FALSE)/100))/VLOOKUP($C$215,'DB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P217" s="438" t="str">
        <f>IF(G217=0,0,IF(E217="","",IF(F217="","",IF($C$215=0,"",IF(D217="","",SUM(H217:K217)/G217*100)))))</f>
        <v/>
      </c>
      <c r="Q217" s="416" t="str">
        <f>IF(D217="","",(VLOOKUP(D217,'DB technologies'!$N$109:$Y$120,2,FALSE)*'DB additional information '!$S$6/100*'DB additional information '!$T$6*VLOOKUP($C$215,'DB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R217" s="416" t="str">
        <f>IF(D217="","",(VLOOKUP(D217,'DB technologies'!$N$109:$Y$120,3,FALSE)*'DB additional information '!$S$7/100*'DB additional information '!$T$7*VLOOKUP($C$215,'DB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S217" s="491" t="str">
        <f>IF(D217="","",(VLOOKUP(D217,'DB technologies'!$N$109:$Y$120,4,FALSE)*('DB additional information '!$S$8/100*'DB additional information '!$T$8*E217/1000/1000)))</f>
        <v/>
      </c>
      <c r="T217" s="264" t="str">
        <f>IF($C$215=0,"",IF('Calc (ex-animal)'!$F$38=1,"",IF(D217="","",((VLOOKUP($C$215,'Calc (ex-animal)'!$D$43:$Y$47,10,FALSE)-VLOOKUP($C$215,'Calc (ex-animal)'!$D$43:$Y$47,18,FALSE))*F217/100+Q217+R217+S217)-AC217-AD217-AE217)))</f>
        <v/>
      </c>
      <c r="U217" s="422" t="str">
        <f>IF(D217="","",(VLOOKUP(D217,'DB technologies'!$N$109:$Y$120,2,FALSE)*'DB additional information '!$S$6/100*'DB additional information '!$U$6*VLOOKUP($C$215,'DB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V217" s="418" t="str">
        <f>IF(D217="","",(VLOOKUP(D217,'DB technologies'!$N$109:$Y$120,3,FALSE)*'DB additional information '!$S$7/100*'DB additional information '!$U$7*VLOOKUP($C$215,'DB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W217" s="417" t="str">
        <f>IF(D217="","",(VLOOKUP(D217,'DB technologies'!$N$109:$Y$120,4,FALSE)*('DB additional information '!$S$8/100*'DB additional information '!$U$8*E217/1000/1000)))</f>
        <v/>
      </c>
      <c r="X217" s="261" t="str">
        <f>IF($C$215=0,"",IF('Calc (ex-animal)'!$F$38=1,"",IF(D217="","",((VLOOKUP($C$215,'Calc (ex-animal)'!$D$43:$Y$47,13,FALSE)-VLOOKUP($C$215,'Calc (ex-animal)'!$D$43:$Y$47,19,FALSE))*F217/100+U217+V217+W217))))</f>
        <v/>
      </c>
      <c r="Y217" s="418" t="str">
        <f>IF(D217="","",(VLOOKUP(D217,'DB technologies'!$N$109:$Y$120,2,FALSE)*'DB additional information '!$S$6/100*'DB additional information '!$V$6*VLOOKUP($C$215,'DB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Z217" s="418" t="str">
        <f>IF(D217="","",(VLOOKUP(D217,'DB technologies'!$N$109:$Y$120,3,FALSE)*'DB additional information '!$S$7/100*'DB additional information '!$V$7*VLOOKUP($C$215,'DB animal categories'!$C$81:$AC$90,27,FALSE)*E217/1000/1000)/VLOOKUP($C$215,'DB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AA217" s="418" t="str">
        <f>IF(D217="","",(VLOOKUP(D217,'DB technologies'!$N$109:$Y$120,4,FALSE)*('DB additional information '!$S$8/100*'DB additional information '!$V$8*E217/1000/1000)))</f>
        <v/>
      </c>
      <c r="AB217" s="261" t="str">
        <f>IF($C$215=0,"",IF('Calc (ex-animal)'!$F$38=1,"",IF(D217="","",((VLOOKUP($C$215,'Calc (ex-animal)'!$D$43:$Y$47,16,FALSE)-VLOOKUP($C$215,'Calc (ex-animal)'!$D$43:$Y$47,20,FALSE))*F217/100+Y217+Z217+AA217))))</f>
        <v/>
      </c>
      <c r="AC217" s="261" t="str">
        <f>IF($C$215=0,"",IF('Calc (ex-animal)'!$F$38=1,"",IF(D217="","",VLOOKUP($C$215,'Calc (ex-animal)'!$D$43:$Y$47,9,FALSE)/VLOOKUP($C$215,'DB animal categories'!$C$81:$AC$90,27,FALSE)*(VLOOKUP($C$215,'DB animal categories'!$C$81:$AC$90,27,FALSE)-VLOOKUP($C$215,'DB animal categories'!$C$81:$AC$90,25,FALSE)*VLOOKUP($C$215,'DB animal categories'!$C$81:$AC$90,26,FALSE)/24)*F217/100*VLOOKUP(D217,'DB technologies'!$N$109:$R$120,5,FALSE)/100)))</f>
        <v/>
      </c>
      <c r="AD217" s="261" t="str">
        <f>IF($C$215=0,"",IF('Calc (ex-animal)'!$F$38=1,"",IF(D217="","",VLOOKUP($C$215,'Calc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categories'!$C$81:$AC$90,26,FALSE)/24)*F217/100*VLOOKUP(D217,'DB technologies'!$N$109:$Y$120,6,FALSE)/100)))</f>
        <v/>
      </c>
      <c r="AE217" s="262" t="str">
        <f>IF($C$215=0,"",IF('Calc (ex-animal)'!$F$38=1,"",IF(D217="","",VLOOKUP($C$215,'Calc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categories'!$C$81:$AC$90,26,FALSE)/24)*F217/100*VLOOKUP(D217,'DB technologies'!$N$109:$Y$120,7,FALSE)/100)))</f>
        <v/>
      </c>
      <c r="AI217" s="181" t="str">
        <f>IF(D217="","",VLOOKUP(D217,'DB technologies'!$N$109:$Y$120,10,FALSE))</f>
        <v/>
      </c>
      <c r="AJ217" s="449" t="e">
        <f>VLOOKUP($C$215,'DB animal categories'!$C$81:$AN$90,27,FALSE)-VLOOKUP($C$215,'DB animal categories'!$C$81:$AN$90,26,FALSE)*VLOOKUP($C$215,'DB animal categories'!$C$81:$AN$90,25,FALSE)/24</f>
        <v>#N/A</v>
      </c>
      <c r="AK217" s="442" t="str">
        <f>IF(AI217="","",AL217+AM217)</f>
        <v/>
      </c>
      <c r="AL217" s="442" t="str">
        <f>IF(D217="","",IF(AI217=2,(('Calc (ex-animal)'!$G$43*'DB additional information '!$K$10/100*(1-VLOOKUP(D217,'DB technologies'!$N$109:$Y$120,9,FALSE)/100)*'Calc (ex-housing, ex-storage)'!F217/100+'Calc (ex-animal)'!$H$43*'DB additional information '!$L$10/100*(1-VLOOKUP(D217,'DB technologies'!$N$109:$Y$120,9,FALSE)/100)*'Calc (ex-housing, ex-storage)'!F217/100))/VLOOKUP($C$215,'DB animal categories'!$C$81:$AC$90,27,FALSE)*AJ217+I217+J217+K217,IF(AI217=1,('Calc (ex-animal)'!$H$43*'DB additional information '!$L$10/100*(1-VLOOKUP(D217,'DB technologies'!$N$109:$Y$120,9,FALSE)/100)*'Calc (ex-housing, ex-storage)'!F217/100)/VLOOKUP($C$215,'DB animal categories'!$C$81:$AC$90,27,FALSE)*AJ217,IF(AI217=4,('Calc (ex-animal)'!$G$43*'DB additional information '!$K$10/100+'Calc (ex-animal)'!$H$43*'DB additional information '!$L$10/100)*(1-VLOOKUP(D217,'DB technologies'!$N$109:$Y$120,9,FALSE)/100)*'Calc (ex-housing, ex-storage)'!F217/100*VLOOKUP(D217,'DB technologies'!$N$109:$Y$120,11,FALSE)/100/VLOOKUP($C$215,'DB animal categories'!$C$81:$AC$90,27,FALSE)*AJ217,0))))</f>
        <v/>
      </c>
      <c r="AM217" s="442" t="str">
        <f>IF(D217="","",IF(AI217=2,(('Calc (ex-animal)'!$G$43*(1-'DB additional information '!$K$10/100)*(1-VLOOKUP(D217,'DB technologies'!$N$109:$Y$120,8,FALSE)/100)*'Calc (ex-housing, ex-storage)'!F217/100+'Calc (ex-animal)'!$H$43*(1-'DB additional information '!$L$10/100)*(1-VLOOKUP(D217,'DB technologies'!$N$109:$Y$120,8,FALSE)/100)*'Calc (ex-housing, ex-storage)'!F217/100))/VLOOKUP($C$215,'DB animal categories'!$C$81:$AC$90,27,FALSE)*AJ217+M217+N217+O217,IF(AI217=1,('Calc (ex-animal)'!$H$43*(1-'DB additional information '!$L$10/100)*(1-VLOOKUP(D217,'DB technologies'!$N$109:$Y$120,8,FALSE)/100)*'Calc (ex-housing, ex-storage)'!F217/100)/VLOOKUP($C$215,'DB animal categories'!$C$81:$AC$90,27,FALSE)*AJ217,IF(AI217=4,('Calc (ex-animal)'!$G$43*(1-'DB additional information '!$K$10/100)+'Calc (ex-animal)'!$H$43*(1-'DB additional information '!$L$10/100))*(1-VLOOKUP(D217,'DB technologies'!$N$109:$Y$120,8,FALSE)/100)*'Calc (ex-housing, ex-storage)'!F217/100*VLOOKUP(D217,'DB technologies'!$N$109:$Y$120,11,FALSE)/100/VLOOKUP($C$215,'DB animal categories'!$C$81:$AC$90,27,FALSE)*AJ217,0))))</f>
        <v/>
      </c>
      <c r="AN217" s="442" t="str">
        <f>IF(AI217="","",IF(AL217=0,0,AL217/AK217*100))</f>
        <v/>
      </c>
      <c r="AO217" s="182" t="str">
        <f>IF(D217="","",IF(AI217=2,(('Calc (ex-animal)'!$L$43*'Calc (ex-housing, ex-storage)'!F217/100+'Calc (ex-animal)'!$K$43*'Calc (ex-housing, ex-storage)'!F217/100))/VLOOKUP($C$215,'DB animal categories'!$C$81:$AC$90,27,FALSE)*AJ217+Q217+R217+S217-AC217,IF(AI217=1,('Calc (ex-animal)'!$L$43*'Calc (ex-housing, ex-storage)'!F217/100)/VLOOKUP($C$215,'DB animal categories'!$C$81:$AC$90,27,FALSE)*AJ217-'Calc (ex-housing, ex-storage)'!AC217,IF(AI217=4,('Calc (ex-animal)'!$L$43+'Calc (ex-animal)'!$K$43)*'Calc (ex-housing, ex-storage)'!F217/100*VLOOKUP(D217,'DB technologies'!$N$109:$Y$120,11,FALSE)/100/VLOOKUP($C$215,'DB animal categories'!$C$81:$AC$90,27,FALSE)*AJ217-AC217*VLOOKUP(D217,'DB technologies'!$N$109:$Y$120,11,FALSE)/100,0))))</f>
        <v/>
      </c>
      <c r="AP217" s="182" t="str">
        <f>IF(D217="","",IF(AO217&lt;-0.01,0,IF(AI217=2,(('Calc (ex-animal)'!$L$43*'Calc (ex-housing, ex-storage)'!F217/100+'Calc (ex-animal)'!$K$43*'Calc (ex-housing, ex-storage)'!F217/100))/VLOOKUP($C$215,'DB animal categories'!$C$81:$AC$90,27,FALSE)*AJ217+Q217+R217+S217-AC217,IF(AI217=1,('Calc (ex-animal)'!$L$43*'Calc (ex-housing, ex-storage)'!F217/100)/VLOOKUP($C$215,'DB animal categories'!$C$81:$AC$90,27,FALSE)*AJ217-'Calc (ex-housing, ex-storage)'!AC217,IF(AI217=4,('Calc (ex-animal)'!$L$43+'Calc (ex-animal)'!$K$43)*'Calc (ex-housing, ex-storage)'!F217/100*VLOOKUP(D217,'DB technologies'!$N$109:$Y$120,11,FALSE)/100/VLOOKUP($C$215,'DB animal categories'!$C$81:$AC$90,27,FALSE)*AJ217-AC217*VLOOKUP(D217,'DB technologies'!$N$109:$Y$120,11,FALSE)/100,0)))))</f>
        <v/>
      </c>
      <c r="AQ217" s="182" t="str">
        <f>IF(D217="","",IF(AI217=2,('Calc (ex-animal)'!$O$43*'Calc (ex-housing, ex-storage)'!F217/100+'Calc (ex-animal)'!$N$43*'Calc (ex-housing, ex-storage)'!F217/100)/VLOOKUP($C$215,'DB animal categories'!$C$81:$AC$90,27,FALSE)*AJ217+U217+V217+W217,IF(AI217=1,'Calc (ex-animal)'!$O$43*'Calc (ex-housing, ex-storage)'!F217/100/VLOOKUP($C$215,'DB animal categories'!$C$81:$AC$90,27,FALSE)*AJ217,IF(AI217=4,('Calc (ex-animal)'!$O$43+'Calc (ex-animal)'!$N$43)*'Calc (ex-housing, ex-storage)'!F217/100*VLOOKUP(D217,'DB technologies'!$N$109:$Y$120,11,FALSE)/100/VLOOKUP($C$215,'DB animal categories'!$C$81:$AC$90,27,FALSE)*AJ217,0))))</f>
        <v/>
      </c>
      <c r="AR217" s="182" t="str">
        <f>IF(D217="","",IF(AI217=2,('Calc (ex-animal)'!$R$43*'Calc (ex-housing, ex-storage)'!F217/100+'Calc (ex-animal)'!$Q$43*'Calc (ex-housing, ex-storage)'!F217/100)/VLOOKUP($C$215,'DB animal categories'!$C$81:$AC$90,27,FALSE)*AJ217+Y217+Z217+AA217,IF(AI217=1,'Calc (ex-animal)'!$R$43*'Calc (ex-housing, ex-storage)'!F217/100/VLOOKUP($C$215,'DB animal categories'!$C$81:$AC$90,27,FALSE)*AJ217,IF(AI217=4,('Calc (ex-animal)'!$R$43+'Calc (ex-animal)'!$Q$43)*'Calc (ex-housing, ex-storage)'!F217/100*VLOOKUP(D217,'DB technologies'!$N$109:$Y$120,11,FALSE)/100/VLOOKUP($C$215,'DB animal categories'!$C$81:$AC$90,27,FALSE)*AJ217,0))))</f>
        <v/>
      </c>
      <c r="AS217" s="181" t="str">
        <f>IF(D217="","",VLOOKUP(D217,'DB technologies'!$N$109:$Y$120,10,FALSE))</f>
        <v/>
      </c>
      <c r="AT217" s="442" t="str">
        <f>IF(AS217="","",AU217+AV217)</f>
        <v/>
      </c>
      <c r="AU217" s="442" t="str">
        <f>IF(D217="","",IF(AS217=2,0,IF(AS217=1,'Calc (ex-animal)'!$G$43*'DB additional information '!$K$10/100*(1-VLOOKUP(D217,'DB technologies'!$N$109:$Y$120,8,FALSE)/100)*'Calc (ex-housing, ex-storage)'!F217/100/VLOOKUP($C$215,'DB animal categories'!$C$81:$AC$90,27,FALSE)*AJ217+I217+J217+K217,IF(AS217=5,(('Calc (ex-animal)'!$G$43*'DB additional information '!$K$10/100+'Calc (ex-animal)'!$H$43*'DB additional information '!$L$10/100))*(1-VLOOKUP(D217,'DB technologies'!$N$109:$Y$120,9,FALSE)/100)*'Calc (ex-housing, ex-storage)'!F217/100/VLOOKUP($C$215,'DB animal categories'!$C$81:$AC$90,27,FALSE)*AJ217+I217+J217+K217,IF(AS217=3,('Calc (ex-animal)'!$G$43*'DB additional information '!$K$10/100+'Calc (ex-animal)'!$H$43*'DB additional information '!$L$10/100)*(1-VLOOKUP(D217,'DB technologies'!$N$109:$Y$120,9,FALSE)/100)*'Calc (ex-housing, ex-storage)'!F217/100/VLOOKUP($C$215,'DB animal categories'!$C$81:$AC$90,27,FALSE)*AJ217+I217+J217+K217,IF(AS217=4,('Calc (ex-animal)'!$G$43*'DB additional information '!$K$10/100+'Calc (ex-animal)'!$H$43*'DB additional information '!$L$10/100)*(1-VLOOKUP(D217,'DB technologies'!$N$109:$Y$120,9,FALSE)/100)*'Calc (ex-housing, ex-storage)'!F217/100*VLOOKUP(D217,'DB technologies'!$N$109:$Y$120,12,FALSE)/100/VLOOKUP($C$215,'DB animal categories'!$C$81:$AC$90,27,FALSE)*AJ217+I217+J217+K217,0))))))</f>
        <v/>
      </c>
      <c r="AV217" s="442" t="str">
        <f>IF(D217="","",IF(AS217=2,0,IF(AS217=1,'Calc (ex-animal)'!$G$43*(1-'DB additional information '!$K$10/100)*(1-VLOOKUP(D217,'DB technologies'!$N$109:$Y$120,8,FALSE)/100)*'Calc (ex-housing, ex-storage)'!F217/100/VLOOKUP($C$215,'DB animal categories'!$C$81:$AC$90,27,FALSE)*AJ217+M217+N217+O217,IF(AS217=5,('Calc (ex-animal)'!$G$43*(1-'DB additional information '!$K$10/100)+'Calc (ex-animal)'!$H$43*(1-'DB additional information '!$L$10/100))*(1-VLOOKUP(D217,'DB technologies'!$N$109:$Y$120,8,FALSE)/100)*'Calc (ex-housing, ex-storage)'!F217/100/VLOOKUP($C$215,'DB animal categories'!$C$81:$AC$90,27,FALSE)*AJ217+M217+N217+O217,IF(AS217=3,('Calc (ex-animal)'!$G$43*(1-'DB additional information '!$K$10/100)+'Calc (ex-animal)'!$H$43*(1-'DB additional information '!$L$10/100))*(1-VLOOKUP(D217,'DB technologies'!$N$109:$Y$120,8,FALSE)/100)*'Calc (ex-housing, ex-storage)'!F217/100/VLOOKUP($C$215,'DB animal categories'!$C$81:$AC$90,27,FALSE)*AJ217+M217+N217+O217,IF(AS217=4,('Calc (ex-animal)'!$G$43*(1-'DB additional information '!$K$10/100)+'Calc (ex-animal)'!$H$43*(1-'DB additional information '!$L$10/100))*(1-VLOOKUP(D217,'DB technologies'!$N$109:$Y$120,8,FALSE)/100)*'Calc (ex-housing, ex-storage)'!F217/100*VLOOKUP(D217,'DB technologies'!$N$109:$Y$120,12,FALSE)/100/VLOOKUP($C$215,'DB animal categories'!$C$81:$AC$90,27,FALSE)*AJ217+M217+N217+O217,0))))))</f>
        <v/>
      </c>
      <c r="AW217" s="442" t="str">
        <f>IF(AS217="","",IF(AU217=0,0,AU217/AT217*100))</f>
        <v/>
      </c>
      <c r="AX217" s="182" t="str">
        <f>IF(D217="","",IF(AS217=2,0,IF(AS217=1,'Calc (ex-animal)'!$K$43*'Calc (ex-housing, ex-storage)'!F217/100/VLOOKUP($C$215,'DB animal categories'!$C$81:$AC$90,27,FALSE)*AJ217+Q217+R217+S217,IF(AS217=5,('Calc (ex-animal)'!$K$43+'Calc (ex-animal)'!$L$43)*'Calc (ex-housing, ex-storage)'!F217/100/VLOOKUP($C$215,'DB animal categories'!$C$81:$AC$90,27,FALSE)*AJ217+Q217+R217+S217-'Calc (ex-housing, ex-storage)'!AC217,IF(AS217=3,('Calc (ex-animal)'!$K$43+'Calc (ex-animal)'!$L$43)*'Calc (ex-housing, ex-storage)'!F217/100/VLOOKUP($C$215,'DB animal categories'!$C$81:$AC$90,27,FALSE)*AJ217+Q217+R217+S217-'Calc (ex-housing, ex-storage)'!AC217-AD217-AE217,IF(AI217=4,('Calc (ex-animal)'!$K$43+'Calc (ex-animal)'!$L$43)*'Calc (ex-housing, ex-storage)'!F217/100*VLOOKUP(D217,'DB technologies'!$N$109:$Y$120,12,FALSE)/100/VLOOKUP($C$215,'DB animal categories'!$C$81:$AC$90,27,FALSE)*AJ217+Q217+R217+S217-(VLOOKUP(D217,'DB technologies'!$N$109:$Y$120,12,FALSE)/100*AC217)-AD217-AE217,0))))))</f>
        <v/>
      </c>
      <c r="AY217" s="182" t="str">
        <f>IF(D217="","",IF(AS217=2,0,IF(AS217=1,'Calc (ex-animal)'!$N$43*'Calc (ex-housing, ex-storage)'!F217/100/VLOOKUP($C$215,'DB animal categories'!$C$81:$AC$90,27,FALSE)*AJ217+U217+V217+W217,IF(AS217=5,('Calc (ex-animal)'!$N$43+'Calc (ex-animal)'!$O$43)*'Calc (ex-housing, ex-storage)'!F217/100/VLOOKUP($C$215,'DB animal categories'!$C$81:$AC$90,27,FALSE)*AJ217+U217+V217+W217,IF(AS217=3,('Calc (ex-animal)'!$N$43+'Calc (ex-animal)'!$O$43)*'Calc (ex-housing, ex-storage)'!F217/100/VLOOKUP($C$215,'DB animal categories'!$C$81:$AC$90,27,FALSE)*AJ217+U217+V217+W217,IF(AS217=4,('Calc (ex-animal)'!$N$43+'Calc (ex-animal)'!$O$43)*'Calc (ex-housing, ex-storage)'!F217/100*VLOOKUP(D217,'DB technologies'!$N$109:$Y$120,12,FALSE)/100/VLOOKUP($C$215,'DB animal categories'!$C$81:$AC$90,27,FALSE)*AJ217+U217+V217+W217,0))))))</f>
        <v/>
      </c>
      <c r="AZ217" s="182" t="str">
        <f>IF(D217="","",IF(AS217=2,0,IF(AS217=1,'Calc (ex-animal)'!$Q$43*'Calc (ex-housing, ex-storage)'!F217/100/VLOOKUP($C$215,'DB animal categories'!$C$81:$AC$90,27,FALSE)*AJ217+Y217+Z217+AA217,IF(AS217=5,('Calc (ex-animal)'!$Q$43+'Calc (ex-animal)'!$R$43)*'Calc (ex-housing, ex-storage)'!F217/100/VLOOKUP($C$215,'DB animal categories'!$C$81:$AC$90,27,FALSE)*AJ217+Y217+Z217+AA217,IF(AS217=3,('Calc (ex-animal)'!$Q$43+'Calc (ex-animal)'!$R$43)*'Calc (ex-housing, ex-storage)'!F217/100/VLOOKUP($C$215,'DB animal categories'!$C$81:$AC$90,27,FALSE)*AJ217+Y217+Z217+AA217,IF(AS217=4,('Calc (ex-animal)'!$Q$43+'Calc (ex-animal)'!$R$43)*'Calc (ex-housing, ex-storage)'!F217/100*VLOOKUP(D217,'DB technologies'!$N$109:$Y$120,12,FALSE)/100/VLOOKUP($C$215,'DB animal categories'!$C$81:$AC$90,27,FALSE)*AJ217+Y217+Z217+AA217,0))))))</f>
        <v/>
      </c>
      <c r="BA217" s="506"/>
      <c r="BB217" s="506"/>
      <c r="BC217" s="506"/>
    </row>
    <row r="218" spans="1:55" x14ac:dyDescent="0.2">
      <c r="A218" s="684"/>
      <c r="B218" s="695"/>
      <c r="C218" s="251"/>
      <c r="D218" s="1357"/>
      <c r="E218" s="1358"/>
      <c r="F218" s="480" t="str">
        <f>IF('Calc (ex-animal)'!$F$38=1,"",IF($C$215=0,"",IF(D218="","",E218/'Calc (ex-animal)'!$E$43*100)))</f>
        <v/>
      </c>
      <c r="G218" s="485" t="str">
        <f>IF($C$215=0,"",IF('Calc (ex-animal)'!$F$38=1,"",IF(D218="","",SUM(H218:O218))))</f>
        <v/>
      </c>
      <c r="H218" s="423" t="str">
        <f>IF('Calc (ex-animal)'!$F$38=1,"",IF(D218="","",(((VLOOKUP($C$215,'Calc (ex-animal)'!$D$43:$Y$47,6,FALSE)-VLOOKUP($C$215,'Calc (ex-animal)'!$D$43:$Y$47,17,FALSE))*F218/100))*VLOOKUP($C$215,'Calc (ex-animal)'!$D$43:$Y$47,7,FALSE)/100*(1-VLOOKUP(D218,'DB technologies'!$N$109:$Y$120,9,FALSE)/100)))</f>
        <v/>
      </c>
      <c r="I218" s="423" t="str">
        <f>IF(D218="","",((VLOOKUP(D218,'DB technologies'!$N$109:$Y$120,2,FALSE)*VLOOKUP($C$215,'DB animal categories'!$C$81:$AC$90,27,FALSE)*E218/1000)/VLOOKUP($C$215,'DB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'!$S$6/100*(1-VLOOKUP(D218,'DB technologies'!$N$109:$Y$120,9,FALSE)/100)))</f>
        <v/>
      </c>
      <c r="J218" s="434" t="str">
        <f>IF(D218="","",((VLOOKUP(D218,'DB technologies'!$N$109:$Y$120,3,FALSE)*VLOOKUP($C$215,'DB animal categories'!$C$81:$AC$90,27,FALSE)*E218/1000)/VLOOKUP($C$215,'DB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'!$S$7/100*(1-VLOOKUP(D218,'DB technologies'!$N$109:$Y$120,9,FALSE)/100)))</f>
        <v/>
      </c>
      <c r="K218" s="434" t="str">
        <f>IF(D218="","",((VLOOKUP(D218,'DB technologies'!$N$109:$Y$120,4,FALSE)*E218*'DB additional information '!$S$8/100*(1-VLOOKUP(D218,'DB technologies'!$N$109:$Y$120,9,FALSE)/100))/VLOOKUP($C$215,'DB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L218" s="423" t="str">
        <f>IF('Calc (ex-animal)'!$F$38=1,"",IF(D218="","",(((VLOOKUP($C$215,'Calc (ex-animal)'!$D$43:$Y$47,6,FALSE)-VLOOKUP($C$215,'Calc (ex-animal)'!$D$43:$Y$47,17,FALSE))*F218/100))*(1-VLOOKUP($C$215,'Calc (ex-animal)'!$D$43:$Y$47,7,FALSE)/100)*(1-VLOOKUP(D218,'DB technologies'!$N$109:$V$120,8,FALSE)/100)))</f>
        <v/>
      </c>
      <c r="M218" s="434" t="str">
        <f>IF(D218="","",((VLOOKUP(D218,'DB technologies'!$N$109:$Y$120,2,FALSE)*VLOOKUP($C$215,'DB animal categories'!$C$81:$AC$90,27,FALSE)*E218/1000)/VLOOKUP($C$215,'DB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'!$S$6/100)*(1-VLOOKUP(D218,'DB technologies'!$N$109:$Y$120,9,FALSE)/100))</f>
        <v/>
      </c>
      <c r="N218" s="434" t="str">
        <f>IF(D218="","",((VLOOKUP(D218,'DB technologies'!$N$109:$Y$120,3,FALSE)*VLOOKUP($C$215,'DB animal categories'!$C$81:$AC$90,27,FALSE)*E218/1000)/VLOOKUP($C$215,'DB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'!$S$7/100)*(1-VLOOKUP(D218,'DB technologies'!$N$109:$Y$120,9,FALSE)/100))</f>
        <v/>
      </c>
      <c r="O218" s="423" t="str">
        <f>IF(D218="","",((VLOOKUP(D218,'DB technologies'!$N$109:$Y$120,4,FALSE)*E218*(1-'DB additional information '!$S$8/100)*(1-VLOOKUP(D218,'DB technologies'!$N$109:$Y$120,8,FALSE)/100))/VLOOKUP($C$215,'DB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P218" s="438" t="str">
        <f>IF(G218=0,0,IF(E218="","",IF(F218="","",IF($C$215=0,"",IF(D218="","",SUM(H218:K218)/G218*100)))))</f>
        <v/>
      </c>
      <c r="Q218" s="416" t="str">
        <f>IF(D218="","",(VLOOKUP(D218,'DB technologies'!$N$109:$Y$120,2,FALSE)*'DB additional information '!$S$6/100*'DB additional information '!$T$6*VLOOKUP($C$215,'DB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R218" s="416" t="str">
        <f>IF(D218="","",(VLOOKUP(D218,'DB technologies'!$N$109:$Y$120,3,FALSE)*'DB additional information '!$S$7/100*'DB additional information '!$T$7*VLOOKUP($C$215,'DB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S218" s="491" t="str">
        <f>IF(D218="","",(VLOOKUP(D218,'DB technologies'!$N$109:$Y$120,4,FALSE)*('DB additional information '!$S$8/100*'DB additional information '!$T$8*E218/1000/1000)))</f>
        <v/>
      </c>
      <c r="T218" s="264" t="str">
        <f>IF($C$215=0,"",IF('Calc (ex-animal)'!$F$38=1,"",IF(D218="","",((VLOOKUP($C$215,'Calc (ex-animal)'!$D$43:$Y$47,10,FALSE)-VLOOKUP($C$215,'Calc (ex-animal)'!$D$43:$Y$47,18,FALSE))*F218/100+Q218+R218+S218)-AC218-AD218-AE218)))</f>
        <v/>
      </c>
      <c r="U218" s="422" t="str">
        <f>IF(D218="","",(VLOOKUP(D218,'DB technologies'!$N$109:$Y$120,2,FALSE)*'DB additional information '!$S$6/100*'DB additional information '!$U$6*VLOOKUP($C$215,'DB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V218" s="418" t="str">
        <f>IF(D218="","",(VLOOKUP(D218,'DB technologies'!$N$109:$Y$120,3,FALSE)*'DB additional information '!$S$7/100*'DB additional information '!$U$7*VLOOKUP($C$215,'DB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W218" s="417" t="str">
        <f>IF(D218="","",(VLOOKUP(D218,'DB technologies'!$N$109:$Y$120,4,FALSE)*('DB additional information '!$S$8/100*'DB additional information '!$U$8*E218/1000/1000)))</f>
        <v/>
      </c>
      <c r="X218" s="261" t="str">
        <f>IF($C$215=0,"",IF('Calc (ex-animal)'!$F$38=1,"",IF(D218="","",((VLOOKUP($C$215,'Calc (ex-animal)'!$D$43:$Y$47,13,FALSE)-VLOOKUP($C$215,'Calc (ex-animal)'!$D$43:$Y$47,19,FALSE))*F218/100+U218+V218+W218))))</f>
        <v/>
      </c>
      <c r="Y218" s="418" t="str">
        <f>IF(D218="","",(VLOOKUP(D218,'DB technologies'!$N$109:$Y$120,2,FALSE)*'DB additional information '!$S$6/100*'DB additional information '!$V$6*VLOOKUP($C$215,'DB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Z218" s="418" t="str">
        <f>IF(D218="","",(VLOOKUP(D218,'DB technologies'!$N$109:$Y$120,3,FALSE)*'DB additional information '!$S$7/100*'DB additional information '!$V$7*VLOOKUP($C$215,'DB animal categories'!$C$81:$AC$90,27,FALSE)*E218/1000/1000)/VLOOKUP($C$215,'DB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AA218" s="418" t="str">
        <f>IF(D218="","",(VLOOKUP(D218,'DB technologies'!$N$109:$Y$120,4,FALSE)*('DB additional information '!$S$8/100*'DB additional information '!$V$8*E218/1000/1000)))</f>
        <v/>
      </c>
      <c r="AB218" s="261" t="str">
        <f>IF($C$215=0,"",IF('Calc (ex-animal)'!$F$38=1,"",IF(D218="","",((VLOOKUP($C$215,'Calc (ex-animal)'!$D$43:$Y$47,16,FALSE)-VLOOKUP($C$215,'Calc (ex-animal)'!$D$43:$Y$47,20,FALSE))*F218/100+Y218+Z218+AA218))))</f>
        <v/>
      </c>
      <c r="AC218" s="261" t="str">
        <f>IF($C$215=0,"",IF('Calc (ex-animal)'!$F$38=1,"",IF(D218="","",VLOOKUP($C$215,'Calc (ex-animal)'!$D$43:$Y$47,9,FALSE)/VLOOKUP($C$215,'DB animal categories'!$C$81:$AC$90,27,FALSE)*(VLOOKUP($C$215,'DB animal categories'!$C$81:$AC$90,27,FALSE)-VLOOKUP($C$215,'DB animal categories'!$C$81:$AC$90,25,FALSE)*VLOOKUP($C$215,'DB animal categories'!$C$81:$AC$90,26,FALSE)/24)*F218/100*VLOOKUP(D218,'DB technologies'!$N$109:$R$120,5,FALSE)/100)))</f>
        <v/>
      </c>
      <c r="AD218" s="261" t="str">
        <f>IF($C$215=0,"",IF('Calc (ex-animal)'!$F$38=1,"",IF(D218="","",VLOOKUP($C$215,'Calc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categories'!$C$81:$AC$90,26,FALSE)/24)*F218/100*VLOOKUP(D218,'DB technologies'!$N$109:$Y$120,6,FALSE)/100)))</f>
        <v/>
      </c>
      <c r="AE218" s="262" t="str">
        <f>IF($C$215=0,"",IF('Calc (ex-animal)'!$F$38=1,"",IF(D218="","",VLOOKUP($C$215,'Calc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categories'!$C$81:$AC$90,26,FALSE)/24)*F218/100*VLOOKUP(D218,'DB technologies'!$N$109:$Y$120,7,FALSE)/100)))</f>
        <v/>
      </c>
      <c r="AI218" s="181" t="str">
        <f>IF(D218="","",VLOOKUP(D218,'DB technologies'!$N$109:$Y$120,10,FALSE))</f>
        <v/>
      </c>
      <c r="AJ218" s="449" t="e">
        <f>VLOOKUP($C$215,'DB animal categories'!$C$81:$AN$90,27,FALSE)-VLOOKUP($C$215,'DB animal categories'!$C$81:$AN$90,26,FALSE)*VLOOKUP($C$215,'DB animal categories'!$C$81:$AN$90,25,FALSE)/24</f>
        <v>#N/A</v>
      </c>
      <c r="AK218" s="442" t="str">
        <f>IF(AI218="","",AL218+AM218)</f>
        <v/>
      </c>
      <c r="AL218" s="442" t="str">
        <f>IF(D218="","",IF(AI218=2,(('Calc (ex-animal)'!$G$43*'DB additional information '!$K$10/100*(1-VLOOKUP(D218,'DB technologies'!$N$109:$Y$120,9,FALSE)/100)*'Calc (ex-housing, ex-storage)'!F218/100+'Calc (ex-animal)'!$H$43*'DB additional information '!$L$10/100*(1-VLOOKUP(D218,'DB technologies'!$N$109:$Y$120,9,FALSE)/100)*'Calc (ex-housing, ex-storage)'!F218/100))/VLOOKUP($C$215,'DB animal categories'!$C$81:$AC$90,27,FALSE)*AJ218+I218+J218+K218,IF(AI218=1,('Calc (ex-animal)'!$H$43*'DB additional information '!$L$10/100*(1-VLOOKUP(D218,'DB technologies'!$N$109:$Y$120,9,FALSE)/100)*'Calc (ex-housing, ex-storage)'!F218/100)/VLOOKUP($C$215,'DB animal categories'!$C$81:$AC$90,27,FALSE)*AJ218,IF(AI218=4,('Calc (ex-animal)'!$G$43*'DB additional information '!$K$10/100+'Calc (ex-animal)'!$H$43*'DB additional information '!$L$10/100)*(1-VLOOKUP(D218,'DB technologies'!$N$109:$Y$120,9,FALSE)/100)*'Calc (ex-housing, ex-storage)'!F218/100*VLOOKUP(D218,'DB technologies'!$N$109:$Y$120,11,FALSE)/100/VLOOKUP($C$215,'DB animal categories'!$C$81:$AC$90,27,FALSE)*AJ218,0))))</f>
        <v/>
      </c>
      <c r="AM218" s="442" t="str">
        <f>IF(D218="","",IF(AI218=2,(('Calc (ex-animal)'!$G$43*(1-'DB additional information '!$K$10/100)*(1-VLOOKUP(D218,'DB technologies'!$N$109:$Y$120,8,FALSE)/100)*'Calc (ex-housing, ex-storage)'!F218/100+'Calc (ex-animal)'!$H$43*(1-'DB additional information '!$L$10/100)*(1-VLOOKUP(D218,'DB technologies'!$N$109:$Y$120,8,FALSE)/100)*'Calc (ex-housing, ex-storage)'!F218/100))/VLOOKUP($C$215,'DB animal categories'!$C$81:$AC$90,27,FALSE)*AJ218+M218+N218+O218,IF(AI218=1,('Calc (ex-animal)'!$H$43*(1-'DB additional information '!$L$10/100)*(1-VLOOKUP(D218,'DB technologies'!$N$109:$Y$120,8,FALSE)/100)*'Calc (ex-housing, ex-storage)'!F218/100)/VLOOKUP($C$215,'DB animal categories'!$C$81:$AC$90,27,FALSE)*AJ218,IF(AI218=4,('Calc (ex-animal)'!$G$43*(1-'DB additional information '!$K$10/100)+'Calc (ex-animal)'!$H$43*(1-'DB additional information '!$L$10/100))*(1-VLOOKUP(D218,'DB technologies'!$N$109:$Y$120,8,FALSE)/100)*'Calc (ex-housing, ex-storage)'!F218/100*VLOOKUP(D218,'DB technologies'!$N$109:$Y$120,11,FALSE)/100/VLOOKUP($C$215,'DB animal categories'!$C$81:$AC$90,27,FALSE)*AJ218,0))))</f>
        <v/>
      </c>
      <c r="AN218" s="442" t="str">
        <f>IF(AI218="","",IF(AL218=0,0,AL218/AK218*100))</f>
        <v/>
      </c>
      <c r="AO218" s="182" t="str">
        <f>IF(D218="","",IF(AI218=2,(('Calc (ex-animal)'!$L$43*'Calc (ex-housing, ex-storage)'!F218/100+'Calc (ex-animal)'!$K$43*'Calc (ex-housing, ex-storage)'!F218/100))/VLOOKUP($C$215,'DB animal categories'!$C$81:$AC$90,27,FALSE)*AJ218+Q218+R218+S218-AC218,IF(AI218=1,('Calc (ex-animal)'!$L$43*'Calc (ex-housing, ex-storage)'!F218/100)/VLOOKUP($C$215,'DB animal categories'!$C$81:$AC$90,27,FALSE)*AJ218-'Calc (ex-housing, ex-storage)'!AC218,IF(AI218=4,('Calc (ex-animal)'!$L$43+'Calc (ex-animal)'!$K$43)*'Calc (ex-housing, ex-storage)'!F218/100*VLOOKUP(D218,'DB technologies'!$N$109:$Y$120,11,FALSE)/100/VLOOKUP($C$215,'DB animal categories'!$C$81:$AC$90,27,FALSE)*AJ218-AC218*VLOOKUP(D218,'DB technologies'!$N$109:$Y$120,11,FALSE)/100,0))))</f>
        <v/>
      </c>
      <c r="AP218" s="182" t="str">
        <f>IF(D218="","",IF(AO218&lt;-0.01,0,IF(AI218=2,(('Calc (ex-animal)'!$L$43*'Calc (ex-housing, ex-storage)'!F218/100+'Calc (ex-animal)'!$K$43*'Calc (ex-housing, ex-storage)'!F218/100))/VLOOKUP($C$215,'DB animal categories'!$C$81:$AC$90,27,FALSE)*AJ218+Q218+R218+S218-AC218,IF(AI218=1,('Calc (ex-animal)'!$L$43*'Calc (ex-housing, ex-storage)'!F218/100)/VLOOKUP($C$215,'DB animal categories'!$C$81:$AC$90,27,FALSE)*AJ218-'Calc (ex-housing, ex-storage)'!AC218,IF(AI218=4,('Calc (ex-animal)'!$L$43+'Calc (ex-animal)'!$K$43)*'Calc (ex-housing, ex-storage)'!F218/100*VLOOKUP(D218,'DB technologies'!$N$109:$Y$120,11,FALSE)/100/VLOOKUP($C$215,'DB animal categories'!$C$81:$AC$90,27,FALSE)*AJ218-AC218*VLOOKUP(D218,'DB technologies'!$N$109:$Y$120,11,FALSE)/100,0)))))</f>
        <v/>
      </c>
      <c r="AQ218" s="182" t="str">
        <f>IF(D218="","",IF(AI218=2,('Calc (ex-animal)'!$O$43*'Calc (ex-housing, ex-storage)'!F218/100+'Calc (ex-animal)'!$N$43*'Calc (ex-housing, ex-storage)'!F218/100)/VLOOKUP($C$215,'DB animal categories'!$C$81:$AC$90,27,FALSE)*AJ218+U218+V218+W218,IF(AI218=1,'Calc (ex-animal)'!$O$43*'Calc (ex-housing, ex-storage)'!F218/100/VLOOKUP($C$215,'DB animal categories'!$C$81:$AC$90,27,FALSE)*AJ218,IF(AI218=4,('Calc (ex-animal)'!$O$43+'Calc (ex-animal)'!$N$43)*'Calc (ex-housing, ex-storage)'!F218/100*VLOOKUP(D218,'DB technologies'!$N$109:$Y$120,11,FALSE)/100/VLOOKUP($C$215,'DB animal categories'!$C$81:$AC$90,27,FALSE)*AJ218,0))))</f>
        <v/>
      </c>
      <c r="AR218" s="182" t="str">
        <f>IF(D218="","",IF(AI218=2,('Calc (ex-animal)'!$R$43*'Calc (ex-housing, ex-storage)'!F218/100+'Calc (ex-animal)'!$Q$43*'Calc (ex-housing, ex-storage)'!F218/100)/VLOOKUP($C$215,'DB animal categories'!$C$81:$AC$90,27,FALSE)*AJ218+Y218+Z218+AA218,IF(AI218=1,'Calc (ex-animal)'!$R$43*'Calc (ex-housing, ex-storage)'!F218/100/VLOOKUP($C$215,'DB animal categories'!$C$81:$AC$90,27,FALSE)*AJ218,IF(AI218=4,('Calc (ex-animal)'!$R$43+'Calc (ex-animal)'!$Q$43)*'Calc (ex-housing, ex-storage)'!F218/100*VLOOKUP(D218,'DB technologies'!$N$109:$Y$120,11,FALSE)/100/VLOOKUP($C$215,'DB animal categories'!$C$81:$AC$90,27,FALSE)*AJ218,0))))</f>
        <v/>
      </c>
      <c r="AS218" s="181" t="str">
        <f>IF(D218="","",VLOOKUP(D218,'DB technologies'!$N$109:$Y$120,10,FALSE))</f>
        <v/>
      </c>
      <c r="AT218" s="442" t="str">
        <f>IF(AS218="","",AU218+AV218)</f>
        <v/>
      </c>
      <c r="AU218" s="442" t="str">
        <f>IF(D218="","",IF(AS218=2,0,IF(AS218=1,'Calc (ex-animal)'!$G$43*'DB additional information '!$K$10/100*(1-VLOOKUP(D218,'DB technologies'!$N$109:$Y$120,8,FALSE)/100)*'Calc (ex-housing, ex-storage)'!F218/100/VLOOKUP($C$215,'DB animal categories'!$C$81:$AC$90,27,FALSE)*AJ218+I218+J218+K218,IF(AS218=5,(('Calc (ex-animal)'!$G$43*'DB additional information '!$K$10/100+'Calc (ex-animal)'!$H$43*'DB additional information '!$L$10/100))*(1-VLOOKUP(D218,'DB technologies'!$N$109:$Y$120,9,FALSE)/100)*'Calc (ex-housing, ex-storage)'!F218/100/VLOOKUP($C$215,'DB animal categories'!$C$81:$AC$90,27,FALSE)*AJ218+I218+J218+K218,IF(AS218=3,('Calc (ex-animal)'!$G$43*'DB additional information '!$K$10/100+'Calc (ex-animal)'!$H$43*'DB additional information '!$L$10/100)*(1-VLOOKUP(D218,'DB technologies'!$N$109:$Y$120,9,FALSE)/100)*'Calc (ex-housing, ex-storage)'!F218/100/VLOOKUP($C$215,'DB animal categories'!$C$81:$AC$90,27,FALSE)*AJ218+I218+J218+K218,IF(AS218=4,('Calc (ex-animal)'!$G$43*'DB additional information '!$K$10/100+'Calc (ex-animal)'!$H$43*'DB additional information '!$L$10/100)*(1-VLOOKUP(D218,'DB technologies'!$N$109:$Y$120,9,FALSE)/100)*'Calc (ex-housing, ex-storage)'!F218/100*VLOOKUP(D218,'DB technologies'!$N$109:$Y$120,12,FALSE)/100/VLOOKUP($C$215,'DB animal categories'!$C$81:$AC$90,27,FALSE)*AJ218+I218+J218+K218,0))))))</f>
        <v/>
      </c>
      <c r="AV218" s="442" t="str">
        <f>IF(D218="","",IF(AS218=2,0,IF(AS218=1,'Calc (ex-animal)'!$G$43*(1-'DB additional information '!$K$10/100)*(1-VLOOKUP(D218,'DB technologies'!$N$109:$Y$120,8,FALSE)/100)*'Calc (ex-housing, ex-storage)'!F218/100/VLOOKUP($C$215,'DB animal categories'!$C$81:$AC$90,27,FALSE)*AJ218+M218+N218+O218,IF(AS218=5,('Calc (ex-animal)'!$G$43*(1-'DB additional information '!$K$10/100)+'Calc (ex-animal)'!$H$43*(1-'DB additional information '!$L$10/100))*(1-VLOOKUP(D218,'DB technologies'!$N$109:$Y$120,8,FALSE)/100)*'Calc (ex-housing, ex-storage)'!F218/100/VLOOKUP($C$215,'DB animal categories'!$C$81:$AC$90,27,FALSE)*AJ218+M218+N218+O218,IF(AS218=3,('Calc (ex-animal)'!$G$43*(1-'DB additional information '!$K$10/100)+'Calc (ex-animal)'!$H$43*(1-'DB additional information '!$L$10/100))*(1-VLOOKUP(D218,'DB technologies'!$N$109:$Y$120,8,FALSE)/100)*'Calc (ex-housing, ex-storage)'!F218/100/VLOOKUP($C$215,'DB animal categories'!$C$81:$AC$90,27,FALSE)*AJ218+M218+N218+O218,IF(AS218=4,('Calc (ex-animal)'!$G$43*(1-'DB additional information '!$K$10/100)+'Calc (ex-animal)'!$H$43*(1-'DB additional information '!$L$10/100))*(1-VLOOKUP(D218,'DB technologies'!$N$109:$Y$120,8,FALSE)/100)*'Calc (ex-housing, ex-storage)'!F218/100*VLOOKUP(D218,'DB technologies'!$N$109:$Y$120,12,FALSE)/100/VLOOKUP($C$215,'DB animal categories'!$C$81:$AC$90,27,FALSE)*AJ218+M218+N218+O218,0))))))</f>
        <v/>
      </c>
      <c r="AW218" s="442" t="str">
        <f>IF(AS218="","",IF(AU218=0,0,AU218/AT218*100))</f>
        <v/>
      </c>
      <c r="AX218" s="182" t="str">
        <f>IF(D218="","",IF(AS218=2,0,IF(AS218=1,'Calc (ex-animal)'!$K$43*'Calc (ex-housing, ex-storage)'!F218/100/VLOOKUP($C$215,'DB animal categories'!$C$81:$AC$90,27,FALSE)*AJ218+Q218+R218+S218,IF(AS218=5,('Calc (ex-animal)'!$K$43+'Calc (ex-animal)'!$L$43)*'Calc (ex-housing, ex-storage)'!F218/100/VLOOKUP($C$215,'DB animal categories'!$C$81:$AC$90,27,FALSE)*AJ218+Q218+R218+S218-'Calc (ex-housing, ex-storage)'!AC218,IF(AS218=3,('Calc (ex-animal)'!$K$43+'Calc (ex-animal)'!$L$43)*'Calc (ex-housing, ex-storage)'!F218/100/VLOOKUP($C$215,'DB animal categories'!$C$81:$AC$90,27,FALSE)*AJ218+Q218+R218+S218-'Calc (ex-housing, ex-storage)'!AC218-AD218-AE218,IF(AI218=4,('Calc (ex-animal)'!$K$43+'Calc (ex-animal)'!$L$43)*'Calc (ex-housing, ex-storage)'!F218/100*VLOOKUP(D218,'DB technologies'!$N$109:$Y$120,12,FALSE)/100/VLOOKUP($C$215,'DB animal categories'!$C$81:$AC$90,27,FALSE)*AJ218+Q218+R218+S218-(VLOOKUP(D218,'DB technologies'!$N$109:$Y$120,12,FALSE)/100*AC218)-AD218-AE218,0))))))</f>
        <v/>
      </c>
      <c r="AY218" s="182" t="str">
        <f>IF(D218="","",IF(AS218=2,0,IF(AS218=1,'Calc (ex-animal)'!$N$43*'Calc (ex-housing, ex-storage)'!F218/100/VLOOKUP($C$215,'DB animal categories'!$C$81:$AC$90,27,FALSE)*AJ218+U218+V218+W218,IF(AS218=5,('Calc (ex-animal)'!$N$43+'Calc (ex-animal)'!$O$43)*'Calc (ex-housing, ex-storage)'!F218/100/VLOOKUP($C$215,'DB animal categories'!$C$81:$AC$90,27,FALSE)*AJ218+U218+V218+W218,IF(AS218=3,('Calc (ex-animal)'!$N$43+'Calc (ex-animal)'!$O$43)*'Calc (ex-housing, ex-storage)'!F218/100/VLOOKUP($C$215,'DB animal categories'!$C$81:$AC$90,27,FALSE)*AJ218+U218+V218+W218,IF(AS218=4,('Calc (ex-animal)'!$N$43+'Calc (ex-animal)'!$O$43)*'Calc (ex-housing, ex-storage)'!F218/100*VLOOKUP(D218,'DB technologies'!$N$109:$Y$120,12,FALSE)/100/VLOOKUP($C$215,'DB animal categories'!$C$81:$AC$90,27,FALSE)*AJ218+U218+V218+W218,0))))))</f>
        <v/>
      </c>
      <c r="AZ218" s="182" t="str">
        <f>IF(D218="","",IF(AS218=2,0,IF(AS218=1,'Calc (ex-animal)'!$Q$43*'Calc (ex-housing, ex-storage)'!F218/100/VLOOKUP($C$215,'DB animal categories'!$C$81:$AC$90,27,FALSE)*AJ218+Y218+Z218+AA218,IF(AS218=5,('Calc (ex-animal)'!$Q$43+'Calc (ex-animal)'!$R$43)*'Calc (ex-housing, ex-storage)'!F218/100/VLOOKUP($C$215,'DB animal categories'!$C$81:$AC$90,27,FALSE)*AJ218+Y218+Z218+AA218,IF(AS218=3,('Calc (ex-animal)'!$Q$43+'Calc (ex-animal)'!$R$43)*'Calc (ex-housing, ex-storage)'!F218/100/VLOOKUP($C$215,'DB animal categories'!$C$81:$AC$90,27,FALSE)*AJ218+Y218+Z218+AA218,IF(AS218=4,('Calc (ex-animal)'!$Q$43+'Calc (ex-animal)'!$R$43)*'Calc (ex-housing, ex-storage)'!F218/100*VLOOKUP(D218,'DB technologies'!$N$109:$Y$120,12,FALSE)/100/VLOOKUP($C$215,'DB animal categories'!$C$81:$AC$90,27,FALSE)*AJ218+Y218+Z218+AA218,0))))))</f>
        <v/>
      </c>
      <c r="BA218" s="506"/>
      <c r="BB218" s="506"/>
      <c r="BC218" s="506"/>
    </row>
    <row r="219" spans="1:55" ht="12" thickBot="1" x14ac:dyDescent="0.25">
      <c r="A219" s="684"/>
      <c r="B219" s="695"/>
      <c r="C219" s="251"/>
      <c r="D219" s="1359"/>
      <c r="E219" s="1360"/>
      <c r="F219" s="481" t="str">
        <f>IF('Calc (ex-animal)'!$F$38=1,"",IF($C$215=0,"",IF(D219="","",E219/'Calc (ex-animal)'!$E$43*100)))</f>
        <v/>
      </c>
      <c r="G219" s="483" t="str">
        <f>IF($C$215=0,"",IF('Calc (ex-animal)'!$F$38=1,"",IF(D219="","",SUM(H219:O219))))</f>
        <v/>
      </c>
      <c r="H219" s="445" t="str">
        <f>IF('Calc (ex-animal)'!$F$38=1,"",IF(D219="","",(((VLOOKUP($C$215,'Calc (ex-animal)'!$D$43:$Y$47,6,FALSE)-VLOOKUP($C$215,'Calc (ex-animal)'!$D$43:$Y$47,17,FALSE))*F219/100))*VLOOKUP($C$215,'Calc (ex-animal)'!$D$43:$Y$47,7,FALSE)/100*(1-VLOOKUP(D219,'DB technologies'!$N$109:$Y$120,9,FALSE)/100)))</f>
        <v/>
      </c>
      <c r="I219" s="445" t="str">
        <f>IF(D219="","",((VLOOKUP(D219,'DB technologies'!$N$109:$Y$120,2,FALSE)*VLOOKUP($C$215,'DB animal categories'!$C$81:$AC$90,27,FALSE)*E219/1000)/VLOOKUP($C$215,'DB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'!$S$6/100*(1-VLOOKUP(D219,'DB technologies'!$N$109:$Y$120,9,FALSE)/100)))</f>
        <v/>
      </c>
      <c r="J219" s="446" t="str">
        <f>IF(D219="","",((VLOOKUP(D219,'DB technologies'!$N$109:$Y$120,3,FALSE)*VLOOKUP($C$215,'DB animal categories'!$C$81:$AC$90,27,FALSE)*E219/1000)/VLOOKUP($C$215,'DB animal categories'!$C$81:$AC$90,27,FALSE)*(VLOOKUP($C$215,'DB animal categories'!$C$81:$AC$90,27,FALSE)-(VLOOKUP($C$215,'DB animal categories'!$C$81:$AC$90,25,FALSE)*VLOOKUP($C$215,'DB animal categories'!$C$81:$AC$90,26,FALSE)/24))*'DB additional information '!$S$7/100*(1-VLOOKUP(D219,'DB technologies'!$N$109:$Y$120,9,FALSE)/100)))</f>
        <v/>
      </c>
      <c r="K219" s="446" t="str">
        <f>IF(D219="","",((VLOOKUP(D219,'DB technologies'!$N$109:$Y$120,4,FALSE)*E219*'DB additional information '!$S$8/100*(1-VLOOKUP(D219,'DB technologies'!$N$109:$Y$120,9,FALSE)/100))/VLOOKUP($C$215,'DB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L219" s="445" t="str">
        <f>IF('Calc (ex-animal)'!$F$38=1,"",IF(D219="","",(((VLOOKUP($C$215,'Calc (ex-animal)'!$D$43:$Y$47,6,FALSE)-VLOOKUP($C$215,'Calc (ex-animal)'!$D$43:$Y$47,17,FALSE))*F219/100))*(1-VLOOKUP($C$215,'Calc (ex-animal)'!$D$43:$Y$47,7,FALSE)/100)*(1-VLOOKUP(D219,'DB technologies'!$N$109:$V$120,8,FALSE)/100)))</f>
        <v/>
      </c>
      <c r="M219" s="446" t="str">
        <f>IF(D219="","",((VLOOKUP(D219,'DB technologies'!$N$109:$Y$120,2,FALSE)*VLOOKUP($C$215,'DB animal categories'!$C$81:$AC$90,27,FALSE)*E219/1000)/VLOOKUP($C$215,'DB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'!$S$6/100)*(1-VLOOKUP(D219,'DB technologies'!$N$109:$Y$120,9,FALSE)/100))</f>
        <v/>
      </c>
      <c r="N219" s="446" t="str">
        <f>IF(D219="","",((VLOOKUP(D219,'DB technologies'!$N$109:$Y$120,3,FALSE)*VLOOKUP($C$215,'DB animal categories'!$C$81:$AC$90,27,FALSE)*E219/1000)/VLOOKUP($C$215,'DB animal categories'!$C$81:$AC$90,27,FALSE)*(VLOOKUP($C$215,'DB animal categories'!$C$81:$AC$90,27,FALSE)-VLOOKUP($C$215,'DB animal categories'!$C$81:$AC$90,25,FALSE)*VLOOKUP($C$215,'DB animal categories'!$C$81:$AC$90,26,FALSE)/24))*(1-'DB additional information '!$S$7/100)*(1-VLOOKUP(D219,'DB technologies'!$N$109:$Y$120,9,FALSE)/100))</f>
        <v/>
      </c>
      <c r="O219" s="445" t="str">
        <f>IF(D219="","",((VLOOKUP(D219,'DB technologies'!$N$109:$Y$120,4,FALSE)*E219*(1-'DB additional information '!$S$8/100)*(1-VLOOKUP(D219,'DB technologies'!$N$109:$Y$120,8,FALSE)/100))/VLOOKUP($C$215,'DB animal categories'!$C$81:$AC$90,27,FALSE)*(VLOOKUP($C$215,'DB animal categories'!$C$81:$AC$90,27,FALSE)-VLOOKUP($C$215,'DB animal categories'!$C$81:$AC$90,25,FALSE)*VLOOKUP($C$215,'DB animal categories'!$C$81:$AC$90,26,FALSE)/24)))</f>
        <v/>
      </c>
      <c r="P219" s="444" t="str">
        <f>IF(G219=0,0,IF(E219="","",IF(F219="","",IF($C$215=0,"",IF(D219="","",SUM(H219:K219)/G219*100)))))</f>
        <v/>
      </c>
      <c r="Q219" s="476" t="str">
        <f>IF(D219="","",(VLOOKUP(D219,'DB technologies'!$N$109:$Y$120,2,FALSE)*'DB additional information '!$S$6/100*'DB additional information '!$T$6*VLOOKUP($C$215,'DB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R219" s="476" t="str">
        <f>IF(D219="","",(VLOOKUP(D219,'DB technologies'!$N$109:$Y$120,3,FALSE)*'DB additional information '!$S$7/100*'DB additional information '!$T$7*VLOOKUP($C$215,'DB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S219" s="494" t="str">
        <f>IF(D219="","",(VLOOKUP(D219,'DB technologies'!$N$109:$Y$120,4,FALSE)*('DB additional information '!$S$8/100*'DB additional information '!$T$8*E219/1000/1000)))</f>
        <v/>
      </c>
      <c r="T219" s="266" t="str">
        <f>IF($C$215=0,"",IF('Calc (ex-animal)'!$F$38=1,"",IF(D219="","",((VLOOKUP($C$215,'Calc (ex-animal)'!$D$43:$Y$47,10,FALSE)-VLOOKUP($C$215,'Calc (ex-animal)'!$D$43:$Y$47,18,FALSE))*F219/100+Q219+R219+S219)-AC219-AD219-AE219)))</f>
        <v/>
      </c>
      <c r="U219" s="477" t="str">
        <f>IF(D219="","",(VLOOKUP(D219,'DB technologies'!$N$109:$Y$120,2,FALSE)*'DB additional information '!$S$6/100*'DB additional information '!$U$6*VLOOKUP($C$215,'DB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V219" s="433" t="str">
        <f>IF(D219="","",(VLOOKUP(D219,'DB technologies'!$N$109:$Y$120,3,FALSE)*'DB additional information '!$S$7/100*'DB additional information '!$U$7*VLOOKUP($C$215,'DB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W219" s="475" t="str">
        <f>IF(D219="","",(VLOOKUP(D219,'DB technologies'!$N$109:$Y$120,4,FALSE)*('DB additional information '!$S$8/100*'DB additional information '!$U$8*E219/1000/1000)))</f>
        <v/>
      </c>
      <c r="X219" s="267" t="str">
        <f>IF($C$215=0,"",IF('Calc (ex-animal)'!$F$38=1,"",IF(D219="","",((VLOOKUP($C$215,'Calc (ex-animal)'!$D$43:$Y$47,13,FALSE)-VLOOKUP($C$215,'Calc (ex-animal)'!$D$43:$Y$47,19,FALSE))*F219/100+U219+V219+W219))))</f>
        <v/>
      </c>
      <c r="Y219" s="433" t="str">
        <f>IF(D219="","",(VLOOKUP(D219,'DB technologies'!$N$109:$Y$120,2,FALSE)*'DB additional information '!$S$6/100*'DB additional information '!$V$6*VLOOKUP($C$215,'DB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Z219" s="433" t="str">
        <f>IF(D219="","",(VLOOKUP(D219,'DB technologies'!$N$109:$Y$120,3,FALSE)*'DB additional information '!$S$7/100*'DB additional information '!$V$7*VLOOKUP($C$215,'DB animal categories'!$C$81:$AC$90,27,FALSE)*E219/1000/1000)/VLOOKUP($C$215,'DB animal categories'!$C$81:$AC$90,27,FALSE)*(VLOOKUP($C$215,'DB animal categories'!$C$81:$AC$90,27,FALSE)-VLOOKUP($C$215,'DB animal categories'!$C$81:$AC$90,25,FALSE)*VLOOKUP($C$215,'DB animal categories'!$C$81:$AC$90,26,FALSE)/24))</f>
        <v/>
      </c>
      <c r="AA219" s="433" t="str">
        <f>IF(D219="","",(VLOOKUP(D219,'DB technologies'!$N$109:$Y$120,4,FALSE)*('DB additional information '!$S$8/100*'DB additional information '!$V$8*E219/1000/1000)))</f>
        <v/>
      </c>
      <c r="AB219" s="267" t="str">
        <f>IF($C$215=0,"",IF('Calc (ex-animal)'!$F$38=1,"",IF(D219="","",((VLOOKUP($C$215,'Calc (ex-animal)'!$D$43:$Y$47,16,FALSE)-VLOOKUP($C$215,'Calc (ex-animal)'!$D$43:$Y$47,20,FALSE))*F219/100+Y219+Z219+AA219))))</f>
        <v/>
      </c>
      <c r="AC219" s="267" t="str">
        <f>IF($C$215=0,"",IF('Calc (ex-animal)'!$F$38=1,"",IF(D219="","",VLOOKUP($C$215,'Calc (ex-animal)'!$D$43:$Y$47,9,FALSE)/VLOOKUP($C$215,'DB animal categories'!$C$81:$AC$90,27,FALSE)*(VLOOKUP($C$215,'DB animal categories'!$C$81:$AC$90,27,FALSE)-VLOOKUP($C$215,'DB animal categories'!$C$81:$AC$90,25,FALSE)*VLOOKUP($C$215,'DB animal categories'!$C$81:$AC$90,26,FALSE)/24)*F219/100*VLOOKUP(D219,'DB technologies'!$N$109:$R$120,5,FALSE)/100)))</f>
        <v/>
      </c>
      <c r="AD219" s="267" t="str">
        <f>IF($C$215=0,"",IF('Calc (ex-animal)'!$F$38=1,"",IF(D219="","",VLOOKUP($C$215,'Calc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categories'!$C$81:$AC$90,26,FALSE)/24)*F219/100*VLOOKUP(D219,'DB technologies'!$N$109:$Y$120,6,FALSE)/100)))</f>
        <v/>
      </c>
      <c r="AE219" s="268" t="str">
        <f>IF($C$215=0,"",IF('Calc (ex-animal)'!$F$38=1,"",IF(D219="","",VLOOKUP($C$215,'Calc (ex-animal)'!$D$43:$Y$47,10,FALSE)/VLOOKUP($C$215,'DB animal categories'!$C$81:$AC$90,27,FALSE)*(VLOOKUP($C$215,'DB animal categories'!$C$81:$AC$90,27,FALSE)-VLOOKUP($C$215,'DB animal categories'!$C$81:$AC$90,25,FALSE)*VLOOKUP($C$215,'DB animal categories'!$C$81:$AC$90,26,FALSE)/24)*F219/100*VLOOKUP(D219,'DB technologies'!$N$109:$Y$120,7,FALSE)/100)))</f>
        <v/>
      </c>
      <c r="AI219" s="183" t="str">
        <f>IF(D219="","",VLOOKUP(D219,'DB technologies'!$N$109:$Y$120,10,FALSE))</f>
        <v/>
      </c>
      <c r="AJ219" s="451" t="e">
        <f>VLOOKUP($C$215,'DB animal categories'!$C$81:$AN$90,27,FALSE)-VLOOKUP($C$215,'DB animal categories'!$C$81:$AN$90,26,FALSE)*VLOOKUP($C$215,'DB animal categories'!$C$81:$AN$90,25,FALSE)/24</f>
        <v>#N/A</v>
      </c>
      <c r="AK219" s="452" t="str">
        <f>IF(AI219="","",AL219+AM219)</f>
        <v/>
      </c>
      <c r="AL219" s="452" t="str">
        <f>IF(D219="","",IF(AI219=2,(('Calc (ex-animal)'!$G$43*'DB additional information '!$K$10/100*(1-VLOOKUP(D219,'DB technologies'!$N$109:$Y$120,9,FALSE)/100)*'Calc (ex-housing, ex-storage)'!F219/100+'Calc (ex-animal)'!$H$43*'DB additional information '!$L$10/100*(1-VLOOKUP(D219,'DB technologies'!$N$109:$Y$120,9,FALSE)/100)*'Calc (ex-housing, ex-storage)'!F219/100))/VLOOKUP($C$215,'DB animal categories'!$C$81:$AC$90,27,FALSE)*AJ219+I219+J219+K219,IF(AI219=1,('Calc (ex-animal)'!$H$43*'DB additional information '!$L$10/100*(1-VLOOKUP(D219,'DB technologies'!$N$109:$Y$120,9,FALSE)/100)*'Calc (ex-housing, ex-storage)'!F219/100)/VLOOKUP($C$215,'DB animal categories'!$C$81:$AC$90,27,FALSE)*AJ219,IF(AI219=4,('Calc (ex-animal)'!$G$43*'DB additional information '!$K$10/100+'Calc (ex-animal)'!$H$43*'DB additional information '!$L$10/100)*(1-VLOOKUP(D219,'DB technologies'!$N$109:$Y$120,9,FALSE)/100)*'Calc (ex-housing, ex-storage)'!F219/100*VLOOKUP(D219,'DB technologies'!$N$109:$Y$120,11,FALSE)/100/VLOOKUP($C$215,'DB animal categories'!$C$81:$AC$90,27,FALSE)*AJ219,0))))</f>
        <v/>
      </c>
      <c r="AM219" s="452" t="str">
        <f>IF(D219="","",IF(AI219=2,(('Calc (ex-animal)'!$G$43*(1-'DB additional information '!$K$10/100)*(1-VLOOKUP(D219,'DB technologies'!$N$109:$Y$120,8,FALSE)/100)*'Calc (ex-housing, ex-storage)'!F219/100+'Calc (ex-animal)'!$H$43*(1-'DB additional information '!$L$10/100)*(1-VLOOKUP(D219,'DB technologies'!$N$109:$Y$120,8,FALSE)/100)*'Calc (ex-housing, ex-storage)'!F219/100))/VLOOKUP($C$215,'DB animal categories'!$C$81:$AC$90,27,FALSE)*AJ219+M219+N219+O219,IF(AI219=1,('Calc (ex-animal)'!$H$43*(1-'DB additional information '!$L$10/100)*(1-VLOOKUP(D219,'DB technologies'!$N$109:$Y$120,8,FALSE)/100)*'Calc (ex-housing, ex-storage)'!F219/100)/VLOOKUP($C$215,'DB animal categories'!$C$81:$AC$90,27,FALSE)*AJ219,IF(AI219=4,('Calc (ex-animal)'!$G$43*(1-'DB additional information '!$K$10/100)+'Calc (ex-animal)'!$H$43*(1-'DB additional information '!$L$10/100))*(1-VLOOKUP(D219,'DB technologies'!$N$109:$Y$120,8,FALSE)/100)*'Calc (ex-housing, ex-storage)'!F219/100*VLOOKUP(D219,'DB technologies'!$N$109:$Y$120,11,FALSE)/100/VLOOKUP($C$215,'DB animal categories'!$C$81:$AC$90,27,FALSE)*AJ219,0))))</f>
        <v/>
      </c>
      <c r="AN219" s="452" t="str">
        <f>IF(AI219="","",IF(AL219=0,0,AL219/AK219*100))</f>
        <v/>
      </c>
      <c r="AO219" s="184" t="str">
        <f>IF(D219="","",IF(AI219=2,(('Calc (ex-animal)'!$L$43*'Calc (ex-housing, ex-storage)'!F219/100+'Calc (ex-animal)'!$K$43*'Calc (ex-housing, ex-storage)'!F219/100))/VLOOKUP($C$215,'DB animal categories'!$C$81:$AC$90,27,FALSE)*AJ219+Q219+R219+S219-AC219,IF(AI219=1,('Calc (ex-animal)'!$L$43*'Calc (ex-housing, ex-storage)'!F219/100)/VLOOKUP($C$215,'DB animal categories'!$C$81:$AC$90,27,FALSE)*AJ219-'Calc (ex-housing, ex-storage)'!AC219,IF(AI219=4,('Calc (ex-animal)'!$L$43+'Calc (ex-animal)'!$K$43)*'Calc (ex-housing, ex-storage)'!F219/100*VLOOKUP(D219,'DB technologies'!$N$109:$Y$120,11,FALSE)/100/VLOOKUP($C$215,'DB animal categories'!$C$81:$AC$90,27,FALSE)*AJ219-AC219*VLOOKUP(D219,'DB technologies'!$N$109:$Y$120,11,FALSE)/100,0))))</f>
        <v/>
      </c>
      <c r="AP219" s="184" t="str">
        <f>IF(D219="","",IF(AO219&lt;-0.01,0,IF(AI219=2,(('Calc (ex-animal)'!$L$43*'Calc (ex-housing, ex-storage)'!F219/100+'Calc (ex-animal)'!$K$43*'Calc (ex-housing, ex-storage)'!F219/100))/VLOOKUP($C$215,'DB animal categories'!$C$81:$AC$90,27,FALSE)*AJ219+Q219+R219+S219-AC219,IF(AI219=1,('Calc (ex-animal)'!$L$43*'Calc (ex-housing, ex-storage)'!F219/100)/VLOOKUP($C$215,'DB animal categories'!$C$81:$AC$90,27,FALSE)*AJ219-'Calc (ex-housing, ex-storage)'!AC219,IF(AI219=4,('Calc (ex-animal)'!$L$43+'Calc (ex-animal)'!$K$43)*'Calc (ex-housing, ex-storage)'!F219/100*VLOOKUP(D219,'DB technologies'!$N$109:$Y$120,11,FALSE)/100/VLOOKUP($C$215,'DB animal categories'!$C$81:$AC$90,27,FALSE)*AJ219-AC219*VLOOKUP(D219,'DB technologies'!$N$109:$Y$120,11,FALSE)/100,0)))))</f>
        <v/>
      </c>
      <c r="AQ219" s="184" t="str">
        <f>IF(D219="","",IF(AI219=2,('Calc (ex-animal)'!$O$43*'Calc (ex-housing, ex-storage)'!F219/100+'Calc (ex-animal)'!$N$43*'Calc (ex-housing, ex-storage)'!F219/100)/VLOOKUP($C$215,'DB animal categories'!$C$81:$AC$90,27,FALSE)*AJ219+U219+V219+W219,IF(AI219=1,'Calc (ex-animal)'!$O$43*'Calc (ex-housing, ex-storage)'!F219/100/VLOOKUP($C$215,'DB animal categories'!$C$81:$AC$90,27,FALSE)*AJ219,IF(AI219=4,('Calc (ex-animal)'!$O$43+'Calc (ex-animal)'!$N$43)*'Calc (ex-housing, ex-storage)'!F219/100*VLOOKUP(D219,'DB technologies'!$N$109:$Y$120,11,FALSE)/100/VLOOKUP($C$215,'DB animal categories'!$C$81:$AC$90,27,FALSE)*AJ219,0))))</f>
        <v/>
      </c>
      <c r="AR219" s="184" t="str">
        <f>IF(D219="","",IF(AI219=2,('Calc (ex-animal)'!$R$43*'Calc (ex-housing, ex-storage)'!F219/100+'Calc (ex-animal)'!$Q$43*'Calc (ex-housing, ex-storage)'!F219/100)/VLOOKUP($C$215,'DB animal categories'!$C$81:$AC$90,27,FALSE)*AJ219+Y219+Z219+AA219,IF(AI219=1,'Calc (ex-animal)'!$R$43*'Calc (ex-housing, ex-storage)'!F219/100/VLOOKUP($C$215,'DB animal categories'!$C$81:$AC$90,27,FALSE)*AJ219,IF(AI219=4,('Calc (ex-animal)'!$R$43+'Calc (ex-animal)'!$Q$43)*'Calc (ex-housing, ex-storage)'!F219/100*VLOOKUP(D219,'DB technologies'!$N$109:$Y$120,11,FALSE)/100/VLOOKUP($C$215,'DB animal categories'!$C$81:$AC$90,27,FALSE)*AJ219,0))))</f>
        <v/>
      </c>
      <c r="AS219" s="183" t="str">
        <f>IF(D219="","",VLOOKUP(D219,'DB technologies'!$N$109:$Y$120,10,FALSE))</f>
        <v/>
      </c>
      <c r="AT219" s="452" t="str">
        <f>IF(AS219="","",AU219+AV219)</f>
        <v/>
      </c>
      <c r="AU219" s="452" t="str">
        <f>IF(D219="","",IF(AS219=2,0,IF(AS219=1,'Calc (ex-animal)'!$G$43*'DB additional information '!$K$10/100*(1-VLOOKUP(D219,'DB technologies'!$N$109:$Y$120,8,FALSE)/100)*'Calc (ex-housing, ex-storage)'!F219/100/VLOOKUP($C$215,'DB animal categories'!$C$81:$AC$90,27,FALSE)*AJ219+I219+J219+K219,IF(AS219=5,(('Calc (ex-animal)'!$G$43*'DB additional information '!$K$10/100+'Calc (ex-animal)'!$H$43*'DB additional information '!$L$10/100))*(1-VLOOKUP(D219,'DB technologies'!$N$109:$Y$120,9,FALSE)/100)*'Calc (ex-housing, ex-storage)'!F219/100/VLOOKUP($C$215,'DB animal categories'!$C$81:$AC$90,27,FALSE)*AJ219+I219+J219+K219,IF(AS219=3,('Calc (ex-animal)'!$G$43*'DB additional information '!$K$10/100+'Calc (ex-animal)'!$H$43*'DB additional information '!$L$10/100)*(1-VLOOKUP(D219,'DB technologies'!$N$109:$Y$120,9,FALSE)/100)*'Calc (ex-housing, ex-storage)'!F219/100/VLOOKUP($C$215,'DB animal categories'!$C$81:$AC$90,27,FALSE)*AJ219+I219+J219+K219,IF(AS219=4,('Calc (ex-animal)'!$G$43*'DB additional information '!$K$10/100+'Calc (ex-animal)'!$H$43*'DB additional information '!$L$10/100)*(1-VLOOKUP(D219,'DB technologies'!$N$109:$Y$120,9,FALSE)/100)*'Calc (ex-housing, ex-storage)'!F219/100*VLOOKUP(D219,'DB technologies'!$N$109:$Y$120,12,FALSE)/100/VLOOKUP($C$215,'DB animal categories'!$C$81:$AC$90,27,FALSE)*AJ219+I219+J219+K219,0))))))</f>
        <v/>
      </c>
      <c r="AV219" s="452" t="str">
        <f>IF(D219="","",IF(AS219=2,0,IF(AS219=1,'Calc (ex-animal)'!$G$43*(1-'DB additional information '!$K$10/100)*(1-VLOOKUP(D219,'DB technologies'!$N$109:$Y$120,8,FALSE)/100)*'Calc (ex-housing, ex-storage)'!F219/100/VLOOKUP($C$215,'DB animal categories'!$C$81:$AC$90,27,FALSE)*AJ219+M219+N219+O219,IF(AS219=5,('Calc (ex-animal)'!$G$43*(1-'DB additional information '!$K$10/100)+'Calc (ex-animal)'!$H$43*(1-'DB additional information '!$L$10/100))*(1-VLOOKUP(D219,'DB technologies'!$N$109:$Y$120,8,FALSE)/100)*'Calc (ex-housing, ex-storage)'!F219/100/VLOOKUP($C$215,'DB animal categories'!$C$81:$AC$90,27,FALSE)*AJ219+M219+N219+O219,IF(AS219=3,('Calc (ex-animal)'!$G$43*(1-'DB additional information '!$K$10/100)+'Calc (ex-animal)'!$H$43*(1-'DB additional information '!$L$10/100))*(1-VLOOKUP(D219,'DB technologies'!$N$109:$Y$120,8,FALSE)/100)*'Calc (ex-housing, ex-storage)'!F219/100/VLOOKUP($C$215,'DB animal categories'!$C$81:$AC$90,27,FALSE)*AJ219+M219+N219+O219,IF(AS219=4,('Calc (ex-animal)'!$G$43*(1-'DB additional information '!$K$10/100)+'Calc (ex-animal)'!$H$43*(1-'DB additional information '!$L$10/100))*(1-VLOOKUP(D219,'DB technologies'!$N$109:$Y$120,8,FALSE)/100)*'Calc (ex-housing, ex-storage)'!F219/100*VLOOKUP(D219,'DB technologies'!$N$109:$Y$120,12,FALSE)/100/VLOOKUP($C$215,'DB animal categories'!$C$81:$AC$90,27,FALSE)*AJ219+M219+N219+O219,0))))))</f>
        <v/>
      </c>
      <c r="AW219" s="452" t="str">
        <f>IF(AS219="","",IF(AU219=0,0,AU219/AT219*100))</f>
        <v/>
      </c>
      <c r="AX219" s="184" t="str">
        <f>IF(D219="","",IF(AS219=2,0,IF(AS219=1,'Calc (ex-animal)'!$K$43*'Calc (ex-housing, ex-storage)'!F219/100/VLOOKUP($C$215,'DB animal categories'!$C$81:$AC$90,27,FALSE)*AJ219+Q219+R219+S219,IF(AS219=5,('Calc (ex-animal)'!$K$43+'Calc (ex-animal)'!$L$43)*'Calc (ex-housing, ex-storage)'!F219/100/VLOOKUP($C$215,'DB animal categories'!$C$81:$AC$90,27,FALSE)*AJ219+Q219+R219+S219-'Calc (ex-housing, ex-storage)'!AC219,IF(AS219=3,('Calc (ex-animal)'!$K$43+'Calc (ex-animal)'!$L$43)*'Calc (ex-housing, ex-storage)'!F219/100/VLOOKUP($C$215,'DB animal categories'!$C$81:$AC$90,27,FALSE)*AJ219+Q219+R219+S219-'Calc (ex-housing, ex-storage)'!AC219-AD219-AE219,IF(AI219=4,('Calc (ex-animal)'!$K$43+'Calc (ex-animal)'!$L$43)*'Calc (ex-housing, ex-storage)'!F219/100*VLOOKUP(D219,'DB technologies'!$N$109:$Y$120,12,FALSE)/100/VLOOKUP($C$215,'DB animal categories'!$C$81:$AC$90,27,FALSE)*AJ219+Q219+R219+S219-(VLOOKUP(D219,'DB technologies'!$N$109:$Y$120,12,FALSE)/100*AC219)-AD219-AE219,0))))))</f>
        <v/>
      </c>
      <c r="AY219" s="184" t="str">
        <f>IF(D219="","",IF(AS219=2,0,IF(AS219=1,'Calc (ex-animal)'!$N$43*'Calc (ex-housing, ex-storage)'!F219/100/VLOOKUP($C$215,'DB animal categories'!$C$81:$AC$90,27,FALSE)*AJ219+U219+V219+W219,IF(AS219=5,('Calc (ex-animal)'!$N$43+'Calc (ex-animal)'!$O$43)*'Calc (ex-housing, ex-storage)'!F219/100/VLOOKUP($C$215,'DB animal categories'!$C$81:$AC$90,27,FALSE)*AJ219+U219+V219+W219,IF(AS219=3,('Calc (ex-animal)'!$N$43+'Calc (ex-animal)'!$O$43)*'Calc (ex-housing, ex-storage)'!F219/100/VLOOKUP($C$215,'DB animal categories'!$C$81:$AC$90,27,FALSE)*AJ219+U219+V219+W219,IF(AS219=4,('Calc (ex-animal)'!$N$43+'Calc (ex-animal)'!$O$43)*'Calc (ex-housing, ex-storage)'!F219/100*VLOOKUP(D219,'DB technologies'!$N$109:$Y$120,12,FALSE)/100/VLOOKUP($C$215,'DB animal categories'!$C$81:$AC$90,27,FALSE)*AJ219+U219+V219+W219,0))))))</f>
        <v/>
      </c>
      <c r="AZ219" s="184" t="str">
        <f>IF(D219="","",IF(AS219=2,0,IF(AS219=1,'Calc (ex-animal)'!$Q$43*'Calc (ex-housing, ex-storage)'!F219/100/VLOOKUP($C$215,'DB animal categories'!$C$81:$AC$90,27,FALSE)*AJ219+Y219+Z219+AA219,IF(AS219=5,('Calc (ex-animal)'!$Q$43+'Calc (ex-animal)'!$R$43)*'Calc (ex-housing, ex-storage)'!F219/100/VLOOKUP($C$215,'DB animal categories'!$C$81:$AC$90,27,FALSE)*AJ219+Y219+Z219+AA219,IF(AS219=3,('Calc (ex-animal)'!$Q$43+'Calc (ex-animal)'!$R$43)*'Calc (ex-housing, ex-storage)'!F219/100/VLOOKUP($C$215,'DB animal categories'!$C$81:$AC$90,27,FALSE)*AJ219+Y219+Z219+AA219,IF(AS219=4,('Calc (ex-animal)'!$Q$43+'Calc (ex-animal)'!$R$43)*'Calc (ex-housing, ex-storage)'!F219/100*VLOOKUP(D219,'DB technologies'!$N$109:$Y$120,12,FALSE)/100/VLOOKUP($C$215,'DB animal categories'!$C$81:$AC$90,27,FALSE)*AJ219+Y219+Z219+AA219,0))))))</f>
        <v/>
      </c>
      <c r="BA219" s="506"/>
      <c r="BB219" s="506"/>
      <c r="BC219" s="506"/>
    </row>
    <row r="220" spans="1:55" ht="12" thickBot="1" x14ac:dyDescent="0.25">
      <c r="A220" s="684"/>
      <c r="B220" s="695"/>
      <c r="C220" s="252"/>
      <c r="D220" s="269" t="s">
        <v>58</v>
      </c>
      <c r="E220" s="270">
        <f>IF(F220&lt;=100,SUM(E215:E219),"ERROR")</f>
        <v>0</v>
      </c>
      <c r="F220" s="284">
        <f>IF(SUM(F215:F219) &lt;=100,SUM(F215:F219),"ERROR, SUM&gt;100%")</f>
        <v>0</v>
      </c>
      <c r="G220" s="504">
        <f>IF('Calc (ex-animal)'!$F$38=1,"",SUM(G215:G219))</f>
        <v>0</v>
      </c>
      <c r="H220" s="433">
        <f>IF('Calc (ex-animal)'!$F$8=1,"",SUM(H215:H219))</f>
        <v>0</v>
      </c>
      <c r="I220" s="433">
        <f>IF('Calc (ex-animal)'!$F$8=1,"",SUM(I215:I219))</f>
        <v>0</v>
      </c>
      <c r="J220" s="433">
        <f>IF('Calc (ex-animal)'!$F$8=1,"",SUM(J215:J219))</f>
        <v>0</v>
      </c>
      <c r="K220" s="433">
        <f>IF('Calc (ex-animal)'!$F$8=1,"",SUM(K215:K219))</f>
        <v>0</v>
      </c>
      <c r="L220" s="433">
        <f>IF('Calc (ex-animal)'!$F$8=1,"",SUM(L215:L219))</f>
        <v>0</v>
      </c>
      <c r="M220" s="470"/>
      <c r="N220" s="470"/>
      <c r="O220" s="470"/>
      <c r="P220" s="478">
        <f>IF(G220=0,0,IF('Calc (ex-animal)'!$F$38=1,"",IF(D220="","",SUM(H220:K220)/G220*100)))</f>
        <v>0</v>
      </c>
      <c r="Q220" s="394"/>
      <c r="R220" s="394"/>
      <c r="S220" s="394"/>
      <c r="T220" s="278">
        <f>IF('Calc (ex-animal)'!$F$43=1,"",SUM(T215:T219))</f>
        <v>0</v>
      </c>
      <c r="U220" s="279"/>
      <c r="V220" s="279"/>
      <c r="W220" s="279"/>
      <c r="X220" s="279">
        <f>IF('Calc (ex-animal)'!$F$43=1,"",SUM(X215:X219))</f>
        <v>0</v>
      </c>
      <c r="Y220" s="279"/>
      <c r="Z220" s="279"/>
      <c r="AA220" s="279"/>
      <c r="AB220" s="279">
        <f>IF('Calc (ex-animal)'!$F$43=1,"",SUM(AB215:AB219))</f>
        <v>0</v>
      </c>
      <c r="AC220" s="279">
        <f>IF('Calc (ex-animal)'!$F$43=1,"",SUM(AC215:AC219))</f>
        <v>0</v>
      </c>
      <c r="AD220" s="279">
        <f>IF('Calc (ex-animal)'!$F$43=1,"",SUM(AD215:AD219))</f>
        <v>0</v>
      </c>
      <c r="AE220" s="280">
        <f>IF('Calc (ex-animal)'!$F$43=1,"",SUM(AE215:AE219))</f>
        <v>0</v>
      </c>
    </row>
    <row r="221" spans="1:55" x14ac:dyDescent="0.2">
      <c r="A221" s="684"/>
      <c r="B221" s="695"/>
      <c r="C221" s="250">
        <f>'Calc (ex-animal)'!D44</f>
        <v>0</v>
      </c>
      <c r="D221" s="1355"/>
      <c r="E221" s="1356"/>
      <c r="F221" s="479" t="str">
        <f>IF('Calc (ex-animal)'!$F$38=1,"",IF($C$221=0,"",IF(D221="","",E221/'Calc (ex-animal)'!$E$44*100)))</f>
        <v/>
      </c>
      <c r="G221" s="484" t="str">
        <f>IF($C$221=0,"",IF('Calc (ex-animal)'!$F$38=1,"",IF(D221="","",SUM(H221:O221))))</f>
        <v/>
      </c>
      <c r="H221" s="471" t="str">
        <f>IF('Calc (ex-animal)'!$F$38=1,"",IF(D221="","",(((VLOOKUP($C$221,'Calc (ex-animal)'!$D$43:$Y$47,6,FALSE)-VLOOKUP($C$221,'Calc (ex-animal)'!$D$43:$Y$47,17,FALSE))*F221/100))*VLOOKUP($C$221,'Calc (ex-animal)'!$D$43:$Y$47,7,FALSE)/100*(1-VLOOKUP(D221,'DB technologies'!$N$109:$Y$120,9,FALSE)/100)))</f>
        <v/>
      </c>
      <c r="I221" s="471" t="str">
        <f>IF(D221="","",((VLOOKUP(D221,'DB technologies'!$N$109:$Y$120,2,FALSE)*VLOOKUP($C$221,'DB animal categories'!$C$81:$AC$90,27,FALSE)*E221/1000)/VLOOKUP($C$221,'DB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'!$S$6/100*(1-VLOOKUP(D221,'DB technologies'!$N$109:$Y$120,9,FALSE)/100)))</f>
        <v/>
      </c>
      <c r="J221" s="472" t="str">
        <f>IF(D221="","",((VLOOKUP(D221,'DB technologies'!$N$109:$Y$120,3,FALSE)*VLOOKUP($C$221,'DB animal categories'!$C$81:$AC$90,27,FALSE)*E221/1000)/VLOOKUP($C$221,'DB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'!$S$7/100*(1-VLOOKUP(D221,'DB technologies'!$N$109:$Y$120,9,FALSE)/100)))</f>
        <v/>
      </c>
      <c r="K221" s="472" t="str">
        <f>IF(D221="","",((VLOOKUP(D221,'DB technologies'!$N$109:$Y$120,4,FALSE)*E221*'DB additional information '!$S$8/100*(1-VLOOKUP(D221,'DB technologies'!$N$109:$Y$120,9,FALSE)/100))/VLOOKUP($C$221,'DB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L221" s="471" t="str">
        <f>IF('Calc (ex-animal)'!$F$38=1,"",IF(D221="","",(((VLOOKUP($C$221,'Calc (ex-animal)'!$D$43:$Y$47,6,FALSE)-VLOOKUP($C$221,'Calc (ex-animal)'!$D$43:$Y$47,17,FALSE))*F221/100))*(1-VLOOKUP($C$221,'Calc (ex-animal)'!$D$43:$Y$47,7,FALSE)/100)*(1-VLOOKUP(D221,'DB technologies'!$N$109:$V$120,8,FALSE)/100)))</f>
        <v/>
      </c>
      <c r="M221" s="472" t="str">
        <f>IF(D221="","",((VLOOKUP(D221,'DB technologies'!$N$109:$Y$120,2,FALSE)*VLOOKUP($C$221,'DB animal categories'!$C$81:$AC$90,27,FALSE)*E221/1000)/VLOOKUP($C$221,'DB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'!$S$6/100)*(1-VLOOKUP(D221,'DB technologies'!$N$109:$Y$120,9,FALSE)/100))</f>
        <v/>
      </c>
      <c r="N221" s="472" t="str">
        <f>IF(D221="","",((VLOOKUP(D221,'DB technologies'!$N$109:$Y$120,3,FALSE)*VLOOKUP($C$221,'DB animal categories'!$C$81:$AC$90,27,FALSE)*E221/1000)/VLOOKUP($C$221,'DB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'!$S$7/100)*(1-VLOOKUP(D221,'DB technologies'!$N$109:$Y$120,9,FALSE)/100))</f>
        <v/>
      </c>
      <c r="O221" s="471" t="str">
        <f>IF(D221="","",((VLOOKUP(D221,'DB technologies'!$N$109:$Y$120,4,FALSE)*E221*(1-'DB additional information '!$S$8/100)*(1-VLOOKUP(D221,'DB technologies'!$N$109:$Y$120,8,FALSE)/100))/VLOOKUP($C$221,'DB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P221" s="443" t="str">
        <f>IF(G221=0,0,IF(E221="","",IF(F221="","",IF($C$221=0,"",IF(D221="","",SUM(H221:K221)/G221*100)))))</f>
        <v/>
      </c>
      <c r="Q221" s="473" t="str">
        <f>IF(D221="","",(VLOOKUP(D221,'DB technologies'!$N$109:$Y$120,2,FALSE)*'DB additional information '!$S$6/100*'DB additional information '!$T$6*VLOOKUP($C$221,'DB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R221" s="473" t="str">
        <f>IF(D221="","",(VLOOKUP(D221,'DB technologies'!$N$109:$Y$120,3,FALSE)*'DB additional information '!$S$7/100*'DB additional information '!$T$7*VLOOKUP($C$221,'DB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S221" s="490" t="str">
        <f>IF(D221="","",(VLOOKUP(D221,'DB technologies'!$N$109:$Y$120,4,FALSE)*('DB additional information '!$S$8/100*'DB additional information '!$T$8*E221/1000/1000)))</f>
        <v/>
      </c>
      <c r="T221" s="263" t="str">
        <f>IF($C$221=0,"",IF('Calc (ex-animal)'!$F$38=1,"",IF(D221="","",((VLOOKUP($C$221,'Calc (ex-animal)'!$D$43:$Y$47,10,FALSE)-VLOOKUP($C$221,'Calc (ex-animal)'!$D$43:$Y$47,18,FALSE))*F221/100+Q221+R221+S221)-AC221-AD221-AE221)))</f>
        <v/>
      </c>
      <c r="U221" s="474" t="str">
        <f>IF(D221="","",(VLOOKUP(D221,'DB technologies'!$N$109:$Y$120,2,FALSE)*'DB additional information '!$S$6/100*'DB additional information '!$U$6*VLOOKUP($C$221,'DB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V221" s="420" t="str">
        <f>IF(D221="","",(VLOOKUP(D221,'DB technologies'!$N$109:$Y$120,3,FALSE)*'DB additional information '!$S$7/100*'DB additional information '!$U$7*VLOOKUP($C$221,'DB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W221" s="415" t="str">
        <f>IF(D221="","",(VLOOKUP(D221,'DB technologies'!$N$109:$Y$120,4,FALSE)*('DB additional information '!$S$8/100*'DB additional information '!$U$8*E221/1000/1000)))</f>
        <v/>
      </c>
      <c r="X221" s="259" t="str">
        <f>IF($C$221=0,"",IF('Calc (ex-animal)'!$F$38=1,"",IF(D221="","",((VLOOKUP($C$221,'Calc (ex-animal)'!$D$43:$Y$47,13,FALSE)-VLOOKUP($C$221,'Calc (ex-animal)'!$D$43:$Y$47,19,FALSE))*F221/100+U221+V221+W221))))</f>
        <v/>
      </c>
      <c r="Y221" s="420" t="str">
        <f>IF(D221="","",(VLOOKUP(D221,'DB technologies'!$N$109:$Y$120,2,FALSE)*'DB additional information '!$S$6/100*'DB additional information '!$V$6*VLOOKUP($C$221,'DB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Z221" s="420" t="str">
        <f>IF(D221="","",(VLOOKUP(D221,'DB technologies'!$N$109:$Y$120,3,FALSE)*'DB additional information '!$S$7/100*'DB additional information '!$V$7*VLOOKUP($C$221,'DB animal categories'!$C$81:$AC$90,27,FALSE)*E221/1000/1000)/VLOOKUP($C$221,'DB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AA221" s="420" t="str">
        <f>IF(D221="","",(VLOOKUP(D221,'DB technologies'!$N$109:$Y$120,4,FALSE)*('DB additional information '!$S$8/100*'DB additional information '!$V$8*E221/1000/1000)))</f>
        <v/>
      </c>
      <c r="AB221" s="259" t="str">
        <f>IF($C$221=0,"",IF('Calc (ex-animal)'!$F$38=1,"",IF(D221="","",((VLOOKUP($C$221,'Calc (ex-animal)'!$D$43:$Y$47,16,FALSE)-VLOOKUP($C$221,'Calc (ex-animal)'!$D$43:$Y$47,20,FALSE))*F221/100+Y221+Z221+AA221))))</f>
        <v/>
      </c>
      <c r="AC221" s="259" t="str">
        <f>IF($C$221=0,"",IF('Calc (ex-animal)'!$F$38=1,"",IF(D221="","",VLOOKUP($C$221,'Calc (ex-animal)'!$D$43:$Y$47,9,FALSE)/VLOOKUP($C$221,'DB animal categories'!$C$81:$AC$90,27,FALSE)*(VLOOKUP($C$221,'DB animal categories'!$C$81:$AC$90,27,FALSE)-VLOOKUP($C$221,'DB animal categories'!$C$81:$AC$90,25,FALSE)*VLOOKUP($C$221,'DB animal categories'!$C$81:$AC$90,26,FALSE)/24)*F221/100*VLOOKUP(D221,'DB technologies'!$N$109:$R$120,5,FALSE)/100)))</f>
        <v/>
      </c>
      <c r="AD221" s="259" t="str">
        <f>IF($C$221=0,"",IF('Calc (ex-animal)'!$F$38=1,"",IF(D221="","",VLOOKUP($C$221,'Calc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categories'!$C$81:$AC$90,26,FALSE)/24)*F221/100*VLOOKUP(D221,'DB technologies'!$N$109:$Y$120,6,FALSE)/100)))</f>
        <v/>
      </c>
      <c r="AE221" s="260" t="str">
        <f>IF($C$221=0,"",IF('Calc (ex-animal)'!$F$38=1,"",IF(D221="","",VLOOKUP($C$221,'Calc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categories'!$C$81:$AC$90,26,FALSE)/24)*F221/100*VLOOKUP(D221,'DB technologies'!$N$109:$Y$120,7,FALSE)/100)))</f>
        <v/>
      </c>
      <c r="AI221" s="179" t="str">
        <f>IF(D221="","",VLOOKUP(D221,'DB technologies'!$N$109:$Y$120,10,FALSE))</f>
        <v/>
      </c>
      <c r="AJ221" s="482" t="e">
        <f>VLOOKUP($C$221,'DB animal categories'!$C$81:$AN$90,27,FALSE)-VLOOKUP($C$221,'DB animal categories'!$C$81:$AN$90,26,FALSE)*VLOOKUP($C$221,'DB animal categories'!$C$81:$AN$90,25,FALSE)/24</f>
        <v>#N/A</v>
      </c>
      <c r="AK221" s="453" t="str">
        <f>IF(AI221="","",AL221+AM221)</f>
        <v/>
      </c>
      <c r="AL221" s="453" t="str">
        <f>IF(D221="","",IF(AI221=2,(('Calc (ex-animal)'!$G$44*'DB additional information '!$K$10/100*(1-VLOOKUP(D221,'DB technologies'!$N$109:$Y$120,9,FALSE)/100)*'Calc (ex-housing, ex-storage)'!F221/100+'Calc (ex-animal)'!$H$44*'DB additional information '!$L$10/100*(1-VLOOKUP(D221,'DB technologies'!$N$109:$Y$120,9,FALSE)/100)*'Calc (ex-housing, ex-storage)'!F221/100))/VLOOKUP($C$221,'DB animal categories'!$C$81:$AC$90,27,FALSE)*AJ221+I221+J221+K221,IF(AI221=1,('Calc (ex-animal)'!$H$44*'DB additional information '!$L$10/100*(1-VLOOKUP(D221,'DB technologies'!$N$109:$Y$120,9,FALSE)/100)*'Calc (ex-housing, ex-storage)'!F221/100)/VLOOKUP($C$221,'DB animal categories'!$C$81:$AC$90,27,FALSE)*AJ221,IF(AI221=4,('Calc (ex-animal)'!$G$44*'DB additional information '!$K$10/100+'Calc (ex-animal)'!$H$44*'DB additional information '!$L$10/100)*(1-VLOOKUP(D221,'DB technologies'!$N$109:$Y$120,9,FALSE)/100)*'Calc (ex-housing, ex-storage)'!F221/100*VLOOKUP(D221,'DB technologies'!$N$109:$Y$120,11,FALSE)/100/VLOOKUP($C$221,'DB animal categories'!$C$81:$AC$90,27,FALSE)*AJ221,0))))</f>
        <v/>
      </c>
      <c r="AM221" s="453" t="str">
        <f>IF(D221="","",IF(AI221=2,(('Calc (ex-animal)'!$G$44*(1-'DB additional information '!$K$10/100)*(1-VLOOKUP(D221,'DB technologies'!$N$109:$Y$120,8,FALSE)/100)*'Calc (ex-housing, ex-storage)'!F221/100+'Calc (ex-animal)'!$H$44*(1-'DB additional information '!$L$10/100)*(1-VLOOKUP(D221,'DB technologies'!$N$109:$Y$120,8,FALSE)/100)*'Calc (ex-housing, ex-storage)'!F221/100))/VLOOKUP($C$221,'DB animal categories'!$C$81:$AC$90,27,FALSE)*AJ221+M221+N221+O221,IF(AI221=1,('Calc (ex-animal)'!$H$44*(1-'DB additional information '!$L$10/100)*(1-VLOOKUP(D221,'DB technologies'!$N$109:$Y$120,8,FALSE)/100)*'Calc (ex-housing, ex-storage)'!F221/100)/VLOOKUP($C$221,'DB animal categories'!$C$81:$AC$90,27,FALSE)*AJ221,IF(AI221=4,('Calc (ex-animal)'!$G$44*(1-'DB additional information '!$K$10/100)+'Calc (ex-animal)'!$H$44*(1-'DB additional information '!$L$10/100))*(1-VLOOKUP(D221,'DB technologies'!$N$109:$Y$120,8,FALSE)/100)*'Calc (ex-housing, ex-storage)'!F221/100*VLOOKUP(D221,'DB technologies'!$N$109:$Y$120,11,FALSE)/100/VLOOKUP($C$221,'DB animal categories'!$C$81:$AC$90,27,FALSE)*AJ221,0))))</f>
        <v/>
      </c>
      <c r="AN221" s="453" t="str">
        <f>IF(AI221="","",IF(AL221=0,0,AL221/AK221*100))</f>
        <v/>
      </c>
      <c r="AO221" s="180" t="str">
        <f>IF(D221="","",IF(AI221=2,(('Calc (ex-animal)'!$L$44*'Calc (ex-housing, ex-storage)'!F221/100+'Calc (ex-animal)'!$K$44*'Calc (ex-housing, ex-storage)'!F221/100))/VLOOKUP($C$221,'DB animal categories'!$C$81:$AC$90,27,FALSE)*AJ221+Q221+R221+S221-AC221,IF(AI221=1,('Calc (ex-animal)'!$L$44*'Calc (ex-housing, ex-storage)'!F221/100)/VLOOKUP($C$221,'DB animal categories'!$C$81:$AC$90,27,FALSE)*AJ221-'Calc (ex-housing, ex-storage)'!AC221,IF(AI221=4,('Calc (ex-animal)'!$L$44+'Calc (ex-animal)'!$K$44)*'Calc (ex-housing, ex-storage)'!F221/100*VLOOKUP(D221,'DB technologies'!$N$109:$Y$120,11,FALSE)/100/VLOOKUP($C$221,'DB animal categories'!$C$81:$AC$90,27,FALSE)*AJ221-AC221*VLOOKUP(D221,'DB technologies'!$N$109:$Y$120,11,FALSE)/100,0))))</f>
        <v/>
      </c>
      <c r="AP221" s="180" t="str">
        <f>IF(D221="","",IF(AO221&lt;-0.01,0,IF(AI221=2,(('Calc (ex-animal)'!$L$44*'Calc (ex-housing, ex-storage)'!F221/100+'Calc (ex-animal)'!$K$44*'Calc (ex-housing, ex-storage)'!F221/100))/VLOOKUP($C$221,'DB animal categories'!$C$81:$AC$90,27,FALSE)*AJ221+Q221+R221+S221-AC221,IF(AI221=1,('Calc (ex-animal)'!$L$44*'Calc (ex-housing, ex-storage)'!F221/100)/VLOOKUP($C$221,'DB animal categories'!$C$81:$AC$90,27,FALSE)*AJ221-'Calc (ex-housing, ex-storage)'!AC221,IF(AI221=4,('Calc (ex-animal)'!$L$44+'Calc (ex-animal)'!$K$44)*'Calc (ex-housing, ex-storage)'!F221/100*VLOOKUP(D221,'DB technologies'!$N$109:$Y$120,11,FALSE)/100/VLOOKUP($C$221,'DB animal categories'!$C$81:$AC$90,27,FALSE)*AJ221-AC221*VLOOKUP(D221,'DB technologies'!$N$109:$Y$120,11,FALSE)/100,0)))))</f>
        <v/>
      </c>
      <c r="AQ221" s="180" t="str">
        <f>IF(D221="","",IF(AI221=2,('Calc (ex-animal)'!$O$44*'Calc (ex-housing, ex-storage)'!F221/100+'Calc (ex-animal)'!$N$44*'Calc (ex-housing, ex-storage)'!F221/100)/VLOOKUP($C$221,'DB animal categories'!$C$81:$AC$90,27,FALSE)*AJ221+U221+V221+W221,IF(AI221=1,'Calc (ex-animal)'!$O$44*'Calc (ex-housing, ex-storage)'!F221/100/VLOOKUP($C$221,'DB animal categories'!$C$81:$AC$90,27,FALSE)*AJ221,IF(AI221=4,('Calc (ex-animal)'!$O$44+'Calc (ex-animal)'!$N$44)*'Calc (ex-housing, ex-storage)'!F221/100*VLOOKUP(D221,'DB technologies'!$N$109:$Y$120,11,FALSE)/100/VLOOKUP($C$221,'DB animal categories'!$C$81:$AC$90,27,FALSE)*AJ221,0))))</f>
        <v/>
      </c>
      <c r="AR221" s="180" t="str">
        <f>IF(D221="","",IF(AI221=2,('Calc (ex-animal)'!$R$44*'Calc (ex-housing, ex-storage)'!F221/100+'Calc (ex-animal)'!$Q$44*'Calc (ex-housing, ex-storage)'!F221/100)/VLOOKUP($C$221,'DB animal categories'!$C$81:$AC$90,27,FALSE)*AJ221+Y221+Z221+AA221,IF(AI221=1,'Calc (ex-animal)'!$R$44*'Calc (ex-housing, ex-storage)'!F221/100/VLOOKUP($C$221,'DB animal categories'!$C$81:$AC$90,27,FALSE)*AJ221,IF(AI221=4,('Calc (ex-animal)'!$R$44+'Calc (ex-animal)'!$Q$44)*'Calc (ex-housing, ex-storage)'!F221/100*VLOOKUP(D221,'DB technologies'!$N$109:$Y$120,11,FALSE)/100/VLOOKUP($C$221,'DB animal categories'!$C$81:$AC$90,27,FALSE)*AJ221,0))))</f>
        <v/>
      </c>
      <c r="AS221" s="179" t="str">
        <f>IF(D221="","",VLOOKUP(D221,'DB technologies'!$N$109:$Y$120,10,FALSE))</f>
        <v/>
      </c>
      <c r="AT221" s="453" t="str">
        <f>IF(AS221="","",AU221+AV221)</f>
        <v/>
      </c>
      <c r="AU221" s="453" t="str">
        <f>IF(D221="","",IF(AS221=2,0,IF(AS221=1,'Calc (ex-animal)'!$G$44*'DB additional information '!$K$10/100*(1-VLOOKUP(D221,'DB technologies'!$N$109:$Y$120,8,FALSE)/100)*'Calc (ex-housing, ex-storage)'!F221/100/VLOOKUP($C$221,'DB animal categories'!$C$81:$AC$90,27,FALSE)*AJ221+I221+J221+K221,IF(AS221=5,(('Calc (ex-animal)'!$G$44*'DB additional information '!$K$10/100+'Calc (ex-animal)'!$H$44*'DB additional information '!$L$10/100))*(1-VLOOKUP(D221,'DB technologies'!$N$109:$Y$120,9,FALSE)/100)*'Calc (ex-housing, ex-storage)'!F221/100/VLOOKUP($C$221,'DB animal categories'!$C$81:$AC$90,27,FALSE)*AJ221+I221+J221+K221,IF(AS221=3,('Calc (ex-animal)'!$G$44*'DB additional information '!$K$10/100+'Calc (ex-animal)'!$H$44*'DB additional information '!$L$10/100)*(1-VLOOKUP(D221,'DB technologies'!$N$109:$Y$120,9,FALSE)/100)*'Calc (ex-housing, ex-storage)'!F221/100/VLOOKUP($C$221,'DB animal categories'!$C$81:$AC$90,27,FALSE)*AJ221+I221+J221+K221,IF(AS221=4,('Calc (ex-animal)'!$G$44*'DB additional information '!$K$10/100+'Calc (ex-animal)'!$H$44*'DB additional information '!$L$10/100)*(1-VLOOKUP(D221,'DB technologies'!$N$109:$Y$120,9,FALSE)/100)*'Calc (ex-housing, ex-storage)'!F221/100*VLOOKUP(D221,'DB technologies'!$N$109:$Y$120,12,FALSE)/100/VLOOKUP($C$221,'DB animal categories'!$C$81:$AC$90,27,FALSE)*AJ221+I221+J221+K221,0))))))</f>
        <v/>
      </c>
      <c r="AV221" s="453" t="str">
        <f>IF(D221="","",IF(AS221=2,0,IF(AS221=1,'Calc (ex-animal)'!$G$44*(1-'DB additional information '!$K$10/100)*(1-VLOOKUP(D221,'DB technologies'!$N$109:$Y$120,8,FALSE)/100)*'Calc (ex-housing, ex-storage)'!F221/100/VLOOKUP($C$221,'DB animal categories'!$C$81:$AC$90,27,FALSE)*AJ221+M221+N221+O221,IF(AS221=5,('Calc (ex-animal)'!$G$44*(1-'DB additional information '!$K$10/100)+'Calc (ex-animal)'!$H$44*(1-'DB additional information '!$L$10/100))*(1-VLOOKUP(D221,'DB technologies'!$N$109:$Y$120,8,FALSE)/100)*'Calc (ex-housing, ex-storage)'!F221/100/VLOOKUP($C$221,'DB animal categories'!$C$81:$AC$90,27,FALSE)*AJ221+M221+N221+O221,IF(AS221=3,('Calc (ex-animal)'!$G$44*(1-'DB additional information '!$K$10/100)+'Calc (ex-animal)'!$H$44*(1-'DB additional information '!$L$10/100))*(1-VLOOKUP(D221,'DB technologies'!$N$109:$Y$120,8,FALSE)/100)*'Calc (ex-housing, ex-storage)'!F221/100/VLOOKUP($C$221,'DB animal categories'!$C$81:$AC$90,27,FALSE)*AJ221+M221+N221+O221,IF(AS221=4,('Calc (ex-animal)'!$G$44*(1-'DB additional information '!$K$10/100)+'Calc (ex-animal)'!$H$44*(1-'DB additional information '!$L$10/100))*(1-VLOOKUP(D221,'DB technologies'!$N$109:$Y$120,8,FALSE)/100)*'Calc (ex-housing, ex-storage)'!F221/100*VLOOKUP(D221,'DB technologies'!$N$109:$Y$120,12,FALSE)/100/VLOOKUP($C$221,'DB animal categories'!$C$81:$AC$90,27,FALSE)*AJ221+M221+N221+O221,0))))))</f>
        <v/>
      </c>
      <c r="AW221" s="453" t="str">
        <f>IF(AS221="","",IF(AU221=0,0,AU221/AT221*100))</f>
        <v/>
      </c>
      <c r="AX221" s="180" t="str">
        <f>IF(D221="","",IF(AS221=2,0,IF(AS221=1,'Calc (ex-animal)'!$K$44*'Calc (ex-housing, ex-storage)'!F221/100/VLOOKUP($C$221,'DB animal categories'!$C$81:$AC$90,27,FALSE)*AJ221+Q221+R221+S221,IF(AS221=5,('Calc (ex-animal)'!$K$44+'Calc (ex-animal)'!$L$44)*'Calc (ex-housing, ex-storage)'!F221/100/VLOOKUP($C$221,'DB animal categories'!$C$81:$AC$90,27,FALSE)*AJ221+Q221+R221+S221-'Calc (ex-housing, ex-storage)'!AC221,IF(AS221=3,('Calc (ex-animal)'!$K$44+'Calc (ex-animal)'!$L$44)*'Calc (ex-housing, ex-storage)'!F221/100/VLOOKUP($C$221,'DB animal categories'!$C$81:$AC$90,27,FALSE)*AJ221+Q221+R221+S221-'Calc (ex-housing, ex-storage)'!AC221-AD221-AE221,IF(AI221=4,('Calc (ex-animal)'!$K$44+'Calc (ex-animal)'!$L$44)*'Calc (ex-housing, ex-storage)'!F221/100*VLOOKUP(D221,'DB technologies'!$N$109:$Y$120,12,FALSE)/100/VLOOKUP($C$221,'DB animal categories'!$C$81:$AC$90,27,FALSE)*AJ221+Q221+R221+S221-(VLOOKUP(D221,'DB technologies'!$N$109:$Y$120,12,FALSE)/100*AC221)-AD221-AE221,0))))))</f>
        <v/>
      </c>
      <c r="AY221" s="180" t="str">
        <f>IF(D221="","",IF(AS221=2,0,IF(AS221=1,'Calc (ex-animal)'!$N$44*'Calc (ex-housing, ex-storage)'!F221/100/VLOOKUP($C$221,'DB animal categories'!$C$81:$AC$90,27,FALSE)*AJ221+U221+V221+W221,IF(AS221=5,('Calc (ex-animal)'!$N$44+'Calc (ex-animal)'!$O$44)*'Calc (ex-housing, ex-storage)'!F221/100/VLOOKUP($C$221,'DB animal categories'!$C$81:$AC$90,27,FALSE)*AJ221+U221+V221+W221,IF(AS221=3,('Calc (ex-animal)'!$N$44+'Calc (ex-animal)'!$O$44)*'Calc (ex-housing, ex-storage)'!F221/100/VLOOKUP($C$221,'DB animal categories'!$C$81:$AC$90,27,FALSE)*AJ221+U221+V221+W221,IF(AS221=4,('Calc (ex-animal)'!$N$44+'Calc (ex-animal)'!$O$44)*'Calc (ex-housing, ex-storage)'!F221/100*VLOOKUP(D221,'DB technologies'!$N$109:$Y$120,12,FALSE)/100/VLOOKUP($C$221,'DB animal categories'!$C$81:$AC$90,27,FALSE)*AJ221+U221+V221+W221,0))))))</f>
        <v/>
      </c>
      <c r="AZ221" s="180" t="str">
        <f>IF(D221="","",IF(AS221=2,0,IF(AS221=1,'Calc (ex-animal)'!$Q$44*'Calc (ex-housing, ex-storage)'!F221/100/VLOOKUP($C$221,'DB animal categories'!$C$81:$AC$90,27,FALSE)*AJ221+Y221+Z221+AA221,IF(AS221=5,('Calc (ex-animal)'!$Q$44+'Calc (ex-animal)'!$R$44)*'Calc (ex-housing, ex-storage)'!F221/100/VLOOKUP($C$221,'DB animal categories'!$C$81:$AC$90,27,FALSE)*AJ221+Y221+Z221+AA221,IF(AS221=3,('Calc (ex-animal)'!$Q$44+'Calc (ex-animal)'!$R$44)*'Calc (ex-housing, ex-storage)'!F221/100/VLOOKUP($C$221,'DB animal categories'!$C$81:$AC$90,27,FALSE)*AJ221+Y221+Z221+AA221,IF(AS221=4,('Calc (ex-animal)'!$Q$44+'Calc (ex-animal)'!$R$44)*'Calc (ex-housing, ex-storage)'!F221/100*VLOOKUP(D221,'DB technologies'!$N$109:$Y$120,12,FALSE)/100/VLOOKUP($C$221,'DB animal categories'!$C$81:$AC$90,27,FALSE)*AJ221+Y221+Z221+AA221,0))))))</f>
        <v/>
      </c>
      <c r="BA221" s="506"/>
      <c r="BB221" s="506"/>
      <c r="BC221" s="506"/>
    </row>
    <row r="222" spans="1:55" x14ac:dyDescent="0.2">
      <c r="A222" s="684"/>
      <c r="B222" s="695"/>
      <c r="C222" s="251"/>
      <c r="D222" s="1357"/>
      <c r="E222" s="1358"/>
      <c r="F222" s="480" t="str">
        <f>IF('Calc (ex-animal)'!$F$38=1,"",IF($C$221=0,"",IF(D222="","",E222/'Calc (ex-animal)'!$E$44*100)))</f>
        <v/>
      </c>
      <c r="G222" s="485" t="str">
        <f>IF($C$221=0,"",IF('Calc (ex-animal)'!$F$38=1,"",IF(D222="","",SUM(H222:O222))))</f>
        <v/>
      </c>
      <c r="H222" s="423" t="str">
        <f>IF('Calc (ex-animal)'!$F$38=1,"",IF(D222="","",(((VLOOKUP($C$221,'Calc (ex-animal)'!$D$43:$Y$47,6,FALSE)-VLOOKUP($C$221,'Calc (ex-animal)'!$D$43:$Y$47,17,FALSE))*F222/100))*VLOOKUP($C$221,'Calc (ex-animal)'!$D$43:$Y$47,7,FALSE)/100*(1-VLOOKUP(D222,'DB technologies'!$N$109:$Y$120,9,FALSE)/100)))</f>
        <v/>
      </c>
      <c r="I222" s="423" t="str">
        <f>IF(D222="","",((VLOOKUP(D222,'DB technologies'!$N$109:$Y$120,2,FALSE)*VLOOKUP($C$221,'DB animal categories'!$C$81:$AC$90,27,FALSE)*E222/1000)/VLOOKUP($C$221,'DB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'!$S$6/100*(1-VLOOKUP(D222,'DB technologies'!$N$109:$Y$120,9,FALSE)/100)))</f>
        <v/>
      </c>
      <c r="J222" s="434" t="str">
        <f>IF(D222="","",((VLOOKUP(D222,'DB technologies'!$N$109:$Y$120,3,FALSE)*VLOOKUP($C$221,'DB animal categories'!$C$81:$AC$90,27,FALSE)*E222/1000)/VLOOKUP($C$221,'DB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'!$S$7/100*(1-VLOOKUP(D222,'DB technologies'!$N$109:$Y$120,9,FALSE)/100)))</f>
        <v/>
      </c>
      <c r="K222" s="434" t="str">
        <f>IF(D222="","",((VLOOKUP(D222,'DB technologies'!$N$109:$Y$120,4,FALSE)*E222*'DB additional information '!$S$8/100*(1-VLOOKUP(D222,'DB technologies'!$N$109:$Y$120,9,FALSE)/100))/VLOOKUP($C$221,'DB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L222" s="423" t="str">
        <f>IF('Calc (ex-animal)'!$F$38=1,"",IF(D222="","",(((VLOOKUP($C$221,'Calc (ex-animal)'!$D$43:$Y$47,6,FALSE)-VLOOKUP($C$221,'Calc (ex-animal)'!$D$43:$Y$47,17,FALSE))*F222/100))*(1-VLOOKUP($C$221,'Calc (ex-animal)'!$D$43:$Y$47,7,FALSE)/100)*(1-VLOOKUP(D222,'DB technologies'!$N$109:$V$120,8,FALSE)/100)))</f>
        <v/>
      </c>
      <c r="M222" s="434" t="str">
        <f>IF(D222="","",((VLOOKUP(D222,'DB technologies'!$N$109:$Y$120,2,FALSE)*VLOOKUP($C$221,'DB animal categories'!$C$81:$AC$90,27,FALSE)*E222/1000)/VLOOKUP($C$221,'DB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'!$S$6/100)*(1-VLOOKUP(D222,'DB technologies'!$N$109:$Y$120,9,FALSE)/100))</f>
        <v/>
      </c>
      <c r="N222" s="434" t="str">
        <f>IF(D222="","",((VLOOKUP(D222,'DB technologies'!$N$109:$Y$120,3,FALSE)*VLOOKUP($C$221,'DB animal categories'!$C$81:$AC$90,27,FALSE)*E222/1000)/VLOOKUP($C$221,'DB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'!$S$7/100)*(1-VLOOKUP(D222,'DB technologies'!$N$109:$Y$120,9,FALSE)/100))</f>
        <v/>
      </c>
      <c r="O222" s="423" t="str">
        <f>IF(D222="","",((VLOOKUP(D222,'DB technologies'!$N$109:$Y$120,4,FALSE)*E222*(1-'DB additional information '!$S$8/100)*(1-VLOOKUP(D222,'DB technologies'!$N$109:$Y$120,8,FALSE)/100))/VLOOKUP($C$221,'DB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P222" s="438" t="str">
        <f>IF(G222=0,0,IF(E222="","",IF(F222="","",IF($C$221=0,"",IF(D222="","",SUM(H222:K222)/G222*100)))))</f>
        <v/>
      </c>
      <c r="Q222" s="416" t="str">
        <f>IF(D222="","",(VLOOKUP(D222,'DB technologies'!$N$109:$Y$120,2,FALSE)*'DB additional information '!$S$6/100*'DB additional information '!$T$6*VLOOKUP($C$221,'DB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R222" s="416" t="str">
        <f>IF(D222="","",(VLOOKUP(D222,'DB technologies'!$N$109:$Y$120,3,FALSE)*'DB additional information '!$S$7/100*'DB additional information '!$T$7*VLOOKUP($C$221,'DB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S222" s="491" t="str">
        <f>IF(D222="","",(VLOOKUP(D222,'DB technologies'!$N$109:$Y$120,4,FALSE)*('DB additional information '!$S$8/100*'DB additional information '!$T$8*E222/1000/1000)))</f>
        <v/>
      </c>
      <c r="T222" s="264" t="str">
        <f>IF($C$221=0,"",IF('Calc (ex-animal)'!$F$38=1,"",IF(D222="","",((VLOOKUP($C$221,'Calc (ex-animal)'!$D$43:$Y$47,10,FALSE)-VLOOKUP($C$221,'Calc (ex-animal)'!$D$43:$Y$47,18,FALSE))*F222/100+Q222+R222+S222)-AC222-AD222-AE222)))</f>
        <v/>
      </c>
      <c r="U222" s="422" t="str">
        <f>IF(D222="","",(VLOOKUP(D222,'DB technologies'!$N$109:$Y$120,2,FALSE)*'DB additional information '!$S$6/100*'DB additional information '!$U$6*VLOOKUP($C$221,'DB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V222" s="418" t="str">
        <f>IF(D222="","",(VLOOKUP(D222,'DB technologies'!$N$109:$Y$120,3,FALSE)*'DB additional information '!$S$7/100*'DB additional information '!$U$7*VLOOKUP($C$221,'DB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W222" s="417" t="str">
        <f>IF(D222="","",(VLOOKUP(D222,'DB technologies'!$N$109:$Y$120,4,FALSE)*('DB additional information '!$S$8/100*'DB additional information '!$U$8*E222/1000/1000)))</f>
        <v/>
      </c>
      <c r="X222" s="261" t="str">
        <f>IF($C$221=0,"",IF('Calc (ex-animal)'!$F$38=1,"",IF(D222="","",((VLOOKUP($C$221,'Calc (ex-animal)'!$D$43:$Y$47,13,FALSE)-VLOOKUP($C$221,'Calc (ex-animal)'!$D$43:$Y$47,19,FALSE))*F222/100+U222+V222+W222))))</f>
        <v/>
      </c>
      <c r="Y222" s="418" t="str">
        <f>IF(D222="","",(VLOOKUP(D222,'DB technologies'!$N$109:$Y$120,2,FALSE)*'DB additional information '!$S$6/100*'DB additional information '!$V$6*VLOOKUP($C$221,'DB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Z222" s="418" t="str">
        <f>IF(D222="","",(VLOOKUP(D222,'DB technologies'!$N$109:$Y$120,3,FALSE)*'DB additional information '!$S$7/100*'DB additional information '!$V$7*VLOOKUP($C$221,'DB animal categories'!$C$81:$AC$90,27,FALSE)*E222/1000/1000)/VLOOKUP($C$221,'DB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AA222" s="418" t="str">
        <f>IF(D222="","",(VLOOKUP(D222,'DB technologies'!$N$109:$Y$120,4,FALSE)*('DB additional information '!$S$8/100*'DB additional information '!$V$8*E222/1000/1000)))</f>
        <v/>
      </c>
      <c r="AB222" s="261" t="str">
        <f>IF($C$221=0,"",IF('Calc (ex-animal)'!$F$38=1,"",IF(D222="","",((VLOOKUP($C$221,'Calc (ex-animal)'!$D$43:$Y$47,16,FALSE)-VLOOKUP($C$221,'Calc (ex-animal)'!$D$43:$Y$47,20,FALSE))*F222/100+Y222+Z222+AA222))))</f>
        <v/>
      </c>
      <c r="AC222" s="261" t="str">
        <f>IF($C$221=0,"",IF('Calc (ex-animal)'!$F$38=1,"",IF(D222="","",VLOOKUP($C$221,'Calc (ex-animal)'!$D$43:$Y$47,9,FALSE)/VLOOKUP($C$221,'DB animal categories'!$C$81:$AC$90,27,FALSE)*(VLOOKUP($C$221,'DB animal categories'!$C$81:$AC$90,27,FALSE)-VLOOKUP($C$221,'DB animal categories'!$C$81:$AC$90,25,FALSE)*VLOOKUP($C$221,'DB animal categories'!$C$81:$AC$90,26,FALSE)/24)*F222/100*VLOOKUP(D222,'DB technologies'!$N$109:$R$120,5,FALSE)/100)))</f>
        <v/>
      </c>
      <c r="AD222" s="261" t="str">
        <f>IF($C$221=0,"",IF('Calc (ex-animal)'!$F$38=1,"",IF(D222="","",VLOOKUP($C$221,'Calc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categories'!$C$81:$AC$90,26,FALSE)/24)*F222/100*VLOOKUP(D222,'DB technologies'!$N$109:$Y$120,6,FALSE)/100)))</f>
        <v/>
      </c>
      <c r="AE222" s="262" t="str">
        <f>IF($C$221=0,"",IF('Calc (ex-animal)'!$F$38=1,"",IF(D222="","",VLOOKUP($C$221,'Calc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categories'!$C$81:$AC$90,26,FALSE)/24)*F222/100*VLOOKUP(D222,'DB technologies'!$N$109:$Y$120,7,FALSE)/100)))</f>
        <v/>
      </c>
      <c r="AI222" s="181" t="str">
        <f>IF(D222="","",VLOOKUP(D222,'DB technologies'!$N$109:$Y$120,10,FALSE))</f>
        <v/>
      </c>
      <c r="AJ222" s="449" t="e">
        <f>VLOOKUP($C$221,'DB animal categories'!$C$81:$AN$90,27,FALSE)-VLOOKUP($C$221,'DB animal categories'!$C$81:$AN$90,26,FALSE)*VLOOKUP($C$221,'DB animal categories'!$C$81:$AN$90,25,FALSE)/24</f>
        <v>#N/A</v>
      </c>
      <c r="AK222" s="442" t="str">
        <f>IF(AI222="","",AL222+AM222)</f>
        <v/>
      </c>
      <c r="AL222" s="442" t="str">
        <f>IF(D222="","",IF(AI222=2,(('Calc (ex-animal)'!$G$44*'DB additional information '!$K$10/100*(1-VLOOKUP(D222,'DB technologies'!$N$109:$Y$120,9,FALSE)/100)*'Calc (ex-housing, ex-storage)'!F222/100+'Calc (ex-animal)'!$H$44*'DB additional information '!$L$10/100*(1-VLOOKUP(D222,'DB technologies'!$N$109:$Y$120,9,FALSE)/100)*'Calc (ex-housing, ex-storage)'!F222/100))/VLOOKUP($C$221,'DB animal categories'!$C$81:$AC$90,27,FALSE)*AJ222+I222+J222+K222,IF(AI222=1,('Calc (ex-animal)'!$H$44*'DB additional information '!$L$10/100*(1-VLOOKUP(D222,'DB technologies'!$N$109:$Y$120,9,FALSE)/100)*'Calc (ex-housing, ex-storage)'!F222/100)/VLOOKUP($C$221,'DB animal categories'!$C$81:$AC$90,27,FALSE)*AJ222,IF(AI222=4,('Calc (ex-animal)'!$G$44*'DB additional information '!$K$10/100+'Calc (ex-animal)'!$H$44*'DB additional information '!$L$10/100)*(1-VLOOKUP(D222,'DB technologies'!$N$109:$Y$120,9,FALSE)/100)*'Calc (ex-housing, ex-storage)'!F222/100*VLOOKUP(D222,'DB technologies'!$N$109:$Y$120,11,FALSE)/100/VLOOKUP($C$221,'DB animal categories'!$C$81:$AC$90,27,FALSE)*AJ222,0))))</f>
        <v/>
      </c>
      <c r="AM222" s="442" t="str">
        <f>IF(D222="","",IF(AI222=2,(('Calc (ex-animal)'!$G$44*(1-'DB additional information '!$K$10/100)*(1-VLOOKUP(D222,'DB technologies'!$N$109:$Y$120,8,FALSE)/100)*'Calc (ex-housing, ex-storage)'!F222/100+'Calc (ex-animal)'!$H$44*(1-'DB additional information '!$L$10/100)*(1-VLOOKUP(D222,'DB technologies'!$N$109:$Y$120,8,FALSE)/100)*'Calc (ex-housing, ex-storage)'!F222/100))/VLOOKUP($C$221,'DB animal categories'!$C$81:$AC$90,27,FALSE)*AJ222+M222+N222+O222,IF(AI222=1,('Calc (ex-animal)'!$H$44*(1-'DB additional information '!$L$10/100)*(1-VLOOKUP(D222,'DB technologies'!$N$109:$Y$120,8,FALSE)/100)*'Calc (ex-housing, ex-storage)'!F222/100)/VLOOKUP($C$221,'DB animal categories'!$C$81:$AC$90,27,FALSE)*AJ222,IF(AI222=4,('Calc (ex-animal)'!$G$44*(1-'DB additional information '!$K$10/100)+'Calc (ex-animal)'!$H$44*(1-'DB additional information '!$L$10/100))*(1-VLOOKUP(D222,'DB technologies'!$N$109:$Y$120,8,FALSE)/100)*'Calc (ex-housing, ex-storage)'!F222/100*VLOOKUP(D222,'DB technologies'!$N$109:$Y$120,11,FALSE)/100/VLOOKUP($C$221,'DB animal categories'!$C$81:$AC$90,27,FALSE)*AJ222,0))))</f>
        <v/>
      </c>
      <c r="AN222" s="442" t="str">
        <f>IF(AI222="","",IF(AL222=0,0,AL222/AK222*100))</f>
        <v/>
      </c>
      <c r="AO222" s="182" t="str">
        <f>IF(D222="","",IF(AI222=2,(('Calc (ex-animal)'!$L$44*'Calc (ex-housing, ex-storage)'!F222/100+'Calc (ex-animal)'!$K$44*'Calc (ex-housing, ex-storage)'!F222/100))/VLOOKUP($C$221,'DB animal categories'!$C$81:$AC$90,27,FALSE)*AJ222+Q222+R222+S222-AC222,IF(AI222=1,('Calc (ex-animal)'!$L$44*'Calc (ex-housing, ex-storage)'!F222/100)/VLOOKUP($C$221,'DB animal categories'!$C$81:$AC$90,27,FALSE)*AJ222-'Calc (ex-housing, ex-storage)'!AC222,IF(AI222=4,('Calc (ex-animal)'!$L$44+'Calc (ex-animal)'!$K$44)*'Calc (ex-housing, ex-storage)'!F222/100*VLOOKUP(D222,'DB technologies'!$N$109:$Y$120,11,FALSE)/100/VLOOKUP($C$221,'DB animal categories'!$C$81:$AC$90,27,FALSE)*AJ222-AC222*VLOOKUP(D222,'DB technologies'!$N$109:$Y$120,11,FALSE)/100,0))))</f>
        <v/>
      </c>
      <c r="AP222" s="182" t="str">
        <f>IF(D222="","",IF(AO222&lt;-0.01,0,IF(AI222=2,(('Calc (ex-animal)'!$L$44*'Calc (ex-housing, ex-storage)'!F222/100+'Calc (ex-animal)'!$K$44*'Calc (ex-housing, ex-storage)'!F222/100))/VLOOKUP($C$221,'DB animal categories'!$C$81:$AC$90,27,FALSE)*AJ222+Q222+R222+S222-AC222,IF(AI222=1,('Calc (ex-animal)'!$L$44*'Calc (ex-housing, ex-storage)'!F222/100)/VLOOKUP($C$221,'DB animal categories'!$C$81:$AC$90,27,FALSE)*AJ222-'Calc (ex-housing, ex-storage)'!AC222,IF(AI222=4,('Calc (ex-animal)'!$L$44+'Calc (ex-animal)'!$K$44)*'Calc (ex-housing, ex-storage)'!F222/100*VLOOKUP(D222,'DB technologies'!$N$109:$Y$120,11,FALSE)/100/VLOOKUP($C$221,'DB animal categories'!$C$81:$AC$90,27,FALSE)*AJ222-AC222*VLOOKUP(D222,'DB technologies'!$N$109:$Y$120,11,FALSE)/100,0)))))</f>
        <v/>
      </c>
      <c r="AQ222" s="182" t="str">
        <f>IF(D222="","",IF(AI222=2,('Calc (ex-animal)'!$O$44*'Calc (ex-housing, ex-storage)'!F222/100+'Calc (ex-animal)'!$N$44*'Calc (ex-housing, ex-storage)'!F222/100)/VLOOKUP($C$221,'DB animal categories'!$C$81:$AC$90,27,FALSE)*AJ222+U222+V222+W222,IF(AI222=1,'Calc (ex-animal)'!$O$44*'Calc (ex-housing, ex-storage)'!F222/100/VLOOKUP($C$221,'DB animal categories'!$C$81:$AC$90,27,FALSE)*AJ222,IF(AI222=4,('Calc (ex-animal)'!$O$44+'Calc (ex-animal)'!$N$44)*'Calc (ex-housing, ex-storage)'!F222/100*VLOOKUP(D222,'DB technologies'!$N$109:$Y$120,11,FALSE)/100/VLOOKUP($C$221,'DB animal categories'!$C$81:$AC$90,27,FALSE)*AJ222,0))))</f>
        <v/>
      </c>
      <c r="AR222" s="182" t="str">
        <f>IF(D222="","",IF(AI222=2,('Calc (ex-animal)'!$R$44*'Calc (ex-housing, ex-storage)'!F222/100+'Calc (ex-animal)'!$Q$44*'Calc (ex-housing, ex-storage)'!F222/100)/VLOOKUP($C$221,'DB animal categories'!$C$81:$AC$90,27,FALSE)*AJ222+Y222+Z222+AA222,IF(AI222=1,'Calc (ex-animal)'!$R$44*'Calc (ex-housing, ex-storage)'!F222/100/VLOOKUP($C$221,'DB animal categories'!$C$81:$AC$90,27,FALSE)*AJ222,IF(AI222=4,('Calc (ex-animal)'!$R$44+'Calc (ex-animal)'!$Q$44)*'Calc (ex-housing, ex-storage)'!F222/100*VLOOKUP(D222,'DB technologies'!$N$109:$Y$120,11,FALSE)/100/VLOOKUP($C$221,'DB animal categories'!$C$81:$AC$90,27,FALSE)*AJ222,0))))</f>
        <v/>
      </c>
      <c r="AS222" s="181" t="str">
        <f>IF(D222="","",VLOOKUP(D222,'DB technologies'!$N$109:$Y$120,10,FALSE))</f>
        <v/>
      </c>
      <c r="AT222" s="442" t="str">
        <f>IF(AS222="","",AU222+AV222)</f>
        <v/>
      </c>
      <c r="AU222" s="442" t="str">
        <f>IF(D222="","",IF(AS222=2,0,IF(AS222=1,'Calc (ex-animal)'!$G$44*'DB additional information '!$K$10/100*(1-VLOOKUP(D222,'DB technologies'!$N$109:$Y$120,8,FALSE)/100)*'Calc (ex-housing, ex-storage)'!F222/100/VLOOKUP($C$221,'DB animal categories'!$C$81:$AC$90,27,FALSE)*AJ222+I222+J222+K222,IF(AS222=5,(('Calc (ex-animal)'!$G$44*'DB additional information '!$K$10/100+'Calc (ex-animal)'!$H$44*'DB additional information '!$L$10/100))*(1-VLOOKUP(D222,'DB technologies'!$N$109:$Y$120,9,FALSE)/100)*'Calc (ex-housing, ex-storage)'!F222/100/VLOOKUP($C$221,'DB animal categories'!$C$81:$AC$90,27,FALSE)*AJ222+I222+J222+K222,IF(AS222=3,('Calc (ex-animal)'!$G$44*'DB additional information '!$K$10/100+'Calc (ex-animal)'!$H$44*'DB additional information '!$L$10/100)*(1-VLOOKUP(D222,'DB technologies'!$N$109:$Y$120,9,FALSE)/100)*'Calc (ex-housing, ex-storage)'!F222/100/VLOOKUP($C$221,'DB animal categories'!$C$81:$AC$90,27,FALSE)*AJ222+I222+J222+K222,IF(AS222=4,('Calc (ex-animal)'!$G$44*'DB additional information '!$K$10/100+'Calc (ex-animal)'!$H$44*'DB additional information '!$L$10/100)*(1-VLOOKUP(D222,'DB technologies'!$N$109:$Y$120,9,FALSE)/100)*'Calc (ex-housing, ex-storage)'!F222/100*VLOOKUP(D222,'DB technologies'!$N$109:$Y$120,12,FALSE)/100/VLOOKUP($C$221,'DB animal categories'!$C$81:$AC$90,27,FALSE)*AJ222+I222+J222+K222,0))))))</f>
        <v/>
      </c>
      <c r="AV222" s="442" t="str">
        <f>IF(D222="","",IF(AS222=2,0,IF(AS222=1,'Calc (ex-animal)'!$G$44*(1-'DB additional information '!$K$10/100)*(1-VLOOKUP(D222,'DB technologies'!$N$109:$Y$120,8,FALSE)/100)*'Calc (ex-housing, ex-storage)'!F222/100/VLOOKUP($C$221,'DB animal categories'!$C$81:$AC$90,27,FALSE)*AJ222+M222+N222+O222,IF(AS222=5,('Calc (ex-animal)'!$G$44*(1-'DB additional information '!$K$10/100)+'Calc (ex-animal)'!$H$44*(1-'DB additional information '!$L$10/100))*(1-VLOOKUP(D222,'DB technologies'!$N$109:$Y$120,8,FALSE)/100)*'Calc (ex-housing, ex-storage)'!F222/100/VLOOKUP($C$221,'DB animal categories'!$C$81:$AC$90,27,FALSE)*AJ222+M222+N222+O222,IF(AS222=3,('Calc (ex-animal)'!$G$44*(1-'DB additional information '!$K$10/100)+'Calc (ex-animal)'!$H$44*(1-'DB additional information '!$L$10/100))*(1-VLOOKUP(D222,'DB technologies'!$N$109:$Y$120,8,FALSE)/100)*'Calc (ex-housing, ex-storage)'!F222/100/VLOOKUP($C$221,'DB animal categories'!$C$81:$AC$90,27,FALSE)*AJ222+M222+N222+O222,IF(AS222=4,('Calc (ex-animal)'!$G$44*(1-'DB additional information '!$K$10/100)+'Calc (ex-animal)'!$H$44*(1-'DB additional information '!$L$10/100))*(1-VLOOKUP(D222,'DB technologies'!$N$109:$Y$120,8,FALSE)/100)*'Calc (ex-housing, ex-storage)'!F222/100*VLOOKUP(D222,'DB technologies'!$N$109:$Y$120,12,FALSE)/100/VLOOKUP($C$221,'DB animal categories'!$C$81:$AC$90,27,FALSE)*AJ222+M222+N222+O222,0))))))</f>
        <v/>
      </c>
      <c r="AW222" s="442" t="str">
        <f>IF(AS222="","",IF(AU222=0,0,AU222/AT222*100))</f>
        <v/>
      </c>
      <c r="AX222" s="182" t="str">
        <f>IF(D222="","",IF(AS222=2,0,IF(AS222=1,'Calc (ex-animal)'!$K$44*'Calc (ex-housing, ex-storage)'!F222/100/VLOOKUP($C$221,'DB animal categories'!$C$81:$AC$90,27,FALSE)*AJ222+Q222+R222+S222,IF(AS222=5,('Calc (ex-animal)'!$K$44+'Calc (ex-animal)'!$L$44)*'Calc (ex-housing, ex-storage)'!F222/100/VLOOKUP($C$221,'DB animal categories'!$C$81:$AC$90,27,FALSE)*AJ222+Q222+R222+S222-'Calc (ex-housing, ex-storage)'!AC222,IF(AS222=3,('Calc (ex-animal)'!$K$44+'Calc (ex-animal)'!$L$44)*'Calc (ex-housing, ex-storage)'!F222/100/VLOOKUP($C$221,'DB animal categories'!$C$81:$AC$90,27,FALSE)*AJ222+Q222+R222+S222-'Calc (ex-housing, ex-storage)'!AC222-AD222-AE222,IF(AI222=4,('Calc (ex-animal)'!$K$44+'Calc (ex-animal)'!$L$44)*'Calc (ex-housing, ex-storage)'!F222/100*VLOOKUP(D222,'DB technologies'!$N$109:$Y$120,12,FALSE)/100/VLOOKUP($C$221,'DB animal categories'!$C$81:$AC$90,27,FALSE)*AJ222+Q222+R222+S222-(VLOOKUP(D222,'DB technologies'!$N$109:$Y$120,12,FALSE)/100*AC222)-AD222-AE222,0))))))</f>
        <v/>
      </c>
      <c r="AY222" s="182" t="str">
        <f>IF(D222="","",IF(AS222=2,0,IF(AS222=1,'Calc (ex-animal)'!$N$44*'Calc (ex-housing, ex-storage)'!F222/100/VLOOKUP($C$221,'DB animal categories'!$C$81:$AC$90,27,FALSE)*AJ222+U222+V222+W222,IF(AS222=5,('Calc (ex-animal)'!$N$44+'Calc (ex-animal)'!$O$44)*'Calc (ex-housing, ex-storage)'!F222/100/VLOOKUP($C$221,'DB animal categories'!$C$81:$AC$90,27,FALSE)*AJ222+U222+V222+W222,IF(AS222=3,('Calc (ex-animal)'!$N$44+'Calc (ex-animal)'!$O$44)*'Calc (ex-housing, ex-storage)'!F222/100/VLOOKUP($C$221,'DB animal categories'!$C$81:$AC$90,27,FALSE)*AJ222+U222+V222+W222,IF(AS222=4,('Calc (ex-animal)'!$N$44+'Calc (ex-animal)'!$O$44)*'Calc (ex-housing, ex-storage)'!F222/100*VLOOKUP(D222,'DB technologies'!$N$109:$Y$120,12,FALSE)/100/VLOOKUP($C$221,'DB animal categories'!$C$81:$AC$90,27,FALSE)*AJ222+U222+V222+W222,0))))))</f>
        <v/>
      </c>
      <c r="AZ222" s="182" t="str">
        <f>IF(D222="","",IF(AS222=2,0,IF(AS222=1,'Calc (ex-animal)'!$Q$44*'Calc (ex-housing, ex-storage)'!F222/100/VLOOKUP($C$221,'DB animal categories'!$C$81:$AC$90,27,FALSE)*AJ222+Y222+Z222+AA222,IF(AS222=5,('Calc (ex-animal)'!$Q$44+'Calc (ex-animal)'!$R$44)*'Calc (ex-housing, ex-storage)'!F222/100/VLOOKUP($C$221,'DB animal categories'!$C$81:$AC$90,27,FALSE)*AJ222+Y222+Z222+AA222,IF(AS222=3,('Calc (ex-animal)'!$Q$44+'Calc (ex-animal)'!$R$44)*'Calc (ex-housing, ex-storage)'!F222/100/VLOOKUP($C$221,'DB animal categories'!$C$81:$AC$90,27,FALSE)*AJ222+Y222+Z222+AA222,IF(AS222=4,('Calc (ex-animal)'!$Q$44+'Calc (ex-animal)'!$R$44)*'Calc (ex-housing, ex-storage)'!F222/100*VLOOKUP(D222,'DB technologies'!$N$109:$Y$120,12,FALSE)/100/VLOOKUP($C$221,'DB animal categories'!$C$81:$AC$90,27,FALSE)*AJ222+Y222+Z222+AA222,0))))))</f>
        <v/>
      </c>
      <c r="BA222" s="506"/>
      <c r="BB222" s="506"/>
      <c r="BC222" s="506"/>
    </row>
    <row r="223" spans="1:55" x14ac:dyDescent="0.2">
      <c r="A223" s="684"/>
      <c r="B223" s="695"/>
      <c r="C223" s="251"/>
      <c r="D223" s="1357"/>
      <c r="E223" s="1358"/>
      <c r="F223" s="480" t="str">
        <f>IF('Calc (ex-animal)'!$F$38=1,"",IF($C$221=0,"",IF(D223="","",E223/'Calc (ex-animal)'!$E$44*100)))</f>
        <v/>
      </c>
      <c r="G223" s="485" t="str">
        <f>IF($C$221=0,"",IF('Calc (ex-animal)'!$F$38=1,"",IF(D223="","",SUM(H223:O223))))</f>
        <v/>
      </c>
      <c r="H223" s="423" t="str">
        <f>IF('Calc (ex-animal)'!$F$38=1,"",IF(D223="","",(((VLOOKUP($C$221,'Calc (ex-animal)'!$D$43:$Y$47,6,FALSE)-VLOOKUP($C$221,'Calc (ex-animal)'!$D$43:$Y$47,17,FALSE))*F223/100))*VLOOKUP($C$221,'Calc (ex-animal)'!$D$43:$Y$47,7,FALSE)/100*(1-VLOOKUP(D223,'DB technologies'!$N$109:$Y$120,9,FALSE)/100)))</f>
        <v/>
      </c>
      <c r="I223" s="423" t="str">
        <f>IF(D223="","",((VLOOKUP(D223,'DB technologies'!$N$109:$Y$120,2,FALSE)*VLOOKUP($C$221,'DB animal categories'!$C$81:$AC$90,27,FALSE)*E223/1000)/VLOOKUP($C$221,'DB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'!$S$6/100*(1-VLOOKUP(D223,'DB technologies'!$N$109:$Y$120,9,FALSE)/100)))</f>
        <v/>
      </c>
      <c r="J223" s="434" t="str">
        <f>IF(D223="","",((VLOOKUP(D223,'DB technologies'!$N$109:$Y$120,3,FALSE)*VLOOKUP($C$221,'DB animal categories'!$C$81:$AC$90,27,FALSE)*E223/1000)/VLOOKUP($C$221,'DB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'!$S$7/100*(1-VLOOKUP(D223,'DB technologies'!$N$109:$Y$120,9,FALSE)/100)))</f>
        <v/>
      </c>
      <c r="K223" s="434" t="str">
        <f>IF(D223="","",((VLOOKUP(D223,'DB technologies'!$N$109:$Y$120,4,FALSE)*E223*'DB additional information '!$S$8/100*(1-VLOOKUP(D223,'DB technologies'!$N$109:$Y$120,9,FALSE)/100))/VLOOKUP($C$221,'DB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L223" s="423" t="str">
        <f>IF('Calc (ex-animal)'!$F$38=1,"",IF(D223="","",(((VLOOKUP($C$221,'Calc (ex-animal)'!$D$43:$Y$47,6,FALSE)-VLOOKUP($C$221,'Calc (ex-animal)'!$D$43:$Y$47,17,FALSE))*F223/100))*(1-VLOOKUP($C$221,'Calc (ex-animal)'!$D$43:$Y$47,7,FALSE)/100)*(1-VLOOKUP(D223,'DB technologies'!$N$109:$V$120,8,FALSE)/100)))</f>
        <v/>
      </c>
      <c r="M223" s="434" t="str">
        <f>IF(D223="","",((VLOOKUP(D223,'DB technologies'!$N$109:$Y$120,2,FALSE)*VLOOKUP($C$221,'DB animal categories'!$C$81:$AC$90,27,FALSE)*E223/1000)/VLOOKUP($C$221,'DB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'!$S$6/100)*(1-VLOOKUP(D223,'DB technologies'!$N$109:$Y$120,9,FALSE)/100))</f>
        <v/>
      </c>
      <c r="N223" s="434" t="str">
        <f>IF(D223="","",((VLOOKUP(D223,'DB technologies'!$N$109:$Y$120,3,FALSE)*VLOOKUP($C$221,'DB animal categories'!$C$81:$AC$90,27,FALSE)*E223/1000)/VLOOKUP($C$221,'DB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'!$S$7/100)*(1-VLOOKUP(D223,'DB technologies'!$N$109:$Y$120,9,FALSE)/100))</f>
        <v/>
      </c>
      <c r="O223" s="423" t="str">
        <f>IF(D223="","",((VLOOKUP(D223,'DB technologies'!$N$109:$Y$120,4,FALSE)*E223*(1-'DB additional information '!$S$8/100)*(1-VLOOKUP(D223,'DB technologies'!$N$109:$Y$120,8,FALSE)/100))/VLOOKUP($C$221,'DB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P223" s="438" t="str">
        <f>IF(G223=0,0,IF(E223="","",IF(F223="","",IF($C$221=0,"",IF(D223="","",SUM(H223:K223)/G223*100)))))</f>
        <v/>
      </c>
      <c r="Q223" s="416" t="str">
        <f>IF(D223="","",(VLOOKUP(D223,'DB technologies'!$N$109:$Y$120,2,FALSE)*'DB additional information '!$S$6/100*'DB additional information '!$T$6*VLOOKUP($C$221,'DB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R223" s="416" t="str">
        <f>IF(D223="","",(VLOOKUP(D223,'DB technologies'!$N$109:$Y$120,3,FALSE)*'DB additional information '!$S$7/100*'DB additional information '!$T$7*VLOOKUP($C$221,'DB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S223" s="491" t="str">
        <f>IF(D223="","",(VLOOKUP(D223,'DB technologies'!$N$109:$Y$120,4,FALSE)*('DB additional information '!$S$8/100*'DB additional information '!$T$8*E223/1000/1000)))</f>
        <v/>
      </c>
      <c r="T223" s="264" t="str">
        <f>IF($C$221=0,"",IF('Calc (ex-animal)'!$F$38=1,"",IF(D223="","",((VLOOKUP($C$221,'Calc (ex-animal)'!$D$43:$Y$47,10,FALSE)-VLOOKUP($C$221,'Calc (ex-animal)'!$D$43:$Y$47,18,FALSE))*F223/100+Q223+R223+S223)-AC223-AD223-AE223)))</f>
        <v/>
      </c>
      <c r="U223" s="422" t="str">
        <f>IF(D223="","",(VLOOKUP(D223,'DB technologies'!$N$109:$Y$120,2,FALSE)*'DB additional information '!$S$6/100*'DB additional information '!$U$6*VLOOKUP($C$221,'DB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V223" s="418" t="str">
        <f>IF(D223="","",(VLOOKUP(D223,'DB technologies'!$N$109:$Y$120,3,FALSE)*'DB additional information '!$S$7/100*'DB additional information '!$U$7*VLOOKUP($C$221,'DB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W223" s="417" t="str">
        <f>IF(D223="","",(VLOOKUP(D223,'DB technologies'!$N$109:$Y$120,4,FALSE)*('DB additional information '!$S$8/100*'DB additional information '!$U$8*E223/1000/1000)))</f>
        <v/>
      </c>
      <c r="X223" s="261" t="str">
        <f>IF($C$221=0,"",IF('Calc (ex-animal)'!$F$38=1,"",IF(D223="","",((VLOOKUP($C$221,'Calc (ex-animal)'!$D$43:$Y$47,13,FALSE)-VLOOKUP($C$221,'Calc (ex-animal)'!$D$43:$Y$47,19,FALSE))*F223/100+U223+V223+W223))))</f>
        <v/>
      </c>
      <c r="Y223" s="418" t="str">
        <f>IF(D223="","",(VLOOKUP(D223,'DB technologies'!$N$109:$Y$120,2,FALSE)*'DB additional information '!$S$6/100*'DB additional information '!$V$6*VLOOKUP($C$221,'DB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Z223" s="418" t="str">
        <f>IF(D223="","",(VLOOKUP(D223,'DB technologies'!$N$109:$Y$120,3,FALSE)*'DB additional information '!$S$7/100*'DB additional information '!$V$7*VLOOKUP($C$221,'DB animal categories'!$C$81:$AC$90,27,FALSE)*E223/1000/1000)/VLOOKUP($C$221,'DB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AA223" s="418" t="str">
        <f>IF(D223="","",(VLOOKUP(D223,'DB technologies'!$N$109:$Y$120,4,FALSE)*('DB additional information '!$S$8/100*'DB additional information '!$V$8*E223/1000/1000)))</f>
        <v/>
      </c>
      <c r="AB223" s="261" t="str">
        <f>IF($C$221=0,"",IF('Calc (ex-animal)'!$F$38=1,"",IF(D223="","",((VLOOKUP($C$221,'Calc (ex-animal)'!$D$43:$Y$47,16,FALSE)-VLOOKUP($C$221,'Calc (ex-animal)'!$D$43:$Y$47,20,FALSE))*F223/100+Y223+Z223+AA223))))</f>
        <v/>
      </c>
      <c r="AC223" s="261" t="str">
        <f>IF($C$221=0,"",IF('Calc (ex-animal)'!$F$38=1,"",IF(D223="","",VLOOKUP($C$221,'Calc (ex-animal)'!$D$43:$Y$47,9,FALSE)/VLOOKUP($C$221,'DB animal categories'!$C$81:$AC$90,27,FALSE)*(VLOOKUP($C$221,'DB animal categories'!$C$81:$AC$90,27,FALSE)-VLOOKUP($C$221,'DB animal categories'!$C$81:$AC$90,25,FALSE)*VLOOKUP($C$221,'DB animal categories'!$C$81:$AC$90,26,FALSE)/24)*F223/100*VLOOKUP(D223,'DB technologies'!$N$109:$R$120,5,FALSE)/100)))</f>
        <v/>
      </c>
      <c r="AD223" s="261" t="str">
        <f>IF($C$221=0,"",IF('Calc (ex-animal)'!$F$38=1,"",IF(D223="","",VLOOKUP($C$221,'Calc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categories'!$C$81:$AC$90,26,FALSE)/24)*F223/100*VLOOKUP(D223,'DB technologies'!$N$109:$Y$120,6,FALSE)/100)))</f>
        <v/>
      </c>
      <c r="AE223" s="262" t="str">
        <f>IF($C$221=0,"",IF('Calc (ex-animal)'!$F$38=1,"",IF(D223="","",VLOOKUP($C$221,'Calc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categories'!$C$81:$AC$90,26,FALSE)/24)*F223/100*VLOOKUP(D223,'DB technologies'!$N$109:$Y$120,7,FALSE)/100)))</f>
        <v/>
      </c>
      <c r="AI223" s="181" t="str">
        <f>IF(D223="","",VLOOKUP(D223,'DB technologies'!$N$109:$Y$120,10,FALSE))</f>
        <v/>
      </c>
      <c r="AJ223" s="449" t="e">
        <f>VLOOKUP($C$221,'DB animal categories'!$C$81:$AN$90,27,FALSE)-VLOOKUP($C$221,'DB animal categories'!$C$81:$AN$90,26,FALSE)*VLOOKUP($C$221,'DB animal categories'!$C$81:$AN$90,25,FALSE)/24</f>
        <v>#N/A</v>
      </c>
      <c r="AK223" s="442" t="str">
        <f>IF(AI223="","",AL223+AM223)</f>
        <v/>
      </c>
      <c r="AL223" s="442" t="str">
        <f>IF(D223="","",IF(AI223=2,(('Calc (ex-animal)'!$G$44*'DB additional information '!$K$10/100*(1-VLOOKUP(D223,'DB technologies'!$N$109:$Y$120,9,FALSE)/100)*'Calc (ex-housing, ex-storage)'!F223/100+'Calc (ex-animal)'!$H$44*'DB additional information '!$L$10/100*(1-VLOOKUP(D223,'DB technologies'!$N$109:$Y$120,9,FALSE)/100)*'Calc (ex-housing, ex-storage)'!F223/100))/VLOOKUP($C$221,'DB animal categories'!$C$81:$AC$90,27,FALSE)*AJ223+I223+J223+K223,IF(AI223=1,('Calc (ex-animal)'!$H$44*'DB additional information '!$L$10/100*(1-VLOOKUP(D223,'DB technologies'!$N$109:$Y$120,9,FALSE)/100)*'Calc (ex-housing, ex-storage)'!F223/100)/VLOOKUP($C$221,'DB animal categories'!$C$81:$AC$90,27,FALSE)*AJ223,IF(AI223=4,('Calc (ex-animal)'!$G$44*'DB additional information '!$K$10/100+'Calc (ex-animal)'!$H$44*'DB additional information '!$L$10/100)*(1-VLOOKUP(D223,'DB technologies'!$N$109:$Y$120,9,FALSE)/100)*'Calc (ex-housing, ex-storage)'!F223/100*VLOOKUP(D223,'DB technologies'!$N$109:$Y$120,11,FALSE)/100/VLOOKUP($C$221,'DB animal categories'!$C$81:$AC$90,27,FALSE)*AJ223,0))))</f>
        <v/>
      </c>
      <c r="AM223" s="442" t="str">
        <f>IF(D223="","",IF(AI223=2,(('Calc (ex-animal)'!$G$44*(1-'DB additional information '!$K$10/100)*(1-VLOOKUP(D223,'DB technologies'!$N$109:$Y$120,8,FALSE)/100)*'Calc (ex-housing, ex-storage)'!F223/100+'Calc (ex-animal)'!$H$44*(1-'DB additional information '!$L$10/100)*(1-VLOOKUP(D223,'DB technologies'!$N$109:$Y$120,8,FALSE)/100)*'Calc (ex-housing, ex-storage)'!F223/100))/VLOOKUP($C$221,'DB animal categories'!$C$81:$AC$90,27,FALSE)*AJ223+M223+N223+O223,IF(AI223=1,('Calc (ex-animal)'!$H$44*(1-'DB additional information '!$L$10/100)*(1-VLOOKUP(D223,'DB technologies'!$N$109:$Y$120,8,FALSE)/100)*'Calc (ex-housing, ex-storage)'!F223/100)/VLOOKUP($C$221,'DB animal categories'!$C$81:$AC$90,27,FALSE)*AJ223,IF(AI223=4,('Calc (ex-animal)'!$G$44*(1-'DB additional information '!$K$10/100)+'Calc (ex-animal)'!$H$44*(1-'DB additional information '!$L$10/100))*(1-VLOOKUP(D223,'DB technologies'!$N$109:$Y$120,8,FALSE)/100)*'Calc (ex-housing, ex-storage)'!F223/100*VLOOKUP(D223,'DB technologies'!$N$109:$Y$120,11,FALSE)/100/VLOOKUP($C$221,'DB animal categories'!$C$81:$AC$90,27,FALSE)*AJ223,0))))</f>
        <v/>
      </c>
      <c r="AN223" s="442" t="str">
        <f>IF(AI223="","",IF(AL223=0,0,AL223/AK223*100))</f>
        <v/>
      </c>
      <c r="AO223" s="182" t="str">
        <f>IF(D223="","",IF(AI223=2,(('Calc (ex-animal)'!$L$44*'Calc (ex-housing, ex-storage)'!F223/100+'Calc (ex-animal)'!$K$44*'Calc (ex-housing, ex-storage)'!F223/100))/VLOOKUP($C$221,'DB animal categories'!$C$81:$AC$90,27,FALSE)*AJ223+Q223+R223+S223-AC223,IF(AI223=1,('Calc (ex-animal)'!$L$44*'Calc (ex-housing, ex-storage)'!F223/100)/VLOOKUP($C$221,'DB animal categories'!$C$81:$AC$90,27,FALSE)*AJ223-'Calc (ex-housing, ex-storage)'!AC223,IF(AI223=4,('Calc (ex-animal)'!$L$44+'Calc (ex-animal)'!$K$44)*'Calc (ex-housing, ex-storage)'!F223/100*VLOOKUP(D223,'DB technologies'!$N$109:$Y$120,11,FALSE)/100/VLOOKUP($C$221,'DB animal categories'!$C$81:$AC$90,27,FALSE)*AJ223-AC223*VLOOKUP(D223,'DB technologies'!$N$109:$Y$120,11,FALSE)/100,0))))</f>
        <v/>
      </c>
      <c r="AP223" s="182" t="str">
        <f>IF(D223="","",IF(AO223&lt;-0.01,0,IF(AI223=2,(('Calc (ex-animal)'!$L$44*'Calc (ex-housing, ex-storage)'!F223/100+'Calc (ex-animal)'!$K$44*'Calc (ex-housing, ex-storage)'!F223/100))/VLOOKUP($C$221,'DB animal categories'!$C$81:$AC$90,27,FALSE)*AJ223+Q223+R223+S223-AC223,IF(AI223=1,('Calc (ex-animal)'!$L$44*'Calc (ex-housing, ex-storage)'!F223/100)/VLOOKUP($C$221,'DB animal categories'!$C$81:$AC$90,27,FALSE)*AJ223-'Calc (ex-housing, ex-storage)'!AC223,IF(AI223=4,('Calc (ex-animal)'!$L$44+'Calc (ex-animal)'!$K$44)*'Calc (ex-housing, ex-storage)'!F223/100*VLOOKUP(D223,'DB technologies'!$N$109:$Y$120,11,FALSE)/100/VLOOKUP($C$221,'DB animal categories'!$C$81:$AC$90,27,FALSE)*AJ223-AC223*VLOOKUP(D223,'DB technologies'!$N$109:$Y$120,11,FALSE)/100,0)))))</f>
        <v/>
      </c>
      <c r="AQ223" s="182" t="str">
        <f>IF(D223="","",IF(AI223=2,('Calc (ex-animal)'!$O$44*'Calc (ex-housing, ex-storage)'!F223/100+'Calc (ex-animal)'!$N$44*'Calc (ex-housing, ex-storage)'!F223/100)/VLOOKUP($C$221,'DB animal categories'!$C$81:$AC$90,27,FALSE)*AJ223+U223+V223+W223,IF(AI223=1,'Calc (ex-animal)'!$O$44*'Calc (ex-housing, ex-storage)'!F223/100/VLOOKUP($C$221,'DB animal categories'!$C$81:$AC$90,27,FALSE)*AJ223,IF(AI223=4,('Calc (ex-animal)'!$O$44+'Calc (ex-animal)'!$N$44)*'Calc (ex-housing, ex-storage)'!F223/100*VLOOKUP(D223,'DB technologies'!$N$109:$Y$120,11,FALSE)/100/VLOOKUP($C$221,'DB animal categories'!$C$81:$AC$90,27,FALSE)*AJ223,0))))</f>
        <v/>
      </c>
      <c r="AR223" s="182" t="str">
        <f>IF(D223="","",IF(AI223=2,('Calc (ex-animal)'!$R$44*'Calc (ex-housing, ex-storage)'!F223/100+'Calc (ex-animal)'!$Q$44*'Calc (ex-housing, ex-storage)'!F223/100)/VLOOKUP($C$221,'DB animal categories'!$C$81:$AC$90,27,FALSE)*AJ223+Y223+Z223+AA223,IF(AI223=1,'Calc (ex-animal)'!$R$44*'Calc (ex-housing, ex-storage)'!F223/100/VLOOKUP($C$221,'DB animal categories'!$C$81:$AC$90,27,FALSE)*AJ223,IF(AI223=4,('Calc (ex-animal)'!$R$44+'Calc (ex-animal)'!$Q$44)*'Calc (ex-housing, ex-storage)'!F223/100*VLOOKUP(D223,'DB technologies'!$N$109:$Y$120,11,FALSE)/100/VLOOKUP($C$221,'DB animal categories'!$C$81:$AC$90,27,FALSE)*AJ223,0))))</f>
        <v/>
      </c>
      <c r="AS223" s="181" t="str">
        <f>IF(D223="","",VLOOKUP(D223,'DB technologies'!$N$109:$Y$120,10,FALSE))</f>
        <v/>
      </c>
      <c r="AT223" s="442" t="str">
        <f>IF(AS223="","",AU223+AV223)</f>
        <v/>
      </c>
      <c r="AU223" s="442" t="str">
        <f>IF(D223="","",IF(AS223=2,0,IF(AS223=1,'Calc (ex-animal)'!$G$44*'DB additional information '!$K$10/100*(1-VLOOKUP(D223,'DB technologies'!$N$109:$Y$120,8,FALSE)/100)*'Calc (ex-housing, ex-storage)'!F223/100/VLOOKUP($C$221,'DB animal categories'!$C$81:$AC$90,27,FALSE)*AJ223+I223+J223+K223,IF(AS223=5,(('Calc (ex-animal)'!$G$44*'DB additional information '!$K$10/100+'Calc (ex-animal)'!$H$44*'DB additional information '!$L$10/100))*(1-VLOOKUP(D223,'DB technologies'!$N$109:$Y$120,9,FALSE)/100)*'Calc (ex-housing, ex-storage)'!F223/100/VLOOKUP($C$221,'DB animal categories'!$C$81:$AC$90,27,FALSE)*AJ223+I223+J223+K223,IF(AS223=3,('Calc (ex-animal)'!$G$44*'DB additional information '!$K$10/100+'Calc (ex-animal)'!$H$44*'DB additional information '!$L$10/100)*(1-VLOOKUP(D223,'DB technologies'!$N$109:$Y$120,9,FALSE)/100)*'Calc (ex-housing, ex-storage)'!F223/100/VLOOKUP($C$221,'DB animal categories'!$C$81:$AC$90,27,FALSE)*AJ223+I223+J223+K223,IF(AS223=4,('Calc (ex-animal)'!$G$44*'DB additional information '!$K$10/100+'Calc (ex-animal)'!$H$44*'DB additional information '!$L$10/100)*(1-VLOOKUP(D223,'DB technologies'!$N$109:$Y$120,9,FALSE)/100)*'Calc (ex-housing, ex-storage)'!F223/100*VLOOKUP(D223,'DB technologies'!$N$109:$Y$120,12,FALSE)/100/VLOOKUP($C$221,'DB animal categories'!$C$81:$AC$90,27,FALSE)*AJ223+I223+J223+K223,0))))))</f>
        <v/>
      </c>
      <c r="AV223" s="442" t="str">
        <f>IF(D223="","",IF(AS223=2,0,IF(AS223=1,'Calc (ex-animal)'!$G$44*(1-'DB additional information '!$K$10/100)*(1-VLOOKUP(D223,'DB technologies'!$N$109:$Y$120,8,FALSE)/100)*'Calc (ex-housing, ex-storage)'!F223/100/VLOOKUP($C$221,'DB animal categories'!$C$81:$AC$90,27,FALSE)*AJ223+M223+N223+O223,IF(AS223=5,('Calc (ex-animal)'!$G$44*(1-'DB additional information '!$K$10/100)+'Calc (ex-animal)'!$H$44*(1-'DB additional information '!$L$10/100))*(1-VLOOKUP(D223,'DB technologies'!$N$109:$Y$120,8,FALSE)/100)*'Calc (ex-housing, ex-storage)'!F223/100/VLOOKUP($C$221,'DB animal categories'!$C$81:$AC$90,27,FALSE)*AJ223+M223+N223+O223,IF(AS223=3,('Calc (ex-animal)'!$G$44*(1-'DB additional information '!$K$10/100)+'Calc (ex-animal)'!$H$44*(1-'DB additional information '!$L$10/100))*(1-VLOOKUP(D223,'DB technologies'!$N$109:$Y$120,8,FALSE)/100)*'Calc (ex-housing, ex-storage)'!F223/100/VLOOKUP($C$221,'DB animal categories'!$C$81:$AC$90,27,FALSE)*AJ223+M223+N223+O223,IF(AS223=4,('Calc (ex-animal)'!$G$44*(1-'DB additional information '!$K$10/100)+'Calc (ex-animal)'!$H$44*(1-'DB additional information '!$L$10/100))*(1-VLOOKUP(D223,'DB technologies'!$N$109:$Y$120,8,FALSE)/100)*'Calc (ex-housing, ex-storage)'!F223/100*VLOOKUP(D223,'DB technologies'!$N$109:$Y$120,12,FALSE)/100/VLOOKUP($C$221,'DB animal categories'!$C$81:$AC$90,27,FALSE)*AJ223+M223+N223+O223,0))))))</f>
        <v/>
      </c>
      <c r="AW223" s="442" t="str">
        <f>IF(AS223="","",IF(AU223=0,0,AU223/AT223*100))</f>
        <v/>
      </c>
      <c r="AX223" s="182" t="str">
        <f>IF(D223="","",IF(AS223=2,0,IF(AS223=1,'Calc (ex-animal)'!$K$44*'Calc (ex-housing, ex-storage)'!F223/100/VLOOKUP($C$221,'DB animal categories'!$C$81:$AC$90,27,FALSE)*AJ223+Q223+R223+S223,IF(AS223=5,('Calc (ex-animal)'!$K$44+'Calc (ex-animal)'!$L$44)*'Calc (ex-housing, ex-storage)'!F223/100/VLOOKUP($C$221,'DB animal categories'!$C$81:$AC$90,27,FALSE)*AJ223+Q223+R223+S223-'Calc (ex-housing, ex-storage)'!AC223,IF(AS223=3,('Calc (ex-animal)'!$K$44+'Calc (ex-animal)'!$L$44)*'Calc (ex-housing, ex-storage)'!F223/100/VLOOKUP($C$221,'DB animal categories'!$C$81:$AC$90,27,FALSE)*AJ223+Q223+R223+S223-'Calc (ex-housing, ex-storage)'!AC223-AD223-AE223,IF(AI223=4,('Calc (ex-animal)'!$K$44+'Calc (ex-animal)'!$L$44)*'Calc (ex-housing, ex-storage)'!F223/100*VLOOKUP(D223,'DB technologies'!$N$109:$Y$120,12,FALSE)/100/VLOOKUP($C$221,'DB animal categories'!$C$81:$AC$90,27,FALSE)*AJ223+Q223+R223+S223-(VLOOKUP(D223,'DB technologies'!$N$109:$Y$120,12,FALSE)/100*AC223)-AD223-AE223,0))))))</f>
        <v/>
      </c>
      <c r="AY223" s="182" t="str">
        <f>IF(D223="","",IF(AS223=2,0,IF(AS223=1,'Calc (ex-animal)'!$N$44*'Calc (ex-housing, ex-storage)'!F223/100/VLOOKUP($C$221,'DB animal categories'!$C$81:$AC$90,27,FALSE)*AJ223+U223+V223+W223,IF(AS223=5,('Calc (ex-animal)'!$N$44+'Calc (ex-animal)'!$O$44)*'Calc (ex-housing, ex-storage)'!F223/100/VLOOKUP($C$221,'DB animal categories'!$C$81:$AC$90,27,FALSE)*AJ223+U223+V223+W223,IF(AS223=3,('Calc (ex-animal)'!$N$44+'Calc (ex-animal)'!$O$44)*'Calc (ex-housing, ex-storage)'!F223/100/VLOOKUP($C$221,'DB animal categories'!$C$81:$AC$90,27,FALSE)*AJ223+U223+V223+W223,IF(AS223=4,('Calc (ex-animal)'!$N$44+'Calc (ex-animal)'!$O$44)*'Calc (ex-housing, ex-storage)'!F223/100*VLOOKUP(D223,'DB technologies'!$N$109:$Y$120,12,FALSE)/100/VLOOKUP($C$221,'DB animal categories'!$C$81:$AC$90,27,FALSE)*AJ223+U223+V223+W223,0))))))</f>
        <v/>
      </c>
      <c r="AZ223" s="182" t="str">
        <f>IF(D223="","",IF(AS223=2,0,IF(AS223=1,'Calc (ex-animal)'!$Q$44*'Calc (ex-housing, ex-storage)'!F223/100/VLOOKUP($C$221,'DB animal categories'!$C$81:$AC$90,27,FALSE)*AJ223+Y223+Z223+AA223,IF(AS223=5,('Calc (ex-animal)'!$Q$44+'Calc (ex-animal)'!$R$44)*'Calc (ex-housing, ex-storage)'!F223/100/VLOOKUP($C$221,'DB animal categories'!$C$81:$AC$90,27,FALSE)*AJ223+Y223+Z223+AA223,IF(AS223=3,('Calc (ex-animal)'!$Q$44+'Calc (ex-animal)'!$R$44)*'Calc (ex-housing, ex-storage)'!F223/100/VLOOKUP($C$221,'DB animal categories'!$C$81:$AC$90,27,FALSE)*AJ223+Y223+Z223+AA223,IF(AS223=4,('Calc (ex-animal)'!$Q$44+'Calc (ex-animal)'!$R$44)*'Calc (ex-housing, ex-storage)'!F223/100*VLOOKUP(D223,'DB technologies'!$N$109:$Y$120,12,FALSE)/100/VLOOKUP($C$221,'DB animal categories'!$C$81:$AC$90,27,FALSE)*AJ223+Y223+Z223+AA223,0))))))</f>
        <v/>
      </c>
      <c r="BA223" s="506"/>
      <c r="BB223" s="506"/>
      <c r="BC223" s="506"/>
    </row>
    <row r="224" spans="1:55" x14ac:dyDescent="0.2">
      <c r="A224" s="684"/>
      <c r="B224" s="695"/>
      <c r="C224" s="251"/>
      <c r="D224" s="1357"/>
      <c r="E224" s="1358"/>
      <c r="F224" s="480" t="str">
        <f>IF('Calc (ex-animal)'!$F$38=1,"",IF($C$221=0,"",IF(D224="","",E224/'Calc (ex-animal)'!$E$44*100)))</f>
        <v/>
      </c>
      <c r="G224" s="485" t="str">
        <f>IF($C$221=0,"",IF('Calc (ex-animal)'!$F$38=1,"",IF(D224="","",SUM(H224:O224))))</f>
        <v/>
      </c>
      <c r="H224" s="423" t="str">
        <f>IF('Calc (ex-animal)'!$F$38=1,"",IF(D224="","",(((VLOOKUP($C$221,'Calc (ex-animal)'!$D$43:$Y$47,6,FALSE)-VLOOKUP($C$221,'Calc (ex-animal)'!$D$43:$Y$47,17,FALSE))*F224/100))*VLOOKUP($C$221,'Calc (ex-animal)'!$D$43:$Y$47,7,FALSE)/100*(1-VLOOKUP(D224,'DB technologies'!$N$109:$Y$120,9,FALSE)/100)))</f>
        <v/>
      </c>
      <c r="I224" s="423" t="str">
        <f>IF(D224="","",((VLOOKUP(D224,'DB technologies'!$N$109:$Y$120,2,FALSE)*VLOOKUP($C$221,'DB animal categories'!$C$81:$AC$90,27,FALSE)*E224/1000)/VLOOKUP($C$221,'DB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'!$S$6/100*(1-VLOOKUP(D224,'DB technologies'!$N$109:$Y$120,9,FALSE)/100)))</f>
        <v/>
      </c>
      <c r="J224" s="434" t="str">
        <f>IF(D224="","",((VLOOKUP(D224,'DB technologies'!$N$109:$Y$120,3,FALSE)*VLOOKUP($C$221,'DB animal categories'!$C$81:$AC$90,27,FALSE)*E224/1000)/VLOOKUP($C$221,'DB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'!$S$7/100*(1-VLOOKUP(D224,'DB technologies'!$N$109:$Y$120,9,FALSE)/100)))</f>
        <v/>
      </c>
      <c r="K224" s="434" t="str">
        <f>IF(D224="","",((VLOOKUP(D224,'DB technologies'!$N$109:$Y$120,4,FALSE)*E224*'DB additional information '!$S$8/100*(1-VLOOKUP(D224,'DB technologies'!$N$109:$Y$120,9,FALSE)/100))/VLOOKUP($C$221,'DB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L224" s="423" t="str">
        <f>IF('Calc (ex-animal)'!$F$38=1,"",IF(D224="","",(((VLOOKUP($C$221,'Calc (ex-animal)'!$D$43:$Y$47,6,FALSE)-VLOOKUP($C$221,'Calc (ex-animal)'!$D$43:$Y$47,17,FALSE))*F224/100))*(1-VLOOKUP($C$221,'Calc (ex-animal)'!$D$43:$Y$47,7,FALSE)/100)*(1-VLOOKUP(D224,'DB technologies'!$N$109:$V$120,8,FALSE)/100)))</f>
        <v/>
      </c>
      <c r="M224" s="434" t="str">
        <f>IF(D224="","",((VLOOKUP(D224,'DB technologies'!$N$109:$Y$120,2,FALSE)*VLOOKUP($C$221,'DB animal categories'!$C$81:$AC$90,27,FALSE)*E224/1000)/VLOOKUP($C$221,'DB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'!$S$6/100)*(1-VLOOKUP(D224,'DB technologies'!$N$109:$Y$120,9,FALSE)/100))</f>
        <v/>
      </c>
      <c r="N224" s="434" t="str">
        <f>IF(D224="","",((VLOOKUP(D224,'DB technologies'!$N$109:$Y$120,3,FALSE)*VLOOKUP($C$221,'DB animal categories'!$C$81:$AC$90,27,FALSE)*E224/1000)/VLOOKUP($C$221,'DB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'!$S$7/100)*(1-VLOOKUP(D224,'DB technologies'!$N$109:$Y$120,9,FALSE)/100))</f>
        <v/>
      </c>
      <c r="O224" s="423" t="str">
        <f>IF(D224="","",((VLOOKUP(D224,'DB technologies'!$N$109:$Y$120,4,FALSE)*E224*(1-'DB additional information '!$S$8/100)*(1-VLOOKUP(D224,'DB technologies'!$N$109:$Y$120,8,FALSE)/100))/VLOOKUP($C$221,'DB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P224" s="438" t="str">
        <f>IF(G224=0,0,IF(E224="","",IF(F224="","",IF($C$221=0,"",IF(D224="","",SUM(H224:K224)/G224*100)))))</f>
        <v/>
      </c>
      <c r="Q224" s="416" t="str">
        <f>IF(D224="","",(VLOOKUP(D224,'DB technologies'!$N$109:$Y$120,2,FALSE)*'DB additional information '!$S$6/100*'DB additional information '!$T$6*VLOOKUP($C$221,'DB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R224" s="416" t="str">
        <f>IF(D224="","",(VLOOKUP(D224,'DB technologies'!$N$109:$Y$120,3,FALSE)*'DB additional information '!$S$7/100*'DB additional information '!$T$7*VLOOKUP($C$221,'DB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S224" s="491" t="str">
        <f>IF(D224="","",(VLOOKUP(D224,'DB technologies'!$N$109:$Y$120,4,FALSE)*('DB additional information '!$S$8/100*'DB additional information '!$T$8*E224/1000/1000)))</f>
        <v/>
      </c>
      <c r="T224" s="264" t="str">
        <f>IF($C$221=0,"",IF('Calc (ex-animal)'!$F$38=1,"",IF(D224="","",((VLOOKUP($C$221,'Calc (ex-animal)'!$D$43:$Y$47,10,FALSE)-VLOOKUP($C$221,'Calc (ex-animal)'!$D$43:$Y$47,18,FALSE))*F224/100+Q224+R224+S224)-AC224-AD224-AE224)))</f>
        <v/>
      </c>
      <c r="U224" s="422" t="str">
        <f>IF(D224="","",(VLOOKUP(D224,'DB technologies'!$N$109:$Y$120,2,FALSE)*'DB additional information '!$S$6/100*'DB additional information '!$U$6*VLOOKUP($C$221,'DB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V224" s="418" t="str">
        <f>IF(D224="","",(VLOOKUP(D224,'DB technologies'!$N$109:$Y$120,3,FALSE)*'DB additional information '!$S$7/100*'DB additional information '!$U$7*VLOOKUP($C$221,'DB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W224" s="417" t="str">
        <f>IF(D224="","",(VLOOKUP(D224,'DB technologies'!$N$109:$Y$120,4,FALSE)*('DB additional information '!$S$8/100*'DB additional information '!$U$8*E224/1000/1000)))</f>
        <v/>
      </c>
      <c r="X224" s="261" t="str">
        <f>IF($C$221=0,"",IF('Calc (ex-animal)'!$F$38=1,"",IF(D224="","",((VLOOKUP($C$221,'Calc (ex-animal)'!$D$43:$Y$47,13,FALSE)-VLOOKUP($C$221,'Calc (ex-animal)'!$D$43:$Y$47,19,FALSE))*F224/100+U224+V224+W224))))</f>
        <v/>
      </c>
      <c r="Y224" s="418" t="str">
        <f>IF(D224="","",(VLOOKUP(D224,'DB technologies'!$N$109:$Y$120,2,FALSE)*'DB additional information '!$S$6/100*'DB additional information '!$V$6*VLOOKUP($C$221,'DB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Z224" s="418" t="str">
        <f>IF(D224="","",(VLOOKUP(D224,'DB technologies'!$N$109:$Y$120,3,FALSE)*'DB additional information '!$S$7/100*'DB additional information '!$V$7*VLOOKUP($C$221,'DB animal categories'!$C$81:$AC$90,27,FALSE)*E224/1000/1000)/VLOOKUP($C$221,'DB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AA224" s="418" t="str">
        <f>IF(D224="","",(VLOOKUP(D224,'DB technologies'!$N$109:$Y$120,4,FALSE)*('DB additional information '!$S$8/100*'DB additional information '!$V$8*E224/1000/1000)))</f>
        <v/>
      </c>
      <c r="AB224" s="261" t="str">
        <f>IF($C$221=0,"",IF('Calc (ex-animal)'!$F$38=1,"",IF(D224="","",((VLOOKUP($C$221,'Calc (ex-animal)'!$D$43:$Y$47,16,FALSE)-VLOOKUP($C$221,'Calc (ex-animal)'!$D$43:$Y$47,20,FALSE))*F224/100+Y224+Z224+AA224))))</f>
        <v/>
      </c>
      <c r="AC224" s="261" t="str">
        <f>IF($C$221=0,"",IF('Calc (ex-animal)'!$F$38=1,"",IF(D224="","",VLOOKUP($C$221,'Calc (ex-animal)'!$D$43:$Y$47,9,FALSE)/VLOOKUP($C$221,'DB animal categories'!$C$81:$AC$90,27,FALSE)*(VLOOKUP($C$221,'DB animal categories'!$C$81:$AC$90,27,FALSE)-VLOOKUP($C$221,'DB animal categories'!$C$81:$AC$90,25,FALSE)*VLOOKUP($C$221,'DB animal categories'!$C$81:$AC$90,26,FALSE)/24)*F224/100*VLOOKUP(D224,'DB technologies'!$N$109:$R$120,5,FALSE)/100)))</f>
        <v/>
      </c>
      <c r="AD224" s="261" t="str">
        <f>IF($C$221=0,"",IF('Calc (ex-animal)'!$F$38=1,"",IF(D224="","",VLOOKUP($C$221,'Calc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categories'!$C$81:$AC$90,26,FALSE)/24)*F224/100*VLOOKUP(D224,'DB technologies'!$N$109:$Y$120,6,FALSE)/100)))</f>
        <v/>
      </c>
      <c r="AE224" s="262" t="str">
        <f>IF($C$221=0,"",IF('Calc (ex-animal)'!$F$38=1,"",IF(D224="","",VLOOKUP($C$221,'Calc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categories'!$C$81:$AC$90,26,FALSE)/24)*F224/100*VLOOKUP(D224,'DB technologies'!$N$109:$Y$120,7,FALSE)/100)))</f>
        <v/>
      </c>
      <c r="AI224" s="181" t="str">
        <f>IF(D224="","",VLOOKUP(D224,'DB technologies'!$N$109:$Y$120,10,FALSE))</f>
        <v/>
      </c>
      <c r="AJ224" s="449" t="e">
        <f>VLOOKUP($C$221,'DB animal categories'!$C$81:$AN$90,27,FALSE)-VLOOKUP($C$221,'DB animal categories'!$C$81:$AN$90,26,FALSE)*VLOOKUP($C$221,'DB animal categories'!$C$81:$AN$90,25,FALSE)/24</f>
        <v>#N/A</v>
      </c>
      <c r="AK224" s="442" t="str">
        <f>IF(AI224="","",AL224+AM224)</f>
        <v/>
      </c>
      <c r="AL224" s="442" t="str">
        <f>IF(D224="","",IF(AI224=2,(('Calc (ex-animal)'!$G$44*'DB additional information '!$K$10/100*(1-VLOOKUP(D224,'DB technologies'!$N$109:$Y$120,9,FALSE)/100)*'Calc (ex-housing, ex-storage)'!F224/100+'Calc (ex-animal)'!$H$44*'DB additional information '!$L$10/100*(1-VLOOKUP(D224,'DB technologies'!$N$109:$Y$120,9,FALSE)/100)*'Calc (ex-housing, ex-storage)'!F224/100))/VLOOKUP($C$221,'DB animal categories'!$C$81:$AC$90,27,FALSE)*AJ224+I224+J224+K224,IF(AI224=1,('Calc (ex-animal)'!$H$44*'DB additional information '!$L$10/100*(1-VLOOKUP(D224,'DB technologies'!$N$109:$Y$120,9,FALSE)/100)*'Calc (ex-housing, ex-storage)'!F224/100)/VLOOKUP($C$221,'DB animal categories'!$C$81:$AC$90,27,FALSE)*AJ224,IF(AI224=4,('Calc (ex-animal)'!$G$44*'DB additional information '!$K$10/100+'Calc (ex-animal)'!$H$44*'DB additional information '!$L$10/100)*(1-VLOOKUP(D224,'DB technologies'!$N$109:$Y$120,9,FALSE)/100)*'Calc (ex-housing, ex-storage)'!F224/100*VLOOKUP(D224,'DB technologies'!$N$109:$Y$120,11,FALSE)/100/VLOOKUP($C$221,'DB animal categories'!$C$81:$AC$90,27,FALSE)*AJ224,0))))</f>
        <v/>
      </c>
      <c r="AM224" s="442" t="str">
        <f>IF(D224="","",IF(AI224=2,(('Calc (ex-animal)'!$G$44*(1-'DB additional information '!$K$10/100)*(1-VLOOKUP(D224,'DB technologies'!$N$109:$Y$120,8,FALSE)/100)*'Calc (ex-housing, ex-storage)'!F224/100+'Calc (ex-animal)'!$H$44*(1-'DB additional information '!$L$10/100)*(1-VLOOKUP(D224,'DB technologies'!$N$109:$Y$120,8,FALSE)/100)*'Calc (ex-housing, ex-storage)'!F224/100))/VLOOKUP($C$221,'DB animal categories'!$C$81:$AC$90,27,FALSE)*AJ224+M224+N224+O224,IF(AI224=1,('Calc (ex-animal)'!$H$44*(1-'DB additional information '!$L$10/100)*(1-VLOOKUP(D224,'DB technologies'!$N$109:$Y$120,8,FALSE)/100)*'Calc (ex-housing, ex-storage)'!F224/100)/VLOOKUP($C$221,'DB animal categories'!$C$81:$AC$90,27,FALSE)*AJ224,IF(AI224=4,('Calc (ex-animal)'!$G$44*(1-'DB additional information '!$K$10/100)+'Calc (ex-animal)'!$H$44*(1-'DB additional information '!$L$10/100))*(1-VLOOKUP(D224,'DB technologies'!$N$109:$Y$120,8,FALSE)/100)*'Calc (ex-housing, ex-storage)'!F224/100*VLOOKUP(D224,'DB technologies'!$N$109:$Y$120,11,FALSE)/100/VLOOKUP($C$221,'DB animal categories'!$C$81:$AC$90,27,FALSE)*AJ224,0))))</f>
        <v/>
      </c>
      <c r="AN224" s="442" t="str">
        <f>IF(AI224="","",IF(AL224=0,0,AL224/AK224*100))</f>
        <v/>
      </c>
      <c r="AO224" s="182" t="str">
        <f>IF(D224="","",IF(AI224=2,(('Calc (ex-animal)'!$L$44*'Calc (ex-housing, ex-storage)'!F224/100+'Calc (ex-animal)'!$K$44*'Calc (ex-housing, ex-storage)'!F224/100))/VLOOKUP($C$221,'DB animal categories'!$C$81:$AC$90,27,FALSE)*AJ224+Q224+R224+S224-AC224,IF(AI224=1,('Calc (ex-animal)'!$L$44*'Calc (ex-housing, ex-storage)'!F224/100)/VLOOKUP($C$221,'DB animal categories'!$C$81:$AC$90,27,FALSE)*AJ224-'Calc (ex-housing, ex-storage)'!AC224,IF(AI224=4,('Calc (ex-animal)'!$L$44+'Calc (ex-animal)'!$K$44)*'Calc (ex-housing, ex-storage)'!F224/100*VLOOKUP(D224,'DB technologies'!$N$109:$Y$120,11,FALSE)/100/VLOOKUP($C$221,'DB animal categories'!$C$81:$AC$90,27,FALSE)*AJ224-AC224*VLOOKUP(D224,'DB technologies'!$N$109:$Y$120,11,FALSE)/100,0))))</f>
        <v/>
      </c>
      <c r="AP224" s="182" t="str">
        <f>IF(D224="","",IF(AO224&lt;-0.01,0,IF(AI224=2,(('Calc (ex-animal)'!$L$44*'Calc (ex-housing, ex-storage)'!F224/100+'Calc (ex-animal)'!$K$44*'Calc (ex-housing, ex-storage)'!F224/100))/VLOOKUP($C$221,'DB animal categories'!$C$81:$AC$90,27,FALSE)*AJ224+Q224+R224+S224-AC224,IF(AI224=1,('Calc (ex-animal)'!$L$44*'Calc (ex-housing, ex-storage)'!F224/100)/VLOOKUP($C$221,'DB animal categories'!$C$81:$AC$90,27,FALSE)*AJ224-'Calc (ex-housing, ex-storage)'!AC224,IF(AI224=4,('Calc (ex-animal)'!$L$44+'Calc (ex-animal)'!$K$44)*'Calc (ex-housing, ex-storage)'!F224/100*VLOOKUP(D224,'DB technologies'!$N$109:$Y$120,11,FALSE)/100/VLOOKUP($C$221,'DB animal categories'!$C$81:$AC$90,27,FALSE)*AJ224-AC224*VLOOKUP(D224,'DB technologies'!$N$109:$Y$120,11,FALSE)/100,0)))))</f>
        <v/>
      </c>
      <c r="AQ224" s="182" t="str">
        <f>IF(D224="","",IF(AI224=2,('Calc (ex-animal)'!$O$44*'Calc (ex-housing, ex-storage)'!F224/100+'Calc (ex-animal)'!$N$44*'Calc (ex-housing, ex-storage)'!F224/100)/VLOOKUP($C$221,'DB animal categories'!$C$81:$AC$90,27,FALSE)*AJ224+U224+V224+W224,IF(AI224=1,'Calc (ex-animal)'!$O$44*'Calc (ex-housing, ex-storage)'!F224/100/VLOOKUP($C$221,'DB animal categories'!$C$81:$AC$90,27,FALSE)*AJ224,IF(AI224=4,('Calc (ex-animal)'!$O$44+'Calc (ex-animal)'!$N$44)*'Calc (ex-housing, ex-storage)'!F224/100*VLOOKUP(D224,'DB technologies'!$N$109:$Y$120,11,FALSE)/100/VLOOKUP($C$221,'DB animal categories'!$C$81:$AC$90,27,FALSE)*AJ224,0))))</f>
        <v/>
      </c>
      <c r="AR224" s="182" t="str">
        <f>IF(D224="","",IF(AI224=2,('Calc (ex-animal)'!$R$44*'Calc (ex-housing, ex-storage)'!F224/100+'Calc (ex-animal)'!$Q$44*'Calc (ex-housing, ex-storage)'!F224/100)/VLOOKUP($C$221,'DB animal categories'!$C$81:$AC$90,27,FALSE)*AJ224+Y224+Z224+AA224,IF(AI224=1,'Calc (ex-animal)'!$R$44*'Calc (ex-housing, ex-storage)'!F224/100/VLOOKUP($C$221,'DB animal categories'!$C$81:$AC$90,27,FALSE)*AJ224,IF(AI224=4,('Calc (ex-animal)'!$R$44+'Calc (ex-animal)'!$Q$44)*'Calc (ex-housing, ex-storage)'!F224/100*VLOOKUP(D224,'DB technologies'!$N$109:$Y$120,11,FALSE)/100/VLOOKUP($C$221,'DB animal categories'!$C$81:$AC$90,27,FALSE)*AJ224,0))))</f>
        <v/>
      </c>
      <c r="AS224" s="181" t="str">
        <f>IF(D224="","",VLOOKUP(D224,'DB technologies'!$N$109:$Y$120,10,FALSE))</f>
        <v/>
      </c>
      <c r="AT224" s="442" t="str">
        <f>IF(AS224="","",AU224+AV224)</f>
        <v/>
      </c>
      <c r="AU224" s="442" t="str">
        <f>IF(D224="","",IF(AS224=2,0,IF(AS224=1,'Calc (ex-animal)'!$G$44*'DB additional information '!$K$10/100*(1-VLOOKUP(D224,'DB technologies'!$N$109:$Y$120,8,FALSE)/100)*'Calc (ex-housing, ex-storage)'!F224/100/VLOOKUP($C$221,'DB animal categories'!$C$81:$AC$90,27,FALSE)*AJ224+I224+J224+K224,IF(AS224=5,(('Calc (ex-animal)'!$G$44*'DB additional information '!$K$10/100+'Calc (ex-animal)'!$H$44*'DB additional information '!$L$10/100))*(1-VLOOKUP(D224,'DB technologies'!$N$109:$Y$120,9,FALSE)/100)*'Calc (ex-housing, ex-storage)'!F224/100/VLOOKUP($C$221,'DB animal categories'!$C$81:$AC$90,27,FALSE)*AJ224+I224+J224+K224,IF(AS224=3,('Calc (ex-animal)'!$G$44*'DB additional information '!$K$10/100+'Calc (ex-animal)'!$H$44*'DB additional information '!$L$10/100)*(1-VLOOKUP(D224,'DB technologies'!$N$109:$Y$120,9,FALSE)/100)*'Calc (ex-housing, ex-storage)'!F224/100/VLOOKUP($C$221,'DB animal categories'!$C$81:$AC$90,27,FALSE)*AJ224+I224+J224+K224,IF(AS224=4,('Calc (ex-animal)'!$G$44*'DB additional information '!$K$10/100+'Calc (ex-animal)'!$H$44*'DB additional information '!$L$10/100)*(1-VLOOKUP(D224,'DB technologies'!$N$109:$Y$120,9,FALSE)/100)*'Calc (ex-housing, ex-storage)'!F224/100*VLOOKUP(D224,'DB technologies'!$N$109:$Y$120,12,FALSE)/100/VLOOKUP($C$221,'DB animal categories'!$C$81:$AC$90,27,FALSE)*AJ224+I224+J224+K224,0))))))</f>
        <v/>
      </c>
      <c r="AV224" s="442" t="str">
        <f>IF(D224="","",IF(AS224=2,0,IF(AS224=1,'Calc (ex-animal)'!$G$44*(1-'DB additional information '!$K$10/100)*(1-VLOOKUP(D224,'DB technologies'!$N$109:$Y$120,8,FALSE)/100)*'Calc (ex-housing, ex-storage)'!F224/100/VLOOKUP($C$221,'DB animal categories'!$C$81:$AC$90,27,FALSE)*AJ224+M224+N224+O224,IF(AS224=5,('Calc (ex-animal)'!$G$44*(1-'DB additional information '!$K$10/100)+'Calc (ex-animal)'!$H$44*(1-'DB additional information '!$L$10/100))*(1-VLOOKUP(D224,'DB technologies'!$N$109:$Y$120,8,FALSE)/100)*'Calc (ex-housing, ex-storage)'!F224/100/VLOOKUP($C$221,'DB animal categories'!$C$81:$AC$90,27,FALSE)*AJ224+M224+N224+O224,IF(AS224=3,('Calc (ex-animal)'!$G$44*(1-'DB additional information '!$K$10/100)+'Calc (ex-animal)'!$H$44*(1-'DB additional information '!$L$10/100))*(1-VLOOKUP(D224,'DB technologies'!$N$109:$Y$120,8,FALSE)/100)*'Calc (ex-housing, ex-storage)'!F224/100/VLOOKUP($C$221,'DB animal categories'!$C$81:$AC$90,27,FALSE)*AJ224+M224+N224+O224,IF(AS224=4,('Calc (ex-animal)'!$G$44*(1-'DB additional information '!$K$10/100)+'Calc (ex-animal)'!$H$44*(1-'DB additional information '!$L$10/100))*(1-VLOOKUP(D224,'DB technologies'!$N$109:$Y$120,8,FALSE)/100)*'Calc (ex-housing, ex-storage)'!F224/100*VLOOKUP(D224,'DB technologies'!$N$109:$Y$120,12,FALSE)/100/VLOOKUP($C$221,'DB animal categories'!$C$81:$AC$90,27,FALSE)*AJ224+M224+N224+O224,0))))))</f>
        <v/>
      </c>
      <c r="AW224" s="442" t="str">
        <f>IF(AS224="","",IF(AU224=0,0,AU224/AT224*100))</f>
        <v/>
      </c>
      <c r="AX224" s="182" t="str">
        <f>IF(D224="","",IF(AS224=2,0,IF(AS224=1,'Calc (ex-animal)'!$K$44*'Calc (ex-housing, ex-storage)'!F224/100/VLOOKUP($C$221,'DB animal categories'!$C$81:$AC$90,27,FALSE)*AJ224+Q224+R224+S224,IF(AS224=5,('Calc (ex-animal)'!$K$44+'Calc (ex-animal)'!$L$44)*'Calc (ex-housing, ex-storage)'!F224/100/VLOOKUP($C$221,'DB animal categories'!$C$81:$AC$90,27,FALSE)*AJ224+Q224+R224+S224-'Calc (ex-housing, ex-storage)'!AC224,IF(AS224=3,('Calc (ex-animal)'!$K$44+'Calc (ex-animal)'!$L$44)*'Calc (ex-housing, ex-storage)'!F224/100/VLOOKUP($C$221,'DB animal categories'!$C$81:$AC$90,27,FALSE)*AJ224+Q224+R224+S224-'Calc (ex-housing, ex-storage)'!AC224-AD224-AE224,IF(AI224=4,('Calc (ex-animal)'!$K$44+'Calc (ex-animal)'!$L$44)*'Calc (ex-housing, ex-storage)'!F224/100*VLOOKUP(D224,'DB technologies'!$N$109:$Y$120,12,FALSE)/100/VLOOKUP($C$221,'DB animal categories'!$C$81:$AC$90,27,FALSE)*AJ224+Q224+R224+S224-(VLOOKUP(D224,'DB technologies'!$N$109:$Y$120,12,FALSE)/100*AC224)-AD224-AE224,0))))))</f>
        <v/>
      </c>
      <c r="AY224" s="182" t="str">
        <f>IF(D224="","",IF(AS224=2,0,IF(AS224=1,'Calc (ex-animal)'!$N$44*'Calc (ex-housing, ex-storage)'!F224/100/VLOOKUP($C$221,'DB animal categories'!$C$81:$AC$90,27,FALSE)*AJ224+U224+V224+W224,IF(AS224=5,('Calc (ex-animal)'!$N$44+'Calc (ex-animal)'!$O$44)*'Calc (ex-housing, ex-storage)'!F224/100/VLOOKUP($C$221,'DB animal categories'!$C$81:$AC$90,27,FALSE)*AJ224+U224+V224+W224,IF(AS224=3,('Calc (ex-animal)'!$N$44+'Calc (ex-animal)'!$O$44)*'Calc (ex-housing, ex-storage)'!F224/100/VLOOKUP($C$221,'DB animal categories'!$C$81:$AC$90,27,FALSE)*AJ224+U224+V224+W224,IF(AS224=4,('Calc (ex-animal)'!$N$44+'Calc (ex-animal)'!$O$44)*'Calc (ex-housing, ex-storage)'!F224/100*VLOOKUP(D224,'DB technologies'!$N$109:$Y$120,12,FALSE)/100/VLOOKUP($C$221,'DB animal categories'!$C$81:$AC$90,27,FALSE)*AJ224+U224+V224+W224,0))))))</f>
        <v/>
      </c>
      <c r="AZ224" s="182" t="str">
        <f>IF(D224="","",IF(AS224=2,0,IF(AS224=1,'Calc (ex-animal)'!$Q$44*'Calc (ex-housing, ex-storage)'!F224/100/VLOOKUP($C$221,'DB animal categories'!$C$81:$AC$90,27,FALSE)*AJ224+Y224+Z224+AA224,IF(AS224=5,('Calc (ex-animal)'!$Q$44+'Calc (ex-animal)'!$R$44)*'Calc (ex-housing, ex-storage)'!F224/100/VLOOKUP($C$221,'DB animal categories'!$C$81:$AC$90,27,FALSE)*AJ224+Y224+Z224+AA224,IF(AS224=3,('Calc (ex-animal)'!$Q$44+'Calc (ex-animal)'!$R$44)*'Calc (ex-housing, ex-storage)'!F224/100/VLOOKUP($C$221,'DB animal categories'!$C$81:$AC$90,27,FALSE)*AJ224+Y224+Z224+AA224,IF(AS224=4,('Calc (ex-animal)'!$Q$44+'Calc (ex-animal)'!$R$44)*'Calc (ex-housing, ex-storage)'!F224/100*VLOOKUP(D224,'DB technologies'!$N$109:$Y$120,12,FALSE)/100/VLOOKUP($C$221,'DB animal categories'!$C$81:$AC$90,27,FALSE)*AJ224+Y224+Z224+AA224,0))))))</f>
        <v/>
      </c>
      <c r="BA224" s="506"/>
      <c r="BB224" s="506"/>
      <c r="BC224" s="506"/>
    </row>
    <row r="225" spans="1:55" ht="12" thickBot="1" x14ac:dyDescent="0.25">
      <c r="A225" s="684"/>
      <c r="B225" s="695"/>
      <c r="C225" s="251"/>
      <c r="D225" s="1359"/>
      <c r="E225" s="1360"/>
      <c r="F225" s="481" t="str">
        <f>IF('Calc (ex-animal)'!$F$38=1,"",IF($C$221=0,"",IF(D225="","",E225/'Calc (ex-animal)'!$E$44*100)))</f>
        <v/>
      </c>
      <c r="G225" s="483" t="str">
        <f>IF($C$221=0,"",IF('Calc (ex-animal)'!$F$38=1,"",IF(D225="","",SUM(H225:O225))))</f>
        <v/>
      </c>
      <c r="H225" s="445" t="str">
        <f>IF('Calc (ex-animal)'!$F$38=1,"",IF(D225="","",(((VLOOKUP($C$221,'Calc (ex-animal)'!$D$43:$Y$47,6,FALSE)-VLOOKUP($C$221,'Calc (ex-animal)'!$D$43:$Y$47,17,FALSE))*F225/100))*VLOOKUP($C$221,'Calc (ex-animal)'!$D$43:$Y$47,7,FALSE)/100*(1-VLOOKUP(D225,'DB technologies'!$N$109:$Y$120,9,FALSE)/100)))</f>
        <v/>
      </c>
      <c r="I225" s="445" t="str">
        <f>IF(D225="","",((VLOOKUP(D225,'DB technologies'!$N$109:$Y$120,2,FALSE)*VLOOKUP($C$221,'DB animal categories'!$C$81:$AC$90,27,FALSE)*E225/1000)/VLOOKUP($C$221,'DB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'!$S$6/100*(1-VLOOKUP(D225,'DB technologies'!$N$109:$Y$120,9,FALSE)/100)))</f>
        <v/>
      </c>
      <c r="J225" s="446" t="str">
        <f>IF(D225="","",((VLOOKUP(D225,'DB technologies'!$N$109:$Y$120,3,FALSE)*VLOOKUP($C$221,'DB animal categories'!$C$81:$AC$90,27,FALSE)*E225/1000)/VLOOKUP($C$221,'DB animal categories'!$C$81:$AC$90,27,FALSE)*(VLOOKUP($C$221,'DB animal categories'!$C$81:$AC$90,27,FALSE)-(VLOOKUP($C$221,'DB animal categories'!$C$81:$AC$90,25,FALSE)*VLOOKUP($C$221,'DB animal categories'!$C$81:$AC$90,26,FALSE)/24))*'DB additional information '!$S$7/100*(1-VLOOKUP(D225,'DB technologies'!$N$109:$Y$120,9,FALSE)/100)))</f>
        <v/>
      </c>
      <c r="K225" s="446" t="str">
        <f>IF(D225="","",((VLOOKUP(D225,'DB technologies'!$N$109:$Y$120,4,FALSE)*E225*'DB additional information '!$S$8/100*(1-VLOOKUP(D225,'DB technologies'!$N$109:$Y$120,9,FALSE)/100))/VLOOKUP($C$221,'DB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L225" s="445" t="str">
        <f>IF('Calc (ex-animal)'!$F$38=1,"",IF(D225="","",(((VLOOKUP($C$221,'Calc (ex-animal)'!$D$43:$Y$47,6,FALSE)-VLOOKUP($C$221,'Calc (ex-animal)'!$D$43:$Y$47,17,FALSE))*F225/100))*(1-VLOOKUP($C$221,'Calc (ex-animal)'!$D$43:$Y$47,7,FALSE)/100)*(1-VLOOKUP(D225,'DB technologies'!$N$109:$V$120,8,FALSE)/100)))</f>
        <v/>
      </c>
      <c r="M225" s="446" t="str">
        <f>IF(D225="","",((VLOOKUP(D225,'DB technologies'!$N$109:$Y$120,2,FALSE)*VLOOKUP($C$221,'DB animal categories'!$C$81:$AC$90,27,FALSE)*E225/1000)/VLOOKUP($C$221,'DB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'!$S$6/100)*(1-VLOOKUP(D225,'DB technologies'!$N$109:$Y$120,9,FALSE)/100))</f>
        <v/>
      </c>
      <c r="N225" s="446" t="str">
        <f>IF(D225="","",((VLOOKUP(D225,'DB technologies'!$N$109:$Y$120,3,FALSE)*VLOOKUP($C$221,'DB animal categories'!$C$81:$AC$90,27,FALSE)*E225/1000)/VLOOKUP($C$221,'DB animal categories'!$C$81:$AC$90,27,FALSE)*(VLOOKUP($C$221,'DB animal categories'!$C$81:$AC$90,27,FALSE)-VLOOKUP($C$221,'DB animal categories'!$C$81:$AC$90,25,FALSE)*VLOOKUP($C$221,'DB animal categories'!$C$81:$AC$90,26,FALSE)/24))*(1-'DB additional information '!$S$7/100)*(1-VLOOKUP(D225,'DB technologies'!$N$109:$Y$120,9,FALSE)/100))</f>
        <v/>
      </c>
      <c r="O225" s="445" t="str">
        <f>IF(D225="","",((VLOOKUP(D225,'DB technologies'!$N$109:$Y$120,4,FALSE)*E225*(1-'DB additional information '!$S$8/100)*(1-VLOOKUP(D225,'DB technologies'!$N$109:$Y$120,8,FALSE)/100))/VLOOKUP($C$221,'DB animal categories'!$C$81:$AC$90,27,FALSE)*(VLOOKUP($C$221,'DB animal categories'!$C$81:$AC$90,27,FALSE)-VLOOKUP($C$221,'DB animal categories'!$C$81:$AC$90,25,FALSE)*VLOOKUP($C$221,'DB animal categories'!$C$81:$AC$90,26,FALSE)/24)))</f>
        <v/>
      </c>
      <c r="P225" s="444" t="str">
        <f>IF(G225=0,0,IF(E225="","",IF(F225="","",IF($C$221=0,"",IF(D225="","",SUM(H225:K225)/G225*100)))))</f>
        <v/>
      </c>
      <c r="Q225" s="476" t="str">
        <f>IF(D225="","",(VLOOKUP(D225,'DB technologies'!$N$109:$Y$120,2,FALSE)*'DB additional information '!$S$6/100*'DB additional information '!$T$6*VLOOKUP($C$221,'DB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R225" s="476" t="str">
        <f>IF(D225="","",(VLOOKUP(D225,'DB technologies'!$N$109:$Y$120,3,FALSE)*'DB additional information '!$S$7/100*'DB additional information '!$T$7*VLOOKUP($C$221,'DB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S225" s="494" t="str">
        <f>IF(D225="","",(VLOOKUP(D225,'DB technologies'!$N$109:$Y$120,4,FALSE)*('DB additional information '!$S$8/100*'DB additional information '!$T$8*E225/1000/1000)))</f>
        <v/>
      </c>
      <c r="T225" s="266" t="str">
        <f>IF($C$221=0,"",IF('Calc (ex-animal)'!$F$38=1,"",IF(D225="","",((VLOOKUP($C$221,'Calc (ex-animal)'!$D$43:$Y$47,10,FALSE)-VLOOKUP($C$221,'Calc (ex-animal)'!$D$43:$Y$47,18,FALSE))*F225/100+Q225+R225+S225)-AC225-AD225-AE225)))</f>
        <v/>
      </c>
      <c r="U225" s="477" t="str">
        <f>IF(D225="","",(VLOOKUP(D225,'DB technologies'!$N$109:$Y$120,2,FALSE)*'DB additional information '!$S$6/100*'DB additional information '!$U$6*VLOOKUP($C$221,'DB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V225" s="433" t="str">
        <f>IF(D225="","",(VLOOKUP(D225,'DB technologies'!$N$109:$Y$120,3,FALSE)*'DB additional information '!$S$7/100*'DB additional information '!$U$7*VLOOKUP($C$221,'DB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W225" s="475" t="str">
        <f>IF(D225="","",(VLOOKUP(D225,'DB technologies'!$N$109:$Y$120,4,FALSE)*('DB additional information '!$S$8/100*'DB additional information '!$U$8*E225/1000/1000)))</f>
        <v/>
      </c>
      <c r="X225" s="267" t="str">
        <f>IF($C$221=0,"",IF('Calc (ex-animal)'!$F$38=1,"",IF(D225="","",((VLOOKUP($C$221,'Calc (ex-animal)'!$D$43:$Y$47,13,FALSE)-VLOOKUP($C$221,'Calc (ex-animal)'!$D$43:$Y$47,19,FALSE))*F225/100+U225+V225+W225))))</f>
        <v/>
      </c>
      <c r="Y225" s="433" t="str">
        <f>IF(D225="","",(VLOOKUP(D225,'DB technologies'!$N$109:$Y$120,2,FALSE)*'DB additional information '!$S$6/100*'DB additional information '!$V$6*VLOOKUP($C$221,'DB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Z225" s="433" t="str">
        <f>IF(D225="","",(VLOOKUP(D225,'DB technologies'!$N$109:$Y$120,3,FALSE)*'DB additional information '!$S$7/100*'DB additional information '!$V$7*VLOOKUP($C$221,'DB animal categories'!$C$81:$AC$90,27,FALSE)*E225/1000/1000)/VLOOKUP($C$221,'DB animal categories'!$C$81:$AC$90,27,FALSE)*(VLOOKUP($C$221,'DB animal categories'!$C$81:$AC$90,27,FALSE)-VLOOKUP($C$221,'DB animal categories'!$C$81:$AC$90,25,FALSE)*VLOOKUP($C$221,'DB animal categories'!$C$81:$AC$90,26,FALSE)/24))</f>
        <v/>
      </c>
      <c r="AA225" s="433" t="str">
        <f>IF(D225="","",(VLOOKUP(D225,'DB technologies'!$N$109:$Y$120,4,FALSE)*('DB additional information '!$S$8/100*'DB additional information '!$V$8*E225/1000/1000)))</f>
        <v/>
      </c>
      <c r="AB225" s="267" t="str">
        <f>IF($C$221=0,"",IF('Calc (ex-animal)'!$F$38=1,"",IF(D225="","",((VLOOKUP($C$221,'Calc (ex-animal)'!$D$43:$Y$47,16,FALSE)-VLOOKUP($C$221,'Calc (ex-animal)'!$D$43:$Y$47,20,FALSE))*F225/100+Y225+Z225+AA225))))</f>
        <v/>
      </c>
      <c r="AC225" s="267" t="str">
        <f>IF($C$221=0,"",IF('Calc (ex-animal)'!$F$38=1,"",IF(D225="","",VLOOKUP($C$221,'Calc (ex-animal)'!$D$43:$Y$47,9,FALSE)/VLOOKUP($C$221,'DB animal categories'!$C$81:$AC$90,27,FALSE)*(VLOOKUP($C$221,'DB animal categories'!$C$81:$AC$90,27,FALSE)-VLOOKUP($C$221,'DB animal categories'!$C$81:$AC$90,25,FALSE)*VLOOKUP($C$221,'DB animal categories'!$C$81:$AC$90,26,FALSE)/24)*F225/100*VLOOKUP(D225,'DB technologies'!$N$109:$R$120,5,FALSE)/100)))</f>
        <v/>
      </c>
      <c r="AD225" s="267" t="str">
        <f>IF($C$221=0,"",IF('Calc (ex-animal)'!$F$38=1,"",IF(D225="","",VLOOKUP($C$221,'Calc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categories'!$C$81:$AC$90,26,FALSE)/24)*F225/100*VLOOKUP(D225,'DB technologies'!$N$109:$Y$120,6,FALSE)/100)))</f>
        <v/>
      </c>
      <c r="AE225" s="268" t="str">
        <f>IF($C$221=0,"",IF('Calc (ex-animal)'!$F$38=1,"",IF(D225="","",VLOOKUP($C$221,'Calc (ex-animal)'!$D$43:$Y$47,10,FALSE)/VLOOKUP($C$221,'DB animal categories'!$C$81:$AC$90,27,FALSE)*(VLOOKUP($C$221,'DB animal categories'!$C$81:$AC$90,27,FALSE)-VLOOKUP($C$221,'DB animal categories'!$C$81:$AC$90,25,FALSE)*VLOOKUP($C$221,'DB animal categories'!$C$81:$AC$90,26,FALSE)/24)*F225/100*VLOOKUP(D225,'DB technologies'!$N$109:$Y$120,7,FALSE)/100)))</f>
        <v/>
      </c>
      <c r="AI225" s="183" t="str">
        <f>IF(D225="","",VLOOKUP(D225,'DB technologies'!$N$109:$Y$120,10,FALSE))</f>
        <v/>
      </c>
      <c r="AJ225" s="451" t="e">
        <f>VLOOKUP($C$221,'DB animal categories'!$C$81:$AN$90,27,FALSE)-VLOOKUP($C$221,'DB animal categories'!$C$81:$AN$90,26,FALSE)*VLOOKUP($C$221,'DB animal categories'!$C$81:$AN$90,25,FALSE)/24</f>
        <v>#N/A</v>
      </c>
      <c r="AK225" s="452" t="str">
        <f>IF(AI225="","",AL225+AM225)</f>
        <v/>
      </c>
      <c r="AL225" s="452" t="str">
        <f>IF(D225="","",IF(AI225=2,(('Calc (ex-animal)'!$G$44*'DB additional information '!$K$10/100*(1-VLOOKUP(D225,'DB technologies'!$N$109:$Y$120,9,FALSE)/100)*'Calc (ex-housing, ex-storage)'!F225/100+'Calc (ex-animal)'!$H$44*'DB additional information '!$L$10/100*(1-VLOOKUP(D225,'DB technologies'!$N$109:$Y$120,9,FALSE)/100)*'Calc (ex-housing, ex-storage)'!F225/100))/VLOOKUP($C$221,'DB animal categories'!$C$81:$AC$90,27,FALSE)*AJ225+I225+J225+K225,IF(AI225=1,('Calc (ex-animal)'!$H$44*'DB additional information '!$L$10/100*(1-VLOOKUP(D225,'DB technologies'!$N$109:$Y$120,9,FALSE)/100)*'Calc (ex-housing, ex-storage)'!F225/100)/VLOOKUP($C$221,'DB animal categories'!$C$81:$AC$90,27,FALSE)*AJ225,IF(AI225=4,('Calc (ex-animal)'!$G$44*'DB additional information '!$K$10/100+'Calc (ex-animal)'!$H$44*'DB additional information '!$L$10/100)*(1-VLOOKUP(D225,'DB technologies'!$N$109:$Y$120,9,FALSE)/100)*'Calc (ex-housing, ex-storage)'!F225/100*VLOOKUP(D225,'DB technologies'!$N$109:$Y$120,11,FALSE)/100/VLOOKUP($C$221,'DB animal categories'!$C$81:$AC$90,27,FALSE)*AJ225,0))))</f>
        <v/>
      </c>
      <c r="AM225" s="452" t="str">
        <f>IF(D225="","",IF(AI225=2,(('Calc (ex-animal)'!$G$44*(1-'DB additional information '!$K$10/100)*(1-VLOOKUP(D225,'DB technologies'!$N$109:$Y$120,8,FALSE)/100)*'Calc (ex-housing, ex-storage)'!F225/100+'Calc (ex-animal)'!$H$44*(1-'DB additional information '!$L$10/100)*(1-VLOOKUP(D225,'DB technologies'!$N$109:$Y$120,8,FALSE)/100)*'Calc (ex-housing, ex-storage)'!F225/100))/VLOOKUP($C$221,'DB animal categories'!$C$81:$AC$90,27,FALSE)*AJ225+M225+N225+O225,IF(AI225=1,('Calc (ex-animal)'!$H$44*(1-'DB additional information '!$L$10/100)*(1-VLOOKUP(D225,'DB technologies'!$N$109:$Y$120,8,FALSE)/100)*'Calc (ex-housing, ex-storage)'!F225/100)/VLOOKUP($C$221,'DB animal categories'!$C$81:$AC$90,27,FALSE)*AJ225,IF(AI225=4,('Calc (ex-animal)'!$G$44*(1-'DB additional information '!$K$10/100)+'Calc (ex-animal)'!$H$44*(1-'DB additional information '!$L$10/100))*(1-VLOOKUP(D225,'DB technologies'!$N$109:$Y$120,8,FALSE)/100)*'Calc (ex-housing, ex-storage)'!F225/100*VLOOKUP(D225,'DB technologies'!$N$109:$Y$120,11,FALSE)/100/VLOOKUP($C$221,'DB animal categories'!$C$81:$AC$90,27,FALSE)*AJ225,0))))</f>
        <v/>
      </c>
      <c r="AN225" s="452" t="str">
        <f>IF(AI225="","",IF(AL225=0,0,AL225/AK225*100))</f>
        <v/>
      </c>
      <c r="AO225" s="184" t="str">
        <f>IF(D225="","",IF(AI225=2,(('Calc (ex-animal)'!$L$44*'Calc (ex-housing, ex-storage)'!F225/100+'Calc (ex-animal)'!$K$44*'Calc (ex-housing, ex-storage)'!F225/100))/VLOOKUP($C$221,'DB animal categories'!$C$81:$AC$90,27,FALSE)*AJ225+Q225+R225+S225-AC225,IF(AI225=1,('Calc (ex-animal)'!$L$44*'Calc (ex-housing, ex-storage)'!F225/100)/VLOOKUP($C$221,'DB animal categories'!$C$81:$AC$90,27,FALSE)*AJ225-'Calc (ex-housing, ex-storage)'!AC225,IF(AI225=4,('Calc (ex-animal)'!$L$44+'Calc (ex-animal)'!$K$44)*'Calc (ex-housing, ex-storage)'!F225/100*VLOOKUP(D225,'DB technologies'!$N$109:$Y$120,11,FALSE)/100/VLOOKUP($C$221,'DB animal categories'!$C$81:$AC$90,27,FALSE)*AJ225-AC225*VLOOKUP(D225,'DB technologies'!$N$109:$Y$120,11,FALSE)/100,0))))</f>
        <v/>
      </c>
      <c r="AP225" s="184" t="str">
        <f>IF(D225="","",IF(AO225&lt;-0.01,0,IF(AI225=2,(('Calc (ex-animal)'!$L$44*'Calc (ex-housing, ex-storage)'!F225/100+'Calc (ex-animal)'!$K$44*'Calc (ex-housing, ex-storage)'!F225/100))/VLOOKUP($C$221,'DB animal categories'!$C$81:$AC$90,27,FALSE)*AJ225+Q225+R225+S225-AC225,IF(AI225=1,('Calc (ex-animal)'!$L$44*'Calc (ex-housing, ex-storage)'!F225/100)/VLOOKUP($C$221,'DB animal categories'!$C$81:$AC$90,27,FALSE)*AJ225-'Calc (ex-housing, ex-storage)'!AC225,IF(AI225=4,('Calc (ex-animal)'!$L$44+'Calc (ex-animal)'!$K$44)*'Calc (ex-housing, ex-storage)'!F225/100*VLOOKUP(D225,'DB technologies'!$N$109:$Y$120,11,FALSE)/100/VLOOKUP($C$221,'DB animal categories'!$C$81:$AC$90,27,FALSE)*AJ225-AC225*VLOOKUP(D225,'DB technologies'!$N$109:$Y$120,11,FALSE)/100,0)))))</f>
        <v/>
      </c>
      <c r="AQ225" s="184" t="str">
        <f>IF(D225="","",IF(AI225=2,('Calc (ex-animal)'!$O$44*'Calc (ex-housing, ex-storage)'!F225/100+'Calc (ex-animal)'!$N$44*'Calc (ex-housing, ex-storage)'!F225/100)/VLOOKUP($C$221,'DB animal categories'!$C$81:$AC$90,27,FALSE)*AJ225+U225+V225+W225,IF(AI225=1,'Calc (ex-animal)'!$O$44*'Calc (ex-housing, ex-storage)'!F225/100/VLOOKUP($C$221,'DB animal categories'!$C$81:$AC$90,27,FALSE)*AJ225,IF(AI225=4,('Calc (ex-animal)'!$O$44+'Calc (ex-animal)'!$N$44)*'Calc (ex-housing, ex-storage)'!F225/100*VLOOKUP(D225,'DB technologies'!$N$109:$Y$120,11,FALSE)/100/VLOOKUP($C$221,'DB animal categories'!$C$81:$AC$90,27,FALSE)*AJ225,0))))</f>
        <v/>
      </c>
      <c r="AR225" s="184" t="str">
        <f>IF(D225="","",IF(AI225=2,('Calc (ex-animal)'!$R$44*'Calc (ex-housing, ex-storage)'!F225/100+'Calc (ex-animal)'!$Q$44*'Calc (ex-housing, ex-storage)'!F225/100)/VLOOKUP($C$221,'DB animal categories'!$C$81:$AC$90,27,FALSE)*AJ225+Y225+Z225+AA225,IF(AI225=1,'Calc (ex-animal)'!$R$44*'Calc (ex-housing, ex-storage)'!F225/100/VLOOKUP($C$221,'DB animal categories'!$C$81:$AC$90,27,FALSE)*AJ225,IF(AI225=4,('Calc (ex-animal)'!$R$44+'Calc (ex-animal)'!$Q$44)*'Calc (ex-housing, ex-storage)'!F225/100*VLOOKUP(D225,'DB technologies'!$N$109:$Y$120,11,FALSE)/100/VLOOKUP($C$221,'DB animal categories'!$C$81:$AC$90,27,FALSE)*AJ225,0))))</f>
        <v/>
      </c>
      <c r="AS225" s="183" t="str">
        <f>IF(D225="","",VLOOKUP(D225,'DB technologies'!$N$109:$Y$120,10,FALSE))</f>
        <v/>
      </c>
      <c r="AT225" s="452" t="str">
        <f>IF(AS225="","",AU225+AV225)</f>
        <v/>
      </c>
      <c r="AU225" s="452" t="str">
        <f>IF(D225="","",IF(AS225=2,0,IF(AS225=1,'Calc (ex-animal)'!$G$44*'DB additional information '!$K$10/100*(1-VLOOKUP(D225,'DB technologies'!$N$109:$Y$120,8,FALSE)/100)*'Calc (ex-housing, ex-storage)'!F225/100/VLOOKUP($C$221,'DB animal categories'!$C$81:$AC$90,27,FALSE)*AJ225+I225+J225+K225,IF(AS225=5,(('Calc (ex-animal)'!$G$44*'DB additional information '!$K$10/100+'Calc (ex-animal)'!$H$44*'DB additional information '!$L$10/100))*(1-VLOOKUP(D225,'DB technologies'!$N$109:$Y$120,9,FALSE)/100)*'Calc (ex-housing, ex-storage)'!F225/100/VLOOKUP($C$221,'DB animal categories'!$C$81:$AC$90,27,FALSE)*AJ225+I225+J225+K225,IF(AS225=3,('Calc (ex-animal)'!$G$44*'DB additional information '!$K$10/100+'Calc (ex-animal)'!$H$44*'DB additional information '!$L$10/100)*(1-VLOOKUP(D225,'DB technologies'!$N$109:$Y$120,9,FALSE)/100)*'Calc (ex-housing, ex-storage)'!F225/100/VLOOKUP($C$221,'DB animal categories'!$C$81:$AC$90,27,FALSE)*AJ225+I225+J225+K225,IF(AS225=4,('Calc (ex-animal)'!$G$44*'DB additional information '!$K$10/100+'Calc (ex-animal)'!$H$44*'DB additional information '!$L$10/100)*(1-VLOOKUP(D225,'DB technologies'!$N$109:$Y$120,9,FALSE)/100)*'Calc (ex-housing, ex-storage)'!F225/100*VLOOKUP(D225,'DB technologies'!$N$109:$Y$120,12,FALSE)/100/VLOOKUP($C$221,'DB animal categories'!$C$81:$AC$90,27,FALSE)*AJ225+I225+J225+K225,0))))))</f>
        <v/>
      </c>
      <c r="AV225" s="452" t="str">
        <f>IF(D225="","",IF(AS225=2,0,IF(AS225=1,'Calc (ex-animal)'!$G$44*(1-'DB additional information '!$K$10/100)*(1-VLOOKUP(D225,'DB technologies'!$N$109:$Y$120,8,FALSE)/100)*'Calc (ex-housing, ex-storage)'!F225/100/VLOOKUP($C$221,'DB animal categories'!$C$81:$AC$90,27,FALSE)*AJ225+M225+N225+O225,IF(AS225=5,('Calc (ex-animal)'!$G$44*(1-'DB additional information '!$K$10/100)+'Calc (ex-animal)'!$H$44*(1-'DB additional information '!$L$10/100))*(1-VLOOKUP(D225,'DB technologies'!$N$109:$Y$120,8,FALSE)/100)*'Calc (ex-housing, ex-storage)'!F225/100/VLOOKUP($C$221,'DB animal categories'!$C$81:$AC$90,27,FALSE)*AJ225+M225+N225+O225,IF(AS225=3,('Calc (ex-animal)'!$G$44*(1-'DB additional information '!$K$10/100)+'Calc (ex-animal)'!$H$44*(1-'DB additional information '!$L$10/100))*(1-VLOOKUP(D225,'DB technologies'!$N$109:$Y$120,8,FALSE)/100)*'Calc (ex-housing, ex-storage)'!F225/100/VLOOKUP($C$221,'DB animal categories'!$C$81:$AC$90,27,FALSE)*AJ225+M225+N225+O225,IF(AS225=4,('Calc (ex-animal)'!$G$44*(1-'DB additional information '!$K$10/100)+'Calc (ex-animal)'!$H$44*(1-'DB additional information '!$L$10/100))*(1-VLOOKUP(D225,'DB technologies'!$N$109:$Y$120,8,FALSE)/100)*'Calc (ex-housing, ex-storage)'!F225/100*VLOOKUP(D225,'DB technologies'!$N$109:$Y$120,12,FALSE)/100/VLOOKUP($C$221,'DB animal categories'!$C$81:$AC$90,27,FALSE)*AJ225+M225+N225+O225,0))))))</f>
        <v/>
      </c>
      <c r="AW225" s="452" t="str">
        <f>IF(AS225="","",IF(AU225=0,0,AU225/AT225*100))</f>
        <v/>
      </c>
      <c r="AX225" s="184" t="str">
        <f>IF(D225="","",IF(AS225=2,0,IF(AS225=1,'Calc (ex-animal)'!$K$44*'Calc (ex-housing, ex-storage)'!F225/100/VLOOKUP($C$221,'DB animal categories'!$C$81:$AC$90,27,FALSE)*AJ225+Q225+R225+S225,IF(AS225=5,('Calc (ex-animal)'!$K$44+'Calc (ex-animal)'!$L$44)*'Calc (ex-housing, ex-storage)'!F225/100/VLOOKUP($C$221,'DB animal categories'!$C$81:$AC$90,27,FALSE)*AJ225+Q225+R225+S225-'Calc (ex-housing, ex-storage)'!AC225,IF(AS225=3,('Calc (ex-animal)'!$K$44+'Calc (ex-animal)'!$L$44)*'Calc (ex-housing, ex-storage)'!F225/100/VLOOKUP($C$221,'DB animal categories'!$C$81:$AC$90,27,FALSE)*AJ225+Q225+R225+S225-'Calc (ex-housing, ex-storage)'!AC225-AD225-AE225,IF(AI225=4,('Calc (ex-animal)'!$K$44+'Calc (ex-animal)'!$L$44)*'Calc (ex-housing, ex-storage)'!F225/100*VLOOKUP(D225,'DB technologies'!$N$109:$Y$120,12,FALSE)/100/VLOOKUP($C$221,'DB animal categories'!$C$81:$AC$90,27,FALSE)*AJ225+Q225+R225+S225-(VLOOKUP(D225,'DB technologies'!$N$109:$Y$120,12,FALSE)/100*AC225)-AD225-AE225,0))))))</f>
        <v/>
      </c>
      <c r="AY225" s="184" t="str">
        <f>IF(D225="","",IF(AS225=2,0,IF(AS225=1,'Calc (ex-animal)'!$N$44*'Calc (ex-housing, ex-storage)'!F225/100/VLOOKUP($C$221,'DB animal categories'!$C$81:$AC$90,27,FALSE)*AJ225+U225+V225+W225,IF(AS225=5,('Calc (ex-animal)'!$N$44+'Calc (ex-animal)'!$O$44)*'Calc (ex-housing, ex-storage)'!F225/100/VLOOKUP($C$221,'DB animal categories'!$C$81:$AC$90,27,FALSE)*AJ225+U225+V225+W225,IF(AS225=3,('Calc (ex-animal)'!$N$44+'Calc (ex-animal)'!$O$44)*'Calc (ex-housing, ex-storage)'!F225/100/VLOOKUP($C$221,'DB animal categories'!$C$81:$AC$90,27,FALSE)*AJ225+U225+V225+W225,IF(AS225=4,('Calc (ex-animal)'!$N$44+'Calc (ex-animal)'!$O$44)*'Calc (ex-housing, ex-storage)'!F225/100*VLOOKUP(D225,'DB technologies'!$N$109:$Y$120,12,FALSE)/100/VLOOKUP($C$221,'DB animal categories'!$C$81:$AC$90,27,FALSE)*AJ225+U225+V225+W225,0))))))</f>
        <v/>
      </c>
      <c r="AZ225" s="184" t="str">
        <f>IF(D225="","",IF(AS225=2,0,IF(AS225=1,'Calc (ex-animal)'!$Q$44*'Calc (ex-housing, ex-storage)'!F225/100/VLOOKUP($C$221,'DB animal categories'!$C$81:$AC$90,27,FALSE)*AJ225+Y225+Z225+AA225,IF(AS225=5,('Calc (ex-animal)'!$Q$44+'Calc (ex-animal)'!$R$44)*'Calc (ex-housing, ex-storage)'!F225/100/VLOOKUP($C$221,'DB animal categories'!$C$81:$AC$90,27,FALSE)*AJ225+Y225+Z225+AA225,IF(AS225=3,('Calc (ex-animal)'!$Q$44+'Calc (ex-animal)'!$R$44)*'Calc (ex-housing, ex-storage)'!F225/100/VLOOKUP($C$221,'DB animal categories'!$C$81:$AC$90,27,FALSE)*AJ225+Y225+Z225+AA225,IF(AS225=4,('Calc (ex-animal)'!$Q$44+'Calc (ex-animal)'!$R$44)*'Calc (ex-housing, ex-storage)'!F225/100*VLOOKUP(D225,'DB technologies'!$N$109:$Y$120,12,FALSE)/100/VLOOKUP($C$221,'DB animal categories'!$C$81:$AC$90,27,FALSE)*AJ225+Y225+Z225+AA225,0))))))</f>
        <v/>
      </c>
      <c r="BA225" s="506"/>
      <c r="BB225" s="506"/>
      <c r="BC225" s="506"/>
    </row>
    <row r="226" spans="1:55" ht="12" thickBot="1" x14ac:dyDescent="0.25">
      <c r="A226" s="684"/>
      <c r="B226" s="695"/>
      <c r="C226" s="252"/>
      <c r="D226" s="281" t="s">
        <v>58</v>
      </c>
      <c r="E226" s="282">
        <f>IF(F226&lt;=100,SUM(E221:E225),"ERROR")</f>
        <v>0</v>
      </c>
      <c r="F226" s="283">
        <f>IF(SUM(F221:F225) &lt;=100,SUM(F221:F225),"ERROR, SUM&gt;100%")</f>
        <v>0</v>
      </c>
      <c r="G226" s="504">
        <f>IF('Calc (ex-animal)'!$F$38=1,"",SUM(G221:G225))</f>
        <v>0</v>
      </c>
      <c r="H226" s="433">
        <f>IF('Calc (ex-animal)'!$F$8=1,"",SUM(H221:H225))</f>
        <v>0</v>
      </c>
      <c r="I226" s="433">
        <f>IF('Calc (ex-animal)'!$F$8=1,"",SUM(I221:I225))</f>
        <v>0</v>
      </c>
      <c r="J226" s="433">
        <f>IF('Calc (ex-animal)'!$F$8=1,"",SUM(J221:J225))</f>
        <v>0</v>
      </c>
      <c r="K226" s="433">
        <f>IF('Calc (ex-animal)'!$F$8=1,"",SUM(K221:K225))</f>
        <v>0</v>
      </c>
      <c r="L226" s="433">
        <f>IF('Calc (ex-animal)'!$F$8=1,"",SUM(L221:L225))</f>
        <v>0</v>
      </c>
      <c r="M226" s="470"/>
      <c r="N226" s="470"/>
      <c r="O226" s="470"/>
      <c r="P226" s="478">
        <f>IF(G226=0,0,IF('Calc (ex-animal)'!$F$38=1,"",IF(D226="","",SUM(H226:K226)/G226*100)))</f>
        <v>0</v>
      </c>
      <c r="Q226" s="394"/>
      <c r="R226" s="394"/>
      <c r="S226" s="394"/>
      <c r="T226" s="278">
        <f>IF('Calc (ex-animal)'!$F$44=1,"",SUM(T221:T225))</f>
        <v>0</v>
      </c>
      <c r="U226" s="279"/>
      <c r="V226" s="279"/>
      <c r="W226" s="279"/>
      <c r="X226" s="279">
        <f>IF('Calc (ex-animal)'!$F$44=1,"",SUM(X221:X225))</f>
        <v>0</v>
      </c>
      <c r="Y226" s="279"/>
      <c r="Z226" s="279"/>
      <c r="AA226" s="279"/>
      <c r="AB226" s="279">
        <f>IF('Calc (ex-animal)'!$F$44=1,"",SUM(AB221:AB225))</f>
        <v>0</v>
      </c>
      <c r="AC226" s="279">
        <f>IF('Calc (ex-animal)'!$F$44=1,"",SUM(AC221:AC225))</f>
        <v>0</v>
      </c>
      <c r="AD226" s="279">
        <f>IF('Calc (ex-animal)'!$F$44=1,"",SUM(AD221:AD225))</f>
        <v>0</v>
      </c>
      <c r="AE226" s="280">
        <f>IF('Calc (ex-animal)'!$F$44=1,"",SUM(AE221:AE225))</f>
        <v>0</v>
      </c>
    </row>
    <row r="227" spans="1:55" x14ac:dyDescent="0.2">
      <c r="A227" s="684"/>
      <c r="B227" s="695"/>
      <c r="C227" s="254">
        <f>'Calc (ex-animal)'!D45</f>
        <v>0</v>
      </c>
      <c r="D227" s="1396"/>
      <c r="E227" s="1356"/>
      <c r="F227" s="479" t="str">
        <f>IF('Calc (ex-animal)'!$F$38=1,"",IF($C$227=0,"",IF(D227="","",E227/'Calc (ex-animal)'!$E$45*100)))</f>
        <v/>
      </c>
      <c r="G227" s="443" t="str">
        <f>IF($C$227=0,"",IF('Calc (ex-animal)'!$F$38=1,"",IF(D227="","",SUM(H227:O227))))</f>
        <v/>
      </c>
      <c r="H227" s="471" t="str">
        <f>IF('Calc (ex-animal)'!$F$38=1,"",IF(D227="","",(((VLOOKUP($C$227,'Calc (ex-animal)'!$D$43:$Y$47,6,FALSE)-VLOOKUP($C$227,'Calc (ex-animal)'!$D$43:$Y$47,17,FALSE))*F227/100))*VLOOKUP($C$227,'Calc (ex-animal)'!$D$43:$Y$47,7,FALSE)/100*(1-VLOOKUP(D227,'DB technologies'!$N$109:$Y$120,9,FALSE)/100)))</f>
        <v/>
      </c>
      <c r="I227" s="471" t="str">
        <f>IF(D227="","",((VLOOKUP(D227,'DB technologies'!$N$109:$Y$120,2,FALSE)*VLOOKUP($C$227,'DB animal categories'!$C$81:$AC$90,27,FALSE)*E227/1000)/VLOOKUP($C$227,'DB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'!$S$6/100*(1-VLOOKUP(D227,'DB technologies'!$N$109:$Y$120,9,FALSE)/100)))</f>
        <v/>
      </c>
      <c r="J227" s="472" t="str">
        <f>IF(D227="","",((VLOOKUP(D227,'DB technologies'!$N$109:$Y$120,3,FALSE)*VLOOKUP($C$227,'DB animal categories'!$C$81:$AC$90,27,FALSE)*E227/1000)/VLOOKUP($C$227,'DB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'!$S$7/100*(1-VLOOKUP(D227,'DB technologies'!$N$109:$Y$120,9,FALSE)/100)))</f>
        <v/>
      </c>
      <c r="K227" s="472" t="str">
        <f>IF(D227="","",((VLOOKUP(D227,'DB technologies'!$N$109:$Y$120,4,FALSE)*E227*'DB additional information '!$S$8/100*(1-VLOOKUP(D227,'DB technologies'!$N$109:$Y$120,9,FALSE)/100))/VLOOKUP($C$227,'DB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L227" s="471" t="str">
        <f>IF('Calc (ex-animal)'!$F$38=1,"",IF(D227="","",(((VLOOKUP($C$227,'Calc (ex-animal)'!$D$43:$Y$47,6,FALSE)-VLOOKUP($C$227,'Calc (ex-animal)'!$D$43:$Y$47,17,FALSE))*F227/100))*(1-VLOOKUP($C$227,'Calc (ex-animal)'!$D$43:$Y$47,7,FALSE)/100)*(1-VLOOKUP(D227,'DB technologies'!$N$109:$V$120,8,FALSE)/100)))</f>
        <v/>
      </c>
      <c r="M227" s="472" t="str">
        <f>IF(D227="","",((VLOOKUP(D227,'DB technologies'!$N$109:$Y$120,2,FALSE)*VLOOKUP($C$227,'DB animal categories'!$C$81:$AC$90,27,FALSE)*E227/1000)/VLOOKUP($C$227,'DB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'!$S$6/100)*(1-VLOOKUP(D227,'DB technologies'!$N$109:$Y$120,9,FALSE)/100))</f>
        <v/>
      </c>
      <c r="N227" s="472" t="str">
        <f>IF(D227="","",((VLOOKUP(D227,'DB technologies'!$N$109:$Y$120,3,FALSE)*VLOOKUP($C$227,'DB animal categories'!$C$81:$AC$90,27,FALSE)*E227/1000)/VLOOKUP($C$227,'DB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'!$S$7/100)*(1-VLOOKUP(D227,'DB technologies'!$N$109:$Y$120,9,FALSE)/100))</f>
        <v/>
      </c>
      <c r="O227" s="471" t="str">
        <f>IF(D227="","",((VLOOKUP(D227,'DB technologies'!$N$109:$Y$120,4,FALSE)*E227*(1-'DB additional information '!$S$8/100)*(1-VLOOKUP(D227,'DB technologies'!$N$109:$Y$120,8,FALSE)/100))/VLOOKUP($C$227,'DB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P227" s="443" t="str">
        <f>IF(G227=0,0,IF(E227="","",IF(F227="","",IF($C$227=0,"",IF(D227="","",SUM(H227:K227)/G227*100)))))</f>
        <v/>
      </c>
      <c r="Q227" s="473" t="str">
        <f>IF(D227="","",(VLOOKUP(D227,'DB technologies'!$N$109:$Y$120,2,FALSE)*'DB additional information '!$S$6/100*'DB additional information '!$T$6*VLOOKUP($C$227,'DB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R227" s="473" t="str">
        <f>IF(D227="","",(VLOOKUP(D227,'DB technologies'!$N$109:$Y$120,3,FALSE)*'DB additional information '!$S$7/100*'DB additional information '!$T$7*VLOOKUP($C$227,'DB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S227" s="490" t="str">
        <f>IF(D227="","",(VLOOKUP(D227,'DB technologies'!$N$109:$Y$120,4,FALSE)*('DB additional information '!$S$8/100*'DB additional information '!$T$8*E227/1000/1000)))</f>
        <v/>
      </c>
      <c r="T227" s="263" t="str">
        <f>IF($C$227=0,"",IF('Calc (ex-animal)'!$F$38=1,"",IF(D227="","",((VLOOKUP($C$227,'Calc (ex-animal)'!$D$43:$Y$47,10,FALSE)-VLOOKUP($C$227,'Calc (ex-animal)'!$D$43:$Y$47,18,FALSE))*F227/100+Q227+R227+S227)-AC227-AD227-AE227)))</f>
        <v/>
      </c>
      <c r="U227" s="474" t="str">
        <f>IF(D227="","",(VLOOKUP(D227,'DB technologies'!$N$109:$Y$120,2,FALSE)*'DB additional information '!$S$6/100*'DB additional information '!$U$6*VLOOKUP($C$227,'DB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V227" s="420" t="str">
        <f>IF(D227="","",(VLOOKUP(D227,'DB technologies'!$N$109:$Y$120,3,FALSE)*'DB additional information '!$S$7/100*'DB additional information '!$U$7*VLOOKUP($C$227,'DB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W227" s="415" t="str">
        <f>IF(D227="","",(VLOOKUP(D227,'DB technologies'!$N$109:$Y$120,4,FALSE)*('DB additional information '!$S$8/100*'DB additional information '!$U$8*E227/1000/1000)))</f>
        <v/>
      </c>
      <c r="X227" s="259" t="str">
        <f>IF($C$227=0,"",IF('Calc (ex-animal)'!$F$38=1,"",IF(D227="","",((VLOOKUP($C$227,'Calc (ex-animal)'!$D$43:$Y$47,13,FALSE)-VLOOKUP($C$227,'Calc (ex-animal)'!$D$43:$Y$47,19,FALSE))*F227/100+U227+V227+W227))))</f>
        <v/>
      </c>
      <c r="Y227" s="420" t="str">
        <f>IF(D227="","",(VLOOKUP(D227,'DB technologies'!$N$109:$Y$120,2,FALSE)*'DB additional information '!$S$6/100*'DB additional information '!$V$6*VLOOKUP($C$227,'DB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Z227" s="420" t="str">
        <f>IF(D227="","",(VLOOKUP(D227,'DB technologies'!$N$109:$Y$120,3,FALSE)*'DB additional information '!$S$7/100*'DB additional information '!$V$7*VLOOKUP($C$227,'DB animal categories'!$C$81:$AC$90,27,FALSE)*E227/1000/1000)/VLOOKUP($C$227,'DB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AA227" s="420" t="str">
        <f>IF(D227="","",(VLOOKUP(D227,'DB technologies'!$N$109:$Y$120,4,FALSE)*('DB additional information '!$S$8/100*'DB additional information '!$V$8*E227/1000/1000)))</f>
        <v/>
      </c>
      <c r="AB227" s="259" t="str">
        <f>IF($C$227=0,"",IF('Calc (ex-animal)'!$F$38=1,"",IF(D227="","",((VLOOKUP($C$227,'Calc (ex-animal)'!$D$43:$Y$47,16,FALSE)-VLOOKUP($C$227,'Calc (ex-animal)'!$D$43:$Y$47,20,FALSE))*F227/100+Y227+Z227+AA227))))</f>
        <v/>
      </c>
      <c r="AC227" s="259" t="str">
        <f>IF($C$227=0,"",IF('Calc (ex-animal)'!$F$38=1,"",IF(D227="","",VLOOKUP($C$227,'Calc (ex-animal)'!$D$43:$Y$47,9,FALSE)/VLOOKUP($C$227,'DB animal categories'!$C$81:$AC$90,27,FALSE)*(VLOOKUP($C$227,'DB animal categories'!$C$81:$AC$90,27,FALSE)-VLOOKUP($C$227,'DB animal categories'!$C$81:$AC$90,25,FALSE)*VLOOKUP($C$227,'DB animal categories'!$C$81:$AC$90,26,FALSE)/24)*F227/100*VLOOKUP(D227,'DB technologies'!$N$109:$R$120,5,FALSE)/100)))</f>
        <v/>
      </c>
      <c r="AD227" s="259" t="str">
        <f>IF($C$227=0,"",IF('Calc (ex-animal)'!$F$38=1,"",IF(D227="","",VLOOKUP($C$227,'Calc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categories'!$C$81:$AC$90,26,FALSE)/24)*F227/100*VLOOKUP(D227,'DB technologies'!$N$109:$Y$120,6,FALSE)/100)))</f>
        <v/>
      </c>
      <c r="AE227" s="260" t="str">
        <f>IF($C$227=0,"",IF('Calc (ex-animal)'!$F$38=1,"",IF(D227="","",VLOOKUP($C$227,'Calc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categories'!$C$81:$AC$90,26,FALSE)/24)*F227/100*VLOOKUP(D227,'DB technologies'!$N$109:$Y$120,7,FALSE)/100)))</f>
        <v/>
      </c>
      <c r="AI227" s="179" t="str">
        <f>IF(D227="","",VLOOKUP(D227,'DB technologies'!$N$109:$Y$120,10,FALSE))</f>
        <v/>
      </c>
      <c r="AJ227" s="482" t="e">
        <f>VLOOKUP($C$227,'DB animal categories'!$C$81:$AN$90,27,FALSE)-VLOOKUP($C$227,'DB animal categories'!$C$81:$AN$90,26,FALSE)*VLOOKUP($C$227,'DB animal categories'!$C$81:$AN$90,25,FALSE)/24</f>
        <v>#N/A</v>
      </c>
      <c r="AK227" s="453" t="str">
        <f>IF(AI227="","",AL227+AM227)</f>
        <v/>
      </c>
      <c r="AL227" s="453" t="str">
        <f>IF(D227="","",IF(AI227=2,(('Calc (ex-animal)'!$G$45*'DB additional information '!$K$10/100*(1-VLOOKUP(D227,'DB technologies'!$N$109:$Y$120,9,FALSE)/100)*'Calc (ex-housing, ex-storage)'!F227/100+'Calc (ex-animal)'!$H$45*'DB additional information '!$L$10/100*(1-VLOOKUP(D227,'DB technologies'!$N$109:$Y$120,9,FALSE)/100)*'Calc (ex-housing, ex-storage)'!F227/100))/VLOOKUP($C$227,'DB animal categories'!$C$81:$AC$90,27,FALSE)*AJ227+I227+J227+K227,IF(AI227=1,('Calc (ex-animal)'!$H$45*'DB additional information '!$L$10/100*(1-VLOOKUP(D227,'DB technologies'!$N$109:$Y$120,9,FALSE)/100)*'Calc (ex-housing, ex-storage)'!F227/100)/VLOOKUP($C$227,'DB animal categories'!$C$81:$AC$90,27,FALSE)*AJ227,IF(AI227=4,('Calc (ex-animal)'!$G$45*'DB additional information '!$K$10/100+'Calc (ex-animal)'!$H$45*'DB additional information '!$L$10/100)*(1-VLOOKUP(D227,'DB technologies'!$N$109:$Y$120,9,FALSE)/100)*'Calc (ex-housing, ex-storage)'!F227/100*VLOOKUP(D227,'DB technologies'!$N$109:$Y$120,11,FALSE)/100/VLOOKUP($C$227,'DB animal categories'!$C$81:$AC$90,27,FALSE)*AJ227,0))))</f>
        <v/>
      </c>
      <c r="AM227" s="453" t="str">
        <f>IF(D227="","",IF(AI227=2,(('Calc (ex-animal)'!$G$45*(1-'DB additional information '!$K$10/100)*(1-VLOOKUP(D227,'DB technologies'!$N$109:$Y$120,8,FALSE)/100)*'Calc (ex-housing, ex-storage)'!F227/100+'Calc (ex-animal)'!$H$45*(1-'DB additional information '!$L$10/100)*(1-VLOOKUP(D227,'DB technologies'!$N$109:$Y$120,8,FALSE)/100)*'Calc (ex-housing, ex-storage)'!F227/100))/VLOOKUP($C$227,'DB animal categories'!$C$81:$AC$90,27,FALSE)*AJ227+M227+N227+O227,IF(AI227=1,('Calc (ex-animal)'!$H$45*(1-'DB additional information '!$L$10/100)*(1-VLOOKUP(D227,'DB technologies'!$N$109:$Y$120,8,FALSE)/100)*'Calc (ex-housing, ex-storage)'!F227/100)/VLOOKUP($C$227,'DB animal categories'!$C$81:$AC$90,27,FALSE)*AJ227,IF(AI227=4,('Calc (ex-animal)'!$G$45*(1-'DB additional information '!$K$10/100)+'Calc (ex-animal)'!$H$45*(1-'DB additional information '!$L$10/100))*(1-VLOOKUP(D227,'DB technologies'!$N$109:$Y$120,8,FALSE)/100)*'Calc (ex-housing, ex-storage)'!F227/100*VLOOKUP(D227,'DB technologies'!$N$109:$Y$120,11,FALSE)/100/VLOOKUP($C$227,'DB animal categories'!$C$81:$AC$90,27,FALSE)*AJ227,0))))</f>
        <v/>
      </c>
      <c r="AN227" s="453" t="str">
        <f>IF(AI227="","",IF(AL227=0,0,AL227/AK227*100))</f>
        <v/>
      </c>
      <c r="AO227" s="180" t="str">
        <f>IF(D227="","",IF(AI227=2,(('Calc (ex-animal)'!$L$45*'Calc (ex-housing, ex-storage)'!F227/100+'Calc (ex-animal)'!$K$45*'Calc (ex-housing, ex-storage)'!F227/100))/VLOOKUP($C$227,'DB animal categories'!$C$81:$AC$90,27,FALSE)*AJ227+Q227+R227+S227-AC227,IF(AI227=1,('Calc (ex-animal)'!$L$45*'Calc (ex-housing, ex-storage)'!F227/100)/VLOOKUP($C$227,'DB animal categories'!$C$81:$AC$90,27,FALSE)*AJ227-'Calc (ex-housing, ex-storage)'!AC227,IF(AI227=4,('Calc (ex-animal)'!$L$45+'Calc (ex-animal)'!$K$45)*'Calc (ex-housing, ex-storage)'!F227/100*VLOOKUP(D227,'DB technologies'!$N$109:$Y$120,11,FALSE)/100/VLOOKUP($C$227,'DB animal categories'!$C$81:$AC$90,27,FALSE)*AJ227-AC227*VLOOKUP(D227,'DB technologies'!$N$109:$Y$120,11,FALSE)/100,0))))</f>
        <v/>
      </c>
      <c r="AP227" s="180" t="str">
        <f>IF(D227="","",IF(AO227&lt;-0.01,0,IF(AI227=2,(('Calc (ex-animal)'!$L$45*'Calc (ex-housing, ex-storage)'!F227/100+'Calc (ex-animal)'!$K$45*'Calc (ex-housing, ex-storage)'!F227/100))/VLOOKUP($C$227,'DB animal categories'!$C$81:$AC$90,27,FALSE)*AJ227+Q227+R227+S227-AC227,IF(AI227=1,('Calc (ex-animal)'!$L$45*'Calc (ex-housing, ex-storage)'!F227/100)/VLOOKUP($C$227,'DB animal categories'!$C$81:$AC$90,27,FALSE)*AJ227-'Calc (ex-housing, ex-storage)'!AC227,IF(AI227=4,('Calc (ex-animal)'!$L$45+'Calc (ex-animal)'!$K$45)*'Calc (ex-housing, ex-storage)'!F227/100*VLOOKUP(D227,'DB technologies'!$N$109:$Y$120,11,FALSE)/100/VLOOKUP($C$227,'DB animal categories'!$C$81:$AC$90,27,FALSE)*AJ227-AC227*VLOOKUP(D227,'DB technologies'!$N$109:$Y$120,11,FALSE)/100,0)))))</f>
        <v/>
      </c>
      <c r="AQ227" s="180" t="str">
        <f>IF(D227="","",IF(AI227=2,('Calc (ex-animal)'!$O$45*'Calc (ex-housing, ex-storage)'!F227/100+'Calc (ex-animal)'!$N$45*'Calc (ex-housing, ex-storage)'!F227/100)/VLOOKUP($C$227,'DB animal categories'!$C$81:$AC$90,27,FALSE)*AJ227+U227+V227+W227,IF(AI227=1,'Calc (ex-animal)'!$O$45*'Calc (ex-housing, ex-storage)'!F227/100/VLOOKUP($C$227,'DB animal categories'!$C$81:$AC$90,27,FALSE)*AJ227,IF(AI227=4,('Calc (ex-animal)'!$O$45+'Calc (ex-animal)'!$N$45)*'Calc (ex-housing, ex-storage)'!F227/100*VLOOKUP(D227,'DB technologies'!$N$109:$Y$120,11,FALSE)/100/VLOOKUP($C$227,'DB animal categories'!$C$81:$AC$90,27,FALSE)*AJ227,0))))</f>
        <v/>
      </c>
      <c r="AR227" s="180" t="str">
        <f>IF(D227="","",IF(AI227=2,('Calc (ex-animal)'!$R$45*'Calc (ex-housing, ex-storage)'!F227/100+'Calc (ex-animal)'!$Q$45*'Calc (ex-housing, ex-storage)'!F227/100)/VLOOKUP($C$227,'DB animal categories'!$C$81:$AC$90,27,FALSE)*AJ227+Y227+Z227+AA227,IF(AI227=1,'Calc (ex-animal)'!$R$45*'Calc (ex-housing, ex-storage)'!F227/100/VLOOKUP($C$227,'DB animal categories'!$C$81:$AC$90,27,FALSE)*AJ227,IF(AI227=4,('Calc (ex-animal)'!$R$45+'Calc (ex-animal)'!$Q$45)*'Calc (ex-housing, ex-storage)'!F227/100*VLOOKUP(D227,'DB technologies'!$N$109:$Y$120,11,FALSE)/100/VLOOKUP($C$227,'DB animal categories'!$C$81:$AC$90,27,FALSE)*AJ227,0))))</f>
        <v/>
      </c>
      <c r="AS227" s="179" t="str">
        <f>IF(D227="","",VLOOKUP(D227,'DB technologies'!$N$109:$Y$120,10,FALSE))</f>
        <v/>
      </c>
      <c r="AT227" s="453" t="str">
        <f>IF(AS227="","",AU227+AV227)</f>
        <v/>
      </c>
      <c r="AU227" s="453" t="str">
        <f>IF(D227="","",IF(AS227=2,0,IF(AS227=1,'Calc (ex-animal)'!$G$45*'DB additional information '!$K$10/100*(1-VLOOKUP(D227,'DB technologies'!$N$109:$Y$120,8,FALSE)/100)*'Calc (ex-housing, ex-storage)'!F227/100/VLOOKUP($C$227,'DB animal categories'!$C$81:$AC$90,27,FALSE)*AJ227+I227+J227+K227,IF(AS227=5,(('Calc (ex-animal)'!$G$45*'DB additional information '!$K$10/100+'Calc (ex-animal)'!$H$45*'DB additional information '!$L$10/100))*(1-VLOOKUP(D227,'DB technologies'!$N$109:$Y$120,9,FALSE)/100)*'Calc (ex-housing, ex-storage)'!F227/100/VLOOKUP($C$227,'DB animal categories'!$C$81:$AC$90,27,FALSE)*AJ227+I227+J227+K227,IF(AS227=3,('Calc (ex-animal)'!$G$45*'DB additional information '!$K$10/100+'Calc (ex-animal)'!$H$45*'DB additional information '!$L$10/100)*(1-VLOOKUP(D227,'DB technologies'!$N$109:$Y$120,9,FALSE)/100)*'Calc (ex-housing, ex-storage)'!F227/100/VLOOKUP($C$227,'DB animal categories'!$C$81:$AC$90,27,FALSE)*AJ227+I227+J227+K227,IF(AS227=4,('Calc (ex-animal)'!$G$45*'DB additional information '!$K$10/100+'Calc (ex-animal)'!$H$45*'DB additional information '!$L$10/100)*(1-VLOOKUP(D227,'DB technologies'!$N$109:$Y$120,9,FALSE)/100)*'Calc (ex-housing, ex-storage)'!F227/100*VLOOKUP(D227,'DB technologies'!$N$109:$Y$120,12,FALSE)/100/VLOOKUP($C$227,'DB animal categories'!$C$81:$AC$90,27,FALSE)*AJ227+I227+J227+K227,0))))))</f>
        <v/>
      </c>
      <c r="AV227" s="453" t="str">
        <f>IF(D227="","",IF(AS227=2,0,IF(AS227=1,'Calc (ex-animal)'!$G$45*(1-'DB additional information '!$K$10/100)*(1-VLOOKUP(D227,'DB technologies'!$N$109:$Y$120,8,FALSE)/100)*'Calc (ex-housing, ex-storage)'!F227/100/VLOOKUP($C$227,'DB animal categories'!$C$81:$AC$90,27,FALSE)*AJ227+M227+N227+O227,IF(AS227=5,('Calc (ex-animal)'!$G$45*(1-'DB additional information '!$K$10/100)+'Calc (ex-animal)'!$H$45*(1-'DB additional information '!$L$10/100))*(1-VLOOKUP(D227,'DB technologies'!$N$109:$Y$120,8,FALSE)/100)*'Calc (ex-housing, ex-storage)'!F227/100/VLOOKUP($C$227,'DB animal categories'!$C$81:$AC$90,27,FALSE)*AJ227+M227+N227+O227,IF(AS227=3,('Calc (ex-animal)'!$G$45*(1-'DB additional information '!$K$10/100)+'Calc (ex-animal)'!$H$45*(1-'DB additional information '!$L$10/100))*(1-VLOOKUP(D227,'DB technologies'!$N$109:$Y$120,8,FALSE)/100)*'Calc (ex-housing, ex-storage)'!F227/100/VLOOKUP($C$227,'DB animal categories'!$C$81:$AC$90,27,FALSE)*AJ227+M227+N227+O227,IF(AS227=4,('Calc (ex-animal)'!$G$45*(1-'DB additional information '!$K$10/100)+'Calc (ex-animal)'!$H$45*(1-'DB additional information '!$L$10/100))*(1-VLOOKUP(D227,'DB technologies'!$N$109:$Y$120,8,FALSE)/100)*'Calc (ex-housing, ex-storage)'!F227/100*VLOOKUP(D227,'DB technologies'!$N$109:$Y$120,12,FALSE)/100/VLOOKUP($C$227,'DB animal categories'!$C$81:$AC$90,27,FALSE)*AJ227+M227+N227+O227,0))))))</f>
        <v/>
      </c>
      <c r="AW227" s="453" t="str">
        <f>IF(AS227="","",IF(AU227=0,0,AU227/AT227*100))</f>
        <v/>
      </c>
      <c r="AX227" s="180" t="str">
        <f>IF(D227="","",IF(AS227=2,0,IF(AS227=1,'Calc (ex-animal)'!$K$45*'Calc (ex-housing, ex-storage)'!F227/100/VLOOKUP($C$227,'DB animal categories'!$C$81:$AC$90,27,FALSE)*AJ227+Q227+R227+S227,IF(AS227=5,('Calc (ex-animal)'!$K$45+'Calc (ex-animal)'!$L$45)*'Calc (ex-housing, ex-storage)'!F227/100/VLOOKUP($C$227,'DB animal categories'!$C$81:$AC$90,27,FALSE)*AJ227+Q227+R227+S227-'Calc (ex-housing, ex-storage)'!AC227,IF(AS227=3,('Calc (ex-animal)'!$K$45+'Calc (ex-animal)'!$L$45)*'Calc (ex-housing, ex-storage)'!F227/100/VLOOKUP($C$227,'DB animal categories'!$C$81:$AC$90,27,FALSE)*AJ227+Q227+R227+S227-'Calc (ex-housing, ex-storage)'!AC227-AD227-AE227,IF(AI227=4,('Calc (ex-animal)'!$K$45+'Calc (ex-animal)'!$L$45)*'Calc (ex-housing, ex-storage)'!F227/100*VLOOKUP(D227,'DB technologies'!$N$109:$Y$120,12,FALSE)/100/VLOOKUP($C$227,'DB animal categories'!$C$81:$AC$90,27,FALSE)*AJ227+Q227+R227+S227-(VLOOKUP(D227,'DB technologies'!$N$109:$Y$120,12,FALSE)/100*AC227)-AD227-AE227,0))))))</f>
        <v/>
      </c>
      <c r="AY227" s="180" t="str">
        <f>IF(D227="","",IF(AS227=2,0,IF(AS227=1,'Calc (ex-animal)'!$N$45*'Calc (ex-housing, ex-storage)'!F227/100/VLOOKUP($C$227,'DB animal categories'!$C$81:$AC$90,27,FALSE)*AJ227+U227+V227+W227,IF(AS227=5,('Calc (ex-animal)'!$N$45+'Calc (ex-animal)'!$O$45)*'Calc (ex-housing, ex-storage)'!F227/100/VLOOKUP($C$227,'DB animal categories'!$C$81:$AC$90,27,FALSE)*AJ227+U227+V227+W227,IF(AS227=3,('Calc (ex-animal)'!$N$45+'Calc (ex-animal)'!$O$45)*'Calc (ex-housing, ex-storage)'!F227/100/VLOOKUP($C$227,'DB animal categories'!$C$81:$AC$90,27,FALSE)*AJ227+U227+V227+W227,IF(AS227=4,('Calc (ex-animal)'!$N$45+'Calc (ex-animal)'!$O$45)*'Calc (ex-housing, ex-storage)'!F227/100*VLOOKUP(D227,'DB technologies'!$N$109:$Y$120,12,FALSE)/100/VLOOKUP($C$227,'DB animal categories'!$C$81:$AC$90,27,FALSE)*AJ227+U227+V227+W227,0))))))</f>
        <v/>
      </c>
      <c r="AZ227" s="180" t="str">
        <f>IF(D227="","",IF(AS227=2,0,IF(AS227=1,'Calc (ex-animal)'!$Q$45*'Calc (ex-housing, ex-storage)'!F227/100/VLOOKUP($C$227,'DB animal categories'!$C$81:$AC$90,27,FALSE)*AJ227+Y227+Z227+AA227,IF(AS227=5,('Calc (ex-animal)'!$Q$45+'Calc (ex-animal)'!$R$45)*'Calc (ex-housing, ex-storage)'!F227/100/VLOOKUP($C$227,'DB animal categories'!$C$81:$AC$90,27,FALSE)*AJ227+Y227+Z227+AA227,IF(AS227=3,('Calc (ex-animal)'!$Q$45+'Calc (ex-animal)'!$R$45)*'Calc (ex-housing, ex-storage)'!F227/100/VLOOKUP($C$227,'DB animal categories'!$C$81:$AC$90,27,FALSE)*AJ227+Y227+Z227+AA227,IF(AS227=4,('Calc (ex-animal)'!$Q$45+'Calc (ex-animal)'!$R$45)*'Calc (ex-housing, ex-storage)'!F227/100*VLOOKUP(D227,'DB technologies'!$N$109:$Y$120,12,FALSE)/100/VLOOKUP($C$227,'DB animal categories'!$C$81:$AC$90,27,FALSE)*AJ227+Y227+Z227+AA227,0))))))</f>
        <v/>
      </c>
      <c r="BA227" s="506"/>
      <c r="BB227" s="506"/>
      <c r="BC227" s="506"/>
    </row>
    <row r="228" spans="1:55" x14ac:dyDescent="0.2">
      <c r="A228" s="684"/>
      <c r="B228" s="695"/>
      <c r="C228" s="255"/>
      <c r="D228" s="1397"/>
      <c r="E228" s="1358"/>
      <c r="F228" s="480" t="str">
        <f>IF('Calc (ex-animal)'!$F$38=1,"",IF($C$227=0,"",IF(D228="","",E228/'Calc (ex-animal)'!$E$45*100)))</f>
        <v/>
      </c>
      <c r="G228" s="438" t="str">
        <f>IF($C$227=0,"",IF('Calc (ex-animal)'!$F$38=1,"",IF(D228="","",SUM(H228:O228))))</f>
        <v/>
      </c>
      <c r="H228" s="423" t="str">
        <f>IF('Calc (ex-animal)'!$F$38=1,"",IF(D228="","",(((VLOOKUP($C$227,'Calc (ex-animal)'!$D$43:$Y$47,6,FALSE)-VLOOKUP($C$227,'Calc (ex-animal)'!$D$43:$Y$47,17,FALSE))*F228/100))*VLOOKUP($C$227,'Calc (ex-animal)'!$D$43:$Y$47,7,FALSE)/100*(1-VLOOKUP(D228,'DB technologies'!$N$109:$Y$120,9,FALSE)/100)))</f>
        <v/>
      </c>
      <c r="I228" s="423" t="str">
        <f>IF(D228="","",((VLOOKUP(D228,'DB technologies'!$N$109:$Y$120,2,FALSE)*VLOOKUP($C$227,'DB animal categories'!$C$81:$AC$90,27,FALSE)*E228/1000)/VLOOKUP($C$227,'DB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'!$S$6/100*(1-VLOOKUP(D228,'DB technologies'!$N$109:$Y$120,9,FALSE)/100)))</f>
        <v/>
      </c>
      <c r="J228" s="434" t="str">
        <f>IF(D228="","",((VLOOKUP(D228,'DB technologies'!$N$109:$Y$120,3,FALSE)*VLOOKUP($C$227,'DB animal categories'!$C$81:$AC$90,27,FALSE)*E228/1000)/VLOOKUP($C$227,'DB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'!$S$7/100*(1-VLOOKUP(D228,'DB technologies'!$N$109:$Y$120,9,FALSE)/100)))</f>
        <v/>
      </c>
      <c r="K228" s="434" t="str">
        <f>IF(D228="","",((VLOOKUP(D228,'DB technologies'!$N$109:$Y$120,4,FALSE)*E228*'DB additional information '!$S$8/100*(1-VLOOKUP(D228,'DB technologies'!$N$109:$Y$120,9,FALSE)/100))/VLOOKUP($C$227,'DB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L228" s="423" t="str">
        <f>IF('Calc (ex-animal)'!$F$38=1,"",IF(D228="","",(((VLOOKUP($C$227,'Calc (ex-animal)'!$D$43:$Y$47,6,FALSE)-VLOOKUP($C$227,'Calc (ex-animal)'!$D$43:$Y$47,17,FALSE))*F228/100))*(1-VLOOKUP($C$227,'Calc (ex-animal)'!$D$43:$Y$47,7,FALSE)/100)*(1-VLOOKUP(D228,'DB technologies'!$N$109:$V$120,8,FALSE)/100)))</f>
        <v/>
      </c>
      <c r="M228" s="434" t="str">
        <f>IF(D228="","",((VLOOKUP(D228,'DB technologies'!$N$109:$Y$120,2,FALSE)*VLOOKUP($C$227,'DB animal categories'!$C$81:$AC$90,27,FALSE)*E228/1000)/VLOOKUP($C$227,'DB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'!$S$6/100)*(1-VLOOKUP(D228,'DB technologies'!$N$109:$Y$120,9,FALSE)/100))</f>
        <v/>
      </c>
      <c r="N228" s="434" t="str">
        <f>IF(D228="","",((VLOOKUP(D228,'DB technologies'!$N$109:$Y$120,3,FALSE)*VLOOKUP($C$227,'DB animal categories'!$C$81:$AC$90,27,FALSE)*E228/1000)/VLOOKUP($C$227,'DB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'!$S$7/100)*(1-VLOOKUP(D228,'DB technologies'!$N$109:$Y$120,9,FALSE)/100))</f>
        <v/>
      </c>
      <c r="O228" s="423" t="str">
        <f>IF(D228="","",((VLOOKUP(D228,'DB technologies'!$N$109:$Y$120,4,FALSE)*E228*(1-'DB additional information '!$S$8/100)*(1-VLOOKUP(D228,'DB technologies'!$N$109:$Y$120,8,FALSE)/100))/VLOOKUP($C$227,'DB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P228" s="438" t="str">
        <f>IF(G228=0,0,IF(E228="","",IF(F228="","",IF($C$227=0,"",IF(D228="","",SUM(H228:K228)/G228*100)))))</f>
        <v/>
      </c>
      <c r="Q228" s="416" t="str">
        <f>IF(D228="","",(VLOOKUP(D228,'DB technologies'!$N$109:$Y$120,2,FALSE)*'DB additional information '!$S$6/100*'DB additional information '!$T$6*VLOOKUP($C$227,'DB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R228" s="416" t="str">
        <f>IF(D228="","",(VLOOKUP(D228,'DB technologies'!$N$109:$Y$120,3,FALSE)*'DB additional information '!$S$7/100*'DB additional information '!$T$7*VLOOKUP($C$227,'DB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S228" s="491" t="str">
        <f>IF(D228="","",(VLOOKUP(D228,'DB technologies'!$N$109:$Y$120,4,FALSE)*('DB additional information '!$S$8/100*'DB additional information '!$T$8*E228/1000/1000)))</f>
        <v/>
      </c>
      <c r="T228" s="264" t="str">
        <f>IF($C$227=0,"",IF('Calc (ex-animal)'!$F$38=1,"",IF(D228="","",((VLOOKUP($C$227,'Calc (ex-animal)'!$D$43:$Y$47,10,FALSE)-VLOOKUP($C$227,'Calc (ex-animal)'!$D$43:$Y$47,18,FALSE))*F228/100+Q228+R228+S228)-AC228-AD228-AE228)))</f>
        <v/>
      </c>
      <c r="U228" s="422" t="str">
        <f>IF(D228="","",(VLOOKUP(D228,'DB technologies'!$N$109:$Y$120,2,FALSE)*'DB additional information '!$S$6/100*'DB additional information '!$U$6*VLOOKUP($C$227,'DB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V228" s="418" t="str">
        <f>IF(D228="","",(VLOOKUP(D228,'DB technologies'!$N$109:$Y$120,3,FALSE)*'DB additional information '!$S$7/100*'DB additional information '!$U$7*VLOOKUP($C$227,'DB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W228" s="417" t="str">
        <f>IF(D228="","",(VLOOKUP(D228,'DB technologies'!$N$109:$Y$120,4,FALSE)*('DB additional information '!$S$8/100*'DB additional information '!$U$8*E228/1000/1000)))</f>
        <v/>
      </c>
      <c r="X228" s="261" t="str">
        <f>IF($C$227=0,"",IF('Calc (ex-animal)'!$F$38=1,"",IF(D228="","",((VLOOKUP($C$227,'Calc (ex-animal)'!$D$43:$Y$47,13,FALSE)-VLOOKUP($C$227,'Calc (ex-animal)'!$D$43:$Y$47,19,FALSE))*F228/100+U228+V228+W228))))</f>
        <v/>
      </c>
      <c r="Y228" s="418" t="str">
        <f>IF(D228="","",(VLOOKUP(D228,'DB technologies'!$N$109:$Y$120,2,FALSE)*'DB additional information '!$S$6/100*'DB additional information '!$V$6*VLOOKUP($C$227,'DB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Z228" s="418" t="str">
        <f>IF(D228="","",(VLOOKUP(D228,'DB technologies'!$N$109:$Y$120,3,FALSE)*'DB additional information '!$S$7/100*'DB additional information '!$V$7*VLOOKUP($C$227,'DB animal categories'!$C$81:$AC$90,27,FALSE)*E228/1000/1000)/VLOOKUP($C$227,'DB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AA228" s="418" t="str">
        <f>IF(D228="","",(VLOOKUP(D228,'DB technologies'!$N$109:$Y$120,4,FALSE)*('DB additional information '!$S$8/100*'DB additional information '!$V$8*E228/1000/1000)))</f>
        <v/>
      </c>
      <c r="AB228" s="261" t="str">
        <f>IF($C$227=0,"",IF('Calc (ex-animal)'!$F$38=1,"",IF(D228="","",((VLOOKUP($C$227,'Calc (ex-animal)'!$D$43:$Y$47,16,FALSE)-VLOOKUP($C$227,'Calc (ex-animal)'!$D$43:$Y$47,20,FALSE))*F228/100+Y228+Z228+AA228))))</f>
        <v/>
      </c>
      <c r="AC228" s="261" t="str">
        <f>IF($C$227=0,"",IF('Calc (ex-animal)'!$F$38=1,"",IF(D228="","",VLOOKUP($C$227,'Calc (ex-animal)'!$D$43:$Y$47,9,FALSE)/VLOOKUP($C$227,'DB animal categories'!$C$81:$AC$90,27,FALSE)*(VLOOKUP($C$227,'DB animal categories'!$C$81:$AC$90,27,FALSE)-VLOOKUP($C$227,'DB animal categories'!$C$81:$AC$90,25,FALSE)*VLOOKUP($C$227,'DB animal categories'!$C$81:$AC$90,26,FALSE)/24)*F228/100*VLOOKUP(D228,'DB technologies'!$N$109:$R$120,5,FALSE)/100)))</f>
        <v/>
      </c>
      <c r="AD228" s="261" t="str">
        <f>IF($C$227=0,"",IF('Calc (ex-animal)'!$F$38=1,"",IF(D228="","",VLOOKUP($C$227,'Calc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categories'!$C$81:$AC$90,26,FALSE)/24)*F228/100*VLOOKUP(D228,'DB technologies'!$N$109:$Y$120,6,FALSE)/100)))</f>
        <v/>
      </c>
      <c r="AE228" s="262" t="str">
        <f>IF($C$227=0,"",IF('Calc (ex-animal)'!$F$38=1,"",IF(D228="","",VLOOKUP($C$227,'Calc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categories'!$C$81:$AC$90,26,FALSE)/24)*F228/100*VLOOKUP(D228,'DB technologies'!$N$109:$Y$120,7,FALSE)/100)))</f>
        <v/>
      </c>
      <c r="AI228" s="181" t="str">
        <f>IF(D228="","",VLOOKUP(D228,'DB technologies'!$N$109:$Y$120,10,FALSE))</f>
        <v/>
      </c>
      <c r="AJ228" s="449" t="e">
        <f>VLOOKUP($C$227,'DB animal categories'!$C$81:$AN$90,27,FALSE)-VLOOKUP($C$227,'DB animal categories'!$C$81:$AN$90,26,FALSE)*VLOOKUP($C$227,'DB animal categories'!$C$81:$AN$90,25,FALSE)/24</f>
        <v>#N/A</v>
      </c>
      <c r="AK228" s="442" t="str">
        <f>IF(AI228="","",AL228+AM228)</f>
        <v/>
      </c>
      <c r="AL228" s="442" t="str">
        <f>IF(D228="","",IF(AI228=2,(('Calc (ex-animal)'!$G$45*'DB additional information '!$K$10/100*(1-VLOOKUP(D228,'DB technologies'!$N$109:$Y$120,9,FALSE)/100)*'Calc (ex-housing, ex-storage)'!F228/100+'Calc (ex-animal)'!$H$45*'DB additional information '!$L$10/100*(1-VLOOKUP(D228,'DB technologies'!$N$109:$Y$120,9,FALSE)/100)*'Calc (ex-housing, ex-storage)'!F228/100))/VLOOKUP($C$227,'DB animal categories'!$C$81:$AC$90,27,FALSE)*AJ228+I228+J228+K228,IF(AI228=1,('Calc (ex-animal)'!$H$45*'DB additional information '!$L$10/100*(1-VLOOKUP(D228,'DB technologies'!$N$109:$Y$120,9,FALSE)/100)*'Calc (ex-housing, ex-storage)'!F228/100)/VLOOKUP($C$227,'DB animal categories'!$C$81:$AC$90,27,FALSE)*AJ228,IF(AI228=4,('Calc (ex-animal)'!$G$45*'DB additional information '!$K$10/100+'Calc (ex-animal)'!$H$45*'DB additional information '!$L$10/100)*(1-VLOOKUP(D228,'DB technologies'!$N$109:$Y$120,9,FALSE)/100)*'Calc (ex-housing, ex-storage)'!F228/100*VLOOKUP(D228,'DB technologies'!$N$109:$Y$120,11,FALSE)/100/VLOOKUP($C$227,'DB animal categories'!$C$81:$AC$90,27,FALSE)*AJ228,0))))</f>
        <v/>
      </c>
      <c r="AM228" s="442" t="str">
        <f>IF(D228="","",IF(AI228=2,(('Calc (ex-animal)'!$G$45*(1-'DB additional information '!$K$10/100)*(1-VLOOKUP(D228,'DB technologies'!$N$109:$Y$120,8,FALSE)/100)*'Calc (ex-housing, ex-storage)'!F228/100+'Calc (ex-animal)'!$H$45*(1-'DB additional information '!$L$10/100)*(1-VLOOKUP(D228,'DB technologies'!$N$109:$Y$120,8,FALSE)/100)*'Calc (ex-housing, ex-storage)'!F228/100))/VLOOKUP($C$227,'DB animal categories'!$C$81:$AC$90,27,FALSE)*AJ228+M228+N228+O228,IF(AI228=1,('Calc (ex-animal)'!$H$45*(1-'DB additional information '!$L$10/100)*(1-VLOOKUP(D228,'DB technologies'!$N$109:$Y$120,8,FALSE)/100)*'Calc (ex-housing, ex-storage)'!F228/100)/VLOOKUP($C$227,'DB animal categories'!$C$81:$AC$90,27,FALSE)*AJ228,IF(AI228=4,('Calc (ex-animal)'!$G$45*(1-'DB additional information '!$K$10/100)+'Calc (ex-animal)'!$H$45*(1-'DB additional information '!$L$10/100))*(1-VLOOKUP(D228,'DB technologies'!$N$109:$Y$120,8,FALSE)/100)*'Calc (ex-housing, ex-storage)'!F228/100*VLOOKUP(D228,'DB technologies'!$N$109:$Y$120,11,FALSE)/100/VLOOKUP($C$227,'DB animal categories'!$C$81:$AC$90,27,FALSE)*AJ228,0))))</f>
        <v/>
      </c>
      <c r="AN228" s="442" t="str">
        <f>IF(AI228="","",IF(AL228=0,0,AL228/AK228*100))</f>
        <v/>
      </c>
      <c r="AO228" s="182" t="str">
        <f>IF(D228="","",IF(AI228=2,(('Calc (ex-animal)'!$L$45*'Calc (ex-housing, ex-storage)'!F228/100+'Calc (ex-animal)'!$K$45*'Calc (ex-housing, ex-storage)'!F228/100))/VLOOKUP($C$227,'DB animal categories'!$C$81:$AC$90,27,FALSE)*AJ228+Q228+R228+S228-AC228,IF(AI228=1,('Calc (ex-animal)'!$L$45*'Calc (ex-housing, ex-storage)'!F228/100)/VLOOKUP($C$227,'DB animal categories'!$C$81:$AC$90,27,FALSE)*AJ228-'Calc (ex-housing, ex-storage)'!AC228,IF(AI228=4,('Calc (ex-animal)'!$L$45+'Calc (ex-animal)'!$K$45)*'Calc (ex-housing, ex-storage)'!F228/100*VLOOKUP(D228,'DB technologies'!$N$109:$Y$120,11,FALSE)/100/VLOOKUP($C$227,'DB animal categories'!$C$81:$AC$90,27,FALSE)*AJ228-AC228*VLOOKUP(D228,'DB technologies'!$N$109:$Y$120,11,FALSE)/100,0))))</f>
        <v/>
      </c>
      <c r="AP228" s="182" t="str">
        <f>IF(D228="","",IF(AO228&lt;-0.01,0,IF(AI228=2,(('Calc (ex-animal)'!$L$45*'Calc (ex-housing, ex-storage)'!F228/100+'Calc (ex-animal)'!$K$45*'Calc (ex-housing, ex-storage)'!F228/100))/VLOOKUP($C$227,'DB animal categories'!$C$81:$AC$90,27,FALSE)*AJ228+Q228+R228+S228-AC228,IF(AI228=1,('Calc (ex-animal)'!$L$45*'Calc (ex-housing, ex-storage)'!F228/100)/VLOOKUP($C$227,'DB animal categories'!$C$81:$AC$90,27,FALSE)*AJ228-'Calc (ex-housing, ex-storage)'!AC228,IF(AI228=4,('Calc (ex-animal)'!$L$45+'Calc (ex-animal)'!$K$45)*'Calc (ex-housing, ex-storage)'!F228/100*VLOOKUP(D228,'DB technologies'!$N$109:$Y$120,11,FALSE)/100/VLOOKUP($C$227,'DB animal categories'!$C$81:$AC$90,27,FALSE)*AJ228-AC228*VLOOKUP(D228,'DB technologies'!$N$109:$Y$120,11,FALSE)/100,0)))))</f>
        <v/>
      </c>
      <c r="AQ228" s="182" t="str">
        <f>IF(D228="","",IF(AI228=2,('Calc (ex-animal)'!$O$45*'Calc (ex-housing, ex-storage)'!F228/100+'Calc (ex-animal)'!$N$45*'Calc (ex-housing, ex-storage)'!F228/100)/VLOOKUP($C$227,'DB animal categories'!$C$81:$AC$90,27,FALSE)*AJ228+U228+V228+W228,IF(AI228=1,'Calc (ex-animal)'!$O$45*'Calc (ex-housing, ex-storage)'!F228/100/VLOOKUP($C$227,'DB animal categories'!$C$81:$AC$90,27,FALSE)*AJ228,IF(AI228=4,('Calc (ex-animal)'!$O$45+'Calc (ex-animal)'!$N$45)*'Calc (ex-housing, ex-storage)'!F228/100*VLOOKUP(D228,'DB technologies'!$N$109:$Y$120,11,FALSE)/100/VLOOKUP($C$227,'DB animal categories'!$C$81:$AC$90,27,FALSE)*AJ228,0))))</f>
        <v/>
      </c>
      <c r="AR228" s="182" t="str">
        <f>IF(D228="","",IF(AI228=2,('Calc (ex-animal)'!$R$45*'Calc (ex-housing, ex-storage)'!F228/100+'Calc (ex-animal)'!$Q$45*'Calc (ex-housing, ex-storage)'!F228/100)/VLOOKUP($C$227,'DB animal categories'!$C$81:$AC$90,27,FALSE)*AJ228+Y228+Z228+AA228,IF(AI228=1,'Calc (ex-animal)'!$R$45*'Calc (ex-housing, ex-storage)'!F228/100/VLOOKUP($C$227,'DB animal categories'!$C$81:$AC$90,27,FALSE)*AJ228,IF(AI228=4,('Calc (ex-animal)'!$R$45+'Calc (ex-animal)'!$Q$45)*'Calc (ex-housing, ex-storage)'!F228/100*VLOOKUP(D228,'DB technologies'!$N$109:$Y$120,11,FALSE)/100/VLOOKUP($C$227,'DB animal categories'!$C$81:$AC$90,27,FALSE)*AJ228,0))))</f>
        <v/>
      </c>
      <c r="AS228" s="181" t="str">
        <f>IF(D228="","",VLOOKUP(D228,'DB technologies'!$N$109:$Y$120,10,FALSE))</f>
        <v/>
      </c>
      <c r="AT228" s="442" t="str">
        <f>IF(AS228="","",AU228+AV228)</f>
        <v/>
      </c>
      <c r="AU228" s="442" t="str">
        <f>IF(D228="","",IF(AS228=2,0,IF(AS228=1,'Calc (ex-animal)'!$G$45*'DB additional information '!$K$10/100*(1-VLOOKUP(D228,'DB technologies'!$N$109:$Y$120,8,FALSE)/100)*'Calc (ex-housing, ex-storage)'!F228/100/VLOOKUP($C$227,'DB animal categories'!$C$81:$AC$90,27,FALSE)*AJ228+I228+J228+K228,IF(AS228=5,(('Calc (ex-animal)'!$G$45*'DB additional information '!$K$10/100+'Calc (ex-animal)'!$H$45*'DB additional information '!$L$10/100))*(1-VLOOKUP(D228,'DB technologies'!$N$109:$Y$120,9,FALSE)/100)*'Calc (ex-housing, ex-storage)'!F228/100/VLOOKUP($C$227,'DB animal categories'!$C$81:$AC$90,27,FALSE)*AJ228+I228+J228+K228,IF(AS228=3,('Calc (ex-animal)'!$G$45*'DB additional information '!$K$10/100+'Calc (ex-animal)'!$H$45*'DB additional information '!$L$10/100)*(1-VLOOKUP(D228,'DB technologies'!$N$109:$Y$120,9,FALSE)/100)*'Calc (ex-housing, ex-storage)'!F228/100/VLOOKUP($C$227,'DB animal categories'!$C$81:$AC$90,27,FALSE)*AJ228+I228+J228+K228,IF(AS228=4,('Calc (ex-animal)'!$G$45*'DB additional information '!$K$10/100+'Calc (ex-animal)'!$H$45*'DB additional information '!$L$10/100)*(1-VLOOKUP(D228,'DB technologies'!$N$109:$Y$120,9,FALSE)/100)*'Calc (ex-housing, ex-storage)'!F228/100*VLOOKUP(D228,'DB technologies'!$N$109:$Y$120,12,FALSE)/100/VLOOKUP($C$227,'DB animal categories'!$C$81:$AC$90,27,FALSE)*AJ228+I228+J228+K228,0))))))</f>
        <v/>
      </c>
      <c r="AV228" s="442" t="str">
        <f>IF(D228="","",IF(AS228=2,0,IF(AS228=1,'Calc (ex-animal)'!$G$45*(1-'DB additional information '!$K$10/100)*(1-VLOOKUP(D228,'DB technologies'!$N$109:$Y$120,8,FALSE)/100)*'Calc (ex-housing, ex-storage)'!F228/100/VLOOKUP($C$227,'DB animal categories'!$C$81:$AC$90,27,FALSE)*AJ228+M228+N228+O228,IF(AS228=5,('Calc (ex-animal)'!$G$45*(1-'DB additional information '!$K$10/100)+'Calc (ex-animal)'!$H$45*(1-'DB additional information '!$L$10/100))*(1-VLOOKUP(D228,'DB technologies'!$N$109:$Y$120,8,FALSE)/100)*'Calc (ex-housing, ex-storage)'!F228/100/VLOOKUP($C$227,'DB animal categories'!$C$81:$AC$90,27,FALSE)*AJ228+M228+N228+O228,IF(AS228=3,('Calc (ex-animal)'!$G$45*(1-'DB additional information '!$K$10/100)+'Calc (ex-animal)'!$H$45*(1-'DB additional information '!$L$10/100))*(1-VLOOKUP(D228,'DB technologies'!$N$109:$Y$120,8,FALSE)/100)*'Calc (ex-housing, ex-storage)'!F228/100/VLOOKUP($C$227,'DB animal categories'!$C$81:$AC$90,27,FALSE)*AJ228+M228+N228+O228,IF(AS228=4,('Calc (ex-animal)'!$G$45*(1-'DB additional information '!$K$10/100)+'Calc (ex-animal)'!$H$45*(1-'DB additional information '!$L$10/100))*(1-VLOOKUP(D228,'DB technologies'!$N$109:$Y$120,8,FALSE)/100)*'Calc (ex-housing, ex-storage)'!F228/100*VLOOKUP(D228,'DB technologies'!$N$109:$Y$120,12,FALSE)/100/VLOOKUP($C$227,'DB animal categories'!$C$81:$AC$90,27,FALSE)*AJ228+M228+N228+O228,0))))))</f>
        <v/>
      </c>
      <c r="AW228" s="442" t="str">
        <f>IF(AS228="","",IF(AU228=0,0,AU228/AT228*100))</f>
        <v/>
      </c>
      <c r="AX228" s="182" t="str">
        <f>IF(D228="","",IF(AS228=2,0,IF(AS228=1,'Calc (ex-animal)'!$K$45*'Calc (ex-housing, ex-storage)'!F228/100/VLOOKUP($C$227,'DB animal categories'!$C$81:$AC$90,27,FALSE)*AJ228+Q228+R228+S228,IF(AS228=5,('Calc (ex-animal)'!$K$45+'Calc (ex-animal)'!$L$45)*'Calc (ex-housing, ex-storage)'!F228/100/VLOOKUP($C$227,'DB animal categories'!$C$81:$AC$90,27,FALSE)*AJ228+Q228+R228+S228-'Calc (ex-housing, ex-storage)'!AC228,IF(AS228=3,('Calc (ex-animal)'!$K$45+'Calc (ex-animal)'!$L$45)*'Calc (ex-housing, ex-storage)'!F228/100/VLOOKUP($C$227,'DB animal categories'!$C$81:$AC$90,27,FALSE)*AJ228+Q228+R228+S228-'Calc (ex-housing, ex-storage)'!AC228-AD228-AE228,IF(AI228=4,('Calc (ex-animal)'!$K$45+'Calc (ex-animal)'!$L$45)*'Calc (ex-housing, ex-storage)'!F228/100*VLOOKUP(D228,'DB technologies'!$N$109:$Y$120,12,FALSE)/100/VLOOKUP($C$227,'DB animal categories'!$C$81:$AC$90,27,FALSE)*AJ228+Q228+R228+S228-(VLOOKUP(D228,'DB technologies'!$N$109:$Y$120,12,FALSE)/100*AC228)-AD228-AE228,0))))))</f>
        <v/>
      </c>
      <c r="AY228" s="182" t="str">
        <f>IF(D228="","",IF(AS228=2,0,IF(AS228=1,'Calc (ex-animal)'!$N$45*'Calc (ex-housing, ex-storage)'!F228/100/VLOOKUP($C$227,'DB animal categories'!$C$81:$AC$90,27,FALSE)*AJ228+U228+V228+W228,IF(AS228=5,('Calc (ex-animal)'!$N$45+'Calc (ex-animal)'!$O$45)*'Calc (ex-housing, ex-storage)'!F228/100/VLOOKUP($C$227,'DB animal categories'!$C$81:$AC$90,27,FALSE)*AJ228+U228+V228+W228,IF(AS228=3,('Calc (ex-animal)'!$N$45+'Calc (ex-animal)'!$O$45)*'Calc (ex-housing, ex-storage)'!F228/100/VLOOKUP($C$227,'DB animal categories'!$C$81:$AC$90,27,FALSE)*AJ228+U228+V228+W228,IF(AS228=4,('Calc (ex-animal)'!$N$45+'Calc (ex-animal)'!$O$45)*'Calc (ex-housing, ex-storage)'!F228/100*VLOOKUP(D228,'DB technologies'!$N$109:$Y$120,12,FALSE)/100/VLOOKUP($C$227,'DB animal categories'!$C$81:$AC$90,27,FALSE)*AJ228+U228+V228+W228,0))))))</f>
        <v/>
      </c>
      <c r="AZ228" s="182" t="str">
        <f>IF(D228="","",IF(AS228=2,0,IF(AS228=1,'Calc (ex-animal)'!$Q$45*'Calc (ex-housing, ex-storage)'!F228/100/VLOOKUP($C$227,'DB animal categories'!$C$81:$AC$90,27,FALSE)*AJ228+Y228+Z228+AA228,IF(AS228=5,('Calc (ex-animal)'!$Q$45+'Calc (ex-animal)'!$R$45)*'Calc (ex-housing, ex-storage)'!F228/100/VLOOKUP($C$227,'DB animal categories'!$C$81:$AC$90,27,FALSE)*AJ228+Y228+Z228+AA228,IF(AS228=3,('Calc (ex-animal)'!$Q$45+'Calc (ex-animal)'!$R$45)*'Calc (ex-housing, ex-storage)'!F228/100/VLOOKUP($C$227,'DB animal categories'!$C$81:$AC$90,27,FALSE)*AJ228+Y228+Z228+AA228,IF(AS228=4,('Calc (ex-animal)'!$Q$45+'Calc (ex-animal)'!$R$45)*'Calc (ex-housing, ex-storage)'!F228/100*VLOOKUP(D228,'DB technologies'!$N$109:$Y$120,12,FALSE)/100/VLOOKUP($C$227,'DB animal categories'!$C$81:$AC$90,27,FALSE)*AJ228+Y228+Z228+AA228,0))))))</f>
        <v/>
      </c>
      <c r="BA228" s="506"/>
      <c r="BB228" s="506"/>
      <c r="BC228" s="506"/>
    </row>
    <row r="229" spans="1:55" x14ac:dyDescent="0.2">
      <c r="A229" s="684"/>
      <c r="B229" s="695"/>
      <c r="C229" s="255"/>
      <c r="D229" s="1397"/>
      <c r="E229" s="1358"/>
      <c r="F229" s="480" t="str">
        <f>IF('Calc (ex-animal)'!$F$38=1,"",IF($C$227=0,"",IF(D229="","",E229/'Calc (ex-animal)'!$E$45*100)))</f>
        <v/>
      </c>
      <c r="G229" s="438" t="str">
        <f>IF($C$227=0,"",IF('Calc (ex-animal)'!$F$38=1,"",IF(D229="","",SUM(H229:O229))))</f>
        <v/>
      </c>
      <c r="H229" s="423" t="str">
        <f>IF('Calc (ex-animal)'!$F$38=1,"",IF(D229="","",(((VLOOKUP($C$227,'Calc (ex-animal)'!$D$43:$Y$47,6,FALSE)-VLOOKUP($C$227,'Calc (ex-animal)'!$D$43:$Y$47,17,FALSE))*F229/100))*VLOOKUP($C$227,'Calc (ex-animal)'!$D$43:$Y$47,7,FALSE)/100*(1-VLOOKUP(D229,'DB technologies'!$N$109:$Y$120,9,FALSE)/100)))</f>
        <v/>
      </c>
      <c r="I229" s="423" t="str">
        <f>IF(D229="","",((VLOOKUP(D229,'DB technologies'!$N$109:$Y$120,2,FALSE)*VLOOKUP($C$227,'DB animal categories'!$C$81:$AC$90,27,FALSE)*E229/1000)/VLOOKUP($C$227,'DB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'!$S$6/100*(1-VLOOKUP(D229,'DB technologies'!$N$109:$Y$120,9,FALSE)/100)))</f>
        <v/>
      </c>
      <c r="J229" s="434" t="str">
        <f>IF(D229="","",((VLOOKUP(D229,'DB technologies'!$N$109:$Y$120,3,FALSE)*VLOOKUP($C$227,'DB animal categories'!$C$81:$AC$90,27,FALSE)*E229/1000)/VLOOKUP($C$227,'DB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'!$S$7/100*(1-VLOOKUP(D229,'DB technologies'!$N$109:$Y$120,9,FALSE)/100)))</f>
        <v/>
      </c>
      <c r="K229" s="434" t="str">
        <f>IF(D229="","",((VLOOKUP(D229,'DB technologies'!$N$109:$Y$120,4,FALSE)*E229*'DB additional information '!$S$8/100*(1-VLOOKUP(D229,'DB technologies'!$N$109:$Y$120,9,FALSE)/100))/VLOOKUP($C$227,'DB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L229" s="423" t="str">
        <f>IF('Calc (ex-animal)'!$F$38=1,"",IF(D229="","",(((VLOOKUP($C$227,'Calc (ex-animal)'!$D$43:$Y$47,6,FALSE)-VLOOKUP($C$227,'Calc (ex-animal)'!$D$43:$Y$47,17,FALSE))*F229/100))*(1-VLOOKUP($C$227,'Calc (ex-animal)'!$D$43:$Y$47,7,FALSE)/100)*(1-VLOOKUP(D229,'DB technologies'!$N$109:$V$120,8,FALSE)/100)))</f>
        <v/>
      </c>
      <c r="M229" s="434" t="str">
        <f>IF(D229="","",((VLOOKUP(D229,'DB technologies'!$N$109:$Y$120,2,FALSE)*VLOOKUP($C$227,'DB animal categories'!$C$81:$AC$90,27,FALSE)*E229/1000)/VLOOKUP($C$227,'DB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'!$S$6/100)*(1-VLOOKUP(D229,'DB technologies'!$N$109:$Y$120,9,FALSE)/100))</f>
        <v/>
      </c>
      <c r="N229" s="434" t="str">
        <f>IF(D229="","",((VLOOKUP(D229,'DB technologies'!$N$109:$Y$120,3,FALSE)*VLOOKUP($C$227,'DB animal categories'!$C$81:$AC$90,27,FALSE)*E229/1000)/VLOOKUP($C$227,'DB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'!$S$7/100)*(1-VLOOKUP(D229,'DB technologies'!$N$109:$Y$120,9,FALSE)/100))</f>
        <v/>
      </c>
      <c r="O229" s="423" t="str">
        <f>IF(D229="","",((VLOOKUP(D229,'DB technologies'!$N$109:$Y$120,4,FALSE)*E229*(1-'DB additional information '!$S$8/100)*(1-VLOOKUP(D229,'DB technologies'!$N$109:$Y$120,8,FALSE)/100))/VLOOKUP($C$227,'DB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P229" s="438" t="str">
        <f>IF(G229=0,0,IF(E229="","",IF(F229="","",IF($C$227=0,"",IF(D229="","",SUM(H229:K229)/G229*100)))))</f>
        <v/>
      </c>
      <c r="Q229" s="416" t="str">
        <f>IF(D229="","",(VLOOKUP(D229,'DB technologies'!$N$109:$Y$120,2,FALSE)*'DB additional information '!$S$6/100*'DB additional information '!$T$6*VLOOKUP($C$227,'DB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R229" s="416" t="str">
        <f>IF(D229="","",(VLOOKUP(D229,'DB technologies'!$N$109:$Y$120,3,FALSE)*'DB additional information '!$S$7/100*'DB additional information '!$T$7*VLOOKUP($C$227,'DB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S229" s="491" t="str">
        <f>IF(D229="","",(VLOOKUP(D229,'DB technologies'!$N$109:$Y$120,4,FALSE)*('DB additional information '!$S$8/100*'DB additional information '!$T$8*E229/1000/1000)))</f>
        <v/>
      </c>
      <c r="T229" s="264" t="str">
        <f>IF($C$227=0,"",IF('Calc (ex-animal)'!$F$38=1,"",IF(D229="","",((VLOOKUP($C$227,'Calc (ex-animal)'!$D$43:$Y$47,10,FALSE)-VLOOKUP($C$227,'Calc (ex-animal)'!$D$43:$Y$47,18,FALSE))*F229/100+Q229+R229+S229)-AC229-AD229-AE229)))</f>
        <v/>
      </c>
      <c r="U229" s="422" t="str">
        <f>IF(D229="","",(VLOOKUP(D229,'DB technologies'!$N$109:$Y$120,2,FALSE)*'DB additional information '!$S$6/100*'DB additional information '!$U$6*VLOOKUP($C$227,'DB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V229" s="418" t="str">
        <f>IF(D229="","",(VLOOKUP(D229,'DB technologies'!$N$109:$Y$120,3,FALSE)*'DB additional information '!$S$7/100*'DB additional information '!$U$7*VLOOKUP($C$227,'DB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W229" s="417" t="str">
        <f>IF(D229="","",(VLOOKUP(D229,'DB technologies'!$N$109:$Y$120,4,FALSE)*('DB additional information '!$S$8/100*'DB additional information '!$U$8*E229/1000/1000)))</f>
        <v/>
      </c>
      <c r="X229" s="261" t="str">
        <f>IF($C$227=0,"",IF('Calc (ex-animal)'!$F$38=1,"",IF(D229="","",((VLOOKUP($C$227,'Calc (ex-animal)'!$D$43:$Y$47,13,FALSE)-VLOOKUP($C$227,'Calc (ex-animal)'!$D$43:$Y$47,19,FALSE))*F229/100+U229+V229+W229))))</f>
        <v/>
      </c>
      <c r="Y229" s="418" t="str">
        <f>IF(D229="","",(VLOOKUP(D229,'DB technologies'!$N$109:$Y$120,2,FALSE)*'DB additional information '!$S$6/100*'DB additional information '!$V$6*VLOOKUP($C$227,'DB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Z229" s="418" t="str">
        <f>IF(D229="","",(VLOOKUP(D229,'DB technologies'!$N$109:$Y$120,3,FALSE)*'DB additional information '!$S$7/100*'DB additional information '!$V$7*VLOOKUP($C$227,'DB animal categories'!$C$81:$AC$90,27,FALSE)*E229/1000/1000)/VLOOKUP($C$227,'DB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AA229" s="418" t="str">
        <f>IF(D229="","",(VLOOKUP(D229,'DB technologies'!$N$109:$Y$120,4,FALSE)*('DB additional information '!$S$8/100*'DB additional information '!$V$8*E229/1000/1000)))</f>
        <v/>
      </c>
      <c r="AB229" s="261" t="str">
        <f>IF($C$227=0,"",IF('Calc (ex-animal)'!$F$38=1,"",IF(D229="","",((VLOOKUP($C$227,'Calc (ex-animal)'!$D$43:$Y$47,16,FALSE)-VLOOKUP($C$227,'Calc (ex-animal)'!$D$43:$Y$47,20,FALSE))*F229/100+Y229+Z229+AA229))))</f>
        <v/>
      </c>
      <c r="AC229" s="261" t="str">
        <f>IF($C$227=0,"",IF('Calc (ex-animal)'!$F$38=1,"",IF(D229="","",VLOOKUP($C$227,'Calc (ex-animal)'!$D$43:$Y$47,9,FALSE)/VLOOKUP($C$227,'DB animal categories'!$C$81:$AC$90,27,FALSE)*(VLOOKUP($C$227,'DB animal categories'!$C$81:$AC$90,27,FALSE)-VLOOKUP($C$227,'DB animal categories'!$C$81:$AC$90,25,FALSE)*VLOOKUP($C$227,'DB animal categories'!$C$81:$AC$90,26,FALSE)/24)*F229/100*VLOOKUP(D229,'DB technologies'!$N$109:$R$120,5,FALSE)/100)))</f>
        <v/>
      </c>
      <c r="AD229" s="261" t="str">
        <f>IF($C$227=0,"",IF('Calc (ex-animal)'!$F$38=1,"",IF(D229="","",VLOOKUP($C$227,'Calc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categories'!$C$81:$AC$90,26,FALSE)/24)*F229/100*VLOOKUP(D229,'DB technologies'!$N$109:$Y$120,6,FALSE)/100)))</f>
        <v/>
      </c>
      <c r="AE229" s="262" t="str">
        <f>IF($C$227=0,"",IF('Calc (ex-animal)'!$F$38=1,"",IF(D229="","",VLOOKUP($C$227,'Calc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categories'!$C$81:$AC$90,26,FALSE)/24)*F229/100*VLOOKUP(D229,'DB technologies'!$N$109:$Y$120,7,FALSE)/100)))</f>
        <v/>
      </c>
      <c r="AI229" s="181" t="str">
        <f>IF(D229="","",VLOOKUP(D229,'DB technologies'!$N$109:$Y$120,10,FALSE))</f>
        <v/>
      </c>
      <c r="AJ229" s="449" t="e">
        <f>VLOOKUP($C$227,'DB animal categories'!$C$81:$AN$90,27,FALSE)-VLOOKUP($C$227,'DB animal categories'!$C$81:$AN$90,26,FALSE)*VLOOKUP($C$227,'DB animal categories'!$C$81:$AN$90,25,FALSE)/24</f>
        <v>#N/A</v>
      </c>
      <c r="AK229" s="442" t="str">
        <f>IF(AI229="","",AL229+AM229)</f>
        <v/>
      </c>
      <c r="AL229" s="442" t="str">
        <f>IF(D229="","",IF(AI229=2,(('Calc (ex-animal)'!$G$45*'DB additional information '!$K$10/100*(1-VLOOKUP(D229,'DB technologies'!$N$109:$Y$120,9,FALSE)/100)*'Calc (ex-housing, ex-storage)'!F229/100+'Calc (ex-animal)'!$H$45*'DB additional information '!$L$10/100*(1-VLOOKUP(D229,'DB technologies'!$N$109:$Y$120,9,FALSE)/100)*'Calc (ex-housing, ex-storage)'!F229/100))/VLOOKUP($C$227,'DB animal categories'!$C$81:$AC$90,27,FALSE)*AJ229+I229+J229+K229,IF(AI229=1,('Calc (ex-animal)'!$H$45*'DB additional information '!$L$10/100*(1-VLOOKUP(D229,'DB technologies'!$N$109:$Y$120,9,FALSE)/100)*'Calc (ex-housing, ex-storage)'!F229/100)/VLOOKUP($C$227,'DB animal categories'!$C$81:$AC$90,27,FALSE)*AJ229,IF(AI229=4,('Calc (ex-animal)'!$G$45*'DB additional information '!$K$10/100+'Calc (ex-animal)'!$H$45*'DB additional information '!$L$10/100)*(1-VLOOKUP(D229,'DB technologies'!$N$109:$Y$120,9,FALSE)/100)*'Calc (ex-housing, ex-storage)'!F229/100*VLOOKUP(D229,'DB technologies'!$N$109:$Y$120,11,FALSE)/100/VLOOKUP($C$227,'DB animal categories'!$C$81:$AC$90,27,FALSE)*AJ229,0))))</f>
        <v/>
      </c>
      <c r="AM229" s="442" t="str">
        <f>IF(D229="","",IF(AI229=2,(('Calc (ex-animal)'!$G$45*(1-'DB additional information '!$K$10/100)*(1-VLOOKUP(D229,'DB technologies'!$N$109:$Y$120,8,FALSE)/100)*'Calc (ex-housing, ex-storage)'!F229/100+'Calc (ex-animal)'!$H$45*(1-'DB additional information '!$L$10/100)*(1-VLOOKUP(D229,'DB technologies'!$N$109:$Y$120,8,FALSE)/100)*'Calc (ex-housing, ex-storage)'!F229/100))/VLOOKUP($C$227,'DB animal categories'!$C$81:$AC$90,27,FALSE)*AJ229+M229+N229+O229,IF(AI229=1,('Calc (ex-animal)'!$H$45*(1-'DB additional information '!$L$10/100)*(1-VLOOKUP(D229,'DB technologies'!$N$109:$Y$120,8,FALSE)/100)*'Calc (ex-housing, ex-storage)'!F229/100)/VLOOKUP($C$227,'DB animal categories'!$C$81:$AC$90,27,FALSE)*AJ229,IF(AI229=4,('Calc (ex-animal)'!$G$45*(1-'DB additional information '!$K$10/100)+'Calc (ex-animal)'!$H$45*(1-'DB additional information '!$L$10/100))*(1-VLOOKUP(D229,'DB technologies'!$N$109:$Y$120,8,FALSE)/100)*'Calc (ex-housing, ex-storage)'!F229/100*VLOOKUP(D229,'DB technologies'!$N$109:$Y$120,11,FALSE)/100/VLOOKUP($C$227,'DB animal categories'!$C$81:$AC$90,27,FALSE)*AJ229,0))))</f>
        <v/>
      </c>
      <c r="AN229" s="442" t="str">
        <f>IF(AI229="","",IF(AL229=0,0,AL229/AK229*100))</f>
        <v/>
      </c>
      <c r="AO229" s="182" t="str">
        <f>IF(D229="","",IF(AI229=2,(('Calc (ex-animal)'!$L$45*'Calc (ex-housing, ex-storage)'!F229/100+'Calc (ex-animal)'!$K$45*'Calc (ex-housing, ex-storage)'!F229/100))/VLOOKUP($C$227,'DB animal categories'!$C$81:$AC$90,27,FALSE)*AJ229+Q229+R229+S229-AC229,IF(AI229=1,('Calc (ex-animal)'!$L$45*'Calc (ex-housing, ex-storage)'!F229/100)/VLOOKUP($C$227,'DB animal categories'!$C$81:$AC$90,27,FALSE)*AJ229-'Calc (ex-housing, ex-storage)'!AC229,IF(AI229=4,('Calc (ex-animal)'!$L$45+'Calc (ex-animal)'!$K$45)*'Calc (ex-housing, ex-storage)'!F229/100*VLOOKUP(D229,'DB technologies'!$N$109:$Y$120,11,FALSE)/100/VLOOKUP($C$227,'DB animal categories'!$C$81:$AC$90,27,FALSE)*AJ229-AC229*VLOOKUP(D229,'DB technologies'!$N$109:$Y$120,11,FALSE)/100,0))))</f>
        <v/>
      </c>
      <c r="AP229" s="182" t="str">
        <f>IF(D229="","",IF(AO229&lt;-0.01,0,IF(AI229=2,(('Calc (ex-animal)'!$L$45*'Calc (ex-housing, ex-storage)'!F229/100+'Calc (ex-animal)'!$K$45*'Calc (ex-housing, ex-storage)'!F229/100))/VLOOKUP($C$227,'DB animal categories'!$C$81:$AC$90,27,FALSE)*AJ229+Q229+R229+S229-AC229,IF(AI229=1,('Calc (ex-animal)'!$L$45*'Calc (ex-housing, ex-storage)'!F229/100)/VLOOKUP($C$227,'DB animal categories'!$C$81:$AC$90,27,FALSE)*AJ229-'Calc (ex-housing, ex-storage)'!AC229,IF(AI229=4,('Calc (ex-animal)'!$L$45+'Calc (ex-animal)'!$K$45)*'Calc (ex-housing, ex-storage)'!F229/100*VLOOKUP(D229,'DB technologies'!$N$109:$Y$120,11,FALSE)/100/VLOOKUP($C$227,'DB animal categories'!$C$81:$AC$90,27,FALSE)*AJ229-AC229*VLOOKUP(D229,'DB technologies'!$N$109:$Y$120,11,FALSE)/100,0)))))</f>
        <v/>
      </c>
      <c r="AQ229" s="182" t="str">
        <f>IF(D229="","",IF(AI229=2,('Calc (ex-animal)'!$O$45*'Calc (ex-housing, ex-storage)'!F229/100+'Calc (ex-animal)'!$N$45*'Calc (ex-housing, ex-storage)'!F229/100)/VLOOKUP($C$227,'DB animal categories'!$C$81:$AC$90,27,FALSE)*AJ229+U229+V229+W229,IF(AI229=1,'Calc (ex-animal)'!$O$45*'Calc (ex-housing, ex-storage)'!F229/100/VLOOKUP($C$227,'DB animal categories'!$C$81:$AC$90,27,FALSE)*AJ229,IF(AI229=4,('Calc (ex-animal)'!$O$45+'Calc (ex-animal)'!$N$45)*'Calc (ex-housing, ex-storage)'!F229/100*VLOOKUP(D229,'DB technologies'!$N$109:$Y$120,11,FALSE)/100/VLOOKUP($C$227,'DB animal categories'!$C$81:$AC$90,27,FALSE)*AJ229,0))))</f>
        <v/>
      </c>
      <c r="AR229" s="182" t="str">
        <f>IF(D229="","",IF(AI229=2,('Calc (ex-animal)'!$R$45*'Calc (ex-housing, ex-storage)'!F229/100+'Calc (ex-animal)'!$Q$45*'Calc (ex-housing, ex-storage)'!F229/100)/VLOOKUP($C$227,'DB animal categories'!$C$81:$AC$90,27,FALSE)*AJ229+Y229+Z229+AA229,IF(AI229=1,'Calc (ex-animal)'!$R$45*'Calc (ex-housing, ex-storage)'!F229/100/VLOOKUP($C$227,'DB animal categories'!$C$81:$AC$90,27,FALSE)*AJ229,IF(AI229=4,('Calc (ex-animal)'!$R$45+'Calc (ex-animal)'!$Q$45)*'Calc (ex-housing, ex-storage)'!F229/100*VLOOKUP(D229,'DB technologies'!$N$109:$Y$120,11,FALSE)/100/VLOOKUP($C$227,'DB animal categories'!$C$81:$AC$90,27,FALSE)*AJ229,0))))</f>
        <v/>
      </c>
      <c r="AS229" s="181" t="str">
        <f>IF(D229="","",VLOOKUP(D229,'DB technologies'!$N$109:$Y$120,10,FALSE))</f>
        <v/>
      </c>
      <c r="AT229" s="442" t="str">
        <f>IF(AS229="","",AU229+AV229)</f>
        <v/>
      </c>
      <c r="AU229" s="442" t="str">
        <f>IF(D229="","",IF(AS229=2,0,IF(AS229=1,'Calc (ex-animal)'!$G$45*'DB additional information '!$K$10/100*(1-VLOOKUP(D229,'DB technologies'!$N$109:$Y$120,8,FALSE)/100)*'Calc (ex-housing, ex-storage)'!F229/100/VLOOKUP($C$227,'DB animal categories'!$C$81:$AC$90,27,FALSE)*AJ229+I229+J229+K229,IF(AS229=5,(('Calc (ex-animal)'!$G$45*'DB additional information '!$K$10/100+'Calc (ex-animal)'!$H$45*'DB additional information '!$L$10/100))*(1-VLOOKUP(D229,'DB technologies'!$N$109:$Y$120,9,FALSE)/100)*'Calc (ex-housing, ex-storage)'!F229/100/VLOOKUP($C$227,'DB animal categories'!$C$81:$AC$90,27,FALSE)*AJ229+I229+J229+K229,IF(AS229=3,('Calc (ex-animal)'!$G$45*'DB additional information '!$K$10/100+'Calc (ex-animal)'!$H$45*'DB additional information '!$L$10/100)*(1-VLOOKUP(D229,'DB technologies'!$N$109:$Y$120,9,FALSE)/100)*'Calc (ex-housing, ex-storage)'!F229/100/VLOOKUP($C$227,'DB animal categories'!$C$81:$AC$90,27,FALSE)*AJ229+I229+J229+K229,IF(AS229=4,('Calc (ex-animal)'!$G$45*'DB additional information '!$K$10/100+'Calc (ex-animal)'!$H$45*'DB additional information '!$L$10/100)*(1-VLOOKUP(D229,'DB technologies'!$N$109:$Y$120,9,FALSE)/100)*'Calc (ex-housing, ex-storage)'!F229/100*VLOOKUP(D229,'DB technologies'!$N$109:$Y$120,12,FALSE)/100/VLOOKUP($C$227,'DB animal categories'!$C$81:$AC$90,27,FALSE)*AJ229+I229+J229+K229,0))))))</f>
        <v/>
      </c>
      <c r="AV229" s="442" t="str">
        <f>IF(D229="","",IF(AS229=2,0,IF(AS229=1,'Calc (ex-animal)'!$G$45*(1-'DB additional information '!$K$10/100)*(1-VLOOKUP(D229,'DB technologies'!$N$109:$Y$120,8,FALSE)/100)*'Calc (ex-housing, ex-storage)'!F229/100/VLOOKUP($C$227,'DB animal categories'!$C$81:$AC$90,27,FALSE)*AJ229+M229+N229+O229,IF(AS229=5,('Calc (ex-animal)'!$G$45*(1-'DB additional information '!$K$10/100)+'Calc (ex-animal)'!$H$45*(1-'DB additional information '!$L$10/100))*(1-VLOOKUP(D229,'DB technologies'!$N$109:$Y$120,8,FALSE)/100)*'Calc (ex-housing, ex-storage)'!F229/100/VLOOKUP($C$227,'DB animal categories'!$C$81:$AC$90,27,FALSE)*AJ229+M229+N229+O229,IF(AS229=3,('Calc (ex-animal)'!$G$45*(1-'DB additional information '!$K$10/100)+'Calc (ex-animal)'!$H$45*(1-'DB additional information '!$L$10/100))*(1-VLOOKUP(D229,'DB technologies'!$N$109:$Y$120,8,FALSE)/100)*'Calc (ex-housing, ex-storage)'!F229/100/VLOOKUP($C$227,'DB animal categories'!$C$81:$AC$90,27,FALSE)*AJ229+M229+N229+O229,IF(AS229=4,('Calc (ex-animal)'!$G$45*(1-'DB additional information '!$K$10/100)+'Calc (ex-animal)'!$H$45*(1-'DB additional information '!$L$10/100))*(1-VLOOKUP(D229,'DB technologies'!$N$109:$Y$120,8,FALSE)/100)*'Calc (ex-housing, ex-storage)'!F229/100*VLOOKUP(D229,'DB technologies'!$N$109:$Y$120,12,FALSE)/100/VLOOKUP($C$227,'DB animal categories'!$C$81:$AC$90,27,FALSE)*AJ229+M229+N229+O229,0))))))</f>
        <v/>
      </c>
      <c r="AW229" s="442" t="str">
        <f>IF(AS229="","",IF(AU229=0,0,AU229/AT229*100))</f>
        <v/>
      </c>
      <c r="AX229" s="182" t="str">
        <f>IF(D229="","",IF(AS229=2,0,IF(AS229=1,'Calc (ex-animal)'!$K$45*'Calc (ex-housing, ex-storage)'!F229/100/VLOOKUP($C$227,'DB animal categories'!$C$81:$AC$90,27,FALSE)*AJ229+Q229+R229+S229,IF(AS229=5,('Calc (ex-animal)'!$K$45+'Calc (ex-animal)'!$L$45)*'Calc (ex-housing, ex-storage)'!F229/100/VLOOKUP($C$227,'DB animal categories'!$C$81:$AC$90,27,FALSE)*AJ229+Q229+R229+S229-'Calc (ex-housing, ex-storage)'!AC229,IF(AS229=3,('Calc (ex-animal)'!$K$45+'Calc (ex-animal)'!$L$45)*'Calc (ex-housing, ex-storage)'!F229/100/VLOOKUP($C$227,'DB animal categories'!$C$81:$AC$90,27,FALSE)*AJ229+Q229+R229+S229-'Calc (ex-housing, ex-storage)'!AC229-AD229-AE229,IF(AI229=4,('Calc (ex-animal)'!$K$45+'Calc (ex-animal)'!$L$45)*'Calc (ex-housing, ex-storage)'!F229/100*VLOOKUP(D229,'DB technologies'!$N$109:$Y$120,12,FALSE)/100/VLOOKUP($C$227,'DB animal categories'!$C$81:$AC$90,27,FALSE)*AJ229+Q229+R229+S229-(VLOOKUP(D229,'DB technologies'!$N$109:$Y$120,12,FALSE)/100*AC229)-AD229-AE229,0))))))</f>
        <v/>
      </c>
      <c r="AY229" s="182" t="str">
        <f>IF(D229="","",IF(AS229=2,0,IF(AS229=1,'Calc (ex-animal)'!$N$45*'Calc (ex-housing, ex-storage)'!F229/100/VLOOKUP($C$227,'DB animal categories'!$C$81:$AC$90,27,FALSE)*AJ229+U229+V229+W229,IF(AS229=5,('Calc (ex-animal)'!$N$45+'Calc (ex-animal)'!$O$45)*'Calc (ex-housing, ex-storage)'!F229/100/VLOOKUP($C$227,'DB animal categories'!$C$81:$AC$90,27,FALSE)*AJ229+U229+V229+W229,IF(AS229=3,('Calc (ex-animal)'!$N$45+'Calc (ex-animal)'!$O$45)*'Calc (ex-housing, ex-storage)'!F229/100/VLOOKUP($C$227,'DB animal categories'!$C$81:$AC$90,27,FALSE)*AJ229+U229+V229+W229,IF(AS229=4,('Calc (ex-animal)'!$N$45+'Calc (ex-animal)'!$O$45)*'Calc (ex-housing, ex-storage)'!F229/100*VLOOKUP(D229,'DB technologies'!$N$109:$Y$120,12,FALSE)/100/VLOOKUP($C$227,'DB animal categories'!$C$81:$AC$90,27,FALSE)*AJ229+U229+V229+W229,0))))))</f>
        <v/>
      </c>
      <c r="AZ229" s="182" t="str">
        <f>IF(D229="","",IF(AS229=2,0,IF(AS229=1,'Calc (ex-animal)'!$Q$45*'Calc (ex-housing, ex-storage)'!F229/100/VLOOKUP($C$227,'DB animal categories'!$C$81:$AC$90,27,FALSE)*AJ229+Y229+Z229+AA229,IF(AS229=5,('Calc (ex-animal)'!$Q$45+'Calc (ex-animal)'!$R$45)*'Calc (ex-housing, ex-storage)'!F229/100/VLOOKUP($C$227,'DB animal categories'!$C$81:$AC$90,27,FALSE)*AJ229+Y229+Z229+AA229,IF(AS229=3,('Calc (ex-animal)'!$Q$45+'Calc (ex-animal)'!$R$45)*'Calc (ex-housing, ex-storage)'!F229/100/VLOOKUP($C$227,'DB animal categories'!$C$81:$AC$90,27,FALSE)*AJ229+Y229+Z229+AA229,IF(AS229=4,('Calc (ex-animal)'!$Q$45+'Calc (ex-animal)'!$R$45)*'Calc (ex-housing, ex-storage)'!F229/100*VLOOKUP(D229,'DB technologies'!$N$109:$Y$120,12,FALSE)/100/VLOOKUP($C$227,'DB animal categories'!$C$81:$AC$90,27,FALSE)*AJ229+Y229+Z229+AA229,0))))))</f>
        <v/>
      </c>
      <c r="BA229" s="506"/>
      <c r="BB229" s="506"/>
      <c r="BC229" s="506"/>
    </row>
    <row r="230" spans="1:55" x14ac:dyDescent="0.2">
      <c r="A230" s="684"/>
      <c r="B230" s="695"/>
      <c r="C230" s="255"/>
      <c r="D230" s="1397"/>
      <c r="E230" s="1358"/>
      <c r="F230" s="480" t="str">
        <f>IF('Calc (ex-animal)'!$F$38=1,"",IF($C$227=0,"",IF(D230="","",E230/'Calc (ex-animal)'!$E$45*100)))</f>
        <v/>
      </c>
      <c r="G230" s="438" t="str">
        <f>IF($C$227=0,"",IF('Calc (ex-animal)'!$F$38=1,"",IF(D230="","",SUM(H230:O230))))</f>
        <v/>
      </c>
      <c r="H230" s="423" t="str">
        <f>IF('Calc (ex-animal)'!$F$38=1,"",IF(D230="","",(((VLOOKUP($C$227,'Calc (ex-animal)'!$D$43:$Y$47,6,FALSE)-VLOOKUP($C$227,'Calc (ex-animal)'!$D$43:$Y$47,17,FALSE))*F230/100))*VLOOKUP($C$227,'Calc (ex-animal)'!$D$43:$Y$47,7,FALSE)/100*(1-VLOOKUP(D230,'DB technologies'!$N$109:$Y$120,9,FALSE)/100)))</f>
        <v/>
      </c>
      <c r="I230" s="423" t="str">
        <f>IF(D230="","",((VLOOKUP(D230,'DB technologies'!$N$109:$Y$120,2,FALSE)*VLOOKUP($C$227,'DB animal categories'!$C$81:$AC$90,27,FALSE)*E230/1000)/VLOOKUP($C$227,'DB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'!$S$6/100*(1-VLOOKUP(D230,'DB technologies'!$N$109:$Y$120,9,FALSE)/100)))</f>
        <v/>
      </c>
      <c r="J230" s="434" t="str">
        <f>IF(D230="","",((VLOOKUP(D230,'DB technologies'!$N$109:$Y$120,3,FALSE)*VLOOKUP($C$227,'DB animal categories'!$C$81:$AC$90,27,FALSE)*E230/1000)/VLOOKUP($C$227,'DB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'!$S$7/100*(1-VLOOKUP(D230,'DB technologies'!$N$109:$Y$120,9,FALSE)/100)))</f>
        <v/>
      </c>
      <c r="K230" s="434" t="str">
        <f>IF(D230="","",((VLOOKUP(D230,'DB technologies'!$N$109:$Y$120,4,FALSE)*E230*'DB additional information '!$S$8/100*(1-VLOOKUP(D230,'DB technologies'!$N$109:$Y$120,9,FALSE)/100))/VLOOKUP($C$227,'DB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L230" s="423" t="str">
        <f>IF('Calc (ex-animal)'!$F$38=1,"",IF(D230="","",(((VLOOKUP($C$227,'Calc (ex-animal)'!$D$43:$Y$47,6,FALSE)-VLOOKUP($C$227,'Calc (ex-animal)'!$D$43:$Y$47,17,FALSE))*F230/100))*(1-VLOOKUP($C$227,'Calc (ex-animal)'!$D$43:$Y$47,7,FALSE)/100)*(1-VLOOKUP(D230,'DB technologies'!$N$109:$V$120,8,FALSE)/100)))</f>
        <v/>
      </c>
      <c r="M230" s="434" t="str">
        <f>IF(D230="","",((VLOOKUP(D230,'DB technologies'!$N$109:$Y$120,2,FALSE)*VLOOKUP($C$227,'DB animal categories'!$C$81:$AC$90,27,FALSE)*E230/1000)/VLOOKUP($C$227,'DB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'!$S$6/100)*(1-VLOOKUP(D230,'DB technologies'!$N$109:$Y$120,9,FALSE)/100))</f>
        <v/>
      </c>
      <c r="N230" s="434" t="str">
        <f>IF(D230="","",((VLOOKUP(D230,'DB technologies'!$N$109:$Y$120,3,FALSE)*VLOOKUP($C$227,'DB animal categories'!$C$81:$AC$90,27,FALSE)*E230/1000)/VLOOKUP($C$227,'DB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'!$S$7/100)*(1-VLOOKUP(D230,'DB technologies'!$N$109:$Y$120,9,FALSE)/100))</f>
        <v/>
      </c>
      <c r="O230" s="423" t="str">
        <f>IF(D230="","",((VLOOKUP(D230,'DB technologies'!$N$109:$Y$120,4,FALSE)*E230*(1-'DB additional information '!$S$8/100)*(1-VLOOKUP(D230,'DB technologies'!$N$109:$Y$120,8,FALSE)/100))/VLOOKUP($C$227,'DB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P230" s="438" t="str">
        <f>IF(G230=0,0,IF(E230="","",IF(F230="","",IF($C$227=0,"",IF(D230="","",SUM(H230:K230)/G230*100)))))</f>
        <v/>
      </c>
      <c r="Q230" s="416" t="str">
        <f>IF(D230="","",(VLOOKUP(D230,'DB technologies'!$N$109:$Y$120,2,FALSE)*'DB additional information '!$S$6/100*'DB additional information '!$T$6*VLOOKUP($C$227,'DB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R230" s="416" t="str">
        <f>IF(D230="","",(VLOOKUP(D230,'DB technologies'!$N$109:$Y$120,3,FALSE)*'DB additional information '!$S$7/100*'DB additional information '!$T$7*VLOOKUP($C$227,'DB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S230" s="491" t="str">
        <f>IF(D230="","",(VLOOKUP(D230,'DB technologies'!$N$109:$Y$120,4,FALSE)*('DB additional information '!$S$8/100*'DB additional information '!$T$8*E230/1000/1000)))</f>
        <v/>
      </c>
      <c r="T230" s="264" t="str">
        <f>IF($C$227=0,"",IF('Calc (ex-animal)'!$F$38=1,"",IF(D230="","",((VLOOKUP($C$227,'Calc (ex-animal)'!$D$43:$Y$47,10,FALSE)-VLOOKUP($C$227,'Calc (ex-animal)'!$D$43:$Y$47,18,FALSE))*F230/100+Q230+R230+S230)-AC230-AD230-AE230)))</f>
        <v/>
      </c>
      <c r="U230" s="422" t="str">
        <f>IF(D230="","",(VLOOKUP(D230,'DB technologies'!$N$109:$Y$120,2,FALSE)*'DB additional information '!$S$6/100*'DB additional information '!$U$6*VLOOKUP($C$227,'DB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V230" s="418" t="str">
        <f>IF(D230="","",(VLOOKUP(D230,'DB technologies'!$N$109:$Y$120,3,FALSE)*'DB additional information '!$S$7/100*'DB additional information '!$U$7*VLOOKUP($C$227,'DB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W230" s="417" t="str">
        <f>IF(D230="","",(VLOOKUP(D230,'DB technologies'!$N$109:$Y$120,4,FALSE)*('DB additional information '!$S$8/100*'DB additional information '!$U$8*E230/1000/1000)))</f>
        <v/>
      </c>
      <c r="X230" s="261" t="str">
        <f>IF($C$227=0,"",IF('Calc (ex-animal)'!$F$38=1,"",IF(D230="","",((VLOOKUP($C$227,'Calc (ex-animal)'!$D$43:$Y$47,13,FALSE)-VLOOKUP($C$227,'Calc (ex-animal)'!$D$43:$Y$47,19,FALSE))*F230/100+U230+V230+W230))))</f>
        <v/>
      </c>
      <c r="Y230" s="418" t="str">
        <f>IF(D230="","",(VLOOKUP(D230,'DB technologies'!$N$109:$Y$120,2,FALSE)*'DB additional information '!$S$6/100*'DB additional information '!$V$6*VLOOKUP($C$227,'DB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Z230" s="418" t="str">
        <f>IF(D230="","",(VLOOKUP(D230,'DB technologies'!$N$109:$Y$120,3,FALSE)*'DB additional information '!$S$7/100*'DB additional information '!$V$7*VLOOKUP($C$227,'DB animal categories'!$C$81:$AC$90,27,FALSE)*E230/1000/1000)/VLOOKUP($C$227,'DB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AA230" s="418" t="str">
        <f>IF(D230="","",(VLOOKUP(D230,'DB technologies'!$N$109:$Y$120,4,FALSE)*('DB additional information '!$S$8/100*'DB additional information '!$V$8*E230/1000/1000)))</f>
        <v/>
      </c>
      <c r="AB230" s="261" t="str">
        <f>IF($C$227=0,"",IF('Calc (ex-animal)'!$F$38=1,"",IF(D230="","",((VLOOKUP($C$227,'Calc (ex-animal)'!$D$43:$Y$47,16,FALSE)-VLOOKUP($C$227,'Calc (ex-animal)'!$D$43:$Y$47,20,FALSE))*F230/100+Y230+Z230+AA230))))</f>
        <v/>
      </c>
      <c r="AC230" s="261" t="str">
        <f>IF($C$227=0,"",IF('Calc (ex-animal)'!$F$38=1,"",IF(D230="","",VLOOKUP($C$227,'Calc (ex-animal)'!$D$43:$Y$47,9,FALSE)/VLOOKUP($C$227,'DB animal categories'!$C$81:$AC$90,27,FALSE)*(VLOOKUP($C$227,'DB animal categories'!$C$81:$AC$90,27,FALSE)-VLOOKUP($C$227,'DB animal categories'!$C$81:$AC$90,25,FALSE)*VLOOKUP($C$227,'DB animal categories'!$C$81:$AC$90,26,FALSE)/24)*F230/100*VLOOKUP(D230,'DB technologies'!$N$109:$R$120,5,FALSE)/100)))</f>
        <v/>
      </c>
      <c r="AD230" s="261" t="str">
        <f>IF($C$227=0,"",IF('Calc (ex-animal)'!$F$38=1,"",IF(D230="","",VLOOKUP($C$227,'Calc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categories'!$C$81:$AC$90,26,FALSE)/24)*F230/100*VLOOKUP(D230,'DB technologies'!$N$109:$Y$120,6,FALSE)/100)))</f>
        <v/>
      </c>
      <c r="AE230" s="262" t="str">
        <f>IF($C$227=0,"",IF('Calc (ex-animal)'!$F$38=1,"",IF(D230="","",VLOOKUP($C$227,'Calc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categories'!$C$81:$AC$90,26,FALSE)/24)*F230/100*VLOOKUP(D230,'DB technologies'!$N$109:$Y$120,7,FALSE)/100)))</f>
        <v/>
      </c>
      <c r="AI230" s="181" t="str">
        <f>IF(D230="","",VLOOKUP(D230,'DB technologies'!$N$109:$Y$120,10,FALSE))</f>
        <v/>
      </c>
      <c r="AJ230" s="449" t="e">
        <f>VLOOKUP($C$227,'DB animal categories'!$C$81:$AN$90,27,FALSE)-VLOOKUP($C$227,'DB animal categories'!$C$81:$AN$90,26,FALSE)*VLOOKUP($C$227,'DB animal categories'!$C$81:$AN$90,25,FALSE)/24</f>
        <v>#N/A</v>
      </c>
      <c r="AK230" s="442" t="str">
        <f>IF(AI230="","",AL230+AM230)</f>
        <v/>
      </c>
      <c r="AL230" s="442" t="str">
        <f>IF(D230="","",IF(AI230=2,(('Calc (ex-animal)'!$G$45*'DB additional information '!$K$10/100*(1-VLOOKUP(D230,'DB technologies'!$N$109:$Y$120,9,FALSE)/100)*'Calc (ex-housing, ex-storage)'!F230/100+'Calc (ex-animal)'!$H$45*'DB additional information '!$L$10/100*(1-VLOOKUP(D230,'DB technologies'!$N$109:$Y$120,9,FALSE)/100)*'Calc (ex-housing, ex-storage)'!F230/100))/VLOOKUP($C$227,'DB animal categories'!$C$81:$AC$90,27,FALSE)*AJ230+I230+J230+K230,IF(AI230=1,('Calc (ex-animal)'!$H$45*'DB additional information '!$L$10/100*(1-VLOOKUP(D230,'DB technologies'!$N$109:$Y$120,9,FALSE)/100)*'Calc (ex-housing, ex-storage)'!F230/100)/VLOOKUP($C$227,'DB animal categories'!$C$81:$AC$90,27,FALSE)*AJ230,IF(AI230=4,('Calc (ex-animal)'!$G$45*'DB additional information '!$K$10/100+'Calc (ex-animal)'!$H$45*'DB additional information '!$L$10/100)*(1-VLOOKUP(D230,'DB technologies'!$N$109:$Y$120,9,FALSE)/100)*'Calc (ex-housing, ex-storage)'!F230/100*VLOOKUP(D230,'DB technologies'!$N$109:$Y$120,11,FALSE)/100/VLOOKUP($C$227,'DB animal categories'!$C$81:$AC$90,27,FALSE)*AJ230,0))))</f>
        <v/>
      </c>
      <c r="AM230" s="442" t="str">
        <f>IF(D230="","",IF(AI230=2,(('Calc (ex-animal)'!$G$45*(1-'DB additional information '!$K$10/100)*(1-VLOOKUP(D230,'DB technologies'!$N$109:$Y$120,8,FALSE)/100)*'Calc (ex-housing, ex-storage)'!F230/100+'Calc (ex-animal)'!$H$45*(1-'DB additional information '!$L$10/100)*(1-VLOOKUP(D230,'DB technologies'!$N$109:$Y$120,8,FALSE)/100)*'Calc (ex-housing, ex-storage)'!F230/100))/VLOOKUP($C$227,'DB animal categories'!$C$81:$AC$90,27,FALSE)*AJ230+M230+N230+O230,IF(AI230=1,('Calc (ex-animal)'!$H$45*(1-'DB additional information '!$L$10/100)*(1-VLOOKUP(D230,'DB technologies'!$N$109:$Y$120,8,FALSE)/100)*'Calc (ex-housing, ex-storage)'!F230/100)/VLOOKUP($C$227,'DB animal categories'!$C$81:$AC$90,27,FALSE)*AJ230,IF(AI230=4,('Calc (ex-animal)'!$G$45*(1-'DB additional information '!$K$10/100)+'Calc (ex-animal)'!$H$45*(1-'DB additional information '!$L$10/100))*(1-VLOOKUP(D230,'DB technologies'!$N$109:$Y$120,8,FALSE)/100)*'Calc (ex-housing, ex-storage)'!F230/100*VLOOKUP(D230,'DB technologies'!$N$109:$Y$120,11,FALSE)/100/VLOOKUP($C$227,'DB animal categories'!$C$81:$AC$90,27,FALSE)*AJ230,0))))</f>
        <v/>
      </c>
      <c r="AN230" s="442" t="str">
        <f>IF(AI230="","",IF(AL230=0,0,AL230/AK230*100))</f>
        <v/>
      </c>
      <c r="AO230" s="182" t="str">
        <f>IF(D230="","",IF(AI230=2,(('Calc (ex-animal)'!$L$45*'Calc (ex-housing, ex-storage)'!F230/100+'Calc (ex-animal)'!$K$45*'Calc (ex-housing, ex-storage)'!F230/100))/VLOOKUP($C$227,'DB animal categories'!$C$81:$AC$90,27,FALSE)*AJ230+Q230+R230+S230-AC230,IF(AI230=1,('Calc (ex-animal)'!$L$45*'Calc (ex-housing, ex-storage)'!F230/100)/VLOOKUP($C$227,'DB animal categories'!$C$81:$AC$90,27,FALSE)*AJ230-'Calc (ex-housing, ex-storage)'!AC230,IF(AI230=4,('Calc (ex-animal)'!$L$45+'Calc (ex-animal)'!$K$45)*'Calc (ex-housing, ex-storage)'!F230/100*VLOOKUP(D230,'DB technologies'!$N$109:$Y$120,11,FALSE)/100/VLOOKUP($C$227,'DB animal categories'!$C$81:$AC$90,27,FALSE)*AJ230-AC230*VLOOKUP(D230,'DB technologies'!$N$109:$Y$120,11,FALSE)/100,0))))</f>
        <v/>
      </c>
      <c r="AP230" s="182" t="str">
        <f>IF(D230="","",IF(AO230&lt;-0.01,0,IF(AI230=2,(('Calc (ex-animal)'!$L$45*'Calc (ex-housing, ex-storage)'!F230/100+'Calc (ex-animal)'!$K$45*'Calc (ex-housing, ex-storage)'!F230/100))/VLOOKUP($C$227,'DB animal categories'!$C$81:$AC$90,27,FALSE)*AJ230+Q230+R230+S230-AC230,IF(AI230=1,('Calc (ex-animal)'!$L$45*'Calc (ex-housing, ex-storage)'!F230/100)/VLOOKUP($C$227,'DB animal categories'!$C$81:$AC$90,27,FALSE)*AJ230-'Calc (ex-housing, ex-storage)'!AC230,IF(AI230=4,('Calc (ex-animal)'!$L$45+'Calc (ex-animal)'!$K$45)*'Calc (ex-housing, ex-storage)'!F230/100*VLOOKUP(D230,'DB technologies'!$N$109:$Y$120,11,FALSE)/100/VLOOKUP($C$227,'DB animal categories'!$C$81:$AC$90,27,FALSE)*AJ230-AC230*VLOOKUP(D230,'DB technologies'!$N$109:$Y$120,11,FALSE)/100,0)))))</f>
        <v/>
      </c>
      <c r="AQ230" s="182" t="str">
        <f>IF(D230="","",IF(AI230=2,('Calc (ex-animal)'!$O$45*'Calc (ex-housing, ex-storage)'!F230/100+'Calc (ex-animal)'!$N$45*'Calc (ex-housing, ex-storage)'!F230/100)/VLOOKUP($C$227,'DB animal categories'!$C$81:$AC$90,27,FALSE)*AJ230+U230+V230+W230,IF(AI230=1,'Calc (ex-animal)'!$O$45*'Calc (ex-housing, ex-storage)'!F230/100/VLOOKUP($C$227,'DB animal categories'!$C$81:$AC$90,27,FALSE)*AJ230,IF(AI230=4,('Calc (ex-animal)'!$O$45+'Calc (ex-animal)'!$N$45)*'Calc (ex-housing, ex-storage)'!F230/100*VLOOKUP(D230,'DB technologies'!$N$109:$Y$120,11,FALSE)/100/VLOOKUP($C$227,'DB animal categories'!$C$81:$AC$90,27,FALSE)*AJ230,0))))</f>
        <v/>
      </c>
      <c r="AR230" s="182" t="str">
        <f>IF(D230="","",IF(AI230=2,('Calc (ex-animal)'!$R$45*'Calc (ex-housing, ex-storage)'!F230/100+'Calc (ex-animal)'!$Q$45*'Calc (ex-housing, ex-storage)'!F230/100)/VLOOKUP($C$227,'DB animal categories'!$C$81:$AC$90,27,FALSE)*AJ230+Y230+Z230+AA230,IF(AI230=1,'Calc (ex-animal)'!$R$45*'Calc (ex-housing, ex-storage)'!F230/100/VLOOKUP($C$227,'DB animal categories'!$C$81:$AC$90,27,FALSE)*AJ230,IF(AI230=4,('Calc (ex-animal)'!$R$45+'Calc (ex-animal)'!$Q$45)*'Calc (ex-housing, ex-storage)'!F230/100*VLOOKUP(D230,'DB technologies'!$N$109:$Y$120,11,FALSE)/100/VLOOKUP($C$227,'DB animal categories'!$C$81:$AC$90,27,FALSE)*AJ230,0))))</f>
        <v/>
      </c>
      <c r="AS230" s="181" t="str">
        <f>IF(D230="","",VLOOKUP(D230,'DB technologies'!$N$109:$Y$120,10,FALSE))</f>
        <v/>
      </c>
      <c r="AT230" s="442" t="str">
        <f>IF(AS230="","",AU230+AV230)</f>
        <v/>
      </c>
      <c r="AU230" s="442" t="str">
        <f>IF(D230="","",IF(AS230=2,0,IF(AS230=1,'Calc (ex-animal)'!$G$45*'DB additional information '!$K$10/100*(1-VLOOKUP(D230,'DB technologies'!$N$109:$Y$120,8,FALSE)/100)*'Calc (ex-housing, ex-storage)'!F230/100/VLOOKUP($C$227,'DB animal categories'!$C$81:$AC$90,27,FALSE)*AJ230+I230+J230+K230,IF(AS230=5,(('Calc (ex-animal)'!$G$45*'DB additional information '!$K$10/100+'Calc (ex-animal)'!$H$45*'DB additional information '!$L$10/100))*(1-VLOOKUP(D230,'DB technologies'!$N$109:$Y$120,9,FALSE)/100)*'Calc (ex-housing, ex-storage)'!F230/100/VLOOKUP($C$227,'DB animal categories'!$C$81:$AC$90,27,FALSE)*AJ230+I230+J230+K230,IF(AS230=3,('Calc (ex-animal)'!$G$45*'DB additional information '!$K$10/100+'Calc (ex-animal)'!$H$45*'DB additional information '!$L$10/100)*(1-VLOOKUP(D230,'DB technologies'!$N$109:$Y$120,9,FALSE)/100)*'Calc (ex-housing, ex-storage)'!F230/100/VLOOKUP($C$227,'DB animal categories'!$C$81:$AC$90,27,FALSE)*AJ230+I230+J230+K230,IF(AS230=4,('Calc (ex-animal)'!$G$45*'DB additional information '!$K$10/100+'Calc (ex-animal)'!$H$45*'DB additional information '!$L$10/100)*(1-VLOOKUP(D230,'DB technologies'!$N$109:$Y$120,9,FALSE)/100)*'Calc (ex-housing, ex-storage)'!F230/100*VLOOKUP(D230,'DB technologies'!$N$109:$Y$120,12,FALSE)/100/VLOOKUP($C$227,'DB animal categories'!$C$81:$AC$90,27,FALSE)*AJ230+I230+J230+K230,0))))))</f>
        <v/>
      </c>
      <c r="AV230" s="442" t="str">
        <f>IF(D230="","",IF(AS230=2,0,IF(AS230=1,'Calc (ex-animal)'!$G$45*(1-'DB additional information '!$K$10/100)*(1-VLOOKUP(D230,'DB technologies'!$N$109:$Y$120,8,FALSE)/100)*'Calc (ex-housing, ex-storage)'!F230/100/VLOOKUP($C$227,'DB animal categories'!$C$81:$AC$90,27,FALSE)*AJ230+M230+N230+O230,IF(AS230=5,('Calc (ex-animal)'!$G$45*(1-'DB additional information '!$K$10/100)+'Calc (ex-animal)'!$H$45*(1-'DB additional information '!$L$10/100))*(1-VLOOKUP(D230,'DB technologies'!$N$109:$Y$120,8,FALSE)/100)*'Calc (ex-housing, ex-storage)'!F230/100/VLOOKUP($C$227,'DB animal categories'!$C$81:$AC$90,27,FALSE)*AJ230+M230+N230+O230,IF(AS230=3,('Calc (ex-animal)'!$G$45*(1-'DB additional information '!$K$10/100)+'Calc (ex-animal)'!$H$45*(1-'DB additional information '!$L$10/100))*(1-VLOOKUP(D230,'DB technologies'!$N$109:$Y$120,8,FALSE)/100)*'Calc (ex-housing, ex-storage)'!F230/100/VLOOKUP($C$227,'DB animal categories'!$C$81:$AC$90,27,FALSE)*AJ230+M230+N230+O230,IF(AS230=4,('Calc (ex-animal)'!$G$45*(1-'DB additional information '!$K$10/100)+'Calc (ex-animal)'!$H$45*(1-'DB additional information '!$L$10/100))*(1-VLOOKUP(D230,'DB technologies'!$N$109:$Y$120,8,FALSE)/100)*'Calc (ex-housing, ex-storage)'!F230/100*VLOOKUP(D230,'DB technologies'!$N$109:$Y$120,12,FALSE)/100/VLOOKUP($C$227,'DB animal categories'!$C$81:$AC$90,27,FALSE)*AJ230+M230+N230+O230,0))))))</f>
        <v/>
      </c>
      <c r="AW230" s="442" t="str">
        <f>IF(AS230="","",IF(AU230=0,0,AU230/AT230*100))</f>
        <v/>
      </c>
      <c r="AX230" s="182" t="str">
        <f>IF(D230="","",IF(AS230=2,0,IF(AS230=1,'Calc (ex-animal)'!$K$45*'Calc (ex-housing, ex-storage)'!F230/100/VLOOKUP($C$227,'DB animal categories'!$C$81:$AC$90,27,FALSE)*AJ230+Q230+R230+S230,IF(AS230=5,('Calc (ex-animal)'!$K$45+'Calc (ex-animal)'!$L$45)*'Calc (ex-housing, ex-storage)'!F230/100/VLOOKUP($C$227,'DB animal categories'!$C$81:$AC$90,27,FALSE)*AJ230+Q230+R230+S230-'Calc (ex-housing, ex-storage)'!AC230,IF(AS230=3,('Calc (ex-animal)'!$K$45+'Calc (ex-animal)'!$L$45)*'Calc (ex-housing, ex-storage)'!F230/100/VLOOKUP($C$227,'DB animal categories'!$C$81:$AC$90,27,FALSE)*AJ230+Q230+R230+S230-'Calc (ex-housing, ex-storage)'!AC230-AD230-AE230,IF(AI230=4,('Calc (ex-animal)'!$K$45+'Calc (ex-animal)'!$L$45)*'Calc (ex-housing, ex-storage)'!F230/100*VLOOKUP(D230,'DB technologies'!$N$109:$Y$120,12,FALSE)/100/VLOOKUP($C$227,'DB animal categories'!$C$81:$AC$90,27,FALSE)*AJ230+Q230+R230+S230-(VLOOKUP(D230,'DB technologies'!$N$109:$Y$120,12,FALSE)/100*AC230)-AD230-AE230,0))))))</f>
        <v/>
      </c>
      <c r="AY230" s="182" t="str">
        <f>IF(D230="","",IF(AS230=2,0,IF(AS230=1,'Calc (ex-animal)'!$N$45*'Calc (ex-housing, ex-storage)'!F230/100/VLOOKUP($C$227,'DB animal categories'!$C$81:$AC$90,27,FALSE)*AJ230+U230+V230+W230,IF(AS230=5,('Calc (ex-animal)'!$N$45+'Calc (ex-animal)'!$O$45)*'Calc (ex-housing, ex-storage)'!F230/100/VLOOKUP($C$227,'DB animal categories'!$C$81:$AC$90,27,FALSE)*AJ230+U230+V230+W230,IF(AS230=3,('Calc (ex-animal)'!$N$45+'Calc (ex-animal)'!$O$45)*'Calc (ex-housing, ex-storage)'!F230/100/VLOOKUP($C$227,'DB animal categories'!$C$81:$AC$90,27,FALSE)*AJ230+U230+V230+W230,IF(AS230=4,('Calc (ex-animal)'!$N$45+'Calc (ex-animal)'!$O$45)*'Calc (ex-housing, ex-storage)'!F230/100*VLOOKUP(D230,'DB technologies'!$N$109:$Y$120,12,FALSE)/100/VLOOKUP($C$227,'DB animal categories'!$C$81:$AC$90,27,FALSE)*AJ230+U230+V230+W230,0))))))</f>
        <v/>
      </c>
      <c r="AZ230" s="182" t="str">
        <f>IF(D230="","",IF(AS230=2,0,IF(AS230=1,'Calc (ex-animal)'!$Q$45*'Calc (ex-housing, ex-storage)'!F230/100/VLOOKUP($C$227,'DB animal categories'!$C$81:$AC$90,27,FALSE)*AJ230+Y230+Z230+AA230,IF(AS230=5,('Calc (ex-animal)'!$Q$45+'Calc (ex-animal)'!$R$45)*'Calc (ex-housing, ex-storage)'!F230/100/VLOOKUP($C$227,'DB animal categories'!$C$81:$AC$90,27,FALSE)*AJ230+Y230+Z230+AA230,IF(AS230=3,('Calc (ex-animal)'!$Q$45+'Calc (ex-animal)'!$R$45)*'Calc (ex-housing, ex-storage)'!F230/100/VLOOKUP($C$227,'DB animal categories'!$C$81:$AC$90,27,FALSE)*AJ230+Y230+Z230+AA230,IF(AS230=4,('Calc (ex-animal)'!$Q$45+'Calc (ex-animal)'!$R$45)*'Calc (ex-housing, ex-storage)'!F230/100*VLOOKUP(D230,'DB technologies'!$N$109:$Y$120,12,FALSE)/100/VLOOKUP($C$227,'DB animal categories'!$C$81:$AC$90,27,FALSE)*AJ230+Y230+Z230+AA230,0))))))</f>
        <v/>
      </c>
      <c r="BA230" s="506"/>
      <c r="BB230" s="506"/>
      <c r="BC230" s="506"/>
    </row>
    <row r="231" spans="1:55" ht="12" thickBot="1" x14ac:dyDescent="0.25">
      <c r="A231" s="684"/>
      <c r="B231" s="695"/>
      <c r="C231" s="255"/>
      <c r="D231" s="1398"/>
      <c r="E231" s="1360"/>
      <c r="F231" s="481" t="str">
        <f>IF('Calc (ex-animal)'!$F$38=1,"",IF($C$227=0,"",IF(D231="","",E231/'Calc (ex-animal)'!$E$45*100)))</f>
        <v/>
      </c>
      <c r="G231" s="444" t="str">
        <f>IF($C$227=0,"",IF('Calc (ex-animal)'!$F$38=1,"",IF(D231="","",SUM(H231:O231))))</f>
        <v/>
      </c>
      <c r="H231" s="445" t="str">
        <f>IF('Calc (ex-animal)'!$F$38=1,"",IF(D231="","",(((VLOOKUP($C$227,'Calc (ex-animal)'!$D$43:$Y$47,6,FALSE)-VLOOKUP($C$227,'Calc (ex-animal)'!$D$43:$Y$47,17,FALSE))*F231/100))*VLOOKUP($C$227,'Calc (ex-animal)'!$D$43:$Y$47,7,FALSE)/100*(1-VLOOKUP(D231,'DB technologies'!$N$109:$Y$120,9,FALSE)/100)))</f>
        <v/>
      </c>
      <c r="I231" s="445" t="str">
        <f>IF(D231="","",((VLOOKUP(D231,'DB technologies'!$N$109:$Y$120,2,FALSE)*VLOOKUP($C$227,'DB animal categories'!$C$81:$AC$90,27,FALSE)*E231/1000)/VLOOKUP($C$227,'DB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'!$S$6/100*(1-VLOOKUP(D231,'DB technologies'!$N$109:$Y$120,9,FALSE)/100)))</f>
        <v/>
      </c>
      <c r="J231" s="446" t="str">
        <f>IF(D231="","",((VLOOKUP(D231,'DB technologies'!$N$109:$Y$120,3,FALSE)*VLOOKUP($C$227,'DB animal categories'!$C$81:$AC$90,27,FALSE)*E231/1000)/VLOOKUP($C$227,'DB animal categories'!$C$81:$AC$90,27,FALSE)*(VLOOKUP($C$227,'DB animal categories'!$C$81:$AC$90,27,FALSE)-(VLOOKUP($C$227,'DB animal categories'!$C$81:$AC$90,25,FALSE)*VLOOKUP($C$227,'DB animal categories'!$C$81:$AC$90,26,FALSE)/24))*'DB additional information '!$S$7/100*(1-VLOOKUP(D231,'DB technologies'!$N$109:$Y$120,9,FALSE)/100)))</f>
        <v/>
      </c>
      <c r="K231" s="446" t="str">
        <f>IF(D231="","",((VLOOKUP(D231,'DB technologies'!$N$109:$Y$120,4,FALSE)*E231*'DB additional information '!$S$8/100*(1-VLOOKUP(D231,'DB technologies'!$N$109:$Y$120,9,FALSE)/100))/VLOOKUP($C$227,'DB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L231" s="445" t="str">
        <f>IF('Calc (ex-animal)'!$F$38=1,"",IF(D231="","",(((VLOOKUP($C$227,'Calc (ex-animal)'!$D$43:$Y$47,6,FALSE)-VLOOKUP($C$227,'Calc (ex-animal)'!$D$43:$Y$47,17,FALSE))*F231/100))*(1-VLOOKUP($C$227,'Calc (ex-animal)'!$D$43:$Y$47,7,FALSE)/100)*(1-VLOOKUP(D231,'DB technologies'!$N$109:$V$120,8,FALSE)/100)))</f>
        <v/>
      </c>
      <c r="M231" s="446" t="str">
        <f>IF(D231="","",((VLOOKUP(D231,'DB technologies'!$N$109:$Y$120,2,FALSE)*VLOOKUP($C$227,'DB animal categories'!$C$81:$AC$90,27,FALSE)*E231/1000)/VLOOKUP($C$227,'DB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'!$S$6/100)*(1-VLOOKUP(D231,'DB technologies'!$N$109:$Y$120,9,FALSE)/100))</f>
        <v/>
      </c>
      <c r="N231" s="446" t="str">
        <f>IF(D231="","",((VLOOKUP(D231,'DB technologies'!$N$109:$Y$120,3,FALSE)*VLOOKUP($C$227,'DB animal categories'!$C$81:$AC$90,27,FALSE)*E231/1000)/VLOOKUP($C$227,'DB animal categories'!$C$81:$AC$90,27,FALSE)*(VLOOKUP($C$227,'DB animal categories'!$C$81:$AC$90,27,FALSE)-VLOOKUP($C$227,'DB animal categories'!$C$81:$AC$90,25,FALSE)*VLOOKUP($C$227,'DB animal categories'!$C$81:$AC$90,26,FALSE)/24))*(1-'DB additional information '!$S$7/100)*(1-VLOOKUP(D231,'DB technologies'!$N$109:$Y$120,9,FALSE)/100))</f>
        <v/>
      </c>
      <c r="O231" s="445" t="str">
        <f>IF(D231="","",((VLOOKUP(D231,'DB technologies'!$N$109:$Y$120,4,FALSE)*E231*(1-'DB additional information '!$S$8/100)*(1-VLOOKUP(D231,'DB technologies'!$N$109:$Y$120,8,FALSE)/100))/VLOOKUP($C$227,'DB animal categories'!$C$81:$AC$90,27,FALSE)*(VLOOKUP($C$227,'DB animal categories'!$C$81:$AC$90,27,FALSE)-VLOOKUP($C$227,'DB animal categories'!$C$81:$AC$90,25,FALSE)*VLOOKUP($C$227,'DB animal categories'!$C$81:$AC$90,26,FALSE)/24)))</f>
        <v/>
      </c>
      <c r="P231" s="444" t="str">
        <f>IF(G231=0,0,IF(E231="","",IF(F231="","",IF($C$227=0,"",IF(D231="","",SUM(H231:K231)/G231*100)))))</f>
        <v/>
      </c>
      <c r="Q231" s="476" t="str">
        <f>IF(D231="","",(VLOOKUP(D231,'DB technologies'!$N$109:$Y$120,2,FALSE)*'DB additional information '!$S$6/100*'DB additional information '!$T$6*VLOOKUP($C$227,'DB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R231" s="476" t="str">
        <f>IF(D231="","",(VLOOKUP(D231,'DB technologies'!$N$109:$Y$120,3,FALSE)*'DB additional information '!$S$7/100*'DB additional information '!$T$7*VLOOKUP($C$227,'DB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S231" s="494" t="str">
        <f>IF(D231="","",(VLOOKUP(D231,'DB technologies'!$N$109:$Y$120,4,FALSE)*('DB additional information '!$S$8/100*'DB additional information '!$T$8*E231/1000/1000)))</f>
        <v/>
      </c>
      <c r="T231" s="266" t="str">
        <f>IF($C$227=0,"",IF('Calc (ex-animal)'!$F$38=1,"",IF(D231="","",((VLOOKUP($C$227,'Calc (ex-animal)'!$D$43:$Y$47,10,FALSE)-VLOOKUP($C$227,'Calc (ex-animal)'!$D$43:$Y$47,18,FALSE))*F231/100+Q231+R231+S231)-AC231-AD231-AE231)))</f>
        <v/>
      </c>
      <c r="U231" s="477" t="str">
        <f>IF(D231="","",(VLOOKUP(D231,'DB technologies'!$N$109:$Y$120,2,FALSE)*'DB additional information '!$S$6/100*'DB additional information '!$U$6*VLOOKUP($C$227,'DB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V231" s="433" t="str">
        <f>IF(D231="","",(VLOOKUP(D231,'DB technologies'!$N$109:$Y$120,3,FALSE)*'DB additional information '!$S$7/100*'DB additional information '!$U$7*VLOOKUP($C$227,'DB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W231" s="475" t="str">
        <f>IF(D231="","",(VLOOKUP(D231,'DB technologies'!$N$109:$Y$120,4,FALSE)*('DB additional information '!$S$8/100*'DB additional information '!$U$8*E231/1000/1000)))</f>
        <v/>
      </c>
      <c r="X231" s="267" t="str">
        <f>IF($C$227=0,"",IF('Calc (ex-animal)'!$F$38=1,"",IF(D231="","",((VLOOKUP($C$227,'Calc (ex-animal)'!$D$43:$Y$47,13,FALSE)-VLOOKUP($C$227,'Calc (ex-animal)'!$D$43:$Y$47,19,FALSE))*F231/100+U231+V231+W231))))</f>
        <v/>
      </c>
      <c r="Y231" s="433" t="str">
        <f>IF(D231="","",(VLOOKUP(D231,'DB technologies'!$N$109:$Y$120,2,FALSE)*'DB additional information '!$S$6/100*'DB additional information '!$V$6*VLOOKUP($C$227,'DB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Z231" s="433" t="str">
        <f>IF(D231="","",(VLOOKUP(D231,'DB technologies'!$N$109:$Y$120,3,FALSE)*'DB additional information '!$S$7/100*'DB additional information '!$V$7*VLOOKUP($C$227,'DB animal categories'!$C$81:$AC$90,27,FALSE)*E231/1000/1000)/VLOOKUP($C$227,'DB animal categories'!$C$81:$AC$90,27,FALSE)*(VLOOKUP($C$227,'DB animal categories'!$C$81:$AC$90,27,FALSE)-VLOOKUP($C$227,'DB animal categories'!$C$81:$AC$90,25,FALSE)*VLOOKUP($C$227,'DB animal categories'!$C$81:$AC$90,26,FALSE)/24))</f>
        <v/>
      </c>
      <c r="AA231" s="433" t="str">
        <f>IF(D231="","",(VLOOKUP(D231,'DB technologies'!$N$109:$Y$120,4,FALSE)*('DB additional information '!$S$8/100*'DB additional information '!$V$8*E231/1000/1000)))</f>
        <v/>
      </c>
      <c r="AB231" s="267" t="str">
        <f>IF($C$227=0,"",IF('Calc (ex-animal)'!$F$38=1,"",IF(D231="","",((VLOOKUP($C$227,'Calc (ex-animal)'!$D$43:$Y$47,16,FALSE)-VLOOKUP($C$227,'Calc (ex-animal)'!$D$43:$Y$47,20,FALSE))*F231/100+Y231+Z231+AA231))))</f>
        <v/>
      </c>
      <c r="AC231" s="267" t="str">
        <f>IF($C$227=0,"",IF('Calc (ex-animal)'!$F$38=1,"",IF(D231="","",VLOOKUP($C$227,'Calc (ex-animal)'!$D$43:$Y$47,9,FALSE)/VLOOKUP($C$227,'DB animal categories'!$C$81:$AC$90,27,FALSE)*(VLOOKUP($C$227,'DB animal categories'!$C$81:$AC$90,27,FALSE)-VLOOKUP($C$227,'DB animal categories'!$C$81:$AC$90,25,FALSE)*VLOOKUP($C$227,'DB animal categories'!$C$81:$AC$90,26,FALSE)/24)*F231/100*VLOOKUP(D231,'DB technologies'!$N$109:$R$120,5,FALSE)/100)))</f>
        <v/>
      </c>
      <c r="AD231" s="267" t="str">
        <f>IF($C$227=0,"",IF('Calc (ex-animal)'!$F$38=1,"",IF(D231="","",VLOOKUP($C$227,'Calc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categories'!$C$81:$AC$90,26,FALSE)/24)*F231/100*VLOOKUP(D231,'DB technologies'!$N$109:$Y$120,6,FALSE)/100)))</f>
        <v/>
      </c>
      <c r="AE231" s="268" t="str">
        <f>IF($C$227=0,"",IF('Calc (ex-animal)'!$F$38=1,"",IF(D231="","",VLOOKUP($C$227,'Calc (ex-animal)'!$D$43:$Y$47,10,FALSE)/VLOOKUP($C$227,'DB animal categories'!$C$81:$AC$90,27,FALSE)*(VLOOKUP($C$227,'DB animal categories'!$C$81:$AC$90,27,FALSE)-VLOOKUP($C$227,'DB animal categories'!$C$81:$AC$90,25,FALSE)*VLOOKUP($C$227,'DB animal categories'!$C$81:$AC$90,26,FALSE)/24)*F231/100*VLOOKUP(D231,'DB technologies'!$N$109:$Y$120,7,FALSE)/100)))</f>
        <v/>
      </c>
      <c r="AI231" s="183" t="str">
        <f>IF(D231="","",VLOOKUP(D231,'DB technologies'!$N$109:$Y$120,10,FALSE))</f>
        <v/>
      </c>
      <c r="AJ231" s="451" t="e">
        <f>VLOOKUP($C$227,'DB animal categories'!$C$81:$AN$90,27,FALSE)-VLOOKUP($C$227,'DB animal categories'!$C$81:$AN$90,26,FALSE)*VLOOKUP($C$227,'DB animal categories'!$C$81:$AN$90,25,FALSE)/24</f>
        <v>#N/A</v>
      </c>
      <c r="AK231" s="452" t="str">
        <f>IF(AI231="","",AL231+AM231)</f>
        <v/>
      </c>
      <c r="AL231" s="452" t="str">
        <f>IF(D231="","",IF(AI231=2,(('Calc (ex-animal)'!$G$45*'DB additional information '!$K$10/100*(1-VLOOKUP(D231,'DB technologies'!$N$109:$Y$120,9,FALSE)/100)*'Calc (ex-housing, ex-storage)'!F231/100+'Calc (ex-animal)'!$H$45*'DB additional information '!$L$10/100*(1-VLOOKUP(D231,'DB technologies'!$N$109:$Y$120,9,FALSE)/100)*'Calc (ex-housing, ex-storage)'!F231/100))/VLOOKUP($C$227,'DB animal categories'!$C$81:$AC$90,27,FALSE)*AJ231+I231+J231+K231,IF(AI231=1,('Calc (ex-animal)'!$H$45*'DB additional information '!$L$10/100*(1-VLOOKUP(D231,'DB technologies'!$N$109:$Y$120,9,FALSE)/100)*'Calc (ex-housing, ex-storage)'!F231/100)/VLOOKUP($C$227,'DB animal categories'!$C$81:$AC$90,27,FALSE)*AJ231,IF(AI231=4,('Calc (ex-animal)'!$G$45*'DB additional information '!$K$10/100+'Calc (ex-animal)'!$H$45*'DB additional information '!$L$10/100)*(1-VLOOKUP(D231,'DB technologies'!$N$109:$Y$120,9,FALSE)/100)*'Calc (ex-housing, ex-storage)'!F231/100*VLOOKUP(D231,'DB technologies'!$N$109:$Y$120,11,FALSE)/100/VLOOKUP($C$227,'DB animal categories'!$C$81:$AC$90,27,FALSE)*AJ231,0))))</f>
        <v/>
      </c>
      <c r="AM231" s="452" t="str">
        <f>IF(D231="","",IF(AI231=2,(('Calc (ex-animal)'!$G$45*(1-'DB additional information '!$K$10/100)*(1-VLOOKUP(D231,'DB technologies'!$N$109:$Y$120,8,FALSE)/100)*'Calc (ex-housing, ex-storage)'!F231/100+'Calc (ex-animal)'!$H$45*(1-'DB additional information '!$L$10/100)*(1-VLOOKUP(D231,'DB technologies'!$N$109:$Y$120,8,FALSE)/100)*'Calc (ex-housing, ex-storage)'!F231/100))/VLOOKUP($C$227,'DB animal categories'!$C$81:$AC$90,27,FALSE)*AJ231+M231+N231+O231,IF(AI231=1,('Calc (ex-animal)'!$H$45*(1-'DB additional information '!$L$10/100)*(1-VLOOKUP(D231,'DB technologies'!$N$109:$Y$120,8,FALSE)/100)*'Calc (ex-housing, ex-storage)'!F231/100)/VLOOKUP($C$227,'DB animal categories'!$C$81:$AC$90,27,FALSE)*AJ231,IF(AI231=4,('Calc (ex-animal)'!$G$45*(1-'DB additional information '!$K$10/100)+'Calc (ex-animal)'!$H$45*(1-'DB additional information '!$L$10/100))*(1-VLOOKUP(D231,'DB technologies'!$N$109:$Y$120,8,FALSE)/100)*'Calc (ex-housing, ex-storage)'!F231/100*VLOOKUP(D231,'DB technologies'!$N$109:$Y$120,11,FALSE)/100/VLOOKUP($C$227,'DB animal categories'!$C$81:$AC$90,27,FALSE)*AJ231,0))))</f>
        <v/>
      </c>
      <c r="AN231" s="452" t="str">
        <f>IF(AI231="","",IF(AL231=0,0,AL231/AK231*100))</f>
        <v/>
      </c>
      <c r="AO231" s="184" t="str">
        <f>IF(D231="","",IF(AI231=2,(('Calc (ex-animal)'!$L$45*'Calc (ex-housing, ex-storage)'!F231/100+'Calc (ex-animal)'!$K$45*'Calc (ex-housing, ex-storage)'!F231/100))/VLOOKUP($C$227,'DB animal categories'!$C$81:$AC$90,27,FALSE)*AJ231+Q231+R231+S231-AC231,IF(AI231=1,('Calc (ex-animal)'!$L$45*'Calc (ex-housing, ex-storage)'!F231/100)/VLOOKUP($C$227,'DB animal categories'!$C$81:$AC$90,27,FALSE)*AJ231-'Calc (ex-housing, ex-storage)'!AC231,IF(AI231=4,('Calc (ex-animal)'!$L$45+'Calc (ex-animal)'!$K$45)*'Calc (ex-housing, ex-storage)'!F231/100*VLOOKUP(D231,'DB technologies'!$N$109:$Y$120,11,FALSE)/100/VLOOKUP($C$227,'DB animal categories'!$C$81:$AC$90,27,FALSE)*AJ231-AC231*VLOOKUP(D231,'DB technologies'!$N$109:$Y$120,11,FALSE)/100,0))))</f>
        <v/>
      </c>
      <c r="AP231" s="184" t="str">
        <f>IF(D231="","",IF(AO231&lt;-0.01,0,IF(AI231=2,(('Calc (ex-animal)'!$L$45*'Calc (ex-housing, ex-storage)'!F231/100+'Calc (ex-animal)'!$K$45*'Calc (ex-housing, ex-storage)'!F231/100))/VLOOKUP($C$227,'DB animal categories'!$C$81:$AC$90,27,FALSE)*AJ231+Q231+R231+S231-AC231,IF(AI231=1,('Calc (ex-animal)'!$L$45*'Calc (ex-housing, ex-storage)'!F231/100)/VLOOKUP($C$227,'DB animal categories'!$C$81:$AC$90,27,FALSE)*AJ231-'Calc (ex-housing, ex-storage)'!AC231,IF(AI231=4,('Calc (ex-animal)'!$L$45+'Calc (ex-animal)'!$K$45)*'Calc (ex-housing, ex-storage)'!F231/100*VLOOKUP(D231,'DB technologies'!$N$109:$Y$120,11,FALSE)/100/VLOOKUP($C$227,'DB animal categories'!$C$81:$AC$90,27,FALSE)*AJ231-AC231*VLOOKUP(D231,'DB technologies'!$N$109:$Y$120,11,FALSE)/100,0)))))</f>
        <v/>
      </c>
      <c r="AQ231" s="184" t="str">
        <f>IF(D231="","",IF(AI231=2,('Calc (ex-animal)'!$O$45*'Calc (ex-housing, ex-storage)'!F231/100+'Calc (ex-animal)'!$N$45*'Calc (ex-housing, ex-storage)'!F231/100)/VLOOKUP($C$227,'DB animal categories'!$C$81:$AC$90,27,FALSE)*AJ231+U231+V231+W231,IF(AI231=1,'Calc (ex-animal)'!$O$45*'Calc (ex-housing, ex-storage)'!F231/100/VLOOKUP($C$227,'DB animal categories'!$C$81:$AC$90,27,FALSE)*AJ231,IF(AI231=4,('Calc (ex-animal)'!$O$45+'Calc (ex-animal)'!$N$45)*'Calc (ex-housing, ex-storage)'!F231/100*VLOOKUP(D231,'DB technologies'!$N$109:$Y$120,11,FALSE)/100/VLOOKUP($C$227,'DB animal categories'!$C$81:$AC$90,27,FALSE)*AJ231,0))))</f>
        <v/>
      </c>
      <c r="AR231" s="184" t="str">
        <f>IF(D231="","",IF(AI231=2,('Calc (ex-animal)'!$R$45*'Calc (ex-housing, ex-storage)'!F231/100+'Calc (ex-animal)'!$Q$45*'Calc (ex-housing, ex-storage)'!F231/100)/VLOOKUP($C$227,'DB animal categories'!$C$81:$AC$90,27,FALSE)*AJ231+Y231+Z231+AA231,IF(AI231=1,'Calc (ex-animal)'!$R$45*'Calc (ex-housing, ex-storage)'!F231/100/VLOOKUP($C$227,'DB animal categories'!$C$81:$AC$90,27,FALSE)*AJ231,IF(AI231=4,('Calc (ex-animal)'!$R$45+'Calc (ex-animal)'!$Q$45)*'Calc (ex-housing, ex-storage)'!F231/100*VLOOKUP(D231,'DB technologies'!$N$109:$Y$120,11,FALSE)/100/VLOOKUP($C$227,'DB animal categories'!$C$81:$AC$90,27,FALSE)*AJ231,0))))</f>
        <v/>
      </c>
      <c r="AS231" s="183" t="str">
        <f>IF(D231="","",VLOOKUP(D231,'DB technologies'!$N$109:$Y$120,10,FALSE))</f>
        <v/>
      </c>
      <c r="AT231" s="452" t="str">
        <f>IF(AS231="","",AU231+AV231)</f>
        <v/>
      </c>
      <c r="AU231" s="452" t="str">
        <f>IF(D231="","",IF(AS231=2,0,IF(AS231=1,'Calc (ex-animal)'!$G$45*'DB additional information '!$K$10/100*(1-VLOOKUP(D231,'DB technologies'!$N$109:$Y$120,8,FALSE)/100)*'Calc (ex-housing, ex-storage)'!F231/100/VLOOKUP($C$227,'DB animal categories'!$C$81:$AC$90,27,FALSE)*AJ231+I231+J231+K231,IF(AS231=5,(('Calc (ex-animal)'!$G$45*'DB additional information '!$K$10/100+'Calc (ex-animal)'!$H$45*'DB additional information '!$L$10/100))*(1-VLOOKUP(D231,'DB technologies'!$N$109:$Y$120,9,FALSE)/100)*'Calc (ex-housing, ex-storage)'!F231/100/VLOOKUP($C$227,'DB animal categories'!$C$81:$AC$90,27,FALSE)*AJ231+I231+J231+K231,IF(AS231=3,('Calc (ex-animal)'!$G$45*'DB additional information '!$K$10/100+'Calc (ex-animal)'!$H$45*'DB additional information '!$L$10/100)*(1-VLOOKUP(D231,'DB technologies'!$N$109:$Y$120,9,FALSE)/100)*'Calc (ex-housing, ex-storage)'!F231/100/VLOOKUP($C$227,'DB animal categories'!$C$81:$AC$90,27,FALSE)*AJ231+I231+J231+K231,IF(AS231=4,('Calc (ex-animal)'!$G$45*'DB additional information '!$K$10/100+'Calc (ex-animal)'!$H$45*'DB additional information '!$L$10/100)*(1-VLOOKUP(D231,'DB technologies'!$N$109:$Y$120,9,FALSE)/100)*'Calc (ex-housing, ex-storage)'!F231/100*VLOOKUP(D231,'DB technologies'!$N$109:$Y$120,12,FALSE)/100/VLOOKUP($C$227,'DB animal categories'!$C$81:$AC$90,27,FALSE)*AJ231+I231+J231+K231,0))))))</f>
        <v/>
      </c>
      <c r="AV231" s="452" t="str">
        <f>IF(D231="","",IF(AS231=2,0,IF(AS231=1,'Calc (ex-animal)'!$G$45*(1-'DB additional information '!$K$10/100)*(1-VLOOKUP(D231,'DB technologies'!$N$109:$Y$120,8,FALSE)/100)*'Calc (ex-housing, ex-storage)'!F231/100/VLOOKUP($C$227,'DB animal categories'!$C$81:$AC$90,27,FALSE)*AJ231+M231+N231+O231,IF(AS231=5,('Calc (ex-animal)'!$G$45*(1-'DB additional information '!$K$10/100)+'Calc (ex-animal)'!$H$45*(1-'DB additional information '!$L$10/100))*(1-VLOOKUP(D231,'DB technologies'!$N$109:$Y$120,8,FALSE)/100)*'Calc (ex-housing, ex-storage)'!F231/100/VLOOKUP($C$227,'DB animal categories'!$C$81:$AC$90,27,FALSE)*AJ231+M231+N231+O231,IF(AS231=3,('Calc (ex-animal)'!$G$45*(1-'DB additional information '!$K$10/100)+'Calc (ex-animal)'!$H$45*(1-'DB additional information '!$L$10/100))*(1-VLOOKUP(D231,'DB technologies'!$N$109:$Y$120,8,FALSE)/100)*'Calc (ex-housing, ex-storage)'!F231/100/VLOOKUP($C$227,'DB animal categories'!$C$81:$AC$90,27,FALSE)*AJ231+M231+N231+O231,IF(AS231=4,('Calc (ex-animal)'!$G$45*(1-'DB additional information '!$K$10/100)+'Calc (ex-animal)'!$H$45*(1-'DB additional information '!$L$10/100))*(1-VLOOKUP(D231,'DB technologies'!$N$109:$Y$120,8,FALSE)/100)*'Calc (ex-housing, ex-storage)'!F231/100*VLOOKUP(D231,'DB technologies'!$N$109:$Y$120,12,FALSE)/100/VLOOKUP($C$227,'DB animal categories'!$C$81:$AC$90,27,FALSE)*AJ231+M231+N231+O231,0))))))</f>
        <v/>
      </c>
      <c r="AW231" s="452" t="str">
        <f>IF(AS231="","",IF(AU231=0,0,AU231/AT231*100))</f>
        <v/>
      </c>
      <c r="AX231" s="184" t="str">
        <f>IF(D231="","",IF(AS231=2,0,IF(AS231=1,'Calc (ex-animal)'!$K$45*'Calc (ex-housing, ex-storage)'!F231/100/VLOOKUP($C$227,'DB animal categories'!$C$81:$AC$90,27,FALSE)*AJ231+Q231+R231+S231,IF(AS231=5,('Calc (ex-animal)'!$K$45+'Calc (ex-animal)'!$L$45)*'Calc (ex-housing, ex-storage)'!F231/100/VLOOKUP($C$227,'DB animal categories'!$C$81:$AC$90,27,FALSE)*AJ231+Q231+R231+S231-'Calc (ex-housing, ex-storage)'!AC231,IF(AS231=3,('Calc (ex-animal)'!$K$45+'Calc (ex-animal)'!$L$45)*'Calc (ex-housing, ex-storage)'!F231/100/VLOOKUP($C$227,'DB animal categories'!$C$81:$AC$90,27,FALSE)*AJ231+Q231+R231+S231-'Calc (ex-housing, ex-storage)'!AC231-AD231-AE231,IF(AI231=4,('Calc (ex-animal)'!$K$45+'Calc (ex-animal)'!$L$45)*'Calc (ex-housing, ex-storage)'!F231/100*VLOOKUP(D231,'DB technologies'!$N$109:$Y$120,12,FALSE)/100/VLOOKUP($C$227,'DB animal categories'!$C$81:$AC$90,27,FALSE)*AJ231+Q231+R231+S231-(VLOOKUP(D231,'DB technologies'!$N$109:$Y$120,12,FALSE)/100*AC231)-AD231-AE231,0))))))</f>
        <v/>
      </c>
      <c r="AY231" s="184" t="str">
        <f>IF(D231="","",IF(AS231=2,0,IF(AS231=1,'Calc (ex-animal)'!$N$45*'Calc (ex-housing, ex-storage)'!F231/100/VLOOKUP($C$227,'DB animal categories'!$C$81:$AC$90,27,FALSE)*AJ231+U231+V231+W231,IF(AS231=5,('Calc (ex-animal)'!$N$45+'Calc (ex-animal)'!$O$45)*'Calc (ex-housing, ex-storage)'!F231/100/VLOOKUP($C$227,'DB animal categories'!$C$81:$AC$90,27,FALSE)*AJ231+U231+V231+W231,IF(AS231=3,('Calc (ex-animal)'!$N$45+'Calc (ex-animal)'!$O$45)*'Calc (ex-housing, ex-storage)'!F231/100/VLOOKUP($C$227,'DB animal categories'!$C$81:$AC$90,27,FALSE)*AJ231+U231+V231+W231,IF(AS231=4,('Calc (ex-animal)'!$N$45+'Calc (ex-animal)'!$O$45)*'Calc (ex-housing, ex-storage)'!F231/100*VLOOKUP(D231,'DB technologies'!$N$109:$Y$120,12,FALSE)/100/VLOOKUP($C$227,'DB animal categories'!$C$81:$AC$90,27,FALSE)*AJ231+U231+V231+W231,0))))))</f>
        <v/>
      </c>
      <c r="AZ231" s="184" t="str">
        <f>IF(D231="","",IF(AS231=2,0,IF(AS231=1,'Calc (ex-animal)'!$Q$45*'Calc (ex-housing, ex-storage)'!F231/100/VLOOKUP($C$227,'DB animal categories'!$C$81:$AC$90,27,FALSE)*AJ231+Y231+Z231+AA231,IF(AS231=5,('Calc (ex-animal)'!$Q$45+'Calc (ex-animal)'!$R$45)*'Calc (ex-housing, ex-storage)'!F231/100/VLOOKUP($C$227,'DB animal categories'!$C$81:$AC$90,27,FALSE)*AJ231+Y231+Z231+AA231,IF(AS231=3,('Calc (ex-animal)'!$Q$45+'Calc (ex-animal)'!$R$45)*'Calc (ex-housing, ex-storage)'!F231/100/VLOOKUP($C$227,'DB animal categories'!$C$81:$AC$90,27,FALSE)*AJ231+Y231+Z231+AA231,IF(AS231=4,('Calc (ex-animal)'!$Q$45+'Calc (ex-animal)'!$R$45)*'Calc (ex-housing, ex-storage)'!F231/100*VLOOKUP(D231,'DB technologies'!$N$109:$Y$120,12,FALSE)/100/VLOOKUP($C$227,'DB animal categories'!$C$81:$AC$90,27,FALSE)*AJ231+Y231+Z231+AA231,0))))))</f>
        <v/>
      </c>
      <c r="BA231" s="506"/>
      <c r="BB231" s="506"/>
      <c r="BC231" s="506"/>
    </row>
    <row r="232" spans="1:55" ht="12" thickBot="1" x14ac:dyDescent="0.25">
      <c r="A232" s="684"/>
      <c r="B232" s="695"/>
      <c r="C232" s="252"/>
      <c r="D232" s="269" t="s">
        <v>58</v>
      </c>
      <c r="E232" s="270">
        <f>IF(F232&lt;=100,SUM(E227:E231),"ERROR")</f>
        <v>0</v>
      </c>
      <c r="F232" s="284">
        <f>IF(SUM(F227:F231) &lt;=100,SUM(F227:F231),"ERROR, SUM&gt;100%")</f>
        <v>0</v>
      </c>
      <c r="G232" s="504">
        <f>IF('Calc (ex-animal)'!$F$38=1,"",SUM(G227:G231))</f>
        <v>0</v>
      </c>
      <c r="H232" s="433">
        <f>IF('Calc (ex-animal)'!$F$8=1,"",SUM(H227:H231))</f>
        <v>0</v>
      </c>
      <c r="I232" s="433">
        <f>IF('Calc (ex-animal)'!$F$8=1,"",SUM(I227:I231))</f>
        <v>0</v>
      </c>
      <c r="J232" s="433">
        <f>IF('Calc (ex-animal)'!$F$8=1,"",SUM(J227:J231))</f>
        <v>0</v>
      </c>
      <c r="K232" s="433">
        <f>IF('Calc (ex-animal)'!$F$8=1,"",SUM(K227:K231))</f>
        <v>0</v>
      </c>
      <c r="L232" s="433">
        <f>IF('Calc (ex-animal)'!$F$8=1,"",SUM(L227:L231))</f>
        <v>0</v>
      </c>
      <c r="M232" s="470"/>
      <c r="N232" s="470"/>
      <c r="O232" s="470"/>
      <c r="P232" s="478">
        <f>IF(G232=0,0,IF('Calc (ex-animal)'!$F$38=1,"",IF(D232="","",SUM(H232:K232)/G232*100)))</f>
        <v>0</v>
      </c>
      <c r="Q232" s="394"/>
      <c r="R232" s="394"/>
      <c r="S232" s="394"/>
      <c r="T232" s="272">
        <f>IF('Calc (ex-animal)'!$F$45=1,"",SUM(T227:T231))</f>
        <v>0</v>
      </c>
      <c r="U232" s="273"/>
      <c r="V232" s="273"/>
      <c r="W232" s="273"/>
      <c r="X232" s="273">
        <f>IF('Calc (ex-animal)'!$F$45=1,"",SUM(X227:X231))</f>
        <v>0</v>
      </c>
      <c r="Y232" s="273"/>
      <c r="Z232" s="273"/>
      <c r="AA232" s="273"/>
      <c r="AB232" s="273">
        <f>IF('Calc (ex-animal)'!$F$45=1,"",SUM(AB227:AB231))</f>
        <v>0</v>
      </c>
      <c r="AC232" s="273">
        <f>IF('Calc (ex-animal)'!$F$45=1,"",SUM(AC227:AC231))</f>
        <v>0</v>
      </c>
      <c r="AD232" s="273">
        <f>IF('Calc (ex-animal)'!$F$45=1,"",SUM(AD227:AD231))</f>
        <v>0</v>
      </c>
      <c r="AE232" s="274">
        <f>IF('Calc (ex-animal)'!$F$45=1,"",SUM(AE227:AE231))</f>
        <v>0</v>
      </c>
    </row>
    <row r="233" spans="1:55" x14ac:dyDescent="0.2">
      <c r="A233" s="684"/>
      <c r="B233" s="695"/>
      <c r="C233" s="250">
        <f>'Calc (ex-animal)'!D46</f>
        <v>0</v>
      </c>
      <c r="D233" s="1396"/>
      <c r="E233" s="1356"/>
      <c r="F233" s="479" t="str">
        <f>IF('Calc (ex-animal)'!$F$38=1,"",IF($C$233=0,"",IF(D233="","",E233/'Calc (ex-animal)'!$E$46*100)))</f>
        <v/>
      </c>
      <c r="G233" s="484" t="str">
        <f>IF($C$233=0,"",IF('Calc (ex-animal)'!$F$38=1,"",IF(D233="","",SUM(H233:O233))))</f>
        <v/>
      </c>
      <c r="H233" s="471" t="str">
        <f>IF('Calc (ex-animal)'!$F$38=1,"",IF(D233="","",(((VLOOKUP($C$233,'Calc (ex-animal)'!$D$43:$Y$47,6,FALSE)-VLOOKUP($C$233,'Calc (ex-animal)'!$D$43:$Y$47,17,FALSE))*F233/100))*VLOOKUP($C$233,'Calc (ex-animal)'!$D$43:$Y$47,7,FALSE)/100*(1-VLOOKUP(D233,'DB technologies'!$N$109:$Y$120,9,FALSE)/100)))</f>
        <v/>
      </c>
      <c r="I233" s="471" t="str">
        <f>IF(D233="","",((VLOOKUP(D233,'DB technologies'!$N$109:$Y$120,2,FALSE)*VLOOKUP($C$233,'DB animal categories'!$C$81:$AC$90,27,FALSE)*E233/1000)/VLOOKUP($C$233,'DB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'!$S$6/100*(1-VLOOKUP(D233,'DB technologies'!$N$109:$Y$120,9,FALSE)/100)))</f>
        <v/>
      </c>
      <c r="J233" s="472" t="str">
        <f>IF(D233="","",((VLOOKUP(D233,'DB technologies'!$N$109:$Y$120,3,FALSE)*VLOOKUP($C$233,'DB animal categories'!$C$81:$AC$90,27,FALSE)*E233/1000)/VLOOKUP($C$233,'DB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'!$S$7/100*(1-VLOOKUP(D233,'DB technologies'!$N$109:$Y$120,9,FALSE)/100)))</f>
        <v/>
      </c>
      <c r="K233" s="472" t="str">
        <f>IF(D233="","",((VLOOKUP(D233,'DB technologies'!$N$109:$Y$120,4,FALSE)*E233*'DB additional information '!$S$8/100*(1-VLOOKUP(D233,'DB technologies'!$N$109:$Y$120,9,FALSE)/100))/VLOOKUP($C$233,'DB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L233" s="471" t="str">
        <f>IF('Calc (ex-animal)'!$F$38=1,"",IF(D233="","",(((VLOOKUP($C$233,'Calc (ex-animal)'!$D$43:$Y$47,6,FALSE)-VLOOKUP($C$233,'Calc (ex-animal)'!$D$43:$Y$47,17,FALSE))*F233/100))*(1-VLOOKUP($C$233,'Calc (ex-animal)'!$D$43:$Y$47,7,FALSE)/100)*(1-VLOOKUP(D233,'DB technologies'!$N$109:$V$120,8,FALSE)/100)))</f>
        <v/>
      </c>
      <c r="M233" s="472" t="str">
        <f>IF(D233="","",((VLOOKUP(D233,'DB technologies'!$N$109:$Y$120,2,FALSE)*VLOOKUP($C$233,'DB animal categories'!$C$81:$AC$90,27,FALSE)*E233/1000)/VLOOKUP($C$233,'DB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'!$S$6/100)*(1-VLOOKUP(D233,'DB technologies'!$N$109:$Y$120,9,FALSE)/100))</f>
        <v/>
      </c>
      <c r="N233" s="472" t="str">
        <f>IF(D233="","",((VLOOKUP(D233,'DB technologies'!$N$109:$Y$120,3,FALSE)*VLOOKUP($C$233,'DB animal categories'!$C$81:$AC$90,27,FALSE)*E233/1000)/VLOOKUP($C$233,'DB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'!$S$7/100)*(1-VLOOKUP(D233,'DB technologies'!$N$109:$Y$120,9,FALSE)/100))</f>
        <v/>
      </c>
      <c r="O233" s="471" t="str">
        <f>IF(D233="","",((VLOOKUP(D233,'DB technologies'!$N$109:$Y$120,4,FALSE)*E233*(1-'DB additional information '!$S$8/100)*(1-VLOOKUP(D233,'DB technologies'!$N$109:$Y$120,8,FALSE)/100))/VLOOKUP($C$233,'DB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P233" s="443" t="str">
        <f>IF(G233=0,0,IF(E233="","",IF(F233="","",IF($C$233=0,"",IF(D233="","",SUM(H233:K233)/G233*100)))))</f>
        <v/>
      </c>
      <c r="Q233" s="473" t="str">
        <f>IF(D233="","",(VLOOKUP(D233,'DB technologies'!$N$109:$Y$120,2,FALSE)*'DB additional information '!$S$6/100*'DB additional information '!$T$6*VLOOKUP($C$233,'DB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R233" s="473" t="str">
        <f>IF(D233="","",(VLOOKUP(D233,'DB technologies'!$N$109:$Y$120,3,FALSE)*'DB additional information '!$S$7/100*'DB additional information '!$T$7*VLOOKUP($C$233,'DB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S233" s="490" t="str">
        <f>IF(D233="","",(VLOOKUP(D233,'DB technologies'!$N$109:$Y$120,4,FALSE)*('DB additional information '!$S$8/100*'DB additional information '!$T$8*E233/1000/1000)))</f>
        <v/>
      </c>
      <c r="T233" s="263" t="str">
        <f>IF($C$233=0,"",IF('Calc (ex-animal)'!$F$38=1,"",IF(D233="","",((VLOOKUP($C$233,'Calc (ex-animal)'!$D$43:$Y$47,10,FALSE)-VLOOKUP($C$233,'Calc (ex-animal)'!$D$43:$Y$47,18,FALSE))*F233/100+Q233+R233+S233)-AC233-AD233-AE233)))</f>
        <v/>
      </c>
      <c r="U233" s="474" t="str">
        <f>IF(D233="","",(VLOOKUP(D233,'DB technologies'!$N$109:$Y$120,2,FALSE)*'DB additional information '!$S$6/100*'DB additional information '!$U$6*VLOOKUP($C$233,'DB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V233" s="420" t="str">
        <f>IF(D233="","",(VLOOKUP(D233,'DB technologies'!$N$109:$Y$120,3,FALSE)*'DB additional information '!$S$7/100*'DB additional information '!$U$7*VLOOKUP($C$233,'DB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W233" s="415" t="str">
        <f>IF(D233="","",(VLOOKUP(D233,'DB technologies'!$N$109:$Y$120,4,FALSE)*('DB additional information '!$S$8/100*'DB additional information '!$U$8*E233/1000/1000)))</f>
        <v/>
      </c>
      <c r="X233" s="259" t="str">
        <f>IF($C$233=0,"",IF('Calc (ex-animal)'!$F$38=1,"",IF(D233="","",((VLOOKUP($C$233,'Calc (ex-animal)'!$D$43:$Y$47,13,FALSE)-VLOOKUP($C$233,'Calc (ex-animal)'!$D$43:$Y$47,19,FALSE))*F233/100+U233+V233+W233))))</f>
        <v/>
      </c>
      <c r="Y233" s="420" t="str">
        <f>IF(D233="","",(VLOOKUP(D233,'DB technologies'!$N$109:$Y$120,2,FALSE)*'DB additional information '!$S$6/100*'DB additional information '!$V$6*VLOOKUP($C$233,'DB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Z233" s="420" t="str">
        <f>IF(D233="","",(VLOOKUP(D233,'DB technologies'!$N$109:$Y$120,3,FALSE)*'DB additional information '!$S$7/100*'DB additional information '!$V$7*VLOOKUP($C$233,'DB animal categories'!$C$81:$AC$90,27,FALSE)*E233/1000/1000)/VLOOKUP($C$233,'DB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AA233" s="420" t="str">
        <f>IF(D233="","",(VLOOKUP(D233,'DB technologies'!$N$109:$Y$120,4,FALSE)*('DB additional information '!$S$8/100*'DB additional information '!$V$8*E233/1000/1000)))</f>
        <v/>
      </c>
      <c r="AB233" s="259" t="str">
        <f>IF($C$233=0,"",IF('Calc (ex-animal)'!$F$38=1,"",IF(D233="","",((VLOOKUP($C$233,'Calc (ex-animal)'!$D$43:$Y$47,16,FALSE)-VLOOKUP($C$233,'Calc (ex-animal)'!$D$43:$Y$47,20,FALSE))*F233/100+Y233+Z233+AA233))))</f>
        <v/>
      </c>
      <c r="AC233" s="259" t="str">
        <f>IF($C$233=0,"",IF('Calc (ex-animal)'!$F$38=1,"",IF(D233="","",VLOOKUP($C$233,'Calc (ex-animal)'!$D$43:$Y$47,9,FALSE)/VLOOKUP($C$233,'DB animal categories'!$C$81:$AC$90,27,FALSE)*(VLOOKUP($C$233,'DB animal categories'!$C$81:$AC$90,27,FALSE)-VLOOKUP($C$233,'DB animal categories'!$C$81:$AC$90,25,FALSE)*VLOOKUP($C$233,'DB animal categories'!$C$81:$AC$90,26,FALSE)/24)*F233/100*VLOOKUP(D233,'DB technologies'!$N$109:$R$120,5,FALSE)/100)))</f>
        <v/>
      </c>
      <c r="AD233" s="259" t="str">
        <f>IF($C$233=0,"",IF('Calc (ex-animal)'!$F$38=1,"",IF(D233="","",VLOOKUP($C$233,'Calc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categories'!$C$81:$AC$90,26,FALSE)/24)*F233/100*VLOOKUP(D233,'DB technologies'!$N$109:$Y$120,6,FALSE)/100)))</f>
        <v/>
      </c>
      <c r="AE233" s="260" t="str">
        <f>IF($C$233=0,"",IF('Calc (ex-animal)'!$F$38=1,"",IF(D233="","",VLOOKUP($C$233,'Calc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categories'!$C$81:$AC$90,26,FALSE)/24)*F233/100*VLOOKUP(D233,'DB technologies'!$N$109:$Y$120,7,FALSE)/100)))</f>
        <v/>
      </c>
      <c r="AI233" s="179" t="str">
        <f>IF(D233="","",VLOOKUP(D233,'DB technologies'!$N$109:$Y$120,10,FALSE))</f>
        <v/>
      </c>
      <c r="AJ233" s="482" t="e">
        <f>VLOOKUP($C$233,'DB animal categories'!$C$81:$AN$90,27,FALSE)-VLOOKUP($C$233,'DB animal categories'!$C$81:$AN$90,26,FALSE)*VLOOKUP($C$233,'DB animal categories'!$C$81:$AN$90,25,FALSE)/24</f>
        <v>#N/A</v>
      </c>
      <c r="AK233" s="453" t="str">
        <f>IF(AI233="","",AL233+AM233)</f>
        <v/>
      </c>
      <c r="AL233" s="453" t="str">
        <f>IF(D233="","",IF(AI233=2,(('Calc (ex-animal)'!$G$46*'DB additional information '!$K$10/100*(1-VLOOKUP(D233,'DB technologies'!$N$109:$Y$120,9,FALSE)/100)*'Calc (ex-housing, ex-storage)'!F233/100+'Calc (ex-animal)'!$H$46*'DB additional information '!$L$10/100*(1-VLOOKUP(D233,'DB technologies'!$N$109:$Y$120,9,FALSE)/100)*'Calc (ex-housing, ex-storage)'!F233/100))/VLOOKUP($C$233,'DB animal categories'!$C$81:$AC$90,27,FALSE)*AJ233+I233+J233+K233,IF(AI233=1,('Calc (ex-animal)'!$H$46*'DB additional information '!$L$10/100*(1-VLOOKUP(D233,'DB technologies'!$N$109:$Y$120,9,FALSE)/100)*'Calc (ex-housing, ex-storage)'!F233/100)/VLOOKUP($C$233,'DB animal categories'!$C$81:$AC$90,27,FALSE)*AJ233,IF(AI233=4,('Calc (ex-animal)'!$G$46*'DB additional information '!$K$10/100+'Calc (ex-animal)'!$H$46*'DB additional information '!$L$10/100)*(1-VLOOKUP(D233,'DB technologies'!$N$109:$Y$120,9,FALSE)/100)*'Calc (ex-housing, ex-storage)'!F233/100*VLOOKUP(D233,'DB technologies'!$N$109:$Y$120,11,FALSE)/100/VLOOKUP($C$233,'DB animal categories'!$C$81:$AC$90,27,FALSE)*AJ233,0))))</f>
        <v/>
      </c>
      <c r="AM233" s="453" t="str">
        <f>IF(D233="","",IF(AI233=2,(('Calc (ex-animal)'!$G$46*(1-'DB additional information '!$K$10/100)*(1-VLOOKUP(D233,'DB technologies'!$N$109:$Y$120,8,FALSE)/100)*'Calc (ex-housing, ex-storage)'!F233/100+'Calc (ex-animal)'!$H$46*(1-'DB additional information '!$L$10/100)*(1-VLOOKUP(D233,'DB technologies'!$N$109:$Y$120,8,FALSE)/100)*'Calc (ex-housing, ex-storage)'!F233/100))/VLOOKUP($C$233,'DB animal categories'!$C$81:$AC$90,27,FALSE)*AJ233+M233+N233+O233,IF(AI233=1,('Calc (ex-animal)'!$H$46*(1-'DB additional information '!$L$10/100)*(1-VLOOKUP(D233,'DB technologies'!$N$109:$Y$120,8,FALSE)/100)*'Calc (ex-housing, ex-storage)'!F233/100)/VLOOKUP($C$233,'DB animal categories'!$C$81:$AC$90,27,FALSE)*AJ233,IF(AI233=4,('Calc (ex-animal)'!$G$46*(1-'DB additional information '!$K$10/100)+'Calc (ex-animal)'!$H$46*(1-'DB additional information '!$L$10/100))*(1-VLOOKUP(D233,'DB technologies'!$N$109:$Y$120,8,FALSE)/100)*'Calc (ex-housing, ex-storage)'!F233/100*VLOOKUP(D233,'DB technologies'!$N$109:$Y$120,11,FALSE)/100/VLOOKUP($C$233,'DB animal categories'!$C$81:$AC$90,27,FALSE)*AJ233,0))))</f>
        <v/>
      </c>
      <c r="AN233" s="453" t="str">
        <f>IF(AI233="","",IF(AL233=0,0,AL233/AK233*100))</f>
        <v/>
      </c>
      <c r="AO233" s="180" t="str">
        <f>IF(D233="","",IF(AI233=2,(('Calc (ex-animal)'!$L$46*'Calc (ex-housing, ex-storage)'!F233/100+'Calc (ex-animal)'!$K$46*'Calc (ex-housing, ex-storage)'!F233/100))/VLOOKUP($C$233,'DB animal categories'!$C$81:$AC$90,27,FALSE)*AJ233+Q233+R233+S233-AC233,IF(AI233=1,('Calc (ex-animal)'!$L$46*'Calc (ex-housing, ex-storage)'!F233/100)/VLOOKUP($C$233,'DB animal categories'!$C$81:$AC$90,27,FALSE)*AJ233-'Calc (ex-housing, ex-storage)'!AC233,IF(AI233=4,('Calc (ex-animal)'!$L$46+'Calc (ex-animal)'!$K$46)*'Calc (ex-housing, ex-storage)'!F233/100*VLOOKUP(D233,'DB technologies'!$N$109:$Y$120,11,FALSE)/100/VLOOKUP($C$233,'DB animal categories'!$C$81:$AC$90,27,FALSE)*AJ233-AC233*VLOOKUP(D233,'DB technologies'!$N$109:$Y$120,11,FALSE)/100,0))))</f>
        <v/>
      </c>
      <c r="AP233" s="180" t="str">
        <f>IF(D233="","",IF(AO233&lt;-0.01,0,IF(AI233=2,(('Calc (ex-animal)'!$L$46*'Calc (ex-housing, ex-storage)'!F233/100+'Calc (ex-animal)'!$K$46*'Calc (ex-housing, ex-storage)'!F233/100))/VLOOKUP($C$233,'DB animal categories'!$C$81:$AC$90,27,FALSE)*AJ233+Q233+R233+S233-AC233,IF(AI233=1,('Calc (ex-animal)'!$L$46*'Calc (ex-housing, ex-storage)'!F233/100)/VLOOKUP($C$233,'DB animal categories'!$C$81:$AC$90,27,FALSE)*AJ233-'Calc (ex-housing, ex-storage)'!AC233,IF(AI233=4,('Calc (ex-animal)'!$L$46+'Calc (ex-animal)'!$K$46)*'Calc (ex-housing, ex-storage)'!F233/100*VLOOKUP(D233,'DB technologies'!$N$109:$Y$120,11,FALSE)/100/VLOOKUP($C$233,'DB animal categories'!$C$81:$AC$90,27,FALSE)*AJ233-AC233*VLOOKUP(D233,'DB technologies'!$N$109:$Y$120,11,FALSE)/100,0)))))</f>
        <v/>
      </c>
      <c r="AQ233" s="180" t="str">
        <f>IF(D233="","",IF(AI233=2,('Calc (ex-animal)'!$O$46*'Calc (ex-housing, ex-storage)'!F233/100+'Calc (ex-animal)'!$N$46*'Calc (ex-housing, ex-storage)'!F233/100)/VLOOKUP($C$233,'DB animal categories'!$C$81:$AC$90,27,FALSE)*AJ233+U233+V233+W233,IF(AI233=1,'Calc (ex-animal)'!$O$46*'Calc (ex-housing, ex-storage)'!F233/100/VLOOKUP($C$233,'DB animal categories'!$C$81:$AC$90,27,FALSE)*AJ233,IF(AI233=4,('Calc (ex-animal)'!$O$46+'Calc (ex-animal)'!$N$46)*'Calc (ex-housing, ex-storage)'!F233/100*VLOOKUP(D233,'DB technologies'!$N$109:$Y$120,11,FALSE)/100/VLOOKUP($C$233,'DB animal categories'!$C$81:$AC$90,27,FALSE)*AJ233,0))))</f>
        <v/>
      </c>
      <c r="AR233" s="180" t="str">
        <f>IF(D233="","",IF(AI233=2,('Calc (ex-animal)'!$R$46*'Calc (ex-housing, ex-storage)'!F233/100+'Calc (ex-animal)'!$Q$46*'Calc (ex-housing, ex-storage)'!F233/100)/VLOOKUP($C$233,'DB animal categories'!$C$81:$AC$90,27,FALSE)*AJ233+Y233+Z233+AA233,IF(AI233=1,'Calc (ex-animal)'!$R$46*'Calc (ex-housing, ex-storage)'!F233/100/VLOOKUP($C$233,'DB animal categories'!$C$81:$AC$90,27,FALSE)*AJ233,IF(AI233=4,('Calc (ex-animal)'!$R$46+'Calc (ex-animal)'!$Q$46)*'Calc (ex-housing, ex-storage)'!F233/100*VLOOKUP(D233,'DB technologies'!$N$109:$Y$120,11,FALSE)/100/VLOOKUP($C$233,'DB animal categories'!$C$81:$AC$90,27,FALSE)*AJ233,0))))</f>
        <v/>
      </c>
      <c r="AS233" s="179" t="str">
        <f>IF(D233="","",VLOOKUP(D233,'DB technologies'!$N$109:$Y$120,10,FALSE))</f>
        <v/>
      </c>
      <c r="AT233" s="453" t="str">
        <f>IF(AS233="","",AU233+AV233)</f>
        <v/>
      </c>
      <c r="AU233" s="453" t="str">
        <f>IF(D233="","",IF(AS233=2,0,IF(AS233=1,'Calc (ex-animal)'!$G$46*'DB additional information '!$K$10/100*(1-VLOOKUP(D233,'DB technologies'!$N$109:$Y$120,8,FALSE)/100)*'Calc (ex-housing, ex-storage)'!F233/100/VLOOKUP($C$233,'DB animal categories'!$C$81:$AC$90,27,FALSE)*AJ233+I233+J233+K233,IF(AS233=5,(('Calc (ex-animal)'!$G$46*'DB additional information '!$K$10/100+'Calc (ex-animal)'!$H$46*'DB additional information '!$L$10/100))*(1-VLOOKUP(D233,'DB technologies'!$N$109:$Y$120,9,FALSE)/100)*'Calc (ex-housing, ex-storage)'!F233/100/VLOOKUP($C$233,'DB animal categories'!$C$81:$AC$90,27,FALSE)*AJ233+I233+J233+K233,IF(AS233=3,('Calc (ex-animal)'!$G$46*'DB additional information '!$K$10/100+'Calc (ex-animal)'!$H$46*'DB additional information '!$L$10/100)*(1-VLOOKUP(D233,'DB technologies'!$N$109:$Y$120,9,FALSE)/100)*'Calc (ex-housing, ex-storage)'!F233/100/VLOOKUP($C$233,'DB animal categories'!$C$81:$AC$90,27,FALSE)*AJ233+I233+J233+K233,IF(AS233=4,('Calc (ex-animal)'!$G$46*'DB additional information '!$K$10/100+'Calc (ex-animal)'!$H$46*'DB additional information '!$L$10/100)*(1-VLOOKUP(D233,'DB technologies'!$N$109:$Y$120,9,FALSE)/100)*'Calc (ex-housing, ex-storage)'!F233/100*VLOOKUP(D233,'DB technologies'!$N$109:$Y$120,12,FALSE)/100/VLOOKUP($C$233,'DB animal categories'!$C$81:$AC$90,27,FALSE)*AJ233+I233+J233+K233,0))))))</f>
        <v/>
      </c>
      <c r="AV233" s="453" t="str">
        <f>IF(D233="","",IF(AS233=2,0,IF(AS233=1,'Calc (ex-animal)'!$G$46*(1-'DB additional information '!$K$10/100)*(1-VLOOKUP(D233,'DB technologies'!$N$109:$Y$120,8,FALSE)/100)*'Calc (ex-housing, ex-storage)'!F233/100/VLOOKUP($C$233,'DB animal categories'!$C$81:$AC$90,27,FALSE)*AJ233+M233+N233+O233,IF(AS233=5,('Calc (ex-animal)'!$G$46*(1-'DB additional information '!$K$10/100)+'Calc (ex-animal)'!$H$46*(1-'DB additional information '!$L$10/100))*(1-VLOOKUP(D233,'DB technologies'!$N$109:$Y$120,8,FALSE)/100)*'Calc (ex-housing, ex-storage)'!F233/100/VLOOKUP($C$233,'DB animal categories'!$C$81:$AC$90,27,FALSE)*AJ233+M233+N233+O233,IF(AS233=3,('Calc (ex-animal)'!$G$46*(1-'DB additional information '!$K$10/100)+'Calc (ex-animal)'!$H$46*(1-'DB additional information '!$L$10/100))*(1-VLOOKUP(D233,'DB technologies'!$N$109:$Y$120,8,FALSE)/100)*'Calc (ex-housing, ex-storage)'!F233/100/VLOOKUP($C$233,'DB animal categories'!$C$81:$AC$90,27,FALSE)*AJ233+M233+N233+O233,IF(AS233=4,('Calc (ex-animal)'!$G$46*(1-'DB additional information '!$K$10/100)+'Calc (ex-animal)'!$H$46*(1-'DB additional information '!$L$10/100))*(1-VLOOKUP(D233,'DB technologies'!$N$109:$Y$120,8,FALSE)/100)*'Calc (ex-housing, ex-storage)'!F233/100*VLOOKUP(D233,'DB technologies'!$N$109:$Y$120,12,FALSE)/100/VLOOKUP($C$233,'DB animal categories'!$C$81:$AC$90,27,FALSE)*AJ233+M233+N233+O233,0))))))</f>
        <v/>
      </c>
      <c r="AW233" s="453" t="str">
        <f>IF(AS233="","",IF(AU233=0,0,AU233/AT233*100))</f>
        <v/>
      </c>
      <c r="AX233" s="180" t="str">
        <f>IF(D233="","",IF(AS233=2,0,IF(AS233=1,'Calc (ex-animal)'!$K$46*'Calc (ex-housing, ex-storage)'!F233/100/VLOOKUP($C$233,'DB animal categories'!$C$81:$AC$90,27,FALSE)*AJ233+Q233+R233+S233,IF(AS233=5,('Calc (ex-animal)'!$K$46+'Calc (ex-animal)'!$L$46)*'Calc (ex-housing, ex-storage)'!F233/100/VLOOKUP($C$233,'DB animal categories'!$C$81:$AC$90,27,FALSE)*AJ233+Q233+R233+S233-'Calc (ex-housing, ex-storage)'!AC233,IF(AS233=3,('Calc (ex-animal)'!$K$46+'Calc (ex-animal)'!$L$46)*'Calc (ex-housing, ex-storage)'!F233/100/VLOOKUP($C$233,'DB animal categories'!$C$81:$AC$90,27,FALSE)*AJ233+Q233+R233+S233-'Calc (ex-housing, ex-storage)'!AC233-AD233-AE233,IF(AI233=4,('Calc (ex-animal)'!$K$46+'Calc (ex-animal)'!$L$46)*'Calc (ex-housing, ex-storage)'!F233/100*VLOOKUP(D233,'DB technologies'!$N$109:$Y$120,12,FALSE)/100/VLOOKUP($C$233,'DB animal categories'!$C$81:$AC$90,27,FALSE)*AJ233+Q233+R233+S233-(VLOOKUP(D233,'DB technologies'!$N$109:$Y$120,12,FALSE)/100*AC233)-AD233-AE233,0))))))</f>
        <v/>
      </c>
      <c r="AY233" s="180" t="str">
        <f>IF(D233="","",IF(AS233=2,0,IF(AS233=1,'Calc (ex-animal)'!$N$46*'Calc (ex-housing, ex-storage)'!F233/100/VLOOKUP($C$233,'DB animal categories'!$C$81:$AC$90,27,FALSE)*AJ233+U233+V233+W233,IF(AS233=5,('Calc (ex-animal)'!$N$46+'Calc (ex-animal)'!$O$46)*'Calc (ex-housing, ex-storage)'!F233/100/VLOOKUP($C$233,'DB animal categories'!$C$81:$AC$90,27,FALSE)*AJ233+U233+V233+W233,IF(AS233=3,('Calc (ex-animal)'!$N$46+'Calc (ex-animal)'!$O$46)*'Calc (ex-housing, ex-storage)'!F233/100/VLOOKUP($C$233,'DB animal categories'!$C$81:$AC$90,27,FALSE)*AJ233+U233+V233+W233,IF(AS233=4,('Calc (ex-animal)'!$N$46+'Calc (ex-animal)'!$O$46)*'Calc (ex-housing, ex-storage)'!F233/100*VLOOKUP(D233,'DB technologies'!$N$109:$Y$120,12,FALSE)/100/VLOOKUP($C$233,'DB animal categories'!$C$81:$AC$90,27,FALSE)*AJ233+U233+V233+W233,0))))))</f>
        <v/>
      </c>
      <c r="AZ233" s="180" t="str">
        <f>IF(D233="","",IF(AS233=2,0,IF(AS233=1,'Calc (ex-animal)'!$Q$46*'Calc (ex-housing, ex-storage)'!F233/100/VLOOKUP($C$233,'DB animal categories'!$C$81:$AC$90,27,FALSE)*AJ233+Y233+Z233+AA233,IF(AS233=5,('Calc (ex-animal)'!$Q$46+'Calc (ex-animal)'!$R$46)*'Calc (ex-housing, ex-storage)'!F233/100/VLOOKUP($C$233,'DB animal categories'!$C$81:$AC$90,27,FALSE)*AJ233+Y233+Z233+AA233,IF(AS233=3,('Calc (ex-animal)'!$Q$46+'Calc (ex-animal)'!$R$46)*'Calc (ex-housing, ex-storage)'!F233/100/VLOOKUP($C$233,'DB animal categories'!$C$81:$AC$90,27,FALSE)*AJ233+Y233+Z233+AA233,IF(AS233=4,('Calc (ex-animal)'!$Q$46+'Calc (ex-animal)'!$R$46)*'Calc (ex-housing, ex-storage)'!F233/100*VLOOKUP(D233,'DB technologies'!$N$109:$Y$120,12,FALSE)/100/VLOOKUP($C$233,'DB animal categories'!$C$81:$AC$90,27,FALSE)*AJ233+Y233+Z233+AA233,0))))))</f>
        <v/>
      </c>
      <c r="BA233" s="506"/>
      <c r="BB233" s="506"/>
      <c r="BC233" s="506"/>
    </row>
    <row r="234" spans="1:55" x14ac:dyDescent="0.2">
      <c r="A234" s="684"/>
      <c r="B234" s="695"/>
      <c r="C234" s="251"/>
      <c r="D234" s="1397"/>
      <c r="E234" s="1358"/>
      <c r="F234" s="480" t="str">
        <f>IF('Calc (ex-animal)'!$F$38=1,"",IF($C$233=0,"",IF(D234="","",E234/'Calc (ex-animal)'!$E$46*100)))</f>
        <v/>
      </c>
      <c r="G234" s="485" t="str">
        <f>IF($C$233=0,"",IF('Calc (ex-animal)'!$F$38=1,"",IF(D234="","",SUM(H234:O234))))</f>
        <v/>
      </c>
      <c r="H234" s="423" t="str">
        <f>IF('Calc (ex-animal)'!$F$38=1,"",IF(D234="","",(((VLOOKUP($C$233,'Calc (ex-animal)'!$D$43:$Y$47,6,FALSE)-VLOOKUP($C$233,'Calc (ex-animal)'!$D$43:$Y$47,17,FALSE))*F234/100))*VLOOKUP($C$233,'Calc (ex-animal)'!$D$43:$Y$47,7,FALSE)/100*(1-VLOOKUP(D234,'DB technologies'!$N$109:$Y$120,9,FALSE)/100)))</f>
        <v/>
      </c>
      <c r="I234" s="423" t="str">
        <f>IF(D234="","",((VLOOKUP(D234,'DB technologies'!$N$109:$Y$120,2,FALSE)*VLOOKUP($C$233,'DB animal categories'!$C$81:$AC$90,27,FALSE)*E234/1000)/VLOOKUP($C$233,'DB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'!$S$6/100*(1-VLOOKUP(D234,'DB technologies'!$N$109:$Y$120,9,FALSE)/100)))</f>
        <v/>
      </c>
      <c r="J234" s="434" t="str">
        <f>IF(D234="","",((VLOOKUP(D234,'DB technologies'!$N$109:$Y$120,3,FALSE)*VLOOKUP($C$233,'DB animal categories'!$C$81:$AC$90,27,FALSE)*E234/1000)/VLOOKUP($C$233,'DB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'!$S$7/100*(1-VLOOKUP(D234,'DB technologies'!$N$109:$Y$120,9,FALSE)/100)))</f>
        <v/>
      </c>
      <c r="K234" s="434" t="str">
        <f>IF(D234="","",((VLOOKUP(D234,'DB technologies'!$N$109:$Y$120,4,FALSE)*E234*'DB additional information '!$S$8/100*(1-VLOOKUP(D234,'DB technologies'!$N$109:$Y$120,9,FALSE)/100))/VLOOKUP($C$233,'DB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L234" s="423" t="str">
        <f>IF('Calc (ex-animal)'!$F$38=1,"",IF(D234="","",(((VLOOKUP($C$233,'Calc (ex-animal)'!$D$43:$Y$47,6,FALSE)-VLOOKUP($C$233,'Calc (ex-animal)'!$D$43:$Y$47,17,FALSE))*F234/100))*(1-VLOOKUP($C$233,'Calc (ex-animal)'!$D$43:$Y$47,7,FALSE)/100)*(1-VLOOKUP(D234,'DB technologies'!$N$109:$V$120,8,FALSE)/100)))</f>
        <v/>
      </c>
      <c r="M234" s="434" t="str">
        <f>IF(D234="","",((VLOOKUP(D234,'DB technologies'!$N$109:$Y$120,2,FALSE)*VLOOKUP($C$233,'DB animal categories'!$C$81:$AC$90,27,FALSE)*E234/1000)/VLOOKUP($C$233,'DB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'!$S$6/100)*(1-VLOOKUP(D234,'DB technologies'!$N$109:$Y$120,9,FALSE)/100))</f>
        <v/>
      </c>
      <c r="N234" s="434" t="str">
        <f>IF(D234="","",((VLOOKUP(D234,'DB technologies'!$N$109:$Y$120,3,FALSE)*VLOOKUP($C$233,'DB animal categories'!$C$81:$AC$90,27,FALSE)*E234/1000)/VLOOKUP($C$233,'DB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'!$S$7/100)*(1-VLOOKUP(D234,'DB technologies'!$N$109:$Y$120,9,FALSE)/100))</f>
        <v/>
      </c>
      <c r="O234" s="423" t="str">
        <f>IF(D234="","",((VLOOKUP(D234,'DB technologies'!$N$109:$Y$120,4,FALSE)*E234*(1-'DB additional information '!$S$8/100)*(1-VLOOKUP(D234,'DB technologies'!$N$109:$Y$120,8,FALSE)/100))/VLOOKUP($C$233,'DB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P234" s="438" t="str">
        <f>IF(G234=0,0,IF(E234="","",IF(F234="","",IF($C$233=0,"",IF(D234="","",SUM(H234:K234)/G234*100)))))</f>
        <v/>
      </c>
      <c r="Q234" s="416" t="str">
        <f>IF(D234="","",(VLOOKUP(D234,'DB technologies'!$N$109:$Y$120,2,FALSE)*'DB additional information '!$S$6/100*'DB additional information '!$T$6*VLOOKUP($C$233,'DB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R234" s="416" t="str">
        <f>IF(D234="","",(VLOOKUP(D234,'DB technologies'!$N$109:$Y$120,3,FALSE)*'DB additional information '!$S$7/100*'DB additional information '!$T$7*VLOOKUP($C$233,'DB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S234" s="491" t="str">
        <f>IF(D234="","",(VLOOKUP(D234,'DB technologies'!$N$109:$Y$120,4,FALSE)*('DB additional information '!$S$8/100*'DB additional information '!$T$8*E234/1000/1000)))</f>
        <v/>
      </c>
      <c r="T234" s="264" t="str">
        <f>IF($C$233=0,"",IF('Calc (ex-animal)'!$F$38=1,"",IF(D234="","",((VLOOKUP($C$233,'Calc (ex-animal)'!$D$43:$Y$47,10,FALSE)-VLOOKUP($C$233,'Calc (ex-animal)'!$D$43:$Y$47,18,FALSE))*F234/100+Q234+R234+S234)-AC234-AD234-AE234)))</f>
        <v/>
      </c>
      <c r="U234" s="422" t="str">
        <f>IF(D234="","",(VLOOKUP(D234,'DB technologies'!$N$109:$Y$120,2,FALSE)*'DB additional information '!$S$6/100*'DB additional information '!$U$6*VLOOKUP($C$233,'DB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V234" s="418" t="str">
        <f>IF(D234="","",(VLOOKUP(D234,'DB technologies'!$N$109:$Y$120,3,FALSE)*'DB additional information '!$S$7/100*'DB additional information '!$U$7*VLOOKUP($C$233,'DB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W234" s="417" t="str">
        <f>IF(D234="","",(VLOOKUP(D234,'DB technologies'!$N$109:$Y$120,4,FALSE)*('DB additional information '!$S$8/100*'DB additional information '!$U$8*E234/1000/1000)))</f>
        <v/>
      </c>
      <c r="X234" s="261" t="str">
        <f>IF($C$233=0,"",IF('Calc (ex-animal)'!$F$38=1,"",IF(D234="","",((VLOOKUP($C$233,'Calc (ex-animal)'!$D$43:$Y$47,13,FALSE)-VLOOKUP($C$233,'Calc (ex-animal)'!$D$43:$Y$47,19,FALSE))*F234/100+U234+V234+W234))))</f>
        <v/>
      </c>
      <c r="Y234" s="418" t="str">
        <f>IF(D234="","",(VLOOKUP(D234,'DB technologies'!$N$109:$Y$120,2,FALSE)*'DB additional information '!$S$6/100*'DB additional information '!$V$6*VLOOKUP($C$233,'DB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Z234" s="418" t="str">
        <f>IF(D234="","",(VLOOKUP(D234,'DB technologies'!$N$109:$Y$120,3,FALSE)*'DB additional information '!$S$7/100*'DB additional information '!$V$7*VLOOKUP($C$233,'DB animal categories'!$C$81:$AC$90,27,FALSE)*E234/1000/1000)/VLOOKUP($C$233,'DB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AA234" s="418" t="str">
        <f>IF(D234="","",(VLOOKUP(D234,'DB technologies'!$N$109:$Y$120,4,FALSE)*('DB additional information '!$S$8/100*'DB additional information '!$V$8*E234/1000/1000)))</f>
        <v/>
      </c>
      <c r="AB234" s="261" t="str">
        <f>IF($C$233=0,"",IF('Calc (ex-animal)'!$F$38=1,"",IF(D234="","",((VLOOKUP($C$233,'Calc (ex-animal)'!$D$43:$Y$47,16,FALSE)-VLOOKUP($C$233,'Calc (ex-animal)'!$D$43:$Y$47,20,FALSE))*F234/100+Y234+Z234+AA234))))</f>
        <v/>
      </c>
      <c r="AC234" s="261" t="str">
        <f>IF($C$233=0,"",IF('Calc (ex-animal)'!$F$38=1,"",IF(D234="","",VLOOKUP($C$233,'Calc (ex-animal)'!$D$43:$Y$47,9,FALSE)/VLOOKUP($C$233,'DB animal categories'!$C$81:$AC$90,27,FALSE)*(VLOOKUP($C$233,'DB animal categories'!$C$81:$AC$90,27,FALSE)-VLOOKUP($C$233,'DB animal categories'!$C$81:$AC$90,25,FALSE)*VLOOKUP($C$233,'DB animal categories'!$C$81:$AC$90,26,FALSE)/24)*F234/100*VLOOKUP(D234,'DB technologies'!$N$109:$R$120,5,FALSE)/100)))</f>
        <v/>
      </c>
      <c r="AD234" s="261" t="str">
        <f>IF($C$233=0,"",IF('Calc (ex-animal)'!$F$38=1,"",IF(D234="","",VLOOKUP($C$233,'Calc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categories'!$C$81:$AC$90,26,FALSE)/24)*F234/100*VLOOKUP(D234,'DB technologies'!$N$109:$Y$120,6,FALSE)/100)))</f>
        <v/>
      </c>
      <c r="AE234" s="262" t="str">
        <f>IF($C$233=0,"",IF('Calc (ex-animal)'!$F$38=1,"",IF(D234="","",VLOOKUP($C$233,'Calc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categories'!$C$81:$AC$90,26,FALSE)/24)*F234/100*VLOOKUP(D234,'DB technologies'!$N$109:$Y$120,7,FALSE)/100)))</f>
        <v/>
      </c>
      <c r="AI234" s="181" t="str">
        <f>IF(D234="","",VLOOKUP(D234,'DB technologies'!$N$109:$Y$120,10,FALSE))</f>
        <v/>
      </c>
      <c r="AJ234" s="449" t="e">
        <f>VLOOKUP($C$233,'DB animal categories'!$C$81:$AN$90,27,FALSE)-VLOOKUP($C$233,'DB animal categories'!$C$81:$AN$90,26,FALSE)*VLOOKUP($C$233,'DB animal categories'!$C$81:$AN$90,25,FALSE)/24</f>
        <v>#N/A</v>
      </c>
      <c r="AK234" s="442" t="str">
        <f>IF(AI234="","",AL234+AM234)</f>
        <v/>
      </c>
      <c r="AL234" s="442" t="str">
        <f>IF(D234="","",IF(AI234=2,(('Calc (ex-animal)'!$G$46*'DB additional information '!$K$10/100*(1-VLOOKUP(D234,'DB technologies'!$N$109:$Y$120,9,FALSE)/100)*'Calc (ex-housing, ex-storage)'!F234/100+'Calc (ex-animal)'!$H$46*'DB additional information '!$L$10/100*(1-VLOOKUP(D234,'DB technologies'!$N$109:$Y$120,9,FALSE)/100)*'Calc (ex-housing, ex-storage)'!F234/100))/VLOOKUP($C$233,'DB animal categories'!$C$81:$AC$90,27,FALSE)*AJ234+I234+J234+K234,IF(AI234=1,('Calc (ex-animal)'!$H$46*'DB additional information '!$L$10/100*(1-VLOOKUP(D234,'DB technologies'!$N$109:$Y$120,9,FALSE)/100)*'Calc (ex-housing, ex-storage)'!F234/100)/VLOOKUP($C$233,'DB animal categories'!$C$81:$AC$90,27,FALSE)*AJ234,IF(AI234=4,('Calc (ex-animal)'!$G$46*'DB additional information '!$K$10/100+'Calc (ex-animal)'!$H$46*'DB additional information '!$L$10/100)*(1-VLOOKUP(D234,'DB technologies'!$N$109:$Y$120,9,FALSE)/100)*'Calc (ex-housing, ex-storage)'!F234/100*VLOOKUP(D234,'DB technologies'!$N$109:$Y$120,11,FALSE)/100/VLOOKUP($C$233,'DB animal categories'!$C$81:$AC$90,27,FALSE)*AJ234,0))))</f>
        <v/>
      </c>
      <c r="AM234" s="442" t="str">
        <f>IF(D234="","",IF(AI234=2,(('Calc (ex-animal)'!$G$46*(1-'DB additional information '!$K$10/100)*(1-VLOOKUP(D234,'DB technologies'!$N$109:$Y$120,8,FALSE)/100)*'Calc (ex-housing, ex-storage)'!F234/100+'Calc (ex-animal)'!$H$46*(1-'DB additional information '!$L$10/100)*(1-VLOOKUP(D234,'DB technologies'!$N$109:$Y$120,8,FALSE)/100)*'Calc (ex-housing, ex-storage)'!F234/100))/VLOOKUP($C$233,'DB animal categories'!$C$81:$AC$90,27,FALSE)*AJ234+M234+N234+O234,IF(AI234=1,('Calc (ex-animal)'!$H$46*(1-'DB additional information '!$L$10/100)*(1-VLOOKUP(D234,'DB technologies'!$N$109:$Y$120,8,FALSE)/100)*'Calc (ex-housing, ex-storage)'!F234/100)/VLOOKUP($C$233,'DB animal categories'!$C$81:$AC$90,27,FALSE)*AJ234,IF(AI234=4,('Calc (ex-animal)'!$G$46*(1-'DB additional information '!$K$10/100)+'Calc (ex-animal)'!$H$46*(1-'DB additional information '!$L$10/100))*(1-VLOOKUP(D234,'DB technologies'!$N$109:$Y$120,8,FALSE)/100)*'Calc (ex-housing, ex-storage)'!F234/100*VLOOKUP(D234,'DB technologies'!$N$109:$Y$120,11,FALSE)/100/VLOOKUP($C$233,'DB animal categories'!$C$81:$AC$90,27,FALSE)*AJ234,0))))</f>
        <v/>
      </c>
      <c r="AN234" s="442" t="str">
        <f>IF(AI234="","",IF(AL234=0,0,AL234/AK234*100))</f>
        <v/>
      </c>
      <c r="AO234" s="182" t="str">
        <f>IF(D234="","",IF(AI234=2,(('Calc (ex-animal)'!$L$46*'Calc (ex-housing, ex-storage)'!F234/100+'Calc (ex-animal)'!$K$46*'Calc (ex-housing, ex-storage)'!F234/100))/VLOOKUP($C$233,'DB animal categories'!$C$81:$AC$90,27,FALSE)*AJ234+Q234+R234+S234-AC234,IF(AI234=1,('Calc (ex-animal)'!$L$46*'Calc (ex-housing, ex-storage)'!F234/100)/VLOOKUP($C$233,'DB animal categories'!$C$81:$AC$90,27,FALSE)*AJ234-'Calc (ex-housing, ex-storage)'!AC234,IF(AI234=4,('Calc (ex-animal)'!$L$46+'Calc (ex-animal)'!$K$46)*'Calc (ex-housing, ex-storage)'!F234/100*VLOOKUP(D234,'DB technologies'!$N$109:$Y$120,11,FALSE)/100/VLOOKUP($C$233,'DB animal categories'!$C$81:$AC$90,27,FALSE)*AJ234-AC234*VLOOKUP(D234,'DB technologies'!$N$109:$Y$120,11,FALSE)/100,0))))</f>
        <v/>
      </c>
      <c r="AP234" s="182" t="str">
        <f>IF(D234="","",IF(AO234&lt;-0.01,0,IF(AI234=2,(('Calc (ex-animal)'!$L$46*'Calc (ex-housing, ex-storage)'!F234/100+'Calc (ex-animal)'!$K$46*'Calc (ex-housing, ex-storage)'!F234/100))/VLOOKUP($C$233,'DB animal categories'!$C$81:$AC$90,27,FALSE)*AJ234+Q234+R234+S234-AC234,IF(AI234=1,('Calc (ex-animal)'!$L$46*'Calc (ex-housing, ex-storage)'!F234/100)/VLOOKUP($C$233,'DB animal categories'!$C$81:$AC$90,27,FALSE)*AJ234-'Calc (ex-housing, ex-storage)'!AC234,IF(AI234=4,('Calc (ex-animal)'!$L$46+'Calc (ex-animal)'!$K$46)*'Calc (ex-housing, ex-storage)'!F234/100*VLOOKUP(D234,'DB technologies'!$N$109:$Y$120,11,FALSE)/100/VLOOKUP($C$233,'DB animal categories'!$C$81:$AC$90,27,FALSE)*AJ234-AC234*VLOOKUP(D234,'DB technologies'!$N$109:$Y$120,11,FALSE)/100,0)))))</f>
        <v/>
      </c>
      <c r="AQ234" s="182" t="str">
        <f>IF(D234="","",IF(AI234=2,('Calc (ex-animal)'!$O$46*'Calc (ex-housing, ex-storage)'!F234/100+'Calc (ex-animal)'!$N$46*'Calc (ex-housing, ex-storage)'!F234/100)/VLOOKUP($C$233,'DB animal categories'!$C$81:$AC$90,27,FALSE)*AJ234+U234+V234+W234,IF(AI234=1,'Calc (ex-animal)'!$O$46*'Calc (ex-housing, ex-storage)'!F234/100/VLOOKUP($C$233,'DB animal categories'!$C$81:$AC$90,27,FALSE)*AJ234,IF(AI234=4,('Calc (ex-animal)'!$O$46+'Calc (ex-animal)'!$N$46)*'Calc (ex-housing, ex-storage)'!F234/100*VLOOKUP(D234,'DB technologies'!$N$109:$Y$120,11,FALSE)/100/VLOOKUP($C$233,'DB animal categories'!$C$81:$AC$90,27,FALSE)*AJ234,0))))</f>
        <v/>
      </c>
      <c r="AR234" s="182" t="str">
        <f>IF(D234="","",IF(AI234=2,('Calc (ex-animal)'!$R$46*'Calc (ex-housing, ex-storage)'!F234/100+'Calc (ex-animal)'!$Q$46*'Calc (ex-housing, ex-storage)'!F234/100)/VLOOKUP($C$233,'DB animal categories'!$C$81:$AC$90,27,FALSE)*AJ234+Y234+Z234+AA234,IF(AI234=1,'Calc (ex-animal)'!$R$46*'Calc (ex-housing, ex-storage)'!F234/100/VLOOKUP($C$233,'DB animal categories'!$C$81:$AC$90,27,FALSE)*AJ234,IF(AI234=4,('Calc (ex-animal)'!$R$46+'Calc (ex-animal)'!$Q$46)*'Calc (ex-housing, ex-storage)'!F234/100*VLOOKUP(D234,'DB technologies'!$N$109:$Y$120,11,FALSE)/100/VLOOKUP($C$233,'DB animal categories'!$C$81:$AC$90,27,FALSE)*AJ234,0))))</f>
        <v/>
      </c>
      <c r="AS234" s="181" t="str">
        <f>IF(D234="","",VLOOKUP(D234,'DB technologies'!$N$109:$Y$120,10,FALSE))</f>
        <v/>
      </c>
      <c r="AT234" s="442" t="str">
        <f>IF(AS234="","",AU234+AV234)</f>
        <v/>
      </c>
      <c r="AU234" s="442" t="str">
        <f>IF(D234="","",IF(AS234=2,0,IF(AS234=1,'Calc (ex-animal)'!$G$46*'DB additional information '!$K$10/100*(1-VLOOKUP(D234,'DB technologies'!$N$109:$Y$120,8,FALSE)/100)*'Calc (ex-housing, ex-storage)'!F234/100/VLOOKUP($C$233,'DB animal categories'!$C$81:$AC$90,27,FALSE)*AJ234+I234+J234+K234,IF(AS234=5,(('Calc (ex-animal)'!$G$46*'DB additional information '!$K$10/100+'Calc (ex-animal)'!$H$46*'DB additional information '!$L$10/100))*(1-VLOOKUP(D234,'DB technologies'!$N$109:$Y$120,9,FALSE)/100)*'Calc (ex-housing, ex-storage)'!F234/100/VLOOKUP($C$233,'DB animal categories'!$C$81:$AC$90,27,FALSE)*AJ234+I234+J234+K234,IF(AS234=3,('Calc (ex-animal)'!$G$46*'DB additional information '!$K$10/100+'Calc (ex-animal)'!$H$46*'DB additional information '!$L$10/100)*(1-VLOOKUP(D234,'DB technologies'!$N$109:$Y$120,9,FALSE)/100)*'Calc (ex-housing, ex-storage)'!F234/100/VLOOKUP($C$233,'DB animal categories'!$C$81:$AC$90,27,FALSE)*AJ234+I234+J234+K234,IF(AS234=4,('Calc (ex-animal)'!$G$46*'DB additional information '!$K$10/100+'Calc (ex-animal)'!$H$46*'DB additional information '!$L$10/100)*(1-VLOOKUP(D234,'DB technologies'!$N$109:$Y$120,9,FALSE)/100)*'Calc (ex-housing, ex-storage)'!F234/100*VLOOKUP(D234,'DB technologies'!$N$109:$Y$120,12,FALSE)/100/VLOOKUP($C$233,'DB animal categories'!$C$81:$AC$90,27,FALSE)*AJ234+I234+J234+K234,0))))))</f>
        <v/>
      </c>
      <c r="AV234" s="442" t="str">
        <f>IF(D234="","",IF(AS234=2,0,IF(AS234=1,'Calc (ex-animal)'!$G$46*(1-'DB additional information '!$K$10/100)*(1-VLOOKUP(D234,'DB technologies'!$N$109:$Y$120,8,FALSE)/100)*'Calc (ex-housing, ex-storage)'!F234/100/VLOOKUP($C$233,'DB animal categories'!$C$81:$AC$90,27,FALSE)*AJ234+M234+N234+O234,IF(AS234=5,('Calc (ex-animal)'!$G$46*(1-'DB additional information '!$K$10/100)+'Calc (ex-animal)'!$H$46*(1-'DB additional information '!$L$10/100))*(1-VLOOKUP(D234,'DB technologies'!$N$109:$Y$120,8,FALSE)/100)*'Calc (ex-housing, ex-storage)'!F234/100/VLOOKUP($C$233,'DB animal categories'!$C$81:$AC$90,27,FALSE)*AJ234+M234+N234+O234,IF(AS234=3,('Calc (ex-animal)'!$G$46*(1-'DB additional information '!$K$10/100)+'Calc (ex-animal)'!$H$46*(1-'DB additional information '!$L$10/100))*(1-VLOOKUP(D234,'DB technologies'!$N$109:$Y$120,8,FALSE)/100)*'Calc (ex-housing, ex-storage)'!F234/100/VLOOKUP($C$233,'DB animal categories'!$C$81:$AC$90,27,FALSE)*AJ234+M234+N234+O234,IF(AS234=4,('Calc (ex-animal)'!$G$46*(1-'DB additional information '!$K$10/100)+'Calc (ex-animal)'!$H$46*(1-'DB additional information '!$L$10/100))*(1-VLOOKUP(D234,'DB technologies'!$N$109:$Y$120,8,FALSE)/100)*'Calc (ex-housing, ex-storage)'!F234/100*VLOOKUP(D234,'DB technologies'!$N$109:$Y$120,12,FALSE)/100/VLOOKUP($C$233,'DB animal categories'!$C$81:$AC$90,27,FALSE)*AJ234+M234+N234+O234,0))))))</f>
        <v/>
      </c>
      <c r="AW234" s="442" t="str">
        <f>IF(AS234="","",IF(AU234=0,0,AU234/AT234*100))</f>
        <v/>
      </c>
      <c r="AX234" s="182" t="str">
        <f>IF(D234="","",IF(AS234=2,0,IF(AS234=1,'Calc (ex-animal)'!$K$46*'Calc (ex-housing, ex-storage)'!F234/100/VLOOKUP($C$233,'DB animal categories'!$C$81:$AC$90,27,FALSE)*AJ234+Q234+R234+S234,IF(AS234=5,('Calc (ex-animal)'!$K$46+'Calc (ex-animal)'!$L$46)*'Calc (ex-housing, ex-storage)'!F234/100/VLOOKUP($C$233,'DB animal categories'!$C$81:$AC$90,27,FALSE)*AJ234+Q234+R234+S234-'Calc (ex-housing, ex-storage)'!AC234,IF(AS234=3,('Calc (ex-animal)'!$K$46+'Calc (ex-animal)'!$L$46)*'Calc (ex-housing, ex-storage)'!F234/100/VLOOKUP($C$233,'DB animal categories'!$C$81:$AC$90,27,FALSE)*AJ234+Q234+R234+S234-'Calc (ex-housing, ex-storage)'!AC234-AD234-AE234,IF(AI234=4,('Calc (ex-animal)'!$K$46+'Calc (ex-animal)'!$L$46)*'Calc (ex-housing, ex-storage)'!F234/100*VLOOKUP(D234,'DB technologies'!$N$109:$Y$120,12,FALSE)/100/VLOOKUP($C$233,'DB animal categories'!$C$81:$AC$90,27,FALSE)*AJ234+Q234+R234+S234-(VLOOKUP(D234,'DB technologies'!$N$109:$Y$120,12,FALSE)/100*AC234)-AD234-AE234,0))))))</f>
        <v/>
      </c>
      <c r="AY234" s="182" t="str">
        <f>IF(D234="","",IF(AS234=2,0,IF(AS234=1,'Calc (ex-animal)'!$N$46*'Calc (ex-housing, ex-storage)'!F234/100/VLOOKUP($C$233,'DB animal categories'!$C$81:$AC$90,27,FALSE)*AJ234+U234+V234+W234,IF(AS234=5,('Calc (ex-animal)'!$N$46+'Calc (ex-animal)'!$O$46)*'Calc (ex-housing, ex-storage)'!F234/100/VLOOKUP($C$233,'DB animal categories'!$C$81:$AC$90,27,FALSE)*AJ234+U234+V234+W234,IF(AS234=3,('Calc (ex-animal)'!$N$46+'Calc (ex-animal)'!$O$46)*'Calc (ex-housing, ex-storage)'!F234/100/VLOOKUP($C$233,'DB animal categories'!$C$81:$AC$90,27,FALSE)*AJ234+U234+V234+W234,IF(AS234=4,('Calc (ex-animal)'!$N$46+'Calc (ex-animal)'!$O$46)*'Calc (ex-housing, ex-storage)'!F234/100*VLOOKUP(D234,'DB technologies'!$N$109:$Y$120,12,FALSE)/100/VLOOKUP($C$233,'DB animal categories'!$C$81:$AC$90,27,FALSE)*AJ234+U234+V234+W234,0))))))</f>
        <v/>
      </c>
      <c r="AZ234" s="182" t="str">
        <f>IF(D234="","",IF(AS234=2,0,IF(AS234=1,'Calc (ex-animal)'!$Q$46*'Calc (ex-housing, ex-storage)'!F234/100/VLOOKUP($C$233,'DB animal categories'!$C$81:$AC$90,27,FALSE)*AJ234+Y234+Z234+AA234,IF(AS234=5,('Calc (ex-animal)'!$Q$46+'Calc (ex-animal)'!$R$46)*'Calc (ex-housing, ex-storage)'!F234/100/VLOOKUP($C$233,'DB animal categories'!$C$81:$AC$90,27,FALSE)*AJ234+Y234+Z234+AA234,IF(AS234=3,('Calc (ex-animal)'!$Q$46+'Calc (ex-animal)'!$R$46)*'Calc (ex-housing, ex-storage)'!F234/100/VLOOKUP($C$233,'DB animal categories'!$C$81:$AC$90,27,FALSE)*AJ234+Y234+Z234+AA234,IF(AS234=4,('Calc (ex-animal)'!$Q$46+'Calc (ex-animal)'!$R$46)*'Calc (ex-housing, ex-storage)'!F234/100*VLOOKUP(D234,'DB technologies'!$N$109:$Y$120,12,FALSE)/100/VLOOKUP($C$233,'DB animal categories'!$C$81:$AC$90,27,FALSE)*AJ234+Y234+Z234+AA234,0))))))</f>
        <v/>
      </c>
      <c r="BA234" s="506"/>
      <c r="BB234" s="506"/>
      <c r="BC234" s="506"/>
    </row>
    <row r="235" spans="1:55" x14ac:dyDescent="0.2">
      <c r="A235" s="684"/>
      <c r="B235" s="695"/>
      <c r="C235" s="251"/>
      <c r="D235" s="1397"/>
      <c r="E235" s="1358"/>
      <c r="F235" s="480" t="str">
        <f>IF('Calc (ex-animal)'!$F$38=1,"",IF($C$233=0,"",IF(D235="","",E235/'Calc (ex-animal)'!$E$46*100)))</f>
        <v/>
      </c>
      <c r="G235" s="485" t="str">
        <f>IF($C$233=0,"",IF('Calc (ex-animal)'!$F$38=1,"",IF(D235="","",SUM(H235:O235))))</f>
        <v/>
      </c>
      <c r="H235" s="423" t="str">
        <f>IF('Calc (ex-animal)'!$F$38=1,"",IF(D235="","",(((VLOOKUP($C$233,'Calc (ex-animal)'!$D$43:$Y$47,6,FALSE)-VLOOKUP($C$233,'Calc (ex-animal)'!$D$43:$Y$47,17,FALSE))*F235/100))*VLOOKUP($C$233,'Calc (ex-animal)'!$D$43:$Y$47,7,FALSE)/100*(1-VLOOKUP(D235,'DB technologies'!$N$109:$Y$120,9,FALSE)/100)))</f>
        <v/>
      </c>
      <c r="I235" s="423" t="str">
        <f>IF(D235="","",((VLOOKUP(D235,'DB technologies'!$N$109:$Y$120,2,FALSE)*VLOOKUP($C$233,'DB animal categories'!$C$81:$AC$90,27,FALSE)*E235/1000)/VLOOKUP($C$233,'DB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'!$S$6/100*(1-VLOOKUP(D235,'DB technologies'!$N$109:$Y$120,9,FALSE)/100)))</f>
        <v/>
      </c>
      <c r="J235" s="434" t="str">
        <f>IF(D235="","",((VLOOKUP(D235,'DB technologies'!$N$109:$Y$120,3,FALSE)*VLOOKUP($C$233,'DB animal categories'!$C$81:$AC$90,27,FALSE)*E235/1000)/VLOOKUP($C$233,'DB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'!$S$7/100*(1-VLOOKUP(D235,'DB technologies'!$N$109:$Y$120,9,FALSE)/100)))</f>
        <v/>
      </c>
      <c r="K235" s="434" t="str">
        <f>IF(D235="","",((VLOOKUP(D235,'DB technologies'!$N$109:$Y$120,4,FALSE)*E235*'DB additional information '!$S$8/100*(1-VLOOKUP(D235,'DB technologies'!$N$109:$Y$120,9,FALSE)/100))/VLOOKUP($C$233,'DB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L235" s="423" t="str">
        <f>IF('Calc (ex-animal)'!$F$38=1,"",IF(D235="","",(((VLOOKUP($C$233,'Calc (ex-animal)'!$D$43:$Y$47,6,FALSE)-VLOOKUP($C$233,'Calc (ex-animal)'!$D$43:$Y$47,17,FALSE))*F235/100))*(1-VLOOKUP($C$233,'Calc (ex-animal)'!$D$43:$Y$47,7,FALSE)/100)*(1-VLOOKUP(D235,'DB technologies'!$N$109:$V$120,8,FALSE)/100)))</f>
        <v/>
      </c>
      <c r="M235" s="434" t="str">
        <f>IF(D235="","",((VLOOKUP(D235,'DB technologies'!$N$109:$Y$120,2,FALSE)*VLOOKUP($C$233,'DB animal categories'!$C$81:$AC$90,27,FALSE)*E235/1000)/VLOOKUP($C$233,'DB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'!$S$6/100)*(1-VLOOKUP(D235,'DB technologies'!$N$109:$Y$120,9,FALSE)/100))</f>
        <v/>
      </c>
      <c r="N235" s="434" t="str">
        <f>IF(D235="","",((VLOOKUP(D235,'DB technologies'!$N$109:$Y$120,3,FALSE)*VLOOKUP($C$233,'DB animal categories'!$C$81:$AC$90,27,FALSE)*E235/1000)/VLOOKUP($C$233,'DB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'!$S$7/100)*(1-VLOOKUP(D235,'DB technologies'!$N$109:$Y$120,9,FALSE)/100))</f>
        <v/>
      </c>
      <c r="O235" s="423" t="str">
        <f>IF(D235="","",((VLOOKUP(D235,'DB technologies'!$N$109:$Y$120,4,FALSE)*E235*(1-'DB additional information '!$S$8/100)*(1-VLOOKUP(D235,'DB technologies'!$N$109:$Y$120,8,FALSE)/100))/VLOOKUP($C$233,'DB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P235" s="438" t="str">
        <f>IF(G235=0,0,IF(E235="","",IF(F235="","",IF($C$233=0,"",IF(D235="","",SUM(H235:K235)/G235*100)))))</f>
        <v/>
      </c>
      <c r="Q235" s="416" t="str">
        <f>IF(D235="","",(VLOOKUP(D235,'DB technologies'!$N$109:$Y$120,2,FALSE)*'DB additional information '!$S$6/100*'DB additional information '!$T$6*VLOOKUP($C$233,'DB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R235" s="416" t="str">
        <f>IF(D235="","",(VLOOKUP(D235,'DB technologies'!$N$109:$Y$120,3,FALSE)*'DB additional information '!$S$7/100*'DB additional information '!$T$7*VLOOKUP($C$233,'DB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S235" s="491" t="str">
        <f>IF(D235="","",(VLOOKUP(D235,'DB technologies'!$N$109:$Y$120,4,FALSE)*('DB additional information '!$S$8/100*'DB additional information '!$T$8*E235/1000/1000)))</f>
        <v/>
      </c>
      <c r="T235" s="264" t="str">
        <f>IF($C$233=0,"",IF('Calc (ex-animal)'!$F$38=1,"",IF(D235="","",((VLOOKUP($C$233,'Calc (ex-animal)'!$D$43:$Y$47,10,FALSE)-VLOOKUP($C$233,'Calc (ex-animal)'!$D$43:$Y$47,18,FALSE))*F235/100+Q235+R235+S235)-AC235-AD235-AE235)))</f>
        <v/>
      </c>
      <c r="U235" s="422" t="str">
        <f>IF(D235="","",(VLOOKUP(D235,'DB technologies'!$N$109:$Y$120,2,FALSE)*'DB additional information '!$S$6/100*'DB additional information '!$U$6*VLOOKUP($C$233,'DB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V235" s="418" t="str">
        <f>IF(D235="","",(VLOOKUP(D235,'DB technologies'!$N$109:$Y$120,3,FALSE)*'DB additional information '!$S$7/100*'DB additional information '!$U$7*VLOOKUP($C$233,'DB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W235" s="417" t="str">
        <f>IF(D235="","",(VLOOKUP(D235,'DB technologies'!$N$109:$Y$120,4,FALSE)*('DB additional information '!$S$8/100*'DB additional information '!$U$8*E235/1000/1000)))</f>
        <v/>
      </c>
      <c r="X235" s="261" t="str">
        <f>IF($C$233=0,"",IF('Calc (ex-animal)'!$F$38=1,"",IF(D235="","",((VLOOKUP($C$233,'Calc (ex-animal)'!$D$43:$Y$47,13,FALSE)-VLOOKUP($C$233,'Calc (ex-animal)'!$D$43:$Y$47,19,FALSE))*F235/100+U235+V235+W235))))</f>
        <v/>
      </c>
      <c r="Y235" s="418" t="str">
        <f>IF(D235="","",(VLOOKUP(D235,'DB technologies'!$N$109:$Y$120,2,FALSE)*'DB additional information '!$S$6/100*'DB additional information '!$V$6*VLOOKUP($C$233,'DB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Z235" s="418" t="str">
        <f>IF(D235="","",(VLOOKUP(D235,'DB technologies'!$N$109:$Y$120,3,FALSE)*'DB additional information '!$S$7/100*'DB additional information '!$V$7*VLOOKUP($C$233,'DB animal categories'!$C$81:$AC$90,27,FALSE)*E235/1000/1000)/VLOOKUP($C$233,'DB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AA235" s="418" t="str">
        <f>IF(D235="","",(VLOOKUP(D235,'DB technologies'!$N$109:$Y$120,4,FALSE)*('DB additional information '!$S$8/100*'DB additional information '!$V$8*E235/1000/1000)))</f>
        <v/>
      </c>
      <c r="AB235" s="261" t="str">
        <f>IF($C$233=0,"",IF('Calc (ex-animal)'!$F$38=1,"",IF(D235="","",((VLOOKUP($C$233,'Calc (ex-animal)'!$D$43:$Y$47,16,FALSE)-VLOOKUP($C$233,'Calc (ex-animal)'!$D$43:$Y$47,20,FALSE))*F235/100+Y235+Z235+AA235))))</f>
        <v/>
      </c>
      <c r="AC235" s="261" t="str">
        <f>IF($C$233=0,"",IF('Calc (ex-animal)'!$F$38=1,"",IF(D235="","",VLOOKUP($C$233,'Calc (ex-animal)'!$D$43:$Y$47,9,FALSE)/VLOOKUP($C$233,'DB animal categories'!$C$81:$AC$90,27,FALSE)*(VLOOKUP($C$233,'DB animal categories'!$C$81:$AC$90,27,FALSE)-VLOOKUP($C$233,'DB animal categories'!$C$81:$AC$90,25,FALSE)*VLOOKUP($C$233,'DB animal categories'!$C$81:$AC$90,26,FALSE)/24)*F235/100*VLOOKUP(D235,'DB technologies'!$N$109:$R$120,5,FALSE)/100)))</f>
        <v/>
      </c>
      <c r="AD235" s="261" t="str">
        <f>IF($C$233=0,"",IF('Calc (ex-animal)'!$F$38=1,"",IF(D235="","",VLOOKUP($C$233,'Calc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categories'!$C$81:$AC$90,26,FALSE)/24)*F235/100*VLOOKUP(D235,'DB technologies'!$N$109:$Y$120,6,FALSE)/100)))</f>
        <v/>
      </c>
      <c r="AE235" s="262" t="str">
        <f>IF($C$233=0,"",IF('Calc (ex-animal)'!$F$38=1,"",IF(D235="","",VLOOKUP($C$233,'Calc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categories'!$C$81:$AC$90,26,FALSE)/24)*F235/100*VLOOKUP(D235,'DB technologies'!$N$109:$Y$120,7,FALSE)/100)))</f>
        <v/>
      </c>
      <c r="AI235" s="181" t="str">
        <f>IF(D235="","",VLOOKUP(D235,'DB technologies'!$N$109:$Y$120,10,FALSE))</f>
        <v/>
      </c>
      <c r="AJ235" s="449" t="e">
        <f>VLOOKUP($C$233,'DB animal categories'!$C$81:$AN$90,27,FALSE)-VLOOKUP($C$233,'DB animal categories'!$C$81:$AN$90,26,FALSE)*VLOOKUP($C$233,'DB animal categories'!$C$81:$AN$90,25,FALSE)/24</f>
        <v>#N/A</v>
      </c>
      <c r="AK235" s="442" t="str">
        <f>IF(AI235="","",AL235+AM235)</f>
        <v/>
      </c>
      <c r="AL235" s="442" t="str">
        <f>IF(D235="","",IF(AI235=2,(('Calc (ex-animal)'!$G$46*'DB additional information '!$K$10/100*(1-VLOOKUP(D235,'DB technologies'!$N$109:$Y$120,9,FALSE)/100)*'Calc (ex-housing, ex-storage)'!F235/100+'Calc (ex-animal)'!$H$46*'DB additional information '!$L$10/100*(1-VLOOKUP(D235,'DB technologies'!$N$109:$Y$120,9,FALSE)/100)*'Calc (ex-housing, ex-storage)'!F235/100))/VLOOKUP($C$233,'DB animal categories'!$C$81:$AC$90,27,FALSE)*AJ235+I235+J235+K235,IF(AI235=1,('Calc (ex-animal)'!$H$46*'DB additional information '!$L$10/100*(1-VLOOKUP(D235,'DB technologies'!$N$109:$Y$120,9,FALSE)/100)*'Calc (ex-housing, ex-storage)'!F235/100)/VLOOKUP($C$233,'DB animal categories'!$C$81:$AC$90,27,FALSE)*AJ235,IF(AI235=4,('Calc (ex-animal)'!$G$46*'DB additional information '!$K$10/100+'Calc (ex-animal)'!$H$46*'DB additional information '!$L$10/100)*(1-VLOOKUP(D235,'DB technologies'!$N$109:$Y$120,9,FALSE)/100)*'Calc (ex-housing, ex-storage)'!F235/100*VLOOKUP(D235,'DB technologies'!$N$109:$Y$120,11,FALSE)/100/VLOOKUP($C$233,'DB animal categories'!$C$81:$AC$90,27,FALSE)*AJ235,0))))</f>
        <v/>
      </c>
      <c r="AM235" s="442" t="str">
        <f>IF(D235="","",IF(AI235=2,(('Calc (ex-animal)'!$G$46*(1-'DB additional information '!$K$10/100)*(1-VLOOKUP(D235,'DB technologies'!$N$109:$Y$120,8,FALSE)/100)*'Calc (ex-housing, ex-storage)'!F235/100+'Calc (ex-animal)'!$H$46*(1-'DB additional information '!$L$10/100)*(1-VLOOKUP(D235,'DB technologies'!$N$109:$Y$120,8,FALSE)/100)*'Calc (ex-housing, ex-storage)'!F235/100))/VLOOKUP($C$233,'DB animal categories'!$C$81:$AC$90,27,FALSE)*AJ235+M235+N235+O235,IF(AI235=1,('Calc (ex-animal)'!$H$46*(1-'DB additional information '!$L$10/100)*(1-VLOOKUP(D235,'DB technologies'!$N$109:$Y$120,8,FALSE)/100)*'Calc (ex-housing, ex-storage)'!F235/100)/VLOOKUP($C$233,'DB animal categories'!$C$81:$AC$90,27,FALSE)*AJ235,IF(AI235=4,('Calc (ex-animal)'!$G$46*(1-'DB additional information '!$K$10/100)+'Calc (ex-animal)'!$H$46*(1-'DB additional information '!$L$10/100))*(1-VLOOKUP(D235,'DB technologies'!$N$109:$Y$120,8,FALSE)/100)*'Calc (ex-housing, ex-storage)'!F235/100*VLOOKUP(D235,'DB technologies'!$N$109:$Y$120,11,FALSE)/100/VLOOKUP($C$233,'DB animal categories'!$C$81:$AC$90,27,FALSE)*AJ235,0))))</f>
        <v/>
      </c>
      <c r="AN235" s="442" t="str">
        <f>IF(AI235="","",IF(AL235=0,0,AL235/AK235*100))</f>
        <v/>
      </c>
      <c r="AO235" s="182" t="str">
        <f>IF(D235="","",IF(AI235=2,(('Calc (ex-animal)'!$L$46*'Calc (ex-housing, ex-storage)'!F235/100+'Calc (ex-animal)'!$K$46*'Calc (ex-housing, ex-storage)'!F235/100))/VLOOKUP($C$233,'DB animal categories'!$C$81:$AC$90,27,FALSE)*AJ235+Q235+R235+S235-AC235,IF(AI235=1,('Calc (ex-animal)'!$L$46*'Calc (ex-housing, ex-storage)'!F235/100)/VLOOKUP($C$233,'DB animal categories'!$C$81:$AC$90,27,FALSE)*AJ235-'Calc (ex-housing, ex-storage)'!AC235,IF(AI235=4,('Calc (ex-animal)'!$L$46+'Calc (ex-animal)'!$K$46)*'Calc (ex-housing, ex-storage)'!F235/100*VLOOKUP(D235,'DB technologies'!$N$109:$Y$120,11,FALSE)/100/VLOOKUP($C$233,'DB animal categories'!$C$81:$AC$90,27,FALSE)*AJ235-AC235*VLOOKUP(D235,'DB technologies'!$N$109:$Y$120,11,FALSE)/100,0))))</f>
        <v/>
      </c>
      <c r="AP235" s="182" t="str">
        <f>IF(D235="","",IF(AO235&lt;-0.01,0,IF(AI235=2,(('Calc (ex-animal)'!$L$46*'Calc (ex-housing, ex-storage)'!F235/100+'Calc (ex-animal)'!$K$46*'Calc (ex-housing, ex-storage)'!F235/100))/VLOOKUP($C$233,'DB animal categories'!$C$81:$AC$90,27,FALSE)*AJ235+Q235+R235+S235-AC235,IF(AI235=1,('Calc (ex-animal)'!$L$46*'Calc (ex-housing, ex-storage)'!F235/100)/VLOOKUP($C$233,'DB animal categories'!$C$81:$AC$90,27,FALSE)*AJ235-'Calc (ex-housing, ex-storage)'!AC235,IF(AI235=4,('Calc (ex-animal)'!$L$46+'Calc (ex-animal)'!$K$46)*'Calc (ex-housing, ex-storage)'!F235/100*VLOOKUP(D235,'DB technologies'!$N$109:$Y$120,11,FALSE)/100/VLOOKUP($C$233,'DB animal categories'!$C$81:$AC$90,27,FALSE)*AJ235-AC235*VLOOKUP(D235,'DB technologies'!$N$109:$Y$120,11,FALSE)/100,0)))))</f>
        <v/>
      </c>
      <c r="AQ235" s="182" t="str">
        <f>IF(D235="","",IF(AI235=2,('Calc (ex-animal)'!$O$46*'Calc (ex-housing, ex-storage)'!F235/100+'Calc (ex-animal)'!$N$46*'Calc (ex-housing, ex-storage)'!F235/100)/VLOOKUP($C$233,'DB animal categories'!$C$81:$AC$90,27,FALSE)*AJ235+U235+V235+W235,IF(AI235=1,'Calc (ex-animal)'!$O$46*'Calc (ex-housing, ex-storage)'!F235/100/VLOOKUP($C$233,'DB animal categories'!$C$81:$AC$90,27,FALSE)*AJ235,IF(AI235=4,('Calc (ex-animal)'!$O$46+'Calc (ex-animal)'!$N$46)*'Calc (ex-housing, ex-storage)'!F235/100*VLOOKUP(D235,'DB technologies'!$N$109:$Y$120,11,FALSE)/100/VLOOKUP($C$233,'DB animal categories'!$C$81:$AC$90,27,FALSE)*AJ235,0))))</f>
        <v/>
      </c>
      <c r="AR235" s="182" t="str">
        <f>IF(D235="","",IF(AI235=2,('Calc (ex-animal)'!$R$46*'Calc (ex-housing, ex-storage)'!F235/100+'Calc (ex-animal)'!$Q$46*'Calc (ex-housing, ex-storage)'!F235/100)/VLOOKUP($C$233,'DB animal categories'!$C$81:$AC$90,27,FALSE)*AJ235+Y235+Z235+AA235,IF(AI235=1,'Calc (ex-animal)'!$R$46*'Calc (ex-housing, ex-storage)'!F235/100/VLOOKUP($C$233,'DB animal categories'!$C$81:$AC$90,27,FALSE)*AJ235,IF(AI235=4,('Calc (ex-animal)'!$R$46+'Calc (ex-animal)'!$Q$46)*'Calc (ex-housing, ex-storage)'!F235/100*VLOOKUP(D235,'DB technologies'!$N$109:$Y$120,11,FALSE)/100/VLOOKUP($C$233,'DB animal categories'!$C$81:$AC$90,27,FALSE)*AJ235,0))))</f>
        <v/>
      </c>
      <c r="AS235" s="181" t="str">
        <f>IF(D235="","",VLOOKUP(D235,'DB technologies'!$N$109:$Y$120,10,FALSE))</f>
        <v/>
      </c>
      <c r="AT235" s="442" t="str">
        <f>IF(AS235="","",AU235+AV235)</f>
        <v/>
      </c>
      <c r="AU235" s="442" t="str">
        <f>IF(D235="","",IF(AS235=2,0,IF(AS235=1,'Calc (ex-animal)'!$G$46*'DB additional information '!$K$10/100*(1-VLOOKUP(D235,'DB technologies'!$N$109:$Y$120,8,FALSE)/100)*'Calc (ex-housing, ex-storage)'!F235/100/VLOOKUP($C$233,'DB animal categories'!$C$81:$AC$90,27,FALSE)*AJ235+I235+J235+K235,IF(AS235=5,(('Calc (ex-animal)'!$G$46*'DB additional information '!$K$10/100+'Calc (ex-animal)'!$H$46*'DB additional information '!$L$10/100))*(1-VLOOKUP(D235,'DB technologies'!$N$109:$Y$120,9,FALSE)/100)*'Calc (ex-housing, ex-storage)'!F235/100/VLOOKUP($C$233,'DB animal categories'!$C$81:$AC$90,27,FALSE)*AJ235+I235+J235+K235,IF(AS235=3,('Calc (ex-animal)'!$G$46*'DB additional information '!$K$10/100+'Calc (ex-animal)'!$H$46*'DB additional information '!$L$10/100)*(1-VLOOKUP(D235,'DB technologies'!$N$109:$Y$120,9,FALSE)/100)*'Calc (ex-housing, ex-storage)'!F235/100/VLOOKUP($C$233,'DB animal categories'!$C$81:$AC$90,27,FALSE)*AJ235+I235+J235+K235,IF(AS235=4,('Calc (ex-animal)'!$G$46*'DB additional information '!$K$10/100+'Calc (ex-animal)'!$H$46*'DB additional information '!$L$10/100)*(1-VLOOKUP(D235,'DB technologies'!$N$109:$Y$120,9,FALSE)/100)*'Calc (ex-housing, ex-storage)'!F235/100*VLOOKUP(D235,'DB technologies'!$N$109:$Y$120,12,FALSE)/100/VLOOKUP($C$233,'DB animal categories'!$C$81:$AC$90,27,FALSE)*AJ235+I235+J235+K235,0))))))</f>
        <v/>
      </c>
      <c r="AV235" s="442" t="str">
        <f>IF(D235="","",IF(AS235=2,0,IF(AS235=1,'Calc (ex-animal)'!$G$46*(1-'DB additional information '!$K$10/100)*(1-VLOOKUP(D235,'DB technologies'!$N$109:$Y$120,8,FALSE)/100)*'Calc (ex-housing, ex-storage)'!F235/100/VLOOKUP($C$233,'DB animal categories'!$C$81:$AC$90,27,FALSE)*AJ235+M235+N235+O235,IF(AS235=5,('Calc (ex-animal)'!$G$46*(1-'DB additional information '!$K$10/100)+'Calc (ex-animal)'!$H$46*(1-'DB additional information '!$L$10/100))*(1-VLOOKUP(D235,'DB technologies'!$N$109:$Y$120,8,FALSE)/100)*'Calc (ex-housing, ex-storage)'!F235/100/VLOOKUP($C$233,'DB animal categories'!$C$81:$AC$90,27,FALSE)*AJ235+M235+N235+O235,IF(AS235=3,('Calc (ex-animal)'!$G$46*(1-'DB additional information '!$K$10/100)+'Calc (ex-animal)'!$H$46*(1-'DB additional information '!$L$10/100))*(1-VLOOKUP(D235,'DB technologies'!$N$109:$Y$120,8,FALSE)/100)*'Calc (ex-housing, ex-storage)'!F235/100/VLOOKUP($C$233,'DB animal categories'!$C$81:$AC$90,27,FALSE)*AJ235+M235+N235+O235,IF(AS235=4,('Calc (ex-animal)'!$G$46*(1-'DB additional information '!$K$10/100)+'Calc (ex-animal)'!$H$46*(1-'DB additional information '!$L$10/100))*(1-VLOOKUP(D235,'DB technologies'!$N$109:$Y$120,8,FALSE)/100)*'Calc (ex-housing, ex-storage)'!F235/100*VLOOKUP(D235,'DB technologies'!$N$109:$Y$120,12,FALSE)/100/VLOOKUP($C$233,'DB animal categories'!$C$81:$AC$90,27,FALSE)*AJ235+M235+N235+O235,0))))))</f>
        <v/>
      </c>
      <c r="AW235" s="442" t="str">
        <f>IF(AS235="","",IF(AU235=0,0,AU235/AT235*100))</f>
        <v/>
      </c>
      <c r="AX235" s="182" t="str">
        <f>IF(D235="","",IF(AS235=2,0,IF(AS235=1,'Calc (ex-animal)'!$K$46*'Calc (ex-housing, ex-storage)'!F235/100/VLOOKUP($C$233,'DB animal categories'!$C$81:$AC$90,27,FALSE)*AJ235+Q235+R235+S235,IF(AS235=5,('Calc (ex-animal)'!$K$46+'Calc (ex-animal)'!$L$46)*'Calc (ex-housing, ex-storage)'!F235/100/VLOOKUP($C$233,'DB animal categories'!$C$81:$AC$90,27,FALSE)*AJ235+Q235+R235+S235-'Calc (ex-housing, ex-storage)'!AC235,IF(AS235=3,('Calc (ex-animal)'!$K$46+'Calc (ex-animal)'!$L$46)*'Calc (ex-housing, ex-storage)'!F235/100/VLOOKUP($C$233,'DB animal categories'!$C$81:$AC$90,27,FALSE)*AJ235+Q235+R235+S235-'Calc (ex-housing, ex-storage)'!AC235-AD235-AE235,IF(AI235=4,('Calc (ex-animal)'!$K$46+'Calc (ex-animal)'!$L$46)*'Calc (ex-housing, ex-storage)'!F235/100*VLOOKUP(D235,'DB technologies'!$N$109:$Y$120,12,FALSE)/100/VLOOKUP($C$233,'DB animal categories'!$C$81:$AC$90,27,FALSE)*AJ235+Q235+R235+S235-(VLOOKUP(D235,'DB technologies'!$N$109:$Y$120,12,FALSE)/100*AC235)-AD235-AE235,0))))))</f>
        <v/>
      </c>
      <c r="AY235" s="182" t="str">
        <f>IF(D235="","",IF(AS235=2,0,IF(AS235=1,'Calc (ex-animal)'!$N$46*'Calc (ex-housing, ex-storage)'!F235/100/VLOOKUP($C$233,'DB animal categories'!$C$81:$AC$90,27,FALSE)*AJ235+U235+V235+W235,IF(AS235=5,('Calc (ex-animal)'!$N$46+'Calc (ex-animal)'!$O$46)*'Calc (ex-housing, ex-storage)'!F235/100/VLOOKUP($C$233,'DB animal categories'!$C$81:$AC$90,27,FALSE)*AJ235+U235+V235+W235,IF(AS235=3,('Calc (ex-animal)'!$N$46+'Calc (ex-animal)'!$O$46)*'Calc (ex-housing, ex-storage)'!F235/100/VLOOKUP($C$233,'DB animal categories'!$C$81:$AC$90,27,FALSE)*AJ235+U235+V235+W235,IF(AS235=4,('Calc (ex-animal)'!$N$46+'Calc (ex-animal)'!$O$46)*'Calc (ex-housing, ex-storage)'!F235/100*VLOOKUP(D235,'DB technologies'!$N$109:$Y$120,12,FALSE)/100/VLOOKUP($C$233,'DB animal categories'!$C$81:$AC$90,27,FALSE)*AJ235+U235+V235+W235,0))))))</f>
        <v/>
      </c>
      <c r="AZ235" s="182" t="str">
        <f>IF(D235="","",IF(AS235=2,0,IF(AS235=1,'Calc (ex-animal)'!$Q$46*'Calc (ex-housing, ex-storage)'!F235/100/VLOOKUP($C$233,'DB animal categories'!$C$81:$AC$90,27,FALSE)*AJ235+Y235+Z235+AA235,IF(AS235=5,('Calc (ex-animal)'!$Q$46+'Calc (ex-animal)'!$R$46)*'Calc (ex-housing, ex-storage)'!F235/100/VLOOKUP($C$233,'DB animal categories'!$C$81:$AC$90,27,FALSE)*AJ235+Y235+Z235+AA235,IF(AS235=3,('Calc (ex-animal)'!$Q$46+'Calc (ex-animal)'!$R$46)*'Calc (ex-housing, ex-storage)'!F235/100/VLOOKUP($C$233,'DB animal categories'!$C$81:$AC$90,27,FALSE)*AJ235+Y235+Z235+AA235,IF(AS235=4,('Calc (ex-animal)'!$Q$46+'Calc (ex-animal)'!$R$46)*'Calc (ex-housing, ex-storage)'!F235/100*VLOOKUP(D235,'DB technologies'!$N$109:$Y$120,12,FALSE)/100/VLOOKUP($C$233,'DB animal categories'!$C$81:$AC$90,27,FALSE)*AJ235+Y235+Z235+AA235,0))))))</f>
        <v/>
      </c>
      <c r="BA235" s="506"/>
      <c r="BB235" s="506"/>
      <c r="BC235" s="506"/>
    </row>
    <row r="236" spans="1:55" x14ac:dyDescent="0.2">
      <c r="A236" s="684"/>
      <c r="B236" s="695"/>
      <c r="C236" s="251"/>
      <c r="D236" s="1397"/>
      <c r="E236" s="1358"/>
      <c r="F236" s="480" t="str">
        <f>IF('Calc (ex-animal)'!$F$38=1,"",IF($C$233=0,"",IF(D236="","",E236/'Calc (ex-animal)'!$E$46*100)))</f>
        <v/>
      </c>
      <c r="G236" s="485" t="str">
        <f>IF($C$233=0,"",IF('Calc (ex-animal)'!$F$38=1,"",IF(D236="","",SUM(H236:O236))))</f>
        <v/>
      </c>
      <c r="H236" s="423" t="str">
        <f>IF('Calc (ex-animal)'!$F$38=1,"",IF(D236="","",(((VLOOKUP($C$233,'Calc (ex-animal)'!$D$43:$Y$47,6,FALSE)-VLOOKUP($C$233,'Calc (ex-animal)'!$D$43:$Y$47,17,FALSE))*F236/100))*VLOOKUP($C$233,'Calc (ex-animal)'!$D$43:$Y$47,7,FALSE)/100*(1-VLOOKUP(D236,'DB technologies'!$N$109:$Y$120,9,FALSE)/100)))</f>
        <v/>
      </c>
      <c r="I236" s="423" t="str">
        <f>IF(D236="","",((VLOOKUP(D236,'DB technologies'!$N$109:$Y$120,2,FALSE)*VLOOKUP($C$233,'DB animal categories'!$C$81:$AC$90,27,FALSE)*E236/1000)/VLOOKUP($C$233,'DB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'!$S$6/100*(1-VLOOKUP(D236,'DB technologies'!$N$109:$Y$120,9,FALSE)/100)))</f>
        <v/>
      </c>
      <c r="J236" s="434" t="str">
        <f>IF(D236="","",((VLOOKUP(D236,'DB technologies'!$N$109:$Y$120,3,FALSE)*VLOOKUP($C$233,'DB animal categories'!$C$81:$AC$90,27,FALSE)*E236/1000)/VLOOKUP($C$233,'DB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'!$S$7/100*(1-VLOOKUP(D236,'DB technologies'!$N$109:$Y$120,9,FALSE)/100)))</f>
        <v/>
      </c>
      <c r="K236" s="434" t="str">
        <f>IF(D236="","",((VLOOKUP(D236,'DB technologies'!$N$109:$Y$120,4,FALSE)*E236*'DB additional information '!$S$8/100*(1-VLOOKUP(D236,'DB technologies'!$N$109:$Y$120,9,FALSE)/100))/VLOOKUP($C$233,'DB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L236" s="423" t="str">
        <f>IF('Calc (ex-animal)'!$F$38=1,"",IF(D236="","",(((VLOOKUP($C$233,'Calc (ex-animal)'!$D$43:$Y$47,6,FALSE)-VLOOKUP($C$233,'Calc (ex-animal)'!$D$43:$Y$47,17,FALSE))*F236/100))*(1-VLOOKUP($C$233,'Calc (ex-animal)'!$D$43:$Y$47,7,FALSE)/100)*(1-VLOOKUP(D236,'DB technologies'!$N$109:$V$120,8,FALSE)/100)))</f>
        <v/>
      </c>
      <c r="M236" s="434" t="str">
        <f>IF(D236="","",((VLOOKUP(D236,'DB technologies'!$N$109:$Y$120,2,FALSE)*VLOOKUP($C$233,'DB animal categories'!$C$81:$AC$90,27,FALSE)*E236/1000)/VLOOKUP($C$233,'DB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'!$S$6/100)*(1-VLOOKUP(D236,'DB technologies'!$N$109:$Y$120,9,FALSE)/100))</f>
        <v/>
      </c>
      <c r="N236" s="434" t="str">
        <f>IF(D236="","",((VLOOKUP(D236,'DB technologies'!$N$109:$Y$120,3,FALSE)*VLOOKUP($C$233,'DB animal categories'!$C$81:$AC$90,27,FALSE)*E236/1000)/VLOOKUP($C$233,'DB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'!$S$7/100)*(1-VLOOKUP(D236,'DB technologies'!$N$109:$Y$120,9,FALSE)/100))</f>
        <v/>
      </c>
      <c r="O236" s="423" t="str">
        <f>IF(D236="","",((VLOOKUP(D236,'DB technologies'!$N$109:$Y$120,4,FALSE)*E236*(1-'DB additional information '!$S$8/100)*(1-VLOOKUP(D236,'DB technologies'!$N$109:$Y$120,8,FALSE)/100))/VLOOKUP($C$233,'DB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P236" s="438" t="str">
        <f>IF(G236=0,0,IF(E236="","",IF(F236="","",IF($C$233=0,"",IF(D236="","",SUM(H236:K236)/G236*100)))))</f>
        <v/>
      </c>
      <c r="Q236" s="416" t="str">
        <f>IF(D236="","",(VLOOKUP(D236,'DB technologies'!$N$109:$Y$120,2,FALSE)*'DB additional information '!$S$6/100*'DB additional information '!$T$6*VLOOKUP($C$233,'DB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R236" s="416" t="str">
        <f>IF(D236="","",(VLOOKUP(D236,'DB technologies'!$N$109:$Y$120,3,FALSE)*'DB additional information '!$S$7/100*'DB additional information '!$T$7*VLOOKUP($C$233,'DB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S236" s="491" t="str">
        <f>IF(D236="","",(VLOOKUP(D236,'DB technologies'!$N$109:$Y$120,4,FALSE)*('DB additional information '!$S$8/100*'DB additional information '!$T$8*E236/1000/1000)))</f>
        <v/>
      </c>
      <c r="T236" s="264" t="str">
        <f>IF($C$233=0,"",IF('Calc (ex-animal)'!$F$38=1,"",IF(D236="","",((VLOOKUP($C$233,'Calc (ex-animal)'!$D$43:$Y$47,10,FALSE)-VLOOKUP($C$233,'Calc (ex-animal)'!$D$43:$Y$47,18,FALSE))*F236/100+Q236+R236+S236)-AC236-AD236-AE236)))</f>
        <v/>
      </c>
      <c r="U236" s="422" t="str">
        <f>IF(D236="","",(VLOOKUP(D236,'DB technologies'!$N$109:$Y$120,2,FALSE)*'DB additional information '!$S$6/100*'DB additional information '!$U$6*VLOOKUP($C$233,'DB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V236" s="418" t="str">
        <f>IF(D236="","",(VLOOKUP(D236,'DB technologies'!$N$109:$Y$120,3,FALSE)*'DB additional information '!$S$7/100*'DB additional information '!$U$7*VLOOKUP($C$233,'DB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W236" s="417" t="str">
        <f>IF(D236="","",(VLOOKUP(D236,'DB technologies'!$N$109:$Y$120,4,FALSE)*('DB additional information '!$S$8/100*'DB additional information '!$U$8*E236/1000/1000)))</f>
        <v/>
      </c>
      <c r="X236" s="261" t="str">
        <f>IF($C$233=0,"",IF('Calc (ex-animal)'!$F$38=1,"",IF(D236="","",((VLOOKUP($C$233,'Calc (ex-animal)'!$D$43:$Y$47,13,FALSE)-VLOOKUP($C$233,'Calc (ex-animal)'!$D$43:$Y$47,19,FALSE))*F236/100+U236+V236+W236))))</f>
        <v/>
      </c>
      <c r="Y236" s="418" t="str">
        <f>IF(D236="","",(VLOOKUP(D236,'DB technologies'!$N$109:$Y$120,2,FALSE)*'DB additional information '!$S$6/100*'DB additional information '!$V$6*VLOOKUP($C$233,'DB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Z236" s="418" t="str">
        <f>IF(D236="","",(VLOOKUP(D236,'DB technologies'!$N$109:$Y$120,3,FALSE)*'DB additional information '!$S$7/100*'DB additional information '!$V$7*VLOOKUP($C$233,'DB animal categories'!$C$81:$AC$90,27,FALSE)*E236/1000/1000)/VLOOKUP($C$233,'DB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AA236" s="418" t="str">
        <f>IF(D236="","",(VLOOKUP(D236,'DB technologies'!$N$109:$Y$120,4,FALSE)*('DB additional information '!$S$8/100*'DB additional information '!$V$8*E236/1000/1000)))</f>
        <v/>
      </c>
      <c r="AB236" s="261" t="str">
        <f>IF($C$233=0,"",IF('Calc (ex-animal)'!$F$38=1,"",IF(D236="","",((VLOOKUP($C$233,'Calc (ex-animal)'!$D$43:$Y$47,16,FALSE)-VLOOKUP($C$233,'Calc (ex-animal)'!$D$43:$Y$47,20,FALSE))*F236/100+Y236+Z236+AA236))))</f>
        <v/>
      </c>
      <c r="AC236" s="261" t="str">
        <f>IF($C$233=0,"",IF('Calc (ex-animal)'!$F$38=1,"",IF(D236="","",VLOOKUP($C$233,'Calc (ex-animal)'!$D$43:$Y$47,9,FALSE)/VLOOKUP($C$233,'DB animal categories'!$C$81:$AC$90,27,FALSE)*(VLOOKUP($C$233,'DB animal categories'!$C$81:$AC$90,27,FALSE)-VLOOKUP($C$233,'DB animal categories'!$C$81:$AC$90,25,FALSE)*VLOOKUP($C$233,'DB animal categories'!$C$81:$AC$90,26,FALSE)/24)*F236/100*VLOOKUP(D236,'DB technologies'!$N$109:$R$120,5,FALSE)/100)))</f>
        <v/>
      </c>
      <c r="AD236" s="261" t="str">
        <f>IF($C$233=0,"",IF('Calc (ex-animal)'!$F$38=1,"",IF(D236="","",VLOOKUP($C$233,'Calc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categories'!$C$81:$AC$90,26,FALSE)/24)*F236/100*VLOOKUP(D236,'DB technologies'!$N$109:$Y$120,6,FALSE)/100)))</f>
        <v/>
      </c>
      <c r="AE236" s="262" t="str">
        <f>IF($C$233=0,"",IF('Calc (ex-animal)'!$F$38=1,"",IF(D236="","",VLOOKUP($C$233,'Calc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categories'!$C$81:$AC$90,26,FALSE)/24)*F236/100*VLOOKUP(D236,'DB technologies'!$N$109:$Y$120,7,FALSE)/100)))</f>
        <v/>
      </c>
      <c r="AI236" s="181" t="str">
        <f>IF(D236="","",VLOOKUP(D236,'DB technologies'!$N$109:$Y$120,10,FALSE))</f>
        <v/>
      </c>
      <c r="AJ236" s="449" t="e">
        <f>VLOOKUP($C$233,'DB animal categories'!$C$81:$AN$90,27,FALSE)-VLOOKUP($C$233,'DB animal categories'!$C$81:$AN$90,26,FALSE)*VLOOKUP($C$233,'DB animal categories'!$C$81:$AN$90,25,FALSE)/24</f>
        <v>#N/A</v>
      </c>
      <c r="AK236" s="442" t="str">
        <f>IF(AI236="","",AL236+AM236)</f>
        <v/>
      </c>
      <c r="AL236" s="442" t="str">
        <f>IF(D236="","",IF(AI236=2,(('Calc (ex-animal)'!$G$46*'DB additional information '!$K$10/100*(1-VLOOKUP(D236,'DB technologies'!$N$109:$Y$120,9,FALSE)/100)*'Calc (ex-housing, ex-storage)'!F236/100+'Calc (ex-animal)'!$H$46*'DB additional information '!$L$10/100*(1-VLOOKUP(D236,'DB technologies'!$N$109:$Y$120,9,FALSE)/100)*'Calc (ex-housing, ex-storage)'!F236/100))/VLOOKUP($C$233,'DB animal categories'!$C$81:$AC$90,27,FALSE)*AJ236+I236+J236+K236,IF(AI236=1,('Calc (ex-animal)'!$H$46*'DB additional information '!$L$10/100*(1-VLOOKUP(D236,'DB technologies'!$N$109:$Y$120,9,FALSE)/100)*'Calc (ex-housing, ex-storage)'!F236/100)/VLOOKUP($C$233,'DB animal categories'!$C$81:$AC$90,27,FALSE)*AJ236,IF(AI236=4,('Calc (ex-animal)'!$G$46*'DB additional information '!$K$10/100+'Calc (ex-animal)'!$H$46*'DB additional information '!$L$10/100)*(1-VLOOKUP(D236,'DB technologies'!$N$109:$Y$120,9,FALSE)/100)*'Calc (ex-housing, ex-storage)'!F236/100*VLOOKUP(D236,'DB technologies'!$N$109:$Y$120,11,FALSE)/100/VLOOKUP($C$233,'DB animal categories'!$C$81:$AC$90,27,FALSE)*AJ236,0))))</f>
        <v/>
      </c>
      <c r="AM236" s="442" t="str">
        <f>IF(D236="","",IF(AI236=2,(('Calc (ex-animal)'!$G$46*(1-'DB additional information '!$K$10/100)*(1-VLOOKUP(D236,'DB technologies'!$N$109:$Y$120,8,FALSE)/100)*'Calc (ex-housing, ex-storage)'!F236/100+'Calc (ex-animal)'!$H$46*(1-'DB additional information '!$L$10/100)*(1-VLOOKUP(D236,'DB technologies'!$N$109:$Y$120,8,FALSE)/100)*'Calc (ex-housing, ex-storage)'!F236/100))/VLOOKUP($C$233,'DB animal categories'!$C$81:$AC$90,27,FALSE)*AJ236+M236+N236+O236,IF(AI236=1,('Calc (ex-animal)'!$H$46*(1-'DB additional information '!$L$10/100)*(1-VLOOKUP(D236,'DB technologies'!$N$109:$Y$120,8,FALSE)/100)*'Calc (ex-housing, ex-storage)'!F236/100)/VLOOKUP($C$233,'DB animal categories'!$C$81:$AC$90,27,FALSE)*AJ236,IF(AI236=4,('Calc (ex-animal)'!$G$46*(1-'DB additional information '!$K$10/100)+'Calc (ex-animal)'!$H$46*(1-'DB additional information '!$L$10/100))*(1-VLOOKUP(D236,'DB technologies'!$N$109:$Y$120,8,FALSE)/100)*'Calc (ex-housing, ex-storage)'!F236/100*VLOOKUP(D236,'DB technologies'!$N$109:$Y$120,11,FALSE)/100/VLOOKUP($C$233,'DB animal categories'!$C$81:$AC$90,27,FALSE)*AJ236,0))))</f>
        <v/>
      </c>
      <c r="AN236" s="442" t="str">
        <f>IF(AI236="","",IF(AL236=0,0,AL236/AK236*100))</f>
        <v/>
      </c>
      <c r="AO236" s="182" t="str">
        <f>IF(D236="","",IF(AI236=2,(('Calc (ex-animal)'!$L$46*'Calc (ex-housing, ex-storage)'!F236/100+'Calc (ex-animal)'!$K$46*'Calc (ex-housing, ex-storage)'!F236/100))/VLOOKUP($C$233,'DB animal categories'!$C$81:$AC$90,27,FALSE)*AJ236+Q236+R236+S236-AC236,IF(AI236=1,('Calc (ex-animal)'!$L$46*'Calc (ex-housing, ex-storage)'!F236/100)/VLOOKUP($C$233,'DB animal categories'!$C$81:$AC$90,27,FALSE)*AJ236-'Calc (ex-housing, ex-storage)'!AC236,IF(AI236=4,('Calc (ex-animal)'!$L$46+'Calc (ex-animal)'!$K$46)*'Calc (ex-housing, ex-storage)'!F236/100*VLOOKUP(D236,'DB technologies'!$N$109:$Y$120,11,FALSE)/100/VLOOKUP($C$233,'DB animal categories'!$C$81:$AC$90,27,FALSE)*AJ236-AC236*VLOOKUP(D236,'DB technologies'!$N$109:$Y$120,11,FALSE)/100,0))))</f>
        <v/>
      </c>
      <c r="AP236" s="182" t="str">
        <f>IF(D236="","",IF(AO236&lt;-0.01,0,IF(AI236=2,(('Calc (ex-animal)'!$L$46*'Calc (ex-housing, ex-storage)'!F236/100+'Calc (ex-animal)'!$K$46*'Calc (ex-housing, ex-storage)'!F236/100))/VLOOKUP($C$233,'DB animal categories'!$C$81:$AC$90,27,FALSE)*AJ236+Q236+R236+S236-AC236,IF(AI236=1,('Calc (ex-animal)'!$L$46*'Calc (ex-housing, ex-storage)'!F236/100)/VLOOKUP($C$233,'DB animal categories'!$C$81:$AC$90,27,FALSE)*AJ236-'Calc (ex-housing, ex-storage)'!AC236,IF(AI236=4,('Calc (ex-animal)'!$L$46+'Calc (ex-animal)'!$K$46)*'Calc (ex-housing, ex-storage)'!F236/100*VLOOKUP(D236,'DB technologies'!$N$109:$Y$120,11,FALSE)/100/VLOOKUP($C$233,'DB animal categories'!$C$81:$AC$90,27,FALSE)*AJ236-AC236*VLOOKUP(D236,'DB technologies'!$N$109:$Y$120,11,FALSE)/100,0)))))</f>
        <v/>
      </c>
      <c r="AQ236" s="182" t="str">
        <f>IF(D236="","",IF(AI236=2,('Calc (ex-animal)'!$O$46*'Calc (ex-housing, ex-storage)'!F236/100+'Calc (ex-animal)'!$N$46*'Calc (ex-housing, ex-storage)'!F236/100)/VLOOKUP($C$233,'DB animal categories'!$C$81:$AC$90,27,FALSE)*AJ236+U236+V236+W236,IF(AI236=1,'Calc (ex-animal)'!$O$46*'Calc (ex-housing, ex-storage)'!F236/100/VLOOKUP($C$233,'DB animal categories'!$C$81:$AC$90,27,FALSE)*AJ236,IF(AI236=4,('Calc (ex-animal)'!$O$46+'Calc (ex-animal)'!$N$46)*'Calc (ex-housing, ex-storage)'!F236/100*VLOOKUP(D236,'DB technologies'!$N$109:$Y$120,11,FALSE)/100/VLOOKUP($C$233,'DB animal categories'!$C$81:$AC$90,27,FALSE)*AJ236,0))))</f>
        <v/>
      </c>
      <c r="AR236" s="182" t="str">
        <f>IF(D236="","",IF(AI236=2,('Calc (ex-animal)'!$R$46*'Calc (ex-housing, ex-storage)'!F236/100+'Calc (ex-animal)'!$Q$46*'Calc (ex-housing, ex-storage)'!F236/100)/VLOOKUP($C$233,'DB animal categories'!$C$81:$AC$90,27,FALSE)*AJ236+Y236+Z236+AA236,IF(AI236=1,'Calc (ex-animal)'!$R$46*'Calc (ex-housing, ex-storage)'!F236/100/VLOOKUP($C$233,'DB animal categories'!$C$81:$AC$90,27,FALSE)*AJ236,IF(AI236=4,('Calc (ex-animal)'!$R$46+'Calc (ex-animal)'!$Q$46)*'Calc (ex-housing, ex-storage)'!F236/100*VLOOKUP(D236,'DB technologies'!$N$109:$Y$120,11,FALSE)/100/VLOOKUP($C$233,'DB animal categories'!$C$81:$AC$90,27,FALSE)*AJ236,0))))</f>
        <v/>
      </c>
      <c r="AS236" s="181" t="str">
        <f>IF(D236="","",VLOOKUP(D236,'DB technologies'!$N$109:$Y$120,10,FALSE))</f>
        <v/>
      </c>
      <c r="AT236" s="442" t="str">
        <f>IF(AS236="","",AU236+AV236)</f>
        <v/>
      </c>
      <c r="AU236" s="442" t="str">
        <f>IF(D236="","",IF(AS236=2,0,IF(AS236=1,'Calc (ex-animal)'!$G$46*'DB additional information '!$K$10/100*(1-VLOOKUP(D236,'DB technologies'!$N$109:$Y$120,8,FALSE)/100)*'Calc (ex-housing, ex-storage)'!F236/100/VLOOKUP($C$233,'DB animal categories'!$C$81:$AC$90,27,FALSE)*AJ236+I236+J236+K236,IF(AS236=5,(('Calc (ex-animal)'!$G$46*'DB additional information '!$K$10/100+'Calc (ex-animal)'!$H$46*'DB additional information '!$L$10/100))*(1-VLOOKUP(D236,'DB technologies'!$N$109:$Y$120,9,FALSE)/100)*'Calc (ex-housing, ex-storage)'!F236/100/VLOOKUP($C$233,'DB animal categories'!$C$81:$AC$90,27,FALSE)*AJ236+I236+J236+K236,IF(AS236=3,('Calc (ex-animal)'!$G$46*'DB additional information '!$K$10/100+'Calc (ex-animal)'!$H$46*'DB additional information '!$L$10/100)*(1-VLOOKUP(D236,'DB technologies'!$N$109:$Y$120,9,FALSE)/100)*'Calc (ex-housing, ex-storage)'!F236/100/VLOOKUP($C$233,'DB animal categories'!$C$81:$AC$90,27,FALSE)*AJ236+I236+J236+K236,IF(AS236=4,('Calc (ex-animal)'!$G$46*'DB additional information '!$K$10/100+'Calc (ex-animal)'!$H$46*'DB additional information '!$L$10/100)*(1-VLOOKUP(D236,'DB technologies'!$N$109:$Y$120,9,FALSE)/100)*'Calc (ex-housing, ex-storage)'!F236/100*VLOOKUP(D236,'DB technologies'!$N$109:$Y$120,12,FALSE)/100/VLOOKUP($C$233,'DB animal categories'!$C$81:$AC$90,27,FALSE)*AJ236+I236+J236+K236,0))))))</f>
        <v/>
      </c>
      <c r="AV236" s="442" t="str">
        <f>IF(D236="","",IF(AS236=2,0,IF(AS236=1,'Calc (ex-animal)'!$G$46*(1-'DB additional information '!$K$10/100)*(1-VLOOKUP(D236,'DB technologies'!$N$109:$Y$120,8,FALSE)/100)*'Calc (ex-housing, ex-storage)'!F236/100/VLOOKUP($C$233,'DB animal categories'!$C$81:$AC$90,27,FALSE)*AJ236+M236+N236+O236,IF(AS236=5,('Calc (ex-animal)'!$G$46*(1-'DB additional information '!$K$10/100)+'Calc (ex-animal)'!$H$46*(1-'DB additional information '!$L$10/100))*(1-VLOOKUP(D236,'DB technologies'!$N$109:$Y$120,8,FALSE)/100)*'Calc (ex-housing, ex-storage)'!F236/100/VLOOKUP($C$233,'DB animal categories'!$C$81:$AC$90,27,FALSE)*AJ236+M236+N236+O236,IF(AS236=3,('Calc (ex-animal)'!$G$46*(1-'DB additional information '!$K$10/100)+'Calc (ex-animal)'!$H$46*(1-'DB additional information '!$L$10/100))*(1-VLOOKUP(D236,'DB technologies'!$N$109:$Y$120,8,FALSE)/100)*'Calc (ex-housing, ex-storage)'!F236/100/VLOOKUP($C$233,'DB animal categories'!$C$81:$AC$90,27,FALSE)*AJ236+M236+N236+O236,IF(AS236=4,('Calc (ex-animal)'!$G$46*(1-'DB additional information '!$K$10/100)+'Calc (ex-animal)'!$H$46*(1-'DB additional information '!$L$10/100))*(1-VLOOKUP(D236,'DB technologies'!$N$109:$Y$120,8,FALSE)/100)*'Calc (ex-housing, ex-storage)'!F236/100*VLOOKUP(D236,'DB technologies'!$N$109:$Y$120,12,FALSE)/100/VLOOKUP($C$233,'DB animal categories'!$C$81:$AC$90,27,FALSE)*AJ236+M236+N236+O236,0))))))</f>
        <v/>
      </c>
      <c r="AW236" s="442" t="str">
        <f>IF(AS236="","",IF(AU236=0,0,AU236/AT236*100))</f>
        <v/>
      </c>
      <c r="AX236" s="182" t="str">
        <f>IF(D236="","",IF(AS236=2,0,IF(AS236=1,'Calc (ex-animal)'!$K$46*'Calc (ex-housing, ex-storage)'!F236/100/VLOOKUP($C$233,'DB animal categories'!$C$81:$AC$90,27,FALSE)*AJ236+Q236+R236+S236,IF(AS236=5,('Calc (ex-animal)'!$K$46+'Calc (ex-animal)'!$L$46)*'Calc (ex-housing, ex-storage)'!F236/100/VLOOKUP($C$233,'DB animal categories'!$C$81:$AC$90,27,FALSE)*AJ236+Q236+R236+S236-'Calc (ex-housing, ex-storage)'!AC236,IF(AS236=3,('Calc (ex-animal)'!$K$46+'Calc (ex-animal)'!$L$46)*'Calc (ex-housing, ex-storage)'!F236/100/VLOOKUP($C$233,'DB animal categories'!$C$81:$AC$90,27,FALSE)*AJ236+Q236+R236+S236-'Calc (ex-housing, ex-storage)'!AC236-AD236-AE236,IF(AI236=4,('Calc (ex-animal)'!$K$46+'Calc (ex-animal)'!$L$46)*'Calc (ex-housing, ex-storage)'!F236/100*VLOOKUP(D236,'DB technologies'!$N$109:$Y$120,12,FALSE)/100/VLOOKUP($C$233,'DB animal categories'!$C$81:$AC$90,27,FALSE)*AJ236+Q236+R236+S236-(VLOOKUP(D236,'DB technologies'!$N$109:$Y$120,12,FALSE)/100*AC236)-AD236-AE236,0))))))</f>
        <v/>
      </c>
      <c r="AY236" s="182" t="str">
        <f>IF(D236="","",IF(AS236=2,0,IF(AS236=1,'Calc (ex-animal)'!$N$46*'Calc (ex-housing, ex-storage)'!F236/100/VLOOKUP($C$233,'DB animal categories'!$C$81:$AC$90,27,FALSE)*AJ236+U236+V236+W236,IF(AS236=5,('Calc (ex-animal)'!$N$46+'Calc (ex-animal)'!$O$46)*'Calc (ex-housing, ex-storage)'!F236/100/VLOOKUP($C$233,'DB animal categories'!$C$81:$AC$90,27,FALSE)*AJ236+U236+V236+W236,IF(AS236=3,('Calc (ex-animal)'!$N$46+'Calc (ex-animal)'!$O$46)*'Calc (ex-housing, ex-storage)'!F236/100/VLOOKUP($C$233,'DB animal categories'!$C$81:$AC$90,27,FALSE)*AJ236+U236+V236+W236,IF(AS236=4,('Calc (ex-animal)'!$N$46+'Calc (ex-animal)'!$O$46)*'Calc (ex-housing, ex-storage)'!F236/100*VLOOKUP(D236,'DB technologies'!$N$109:$Y$120,12,FALSE)/100/VLOOKUP($C$233,'DB animal categories'!$C$81:$AC$90,27,FALSE)*AJ236+U236+V236+W236,0))))))</f>
        <v/>
      </c>
      <c r="AZ236" s="182" t="str">
        <f>IF(D236="","",IF(AS236=2,0,IF(AS236=1,'Calc (ex-animal)'!$Q$46*'Calc (ex-housing, ex-storage)'!F236/100/VLOOKUP($C$233,'DB animal categories'!$C$81:$AC$90,27,FALSE)*AJ236+Y236+Z236+AA236,IF(AS236=5,('Calc (ex-animal)'!$Q$46+'Calc (ex-animal)'!$R$46)*'Calc (ex-housing, ex-storage)'!F236/100/VLOOKUP($C$233,'DB animal categories'!$C$81:$AC$90,27,FALSE)*AJ236+Y236+Z236+AA236,IF(AS236=3,('Calc (ex-animal)'!$Q$46+'Calc (ex-animal)'!$R$46)*'Calc (ex-housing, ex-storage)'!F236/100/VLOOKUP($C$233,'DB animal categories'!$C$81:$AC$90,27,FALSE)*AJ236+Y236+Z236+AA236,IF(AS236=4,('Calc (ex-animal)'!$Q$46+'Calc (ex-animal)'!$R$46)*'Calc (ex-housing, ex-storage)'!F236/100*VLOOKUP(D236,'DB technologies'!$N$109:$Y$120,12,FALSE)/100/VLOOKUP($C$233,'DB animal categories'!$C$81:$AC$90,27,FALSE)*AJ236+Y236+Z236+AA236,0))))))</f>
        <v/>
      </c>
      <c r="BA236" s="506"/>
      <c r="BB236" s="506"/>
      <c r="BC236" s="506"/>
    </row>
    <row r="237" spans="1:55" ht="12" thickBot="1" x14ac:dyDescent="0.25">
      <c r="A237" s="684"/>
      <c r="B237" s="695"/>
      <c r="C237" s="251"/>
      <c r="D237" s="1398"/>
      <c r="E237" s="1360"/>
      <c r="F237" s="481" t="str">
        <f>IF('Calc (ex-animal)'!$F$38=1,"",IF($C$233=0,"",IF(D237="","",E237/'Calc (ex-animal)'!$E$46*100)))</f>
        <v/>
      </c>
      <c r="G237" s="483" t="str">
        <f>IF($C$233=0,"",IF('Calc (ex-animal)'!$F$38=1,"",IF(D237="","",SUM(H237:O237))))</f>
        <v/>
      </c>
      <c r="H237" s="445" t="str">
        <f>IF('Calc (ex-animal)'!$F$38=1,"",IF(D237="","",(((VLOOKUP($C$233,'Calc (ex-animal)'!$D$43:$Y$47,6,FALSE)-VLOOKUP($C$233,'Calc (ex-animal)'!$D$43:$Y$47,17,FALSE))*F237/100))*VLOOKUP($C$233,'Calc (ex-animal)'!$D$43:$Y$47,7,FALSE)/100*(1-VLOOKUP(D237,'DB technologies'!$N$109:$Y$120,9,FALSE)/100)))</f>
        <v/>
      </c>
      <c r="I237" s="445" t="str">
        <f>IF(D237="","",((VLOOKUP(D237,'DB technologies'!$N$109:$Y$120,2,FALSE)*VLOOKUP($C$233,'DB animal categories'!$C$81:$AC$90,27,FALSE)*E237/1000)/VLOOKUP($C$233,'DB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'!$S$6/100*(1-VLOOKUP(D237,'DB technologies'!$N$109:$Y$120,9,FALSE)/100)))</f>
        <v/>
      </c>
      <c r="J237" s="446" t="str">
        <f>IF(D237="","",((VLOOKUP(D237,'DB technologies'!$N$109:$Y$120,3,FALSE)*VLOOKUP($C$233,'DB animal categories'!$C$81:$AC$90,27,FALSE)*E237/1000)/VLOOKUP($C$233,'DB animal categories'!$C$81:$AC$90,27,FALSE)*(VLOOKUP($C$233,'DB animal categories'!$C$81:$AC$90,27,FALSE)-(VLOOKUP($C$233,'DB animal categories'!$C$81:$AC$90,25,FALSE)*VLOOKUP($C$233,'DB animal categories'!$C$81:$AC$90,26,FALSE)/24))*'DB additional information '!$S$7/100*(1-VLOOKUP(D237,'DB technologies'!$N$109:$Y$120,9,FALSE)/100)))</f>
        <v/>
      </c>
      <c r="K237" s="446" t="str">
        <f>IF(D237="","",((VLOOKUP(D237,'DB technologies'!$N$109:$Y$120,4,FALSE)*E237*'DB additional information '!$S$8/100*(1-VLOOKUP(D237,'DB technologies'!$N$109:$Y$120,9,FALSE)/100))/VLOOKUP($C$233,'DB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L237" s="445" t="str">
        <f>IF('Calc (ex-animal)'!$F$38=1,"",IF(D237="","",(((VLOOKUP($C$233,'Calc (ex-animal)'!$D$43:$Y$47,6,FALSE)-VLOOKUP($C$233,'Calc (ex-animal)'!$D$43:$Y$47,17,FALSE))*F237/100))*(1-VLOOKUP($C$233,'Calc (ex-animal)'!$D$43:$Y$47,7,FALSE)/100)*(1-VLOOKUP(D237,'DB technologies'!$N$109:$V$120,8,FALSE)/100)))</f>
        <v/>
      </c>
      <c r="M237" s="446" t="str">
        <f>IF(D237="","",((VLOOKUP(D237,'DB technologies'!$N$109:$Y$120,2,FALSE)*VLOOKUP($C$233,'DB animal categories'!$C$81:$AC$90,27,FALSE)*E237/1000)/VLOOKUP($C$233,'DB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'!$S$6/100)*(1-VLOOKUP(D237,'DB technologies'!$N$109:$Y$120,9,FALSE)/100))</f>
        <v/>
      </c>
      <c r="N237" s="446" t="str">
        <f>IF(D237="","",((VLOOKUP(D237,'DB technologies'!$N$109:$Y$120,3,FALSE)*VLOOKUP($C$233,'DB animal categories'!$C$81:$AC$90,27,FALSE)*E237/1000)/VLOOKUP($C$233,'DB animal categories'!$C$81:$AC$90,27,FALSE)*(VLOOKUP($C$233,'DB animal categories'!$C$81:$AC$90,27,FALSE)-VLOOKUP($C$233,'DB animal categories'!$C$81:$AC$90,25,FALSE)*VLOOKUP($C$233,'DB animal categories'!$C$81:$AC$90,26,FALSE)/24))*(1-'DB additional information '!$S$7/100)*(1-VLOOKUP(D237,'DB technologies'!$N$109:$Y$120,9,FALSE)/100))</f>
        <v/>
      </c>
      <c r="O237" s="445" t="str">
        <f>IF(D237="","",((VLOOKUP(D237,'DB technologies'!$N$109:$Y$120,4,FALSE)*E237*(1-'DB additional information '!$S$8/100)*(1-VLOOKUP(D237,'DB technologies'!$N$109:$Y$120,8,FALSE)/100))/VLOOKUP($C$233,'DB animal categories'!$C$81:$AC$90,27,FALSE)*(VLOOKUP($C$233,'DB animal categories'!$C$81:$AC$90,27,FALSE)-VLOOKUP($C$233,'DB animal categories'!$C$81:$AC$90,25,FALSE)*VLOOKUP($C$233,'DB animal categories'!$C$81:$AC$90,26,FALSE)/24)))</f>
        <v/>
      </c>
      <c r="P237" s="444" t="str">
        <f>IF(G237=0,0,IF(E237="","",IF(F237="","",IF($C$233=0,"",IF(D237="","",SUM(H237:K237)/G237*100)))))</f>
        <v/>
      </c>
      <c r="Q237" s="476" t="str">
        <f>IF(D237="","",(VLOOKUP(D237,'DB technologies'!$N$109:$Y$120,2,FALSE)*'DB additional information '!$S$6/100*'DB additional information '!$T$6*VLOOKUP($C$233,'DB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R237" s="476" t="str">
        <f>IF(D237="","",(VLOOKUP(D237,'DB technologies'!$N$109:$Y$120,3,FALSE)*'DB additional information '!$S$7/100*'DB additional information '!$T$7*VLOOKUP($C$233,'DB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S237" s="494" t="str">
        <f>IF(D237="","",(VLOOKUP(D237,'DB technologies'!$N$109:$Y$120,4,FALSE)*('DB additional information '!$S$8/100*'DB additional information '!$T$8*E237/1000/1000)))</f>
        <v/>
      </c>
      <c r="T237" s="266" t="str">
        <f>IF($C$233=0,"",IF('Calc (ex-animal)'!$F$38=1,"",IF(D237="","",((VLOOKUP($C$233,'Calc (ex-animal)'!$D$43:$Y$47,10,FALSE)-VLOOKUP($C$233,'Calc (ex-animal)'!$D$43:$Y$47,18,FALSE))*F237/100+Q237+R237+S237)-AC237-AD237-AE237)))</f>
        <v/>
      </c>
      <c r="U237" s="477" t="str">
        <f>IF(D237="","",(VLOOKUP(D237,'DB technologies'!$N$109:$Y$120,2,FALSE)*'DB additional information '!$S$6/100*'DB additional information '!$U$6*VLOOKUP($C$233,'DB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V237" s="433" t="str">
        <f>IF(D237="","",(VLOOKUP(D237,'DB technologies'!$N$109:$Y$120,3,FALSE)*'DB additional information '!$S$7/100*'DB additional information '!$U$7*VLOOKUP($C$233,'DB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W237" s="475" t="str">
        <f>IF(D237="","",(VLOOKUP(D237,'DB technologies'!$N$109:$Y$120,4,FALSE)*('DB additional information '!$S$8/100*'DB additional information '!$U$8*E237/1000/1000)))</f>
        <v/>
      </c>
      <c r="X237" s="267" t="str">
        <f>IF($C$233=0,"",IF('Calc (ex-animal)'!$F$38=1,"",IF(D237="","",((VLOOKUP($C$233,'Calc (ex-animal)'!$D$43:$Y$47,13,FALSE)-VLOOKUP($C$233,'Calc (ex-animal)'!$D$43:$Y$47,19,FALSE))*F237/100+U237+V237+W237))))</f>
        <v/>
      </c>
      <c r="Y237" s="433" t="str">
        <f>IF(D237="","",(VLOOKUP(D237,'DB technologies'!$N$109:$Y$120,2,FALSE)*'DB additional information '!$S$6/100*'DB additional information '!$V$6*VLOOKUP($C$233,'DB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Z237" s="433" t="str">
        <f>IF(D237="","",(VLOOKUP(D237,'DB technologies'!$N$109:$Y$120,3,FALSE)*'DB additional information '!$S$7/100*'DB additional information '!$V$7*VLOOKUP($C$233,'DB animal categories'!$C$81:$AC$90,27,FALSE)*E237/1000/1000)/VLOOKUP($C$233,'DB animal categories'!$C$81:$AC$90,27,FALSE)*(VLOOKUP($C$233,'DB animal categories'!$C$81:$AC$90,27,FALSE)-VLOOKUP($C$233,'DB animal categories'!$C$81:$AC$90,25,FALSE)*VLOOKUP($C$233,'DB animal categories'!$C$81:$AC$90,26,FALSE)/24))</f>
        <v/>
      </c>
      <c r="AA237" s="433" t="str">
        <f>IF(D237="","",(VLOOKUP(D237,'DB technologies'!$N$109:$Y$120,4,FALSE)*('DB additional information '!$S$8/100*'DB additional information '!$V$8*E237/1000/1000)))</f>
        <v/>
      </c>
      <c r="AB237" s="267" t="str">
        <f>IF($C$233=0,"",IF('Calc (ex-animal)'!$F$38=1,"",IF(D237="","",((VLOOKUP($C$233,'Calc (ex-animal)'!$D$43:$Y$47,16,FALSE)-VLOOKUP($C$233,'Calc (ex-animal)'!$D$43:$Y$47,20,FALSE))*F237/100+Y237+Z237+AA237))))</f>
        <v/>
      </c>
      <c r="AC237" s="267" t="str">
        <f>IF($C$233=0,"",IF('Calc (ex-animal)'!$F$38=1,"",IF(D237="","",VLOOKUP($C$233,'Calc (ex-animal)'!$D$43:$Y$47,9,FALSE)/VLOOKUP($C$233,'DB animal categories'!$C$81:$AC$90,27,FALSE)*(VLOOKUP($C$233,'DB animal categories'!$C$81:$AC$90,27,FALSE)-VLOOKUP($C$233,'DB animal categories'!$C$81:$AC$90,25,FALSE)*VLOOKUP($C$233,'DB animal categories'!$C$81:$AC$90,26,FALSE)/24)*F237/100*VLOOKUP(D237,'DB technologies'!$N$109:$R$120,5,FALSE)/100)))</f>
        <v/>
      </c>
      <c r="AD237" s="267" t="str">
        <f>IF($C$233=0,"",IF('Calc (ex-animal)'!$F$38=1,"",IF(D237="","",VLOOKUP($C$233,'Calc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categories'!$C$81:$AC$90,26,FALSE)/24)*F237/100*VLOOKUP(D237,'DB technologies'!$N$109:$Y$120,6,FALSE)/100)))</f>
        <v/>
      </c>
      <c r="AE237" s="268" t="str">
        <f>IF($C$233=0,"",IF('Calc (ex-animal)'!$F$38=1,"",IF(D237="","",VLOOKUP($C$233,'Calc (ex-animal)'!$D$43:$Y$47,10,FALSE)/VLOOKUP($C$233,'DB animal categories'!$C$81:$AC$90,27,FALSE)*(VLOOKUP($C$233,'DB animal categories'!$C$81:$AC$90,27,FALSE)-VLOOKUP($C$233,'DB animal categories'!$C$81:$AC$90,25,FALSE)*VLOOKUP($C$233,'DB animal categories'!$C$81:$AC$90,26,FALSE)/24)*F237/100*VLOOKUP(D237,'DB technologies'!$N$109:$Y$120,7,FALSE)/100)))</f>
        <v/>
      </c>
      <c r="AI237" s="183" t="str">
        <f>IF(D237="","",VLOOKUP(D237,'DB technologies'!$N$109:$Y$120,10,FALSE))</f>
        <v/>
      </c>
      <c r="AJ237" s="451" t="e">
        <f>VLOOKUP($C$233,'DB animal categories'!$C$81:$AN$90,27,FALSE)-VLOOKUP($C$233,'DB animal categories'!$C$81:$AN$90,26,FALSE)*VLOOKUP($C$233,'DB animal categories'!$C$81:$AN$90,25,FALSE)/24</f>
        <v>#N/A</v>
      </c>
      <c r="AK237" s="452" t="str">
        <f>IF(AI237="","",AL237+AM237)</f>
        <v/>
      </c>
      <c r="AL237" s="452" t="str">
        <f>IF(D237="","",IF(AI237=2,(('Calc (ex-animal)'!$G$46*'DB additional information '!$K$10/100*(1-VLOOKUP(D237,'DB technologies'!$N$109:$Y$120,9,FALSE)/100)*'Calc (ex-housing, ex-storage)'!F237/100+'Calc (ex-animal)'!$H$46*'DB additional information '!$L$10/100*(1-VLOOKUP(D237,'DB technologies'!$N$109:$Y$120,9,FALSE)/100)*'Calc (ex-housing, ex-storage)'!F237/100))/VLOOKUP($C$233,'DB animal categories'!$C$81:$AC$90,27,FALSE)*AJ237+I237+J237+K237,IF(AI237=1,('Calc (ex-animal)'!$H$46*'DB additional information '!$L$10/100*(1-VLOOKUP(D237,'DB technologies'!$N$109:$Y$120,9,FALSE)/100)*'Calc (ex-housing, ex-storage)'!F237/100)/VLOOKUP($C$233,'DB animal categories'!$C$81:$AC$90,27,FALSE)*AJ237,IF(AI237=4,('Calc (ex-animal)'!$G$46*'DB additional information '!$K$10/100+'Calc (ex-animal)'!$H$46*'DB additional information '!$L$10/100)*(1-VLOOKUP(D237,'DB technologies'!$N$109:$Y$120,9,FALSE)/100)*'Calc (ex-housing, ex-storage)'!F237/100*VLOOKUP(D237,'DB technologies'!$N$109:$Y$120,11,FALSE)/100/VLOOKUP($C$233,'DB animal categories'!$C$81:$AC$90,27,FALSE)*AJ237,0))))</f>
        <v/>
      </c>
      <c r="AM237" s="452" t="str">
        <f>IF(D237="","",IF(AI237=2,(('Calc (ex-animal)'!$G$46*(1-'DB additional information '!$K$10/100)*(1-VLOOKUP(D237,'DB technologies'!$N$109:$Y$120,8,FALSE)/100)*'Calc (ex-housing, ex-storage)'!F237/100+'Calc (ex-animal)'!$H$46*(1-'DB additional information '!$L$10/100)*(1-VLOOKUP(D237,'DB technologies'!$N$109:$Y$120,8,FALSE)/100)*'Calc (ex-housing, ex-storage)'!F237/100))/VLOOKUP($C$233,'DB animal categories'!$C$81:$AC$90,27,FALSE)*AJ237+M237+N237+O237,IF(AI237=1,('Calc (ex-animal)'!$H$46*(1-'DB additional information '!$L$10/100)*(1-VLOOKUP(D237,'DB technologies'!$N$109:$Y$120,8,FALSE)/100)*'Calc (ex-housing, ex-storage)'!F237/100)/VLOOKUP($C$233,'DB animal categories'!$C$81:$AC$90,27,FALSE)*AJ237,IF(AI237=4,('Calc (ex-animal)'!$G$46*(1-'DB additional information '!$K$10/100)+'Calc (ex-animal)'!$H$46*(1-'DB additional information '!$L$10/100))*(1-VLOOKUP(D237,'DB technologies'!$N$109:$Y$120,8,FALSE)/100)*'Calc (ex-housing, ex-storage)'!F237/100*VLOOKUP(D237,'DB technologies'!$N$109:$Y$120,11,FALSE)/100/VLOOKUP($C$233,'DB animal categories'!$C$81:$AC$90,27,FALSE)*AJ237,0))))</f>
        <v/>
      </c>
      <c r="AN237" s="452" t="str">
        <f>IF(AI237="","",IF(AL237=0,0,AL237/AK237*100))</f>
        <v/>
      </c>
      <c r="AO237" s="184" t="str">
        <f>IF(D237="","",IF(AI237=2,(('Calc (ex-animal)'!$L$46*'Calc (ex-housing, ex-storage)'!F237/100+'Calc (ex-animal)'!$K$46*'Calc (ex-housing, ex-storage)'!F237/100))/VLOOKUP($C$233,'DB animal categories'!$C$81:$AC$90,27,FALSE)*AJ237+Q237+R237+S237-AC237,IF(AI237=1,('Calc (ex-animal)'!$L$46*'Calc (ex-housing, ex-storage)'!F237/100)/VLOOKUP($C$233,'DB animal categories'!$C$81:$AC$90,27,FALSE)*AJ237-'Calc (ex-housing, ex-storage)'!AC237,IF(AI237=4,('Calc (ex-animal)'!$L$46+'Calc (ex-animal)'!$K$46)*'Calc (ex-housing, ex-storage)'!F237/100*VLOOKUP(D237,'DB technologies'!$N$109:$Y$120,11,FALSE)/100/VLOOKUP($C$233,'DB animal categories'!$C$81:$AC$90,27,FALSE)*AJ237-AC237*VLOOKUP(D237,'DB technologies'!$N$109:$Y$120,11,FALSE)/100,0))))</f>
        <v/>
      </c>
      <c r="AP237" s="184" t="str">
        <f>IF(D237="","",IF(AO237&lt;-0.01,0,IF(AI237=2,(('Calc (ex-animal)'!$L$46*'Calc (ex-housing, ex-storage)'!F237/100+'Calc (ex-animal)'!$K$46*'Calc (ex-housing, ex-storage)'!F237/100))/VLOOKUP($C$233,'DB animal categories'!$C$81:$AC$90,27,FALSE)*AJ237+Q237+R237+S237-AC237,IF(AI237=1,('Calc (ex-animal)'!$L$46*'Calc (ex-housing, ex-storage)'!F237/100)/VLOOKUP($C$233,'DB animal categories'!$C$81:$AC$90,27,FALSE)*AJ237-'Calc (ex-housing, ex-storage)'!AC237,IF(AI237=4,('Calc (ex-animal)'!$L$46+'Calc (ex-animal)'!$K$46)*'Calc (ex-housing, ex-storage)'!F237/100*VLOOKUP(D237,'DB technologies'!$N$109:$Y$120,11,FALSE)/100/VLOOKUP($C$233,'DB animal categories'!$C$81:$AC$90,27,FALSE)*AJ237-AC237*VLOOKUP(D237,'DB technologies'!$N$109:$Y$120,11,FALSE)/100,0)))))</f>
        <v/>
      </c>
      <c r="AQ237" s="184" t="str">
        <f>IF(D237="","",IF(AI237=2,('Calc (ex-animal)'!$O$46*'Calc (ex-housing, ex-storage)'!F237/100+'Calc (ex-animal)'!$N$46*'Calc (ex-housing, ex-storage)'!F237/100)/VLOOKUP($C$233,'DB animal categories'!$C$81:$AC$90,27,FALSE)*AJ237+U237+V237+W237,IF(AI237=1,'Calc (ex-animal)'!$O$46*'Calc (ex-housing, ex-storage)'!F237/100/VLOOKUP($C$233,'DB animal categories'!$C$81:$AC$90,27,FALSE)*AJ237,IF(AI237=4,('Calc (ex-animal)'!$O$46+'Calc (ex-animal)'!$N$46)*'Calc (ex-housing, ex-storage)'!F237/100*VLOOKUP(D237,'DB technologies'!$N$109:$Y$120,11,FALSE)/100/VLOOKUP($C$233,'DB animal categories'!$C$81:$AC$90,27,FALSE)*AJ237,0))))</f>
        <v/>
      </c>
      <c r="AR237" s="184" t="str">
        <f>IF(D237="","",IF(AI237=2,('Calc (ex-animal)'!$R$46*'Calc (ex-housing, ex-storage)'!F237/100+'Calc (ex-animal)'!$Q$46*'Calc (ex-housing, ex-storage)'!F237/100)/VLOOKUP($C$233,'DB animal categories'!$C$81:$AC$90,27,FALSE)*AJ237+Y237+Z237+AA237,IF(AI237=1,'Calc (ex-animal)'!$R$46*'Calc (ex-housing, ex-storage)'!F237/100/VLOOKUP($C$233,'DB animal categories'!$C$81:$AC$90,27,FALSE)*AJ237,IF(AI237=4,('Calc (ex-animal)'!$R$46+'Calc (ex-animal)'!$Q$46)*'Calc (ex-housing, ex-storage)'!F237/100*VLOOKUP(D237,'DB technologies'!$N$109:$Y$120,11,FALSE)/100/VLOOKUP($C$233,'DB animal categories'!$C$81:$AC$90,27,FALSE)*AJ237,0))))</f>
        <v/>
      </c>
      <c r="AS237" s="183" t="str">
        <f>IF(D237="","",VLOOKUP(D237,'DB technologies'!$N$109:$Y$120,10,FALSE))</f>
        <v/>
      </c>
      <c r="AT237" s="452" t="str">
        <f>IF(AS237="","",AU237+AV237)</f>
        <v/>
      </c>
      <c r="AU237" s="452" t="str">
        <f>IF(D237="","",IF(AS237=2,0,IF(AS237=1,'Calc (ex-animal)'!$G$46*'DB additional information '!$K$10/100*(1-VLOOKUP(D237,'DB technologies'!$N$109:$Y$120,8,FALSE)/100)*'Calc (ex-housing, ex-storage)'!F237/100/VLOOKUP($C$233,'DB animal categories'!$C$81:$AC$90,27,FALSE)*AJ237+I237+J237+K237,IF(AS237=5,(('Calc (ex-animal)'!$G$46*'DB additional information '!$K$10/100+'Calc (ex-animal)'!$H$46*'DB additional information '!$L$10/100))*(1-VLOOKUP(D237,'DB technologies'!$N$109:$Y$120,9,FALSE)/100)*'Calc (ex-housing, ex-storage)'!F237/100/VLOOKUP($C$233,'DB animal categories'!$C$81:$AC$90,27,FALSE)*AJ237+I237+J237+K237,IF(AS237=3,('Calc (ex-animal)'!$G$46*'DB additional information '!$K$10/100+'Calc (ex-animal)'!$H$46*'DB additional information '!$L$10/100)*(1-VLOOKUP(D237,'DB technologies'!$N$109:$Y$120,9,FALSE)/100)*'Calc (ex-housing, ex-storage)'!F237/100/VLOOKUP($C$233,'DB animal categories'!$C$81:$AC$90,27,FALSE)*AJ237+I237+J237+K237,IF(AS237=4,('Calc (ex-animal)'!$G$46*'DB additional information '!$K$10/100+'Calc (ex-animal)'!$H$46*'DB additional information '!$L$10/100)*(1-VLOOKUP(D237,'DB technologies'!$N$109:$Y$120,9,FALSE)/100)*'Calc (ex-housing, ex-storage)'!F237/100*VLOOKUP(D237,'DB technologies'!$N$109:$Y$120,12,FALSE)/100/VLOOKUP($C$233,'DB animal categories'!$C$81:$AC$90,27,FALSE)*AJ237+I237+J237+K237,0))))))</f>
        <v/>
      </c>
      <c r="AV237" s="452" t="str">
        <f>IF(D237="","",IF(AS237=2,0,IF(AS237=1,'Calc (ex-animal)'!$G$46*(1-'DB additional information '!$K$10/100)*(1-VLOOKUP(D237,'DB technologies'!$N$109:$Y$120,8,FALSE)/100)*'Calc (ex-housing, ex-storage)'!F237/100/VLOOKUP($C$233,'DB animal categories'!$C$81:$AC$90,27,FALSE)*AJ237+M237+N237+O237,IF(AS237=5,('Calc (ex-animal)'!$G$46*(1-'DB additional information '!$K$10/100)+'Calc (ex-animal)'!$H$46*(1-'DB additional information '!$L$10/100))*(1-VLOOKUP(D237,'DB technologies'!$N$109:$Y$120,8,FALSE)/100)*'Calc (ex-housing, ex-storage)'!F237/100/VLOOKUP($C$233,'DB animal categories'!$C$81:$AC$90,27,FALSE)*AJ237+M237+N237+O237,IF(AS237=3,('Calc (ex-animal)'!$G$46*(1-'DB additional information '!$K$10/100)+'Calc (ex-animal)'!$H$46*(1-'DB additional information '!$L$10/100))*(1-VLOOKUP(D237,'DB technologies'!$N$109:$Y$120,8,FALSE)/100)*'Calc (ex-housing, ex-storage)'!F237/100/VLOOKUP($C$233,'DB animal categories'!$C$81:$AC$90,27,FALSE)*AJ237+M237+N237+O237,IF(AS237=4,('Calc (ex-animal)'!$G$46*(1-'DB additional information '!$K$10/100)+'Calc (ex-animal)'!$H$46*(1-'DB additional information '!$L$10/100))*(1-VLOOKUP(D237,'DB technologies'!$N$109:$Y$120,8,FALSE)/100)*'Calc (ex-housing, ex-storage)'!F237/100*VLOOKUP(D237,'DB technologies'!$N$109:$Y$120,12,FALSE)/100/VLOOKUP($C$233,'DB animal categories'!$C$81:$AC$90,27,FALSE)*AJ237+M237+N237+O237,0))))))</f>
        <v/>
      </c>
      <c r="AW237" s="452" t="str">
        <f>IF(AS237="","",IF(AU237=0,0,AU237/AT237*100))</f>
        <v/>
      </c>
      <c r="AX237" s="184" t="str">
        <f>IF(D237="","",IF(AS237=2,0,IF(AS237=1,'Calc (ex-animal)'!$K$46*'Calc (ex-housing, ex-storage)'!F237/100/VLOOKUP($C$233,'DB animal categories'!$C$81:$AC$90,27,FALSE)*AJ237+Q237+R237+S237,IF(AS237=5,('Calc (ex-animal)'!$K$46+'Calc (ex-animal)'!$L$46)*'Calc (ex-housing, ex-storage)'!F237/100/VLOOKUP($C$233,'DB animal categories'!$C$81:$AC$90,27,FALSE)*AJ237+Q237+R237+S237-'Calc (ex-housing, ex-storage)'!AC237,IF(AS237=3,('Calc (ex-animal)'!$K$46+'Calc (ex-animal)'!$L$46)*'Calc (ex-housing, ex-storage)'!F237/100/VLOOKUP($C$233,'DB animal categories'!$C$81:$AC$90,27,FALSE)*AJ237+Q237+R237+S237-'Calc (ex-housing, ex-storage)'!AC237-AD237-AE237,IF(AI237=4,('Calc (ex-animal)'!$K$46+'Calc (ex-animal)'!$L$46)*'Calc (ex-housing, ex-storage)'!F237/100*VLOOKUP(D237,'DB technologies'!$N$109:$Y$120,12,FALSE)/100/VLOOKUP($C$233,'DB animal categories'!$C$81:$AC$90,27,FALSE)*AJ237+Q237+R237+S237-(VLOOKUP(D237,'DB technologies'!$N$109:$Y$120,12,FALSE)/100*AC237)-AD237-AE237,0))))))</f>
        <v/>
      </c>
      <c r="AY237" s="184" t="str">
        <f>IF(D237="","",IF(AS237=2,0,IF(AS237=1,'Calc (ex-animal)'!$N$46*'Calc (ex-housing, ex-storage)'!F237/100/VLOOKUP($C$233,'DB animal categories'!$C$81:$AC$90,27,FALSE)*AJ237+U237+V237+W237,IF(AS237=5,('Calc (ex-animal)'!$N$46+'Calc (ex-animal)'!$O$46)*'Calc (ex-housing, ex-storage)'!F237/100/VLOOKUP($C$233,'DB animal categories'!$C$81:$AC$90,27,FALSE)*AJ237+U237+V237+W237,IF(AS237=3,('Calc (ex-animal)'!$N$46+'Calc (ex-animal)'!$O$46)*'Calc (ex-housing, ex-storage)'!F237/100/VLOOKUP($C$233,'DB animal categories'!$C$81:$AC$90,27,FALSE)*AJ237+U237+V237+W237,IF(AS237=4,('Calc (ex-animal)'!$N$46+'Calc (ex-animal)'!$O$46)*'Calc (ex-housing, ex-storage)'!F237/100*VLOOKUP(D237,'DB technologies'!$N$109:$Y$120,12,FALSE)/100/VLOOKUP($C$233,'DB animal categories'!$C$81:$AC$90,27,FALSE)*AJ237+U237+V237+W237,0))))))</f>
        <v/>
      </c>
      <c r="AZ237" s="184" t="str">
        <f>IF(D237="","",IF(AS237=2,0,IF(AS237=1,'Calc (ex-animal)'!$Q$46*'Calc (ex-housing, ex-storage)'!F237/100/VLOOKUP($C$233,'DB animal categories'!$C$81:$AC$90,27,FALSE)*AJ237+Y237+Z237+AA237,IF(AS237=5,('Calc (ex-animal)'!$Q$46+'Calc (ex-animal)'!$R$46)*'Calc (ex-housing, ex-storage)'!F237/100/VLOOKUP($C$233,'DB animal categories'!$C$81:$AC$90,27,FALSE)*AJ237+Y237+Z237+AA237,IF(AS237=3,('Calc (ex-animal)'!$Q$46+'Calc (ex-animal)'!$R$46)*'Calc (ex-housing, ex-storage)'!F237/100/VLOOKUP($C$233,'DB animal categories'!$C$81:$AC$90,27,FALSE)*AJ237+Y237+Z237+AA237,IF(AS237=4,('Calc (ex-animal)'!$Q$46+'Calc (ex-animal)'!$R$46)*'Calc (ex-housing, ex-storage)'!F237/100*VLOOKUP(D237,'DB technologies'!$N$109:$Y$120,12,FALSE)/100/VLOOKUP($C$233,'DB animal categories'!$C$81:$AC$90,27,FALSE)*AJ237+Y237+Z237+AA237,0))))))</f>
        <v/>
      </c>
      <c r="BA237" s="506"/>
      <c r="BB237" s="506"/>
      <c r="BC237" s="506"/>
    </row>
    <row r="238" spans="1:55" ht="12" thickBot="1" x14ac:dyDescent="0.25">
      <c r="A238" s="684"/>
      <c r="B238" s="695"/>
      <c r="C238" s="252"/>
      <c r="D238" s="269" t="s">
        <v>58</v>
      </c>
      <c r="E238" s="270">
        <f>IF(F238&lt;=100,SUM(E233:E237),"ERROR")</f>
        <v>0</v>
      </c>
      <c r="F238" s="284">
        <f>IF(SUM(F233:F237) &lt;=100,SUM(F233:F237),"ERROR, SUM&gt;100%")</f>
        <v>0</v>
      </c>
      <c r="G238" s="504">
        <f>IF('Calc (ex-animal)'!$F$38=1,"",SUM(G233:G237))</f>
        <v>0</v>
      </c>
      <c r="H238" s="433">
        <f>IF('Calc (ex-animal)'!$F$8=1,"",SUM(H233:H237))</f>
        <v>0</v>
      </c>
      <c r="I238" s="433">
        <f>IF('Calc (ex-animal)'!$F$8=1,"",SUM(I233:I237))</f>
        <v>0</v>
      </c>
      <c r="J238" s="433">
        <f>IF('Calc (ex-animal)'!$F$8=1,"",SUM(J233:J237))</f>
        <v>0</v>
      </c>
      <c r="K238" s="433">
        <f>IF('Calc (ex-animal)'!$F$8=1,"",SUM(K233:K237))</f>
        <v>0</v>
      </c>
      <c r="L238" s="433">
        <f>IF('Calc (ex-animal)'!$F$8=1,"",SUM(L233:L237))</f>
        <v>0</v>
      </c>
      <c r="M238" s="470"/>
      <c r="N238" s="470"/>
      <c r="O238" s="470"/>
      <c r="P238" s="478">
        <f>IF(G238=0,0,IF('Calc (ex-animal)'!$F$38=1,"",IF(D238="","",SUM(H238:K238)/G238*100)))</f>
        <v>0</v>
      </c>
      <c r="Q238" s="271"/>
      <c r="R238" s="271"/>
      <c r="S238" s="271"/>
      <c r="T238" s="278">
        <f>IF('Calc (ex-animal)'!$F$46=1,"",SUM(T233:T237))</f>
        <v>0</v>
      </c>
      <c r="U238" s="279"/>
      <c r="V238" s="279"/>
      <c r="W238" s="279"/>
      <c r="X238" s="279">
        <f>IF('Calc (ex-animal)'!$F$46=1,"",SUM(X233:X237))</f>
        <v>0</v>
      </c>
      <c r="Y238" s="279"/>
      <c r="Z238" s="279"/>
      <c r="AA238" s="279"/>
      <c r="AB238" s="279">
        <f>IF('Calc (ex-animal)'!$F$46=1,"",SUM(AB233:AB237))</f>
        <v>0</v>
      </c>
      <c r="AC238" s="279">
        <f>IF('Calc (ex-animal)'!$F$46=1,"",SUM(AC233:AC237))</f>
        <v>0</v>
      </c>
      <c r="AD238" s="279">
        <f>IF('Calc (ex-animal)'!$F$46=1,"",SUM(AD233:AD237))</f>
        <v>0</v>
      </c>
      <c r="AE238" s="280">
        <f>IF('Calc (ex-animal)'!$F$46=1,"",SUM(AE233:AE237))</f>
        <v>0</v>
      </c>
    </row>
    <row r="239" spans="1:55" x14ac:dyDescent="0.2">
      <c r="A239" s="684"/>
      <c r="B239" s="695"/>
      <c r="C239" s="250">
        <f>'Calc (ex-animal)'!D47</f>
        <v>0</v>
      </c>
      <c r="D239" s="1396"/>
      <c r="E239" s="1356"/>
      <c r="F239" s="479" t="str">
        <f>IF('Calc (ex-animal)'!$F$38=1,"",IF($C$239=0,"",IF(D239="","",E239/'Calc (ex-animal)'!$E$47*100)))</f>
        <v/>
      </c>
      <c r="G239" s="484" t="str">
        <f>IF($C$239=0,"",IF('Calc (ex-animal)'!$F$38=1,"",IF(D239="","",SUM(H239:O239))))</f>
        <v/>
      </c>
      <c r="H239" s="471" t="str">
        <f>IF('Calc (ex-animal)'!$F$38=1,"",IF(D239="","",(((VLOOKUP($C$239,'Calc (ex-animal)'!$D$43:$Y$47,6,FALSE)-VLOOKUP($C$239,'Calc (ex-animal)'!$D$43:$Y$47,17,FALSE))*F239/100))*VLOOKUP($C$239,'Calc (ex-animal)'!$D$43:$Y$47,7,FALSE)/100*(1-VLOOKUP(D239,'DB technologies'!$N$109:$Y$120,9,FALSE)/100)))</f>
        <v/>
      </c>
      <c r="I239" s="471" t="str">
        <f>IF(D239="","",((VLOOKUP(D239,'DB technologies'!$N$109:$Y$120,2,FALSE)*VLOOKUP($C$239,'DB animal categories'!$C$81:$AC$90,27,FALSE)*E239/1000)/VLOOKUP($C$239,'DB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'!$S$6/100*(1-VLOOKUP(D239,'DB technologies'!$N$109:$Y$120,9,FALSE)/100)))</f>
        <v/>
      </c>
      <c r="J239" s="472" t="str">
        <f>IF(D239="","",((VLOOKUP(D239,'DB technologies'!$N$109:$Y$120,3,FALSE)*VLOOKUP($C$239,'DB animal categories'!$C$81:$AC$90,27,FALSE)*E239/1000)/VLOOKUP($C$239,'DB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'!$S$7/100*(1-VLOOKUP(D239,'DB technologies'!$N$109:$Y$120,9,FALSE)/100)))</f>
        <v/>
      </c>
      <c r="K239" s="472" t="str">
        <f>IF(D239="","",((VLOOKUP(D239,'DB technologies'!$N$109:$Y$120,4,FALSE)*E239*'DB additional information '!$S$8/100*(1-VLOOKUP(D239,'DB technologies'!$N$109:$Y$120,9,FALSE)/100))/VLOOKUP($C$239,'DB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L239" s="471" t="str">
        <f>IF('Calc (ex-animal)'!$F$38=1,"",IF(D239="","",(((VLOOKUP($C$239,'Calc (ex-animal)'!$D$43:$Y$47,6,FALSE)-VLOOKUP($C$239,'Calc (ex-animal)'!$D$43:$Y$47,17,FALSE))*F239/100))*(1-VLOOKUP($C$239,'Calc (ex-animal)'!$D$43:$Y$47,7,FALSE)/100)*(1-VLOOKUP(D239,'DB technologies'!$N$109:$V$120,8,FALSE)/100)))</f>
        <v/>
      </c>
      <c r="M239" s="472" t="str">
        <f>IF(D239="","",((VLOOKUP(D239,'DB technologies'!$N$109:$Y$120,2,FALSE)*VLOOKUP($C$239,'DB animal categories'!$C$81:$AC$90,27,FALSE)*E239/1000)/VLOOKUP($C$239,'DB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'!$S$6/100)*(1-VLOOKUP(D239,'DB technologies'!$N$109:$Y$120,9,FALSE)/100))</f>
        <v/>
      </c>
      <c r="N239" s="472" t="str">
        <f>IF(D239="","",((VLOOKUP(D239,'DB technologies'!$N$109:$Y$120,3,FALSE)*VLOOKUP($C$239,'DB animal categories'!$C$81:$AC$90,27,FALSE)*E239/1000)/VLOOKUP($C$239,'DB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'!$S$7/100)*(1-VLOOKUP(D239,'DB technologies'!$N$109:$Y$120,9,FALSE)/100))</f>
        <v/>
      </c>
      <c r="O239" s="471" t="str">
        <f>IF(D239="","",((VLOOKUP(D239,'DB technologies'!$N$109:$Y$120,4,FALSE)*E239*(1-'DB additional information '!$S$8/100)*(1-VLOOKUP(D239,'DB technologies'!$N$109:$Y$120,8,FALSE)/100))/VLOOKUP($C$239,'DB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P239" s="443" t="str">
        <f>IF(G239=0,0,IF(E239="","",IF(F239="","",IF($C$239=0,"",IF(D239="","",SUM(H239:K239)/G239*100)))))</f>
        <v/>
      </c>
      <c r="Q239" s="473" t="str">
        <f>IF(D239="","",(VLOOKUP(D239,'DB technologies'!$N$109:$Y$120,2,FALSE)*'DB additional information '!$S$6/100*'DB additional information '!$T$6*VLOOKUP($C$239,'DB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R239" s="473" t="str">
        <f>IF(D239="","",(VLOOKUP(D239,'DB technologies'!$N$109:$Y$120,3,FALSE)*'DB additional information '!$S$7/100*'DB additional information '!$T$7*VLOOKUP($C$239,'DB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S239" s="490" t="str">
        <f>IF(D239="","",(VLOOKUP(D239,'DB technologies'!$N$109:$Y$120,4,FALSE)*('DB additional information '!$S$8/100*'DB additional information '!$T$8*E239/1000/1000)))</f>
        <v/>
      </c>
      <c r="T239" s="263" t="str">
        <f>IF($C$239=0,"",IF('Calc (ex-animal)'!$F$38=1,"",IF(D239="","",((VLOOKUP($C$239,'Calc (ex-animal)'!$D$43:$Y$47,10,FALSE)-VLOOKUP($C$239,'Calc (ex-animal)'!$D$43:$Y$47,18,FALSE))*F239/100+Q239+R239+S239)-AC239-AD239-AE239)))</f>
        <v/>
      </c>
      <c r="U239" s="474" t="str">
        <f>IF(D239="","",(VLOOKUP(D239,'DB technologies'!$N$109:$Y$120,2,FALSE)*'DB additional information '!$S$6/100*'DB additional information '!$U$6*VLOOKUP($C$239,'DB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V239" s="420" t="str">
        <f>IF(D239="","",(VLOOKUP(D239,'DB technologies'!$N$109:$Y$120,3,FALSE)*'DB additional information '!$S$7/100*'DB additional information '!$U$7*VLOOKUP($C$239,'DB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W239" s="415" t="str">
        <f>IF(D239="","",(VLOOKUP(D239,'DB technologies'!$N$109:$Y$120,4,FALSE)*('DB additional information '!$S$8/100*'DB additional information '!$U$8*E239/1000/1000)))</f>
        <v/>
      </c>
      <c r="X239" s="259" t="str">
        <f>IF($C$239=0,"",IF('Calc (ex-animal)'!$F$38=1,"",IF(D239="","",((VLOOKUP($C$239,'Calc (ex-animal)'!$D$43:$Y$47,13,FALSE)-VLOOKUP($C$239,'Calc (ex-animal)'!$D$43:$Y$47,19,FALSE))*F239/100+U239+V239+W239))))</f>
        <v/>
      </c>
      <c r="Y239" s="420" t="str">
        <f>IF(D239="","",(VLOOKUP(D239,'DB technologies'!$N$109:$Y$120,2,FALSE)*'DB additional information '!$S$6/100*'DB additional information '!$V$6*VLOOKUP($C$239,'DB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Z239" s="420" t="str">
        <f>IF(D239="","",(VLOOKUP(D239,'DB technologies'!$N$109:$Y$120,3,FALSE)*'DB additional information '!$S$7/100*'DB additional information '!$V$7*VLOOKUP($C$239,'DB animal categories'!$C$81:$AC$90,27,FALSE)*E239/1000/1000)/VLOOKUP($C$239,'DB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AA239" s="420" t="str">
        <f>IF(D239="","",(VLOOKUP(D239,'DB technologies'!$N$109:$Y$120,4,FALSE)*('DB additional information '!$S$8/100*'DB additional information '!$V$8*E239/1000/1000)))</f>
        <v/>
      </c>
      <c r="AB239" s="259" t="str">
        <f>IF($C$239=0,"",IF('Calc (ex-animal)'!$F$38=1,"",IF(D239="","",((VLOOKUP($C$239,'Calc (ex-animal)'!$D$43:$Y$47,16,FALSE)-VLOOKUP($C$239,'Calc (ex-animal)'!$D$43:$Y$47,20,FALSE))*F239/100+Y239+Z239+AA239))))</f>
        <v/>
      </c>
      <c r="AC239" s="259" t="str">
        <f>IF($C$239=0,"",IF('Calc (ex-animal)'!$F$38=1,"",IF(D239="","",VLOOKUP($C$239,'Calc (ex-animal)'!$D$43:$Y$47,9,FALSE)/VLOOKUP($C$239,'DB animal categories'!$C$81:$AC$90,27,FALSE)*(VLOOKUP($C$239,'DB animal categories'!$C$81:$AC$90,27,FALSE)-VLOOKUP($C$239,'DB animal categories'!$C$81:$AC$90,25,FALSE)*VLOOKUP($C$239,'DB animal categories'!$C$81:$AC$90,26,FALSE)/24)*F239/100*VLOOKUP(D239,'DB technologies'!$N$109:$R$120,5,FALSE)/100)))</f>
        <v/>
      </c>
      <c r="AD239" s="259" t="str">
        <f>IF($C$239=0,"",IF('Calc (ex-animal)'!$F$38=1,"",IF(D239="","",VLOOKUP($C$239,'Calc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categories'!$C$81:$AC$90,26,FALSE)/24)*F239/100*VLOOKUP(D239,'DB technologies'!$N$109:$Y$120,6,FALSE)/100)))</f>
        <v/>
      </c>
      <c r="AE239" s="260" t="str">
        <f>IF($C$239=0,"",IF('Calc (ex-animal)'!$F$38=1,"",IF(D239="","",VLOOKUP($C$239,'Calc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categories'!$C$81:$AC$90,26,FALSE)/24)*F239/100*VLOOKUP(D239,'DB technologies'!$N$109:$Y$120,7,FALSE)/100)))</f>
        <v/>
      </c>
      <c r="AI239" s="179" t="str">
        <f>IF(D239="","",VLOOKUP(D239,'DB technologies'!$N$109:$Y$120,10,FALSE))</f>
        <v/>
      </c>
      <c r="AJ239" s="482" t="e">
        <f>VLOOKUP($C$239,'DB animal categories'!$C$81:$AN$90,27,FALSE)-VLOOKUP($C$239,'DB animal categories'!$C$81:$AN$90,26,FALSE)*VLOOKUP($C$239,'DB animal categories'!$C$81:$AN$90,25,FALSE)/24</f>
        <v>#N/A</v>
      </c>
      <c r="AK239" s="453" t="str">
        <f>IF(AI239="","",AL239+AM239)</f>
        <v/>
      </c>
      <c r="AL239" s="453" t="str">
        <f>IF(D239="","",IF(AI239=2,(('Calc (ex-animal)'!$G$47*'DB additional information '!$K$10/100*(1-VLOOKUP(D239,'DB technologies'!$N$109:$Y$120,9,FALSE)/100)*'Calc (ex-housing, ex-storage)'!F239/100+'Calc (ex-animal)'!$H$47*'DB additional information '!$L$10/100*(1-VLOOKUP(D239,'DB technologies'!$N$109:$Y$120,9,FALSE)/100)*'Calc (ex-housing, ex-storage)'!F239/100))/VLOOKUP($C$239,'DB animal categories'!$C$81:$AC$90,27,FALSE)*AJ239+I239+J239+K239,IF(AI239=1,('Calc (ex-animal)'!$H$47*'DB additional information '!$L$10/100*(1-VLOOKUP(D239,'DB technologies'!$N$109:$Y$120,9,FALSE)/100)*'Calc (ex-housing, ex-storage)'!F239/100)/VLOOKUP($C$239,'DB animal categories'!$C$81:$AC$90,27,FALSE)*AJ239,IF(AI239=4,('Calc (ex-animal)'!$G$47*'DB additional information '!$K$10/100+'Calc (ex-animal)'!$H$47*'DB additional information '!$L$10/100)*(1-VLOOKUP(D239,'DB technologies'!$N$109:$Y$120,9,FALSE)/100)*'Calc (ex-housing, ex-storage)'!F239/100*VLOOKUP(D239,'DB technologies'!$N$109:$Y$120,11,FALSE)/100/VLOOKUP($C$239,'DB animal categories'!$C$81:$AC$90,27,FALSE)*AJ239,0))))</f>
        <v/>
      </c>
      <c r="AM239" s="453" t="str">
        <f>IF(D239="","",IF(AI239=2,(('Calc (ex-animal)'!$G$47*(1-'DB additional information '!$K$10/100)*(1-VLOOKUP(D239,'DB technologies'!$N$109:$Y$120,8,FALSE)/100)*'Calc (ex-housing, ex-storage)'!F239/100+'Calc (ex-animal)'!$H$47*(1-'DB additional information '!$L$10/100)*(1-VLOOKUP(D239,'DB technologies'!$N$109:$Y$120,8,FALSE)/100)*'Calc (ex-housing, ex-storage)'!F239/100))/VLOOKUP($C$239,'DB animal categories'!$C$81:$AC$90,27,FALSE)*AJ239+M239+N239+O239,IF(AI239=1,('Calc (ex-animal)'!$H$47*(1-'DB additional information '!$L$10/100)*(1-VLOOKUP(D239,'DB technologies'!$N$109:$Y$120,8,FALSE)/100)*'Calc (ex-housing, ex-storage)'!F239/100)/VLOOKUP($C$239,'DB animal categories'!$C$81:$AC$90,27,FALSE)*AJ239,IF(AI239=4,('Calc (ex-animal)'!$G$47*(1-'DB additional information '!$K$10/100)+'Calc (ex-animal)'!$H$47*(1-'DB additional information '!$L$10/100))*(1-VLOOKUP(D239,'DB technologies'!$N$109:$Y$120,8,FALSE)/100)*'Calc (ex-housing, ex-storage)'!F239/100*VLOOKUP(D239,'DB technologies'!$N$109:$Y$120,11,FALSE)/100/VLOOKUP($C$239,'DB animal categories'!$C$81:$AC$90,27,FALSE)*AJ239,0))))</f>
        <v/>
      </c>
      <c r="AN239" s="453" t="str">
        <f>IF(AI239="","",IF(AL239=0,0,AL239/AK239*100))</f>
        <v/>
      </c>
      <c r="AO239" s="180" t="str">
        <f>IF(D239="","",IF(AI239=2,(('Calc (ex-animal)'!$L$47*'Calc (ex-housing, ex-storage)'!F239/100+'Calc (ex-animal)'!$K$47*'Calc (ex-housing, ex-storage)'!F239/100))/VLOOKUP($C$239,'DB animal categories'!$C$81:$AC$90,27,FALSE)*AJ239+Q239+R239+S239-AC239,IF(AI239=1,('Calc (ex-animal)'!$L$47*'Calc (ex-housing, ex-storage)'!F239/100)/VLOOKUP($C$239,'DB animal categories'!$C$81:$AC$90,27,FALSE)*AJ239-'Calc (ex-housing, ex-storage)'!AC239,IF(AI239=4,('Calc (ex-animal)'!$L$47+'Calc (ex-animal)'!$K$47)*'Calc (ex-housing, ex-storage)'!F239/100*VLOOKUP(D239,'DB technologies'!$N$109:$Y$120,11,FALSE)/100/VLOOKUP($C$239,'DB animal categories'!$C$81:$AC$90,27,FALSE)*AJ239-AC239*VLOOKUP(D239,'DB technologies'!$N$109:$Y$120,11,FALSE)/100,0))))</f>
        <v/>
      </c>
      <c r="AP239" s="180" t="str">
        <f>IF(D239="","",IF(AO239&lt;-0.01,0,IF(AI239=2,(('Calc (ex-animal)'!$L$47*'Calc (ex-housing, ex-storage)'!F239/100+'Calc (ex-animal)'!$K$47*'Calc (ex-housing, ex-storage)'!F239/100))/VLOOKUP($C$239,'DB animal categories'!$C$81:$AC$90,27,FALSE)*AJ239+Q239+R239+S239-AC239,IF(AI239=1,('Calc (ex-animal)'!$L$47*'Calc (ex-housing, ex-storage)'!F239/100)/VLOOKUP($C$239,'DB animal categories'!$C$81:$AC$90,27,FALSE)*AJ239-'Calc (ex-housing, ex-storage)'!AC239,IF(AI239=4,('Calc (ex-animal)'!$L$47+'Calc (ex-animal)'!$K$47)*'Calc (ex-housing, ex-storage)'!F239/100*VLOOKUP(D239,'DB technologies'!$N$109:$Y$120,11,FALSE)/100/VLOOKUP($C$239,'DB animal categories'!$C$81:$AC$90,27,FALSE)*AJ239-AC239*VLOOKUP(D239,'DB technologies'!$N$109:$Y$120,11,FALSE)/100,0)))))</f>
        <v/>
      </c>
      <c r="AQ239" s="180" t="str">
        <f>IF(D239="","",IF(AI239=2,('Calc (ex-animal)'!$O$47*'Calc (ex-housing, ex-storage)'!F239/100+'Calc (ex-animal)'!$N$47*'Calc (ex-housing, ex-storage)'!F239/100)/VLOOKUP($C$239,'DB animal categories'!$C$81:$AC$90,27,FALSE)*AJ239+U239+V239+W239,IF(AI239=1,'Calc (ex-animal)'!$O$47*'Calc (ex-housing, ex-storage)'!F239/100/VLOOKUP($C$239,'DB animal categories'!$C$81:$AC$90,27,FALSE)*AJ239,IF(AI239=4,('Calc (ex-animal)'!$O$47+'Calc (ex-animal)'!$N$47)*'Calc (ex-housing, ex-storage)'!F239/100*VLOOKUP(D239,'DB technologies'!$N$109:$Y$120,11,FALSE)/100/VLOOKUP($C$239,'DB animal categories'!$C$81:$AC$90,27,FALSE)*AJ239,0))))</f>
        <v/>
      </c>
      <c r="AR239" s="180" t="str">
        <f>IF(D239="","",IF(AI239=2,('Calc (ex-animal)'!$R$47*'Calc (ex-housing, ex-storage)'!F239/100+'Calc (ex-animal)'!$Q$47*'Calc (ex-housing, ex-storage)'!F239/100)/VLOOKUP($C$239,'DB animal categories'!$C$81:$AC$90,27,FALSE)*AJ239+Y239+Z239+AA239,IF(AI239=1,'Calc (ex-animal)'!$R$47*'Calc (ex-housing, ex-storage)'!F239/100/VLOOKUP($C$239,'DB animal categories'!$C$81:$AC$90,27,FALSE)*AJ239,IF(AI239=4,('Calc (ex-animal)'!$R$47+'Calc (ex-animal)'!$Q$47)*'Calc (ex-housing, ex-storage)'!F239/100*VLOOKUP(D239,'DB technologies'!$N$109:$Y$120,11,FALSE)/100/VLOOKUP($C$239,'DB animal categories'!$C$81:$AC$90,27,FALSE)*AJ239,0))))</f>
        <v/>
      </c>
      <c r="AS239" s="179" t="str">
        <f>IF(D239="","",VLOOKUP(D239,'DB technologies'!$N$109:$Y$120,10,FALSE))</f>
        <v/>
      </c>
      <c r="AT239" s="453" t="str">
        <f>IF(AS239="","",AU239+AV239)</f>
        <v/>
      </c>
      <c r="AU239" s="453" t="str">
        <f>IF(D239="","",IF(AS239=2,0,IF(AS239=1,'Calc (ex-animal)'!$G$47*'DB additional information '!$K$10/100*(1-VLOOKUP(D239,'DB technologies'!$N$109:$Y$120,8,FALSE)/100)*'Calc (ex-housing, ex-storage)'!F239/100/VLOOKUP($C$239,'DB animal categories'!$C$81:$AC$90,27,FALSE)*AJ239+I239+J239+K239,IF(AS239=5,(('Calc (ex-animal)'!$G$47*'DB additional information '!$K$10/100+'Calc (ex-animal)'!$H$47*'DB additional information '!$L$10/100))*(1-VLOOKUP(D239,'DB technologies'!$N$109:$Y$120,9,FALSE)/100)*'Calc (ex-housing, ex-storage)'!F239/100/VLOOKUP($C$239,'DB animal categories'!$C$81:$AC$90,27,FALSE)*AJ239+I239+J239+K239,IF(AS239=3,('Calc (ex-animal)'!$G$47*'DB additional information '!$K$10/100+'Calc (ex-animal)'!$H$47*'DB additional information '!$L$10/100)*(1-VLOOKUP(D239,'DB technologies'!$N$109:$Y$120,9,FALSE)/100)*'Calc (ex-housing, ex-storage)'!F239/100/VLOOKUP($C$239,'DB animal categories'!$C$81:$AC$90,27,FALSE)*AJ239+I239+J239+K239,IF(AS239=4,('Calc (ex-animal)'!$G$47*'DB additional information '!$K$10/100+'Calc (ex-animal)'!$H$47*'DB additional information '!$L$10/100)*(1-VLOOKUP(D239,'DB technologies'!$N$109:$Y$120,9,FALSE)/100)*'Calc (ex-housing, ex-storage)'!F239/100*VLOOKUP(D239,'DB technologies'!$N$109:$Y$120,12,FALSE)/100/VLOOKUP($C$239,'DB animal categories'!$C$81:$AC$90,27,FALSE)*AJ239+I239+J239+K239,0))))))</f>
        <v/>
      </c>
      <c r="AV239" s="453" t="str">
        <f>IF(D239="","",IF(AS239=2,0,IF(AS239=1,'Calc (ex-animal)'!$G$47*(1-'DB additional information '!$K$10/100)*(1-VLOOKUP(D239,'DB technologies'!$N$109:$Y$120,8,FALSE)/100)*'Calc (ex-housing, ex-storage)'!F239/100/VLOOKUP($C$239,'DB animal categories'!$C$81:$AC$90,27,FALSE)*AJ239+M239+N239+O239,IF(AS239=5,('Calc (ex-animal)'!$G$47*(1-'DB additional information '!$K$10/100)+'Calc (ex-animal)'!$H$47*(1-'DB additional information '!$L$10/100))*(1-VLOOKUP(D239,'DB technologies'!$N$109:$Y$120,8,FALSE)/100)*'Calc (ex-housing, ex-storage)'!F239/100/VLOOKUP($C$239,'DB animal categories'!$C$81:$AC$90,27,FALSE)*AJ239+M239+N239+O239,IF(AS239=3,('Calc (ex-animal)'!$G$47*(1-'DB additional information '!$K$10/100)+'Calc (ex-animal)'!$H$47*(1-'DB additional information '!$L$10/100))*(1-VLOOKUP(D239,'DB technologies'!$N$109:$Y$120,8,FALSE)/100)*'Calc (ex-housing, ex-storage)'!F239/100/VLOOKUP($C$239,'DB animal categories'!$C$81:$AC$90,27,FALSE)*AJ239+M239+N239+O239,IF(AS239=4,('Calc (ex-animal)'!$G$47*(1-'DB additional information '!$K$10/100)+'Calc (ex-animal)'!$H$47*(1-'DB additional information '!$L$10/100))*(1-VLOOKUP(D239,'DB technologies'!$N$109:$Y$120,8,FALSE)/100)*'Calc (ex-housing, ex-storage)'!F239/100*VLOOKUP(D239,'DB technologies'!$N$109:$Y$120,12,FALSE)/100/VLOOKUP($C$239,'DB animal categories'!$C$81:$AC$90,27,FALSE)*AJ239+M239+N239+O239,0))))))</f>
        <v/>
      </c>
      <c r="AW239" s="453" t="str">
        <f>IF(AS239="","",IF(AU239=0,0,AU239/AT239*100))</f>
        <v/>
      </c>
      <c r="AX239" s="180" t="str">
        <f>IF(D239="","",IF(AS239=2,0,IF(AS239=1,'Calc (ex-animal)'!$K$47*'Calc (ex-housing, ex-storage)'!F239/100/VLOOKUP($C$239,'DB animal categories'!$C$81:$AC$90,27,FALSE)*AJ239+Q239+R239+S239,IF(AS239=5,('Calc (ex-animal)'!$K$47+'Calc (ex-animal)'!$L$47)*'Calc (ex-housing, ex-storage)'!F239/100/VLOOKUP($C$239,'DB animal categories'!$C$81:$AC$90,27,FALSE)*AJ239+Q239+R239+S239-'Calc (ex-housing, ex-storage)'!AC239,IF(AS239=3,('Calc (ex-animal)'!$K$47+'Calc (ex-animal)'!$L$47)*'Calc (ex-housing, ex-storage)'!F239/100/VLOOKUP($C$239,'DB animal categories'!$C$81:$AC$90,27,FALSE)*AJ239+Q239+R239+S239-'Calc (ex-housing, ex-storage)'!AC239-AD239-AE239,IF(AI239=4,('Calc (ex-animal)'!$K$47+'Calc (ex-animal)'!$L$47)*'Calc (ex-housing, ex-storage)'!F239/100*VLOOKUP(D239,'DB technologies'!$N$109:$Y$120,12,FALSE)/100/VLOOKUP($C$239,'DB animal categories'!$C$81:$AC$90,27,FALSE)*AJ239+Q239+R239+S239-(VLOOKUP(D239,'DB technologies'!$N$109:$Y$120,12,FALSE)/100*AC239)-AD239-AE239,0))))))</f>
        <v/>
      </c>
      <c r="AY239" s="180" t="str">
        <f>IF(D239="","",IF(AS239=2,0,IF(AS239=1,'Calc (ex-animal)'!$N$47*'Calc (ex-housing, ex-storage)'!F239/100/VLOOKUP($C$239,'DB animal categories'!$C$81:$AC$90,27,FALSE)*AJ239+U239+V239+W239,IF(AS239=5,('Calc (ex-animal)'!$N$47+'Calc (ex-animal)'!$O$47)*'Calc (ex-housing, ex-storage)'!F239/100/VLOOKUP($C$239,'DB animal categories'!$C$81:$AC$90,27,FALSE)*AJ239+U239+V239+W239,IF(AS239=3,('Calc (ex-animal)'!$N$47+'Calc (ex-animal)'!$O$47)*'Calc (ex-housing, ex-storage)'!F239/100/VLOOKUP($C$239,'DB animal categories'!$C$81:$AC$90,27,FALSE)*AJ239+U239+V239+W239,IF(AS239=4,('Calc (ex-animal)'!$N$47+'Calc (ex-animal)'!$O$47)*'Calc (ex-housing, ex-storage)'!F239/100*VLOOKUP(D239,'DB technologies'!$N$109:$Y$120,12,FALSE)/100/VLOOKUP($C$239,'DB animal categories'!$C$81:$AC$90,27,FALSE)*AJ239+U239+V239+W239,0))))))</f>
        <v/>
      </c>
      <c r="AZ239" s="180" t="str">
        <f>IF(D239="","",IF(AS239=2,0,IF(AS239=1,'Calc (ex-animal)'!$Q$47*'Calc (ex-housing, ex-storage)'!F239/100/VLOOKUP($C$239,'DB animal categories'!$C$81:$AC$90,27,FALSE)*AJ239+Y239+Z239+AA239,IF(AS239=5,('Calc (ex-animal)'!$Q$47+'Calc (ex-animal)'!$R$47)*'Calc (ex-housing, ex-storage)'!F239/100/VLOOKUP($C$239,'DB animal categories'!$C$81:$AC$90,27,FALSE)*AJ239+Y239+Z239+AA239,IF(AS239=3,('Calc (ex-animal)'!$Q$47+'Calc (ex-animal)'!$R$47)*'Calc (ex-housing, ex-storage)'!F239/100/VLOOKUP($C$239,'DB animal categories'!$C$81:$AC$90,27,FALSE)*AJ239+Y239+Z239+AA239,IF(AS239=4,('Calc (ex-animal)'!$Q$47+'Calc (ex-animal)'!$R$47)*'Calc (ex-housing, ex-storage)'!F239/100*VLOOKUP(D239,'DB technologies'!$N$109:$Y$120,12,FALSE)/100/VLOOKUP($C$239,'DB animal categories'!$C$81:$AC$90,27,FALSE)*AJ239+Y239+Z239+AA239,0))))))</f>
        <v/>
      </c>
      <c r="BA239" s="506"/>
      <c r="BB239" s="506"/>
      <c r="BC239" s="506"/>
    </row>
    <row r="240" spans="1:55" x14ac:dyDescent="0.2">
      <c r="A240" s="684"/>
      <c r="B240" s="695"/>
      <c r="C240" s="251"/>
      <c r="D240" s="1397"/>
      <c r="E240" s="1358"/>
      <c r="F240" s="480" t="str">
        <f>IF('Calc (ex-animal)'!$F$38=1,"",IF($C$239=0,"",IF(D240="","",E240/'Calc (ex-animal)'!$E$47*100)))</f>
        <v/>
      </c>
      <c r="G240" s="485" t="str">
        <f>IF($C$239=0,"",IF('Calc (ex-animal)'!$F$38=1,"",IF(D240="","",SUM(H240:O240))))</f>
        <v/>
      </c>
      <c r="H240" s="423" t="str">
        <f>IF('Calc (ex-animal)'!$F$38=1,"",IF(D240="","",(((VLOOKUP($C$239,'Calc (ex-animal)'!$D$43:$Y$47,6,FALSE)-VLOOKUP($C$239,'Calc (ex-animal)'!$D$43:$Y$47,17,FALSE))*F240/100))*VLOOKUP($C$239,'Calc (ex-animal)'!$D$43:$Y$47,7,FALSE)/100*(1-VLOOKUP(D240,'DB technologies'!$N$109:$Y$120,9,FALSE)/100)))</f>
        <v/>
      </c>
      <c r="I240" s="423" t="str">
        <f>IF(D240="","",((VLOOKUP(D240,'DB technologies'!$N$109:$Y$120,2,FALSE)*VLOOKUP($C$239,'DB animal categories'!$C$81:$AC$90,27,FALSE)*E240/1000)/VLOOKUP($C$239,'DB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'!$S$6/100*(1-VLOOKUP(D240,'DB technologies'!$N$109:$Y$120,9,FALSE)/100)))</f>
        <v/>
      </c>
      <c r="J240" s="434" t="str">
        <f>IF(D240="","",((VLOOKUP(D240,'DB technologies'!$N$109:$Y$120,3,FALSE)*VLOOKUP($C$239,'DB animal categories'!$C$81:$AC$90,27,FALSE)*E240/1000)/VLOOKUP($C$239,'DB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'!$S$7/100*(1-VLOOKUP(D240,'DB technologies'!$N$109:$Y$120,9,FALSE)/100)))</f>
        <v/>
      </c>
      <c r="K240" s="434" t="str">
        <f>IF(D240="","",((VLOOKUP(D240,'DB technologies'!$N$109:$Y$120,4,FALSE)*E240*'DB additional information '!$S$8/100*(1-VLOOKUP(D240,'DB technologies'!$N$109:$Y$120,9,FALSE)/100))/VLOOKUP($C$239,'DB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L240" s="423" t="str">
        <f>IF('Calc (ex-animal)'!$F$38=1,"",IF(D240="","",(((VLOOKUP($C$239,'Calc (ex-animal)'!$D$43:$Y$47,6,FALSE)-VLOOKUP($C$239,'Calc (ex-animal)'!$D$43:$Y$47,17,FALSE))*F240/100))*(1-VLOOKUP($C$239,'Calc (ex-animal)'!$D$43:$Y$47,7,FALSE)/100)*(1-VLOOKUP(D240,'DB technologies'!$N$109:$V$120,8,FALSE)/100)))</f>
        <v/>
      </c>
      <c r="M240" s="434" t="str">
        <f>IF(D240="","",((VLOOKUP(D240,'DB technologies'!$N$109:$Y$120,2,FALSE)*VLOOKUP($C$239,'DB animal categories'!$C$81:$AC$90,27,FALSE)*E240/1000)/VLOOKUP($C$239,'DB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'!$S$6/100)*(1-VLOOKUP(D240,'DB technologies'!$N$109:$Y$120,9,FALSE)/100))</f>
        <v/>
      </c>
      <c r="N240" s="434" t="str">
        <f>IF(D240="","",((VLOOKUP(D240,'DB technologies'!$N$109:$Y$120,3,FALSE)*VLOOKUP($C$239,'DB animal categories'!$C$81:$AC$90,27,FALSE)*E240/1000)/VLOOKUP($C$239,'DB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'!$S$7/100)*(1-VLOOKUP(D240,'DB technologies'!$N$109:$Y$120,9,FALSE)/100))</f>
        <v/>
      </c>
      <c r="O240" s="423" t="str">
        <f>IF(D240="","",((VLOOKUP(D240,'DB technologies'!$N$109:$Y$120,4,FALSE)*E240*(1-'DB additional information '!$S$8/100)*(1-VLOOKUP(D240,'DB technologies'!$N$109:$Y$120,8,FALSE)/100))/VLOOKUP($C$239,'DB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P240" s="438" t="str">
        <f>IF(G240=0,0,IF(E240="","",IF(F240="","",IF($C$239=0,"",IF(D240="","",SUM(H240:K240)/G240*100)))))</f>
        <v/>
      </c>
      <c r="Q240" s="416" t="str">
        <f>IF(D240="","",(VLOOKUP(D240,'DB technologies'!$N$109:$Y$120,2,FALSE)*'DB additional information '!$S$6/100*'DB additional information '!$T$6*VLOOKUP($C$239,'DB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R240" s="416" t="str">
        <f>IF(D240="","",(VLOOKUP(D240,'DB technologies'!$N$109:$Y$120,3,FALSE)*'DB additional information '!$S$7/100*'DB additional information '!$T$7*VLOOKUP($C$239,'DB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S240" s="491" t="str">
        <f>IF(D240="","",(VLOOKUP(D240,'DB technologies'!$N$109:$Y$120,4,FALSE)*('DB additional information '!$S$8/100*'DB additional information '!$T$8*E240/1000/1000)))</f>
        <v/>
      </c>
      <c r="T240" s="264" t="str">
        <f>IF($C$239=0,"",IF('Calc (ex-animal)'!$F$38=1,"",IF(D240="","",((VLOOKUP($C$239,'Calc (ex-animal)'!$D$43:$Y$47,10,FALSE)-VLOOKUP($C$239,'Calc (ex-animal)'!$D$43:$Y$47,18,FALSE))*F240/100+Q240+R240+S240)-AC240-AD240-AE240)))</f>
        <v/>
      </c>
      <c r="U240" s="422" t="str">
        <f>IF(D240="","",(VLOOKUP(D240,'DB technologies'!$N$109:$Y$120,2,FALSE)*'DB additional information '!$S$6/100*'DB additional information '!$U$6*VLOOKUP($C$239,'DB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V240" s="418" t="str">
        <f>IF(D240="","",(VLOOKUP(D240,'DB technologies'!$N$109:$Y$120,3,FALSE)*'DB additional information '!$S$7/100*'DB additional information '!$U$7*VLOOKUP($C$239,'DB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W240" s="417" t="str">
        <f>IF(D240="","",(VLOOKUP(D240,'DB technologies'!$N$109:$Y$120,4,FALSE)*('DB additional information '!$S$8/100*'DB additional information '!$U$8*E240/1000/1000)))</f>
        <v/>
      </c>
      <c r="X240" s="261" t="str">
        <f>IF($C$239=0,"",IF('Calc (ex-animal)'!$F$38=1,"",IF(D240="","",((VLOOKUP($C$239,'Calc (ex-animal)'!$D$43:$Y$47,13,FALSE)-VLOOKUP($C$239,'Calc (ex-animal)'!$D$43:$Y$47,19,FALSE))*F240/100+U240+V240+W240))))</f>
        <v/>
      </c>
      <c r="Y240" s="418" t="str">
        <f>IF(D240="","",(VLOOKUP(D240,'DB technologies'!$N$109:$Y$120,2,FALSE)*'DB additional information '!$S$6/100*'DB additional information '!$V$6*VLOOKUP($C$239,'DB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Z240" s="418" t="str">
        <f>IF(D240="","",(VLOOKUP(D240,'DB technologies'!$N$109:$Y$120,3,FALSE)*'DB additional information '!$S$7/100*'DB additional information '!$V$7*VLOOKUP($C$239,'DB animal categories'!$C$81:$AC$90,27,FALSE)*E240/1000/1000)/VLOOKUP($C$239,'DB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AA240" s="418" t="str">
        <f>IF(D240="","",(VLOOKUP(D240,'DB technologies'!$N$109:$Y$120,4,FALSE)*('DB additional information '!$S$8/100*'DB additional information '!$V$8*E240/1000/1000)))</f>
        <v/>
      </c>
      <c r="AB240" s="261" t="str">
        <f>IF($C$239=0,"",IF('Calc (ex-animal)'!$F$38=1,"",IF(D240="","",((VLOOKUP($C$239,'Calc (ex-animal)'!$D$43:$Y$47,16,FALSE)-VLOOKUP($C$239,'Calc (ex-animal)'!$D$43:$Y$47,20,FALSE))*F240/100+Y240+Z240+AA240))))</f>
        <v/>
      </c>
      <c r="AC240" s="261" t="str">
        <f>IF($C$239=0,"",IF('Calc (ex-animal)'!$F$38=1,"",IF(D240="","",VLOOKUP($C$239,'Calc (ex-animal)'!$D$43:$Y$47,9,FALSE)/VLOOKUP($C$239,'DB animal categories'!$C$81:$AC$90,27,FALSE)*(VLOOKUP($C$239,'DB animal categories'!$C$81:$AC$90,27,FALSE)-VLOOKUP($C$239,'DB animal categories'!$C$81:$AC$90,25,FALSE)*VLOOKUP($C$239,'DB animal categories'!$C$81:$AC$90,26,FALSE)/24)*F240/100*VLOOKUP(D240,'DB technologies'!$N$109:$R$120,5,FALSE)/100)))</f>
        <v/>
      </c>
      <c r="AD240" s="261" t="str">
        <f>IF($C$239=0,"",IF('Calc (ex-animal)'!$F$38=1,"",IF(D240="","",VLOOKUP($C$239,'Calc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categories'!$C$81:$AC$90,26,FALSE)/24)*F240/100*VLOOKUP(D240,'DB technologies'!$N$109:$Y$120,6,FALSE)/100)))</f>
        <v/>
      </c>
      <c r="AE240" s="262" t="str">
        <f>IF($C$239=0,"",IF('Calc (ex-animal)'!$F$38=1,"",IF(D240="","",VLOOKUP($C$239,'Calc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categories'!$C$81:$AC$90,26,FALSE)/24)*F240/100*VLOOKUP(D240,'DB technologies'!$N$109:$Y$120,7,FALSE)/100)))</f>
        <v/>
      </c>
      <c r="AI240" s="181" t="str">
        <f>IF(D240="","",VLOOKUP(D240,'DB technologies'!$N$109:$Y$120,10,FALSE))</f>
        <v/>
      </c>
      <c r="AJ240" s="449" t="e">
        <f>VLOOKUP($C$239,'DB animal categories'!$C$81:$AN$90,27,FALSE)-VLOOKUP($C$239,'DB animal categories'!$C$81:$AN$90,26,FALSE)*VLOOKUP($C$239,'DB animal categories'!$C$81:$AN$90,25,FALSE)/24</f>
        <v>#N/A</v>
      </c>
      <c r="AK240" s="442" t="str">
        <f>IF(AI240="","",AL240+AM240)</f>
        <v/>
      </c>
      <c r="AL240" s="442" t="str">
        <f>IF(D240="","",IF(AI240=2,(('Calc (ex-animal)'!$G$47*'DB additional information '!$K$10/100*(1-VLOOKUP(D240,'DB technologies'!$N$109:$Y$120,9,FALSE)/100)*'Calc (ex-housing, ex-storage)'!F240/100+'Calc (ex-animal)'!$H$47*'DB additional information '!$L$10/100*(1-VLOOKUP(D240,'DB technologies'!$N$109:$Y$120,9,FALSE)/100)*'Calc (ex-housing, ex-storage)'!F240/100))/VLOOKUP($C$239,'DB animal categories'!$C$81:$AC$90,27,FALSE)*AJ240+I240+J240+K240,IF(AI240=1,('Calc (ex-animal)'!$H$47*'DB additional information '!$L$10/100*(1-VLOOKUP(D240,'DB technologies'!$N$109:$Y$120,9,FALSE)/100)*'Calc (ex-housing, ex-storage)'!F240/100)/VLOOKUP($C$239,'DB animal categories'!$C$81:$AC$90,27,FALSE)*AJ240,IF(AI240=4,('Calc (ex-animal)'!$G$47*'DB additional information '!$K$10/100+'Calc (ex-animal)'!$H$47*'DB additional information '!$L$10/100)*(1-VLOOKUP(D240,'DB technologies'!$N$109:$Y$120,9,FALSE)/100)*'Calc (ex-housing, ex-storage)'!F240/100*VLOOKUP(D240,'DB technologies'!$N$109:$Y$120,11,FALSE)/100/VLOOKUP($C$239,'DB animal categories'!$C$81:$AC$90,27,FALSE)*AJ240,0))))</f>
        <v/>
      </c>
      <c r="AM240" s="442" t="str">
        <f>IF(D240="","",IF(AI240=2,(('Calc (ex-animal)'!$G$47*(1-'DB additional information '!$K$10/100)*(1-VLOOKUP(D240,'DB technologies'!$N$109:$Y$120,8,FALSE)/100)*'Calc (ex-housing, ex-storage)'!F240/100+'Calc (ex-animal)'!$H$47*(1-'DB additional information '!$L$10/100)*(1-VLOOKUP(D240,'DB technologies'!$N$109:$Y$120,8,FALSE)/100)*'Calc (ex-housing, ex-storage)'!F240/100))/VLOOKUP($C$239,'DB animal categories'!$C$81:$AC$90,27,FALSE)*AJ240+M240+N240+O240,IF(AI240=1,('Calc (ex-animal)'!$H$47*(1-'DB additional information '!$L$10/100)*(1-VLOOKUP(D240,'DB technologies'!$N$109:$Y$120,8,FALSE)/100)*'Calc (ex-housing, ex-storage)'!F240/100)/VLOOKUP($C$239,'DB animal categories'!$C$81:$AC$90,27,FALSE)*AJ240,IF(AI240=4,('Calc (ex-animal)'!$G$47*(1-'DB additional information '!$K$10/100)+'Calc (ex-animal)'!$H$47*(1-'DB additional information '!$L$10/100))*(1-VLOOKUP(D240,'DB technologies'!$N$109:$Y$120,8,FALSE)/100)*'Calc (ex-housing, ex-storage)'!F240/100*VLOOKUP(D240,'DB technologies'!$N$109:$Y$120,11,FALSE)/100/VLOOKUP($C$239,'DB animal categories'!$C$81:$AC$90,27,FALSE)*AJ240,0))))</f>
        <v/>
      </c>
      <c r="AN240" s="442" t="str">
        <f>IF(AI240="","",IF(AL240=0,0,AL240/AK240*100))</f>
        <v/>
      </c>
      <c r="AO240" s="182" t="str">
        <f>IF(D240="","",IF(AI240=2,(('Calc (ex-animal)'!$L$47*'Calc (ex-housing, ex-storage)'!F240/100+'Calc (ex-animal)'!$K$47*'Calc (ex-housing, ex-storage)'!F240/100))/VLOOKUP($C$239,'DB animal categories'!$C$81:$AC$90,27,FALSE)*AJ240+Q240+R240+S240-AC240,IF(AI240=1,('Calc (ex-animal)'!$L$47*'Calc (ex-housing, ex-storage)'!F240/100)/VLOOKUP($C$239,'DB animal categories'!$C$81:$AC$90,27,FALSE)*AJ240-'Calc (ex-housing, ex-storage)'!AC240,IF(AI240=4,('Calc (ex-animal)'!$L$47+'Calc (ex-animal)'!$K$47)*'Calc (ex-housing, ex-storage)'!F240/100*VLOOKUP(D240,'DB technologies'!$N$109:$Y$120,11,FALSE)/100/VLOOKUP($C$239,'DB animal categories'!$C$81:$AC$90,27,FALSE)*AJ240-AC240*VLOOKUP(D240,'DB technologies'!$N$109:$Y$120,11,FALSE)/100,0))))</f>
        <v/>
      </c>
      <c r="AP240" s="182" t="str">
        <f>IF(D240="","",IF(AO240&lt;-0.01,0,IF(AI240=2,(('Calc (ex-animal)'!$L$47*'Calc (ex-housing, ex-storage)'!F240/100+'Calc (ex-animal)'!$K$47*'Calc (ex-housing, ex-storage)'!F240/100))/VLOOKUP($C$239,'DB animal categories'!$C$81:$AC$90,27,FALSE)*AJ240+Q240+R240+S240-AC240,IF(AI240=1,('Calc (ex-animal)'!$L$47*'Calc (ex-housing, ex-storage)'!F240/100)/VLOOKUP($C$239,'DB animal categories'!$C$81:$AC$90,27,FALSE)*AJ240-'Calc (ex-housing, ex-storage)'!AC240,IF(AI240=4,('Calc (ex-animal)'!$L$47+'Calc (ex-animal)'!$K$47)*'Calc (ex-housing, ex-storage)'!F240/100*VLOOKUP(D240,'DB technologies'!$N$109:$Y$120,11,FALSE)/100/VLOOKUP($C$239,'DB animal categories'!$C$81:$AC$90,27,FALSE)*AJ240-AC240*VLOOKUP(D240,'DB technologies'!$N$109:$Y$120,11,FALSE)/100,0)))))</f>
        <v/>
      </c>
      <c r="AQ240" s="182" t="str">
        <f>IF(D240="","",IF(AI240=2,('Calc (ex-animal)'!$O$47*'Calc (ex-housing, ex-storage)'!F240/100+'Calc (ex-animal)'!$N$47*'Calc (ex-housing, ex-storage)'!F240/100)/VLOOKUP($C$239,'DB animal categories'!$C$81:$AC$90,27,FALSE)*AJ240+U240+V240+W240,IF(AI240=1,'Calc (ex-animal)'!$O$47*'Calc (ex-housing, ex-storage)'!F240/100/VLOOKUP($C$239,'DB animal categories'!$C$81:$AC$90,27,FALSE)*AJ240,IF(AI240=4,('Calc (ex-animal)'!$O$47+'Calc (ex-animal)'!$N$47)*'Calc (ex-housing, ex-storage)'!F240/100*VLOOKUP(D240,'DB technologies'!$N$109:$Y$120,11,FALSE)/100/VLOOKUP($C$239,'DB animal categories'!$C$81:$AC$90,27,FALSE)*AJ240,0))))</f>
        <v/>
      </c>
      <c r="AR240" s="182" t="str">
        <f>IF(D240="","",IF(AI240=2,('Calc (ex-animal)'!$R$47*'Calc (ex-housing, ex-storage)'!F240/100+'Calc (ex-animal)'!$Q$47*'Calc (ex-housing, ex-storage)'!F240/100)/VLOOKUP($C$239,'DB animal categories'!$C$81:$AC$90,27,FALSE)*AJ240+Y240+Z240+AA240,IF(AI240=1,'Calc (ex-animal)'!$R$47*'Calc (ex-housing, ex-storage)'!F240/100/VLOOKUP($C$239,'DB animal categories'!$C$81:$AC$90,27,FALSE)*AJ240,IF(AI240=4,('Calc (ex-animal)'!$R$47+'Calc (ex-animal)'!$Q$47)*'Calc (ex-housing, ex-storage)'!F240/100*VLOOKUP(D240,'DB technologies'!$N$109:$Y$120,11,FALSE)/100/VLOOKUP($C$239,'DB animal categories'!$C$81:$AC$90,27,FALSE)*AJ240,0))))</f>
        <v/>
      </c>
      <c r="AS240" s="181" t="str">
        <f>IF(D240="","",VLOOKUP(D240,'DB technologies'!$N$109:$Y$120,10,FALSE))</f>
        <v/>
      </c>
      <c r="AT240" s="442" t="str">
        <f>IF(AS240="","",AU240+AV240)</f>
        <v/>
      </c>
      <c r="AU240" s="442" t="str">
        <f>IF(D240="","",IF(AS240=2,0,IF(AS240=1,'Calc (ex-animal)'!$G$47*'DB additional information '!$K$10/100*(1-VLOOKUP(D240,'DB technologies'!$N$109:$Y$120,8,FALSE)/100)*'Calc (ex-housing, ex-storage)'!F240/100/VLOOKUP($C$239,'DB animal categories'!$C$81:$AC$90,27,FALSE)*AJ240+I240+J240+K240,IF(AS240=5,(('Calc (ex-animal)'!$G$47*'DB additional information '!$K$10/100+'Calc (ex-animal)'!$H$47*'DB additional information '!$L$10/100))*(1-VLOOKUP(D240,'DB technologies'!$N$109:$Y$120,9,FALSE)/100)*'Calc (ex-housing, ex-storage)'!F240/100/VLOOKUP($C$239,'DB animal categories'!$C$81:$AC$90,27,FALSE)*AJ240+I240+J240+K240,IF(AS240=3,('Calc (ex-animal)'!$G$47*'DB additional information '!$K$10/100+'Calc (ex-animal)'!$H$47*'DB additional information '!$L$10/100)*(1-VLOOKUP(D240,'DB technologies'!$N$109:$Y$120,9,FALSE)/100)*'Calc (ex-housing, ex-storage)'!F240/100/VLOOKUP($C$239,'DB animal categories'!$C$81:$AC$90,27,FALSE)*AJ240+I240+J240+K240,IF(AS240=4,('Calc (ex-animal)'!$G$47*'DB additional information '!$K$10/100+'Calc (ex-animal)'!$H$47*'DB additional information '!$L$10/100)*(1-VLOOKUP(D240,'DB technologies'!$N$109:$Y$120,9,FALSE)/100)*'Calc (ex-housing, ex-storage)'!F240/100*VLOOKUP(D240,'DB technologies'!$N$109:$Y$120,12,FALSE)/100/VLOOKUP($C$239,'DB animal categories'!$C$81:$AC$90,27,FALSE)*AJ240+I240+J240+K240,0))))))</f>
        <v/>
      </c>
      <c r="AV240" s="442" t="str">
        <f>IF(D240="","",IF(AS240=2,0,IF(AS240=1,'Calc (ex-animal)'!$G$47*(1-'DB additional information '!$K$10/100)*(1-VLOOKUP(D240,'DB technologies'!$N$109:$Y$120,8,FALSE)/100)*'Calc (ex-housing, ex-storage)'!F240/100/VLOOKUP($C$239,'DB animal categories'!$C$81:$AC$90,27,FALSE)*AJ240+M240+N240+O240,IF(AS240=5,('Calc (ex-animal)'!$G$47*(1-'DB additional information '!$K$10/100)+'Calc (ex-animal)'!$H$47*(1-'DB additional information '!$L$10/100))*(1-VLOOKUP(D240,'DB technologies'!$N$109:$Y$120,8,FALSE)/100)*'Calc (ex-housing, ex-storage)'!F240/100/VLOOKUP($C$239,'DB animal categories'!$C$81:$AC$90,27,FALSE)*AJ240+M240+N240+O240,IF(AS240=3,('Calc (ex-animal)'!$G$47*(1-'DB additional information '!$K$10/100)+'Calc (ex-animal)'!$H$47*(1-'DB additional information '!$L$10/100))*(1-VLOOKUP(D240,'DB technologies'!$N$109:$Y$120,8,FALSE)/100)*'Calc (ex-housing, ex-storage)'!F240/100/VLOOKUP($C$239,'DB animal categories'!$C$81:$AC$90,27,FALSE)*AJ240+M240+N240+O240,IF(AS240=4,('Calc (ex-animal)'!$G$47*(1-'DB additional information '!$K$10/100)+'Calc (ex-animal)'!$H$47*(1-'DB additional information '!$L$10/100))*(1-VLOOKUP(D240,'DB technologies'!$N$109:$Y$120,8,FALSE)/100)*'Calc (ex-housing, ex-storage)'!F240/100*VLOOKUP(D240,'DB technologies'!$N$109:$Y$120,12,FALSE)/100/VLOOKUP($C$239,'DB animal categories'!$C$81:$AC$90,27,FALSE)*AJ240+M240+N240+O240,0))))))</f>
        <v/>
      </c>
      <c r="AW240" s="442" t="str">
        <f>IF(AS240="","",IF(AU240=0,0,AU240/AT240*100))</f>
        <v/>
      </c>
      <c r="AX240" s="182" t="str">
        <f>IF(D240="","",IF(AS240=2,0,IF(AS240=1,'Calc (ex-animal)'!$K$47*'Calc (ex-housing, ex-storage)'!F240/100/VLOOKUP($C$239,'DB animal categories'!$C$81:$AC$90,27,FALSE)*AJ240+Q240+R240+S240,IF(AS240=5,('Calc (ex-animal)'!$K$47+'Calc (ex-animal)'!$L$47)*'Calc (ex-housing, ex-storage)'!F240/100/VLOOKUP($C$239,'DB animal categories'!$C$81:$AC$90,27,FALSE)*AJ240+Q240+R240+S240-'Calc (ex-housing, ex-storage)'!AC240,IF(AS240=3,('Calc (ex-animal)'!$K$47+'Calc (ex-animal)'!$L$47)*'Calc (ex-housing, ex-storage)'!F240/100/VLOOKUP($C$239,'DB animal categories'!$C$81:$AC$90,27,FALSE)*AJ240+Q240+R240+S240-'Calc (ex-housing, ex-storage)'!AC240-AD240-AE240,IF(AI240=4,('Calc (ex-animal)'!$K$47+'Calc (ex-animal)'!$L$47)*'Calc (ex-housing, ex-storage)'!F240/100*VLOOKUP(D240,'DB technologies'!$N$109:$Y$120,12,FALSE)/100/VLOOKUP($C$239,'DB animal categories'!$C$81:$AC$90,27,FALSE)*AJ240+Q240+R240+S240-(VLOOKUP(D240,'DB technologies'!$N$109:$Y$120,12,FALSE)/100*AC240)-AD240-AE240,0))))))</f>
        <v/>
      </c>
      <c r="AY240" s="182" t="str">
        <f>IF(D240="","",IF(AS240=2,0,IF(AS240=1,'Calc (ex-animal)'!$N$47*'Calc (ex-housing, ex-storage)'!F240/100/VLOOKUP($C$239,'DB animal categories'!$C$81:$AC$90,27,FALSE)*AJ240+U240+V240+W240,IF(AS240=5,('Calc (ex-animal)'!$N$47+'Calc (ex-animal)'!$O$47)*'Calc (ex-housing, ex-storage)'!F240/100/VLOOKUP($C$239,'DB animal categories'!$C$81:$AC$90,27,FALSE)*AJ240+U240+V240+W240,IF(AS240=3,('Calc (ex-animal)'!$N$47+'Calc (ex-animal)'!$O$47)*'Calc (ex-housing, ex-storage)'!F240/100/VLOOKUP($C$239,'DB animal categories'!$C$81:$AC$90,27,FALSE)*AJ240+U240+V240+W240,IF(AS240=4,('Calc (ex-animal)'!$N$47+'Calc (ex-animal)'!$O$47)*'Calc (ex-housing, ex-storage)'!F240/100*VLOOKUP(D240,'DB technologies'!$N$109:$Y$120,12,FALSE)/100/VLOOKUP($C$239,'DB animal categories'!$C$81:$AC$90,27,FALSE)*AJ240+U240+V240+W240,0))))))</f>
        <v/>
      </c>
      <c r="AZ240" s="182" t="str">
        <f>IF(D240="","",IF(AS240=2,0,IF(AS240=1,'Calc (ex-animal)'!$Q$47*'Calc (ex-housing, ex-storage)'!F240/100/VLOOKUP($C$239,'DB animal categories'!$C$81:$AC$90,27,FALSE)*AJ240+Y240+Z240+AA240,IF(AS240=5,('Calc (ex-animal)'!$Q$47+'Calc (ex-animal)'!$R$47)*'Calc (ex-housing, ex-storage)'!F240/100/VLOOKUP($C$239,'DB animal categories'!$C$81:$AC$90,27,FALSE)*AJ240+Y240+Z240+AA240,IF(AS240=3,('Calc (ex-animal)'!$Q$47+'Calc (ex-animal)'!$R$47)*'Calc (ex-housing, ex-storage)'!F240/100/VLOOKUP($C$239,'DB animal categories'!$C$81:$AC$90,27,FALSE)*AJ240+Y240+Z240+AA240,IF(AS240=4,('Calc (ex-animal)'!$Q$47+'Calc (ex-animal)'!$R$47)*'Calc (ex-housing, ex-storage)'!F240/100*VLOOKUP(D240,'DB technologies'!$N$109:$Y$120,12,FALSE)/100/VLOOKUP($C$239,'DB animal categories'!$C$81:$AC$90,27,FALSE)*AJ240+Y240+Z240+AA240,0))))))</f>
        <v/>
      </c>
      <c r="BA240" s="506"/>
      <c r="BB240" s="506"/>
      <c r="BC240" s="506"/>
    </row>
    <row r="241" spans="1:55" x14ac:dyDescent="0.2">
      <c r="A241" s="684"/>
      <c r="B241" s="695"/>
      <c r="C241" s="251"/>
      <c r="D241" s="1397"/>
      <c r="E241" s="1358"/>
      <c r="F241" s="480" t="str">
        <f>IF('Calc (ex-animal)'!$F$38=1,"",IF($C$239=0,"",IF(D241="","",E241/'Calc (ex-animal)'!$E$47*100)))</f>
        <v/>
      </c>
      <c r="G241" s="485" t="str">
        <f>IF($C$239=0,"",IF('Calc (ex-animal)'!$F$38=1,"",IF(D241="","",SUM(H241:O241))))</f>
        <v/>
      </c>
      <c r="H241" s="423" t="str">
        <f>IF('Calc (ex-animal)'!$F$38=1,"",IF(D241="","",(((VLOOKUP($C$239,'Calc (ex-animal)'!$D$43:$Y$47,6,FALSE)-VLOOKUP($C$239,'Calc (ex-animal)'!$D$43:$Y$47,17,FALSE))*F241/100))*VLOOKUP($C$239,'Calc (ex-animal)'!$D$43:$Y$47,7,FALSE)/100*(1-VLOOKUP(D241,'DB technologies'!$N$109:$Y$120,9,FALSE)/100)))</f>
        <v/>
      </c>
      <c r="I241" s="423" t="str">
        <f>IF(D241="","",((VLOOKUP(D241,'DB technologies'!$N$109:$Y$120,2,FALSE)*VLOOKUP($C$239,'DB animal categories'!$C$81:$AC$90,27,FALSE)*E241/1000)/VLOOKUP($C$239,'DB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'!$S$6/100*(1-VLOOKUP(D241,'DB technologies'!$N$109:$Y$120,9,FALSE)/100)))</f>
        <v/>
      </c>
      <c r="J241" s="434" t="str">
        <f>IF(D241="","",((VLOOKUP(D241,'DB technologies'!$N$109:$Y$120,3,FALSE)*VLOOKUP($C$239,'DB animal categories'!$C$81:$AC$90,27,FALSE)*E241/1000)/VLOOKUP($C$239,'DB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'!$S$7/100*(1-VLOOKUP(D241,'DB technologies'!$N$109:$Y$120,9,FALSE)/100)))</f>
        <v/>
      </c>
      <c r="K241" s="434" t="str">
        <f>IF(D241="","",((VLOOKUP(D241,'DB technologies'!$N$109:$Y$120,4,FALSE)*E241*'DB additional information '!$S$8/100*(1-VLOOKUP(D241,'DB technologies'!$N$109:$Y$120,9,FALSE)/100))/VLOOKUP($C$239,'DB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L241" s="423" t="str">
        <f>IF('Calc (ex-animal)'!$F$38=1,"",IF(D241="","",(((VLOOKUP($C$239,'Calc (ex-animal)'!$D$43:$Y$47,6,FALSE)-VLOOKUP($C$239,'Calc (ex-animal)'!$D$43:$Y$47,17,FALSE))*F241/100))*(1-VLOOKUP($C$239,'Calc (ex-animal)'!$D$43:$Y$47,7,FALSE)/100)*(1-VLOOKUP(D241,'DB technologies'!$N$109:$V$120,8,FALSE)/100)))</f>
        <v/>
      </c>
      <c r="M241" s="434" t="str">
        <f>IF(D241="","",((VLOOKUP(D241,'DB technologies'!$N$109:$Y$120,2,FALSE)*VLOOKUP($C$239,'DB animal categories'!$C$81:$AC$90,27,FALSE)*E241/1000)/VLOOKUP($C$239,'DB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'!$S$6/100)*(1-VLOOKUP(D241,'DB technologies'!$N$109:$Y$120,9,FALSE)/100))</f>
        <v/>
      </c>
      <c r="N241" s="434" t="str">
        <f>IF(D241="","",((VLOOKUP(D241,'DB technologies'!$N$109:$Y$120,3,FALSE)*VLOOKUP($C$239,'DB animal categories'!$C$81:$AC$90,27,FALSE)*E241/1000)/VLOOKUP($C$239,'DB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'!$S$7/100)*(1-VLOOKUP(D241,'DB technologies'!$N$109:$Y$120,9,FALSE)/100))</f>
        <v/>
      </c>
      <c r="O241" s="423" t="str">
        <f>IF(D241="","",((VLOOKUP(D241,'DB technologies'!$N$109:$Y$120,4,FALSE)*E241*(1-'DB additional information '!$S$8/100)*(1-VLOOKUP(D241,'DB technologies'!$N$109:$Y$120,8,FALSE)/100))/VLOOKUP($C$239,'DB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P241" s="438" t="str">
        <f>IF(G241=0,0,IF(E241="","",IF(F241="","",IF($C$239=0,"",IF(D241="","",SUM(H241:K241)/G241*100)))))</f>
        <v/>
      </c>
      <c r="Q241" s="416" t="str">
        <f>IF(D241="","",(VLOOKUP(D241,'DB technologies'!$N$109:$Y$120,2,FALSE)*'DB additional information '!$S$6/100*'DB additional information '!$T$6*VLOOKUP($C$239,'DB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R241" s="416" t="str">
        <f>IF(D241="","",(VLOOKUP(D241,'DB technologies'!$N$109:$Y$120,3,FALSE)*'DB additional information '!$S$7/100*'DB additional information '!$T$7*VLOOKUP($C$239,'DB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S241" s="491" t="str">
        <f>IF(D241="","",(VLOOKUP(D241,'DB technologies'!$N$109:$Y$120,4,FALSE)*('DB additional information '!$S$8/100*'DB additional information '!$T$8*E241/1000/1000)))</f>
        <v/>
      </c>
      <c r="T241" s="264" t="str">
        <f>IF($C$239=0,"",IF('Calc (ex-animal)'!$F$38=1,"",IF(D241="","",((VLOOKUP($C$239,'Calc (ex-animal)'!$D$43:$Y$47,10,FALSE)-VLOOKUP($C$239,'Calc (ex-animal)'!$D$43:$Y$47,18,FALSE))*F241/100+Q241+R241+S241)-AC241-AD241-AE241)))</f>
        <v/>
      </c>
      <c r="U241" s="422" t="str">
        <f>IF(D241="","",(VLOOKUP(D241,'DB technologies'!$N$109:$Y$120,2,FALSE)*'DB additional information '!$S$6/100*'DB additional information '!$U$6*VLOOKUP($C$239,'DB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V241" s="418" t="str">
        <f>IF(D241="","",(VLOOKUP(D241,'DB technologies'!$N$109:$Y$120,3,FALSE)*'DB additional information '!$S$7/100*'DB additional information '!$U$7*VLOOKUP($C$239,'DB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W241" s="417" t="str">
        <f>IF(D241="","",(VLOOKUP(D241,'DB technologies'!$N$109:$Y$120,4,FALSE)*('DB additional information '!$S$8/100*'DB additional information '!$U$8*E241/1000/1000)))</f>
        <v/>
      </c>
      <c r="X241" s="261" t="str">
        <f>IF($C$239=0,"",IF('Calc (ex-animal)'!$F$38=1,"",IF(D241="","",((VLOOKUP($C$239,'Calc (ex-animal)'!$D$43:$Y$47,13,FALSE)-VLOOKUP($C$239,'Calc (ex-animal)'!$D$43:$Y$47,19,FALSE))*F241/100+U241+V241+W241))))</f>
        <v/>
      </c>
      <c r="Y241" s="418" t="str">
        <f>IF(D241="","",(VLOOKUP(D241,'DB technologies'!$N$109:$Y$120,2,FALSE)*'DB additional information '!$S$6/100*'DB additional information '!$V$6*VLOOKUP($C$239,'DB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Z241" s="418" t="str">
        <f>IF(D241="","",(VLOOKUP(D241,'DB technologies'!$N$109:$Y$120,3,FALSE)*'DB additional information '!$S$7/100*'DB additional information '!$V$7*VLOOKUP($C$239,'DB animal categories'!$C$81:$AC$90,27,FALSE)*E241/1000/1000)/VLOOKUP($C$239,'DB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AA241" s="418" t="str">
        <f>IF(D241="","",(VLOOKUP(D241,'DB technologies'!$N$109:$Y$120,4,FALSE)*('DB additional information '!$S$8/100*'DB additional information '!$V$8*E241/1000/1000)))</f>
        <v/>
      </c>
      <c r="AB241" s="261" t="str">
        <f>IF($C$239=0,"",IF('Calc (ex-animal)'!$F$38=1,"",IF(D241="","",((VLOOKUP($C$239,'Calc (ex-animal)'!$D$43:$Y$47,16,FALSE)-VLOOKUP($C$239,'Calc (ex-animal)'!$D$43:$Y$47,20,FALSE))*F241/100+Y241+Z241+AA241))))</f>
        <v/>
      </c>
      <c r="AC241" s="261" t="str">
        <f>IF($C$239=0,"",IF('Calc (ex-animal)'!$F$38=1,"",IF(D241="","",VLOOKUP($C$239,'Calc (ex-animal)'!$D$43:$Y$47,9,FALSE)/VLOOKUP($C$239,'DB animal categories'!$C$81:$AC$90,27,FALSE)*(VLOOKUP($C$239,'DB animal categories'!$C$81:$AC$90,27,FALSE)-VLOOKUP($C$239,'DB animal categories'!$C$81:$AC$90,25,FALSE)*VLOOKUP($C$239,'DB animal categories'!$C$81:$AC$90,26,FALSE)/24)*F241/100*VLOOKUP(D241,'DB technologies'!$N$109:$R$120,5,FALSE)/100)))</f>
        <v/>
      </c>
      <c r="AD241" s="261" t="str">
        <f>IF($C$239=0,"",IF('Calc (ex-animal)'!$F$38=1,"",IF(D241="","",VLOOKUP($C$239,'Calc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categories'!$C$81:$AC$90,26,FALSE)/24)*F241/100*VLOOKUP(D241,'DB technologies'!$N$109:$Y$120,6,FALSE)/100)))</f>
        <v/>
      </c>
      <c r="AE241" s="262" t="str">
        <f>IF($C$239=0,"",IF('Calc (ex-animal)'!$F$38=1,"",IF(D241="","",VLOOKUP($C$239,'Calc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categories'!$C$81:$AC$90,26,FALSE)/24)*F241/100*VLOOKUP(D241,'DB technologies'!$N$109:$Y$120,7,FALSE)/100)))</f>
        <v/>
      </c>
      <c r="AI241" s="181" t="str">
        <f>IF(D241="","",VLOOKUP(D241,'DB technologies'!$N$109:$Y$120,10,FALSE))</f>
        <v/>
      </c>
      <c r="AJ241" s="449" t="e">
        <f>VLOOKUP($C$239,'DB animal categories'!$C$81:$AN$90,27,FALSE)-VLOOKUP($C$239,'DB animal categories'!$C$81:$AN$90,26,FALSE)*VLOOKUP($C$239,'DB animal categories'!$C$81:$AN$90,25,FALSE)/24</f>
        <v>#N/A</v>
      </c>
      <c r="AK241" s="442" t="str">
        <f>IF(AI241="","",AL241+AM241)</f>
        <v/>
      </c>
      <c r="AL241" s="442" t="str">
        <f>IF(D241="","",IF(AI241=2,(('Calc (ex-animal)'!$G$47*'DB additional information '!$K$10/100*(1-VLOOKUP(D241,'DB technologies'!$N$109:$Y$120,9,FALSE)/100)*'Calc (ex-housing, ex-storage)'!F241/100+'Calc (ex-animal)'!$H$47*'DB additional information '!$L$10/100*(1-VLOOKUP(D241,'DB technologies'!$N$109:$Y$120,9,FALSE)/100)*'Calc (ex-housing, ex-storage)'!F241/100))/VLOOKUP($C$239,'DB animal categories'!$C$81:$AC$90,27,FALSE)*AJ241+I241+J241+K241,IF(AI241=1,('Calc (ex-animal)'!$H$47*'DB additional information '!$L$10/100*(1-VLOOKUP(D241,'DB technologies'!$N$109:$Y$120,9,FALSE)/100)*'Calc (ex-housing, ex-storage)'!F241/100)/VLOOKUP($C$239,'DB animal categories'!$C$81:$AC$90,27,FALSE)*AJ241,IF(AI241=4,('Calc (ex-animal)'!$G$47*'DB additional information '!$K$10/100+'Calc (ex-animal)'!$H$47*'DB additional information '!$L$10/100)*(1-VLOOKUP(D241,'DB technologies'!$N$109:$Y$120,9,FALSE)/100)*'Calc (ex-housing, ex-storage)'!F241/100*VLOOKUP(D241,'DB technologies'!$N$109:$Y$120,11,FALSE)/100/VLOOKUP($C$239,'DB animal categories'!$C$81:$AC$90,27,FALSE)*AJ241,0))))</f>
        <v/>
      </c>
      <c r="AM241" s="442" t="str">
        <f>IF(D241="","",IF(AI241=2,(('Calc (ex-animal)'!$G$47*(1-'DB additional information '!$K$10/100)*(1-VLOOKUP(D241,'DB technologies'!$N$109:$Y$120,8,FALSE)/100)*'Calc (ex-housing, ex-storage)'!F241/100+'Calc (ex-animal)'!$H$47*(1-'DB additional information '!$L$10/100)*(1-VLOOKUP(D241,'DB technologies'!$N$109:$Y$120,8,FALSE)/100)*'Calc (ex-housing, ex-storage)'!F241/100))/VLOOKUP($C$239,'DB animal categories'!$C$81:$AC$90,27,FALSE)*AJ241+M241+N241+O241,IF(AI241=1,('Calc (ex-animal)'!$H$47*(1-'DB additional information '!$L$10/100)*(1-VLOOKUP(D241,'DB technologies'!$N$109:$Y$120,8,FALSE)/100)*'Calc (ex-housing, ex-storage)'!F241/100)/VLOOKUP($C$239,'DB animal categories'!$C$81:$AC$90,27,FALSE)*AJ241,IF(AI241=4,('Calc (ex-animal)'!$G$47*(1-'DB additional information '!$K$10/100)+'Calc (ex-animal)'!$H$47*(1-'DB additional information '!$L$10/100))*(1-VLOOKUP(D241,'DB technologies'!$N$109:$Y$120,8,FALSE)/100)*'Calc (ex-housing, ex-storage)'!F241/100*VLOOKUP(D241,'DB technologies'!$N$109:$Y$120,11,FALSE)/100/VLOOKUP($C$239,'DB animal categories'!$C$81:$AC$90,27,FALSE)*AJ241,0))))</f>
        <v/>
      </c>
      <c r="AN241" s="442" t="str">
        <f>IF(AI241="","",IF(AL241=0,0,AL241/AK241*100))</f>
        <v/>
      </c>
      <c r="AO241" s="182" t="str">
        <f>IF(D241="","",IF(AI241=2,(('Calc (ex-animal)'!$L$47*'Calc (ex-housing, ex-storage)'!F241/100+'Calc (ex-animal)'!$K$47*'Calc (ex-housing, ex-storage)'!F241/100))/VLOOKUP($C$239,'DB animal categories'!$C$81:$AC$90,27,FALSE)*AJ241+Q241+R241+S241-AC241,IF(AI241=1,('Calc (ex-animal)'!$L$47*'Calc (ex-housing, ex-storage)'!F241/100)/VLOOKUP($C$239,'DB animal categories'!$C$81:$AC$90,27,FALSE)*AJ241-'Calc (ex-housing, ex-storage)'!AC241,IF(AI241=4,('Calc (ex-animal)'!$L$47+'Calc (ex-animal)'!$K$47)*'Calc (ex-housing, ex-storage)'!F241/100*VLOOKUP(D241,'DB technologies'!$N$109:$Y$120,11,FALSE)/100/VLOOKUP($C$239,'DB animal categories'!$C$81:$AC$90,27,FALSE)*AJ241-AC241*VLOOKUP(D241,'DB technologies'!$N$109:$Y$120,11,FALSE)/100,0))))</f>
        <v/>
      </c>
      <c r="AP241" s="182" t="str">
        <f>IF(D241="","",IF(AO241&lt;-0.01,0,IF(AI241=2,(('Calc (ex-animal)'!$L$47*'Calc (ex-housing, ex-storage)'!F241/100+'Calc (ex-animal)'!$K$47*'Calc (ex-housing, ex-storage)'!F241/100))/VLOOKUP($C$239,'DB animal categories'!$C$81:$AC$90,27,FALSE)*AJ241+Q241+R241+S241-AC241,IF(AI241=1,('Calc (ex-animal)'!$L$47*'Calc (ex-housing, ex-storage)'!F241/100)/VLOOKUP($C$239,'DB animal categories'!$C$81:$AC$90,27,FALSE)*AJ241-'Calc (ex-housing, ex-storage)'!AC241,IF(AI241=4,('Calc (ex-animal)'!$L$47+'Calc (ex-animal)'!$K$47)*'Calc (ex-housing, ex-storage)'!F241/100*VLOOKUP(D241,'DB technologies'!$N$109:$Y$120,11,FALSE)/100/VLOOKUP($C$239,'DB animal categories'!$C$81:$AC$90,27,FALSE)*AJ241-AC241*VLOOKUP(D241,'DB technologies'!$N$109:$Y$120,11,FALSE)/100,0)))))</f>
        <v/>
      </c>
      <c r="AQ241" s="182" t="str">
        <f>IF(D241="","",IF(AI241=2,('Calc (ex-animal)'!$O$47*'Calc (ex-housing, ex-storage)'!F241/100+'Calc (ex-animal)'!$N$47*'Calc (ex-housing, ex-storage)'!F241/100)/VLOOKUP($C$239,'DB animal categories'!$C$81:$AC$90,27,FALSE)*AJ241+U241+V241+W241,IF(AI241=1,'Calc (ex-animal)'!$O$47*'Calc (ex-housing, ex-storage)'!F241/100/VLOOKUP($C$239,'DB animal categories'!$C$81:$AC$90,27,FALSE)*AJ241,IF(AI241=4,('Calc (ex-animal)'!$O$47+'Calc (ex-animal)'!$N$47)*'Calc (ex-housing, ex-storage)'!F241/100*VLOOKUP(D241,'DB technologies'!$N$109:$Y$120,11,FALSE)/100/VLOOKUP($C$239,'DB animal categories'!$C$81:$AC$90,27,FALSE)*AJ241,0))))</f>
        <v/>
      </c>
      <c r="AR241" s="182" t="str">
        <f>IF(D241="","",IF(AI241=2,('Calc (ex-animal)'!$R$47*'Calc (ex-housing, ex-storage)'!F241/100+'Calc (ex-animal)'!$Q$47*'Calc (ex-housing, ex-storage)'!F241/100)/VLOOKUP($C$239,'DB animal categories'!$C$81:$AC$90,27,FALSE)*AJ241+Y241+Z241+AA241,IF(AI241=1,'Calc (ex-animal)'!$R$47*'Calc (ex-housing, ex-storage)'!F241/100/VLOOKUP($C$239,'DB animal categories'!$C$81:$AC$90,27,FALSE)*AJ241,IF(AI241=4,('Calc (ex-animal)'!$R$47+'Calc (ex-animal)'!$Q$47)*'Calc (ex-housing, ex-storage)'!F241/100*VLOOKUP(D241,'DB technologies'!$N$109:$Y$120,11,FALSE)/100/VLOOKUP($C$239,'DB animal categories'!$C$81:$AC$90,27,FALSE)*AJ241,0))))</f>
        <v/>
      </c>
      <c r="AS241" s="181" t="str">
        <f>IF(D241="","",VLOOKUP(D241,'DB technologies'!$N$109:$Y$120,10,FALSE))</f>
        <v/>
      </c>
      <c r="AT241" s="442" t="str">
        <f>IF(AS241="","",AU241+AV241)</f>
        <v/>
      </c>
      <c r="AU241" s="442" t="str">
        <f>IF(D241="","",IF(AS241=2,0,IF(AS241=1,'Calc (ex-animal)'!$G$47*'DB additional information '!$K$10/100*(1-VLOOKUP(D241,'DB technologies'!$N$109:$Y$120,8,FALSE)/100)*'Calc (ex-housing, ex-storage)'!F241/100/VLOOKUP($C$239,'DB animal categories'!$C$81:$AC$90,27,FALSE)*AJ241+I241+J241+K241,IF(AS241=5,(('Calc (ex-animal)'!$G$47*'DB additional information '!$K$10/100+'Calc (ex-animal)'!$H$47*'DB additional information '!$L$10/100))*(1-VLOOKUP(D241,'DB technologies'!$N$109:$Y$120,9,FALSE)/100)*'Calc (ex-housing, ex-storage)'!F241/100/VLOOKUP($C$239,'DB animal categories'!$C$81:$AC$90,27,FALSE)*AJ241+I241+J241+K241,IF(AS241=3,('Calc (ex-animal)'!$G$47*'DB additional information '!$K$10/100+'Calc (ex-animal)'!$H$47*'DB additional information '!$L$10/100)*(1-VLOOKUP(D241,'DB technologies'!$N$109:$Y$120,9,FALSE)/100)*'Calc (ex-housing, ex-storage)'!F241/100/VLOOKUP($C$239,'DB animal categories'!$C$81:$AC$90,27,FALSE)*AJ241+I241+J241+K241,IF(AS241=4,('Calc (ex-animal)'!$G$47*'DB additional information '!$K$10/100+'Calc (ex-animal)'!$H$47*'DB additional information '!$L$10/100)*(1-VLOOKUP(D241,'DB technologies'!$N$109:$Y$120,9,FALSE)/100)*'Calc (ex-housing, ex-storage)'!F241/100*VLOOKUP(D241,'DB technologies'!$N$109:$Y$120,12,FALSE)/100/VLOOKUP($C$239,'DB animal categories'!$C$81:$AC$90,27,FALSE)*AJ241+I241+J241+K241,0))))))</f>
        <v/>
      </c>
      <c r="AV241" s="442" t="str">
        <f>IF(D241="","",IF(AS241=2,0,IF(AS241=1,'Calc (ex-animal)'!$G$47*(1-'DB additional information '!$K$10/100)*(1-VLOOKUP(D241,'DB technologies'!$N$109:$Y$120,8,FALSE)/100)*'Calc (ex-housing, ex-storage)'!F241/100/VLOOKUP($C$239,'DB animal categories'!$C$81:$AC$90,27,FALSE)*AJ241+M241+N241+O241,IF(AS241=5,('Calc (ex-animal)'!$G$47*(1-'DB additional information '!$K$10/100)+'Calc (ex-animal)'!$H$47*(1-'DB additional information '!$L$10/100))*(1-VLOOKUP(D241,'DB technologies'!$N$109:$Y$120,8,FALSE)/100)*'Calc (ex-housing, ex-storage)'!F241/100/VLOOKUP($C$239,'DB animal categories'!$C$81:$AC$90,27,FALSE)*AJ241+M241+N241+O241,IF(AS241=3,('Calc (ex-animal)'!$G$47*(1-'DB additional information '!$K$10/100)+'Calc (ex-animal)'!$H$47*(1-'DB additional information '!$L$10/100))*(1-VLOOKUP(D241,'DB technologies'!$N$109:$Y$120,8,FALSE)/100)*'Calc (ex-housing, ex-storage)'!F241/100/VLOOKUP($C$239,'DB animal categories'!$C$81:$AC$90,27,FALSE)*AJ241+M241+N241+O241,IF(AS241=4,('Calc (ex-animal)'!$G$47*(1-'DB additional information '!$K$10/100)+'Calc (ex-animal)'!$H$47*(1-'DB additional information '!$L$10/100))*(1-VLOOKUP(D241,'DB technologies'!$N$109:$Y$120,8,FALSE)/100)*'Calc (ex-housing, ex-storage)'!F241/100*VLOOKUP(D241,'DB technologies'!$N$109:$Y$120,12,FALSE)/100/VLOOKUP($C$239,'DB animal categories'!$C$81:$AC$90,27,FALSE)*AJ241+M241+N241+O241,0))))))</f>
        <v/>
      </c>
      <c r="AW241" s="442" t="str">
        <f>IF(AS241="","",IF(AU241=0,0,AU241/AT241*100))</f>
        <v/>
      </c>
      <c r="AX241" s="182" t="str">
        <f>IF(D241="","",IF(AS241=2,0,IF(AS241=1,'Calc (ex-animal)'!$K$47*'Calc (ex-housing, ex-storage)'!F241/100/VLOOKUP($C$239,'DB animal categories'!$C$81:$AC$90,27,FALSE)*AJ241+Q241+R241+S241,IF(AS241=5,('Calc (ex-animal)'!$K$47+'Calc (ex-animal)'!$L$47)*'Calc (ex-housing, ex-storage)'!F241/100/VLOOKUP($C$239,'DB animal categories'!$C$81:$AC$90,27,FALSE)*AJ241+Q241+R241+S241-'Calc (ex-housing, ex-storage)'!AC241,IF(AS241=3,('Calc (ex-animal)'!$K$47+'Calc (ex-animal)'!$L$47)*'Calc (ex-housing, ex-storage)'!F241/100/VLOOKUP($C$239,'DB animal categories'!$C$81:$AC$90,27,FALSE)*AJ241+Q241+R241+S241-'Calc (ex-housing, ex-storage)'!AC241-AD241-AE241,IF(AI241=4,('Calc (ex-animal)'!$K$47+'Calc (ex-animal)'!$L$47)*'Calc (ex-housing, ex-storage)'!F241/100*VLOOKUP(D241,'DB technologies'!$N$109:$Y$120,12,FALSE)/100/VLOOKUP($C$239,'DB animal categories'!$C$81:$AC$90,27,FALSE)*AJ241+Q241+R241+S241-(VLOOKUP(D241,'DB technologies'!$N$109:$Y$120,12,FALSE)/100*AC241)-AD241-AE241,0))))))</f>
        <v/>
      </c>
      <c r="AY241" s="182" t="str">
        <f>IF(D241="","",IF(AS241=2,0,IF(AS241=1,'Calc (ex-animal)'!$N$47*'Calc (ex-housing, ex-storage)'!F241/100/VLOOKUP($C$239,'DB animal categories'!$C$81:$AC$90,27,FALSE)*AJ241+U241+V241+W241,IF(AS241=5,('Calc (ex-animal)'!$N$47+'Calc (ex-animal)'!$O$47)*'Calc (ex-housing, ex-storage)'!F241/100/VLOOKUP($C$239,'DB animal categories'!$C$81:$AC$90,27,FALSE)*AJ241+U241+V241+W241,IF(AS241=3,('Calc (ex-animal)'!$N$47+'Calc (ex-animal)'!$O$47)*'Calc (ex-housing, ex-storage)'!F241/100/VLOOKUP($C$239,'DB animal categories'!$C$81:$AC$90,27,FALSE)*AJ241+U241+V241+W241,IF(AS241=4,('Calc (ex-animal)'!$N$47+'Calc (ex-animal)'!$O$47)*'Calc (ex-housing, ex-storage)'!F241/100*VLOOKUP(D241,'DB technologies'!$N$109:$Y$120,12,FALSE)/100/VLOOKUP($C$239,'DB animal categories'!$C$81:$AC$90,27,FALSE)*AJ241+U241+V241+W241,0))))))</f>
        <v/>
      </c>
      <c r="AZ241" s="182" t="str">
        <f>IF(D241="","",IF(AS241=2,0,IF(AS241=1,'Calc (ex-animal)'!$Q$47*'Calc (ex-housing, ex-storage)'!F241/100/VLOOKUP($C$239,'DB animal categories'!$C$81:$AC$90,27,FALSE)*AJ241+Y241+Z241+AA241,IF(AS241=5,('Calc (ex-animal)'!$Q$47+'Calc (ex-animal)'!$R$47)*'Calc (ex-housing, ex-storage)'!F241/100/VLOOKUP($C$239,'DB animal categories'!$C$81:$AC$90,27,FALSE)*AJ241+Y241+Z241+AA241,IF(AS241=3,('Calc (ex-animal)'!$Q$47+'Calc (ex-animal)'!$R$47)*'Calc (ex-housing, ex-storage)'!F241/100/VLOOKUP($C$239,'DB animal categories'!$C$81:$AC$90,27,FALSE)*AJ241+Y241+Z241+AA241,IF(AS241=4,('Calc (ex-animal)'!$Q$47+'Calc (ex-animal)'!$R$47)*'Calc (ex-housing, ex-storage)'!F241/100*VLOOKUP(D241,'DB technologies'!$N$109:$Y$120,12,FALSE)/100/VLOOKUP($C$239,'DB animal categories'!$C$81:$AC$90,27,FALSE)*AJ241+Y241+Z241+AA241,0))))))</f>
        <v/>
      </c>
      <c r="BA241" s="506"/>
      <c r="BB241" s="506"/>
      <c r="BC241" s="506"/>
    </row>
    <row r="242" spans="1:55" x14ac:dyDescent="0.2">
      <c r="A242" s="684"/>
      <c r="B242" s="695"/>
      <c r="C242" s="251"/>
      <c r="D242" s="1397"/>
      <c r="E242" s="1358"/>
      <c r="F242" s="480" t="str">
        <f>IF('Calc (ex-animal)'!$F$38=1,"",IF($C$239=0,"",IF(D242="","",E242/'Calc (ex-animal)'!$E$47*100)))</f>
        <v/>
      </c>
      <c r="G242" s="485" t="str">
        <f>IF($C$239=0,"",IF('Calc (ex-animal)'!$F$38=1,"",IF(D242="","",SUM(H242:O242))))</f>
        <v/>
      </c>
      <c r="H242" s="423" t="str">
        <f>IF('Calc (ex-animal)'!$F$38=1,"",IF(D242="","",(((VLOOKUP($C$239,'Calc (ex-animal)'!$D$43:$Y$47,6,FALSE)-VLOOKUP($C$239,'Calc (ex-animal)'!$D$43:$Y$47,17,FALSE))*F242/100))*VLOOKUP($C$239,'Calc (ex-animal)'!$D$43:$Y$47,7,FALSE)/100*(1-VLOOKUP(D242,'DB technologies'!$N$109:$Y$120,9,FALSE)/100)))</f>
        <v/>
      </c>
      <c r="I242" s="423" t="str">
        <f>IF(D242="","",((VLOOKUP(D242,'DB technologies'!$N$109:$Y$120,2,FALSE)*VLOOKUP($C$239,'DB animal categories'!$C$81:$AC$90,27,FALSE)*E242/1000)/VLOOKUP($C$239,'DB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'!$S$6/100*(1-VLOOKUP(D242,'DB technologies'!$N$109:$Y$120,9,FALSE)/100)))</f>
        <v/>
      </c>
      <c r="J242" s="434" t="str">
        <f>IF(D242="","",((VLOOKUP(D242,'DB technologies'!$N$109:$Y$120,3,FALSE)*VLOOKUP($C$239,'DB animal categories'!$C$81:$AC$90,27,FALSE)*E242/1000)/VLOOKUP($C$239,'DB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'!$S$7/100*(1-VLOOKUP(D242,'DB technologies'!$N$109:$Y$120,9,FALSE)/100)))</f>
        <v/>
      </c>
      <c r="K242" s="434" t="str">
        <f>IF(D242="","",((VLOOKUP(D242,'DB technologies'!$N$109:$Y$120,4,FALSE)*E242*'DB additional information '!$S$8/100*(1-VLOOKUP(D242,'DB technologies'!$N$109:$Y$120,9,FALSE)/100))/VLOOKUP($C$239,'DB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L242" s="423" t="str">
        <f>IF('Calc (ex-animal)'!$F$38=1,"",IF(D242="","",(((VLOOKUP($C$239,'Calc (ex-animal)'!$D$43:$Y$47,6,FALSE)-VLOOKUP($C$239,'Calc (ex-animal)'!$D$43:$Y$47,17,FALSE))*F242/100))*(1-VLOOKUP($C$239,'Calc (ex-animal)'!$D$43:$Y$47,7,FALSE)/100)*(1-VLOOKUP(D242,'DB technologies'!$N$109:$V$120,8,FALSE)/100)))</f>
        <v/>
      </c>
      <c r="M242" s="434" t="str">
        <f>IF(D242="","",((VLOOKUP(D242,'DB technologies'!$N$109:$Y$120,2,FALSE)*VLOOKUP($C$239,'DB animal categories'!$C$81:$AC$90,27,FALSE)*E242/1000)/VLOOKUP($C$239,'DB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'!$S$6/100)*(1-VLOOKUP(D242,'DB technologies'!$N$109:$Y$120,9,FALSE)/100))</f>
        <v/>
      </c>
      <c r="N242" s="434" t="str">
        <f>IF(D242="","",((VLOOKUP(D242,'DB technologies'!$N$109:$Y$120,3,FALSE)*VLOOKUP($C$239,'DB animal categories'!$C$81:$AC$90,27,FALSE)*E242/1000)/VLOOKUP($C$239,'DB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'!$S$7/100)*(1-VLOOKUP(D242,'DB technologies'!$N$109:$Y$120,9,FALSE)/100))</f>
        <v/>
      </c>
      <c r="O242" s="423" t="str">
        <f>IF(D242="","",((VLOOKUP(D242,'DB technologies'!$N$109:$Y$120,4,FALSE)*E242*(1-'DB additional information '!$S$8/100)*(1-VLOOKUP(D242,'DB technologies'!$N$109:$Y$120,8,FALSE)/100))/VLOOKUP($C$239,'DB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P242" s="438" t="str">
        <f>IF(G242=0,0,IF(E242="","",IF(F242="","",IF($C$239=0,"",IF(D242="","",SUM(H242:K242)/G242*100)))))</f>
        <v/>
      </c>
      <c r="Q242" s="416" t="str">
        <f>IF(D242="","",(VLOOKUP(D242,'DB technologies'!$N$109:$Y$120,2,FALSE)*'DB additional information '!$S$6/100*'DB additional information '!$T$6*VLOOKUP($C$239,'DB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R242" s="416" t="str">
        <f>IF(D242="","",(VLOOKUP(D242,'DB technologies'!$N$109:$Y$120,3,FALSE)*'DB additional information '!$S$7/100*'DB additional information '!$T$7*VLOOKUP($C$239,'DB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S242" s="491" t="str">
        <f>IF(D242="","",(VLOOKUP(D242,'DB technologies'!$N$109:$Y$120,4,FALSE)*('DB additional information '!$S$8/100*'DB additional information '!$T$8*E242/1000/1000)))</f>
        <v/>
      </c>
      <c r="T242" s="264" t="str">
        <f>IF($C$239=0,"",IF('Calc (ex-animal)'!$F$38=1,"",IF(D242="","",((VLOOKUP($C$239,'Calc (ex-animal)'!$D$43:$Y$47,10,FALSE)-VLOOKUP($C$239,'Calc (ex-animal)'!$D$43:$Y$47,18,FALSE))*F242/100+Q242+R242+S242)-AC242-AD242-AE242)))</f>
        <v/>
      </c>
      <c r="U242" s="422" t="str">
        <f>IF(D242="","",(VLOOKUP(D242,'DB technologies'!$N$109:$Y$120,2,FALSE)*'DB additional information '!$S$6/100*'DB additional information '!$U$6*VLOOKUP($C$239,'DB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V242" s="418" t="str">
        <f>IF(D242="","",(VLOOKUP(D242,'DB technologies'!$N$109:$Y$120,3,FALSE)*'DB additional information '!$S$7/100*'DB additional information '!$U$7*VLOOKUP($C$239,'DB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W242" s="417" t="str">
        <f>IF(D242="","",(VLOOKUP(D242,'DB technologies'!$N$109:$Y$120,4,FALSE)*('DB additional information '!$S$8/100*'DB additional information '!$U$8*E242/1000/1000)))</f>
        <v/>
      </c>
      <c r="X242" s="261" t="str">
        <f>IF($C$239=0,"",IF('Calc (ex-animal)'!$F$38=1,"",IF(D242="","",((VLOOKUP($C$239,'Calc (ex-animal)'!$D$43:$Y$47,13,FALSE)-VLOOKUP($C$239,'Calc (ex-animal)'!$D$43:$Y$47,19,FALSE))*F242/100+U242+V242+W242))))</f>
        <v/>
      </c>
      <c r="Y242" s="418" t="str">
        <f>IF(D242="","",(VLOOKUP(D242,'DB technologies'!$N$109:$Y$120,2,FALSE)*'DB additional information '!$S$6/100*'DB additional information '!$V$6*VLOOKUP($C$239,'DB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Z242" s="418" t="str">
        <f>IF(D242="","",(VLOOKUP(D242,'DB technologies'!$N$109:$Y$120,3,FALSE)*'DB additional information '!$S$7/100*'DB additional information '!$V$7*VLOOKUP($C$239,'DB animal categories'!$C$81:$AC$90,27,FALSE)*E242/1000/1000)/VLOOKUP($C$239,'DB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AA242" s="418" t="str">
        <f>IF(D242="","",(VLOOKUP(D242,'DB technologies'!$N$109:$Y$120,4,FALSE)*('DB additional information '!$S$8/100*'DB additional information '!$V$8*E242/1000/1000)))</f>
        <v/>
      </c>
      <c r="AB242" s="261" t="str">
        <f>IF($C$239=0,"",IF('Calc (ex-animal)'!$F$38=1,"",IF(D242="","",((VLOOKUP($C$239,'Calc (ex-animal)'!$D$43:$Y$47,16,FALSE)-VLOOKUP($C$239,'Calc (ex-animal)'!$D$43:$Y$47,20,FALSE))*F242/100+Y242+Z242+AA242))))</f>
        <v/>
      </c>
      <c r="AC242" s="261" t="str">
        <f>IF($C$239=0,"",IF('Calc (ex-animal)'!$F$38=1,"",IF(D242="","",VLOOKUP($C$239,'Calc (ex-animal)'!$D$43:$Y$47,9,FALSE)/VLOOKUP($C$239,'DB animal categories'!$C$81:$AC$90,27,FALSE)*(VLOOKUP($C$239,'DB animal categories'!$C$81:$AC$90,27,FALSE)-VLOOKUP($C$239,'DB animal categories'!$C$81:$AC$90,25,FALSE)*VLOOKUP($C$239,'DB animal categories'!$C$81:$AC$90,26,FALSE)/24)*F242/100*VLOOKUP(D242,'DB technologies'!$N$109:$R$120,5,FALSE)/100)))</f>
        <v/>
      </c>
      <c r="AD242" s="261" t="str">
        <f>IF($C$239=0,"",IF('Calc (ex-animal)'!$F$38=1,"",IF(D242="","",VLOOKUP($C$239,'Calc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categories'!$C$81:$AC$90,26,FALSE)/24)*F242/100*VLOOKUP(D242,'DB technologies'!$N$109:$Y$120,6,FALSE)/100)))</f>
        <v/>
      </c>
      <c r="AE242" s="262" t="str">
        <f>IF($C$239=0,"",IF('Calc (ex-animal)'!$F$38=1,"",IF(D242="","",VLOOKUP($C$239,'Calc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categories'!$C$81:$AC$90,26,FALSE)/24)*F242/100*VLOOKUP(D242,'DB technologies'!$N$109:$Y$120,7,FALSE)/100)))</f>
        <v/>
      </c>
      <c r="AI242" s="181" t="str">
        <f>IF(D242="","",VLOOKUP(D242,'DB technologies'!$N$109:$Y$120,10,FALSE))</f>
        <v/>
      </c>
      <c r="AJ242" s="449" t="e">
        <f>VLOOKUP($C$239,'DB animal categories'!$C$81:$AN$90,27,FALSE)-VLOOKUP($C$239,'DB animal categories'!$C$81:$AN$90,26,FALSE)*VLOOKUP($C$239,'DB animal categories'!$C$81:$AN$90,25,FALSE)/24</f>
        <v>#N/A</v>
      </c>
      <c r="AK242" s="442" t="str">
        <f>IF(AI242="","",AL242+AM242)</f>
        <v/>
      </c>
      <c r="AL242" s="442" t="str">
        <f>IF(D242="","",IF(AI242=2,(('Calc (ex-animal)'!$G$47*'DB additional information '!$K$10/100*(1-VLOOKUP(D242,'DB technologies'!$N$109:$Y$120,9,FALSE)/100)*'Calc (ex-housing, ex-storage)'!F242/100+'Calc (ex-animal)'!$H$47*'DB additional information '!$L$10/100*(1-VLOOKUP(D242,'DB technologies'!$N$109:$Y$120,9,FALSE)/100)*'Calc (ex-housing, ex-storage)'!F242/100))/VLOOKUP($C$239,'DB animal categories'!$C$81:$AC$90,27,FALSE)*AJ242+I242+J242+K242,IF(AI242=1,('Calc (ex-animal)'!$H$47*'DB additional information '!$L$10/100*(1-VLOOKUP(D242,'DB technologies'!$N$109:$Y$120,9,FALSE)/100)*'Calc (ex-housing, ex-storage)'!F242/100)/VLOOKUP($C$239,'DB animal categories'!$C$81:$AC$90,27,FALSE)*AJ242,IF(AI242=4,('Calc (ex-animal)'!$G$47*'DB additional information '!$K$10/100+'Calc (ex-animal)'!$H$47*'DB additional information '!$L$10/100)*(1-VLOOKUP(D242,'DB technologies'!$N$109:$Y$120,9,FALSE)/100)*'Calc (ex-housing, ex-storage)'!F242/100*VLOOKUP(D242,'DB technologies'!$N$109:$Y$120,11,FALSE)/100/VLOOKUP($C$239,'DB animal categories'!$C$81:$AC$90,27,FALSE)*AJ242,0))))</f>
        <v/>
      </c>
      <c r="AM242" s="442" t="str">
        <f>IF(D242="","",IF(AI242=2,(('Calc (ex-animal)'!$G$47*(1-'DB additional information '!$K$10/100)*(1-VLOOKUP(D242,'DB technologies'!$N$109:$Y$120,8,FALSE)/100)*'Calc (ex-housing, ex-storage)'!F242/100+'Calc (ex-animal)'!$H$47*(1-'DB additional information '!$L$10/100)*(1-VLOOKUP(D242,'DB technologies'!$N$109:$Y$120,8,FALSE)/100)*'Calc (ex-housing, ex-storage)'!F242/100))/VLOOKUP($C$239,'DB animal categories'!$C$81:$AC$90,27,FALSE)*AJ242+M242+N242+O242,IF(AI242=1,('Calc (ex-animal)'!$H$47*(1-'DB additional information '!$L$10/100)*(1-VLOOKUP(D242,'DB technologies'!$N$109:$Y$120,8,FALSE)/100)*'Calc (ex-housing, ex-storage)'!F242/100)/VLOOKUP($C$239,'DB animal categories'!$C$81:$AC$90,27,FALSE)*AJ242,IF(AI242=4,('Calc (ex-animal)'!$G$47*(1-'DB additional information '!$K$10/100)+'Calc (ex-animal)'!$H$47*(1-'DB additional information '!$L$10/100))*(1-VLOOKUP(D242,'DB technologies'!$N$109:$Y$120,8,FALSE)/100)*'Calc (ex-housing, ex-storage)'!F242/100*VLOOKUP(D242,'DB technologies'!$N$109:$Y$120,11,FALSE)/100/VLOOKUP($C$239,'DB animal categories'!$C$81:$AC$90,27,FALSE)*AJ242,0))))</f>
        <v/>
      </c>
      <c r="AN242" s="442" t="str">
        <f>IF(AI242="","",IF(AL242=0,0,AL242/AK242*100))</f>
        <v/>
      </c>
      <c r="AO242" s="182" t="str">
        <f>IF(D242="","",IF(AI242=2,(('Calc (ex-animal)'!$L$47*'Calc (ex-housing, ex-storage)'!F242/100+'Calc (ex-animal)'!$K$47*'Calc (ex-housing, ex-storage)'!F242/100))/VLOOKUP($C$239,'DB animal categories'!$C$81:$AC$90,27,FALSE)*AJ242+Q242+R242+S242-AC242,IF(AI242=1,('Calc (ex-animal)'!$L$47*'Calc (ex-housing, ex-storage)'!F242/100)/VLOOKUP($C$239,'DB animal categories'!$C$81:$AC$90,27,FALSE)*AJ242-'Calc (ex-housing, ex-storage)'!AC242,IF(AI242=4,('Calc (ex-animal)'!$L$47+'Calc (ex-animal)'!$K$47)*'Calc (ex-housing, ex-storage)'!F242/100*VLOOKUP(D242,'DB technologies'!$N$109:$Y$120,11,FALSE)/100/VLOOKUP($C$239,'DB animal categories'!$C$81:$AC$90,27,FALSE)*AJ242-AC242*VLOOKUP(D242,'DB technologies'!$N$109:$Y$120,11,FALSE)/100,0))))</f>
        <v/>
      </c>
      <c r="AP242" s="182" t="str">
        <f>IF(D242="","",IF(AO242&lt;-0.01,0,IF(AI242=2,(('Calc (ex-animal)'!$L$47*'Calc (ex-housing, ex-storage)'!F242/100+'Calc (ex-animal)'!$K$47*'Calc (ex-housing, ex-storage)'!F242/100))/VLOOKUP($C$239,'DB animal categories'!$C$81:$AC$90,27,FALSE)*AJ242+Q242+R242+S242-AC242,IF(AI242=1,('Calc (ex-animal)'!$L$47*'Calc (ex-housing, ex-storage)'!F242/100)/VLOOKUP($C$239,'DB animal categories'!$C$81:$AC$90,27,FALSE)*AJ242-'Calc (ex-housing, ex-storage)'!AC242,IF(AI242=4,('Calc (ex-animal)'!$L$47+'Calc (ex-animal)'!$K$47)*'Calc (ex-housing, ex-storage)'!F242/100*VLOOKUP(D242,'DB technologies'!$N$109:$Y$120,11,FALSE)/100/VLOOKUP($C$239,'DB animal categories'!$C$81:$AC$90,27,FALSE)*AJ242-AC242*VLOOKUP(D242,'DB technologies'!$N$109:$Y$120,11,FALSE)/100,0)))))</f>
        <v/>
      </c>
      <c r="AQ242" s="182" t="str">
        <f>IF(D242="","",IF(AI242=2,('Calc (ex-animal)'!$O$47*'Calc (ex-housing, ex-storage)'!F242/100+'Calc (ex-animal)'!$N$47*'Calc (ex-housing, ex-storage)'!F242/100)/VLOOKUP($C$239,'DB animal categories'!$C$81:$AC$90,27,FALSE)*AJ242+U242+V242+W242,IF(AI242=1,'Calc (ex-animal)'!$O$47*'Calc (ex-housing, ex-storage)'!F242/100/VLOOKUP($C$239,'DB animal categories'!$C$81:$AC$90,27,FALSE)*AJ242,IF(AI242=4,('Calc (ex-animal)'!$O$47+'Calc (ex-animal)'!$N$47)*'Calc (ex-housing, ex-storage)'!F242/100*VLOOKUP(D242,'DB technologies'!$N$109:$Y$120,11,FALSE)/100/VLOOKUP($C$239,'DB animal categories'!$C$81:$AC$90,27,FALSE)*AJ242,0))))</f>
        <v/>
      </c>
      <c r="AR242" s="182" t="str">
        <f>IF(D242="","",IF(AI242=2,('Calc (ex-animal)'!$R$47*'Calc (ex-housing, ex-storage)'!F242/100+'Calc (ex-animal)'!$Q$47*'Calc (ex-housing, ex-storage)'!F242/100)/VLOOKUP($C$239,'DB animal categories'!$C$81:$AC$90,27,FALSE)*AJ242+Y242+Z242+AA242,IF(AI242=1,'Calc (ex-animal)'!$R$47*'Calc (ex-housing, ex-storage)'!F242/100/VLOOKUP($C$239,'DB animal categories'!$C$81:$AC$90,27,FALSE)*AJ242,IF(AI242=4,('Calc (ex-animal)'!$R$47+'Calc (ex-animal)'!$Q$47)*'Calc (ex-housing, ex-storage)'!F242/100*VLOOKUP(D242,'DB technologies'!$N$109:$Y$120,11,FALSE)/100/VLOOKUP($C$239,'DB animal categories'!$C$81:$AC$90,27,FALSE)*AJ242,0))))</f>
        <v/>
      </c>
      <c r="AS242" s="181" t="str">
        <f>IF(D242="","",VLOOKUP(D242,'DB technologies'!$N$109:$Y$120,10,FALSE))</f>
        <v/>
      </c>
      <c r="AT242" s="442" t="str">
        <f>IF(AS242="","",AU242+AV242)</f>
        <v/>
      </c>
      <c r="AU242" s="442" t="str">
        <f>IF(D242="","",IF(AS242=2,0,IF(AS242=1,'Calc (ex-animal)'!$G$47*'DB additional information '!$K$10/100*(1-VLOOKUP(D242,'DB technologies'!$N$109:$Y$120,8,FALSE)/100)*'Calc (ex-housing, ex-storage)'!F242/100/VLOOKUP($C$239,'DB animal categories'!$C$81:$AC$90,27,FALSE)*AJ242+I242+J242+K242,IF(AS242=5,(('Calc (ex-animal)'!$G$47*'DB additional information '!$K$10/100+'Calc (ex-animal)'!$H$47*'DB additional information '!$L$10/100))*(1-VLOOKUP(D242,'DB technologies'!$N$109:$Y$120,9,FALSE)/100)*'Calc (ex-housing, ex-storage)'!F242/100/VLOOKUP($C$239,'DB animal categories'!$C$81:$AC$90,27,FALSE)*AJ242+I242+J242+K242,IF(AS242=3,('Calc (ex-animal)'!$G$47*'DB additional information '!$K$10/100+'Calc (ex-animal)'!$H$47*'DB additional information '!$L$10/100)*(1-VLOOKUP(D242,'DB technologies'!$N$109:$Y$120,9,FALSE)/100)*'Calc (ex-housing, ex-storage)'!F242/100/VLOOKUP($C$239,'DB animal categories'!$C$81:$AC$90,27,FALSE)*AJ242+I242+J242+K242,IF(AS242=4,('Calc (ex-animal)'!$G$47*'DB additional information '!$K$10/100+'Calc (ex-animal)'!$H$47*'DB additional information '!$L$10/100)*(1-VLOOKUP(D242,'DB technologies'!$N$109:$Y$120,9,FALSE)/100)*'Calc (ex-housing, ex-storage)'!F242/100*VLOOKUP(D242,'DB technologies'!$N$109:$Y$120,12,FALSE)/100/VLOOKUP($C$239,'DB animal categories'!$C$81:$AC$90,27,FALSE)*AJ242+I242+J242+K242,0))))))</f>
        <v/>
      </c>
      <c r="AV242" s="442" t="str">
        <f>IF(D242="","",IF(AS242=2,0,IF(AS242=1,'Calc (ex-animal)'!$G$47*(1-'DB additional information '!$K$10/100)*(1-VLOOKUP(D242,'DB technologies'!$N$109:$Y$120,8,FALSE)/100)*'Calc (ex-housing, ex-storage)'!F242/100/VLOOKUP($C$239,'DB animal categories'!$C$81:$AC$90,27,FALSE)*AJ242+M242+N242+O242,IF(AS242=5,('Calc (ex-animal)'!$G$47*(1-'DB additional information '!$K$10/100)+'Calc (ex-animal)'!$H$47*(1-'DB additional information '!$L$10/100))*(1-VLOOKUP(D242,'DB technologies'!$N$109:$Y$120,8,FALSE)/100)*'Calc (ex-housing, ex-storage)'!F242/100/VLOOKUP($C$239,'DB animal categories'!$C$81:$AC$90,27,FALSE)*AJ242+M242+N242+O242,IF(AS242=3,('Calc (ex-animal)'!$G$47*(1-'DB additional information '!$K$10/100)+'Calc (ex-animal)'!$H$47*(1-'DB additional information '!$L$10/100))*(1-VLOOKUP(D242,'DB technologies'!$N$109:$Y$120,8,FALSE)/100)*'Calc (ex-housing, ex-storage)'!F242/100/VLOOKUP($C$239,'DB animal categories'!$C$81:$AC$90,27,FALSE)*AJ242+M242+N242+O242,IF(AS242=4,('Calc (ex-animal)'!$G$47*(1-'DB additional information '!$K$10/100)+'Calc (ex-animal)'!$H$47*(1-'DB additional information '!$L$10/100))*(1-VLOOKUP(D242,'DB technologies'!$N$109:$Y$120,8,FALSE)/100)*'Calc (ex-housing, ex-storage)'!F242/100*VLOOKUP(D242,'DB technologies'!$N$109:$Y$120,12,FALSE)/100/VLOOKUP($C$239,'DB animal categories'!$C$81:$AC$90,27,FALSE)*AJ242+M242+N242+O242,0))))))</f>
        <v/>
      </c>
      <c r="AW242" s="442" t="str">
        <f>IF(AS242="","",IF(AU242=0,0,AU242/AT242*100))</f>
        <v/>
      </c>
      <c r="AX242" s="182" t="str">
        <f>IF(D242="","",IF(AS242=2,0,IF(AS242=1,'Calc (ex-animal)'!$K$47*'Calc (ex-housing, ex-storage)'!F242/100/VLOOKUP($C$239,'DB animal categories'!$C$81:$AC$90,27,FALSE)*AJ242+Q242+R242+S242,IF(AS242=5,('Calc (ex-animal)'!$K$47+'Calc (ex-animal)'!$L$47)*'Calc (ex-housing, ex-storage)'!F242/100/VLOOKUP($C$239,'DB animal categories'!$C$81:$AC$90,27,FALSE)*AJ242+Q242+R242+S242-'Calc (ex-housing, ex-storage)'!AC242,IF(AS242=3,('Calc (ex-animal)'!$K$47+'Calc (ex-animal)'!$L$47)*'Calc (ex-housing, ex-storage)'!F242/100/VLOOKUP($C$239,'DB animal categories'!$C$81:$AC$90,27,FALSE)*AJ242+Q242+R242+S242-'Calc (ex-housing, ex-storage)'!AC242-AD242-AE242,IF(AI242=4,('Calc (ex-animal)'!$K$47+'Calc (ex-animal)'!$L$47)*'Calc (ex-housing, ex-storage)'!F242/100*VLOOKUP(D242,'DB technologies'!$N$109:$Y$120,12,FALSE)/100/VLOOKUP($C$239,'DB animal categories'!$C$81:$AC$90,27,FALSE)*AJ242+Q242+R242+S242-(VLOOKUP(D242,'DB technologies'!$N$109:$Y$120,12,FALSE)/100*AC242)-AD242-AE242,0))))))</f>
        <v/>
      </c>
      <c r="AY242" s="182" t="str">
        <f>IF(D242="","",IF(AS242=2,0,IF(AS242=1,'Calc (ex-animal)'!$N$47*'Calc (ex-housing, ex-storage)'!F242/100/VLOOKUP($C$239,'DB animal categories'!$C$81:$AC$90,27,FALSE)*AJ242+U242+V242+W242,IF(AS242=5,('Calc (ex-animal)'!$N$47+'Calc (ex-animal)'!$O$47)*'Calc (ex-housing, ex-storage)'!F242/100/VLOOKUP($C$239,'DB animal categories'!$C$81:$AC$90,27,FALSE)*AJ242+U242+V242+W242,IF(AS242=3,('Calc (ex-animal)'!$N$47+'Calc (ex-animal)'!$O$47)*'Calc (ex-housing, ex-storage)'!F242/100/VLOOKUP($C$239,'DB animal categories'!$C$81:$AC$90,27,FALSE)*AJ242+U242+V242+W242,IF(AS242=4,('Calc (ex-animal)'!$N$47+'Calc (ex-animal)'!$O$47)*'Calc (ex-housing, ex-storage)'!F242/100*VLOOKUP(D242,'DB technologies'!$N$109:$Y$120,12,FALSE)/100/VLOOKUP($C$239,'DB animal categories'!$C$81:$AC$90,27,FALSE)*AJ242+U242+V242+W242,0))))))</f>
        <v/>
      </c>
      <c r="AZ242" s="182" t="str">
        <f>IF(D242="","",IF(AS242=2,0,IF(AS242=1,'Calc (ex-animal)'!$Q$47*'Calc (ex-housing, ex-storage)'!F242/100/VLOOKUP($C$239,'DB animal categories'!$C$81:$AC$90,27,FALSE)*AJ242+Y242+Z242+AA242,IF(AS242=5,('Calc (ex-animal)'!$Q$47+'Calc (ex-animal)'!$R$47)*'Calc (ex-housing, ex-storage)'!F242/100/VLOOKUP($C$239,'DB animal categories'!$C$81:$AC$90,27,FALSE)*AJ242+Y242+Z242+AA242,IF(AS242=3,('Calc (ex-animal)'!$Q$47+'Calc (ex-animal)'!$R$47)*'Calc (ex-housing, ex-storage)'!F242/100/VLOOKUP($C$239,'DB animal categories'!$C$81:$AC$90,27,FALSE)*AJ242+Y242+Z242+AA242,IF(AS242=4,('Calc (ex-animal)'!$Q$47+'Calc (ex-animal)'!$R$47)*'Calc (ex-housing, ex-storage)'!F242/100*VLOOKUP(D242,'DB technologies'!$N$109:$Y$120,12,FALSE)/100/VLOOKUP($C$239,'DB animal categories'!$C$81:$AC$90,27,FALSE)*AJ242+Y242+Z242+AA242,0))))))</f>
        <v/>
      </c>
      <c r="BA242" s="506"/>
      <c r="BB242" s="506"/>
      <c r="BC242" s="506"/>
    </row>
    <row r="243" spans="1:55" ht="12" thickBot="1" x14ac:dyDescent="0.25">
      <c r="A243" s="684"/>
      <c r="B243" s="695"/>
      <c r="C243" s="251"/>
      <c r="D243" s="1398"/>
      <c r="E243" s="1360"/>
      <c r="F243" s="481" t="str">
        <f>IF('Calc (ex-animal)'!$F$38=1,"",IF($C$239=0,"",IF(D243="","",E243/'Calc (ex-animal)'!$E$47*100)))</f>
        <v/>
      </c>
      <c r="G243" s="483" t="str">
        <f>IF($C$239=0,"",IF('Calc (ex-animal)'!$F$38=1,"",IF(D243="","",SUM(H243:O243))))</f>
        <v/>
      </c>
      <c r="H243" s="445" t="str">
        <f>IF('Calc (ex-animal)'!$F$38=1,"",IF(D243="","",(((VLOOKUP($C$239,'Calc (ex-animal)'!$D$43:$Y$47,6,FALSE)-VLOOKUP($C$239,'Calc (ex-animal)'!$D$43:$Y$47,17,FALSE))*F243/100))*VLOOKUP($C$239,'Calc (ex-animal)'!$D$43:$Y$47,7,FALSE)/100*(1-VLOOKUP(D243,'DB technologies'!$N$109:$Y$120,9,FALSE)/100)))</f>
        <v/>
      </c>
      <c r="I243" s="445" t="str">
        <f>IF(D243="","",((VLOOKUP(D243,'DB technologies'!$N$109:$Y$120,2,FALSE)*VLOOKUP($C$239,'DB animal categories'!$C$81:$AC$90,27,FALSE)*E243/1000)/VLOOKUP($C$239,'DB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'!$S$6/100*(1-VLOOKUP(D243,'DB technologies'!$N$109:$Y$120,9,FALSE)/100)))</f>
        <v/>
      </c>
      <c r="J243" s="446" t="str">
        <f>IF(D243="","",((VLOOKUP(D243,'DB technologies'!$N$109:$Y$120,3,FALSE)*VLOOKUP($C$239,'DB animal categories'!$C$81:$AC$90,27,FALSE)*E243/1000)/VLOOKUP($C$239,'DB animal categories'!$C$81:$AC$90,27,FALSE)*(VLOOKUP($C$239,'DB animal categories'!$C$81:$AC$90,27,FALSE)-(VLOOKUP($C$239,'DB animal categories'!$C$81:$AC$90,25,FALSE)*VLOOKUP($C$239,'DB animal categories'!$C$81:$AC$90,26,FALSE)/24))*'DB additional information '!$S$7/100*(1-VLOOKUP(D243,'DB technologies'!$N$109:$Y$120,9,FALSE)/100)))</f>
        <v/>
      </c>
      <c r="K243" s="446" t="str">
        <f>IF(D243="","",((VLOOKUP(D243,'DB technologies'!$N$109:$Y$120,4,FALSE)*E243*'DB additional information '!$S$8/100*(1-VLOOKUP(D243,'DB technologies'!$N$109:$Y$120,9,FALSE)/100))/VLOOKUP($C$239,'DB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L243" s="445" t="str">
        <f>IF('Calc (ex-animal)'!$F$38=1,"",IF(D243="","",(((VLOOKUP($C$239,'Calc (ex-animal)'!$D$43:$Y$47,6,FALSE)-VLOOKUP($C$239,'Calc (ex-animal)'!$D$43:$Y$47,17,FALSE))*F243/100))*(1-VLOOKUP($C$239,'Calc (ex-animal)'!$D$43:$Y$47,7,FALSE)/100)*(1-VLOOKUP(D243,'DB technologies'!$N$109:$V$120,8,FALSE)/100)))</f>
        <v/>
      </c>
      <c r="M243" s="446" t="str">
        <f>IF(D243="","",((VLOOKUP(D243,'DB technologies'!$N$109:$Y$120,2,FALSE)*VLOOKUP($C$239,'DB animal categories'!$C$81:$AC$90,27,FALSE)*E243/1000)/VLOOKUP($C$239,'DB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'!$S$6/100)*(1-VLOOKUP(D243,'DB technologies'!$N$109:$Y$120,9,FALSE)/100))</f>
        <v/>
      </c>
      <c r="N243" s="446" t="str">
        <f>IF(D243="","",((VLOOKUP(D243,'DB technologies'!$N$109:$Y$120,3,FALSE)*VLOOKUP($C$239,'DB animal categories'!$C$81:$AC$90,27,FALSE)*E243/1000)/VLOOKUP($C$239,'DB animal categories'!$C$81:$AC$90,27,FALSE)*(VLOOKUP($C$239,'DB animal categories'!$C$81:$AC$90,27,FALSE)-VLOOKUP($C$239,'DB animal categories'!$C$81:$AC$90,25,FALSE)*VLOOKUP($C$239,'DB animal categories'!$C$81:$AC$90,26,FALSE)/24))*(1-'DB additional information '!$S$7/100)*(1-VLOOKUP(D243,'DB technologies'!$N$109:$Y$120,9,FALSE)/100))</f>
        <v/>
      </c>
      <c r="O243" s="445" t="str">
        <f>IF(D243="","",((VLOOKUP(D243,'DB technologies'!$N$109:$Y$120,4,FALSE)*E243*(1-'DB additional information '!$S$8/100)*(1-VLOOKUP(D243,'DB technologies'!$N$109:$Y$120,8,FALSE)/100))/VLOOKUP($C$239,'DB animal categories'!$C$81:$AC$90,27,FALSE)*(VLOOKUP($C$239,'DB animal categories'!$C$81:$AC$90,27,FALSE)-VLOOKUP($C$239,'DB animal categories'!$C$81:$AC$90,25,FALSE)*VLOOKUP($C$239,'DB animal categories'!$C$81:$AC$90,26,FALSE)/24)))</f>
        <v/>
      </c>
      <c r="P243" s="444" t="str">
        <f>IF(G243=0,0,IF(E243="","",IF(F243="","",IF($C$239=0,"",IF(D243="","",SUM(H243:K243)/G243*100)))))</f>
        <v/>
      </c>
      <c r="Q243" s="476" t="str">
        <f>IF(D243="","",(VLOOKUP(D243,'DB technologies'!$N$109:$Y$120,2,FALSE)*'DB additional information '!$S$6/100*'DB additional information '!$T$6*VLOOKUP($C$239,'DB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R243" s="476" t="str">
        <f>IF(D243="","",(VLOOKUP(D243,'DB technologies'!$N$109:$Y$120,3,FALSE)*'DB additional information '!$S$7/100*'DB additional information '!$T$7*VLOOKUP($C$239,'DB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S243" s="494" t="str">
        <f>IF(D243="","",(VLOOKUP(D243,'DB technologies'!$N$109:$Y$120,4,FALSE)*('DB additional information '!$S$8/100*'DB additional information '!$T$8*E243/1000/1000)))</f>
        <v/>
      </c>
      <c r="T243" s="266" t="str">
        <f>IF($C$239=0,"",IF('Calc (ex-animal)'!$F$38=1,"",IF(D243="","",((VLOOKUP($C$239,'Calc (ex-animal)'!$D$43:$Y$47,10,FALSE)-VLOOKUP($C$239,'Calc (ex-animal)'!$D$43:$Y$47,18,FALSE))*F243/100+Q243+R243+S243)-AC243-AD243-AE243)))</f>
        <v/>
      </c>
      <c r="U243" s="477" t="str">
        <f>IF(D243="","",(VLOOKUP(D243,'DB technologies'!$N$109:$Y$120,2,FALSE)*'DB additional information '!$S$6/100*'DB additional information '!$U$6*VLOOKUP($C$239,'DB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V243" s="433" t="str">
        <f>IF(D243="","",(VLOOKUP(D243,'DB technologies'!$N$109:$Y$120,3,FALSE)*'DB additional information '!$S$7/100*'DB additional information '!$U$7*VLOOKUP($C$239,'DB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W243" s="475" t="str">
        <f>IF(D243="","",(VLOOKUP(D243,'DB technologies'!$N$109:$Y$120,4,FALSE)*('DB additional information '!$S$8/100*'DB additional information '!$U$8*E243/1000/1000)))</f>
        <v/>
      </c>
      <c r="X243" s="267" t="str">
        <f>IF($C$239=0,"",IF('Calc (ex-animal)'!$F$38=1,"",IF(D243="","",((VLOOKUP($C$239,'Calc (ex-animal)'!$D$43:$Y$47,13,FALSE)-VLOOKUP($C$239,'Calc (ex-animal)'!$D$43:$Y$47,19,FALSE))*F243/100+U243+V243+W243))))</f>
        <v/>
      </c>
      <c r="Y243" s="433" t="str">
        <f>IF(D243="","",(VLOOKUP(D243,'DB technologies'!$N$109:$Y$120,2,FALSE)*'DB additional information '!$S$6/100*'DB additional information '!$V$6*VLOOKUP($C$239,'DB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Z243" s="433" t="str">
        <f>IF(D243="","",(VLOOKUP(D243,'DB technologies'!$N$109:$Y$120,3,FALSE)*'DB additional information '!$S$7/100*'DB additional information '!$V$7*VLOOKUP($C$239,'DB animal categories'!$C$81:$AC$90,27,FALSE)*E243/1000/1000)/VLOOKUP($C$239,'DB animal categories'!$C$81:$AC$90,27,FALSE)*(VLOOKUP($C$239,'DB animal categories'!$C$81:$AC$90,27,FALSE)-VLOOKUP($C$239,'DB animal categories'!$C$81:$AC$90,25,FALSE)*VLOOKUP($C$239,'DB animal categories'!$C$81:$AC$90,26,FALSE)/24))</f>
        <v/>
      </c>
      <c r="AA243" s="433" t="str">
        <f>IF(D243="","",(VLOOKUP(D243,'DB technologies'!$N$109:$Y$120,4,FALSE)*('DB additional information '!$S$8/100*'DB additional information '!$V$8*E243/1000/1000)))</f>
        <v/>
      </c>
      <c r="AB243" s="267" t="str">
        <f>IF($C$239=0,"",IF('Calc (ex-animal)'!$F$38=1,"",IF(D243="","",((VLOOKUP($C$239,'Calc (ex-animal)'!$D$43:$Y$47,16,FALSE)-VLOOKUP($C$239,'Calc (ex-animal)'!$D$43:$Y$47,20,FALSE))*F243/100+Y243+Z243+AA243))))</f>
        <v/>
      </c>
      <c r="AC243" s="267" t="str">
        <f>IF($C$239=0,"",IF('Calc (ex-animal)'!$F$38=1,"",IF(D243="","",VLOOKUP($C$239,'Calc (ex-animal)'!$D$43:$Y$47,9,FALSE)/VLOOKUP($C$239,'DB animal categories'!$C$81:$AC$90,27,FALSE)*(VLOOKUP($C$239,'DB animal categories'!$C$81:$AC$90,27,FALSE)-VLOOKUP($C$239,'DB animal categories'!$C$81:$AC$90,25,FALSE)*VLOOKUP($C$239,'DB animal categories'!$C$81:$AC$90,26,FALSE)/24)*F243/100*VLOOKUP(D243,'DB technologies'!$N$109:$R$120,5,FALSE)/100)))</f>
        <v/>
      </c>
      <c r="AD243" s="267" t="str">
        <f>IF($C$239=0,"",IF('Calc (ex-animal)'!$F$38=1,"",IF(D243="","",VLOOKUP($C$239,'Calc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categories'!$C$81:$AC$90,26,FALSE)/24)*F243/100*VLOOKUP(D243,'DB technologies'!$N$109:$Y$120,6,FALSE)/100)))</f>
        <v/>
      </c>
      <c r="AE243" s="268" t="str">
        <f>IF($C$239=0,"",IF('Calc (ex-animal)'!$F$38=1,"",IF(D243="","",VLOOKUP($C$239,'Calc (ex-animal)'!$D$43:$Y$47,10,FALSE)/VLOOKUP($C$239,'DB animal categories'!$C$81:$AC$90,27,FALSE)*(VLOOKUP($C$239,'DB animal categories'!$C$81:$AC$90,27,FALSE)-VLOOKUP($C$239,'DB animal categories'!$C$81:$AC$90,25,FALSE)*VLOOKUP($C$239,'DB animal categories'!$C$81:$AC$90,26,FALSE)/24)*F243/100*VLOOKUP(D243,'DB technologies'!$N$109:$Y$120,7,FALSE)/100)))</f>
        <v/>
      </c>
      <c r="AI243" s="183" t="str">
        <f>IF(D243="","",VLOOKUP(D243,'DB technologies'!$N$109:$Y$120,10,FALSE))</f>
        <v/>
      </c>
      <c r="AJ243" s="451" t="e">
        <f>VLOOKUP($C$239,'DB animal categories'!$C$81:$AN$90,27,FALSE)-VLOOKUP($C$239,'DB animal categories'!$C$81:$AN$90,26,FALSE)*VLOOKUP($C$239,'DB animal categories'!$C$81:$AN$90,25,FALSE)/24</f>
        <v>#N/A</v>
      </c>
      <c r="AK243" s="452" t="str">
        <f>IF(AI243="","",AL243+AM243)</f>
        <v/>
      </c>
      <c r="AL243" s="452" t="str">
        <f>IF(D243="","",IF(AI243=2,(('Calc (ex-animal)'!$G$47*'DB additional information '!$K$10/100*(1-VLOOKUP(D243,'DB technologies'!$N$109:$Y$120,9,FALSE)/100)*'Calc (ex-housing, ex-storage)'!F243/100+'Calc (ex-animal)'!$H$47*'DB additional information '!$L$10/100*(1-VLOOKUP(D243,'DB technologies'!$N$109:$Y$120,9,FALSE)/100)*'Calc (ex-housing, ex-storage)'!F243/100))/VLOOKUP($C$239,'DB animal categories'!$C$81:$AC$90,27,FALSE)*AJ243+I243+J243+K243,IF(AI243=1,('Calc (ex-animal)'!$H$47*'DB additional information '!$L$10/100*(1-VLOOKUP(D243,'DB technologies'!$N$109:$Y$120,9,FALSE)/100)*'Calc (ex-housing, ex-storage)'!F243/100)/VLOOKUP($C$239,'DB animal categories'!$C$81:$AC$90,27,FALSE)*AJ243,IF(AI243=4,('Calc (ex-animal)'!$G$47*'DB additional information '!$K$10/100+'Calc (ex-animal)'!$H$47*'DB additional information '!$L$10/100)*(1-VLOOKUP(D243,'DB technologies'!$N$109:$Y$120,9,FALSE)/100)*'Calc (ex-housing, ex-storage)'!F243/100*VLOOKUP(D243,'DB technologies'!$N$109:$Y$120,11,FALSE)/100/VLOOKUP($C$239,'DB animal categories'!$C$81:$AC$90,27,FALSE)*AJ243,0))))</f>
        <v/>
      </c>
      <c r="AM243" s="452" t="str">
        <f>IF(D243="","",IF(AI243=2,(('Calc (ex-animal)'!$G$47*(1-'DB additional information '!$K$10/100)*(1-VLOOKUP(D243,'DB technologies'!$N$109:$Y$120,8,FALSE)/100)*'Calc (ex-housing, ex-storage)'!F243/100+'Calc (ex-animal)'!$H$47*(1-'DB additional information '!$L$10/100)*(1-VLOOKUP(D243,'DB technologies'!$N$109:$Y$120,8,FALSE)/100)*'Calc (ex-housing, ex-storage)'!F243/100))/VLOOKUP($C$239,'DB animal categories'!$C$81:$AC$90,27,FALSE)*AJ243+M243+N243+O243,IF(AI243=1,('Calc (ex-animal)'!$H$47*(1-'DB additional information '!$L$10/100)*(1-VLOOKUP(D243,'DB technologies'!$N$109:$Y$120,8,FALSE)/100)*'Calc (ex-housing, ex-storage)'!F243/100)/VLOOKUP($C$239,'DB animal categories'!$C$81:$AC$90,27,FALSE)*AJ243,IF(AI243=4,('Calc (ex-animal)'!$G$47*(1-'DB additional information '!$K$10/100)+'Calc (ex-animal)'!$H$47*(1-'DB additional information '!$L$10/100))*(1-VLOOKUP(D243,'DB technologies'!$N$109:$Y$120,8,FALSE)/100)*'Calc (ex-housing, ex-storage)'!F243/100*VLOOKUP(D243,'DB technologies'!$N$109:$Y$120,11,FALSE)/100/VLOOKUP($C$239,'DB animal categories'!$C$81:$AC$90,27,FALSE)*AJ243,0))))</f>
        <v/>
      </c>
      <c r="AN243" s="452" t="str">
        <f>IF(AI243="","",IF(AL243=0,0,AL243/AK243*100))</f>
        <v/>
      </c>
      <c r="AO243" s="184" t="str">
        <f>IF(D243="","",IF(AI243=2,(('Calc (ex-animal)'!$L$47*'Calc (ex-housing, ex-storage)'!F243/100+'Calc (ex-animal)'!$K$47*'Calc (ex-housing, ex-storage)'!F243/100))/VLOOKUP($C$239,'DB animal categories'!$C$81:$AC$90,27,FALSE)*AJ243+Q243+R243+S243-AC243,IF(AI243=1,('Calc (ex-animal)'!$L$47*'Calc (ex-housing, ex-storage)'!F243/100)/VLOOKUP($C$239,'DB animal categories'!$C$81:$AC$90,27,FALSE)*AJ243-'Calc (ex-housing, ex-storage)'!AC243,IF(AI243=4,('Calc (ex-animal)'!$L$47+'Calc (ex-animal)'!$K$47)*'Calc (ex-housing, ex-storage)'!F243/100*VLOOKUP(D243,'DB technologies'!$N$109:$Y$120,11,FALSE)/100/VLOOKUP($C$239,'DB animal categories'!$C$81:$AC$90,27,FALSE)*AJ243-AC243*VLOOKUP(D243,'DB technologies'!$N$109:$Y$120,11,FALSE)/100,0))))</f>
        <v/>
      </c>
      <c r="AP243" s="184" t="str">
        <f>IF(D243="","",IF(AO243&lt;-0.01,0,IF(AI243=2,(('Calc (ex-animal)'!$L$47*'Calc (ex-housing, ex-storage)'!F243/100+'Calc (ex-animal)'!$K$47*'Calc (ex-housing, ex-storage)'!F243/100))/VLOOKUP($C$239,'DB animal categories'!$C$81:$AC$90,27,FALSE)*AJ243+Q243+R243+S243-AC243,IF(AI243=1,('Calc (ex-animal)'!$L$47*'Calc (ex-housing, ex-storage)'!F243/100)/VLOOKUP($C$239,'DB animal categories'!$C$81:$AC$90,27,FALSE)*AJ243-'Calc (ex-housing, ex-storage)'!AC243,IF(AI243=4,('Calc (ex-animal)'!$L$47+'Calc (ex-animal)'!$K$47)*'Calc (ex-housing, ex-storage)'!F243/100*VLOOKUP(D243,'DB technologies'!$N$109:$Y$120,11,FALSE)/100/VLOOKUP($C$239,'DB animal categories'!$C$81:$AC$90,27,FALSE)*AJ243-AC243*VLOOKUP(D243,'DB technologies'!$N$109:$Y$120,11,FALSE)/100,0)))))</f>
        <v/>
      </c>
      <c r="AQ243" s="184" t="str">
        <f>IF(D243="","",IF(AI243=2,('Calc (ex-animal)'!$O$47*'Calc (ex-housing, ex-storage)'!F243/100+'Calc (ex-animal)'!$N$47*'Calc (ex-housing, ex-storage)'!F243/100)/VLOOKUP($C$239,'DB animal categories'!$C$81:$AC$90,27,FALSE)*AJ243+U243+V243+W243,IF(AI243=1,'Calc (ex-animal)'!$O$47*'Calc (ex-housing, ex-storage)'!F243/100/VLOOKUP($C$239,'DB animal categories'!$C$81:$AC$90,27,FALSE)*AJ243,IF(AI243=4,('Calc (ex-animal)'!$O$47+'Calc (ex-animal)'!$N$47)*'Calc (ex-housing, ex-storage)'!F243/100*VLOOKUP(D243,'DB technologies'!$N$109:$Y$120,11,FALSE)/100/VLOOKUP($C$239,'DB animal categories'!$C$81:$AC$90,27,FALSE)*AJ243,0))))</f>
        <v/>
      </c>
      <c r="AR243" s="184" t="str">
        <f>IF(D243="","",IF(AI243=2,('Calc (ex-animal)'!$R$47*'Calc (ex-housing, ex-storage)'!F243/100+'Calc (ex-animal)'!$Q$47*'Calc (ex-housing, ex-storage)'!F243/100)/VLOOKUP($C$239,'DB animal categories'!$C$81:$AC$90,27,FALSE)*AJ243+Y243+Z243+AA243,IF(AI243=1,'Calc (ex-animal)'!$R$47*'Calc (ex-housing, ex-storage)'!F243/100/VLOOKUP($C$239,'DB animal categories'!$C$81:$AC$90,27,FALSE)*AJ243,IF(AI243=4,('Calc (ex-animal)'!$R$47+'Calc (ex-animal)'!$Q$47)*'Calc (ex-housing, ex-storage)'!F243/100*VLOOKUP(D243,'DB technologies'!$N$109:$Y$120,11,FALSE)/100/VLOOKUP($C$239,'DB animal categories'!$C$81:$AC$90,27,FALSE)*AJ243,0))))</f>
        <v/>
      </c>
      <c r="AS243" s="183" t="str">
        <f>IF(D243="","",VLOOKUP(D243,'DB technologies'!$N$109:$Y$120,10,FALSE))</f>
        <v/>
      </c>
      <c r="AT243" s="452" t="str">
        <f>IF(AS243="","",AU243+AV243)</f>
        <v/>
      </c>
      <c r="AU243" s="452" t="str">
        <f>IF(D243="","",IF(AS243=2,0,IF(AS243=1,'Calc (ex-animal)'!$G$47*'DB additional information '!$K$10/100*(1-VLOOKUP(D243,'DB technologies'!$N$109:$Y$120,8,FALSE)/100)*'Calc (ex-housing, ex-storage)'!F243/100/VLOOKUP($C$239,'DB animal categories'!$C$81:$AC$90,27,FALSE)*AJ243+I243+J243+K243,IF(AS243=5,(('Calc (ex-animal)'!$G$47*'DB additional information '!$K$10/100+'Calc (ex-animal)'!$H$47*'DB additional information '!$L$10/100))*(1-VLOOKUP(D243,'DB technologies'!$N$109:$Y$120,9,FALSE)/100)*'Calc (ex-housing, ex-storage)'!F243/100/VLOOKUP($C$239,'DB animal categories'!$C$81:$AC$90,27,FALSE)*AJ243+I243+J243+K243,IF(AS243=3,('Calc (ex-animal)'!$G$47*'DB additional information '!$K$10/100+'Calc (ex-animal)'!$H$47*'DB additional information '!$L$10/100)*(1-VLOOKUP(D243,'DB technologies'!$N$109:$Y$120,9,FALSE)/100)*'Calc (ex-housing, ex-storage)'!F243/100/VLOOKUP($C$239,'DB animal categories'!$C$81:$AC$90,27,FALSE)*AJ243+I243+J243+K243,IF(AS243=4,('Calc (ex-animal)'!$G$47*'DB additional information '!$K$10/100+'Calc (ex-animal)'!$H$47*'DB additional information '!$L$10/100)*(1-VLOOKUP(D243,'DB technologies'!$N$109:$Y$120,9,FALSE)/100)*'Calc (ex-housing, ex-storage)'!F243/100*VLOOKUP(D243,'DB technologies'!$N$109:$Y$120,12,FALSE)/100/VLOOKUP($C$239,'DB animal categories'!$C$81:$AC$90,27,FALSE)*AJ243+I243+J243+K243,0))))))</f>
        <v/>
      </c>
      <c r="AV243" s="452" t="str">
        <f>IF(D243="","",IF(AS243=2,0,IF(AS243=1,'Calc (ex-animal)'!$G$47*(1-'DB additional information '!$K$10/100)*(1-VLOOKUP(D243,'DB technologies'!$N$109:$Y$120,8,FALSE)/100)*'Calc (ex-housing, ex-storage)'!F243/100/VLOOKUP($C$239,'DB animal categories'!$C$81:$AC$90,27,FALSE)*AJ243+M243+N243+O243,IF(AS243=5,('Calc (ex-animal)'!$G$47*(1-'DB additional information '!$K$10/100)+'Calc (ex-animal)'!$H$47*(1-'DB additional information '!$L$10/100))*(1-VLOOKUP(D243,'DB technologies'!$N$109:$Y$120,8,FALSE)/100)*'Calc (ex-housing, ex-storage)'!F243/100/VLOOKUP($C$239,'DB animal categories'!$C$81:$AC$90,27,FALSE)*AJ243+M243+N243+O243,IF(AS243=3,('Calc (ex-animal)'!$G$47*(1-'DB additional information '!$K$10/100)+'Calc (ex-animal)'!$H$47*(1-'DB additional information '!$L$10/100))*(1-VLOOKUP(D243,'DB technologies'!$N$109:$Y$120,8,FALSE)/100)*'Calc (ex-housing, ex-storage)'!F243/100/VLOOKUP($C$239,'DB animal categories'!$C$81:$AC$90,27,FALSE)*AJ243+M243+N243+O243,IF(AS243=4,('Calc (ex-animal)'!$G$47*(1-'DB additional information '!$K$10/100)+'Calc (ex-animal)'!$H$47*(1-'DB additional information '!$L$10/100))*(1-VLOOKUP(D243,'DB technologies'!$N$109:$Y$120,8,FALSE)/100)*'Calc (ex-housing, ex-storage)'!F243/100*VLOOKUP(D243,'DB technologies'!$N$109:$Y$120,12,FALSE)/100/VLOOKUP($C$239,'DB animal categories'!$C$81:$AC$90,27,FALSE)*AJ243+M243+N243+O243,0))))))</f>
        <v/>
      </c>
      <c r="AW243" s="452" t="str">
        <f>IF(AS243="","",IF(AU243=0,0,AU243/AT243*100))</f>
        <v/>
      </c>
      <c r="AX243" s="184" t="str">
        <f>IF(D243="","",IF(AS243=2,0,IF(AS243=1,'Calc (ex-animal)'!$K$47*'Calc (ex-housing, ex-storage)'!F243/100/VLOOKUP($C$239,'DB animal categories'!$C$81:$AC$90,27,FALSE)*AJ243+Q243+R243+S243,IF(AS243=5,('Calc (ex-animal)'!$K$47+'Calc (ex-animal)'!$L$47)*'Calc (ex-housing, ex-storage)'!F243/100/VLOOKUP($C$239,'DB animal categories'!$C$81:$AC$90,27,FALSE)*AJ243+Q243+R243+S243-'Calc (ex-housing, ex-storage)'!AC243,IF(AS243=3,('Calc (ex-animal)'!$K$47+'Calc (ex-animal)'!$L$47)*'Calc (ex-housing, ex-storage)'!F243/100/VLOOKUP($C$239,'DB animal categories'!$C$81:$AC$90,27,FALSE)*AJ243+Q243+R243+S243-'Calc (ex-housing, ex-storage)'!AC243-AD243-AE243,IF(AI243=4,('Calc (ex-animal)'!$K$47+'Calc (ex-animal)'!$L$47)*'Calc (ex-housing, ex-storage)'!F243/100*VLOOKUP(D243,'DB technologies'!$N$109:$Y$120,12,FALSE)/100/VLOOKUP($C$239,'DB animal categories'!$C$81:$AC$90,27,FALSE)*AJ243+Q243+R243+S243-(VLOOKUP(D243,'DB technologies'!$N$109:$Y$120,12,FALSE)/100*AC243)-AD243-AE243,0))))))</f>
        <v/>
      </c>
      <c r="AY243" s="184" t="str">
        <f>IF(D243="","",IF(AS243=2,0,IF(AS243=1,'Calc (ex-animal)'!$N$47*'Calc (ex-housing, ex-storage)'!F243/100/VLOOKUP($C$239,'DB animal categories'!$C$81:$AC$90,27,FALSE)*AJ243+U243+V243+W243,IF(AS243=5,('Calc (ex-animal)'!$N$47+'Calc (ex-animal)'!$O$47)*'Calc (ex-housing, ex-storage)'!F243/100/VLOOKUP($C$239,'DB animal categories'!$C$81:$AC$90,27,FALSE)*AJ243+U243+V243+W243,IF(AS243=3,('Calc (ex-animal)'!$N$47+'Calc (ex-animal)'!$O$47)*'Calc (ex-housing, ex-storage)'!F243/100/VLOOKUP($C$239,'DB animal categories'!$C$81:$AC$90,27,FALSE)*AJ243+U243+V243+W243,IF(AS243=4,('Calc (ex-animal)'!$N$47+'Calc (ex-animal)'!$O$47)*'Calc (ex-housing, ex-storage)'!F243/100*VLOOKUP(D243,'DB technologies'!$N$109:$Y$120,12,FALSE)/100/VLOOKUP($C$239,'DB animal categories'!$C$81:$AC$90,27,FALSE)*AJ243+U243+V243+W243,0))))))</f>
        <v/>
      </c>
      <c r="AZ243" s="184" t="str">
        <f>IF(D243="","",IF(AS243=2,0,IF(AS243=1,'Calc (ex-animal)'!$Q$47*'Calc (ex-housing, ex-storage)'!F243/100/VLOOKUP($C$239,'DB animal categories'!$C$81:$AC$90,27,FALSE)*AJ243+Y243+Z243+AA243,IF(AS243=5,('Calc (ex-animal)'!$Q$47+'Calc (ex-animal)'!$R$47)*'Calc (ex-housing, ex-storage)'!F243/100/VLOOKUP($C$239,'DB animal categories'!$C$81:$AC$90,27,FALSE)*AJ243+Y243+Z243+AA243,IF(AS243=3,('Calc (ex-animal)'!$Q$47+'Calc (ex-animal)'!$R$47)*'Calc (ex-housing, ex-storage)'!F243/100/VLOOKUP($C$239,'DB animal categories'!$C$81:$AC$90,27,FALSE)*AJ243+Y243+Z243+AA243,IF(AS243=4,('Calc (ex-animal)'!$Q$47+'Calc (ex-animal)'!$R$47)*'Calc (ex-housing, ex-storage)'!F243/100*VLOOKUP(D243,'DB technologies'!$N$109:$Y$120,12,FALSE)/100/VLOOKUP($C$239,'DB animal categories'!$C$81:$AC$90,27,FALSE)*AJ243+Y243+Z243+AA243,0))))))</f>
        <v/>
      </c>
      <c r="BA243" s="506"/>
      <c r="BB243" s="506"/>
      <c r="BC243" s="506"/>
    </row>
    <row r="244" spans="1:55" ht="12" thickBot="1" x14ac:dyDescent="0.25">
      <c r="A244" s="684"/>
      <c r="B244" s="696"/>
      <c r="C244" s="252"/>
      <c r="D244" s="269" t="s">
        <v>58</v>
      </c>
      <c r="E244" s="270">
        <f>IF(F244&lt;=100,SUM(E239:E243),"ERROR")</f>
        <v>0</v>
      </c>
      <c r="F244" s="284">
        <f>IF(SUM(F239:F243) &lt;=100,SUM(F239:F243),"ERROR, SUM&gt;100%")</f>
        <v>0</v>
      </c>
      <c r="G244" s="504">
        <f>IF('Calc (ex-animal)'!$F$38=1,"",SUM(G239:G243))</f>
        <v>0</v>
      </c>
      <c r="H244" s="433">
        <f>IF('Calc (ex-animal)'!$F$8=1,"",SUM(H239:H243))</f>
        <v>0</v>
      </c>
      <c r="I244" s="433">
        <f>IF('Calc (ex-animal)'!$F$8=1,"",SUM(I239:I243))</f>
        <v>0</v>
      </c>
      <c r="J244" s="433">
        <f>IF('Calc (ex-animal)'!$F$8=1,"",SUM(J239:J243))</f>
        <v>0</v>
      </c>
      <c r="K244" s="433">
        <f>IF('Calc (ex-animal)'!$F$8=1,"",SUM(K239:K243))</f>
        <v>0</v>
      </c>
      <c r="L244" s="433">
        <f>IF('Calc (ex-animal)'!$F$8=1,"",SUM(L239:L243))</f>
        <v>0</v>
      </c>
      <c r="M244" s="470"/>
      <c r="N244" s="470"/>
      <c r="O244" s="470"/>
      <c r="P244" s="478">
        <f>IF(G244=0,0,IF('Calc (ex-animal)'!$F$38=1,"",IF(D244="","",SUM(H244:K244)/G244*100)))</f>
        <v>0</v>
      </c>
      <c r="Q244" s="271"/>
      <c r="R244" s="271"/>
      <c r="S244" s="271"/>
      <c r="T244" s="278">
        <f>IF('Calc (ex-animal)'!$F$47=1,"",SUM(T239:T243))</f>
        <v>0</v>
      </c>
      <c r="U244" s="279"/>
      <c r="V244" s="279"/>
      <c r="W244" s="279"/>
      <c r="X244" s="279">
        <f>IF('Calc (ex-animal)'!$F$47=1,"",SUM(X239:X243))</f>
        <v>0</v>
      </c>
      <c r="Y244" s="279"/>
      <c r="Z244" s="279"/>
      <c r="AA244" s="279"/>
      <c r="AB244" s="279">
        <f>IF('Calc (ex-animal)'!$F$47=1,"",SUM(AB239:AB243))</f>
        <v>0</v>
      </c>
      <c r="AC244" s="279">
        <f>IF('Calc (ex-animal)'!$F$47=1,"",SUM(AC239:AC243))</f>
        <v>0</v>
      </c>
      <c r="AD244" s="279">
        <f>IF('Calc (ex-animal)'!$F$47=1,"",SUM(AD239:AD243))</f>
        <v>0</v>
      </c>
      <c r="AE244" s="280">
        <f>IF('Calc (ex-animal)'!$F$47=1,"",SUM(AE239:AE243))</f>
        <v>0</v>
      </c>
    </row>
    <row r="245" spans="1:55" x14ac:dyDescent="0.2">
      <c r="A245" s="684"/>
      <c r="B245" s="694" t="s">
        <v>31</v>
      </c>
      <c r="C245" s="250">
        <f>'Calc (ex-animal)'!D48</f>
        <v>0</v>
      </c>
      <c r="D245" s="1355"/>
      <c r="E245" s="1356"/>
      <c r="F245" s="479" t="str">
        <f>IF('Calc (ex-animal)'!$F$38=1,"",IF($C$245=0,"",IF(D245="","",E245/'Calc (ex-animal)'!$E$48*100)))</f>
        <v/>
      </c>
      <c r="G245" s="484" t="str">
        <f>IF($C$245=0,"",IF('Calc (ex-animal)'!$F$38=1,"",IF(D245="","",SUM(H245:O245))))</f>
        <v/>
      </c>
      <c r="H245" s="471" t="str">
        <f>IF('Calc (ex-animal)'!$F$38=1,"",IF(D245="","",(((VLOOKUP($C$245,'Calc (ex-animal)'!$D$48:$Y$52,6,FALSE)-VLOOKUP($C$245,'Calc (ex-animal)'!$D$48:$Y$52,17,FALSE))*F245/100))*VLOOKUP($C$245,'Calc (ex-animal)'!$D$48:$Y$52,7,FALSE)/100*(1-VLOOKUP(D245,'DB technologies'!$N$122:$Y$133,9,FALSE)/100)))</f>
        <v/>
      </c>
      <c r="I245" s="471" t="str">
        <f>IF(D245="","",((VLOOKUP(D245,'DB technologies'!$N$122:$Y$133,2,FALSE)*VLOOKUP($C$245,'DB animal categories'!$C$91:$AC$100,27,FALSE)*E245/1000)/VLOOKUP($C$245,'DB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'!$S$6/100*(1-VLOOKUP(D245,'DB technologies'!$N$122:$Y$133,9,FALSE)/100)))</f>
        <v/>
      </c>
      <c r="J245" s="472" t="str">
        <f>IF(D245="","",((VLOOKUP(D245,'DB technologies'!$N$122:$Y$133,3,FALSE)*VLOOKUP($C$245,'DB animal categories'!$C$91:$AC$100,27,FALSE)*E245/1000)/VLOOKUP($C$245,'DB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'!$S$7/100*(1-VLOOKUP(D245,'DB technologies'!$N$122:$Y$133,9,FALSE)/100)))</f>
        <v/>
      </c>
      <c r="K245" s="472" t="str">
        <f>IF(D245="","",((VLOOKUP(D245,'DB technologies'!$N$122:$Y$133,4,FALSE)*E245*'DB additional information '!$S$8/100*(1-VLOOKUP(D245,'DB technologies'!$N$122:$Y$133,9,FALSE)/100))/VLOOKUP($C$245,'DB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L245" s="471" t="str">
        <f>IF('Calc (ex-animal)'!$F$38=1,"",IF(D245="","",(((VLOOKUP($C$245,'Calc (ex-animal)'!$D$48:$Y$52,6,FALSE)-VLOOKUP($C$245,'Calc (ex-animal)'!$D$48:$Y$52,17,FALSE))*F245/100))*(1-VLOOKUP($C$245,'Calc (ex-animal)'!$D$48:$Y$52,7,FALSE)/100)*(1-VLOOKUP(D245,'DB technologies'!$N$122:$V$133,8,FALSE)/100)))</f>
        <v/>
      </c>
      <c r="M245" s="472" t="str">
        <f>IF(D245="","",((VLOOKUP(D245,'DB technologies'!$N$122:$Y$133,2,FALSE)*VLOOKUP($C$245,'DB animal categories'!$C$91:$AC$100,27,FALSE)*E245/1000)/VLOOKUP($C$245,'DB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'!$S$6/100)*(1-VLOOKUP(D245,'DB technologies'!$N$122:$Y$133,9,FALSE)/100))</f>
        <v/>
      </c>
      <c r="N245" s="472" t="str">
        <f>IF(D245="","",((VLOOKUP(D245,'DB technologies'!$N$122:$Y$133,3,FALSE)*VLOOKUP($C$245,'DB animal categories'!$C$91:$AC$100,27,FALSE)*E245/1000)/VLOOKUP($C$245,'DB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'!$S$7/100)*(1-VLOOKUP(D245,'DB technologies'!$N$122:$Y$133,9,FALSE)/100))</f>
        <v/>
      </c>
      <c r="O245" s="471" t="str">
        <f>IF(D245="","",((VLOOKUP(D245,'DB technologies'!$N$122:$Y$133,4,FALSE)*E245*(1-'DB additional information '!$S$8/100)*(1-VLOOKUP(D245,'DB technologies'!$N$122:$Y$133,8,FALSE)/100))/VLOOKUP($C$245,'DB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P245" s="443" t="str">
        <f>IF(G245=0,0,IF(E245="","",IF(F245="","",IF($C$245=0,"",IF(D245="","",SUM(H245:K245)/G245*100)))))</f>
        <v/>
      </c>
      <c r="Q245" s="473" t="str">
        <f>IF(D245="","",(VLOOKUP(D245,'DB technologies'!$N$122:$Y$133,2,FALSE)*'DB additional information '!$S$6/100*'DB additional information '!$T$6*VLOOKUP($C$245,'DB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R245" s="473" t="str">
        <f>IF(D245="","",(VLOOKUP(D245,'DB technologies'!$N$122:$Y$133,3,FALSE)*'DB additional information '!$S$7/100*'DB additional information '!$T$7*VLOOKUP($C$245,'DB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S245" s="490" t="str">
        <f>IF(D245="","",(VLOOKUP(D245,'DB technologies'!$N$122:$Y$133,4,FALSE)*('DB additional information '!$S$8/100*'DB additional information '!$T$8*E245/1000/1000)))</f>
        <v/>
      </c>
      <c r="T245" s="263" t="str">
        <f>IF($C$245=0,"",IF('Calc (ex-animal)'!$F$38=1,"",IF(D245="","",((VLOOKUP($C$245,'Calc (ex-animal)'!$D$48:$Y$52,10,FALSE)-VLOOKUP($C$245,'Calc (ex-animal)'!$D$48:$Y$52,18,FALSE))*F245/100+Q245+R245+S245)-AC245-AD245-AE245)))</f>
        <v/>
      </c>
      <c r="U245" s="474" t="str">
        <f>IF(D245="","",(VLOOKUP(D245,'DB technologies'!$N$122:$Y$133,2,FALSE)*'DB additional information '!$S$6/100*'DB additional information '!$U$6*VLOOKUP($C$245,'DB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V245" s="420" t="str">
        <f>IF(D245="","",(VLOOKUP(D245,'DB technologies'!$N$122:$Y$133,3,FALSE)*'DB additional information '!$S$7/100*'DB additional information '!$U$7*VLOOKUP($C$245,'DB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W245" s="415" t="str">
        <f>IF(D245="","",(VLOOKUP(D245,'DB technologies'!$N$122:$Y$133,4,FALSE)*('DB additional information '!$S$8/100*'DB additional information '!$U$8*E245/1000/1000)))</f>
        <v/>
      </c>
      <c r="X245" s="259" t="str">
        <f>IF($C$245=0,"",IF('Calc (ex-animal)'!$F$38=1,"",IF(D245="","",((VLOOKUP($C$245,'Calc (ex-animal)'!$D$48:$Y$52,13,FALSE)-VLOOKUP($C$245,'Calc (ex-animal)'!$D$48:$Y$52,19,FALSE))*F245/100+U245+V245+W245))))</f>
        <v/>
      </c>
      <c r="Y245" s="420" t="str">
        <f>IF(D245="","",(VLOOKUP(D245,'DB technologies'!$N$122:$Y$133,2,FALSE)*'DB additional information '!$S$6/100*'DB additional information '!$V$6*VLOOKUP($C$245,'DB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Z245" s="420" t="str">
        <f>IF(D245="","",(VLOOKUP(D245,'DB technologies'!$N$122:$Y$133,3,FALSE)*'DB additional information '!$S$7/100*'DB additional information '!$V$7*VLOOKUP($C$245,'DB animal categories'!$C$91:$AC$100,27,FALSE)*E245/1000/1000)/VLOOKUP($C$245,'DB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AA245" s="420" t="str">
        <f>IF(D245="","",(VLOOKUP(D245,'DB technologies'!$N$122:$Y$133,4,FALSE)*('DB additional information '!$S$8/100*'DB additional information '!$V$8*E245/1000/1000)))</f>
        <v/>
      </c>
      <c r="AB245" s="259" t="str">
        <f>IF($C$245=0,"",IF('Calc (ex-animal)'!$F$38=1,"",IF(D245="","",((VLOOKUP($C$245,'Calc (ex-animal)'!$D$48:$Y$52,16,FALSE)-VLOOKUP($C$245,'Calc (ex-animal)'!$D$48:$Y$52,20,FALSE))*F245/100+Y245+Z245+AA245))))</f>
        <v/>
      </c>
      <c r="AC245" s="259" t="str">
        <f>IF($C$245=0,"",IF('Calc (ex-animal)'!$F$38=1,"",IF(D245="","",VLOOKUP($C$245,'Calc (ex-animal)'!$D$48:$Y$52,9,FALSE)/VLOOKUP($C$245,'DB animal categories'!$C$91:$AC$100,27,FALSE)*(VLOOKUP($C$245,'DB animal categories'!$C$91:$AC$100,27,FALSE)-VLOOKUP($C$245,'DB animal categories'!$C$91:$AC$100,25,FALSE)*VLOOKUP($C$245,'DB animal categories'!$C$91:$AC$100,26,FALSE)/24)*F245/100*VLOOKUP(D245,'DB technologies'!$N$122:$R$133,5,FALSE)/100)))</f>
        <v/>
      </c>
      <c r="AD245" s="259" t="str">
        <f>IF($C$245=0,"",IF('Calc (ex-animal)'!$F$38=1,"",IF(D245="","",VLOOKUP($C$245,'Calc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categories'!$C$91:$AC$100,26,FALSE)/24)*F245/100*VLOOKUP(D245,'DB technologies'!$N$122:$Y$133,6,FALSE)/100)))</f>
        <v/>
      </c>
      <c r="AE245" s="260" t="str">
        <f>IF($C$245=0,"",IF('Calc (ex-animal)'!$F$38=1,"",IF(D245="","",VLOOKUP($C$245,'Calc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categories'!$C$91:$AC$100,26,FALSE)/24)*F245/100*VLOOKUP(D245,'DB technologies'!$N$122:$Y$133,7,FALSE)/100)))</f>
        <v/>
      </c>
      <c r="AI245" s="179" t="str">
        <f>IF(D245="","",VLOOKUP(D245,'DB technologies'!$N$122:$Y$133,10,FALSE))</f>
        <v/>
      </c>
      <c r="AJ245" s="482" t="e">
        <f>VLOOKUP($C$245,'DB animal categories'!$C$91:$AN$100,27,FALSE)-VLOOKUP($C$245,'DB animal categories'!$C$91:$AN$100,26,FALSE)*VLOOKUP($C$245,'DB animal categories'!$C$91:$AN$100,25,FALSE)/24</f>
        <v>#N/A</v>
      </c>
      <c r="AK245" s="453" t="str">
        <f>IF(AI245="","",AL245+AM245)</f>
        <v/>
      </c>
      <c r="AL245" s="453" t="str">
        <f>IF(D245="","",IF(AI245=2,(('Calc (ex-animal)'!$G$48*'DB additional information '!$K$11/100*(1-VLOOKUP(D245,'DB technologies'!$N$122:$Y$133,9,FALSE)/100)*'Calc (ex-housing, ex-storage)'!F245/100+'Calc (ex-animal)'!$H$48*'DB additional information '!$L$11/100*(1-VLOOKUP(D245,'DB technologies'!$N$122:$Y$133,9,FALSE)/100)*'Calc (ex-housing, ex-storage)'!F245/100))/VLOOKUP($C$245,'DB animal categories'!$C$91:$AC$100,27,FALSE)*AJ245+I245+J245+K245,IF(AI245=1,('Calc (ex-animal)'!$H$48*'DB additional information '!$L$11/100*(1-VLOOKUP(D245,'DB technologies'!$N$122:$Y$133,9,FALSE)/100)*'Calc (ex-housing, ex-storage)'!F245/100)/VLOOKUP($C$245,'DB animal categories'!$C$91:$AC$100,27,FALSE)*AJ245,IF(AI245=4,('Calc (ex-animal)'!$G$48*'DB additional information '!$K$11/100+'Calc (ex-animal)'!$H$48*'DB additional information '!$L$11/100)*(1-VLOOKUP(D245,'DB technologies'!$N$122:$Y$133,9,FALSE)/100)*'Calc (ex-housing, ex-storage)'!F245/100*VLOOKUP(D245,'DB technologies'!$N$122:$Y$133,11,FALSE)/100/VLOOKUP($C$245,'DB animal categories'!$C$91:$AC$100,27,FALSE)*AJ245,0))))</f>
        <v/>
      </c>
      <c r="AM245" s="453" t="str">
        <f>IF(D245="","",IF(AI245=2,(('Calc (ex-animal)'!$G$48*(1-'DB additional information '!$K$11/100)*(1-VLOOKUP(D245,'DB technologies'!$N$122:$Y$133,8,FALSE)/100)*'Calc (ex-housing, ex-storage)'!F245/100+'Calc (ex-animal)'!$H$48*(1-'DB additional information '!$L$11/100)*(1-VLOOKUP(D245,'DB technologies'!$N$122:$Y$133,8,FALSE)/100)*'Calc (ex-housing, ex-storage)'!F245/100))/VLOOKUP($C$245,'DB animal categories'!$C$91:$AC$100,27,FALSE)*AJ245+M245+N245+O245,IF(AI245=1,('Calc (ex-animal)'!$H$48*(1-'DB additional information '!$L$11/100)*(1-VLOOKUP(D245,'DB technologies'!$N$122:$Y$133,8,FALSE)/100)*'Calc (ex-housing, ex-storage)'!F245/100)/VLOOKUP($C$245,'DB animal categories'!$C$91:$AC$100,27,FALSE)*AJ245,IF(AI245=4,('Calc (ex-animal)'!$G$48*(1-'DB additional information '!$K$11/100)+'Calc (ex-animal)'!$H$48*(1-'DB additional information '!$L$11/100))*(1-VLOOKUP(D245,'DB technologies'!$N$122:$Y$133,8,FALSE)/100)*'Calc (ex-housing, ex-storage)'!F245/100*VLOOKUP(D245,'DB technologies'!$N$122:$Y$133,11,FALSE)/100/VLOOKUP($C$245,'DB animal categories'!$C$91:$AC$100,27,FALSE)*AJ245,0))))</f>
        <v/>
      </c>
      <c r="AN245" s="453" t="str">
        <f>IF(AI245="","",IF(AL245=0,0,AL245/AK245*100))</f>
        <v/>
      </c>
      <c r="AO245" s="180" t="str">
        <f>IF(D245="","",IF(AI245=2,(('Calc (ex-animal)'!$L$48*'Calc (ex-housing, ex-storage)'!F245/100+'Calc (ex-animal)'!$K$48*'Calc (ex-housing, ex-storage)'!F245/100))/VLOOKUP($C$245,'DB animal categories'!$C$91:$AC$100,27,FALSE)*AJ245+Q245+R245+S245-AC245,IF(AI245=1,('Calc (ex-animal)'!$L$48*'Calc (ex-housing, ex-storage)'!F245/100)/VLOOKUP($C$245,'DB animal categories'!$C$91:$AC$100,27,FALSE)*AJ245-'Calc (ex-housing, ex-storage)'!AC245,IF(AI245=4,('Calc (ex-animal)'!$L$48+'Calc (ex-animal)'!$K$48)*'Calc (ex-housing, ex-storage)'!F245/100*VLOOKUP(D245,'DB technologies'!$N$122:$Y$133,11,FALSE)/100/VLOOKUP($C$245,'DB animal categories'!$C$91:$AC$100,27,FALSE)*AJ245-AC245*VLOOKUP(D245,'DB technologies'!$N$122:$Y$133,11,FALSE)/100,0))))</f>
        <v/>
      </c>
      <c r="AP245" s="180" t="str">
        <f>IF(D245="","",IF(AO245&lt;-0.01,0,IF(AI245=2,(('Calc (ex-animal)'!$L$48*'Calc (ex-housing, ex-storage)'!F245/100+'Calc (ex-animal)'!$K$48*'Calc (ex-housing, ex-storage)'!F245/100))/VLOOKUP($C$245,'DB animal categories'!$C$91:$AC$100,27,FALSE)*AJ245+Q245+R245+S245-AC245,IF(AI245=1,('Calc (ex-animal)'!$L$48*'Calc (ex-housing, ex-storage)'!F245/100)/VLOOKUP($C$245,'DB animal categories'!$C$91:$AC$100,27,FALSE)*AJ245-'Calc (ex-housing, ex-storage)'!AC245,IF(AI245=4,('Calc (ex-animal)'!$L$48+'Calc (ex-animal)'!$K$48)*'Calc (ex-housing, ex-storage)'!F245/100*VLOOKUP(D245,'DB technologies'!$N$122:$Y$133,11,FALSE)/100/VLOOKUP($C$245,'DB animal categories'!$C$91:$AC$100,27,FALSE)*AJ245-AC245*VLOOKUP(D245,'DB technologies'!$N$122:$Y$133,11,FALSE)/100,0)))))</f>
        <v/>
      </c>
      <c r="AQ245" s="180" t="str">
        <f>IF(D245="","",IF(AI245=2,('Calc (ex-animal)'!$O$48*'Calc (ex-housing, ex-storage)'!F245/100+'Calc (ex-animal)'!$N$48*'Calc (ex-housing, ex-storage)'!F245/100)/VLOOKUP($C$245,'DB animal categories'!$C$91:$AC$100,27,FALSE)*AJ245+U245+V245+W245,IF(AI245=1,'Calc (ex-animal)'!$O$48*'Calc (ex-housing, ex-storage)'!F245/100/VLOOKUP($C$245,'DB animal categories'!$C$91:$AC$100,27,FALSE)*AJ245,IF(AI245=4,('Calc (ex-animal)'!$O$48+'Calc (ex-animal)'!$N$48)*'Calc (ex-housing, ex-storage)'!F245/100*VLOOKUP(D245,'DB technologies'!$N$122:$Y$133,11,FALSE)/100/VLOOKUP($C$245,'DB animal categories'!$C$91:$AC$100,27,FALSE)*AJ245,0))))</f>
        <v/>
      </c>
      <c r="AR245" s="180" t="str">
        <f>IF(D245="","",IF(AI245=2,('Calc (ex-animal)'!$R$48*'Calc (ex-housing, ex-storage)'!F245/100+'Calc (ex-animal)'!$Q$48*'Calc (ex-housing, ex-storage)'!F245/100)/VLOOKUP($C$245,'DB animal categories'!$C$91:$AC$100,27,FALSE)*AJ245+Y245+Z245+AA245,IF(AI245=1,'Calc (ex-animal)'!$R$48*'Calc (ex-housing, ex-storage)'!F245/100/VLOOKUP($C$245,'DB animal categories'!$C$91:$AC$100,27,FALSE)*AJ245,IF(AI245=4,('Calc (ex-animal)'!$R$48+'Calc (ex-animal)'!$Q$48)*'Calc (ex-housing, ex-storage)'!F245/100*VLOOKUP(D245,'DB technologies'!$N$122:$Y$133,11,FALSE)/100/VLOOKUP($C$245,'DB animal categories'!$C$91:$AC$100,27,FALSE)*AJ245,0))))</f>
        <v/>
      </c>
      <c r="AS245" s="179" t="str">
        <f>IF(D245="","",VLOOKUP(D245,'DB technologies'!$N$122:$Y$133,10,FALSE))</f>
        <v/>
      </c>
      <c r="AT245" s="453" t="str">
        <f>IF(AS245="","",AU245+AV245)</f>
        <v/>
      </c>
      <c r="AU245" s="453" t="str">
        <f>IF(D245="","",IF(AS245=2,0,IF(AS245=1,'Calc (ex-animal)'!$G$48*'DB additional information '!$K$11/100*(1-VLOOKUP(D245,'DB technologies'!$N$122:$Y$133,8,FALSE)/100)*'Calc (ex-housing, ex-storage)'!F245/100/VLOOKUP($C$245,'DB animal categories'!$C$91:$AC$100,27,FALSE)*AJ245+I245+J245+K245,IF(AS245=5,(('Calc (ex-animal)'!$G$48*'DB additional information '!$K$11/100+'Calc (ex-animal)'!$H$48*'DB additional information '!$L$11/100))*(1-VLOOKUP(D245,'DB technologies'!$N$122:$Y$133,9,FALSE)/100)*'Calc (ex-housing, ex-storage)'!F245/100/VLOOKUP($C$245,'DB animal categories'!$C$91:$AC$100,27,FALSE)*AJ245+I245+J245+K245,IF(AS245=3,('Calc (ex-animal)'!$G$48*'DB additional information '!$K$11/100+'Calc (ex-animal)'!$H$48*'DB additional information '!$L$11/100)*(1-VLOOKUP(D245,'DB technologies'!$N$122:$Y$133,9,FALSE)/100)*'Calc (ex-housing, ex-storage)'!F245/100/VLOOKUP($C$245,'DB animal categories'!$C$91:$AC$100,27,FALSE)*AJ245+I245+J245+K245,IF(AS245=4,('Calc (ex-animal)'!$G$48*'DB additional information '!$K$11/100+'Calc (ex-animal)'!$H$48*'DB additional information '!$L$11/100)*(1-VLOOKUP(D245,'DB technologies'!$N$122:$Y$133,9,FALSE)/100)*'Calc (ex-housing, ex-storage)'!F245/100*VLOOKUP(D245,'DB technologies'!$N$122:$Y$133,12,FALSE)/100/VLOOKUP($C$245,'DB animal categories'!$C$91:$AC$100,27,FALSE)*AJ245+I245+J245+K245,0))))))</f>
        <v/>
      </c>
      <c r="AV245" s="453" t="str">
        <f>IF(D245="","",IF(AS245=2,0,IF(AS245=1,'Calc (ex-animal)'!$G$48*(1-'DB additional information '!$K$11/100)*(1-VLOOKUP(D245,'DB technologies'!$N$122:$Y$133,8,FALSE)/100)*'Calc (ex-housing, ex-storage)'!F245/100/VLOOKUP($C$245,'DB animal categories'!$C$91:$AC$100,27,FALSE)*AJ245+M245+N245+O245,IF(AS245=5,('Calc (ex-animal)'!$G$48*(1-'DB additional information '!$K$11/100)+'Calc (ex-animal)'!$H$48*(1-'DB additional information '!$L$11/100))*(1-VLOOKUP(D245,'DB technologies'!$N$122:$Y$133,8,FALSE)/100)*'Calc (ex-housing, ex-storage)'!F245/100/VLOOKUP($C$245,'DB animal categories'!$C$91:$AC$100,27,FALSE)*AJ245+M245+N245+O245,IF(AS245=3,('Calc (ex-animal)'!$G$48*(1-'DB additional information '!$K$11/100)+'Calc (ex-animal)'!$H$48*(1-'DB additional information '!$L$11/100))*(1-VLOOKUP(D245,'DB technologies'!$N$122:$Y$133,8,FALSE)/100)*'Calc (ex-housing, ex-storage)'!F245/100/VLOOKUP($C$245,'DB animal categories'!$C$91:$AC$100,27,FALSE)*AJ245+M245+N245+O245,IF(AS245=4,('Calc (ex-animal)'!$G$48*(1-'DB additional information '!$K$11/100)+'Calc (ex-animal)'!$H$48*(1-'DB additional information '!$L$11/100))*(1-VLOOKUP(D245,'DB technologies'!$N$122:$Y$133,8,FALSE)/100)*'Calc (ex-housing, ex-storage)'!F245/100*VLOOKUP(D245,'DB technologies'!$N$122:$Y$133,12,FALSE)/100/VLOOKUP($C$245,'DB animal categories'!$C$91:$AC$100,27,FALSE)*AJ245+M245+N245+O245,0))))))</f>
        <v/>
      </c>
      <c r="AW245" s="453" t="str">
        <f>IF(AS245="","",IF(AU245=0,0,AU245/AT245*100))</f>
        <v/>
      </c>
      <c r="AX245" s="180" t="str">
        <f>IF(D245="","",IF(AS245=2,0,IF(AS245=1,'Calc (ex-animal)'!$K$48*'Calc (ex-housing, ex-storage)'!F245/100/VLOOKUP($C$245,'DB animal categories'!$C$91:$AC$100,27,FALSE)*AJ245+Q245+R245+S245,IF(AS245=5,('Calc (ex-animal)'!$K$48+'Calc (ex-animal)'!$L$48)*'Calc (ex-housing, ex-storage)'!F245/100/VLOOKUP($C$245,'DB animal categories'!$C$91:$AC$100,27,FALSE)*AJ245+Q245+R245+S245-'Calc (ex-housing, ex-storage)'!AC245,IF(AS245=3,('Calc (ex-animal)'!$K$48+'Calc (ex-animal)'!$L$48)*'Calc (ex-housing, ex-storage)'!F245/100/VLOOKUP($C$245,'DB animal categories'!$C$91:$AC$100,27,FALSE)*AJ245+Q245+R245+S245-'Calc (ex-housing, ex-storage)'!AC245-AD245-AE245,IF(AI245=4,('Calc (ex-animal)'!$K$48+'Calc (ex-animal)'!$L$48)*'Calc (ex-housing, ex-storage)'!F245/100*VLOOKUP(D245,'DB technologies'!$N$122:$Y$133,12,FALSE)/100/VLOOKUP($C$245,'DB animal categories'!$C$91:$AC$100,27,FALSE)*AJ245+Q245+R245+S245-(VLOOKUP(D245,'DB technologies'!$N$122:$Y$133,12,FALSE)/100*AC245)-AD245-AE245,0))))))</f>
        <v/>
      </c>
      <c r="AY245" s="180" t="str">
        <f>IF(D245="","",IF(AS245=2,0,IF(AS245=1,'Calc (ex-animal)'!$N$48*'Calc (ex-housing, ex-storage)'!F245/100/VLOOKUP($C$245,'DB animal categories'!$C$91:$AC$100,27,FALSE)*AJ245+U245+V245+W245,IF(AS245=5,('Calc (ex-animal)'!$N$48+'Calc (ex-animal)'!$O$48)*'Calc (ex-housing, ex-storage)'!F245/100/VLOOKUP($C$245,'DB animal categories'!$C$91:$AC$100,27,FALSE)*AJ245+U245+V245+W245,IF(AS245=3,('Calc (ex-animal)'!$N$48+'Calc (ex-animal)'!$O$48)*'Calc (ex-housing, ex-storage)'!F245/100/VLOOKUP($C$245,'DB animal categories'!$C$91:$AC$100,27,FALSE)*AJ245+U245+V245+W245,IF(AS245=4,('Calc (ex-animal)'!$N$48+'Calc (ex-animal)'!$O$48)*'Calc (ex-housing, ex-storage)'!F245/100*VLOOKUP(D245,'DB technologies'!$N$122:$Y$133,12,FALSE)/100/VLOOKUP($C$245,'DB animal categories'!$C$91:$AC$100,27,FALSE)*AJ245+U245+V245+W245,0))))))</f>
        <v/>
      </c>
      <c r="AZ245" s="180" t="str">
        <f>IF(D245="","",IF(AS245=2,0,IF(AS245=1,'Calc (ex-animal)'!$Q$48*'Calc (ex-housing, ex-storage)'!F245/100/VLOOKUP($C$245,'DB animal categories'!$C$91:$AC$100,27,FALSE)*AJ245+Y245+Z245+AA245,IF(AS245=5,('Calc (ex-animal)'!$Q$48+'Calc (ex-animal)'!$R$48)*'Calc (ex-housing, ex-storage)'!F245/100/VLOOKUP($C$245,'DB animal categories'!$C$91:$AC$100,27,FALSE)*AJ245+Y245+Z245+AA245,IF(AS245=3,('Calc (ex-animal)'!$Q$48+'Calc (ex-animal)'!$R$48)*'Calc (ex-housing, ex-storage)'!F245/100/VLOOKUP($C$245,'DB animal categories'!$C$91:$AC$100,27,FALSE)*AJ245+Y245+Z245+AA245,IF(AS245=4,('Calc (ex-animal)'!$Q$48+'Calc (ex-animal)'!$R$48)*'Calc (ex-housing, ex-storage)'!F245/100*VLOOKUP(D245,'DB technologies'!$N$122:$Y$133,12,FALSE)/100/VLOOKUP($C$245,'DB animal categories'!$C$91:$AC$100,27,FALSE)*AJ245+Y245+Z245+AA245,0))))))</f>
        <v/>
      </c>
      <c r="BA245" s="506"/>
      <c r="BB245" s="506"/>
      <c r="BC245" s="506"/>
    </row>
    <row r="246" spans="1:55" x14ac:dyDescent="0.2">
      <c r="A246" s="684"/>
      <c r="B246" s="695"/>
      <c r="C246" s="251"/>
      <c r="D246" s="1357"/>
      <c r="E246" s="1358"/>
      <c r="F246" s="480" t="str">
        <f>IF('Calc (ex-animal)'!$F$38=1,"",IF($C$245=0,"",IF(D246="","",E246/'Calc (ex-animal)'!$E$48*100)))</f>
        <v/>
      </c>
      <c r="G246" s="485" t="str">
        <f>IF($C$245=0,"",IF('Calc (ex-animal)'!$F$38=1,"",IF(D246="","",SUM(H246:O246))))</f>
        <v/>
      </c>
      <c r="H246" s="423" t="str">
        <f>IF('Calc (ex-animal)'!$F$38=1,"",IF(D246="","",(((VLOOKUP($C$245,'Calc (ex-animal)'!$D$48:$Y$52,6,FALSE)-VLOOKUP($C$245,'Calc (ex-animal)'!$D$48:$Y$52,17,FALSE))*F246/100))*VLOOKUP($C$245,'Calc (ex-animal)'!$D$48:$Y$52,7,FALSE)/100*(1-VLOOKUP(D246,'DB technologies'!$N$122:$Y$133,9,FALSE)/100)))</f>
        <v/>
      </c>
      <c r="I246" s="423" t="str">
        <f>IF(D246="","",((VLOOKUP(D246,'DB technologies'!$N$122:$Y$133,2,FALSE)*VLOOKUP($C$245,'DB animal categories'!$C$91:$AC$100,27,FALSE)*E246/1000)/VLOOKUP($C$245,'DB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'!$S$6/100*(1-VLOOKUP(D246,'DB technologies'!$N$122:$Y$133,9,FALSE)/100)))</f>
        <v/>
      </c>
      <c r="J246" s="434" t="str">
        <f>IF(D246="","",((VLOOKUP(D246,'DB technologies'!$N$122:$Y$133,3,FALSE)*VLOOKUP($C$245,'DB animal categories'!$C$91:$AC$100,27,FALSE)*E246/1000)/VLOOKUP($C$245,'DB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'!$S$7/100*(1-VLOOKUP(D246,'DB technologies'!$N$122:$Y$133,9,FALSE)/100)))</f>
        <v/>
      </c>
      <c r="K246" s="434" t="str">
        <f>IF(D246="","",((VLOOKUP(D246,'DB technologies'!$N$122:$Y$133,4,FALSE)*E246*'DB additional information '!$S$8/100*(1-VLOOKUP(D246,'DB technologies'!$N$122:$Y$133,9,FALSE)/100))/VLOOKUP($C$245,'DB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L246" s="423" t="str">
        <f>IF('Calc (ex-animal)'!$F$38=1,"",IF(D246="","",(((VLOOKUP($C$245,'Calc (ex-animal)'!$D$48:$Y$52,6,FALSE)-VLOOKUP($C$245,'Calc (ex-animal)'!$D$48:$Y$52,17,FALSE))*F246/100))*(1-VLOOKUP($C$245,'Calc (ex-animal)'!$D$48:$Y$52,7,FALSE)/100)*(1-VLOOKUP(D246,'DB technologies'!$N$122:$V$133,8,FALSE)/100)))</f>
        <v/>
      </c>
      <c r="M246" s="434" t="str">
        <f>IF(D246="","",((VLOOKUP(D246,'DB technologies'!$N$122:$Y$133,2,FALSE)*VLOOKUP($C$245,'DB animal categories'!$C$91:$AC$100,27,FALSE)*E246/1000)/VLOOKUP($C$245,'DB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'!$S$6/100)*(1-VLOOKUP(D246,'DB technologies'!$N$122:$Y$133,9,FALSE)/100))</f>
        <v/>
      </c>
      <c r="N246" s="434" t="str">
        <f>IF(D246="","",((VLOOKUP(D246,'DB technologies'!$N$122:$Y$133,3,FALSE)*VLOOKUP($C$245,'DB animal categories'!$C$91:$AC$100,27,FALSE)*E246/1000)/VLOOKUP($C$245,'DB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'!$S$7/100)*(1-VLOOKUP(D246,'DB technologies'!$N$122:$Y$133,9,FALSE)/100))</f>
        <v/>
      </c>
      <c r="O246" s="423" t="str">
        <f>IF(D246="","",((VLOOKUP(D246,'DB technologies'!$N$122:$Y$133,4,FALSE)*E246*(1-'DB additional information '!$S$8/100)*(1-VLOOKUP(D246,'DB technologies'!$N$122:$Y$133,8,FALSE)/100))/VLOOKUP($C$245,'DB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P246" s="438" t="str">
        <f>IF(G246=0,0,IF(E246="","",IF(F246="","",IF($C$245=0,"",IF(D246="","",SUM(H246:K246)/G246*100)))))</f>
        <v/>
      </c>
      <c r="Q246" s="416" t="str">
        <f>IF(D246="","",(VLOOKUP(D246,'DB technologies'!$N$122:$Y$133,2,FALSE)*'DB additional information '!$S$6/100*'DB additional information '!$T$6*VLOOKUP($C$245,'DB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R246" s="416" t="str">
        <f>IF(D246="","",(VLOOKUP(D246,'DB technologies'!$N$122:$Y$133,3,FALSE)*'DB additional information '!$S$7/100*'DB additional information '!$T$7*VLOOKUP($C$245,'DB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S246" s="491" t="str">
        <f>IF(D246="","",(VLOOKUP(D246,'DB technologies'!$N$122:$Y$133,4,FALSE)*('DB additional information '!$S$8/100*'DB additional information '!$T$8*E246/1000/1000)))</f>
        <v/>
      </c>
      <c r="T246" s="264" t="str">
        <f>IF($C$245=0,"",IF('Calc (ex-animal)'!$F$38=1,"",IF(D246="","",((VLOOKUP($C$245,'Calc (ex-animal)'!$D$48:$Y$52,10,FALSE)-VLOOKUP($C$245,'Calc (ex-animal)'!$D$48:$Y$52,18,FALSE))*F246/100+Q246+R246+S246)-AC246-AD246-AE246)))</f>
        <v/>
      </c>
      <c r="U246" s="422" t="str">
        <f>IF(D246="","",(VLOOKUP(D246,'DB technologies'!$N$122:$Y$133,2,FALSE)*'DB additional information '!$S$6/100*'DB additional information '!$U$6*VLOOKUP($C$245,'DB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V246" s="418" t="str">
        <f>IF(D246="","",(VLOOKUP(D246,'DB technologies'!$N$122:$Y$133,3,FALSE)*'DB additional information '!$S$7/100*'DB additional information '!$U$7*VLOOKUP($C$245,'DB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W246" s="417" t="str">
        <f>IF(D246="","",(VLOOKUP(D246,'DB technologies'!$N$122:$Y$133,4,FALSE)*('DB additional information '!$S$8/100*'DB additional information '!$U$8*E246/1000/1000)))</f>
        <v/>
      </c>
      <c r="X246" s="261" t="str">
        <f>IF($C$245=0,"",IF('Calc (ex-animal)'!$F$38=1,"",IF(D246="","",((VLOOKUP($C$245,'Calc (ex-animal)'!$D$48:$Y$52,13,FALSE)-VLOOKUP($C$245,'Calc (ex-animal)'!$D$48:$Y$52,19,FALSE))*F246/100+U246+V246+W246))))</f>
        <v/>
      </c>
      <c r="Y246" s="418" t="str">
        <f>IF(D246="","",(VLOOKUP(D246,'DB technologies'!$N$122:$Y$133,2,FALSE)*'DB additional information '!$S$6/100*'DB additional information '!$V$6*VLOOKUP($C$245,'DB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Z246" s="418" t="str">
        <f>IF(D246="","",(VLOOKUP(D246,'DB technologies'!$N$122:$Y$133,3,FALSE)*'DB additional information '!$S$7/100*'DB additional information '!$V$7*VLOOKUP($C$245,'DB animal categories'!$C$91:$AC$100,27,FALSE)*E246/1000/1000)/VLOOKUP($C$245,'DB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AA246" s="418" t="str">
        <f>IF(D246="","",(VLOOKUP(D246,'DB technologies'!$N$122:$Y$133,4,FALSE)*('DB additional information '!$S$8/100*'DB additional information '!$V$8*E246/1000/1000)))</f>
        <v/>
      </c>
      <c r="AB246" s="261" t="str">
        <f>IF($C$245=0,"",IF('Calc (ex-animal)'!$F$38=1,"",IF(D246="","",((VLOOKUP($C$245,'Calc (ex-animal)'!$D$48:$Y$52,16,FALSE)-VLOOKUP($C$245,'Calc (ex-animal)'!$D$48:$Y$52,20,FALSE))*F246/100+Y246+Z246+AA246))))</f>
        <v/>
      </c>
      <c r="AC246" s="261" t="str">
        <f>IF($C$245=0,"",IF('Calc (ex-animal)'!$F$38=1,"",IF(D246="","",VLOOKUP($C$245,'Calc (ex-animal)'!$D$48:$Y$52,9,FALSE)/VLOOKUP($C$245,'DB animal categories'!$C$91:$AC$100,27,FALSE)*(VLOOKUP($C$245,'DB animal categories'!$C$91:$AC$100,27,FALSE)-VLOOKUP($C$245,'DB animal categories'!$C$91:$AC$100,25,FALSE)*VLOOKUP($C$245,'DB animal categories'!$C$91:$AC$100,26,FALSE)/24)*F246/100*VLOOKUP(D246,'DB technologies'!$N$122:$R$133,5,FALSE)/100)))</f>
        <v/>
      </c>
      <c r="AD246" s="261" t="str">
        <f>IF($C$245=0,"",IF('Calc (ex-animal)'!$F$38=1,"",IF(D246="","",VLOOKUP($C$245,'Calc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categories'!$C$91:$AC$100,26,FALSE)/24)*F246/100*VLOOKUP(D246,'DB technologies'!$N$122:$Y$133,6,FALSE)/100)))</f>
        <v/>
      </c>
      <c r="AE246" s="262" t="str">
        <f>IF($C$245=0,"",IF('Calc (ex-animal)'!$F$38=1,"",IF(D246="","",VLOOKUP($C$245,'Calc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categories'!$C$91:$AC$100,26,FALSE)/24)*F246/100*VLOOKUP(D246,'DB technologies'!$N$122:$Y$133,7,FALSE)/100)))</f>
        <v/>
      </c>
      <c r="AI246" s="181" t="str">
        <f>IF(D246="","",VLOOKUP(D246,'DB technologies'!$N$122:$Y$133,10,FALSE))</f>
        <v/>
      </c>
      <c r="AJ246" s="449" t="e">
        <f>VLOOKUP($C$245,'DB animal categories'!$C$91:$AN$100,27,FALSE)-VLOOKUP($C$245,'DB animal categories'!$C$91:$AN$100,26,FALSE)*VLOOKUP($C$245,'DB animal categories'!$C$91:$AN$100,25,FALSE)/24</f>
        <v>#N/A</v>
      </c>
      <c r="AK246" s="442" t="str">
        <f>IF(AI246="","",AL246+AM246)</f>
        <v/>
      </c>
      <c r="AL246" s="442" t="str">
        <f>IF(D246="","",IF(AI246=2,(('Calc (ex-animal)'!$G$48*'DB additional information '!$K$11/100*(1-VLOOKUP(D246,'DB technologies'!$N$122:$Y$133,9,FALSE)/100)*'Calc (ex-housing, ex-storage)'!F246/100+'Calc (ex-animal)'!$H$48*'DB additional information '!$L$11/100*(1-VLOOKUP(D246,'DB technologies'!$N$122:$Y$133,9,FALSE)/100)*'Calc (ex-housing, ex-storage)'!F246/100))/VLOOKUP($C$245,'DB animal categories'!$C$91:$AC$100,27,FALSE)*AJ246+I246+J246+K246,IF(AI246=1,('Calc (ex-animal)'!$H$48*'DB additional information '!$L$11/100*(1-VLOOKUP(D246,'DB technologies'!$N$122:$Y$133,9,FALSE)/100)*'Calc (ex-housing, ex-storage)'!F246/100)/VLOOKUP($C$245,'DB animal categories'!$C$91:$AC$100,27,FALSE)*AJ246,IF(AI246=4,('Calc (ex-animal)'!$G$48*'DB additional information '!$K$11/100+'Calc (ex-animal)'!$H$48*'DB additional information '!$L$11/100)*(1-VLOOKUP(D246,'DB technologies'!$N$122:$Y$133,9,FALSE)/100)*'Calc (ex-housing, ex-storage)'!F246/100*VLOOKUP(D246,'DB technologies'!$N$122:$Y$133,11,FALSE)/100/VLOOKUP($C$245,'DB animal categories'!$C$91:$AC$100,27,FALSE)*AJ246,0))))</f>
        <v/>
      </c>
      <c r="AM246" s="442" t="str">
        <f>IF(D246="","",IF(AI246=2,(('Calc (ex-animal)'!$G$48*(1-'DB additional information '!$K$11/100)*(1-VLOOKUP(D246,'DB technologies'!$N$122:$Y$133,8,FALSE)/100)*'Calc (ex-housing, ex-storage)'!F246/100+'Calc (ex-animal)'!$H$48*(1-'DB additional information '!$L$11/100)*(1-VLOOKUP(D246,'DB technologies'!$N$122:$Y$133,8,FALSE)/100)*'Calc (ex-housing, ex-storage)'!F246/100))/VLOOKUP($C$245,'DB animal categories'!$C$91:$AC$100,27,FALSE)*AJ246+M246+N246+O246,IF(AI246=1,('Calc (ex-animal)'!$H$48*(1-'DB additional information '!$L$11/100)*(1-VLOOKUP(D246,'DB technologies'!$N$122:$Y$133,8,FALSE)/100)*'Calc (ex-housing, ex-storage)'!F246/100)/VLOOKUP($C$245,'DB animal categories'!$C$91:$AC$100,27,FALSE)*AJ246,IF(AI246=4,('Calc (ex-animal)'!$G$48*(1-'DB additional information '!$K$11/100)+'Calc (ex-animal)'!$H$48*(1-'DB additional information '!$L$11/100))*(1-VLOOKUP(D246,'DB technologies'!$N$122:$Y$133,8,FALSE)/100)*'Calc (ex-housing, ex-storage)'!F246/100*VLOOKUP(D246,'DB technologies'!$N$122:$Y$133,11,FALSE)/100/VLOOKUP($C$245,'DB animal categories'!$C$91:$AC$100,27,FALSE)*AJ246,0))))</f>
        <v/>
      </c>
      <c r="AN246" s="442" t="str">
        <f>IF(AI246="","",IF(AL246=0,0,AL246/AK246*100))</f>
        <v/>
      </c>
      <c r="AO246" s="182" t="str">
        <f>IF(D246="","",IF(AI246=2,(('Calc (ex-animal)'!$L$48*'Calc (ex-housing, ex-storage)'!F246/100+'Calc (ex-animal)'!$K$48*'Calc (ex-housing, ex-storage)'!F246/100))/VLOOKUP($C$245,'DB animal categories'!$C$91:$AC$100,27,FALSE)*AJ246+Q246+R246+S246-AC246,IF(AI246=1,('Calc (ex-animal)'!$L$48*'Calc (ex-housing, ex-storage)'!F246/100)/VLOOKUP($C$245,'DB animal categories'!$C$91:$AC$100,27,FALSE)*AJ246-'Calc (ex-housing, ex-storage)'!AC246,IF(AI246=4,('Calc (ex-animal)'!$L$48+'Calc (ex-animal)'!$K$48)*'Calc (ex-housing, ex-storage)'!F246/100*VLOOKUP(D246,'DB technologies'!$N$122:$Y$133,11,FALSE)/100/VLOOKUP($C$245,'DB animal categories'!$C$91:$AC$100,27,FALSE)*AJ246-AC246*VLOOKUP(D246,'DB technologies'!$N$122:$Y$133,11,FALSE)/100,0))))</f>
        <v/>
      </c>
      <c r="AP246" s="182" t="str">
        <f>IF(D246="","",IF(AO246&lt;-0.01,0,IF(AI246=2,(('Calc (ex-animal)'!$L$48*'Calc (ex-housing, ex-storage)'!F246/100+'Calc (ex-animal)'!$K$48*'Calc (ex-housing, ex-storage)'!F246/100))/VLOOKUP($C$245,'DB animal categories'!$C$91:$AC$100,27,FALSE)*AJ246+Q246+R246+S246-AC246,IF(AI246=1,('Calc (ex-animal)'!$L$48*'Calc (ex-housing, ex-storage)'!F246/100)/VLOOKUP($C$245,'DB animal categories'!$C$91:$AC$100,27,FALSE)*AJ246-'Calc (ex-housing, ex-storage)'!AC246,IF(AI246=4,('Calc (ex-animal)'!$L$48+'Calc (ex-animal)'!$K$48)*'Calc (ex-housing, ex-storage)'!F246/100*VLOOKUP(D246,'DB technologies'!$N$122:$Y$133,11,FALSE)/100/VLOOKUP($C$245,'DB animal categories'!$C$91:$AC$100,27,FALSE)*AJ246-AC246*VLOOKUP(D246,'DB technologies'!$N$122:$Y$133,11,FALSE)/100,0)))))</f>
        <v/>
      </c>
      <c r="AQ246" s="182" t="str">
        <f>IF(D246="","",IF(AI246=2,('Calc (ex-animal)'!$O$48*'Calc (ex-housing, ex-storage)'!F246/100+'Calc (ex-animal)'!$N$48*'Calc (ex-housing, ex-storage)'!F246/100)/VLOOKUP($C$245,'DB animal categories'!$C$91:$AC$100,27,FALSE)*AJ246+U246+V246+W246,IF(AI246=1,'Calc (ex-animal)'!$O$48*'Calc (ex-housing, ex-storage)'!F246/100/VLOOKUP($C$245,'DB animal categories'!$C$91:$AC$100,27,FALSE)*AJ246,IF(AI246=4,('Calc (ex-animal)'!$O$48+'Calc (ex-animal)'!$N$48)*'Calc (ex-housing, ex-storage)'!F246/100*VLOOKUP(D246,'DB technologies'!$N$122:$Y$133,11,FALSE)/100/VLOOKUP($C$245,'DB animal categories'!$C$91:$AC$100,27,FALSE)*AJ246,0))))</f>
        <v/>
      </c>
      <c r="AR246" s="182" t="str">
        <f>IF(D246="","",IF(AI246=2,('Calc (ex-animal)'!$R$48*'Calc (ex-housing, ex-storage)'!F246/100+'Calc (ex-animal)'!$Q$48*'Calc (ex-housing, ex-storage)'!F246/100)/VLOOKUP($C$245,'DB animal categories'!$C$91:$AC$100,27,FALSE)*AJ246+Y246+Z246+AA246,IF(AI246=1,'Calc (ex-animal)'!$R$48*'Calc (ex-housing, ex-storage)'!F246/100/VLOOKUP($C$245,'DB animal categories'!$C$91:$AC$100,27,FALSE)*AJ246,IF(AI246=4,('Calc (ex-animal)'!$R$48+'Calc (ex-animal)'!$Q$48)*'Calc (ex-housing, ex-storage)'!F246/100*VLOOKUP(D246,'DB technologies'!$N$122:$Y$133,11,FALSE)/100/VLOOKUP($C$245,'DB animal categories'!$C$91:$AC$100,27,FALSE)*AJ246,0))))</f>
        <v/>
      </c>
      <c r="AS246" s="181" t="str">
        <f>IF(D246="","",VLOOKUP(D246,'DB technologies'!$N$122:$Y$133,10,FALSE))</f>
        <v/>
      </c>
      <c r="AT246" s="442" t="str">
        <f>IF(AS246="","",AU246+AV246)</f>
        <v/>
      </c>
      <c r="AU246" s="442" t="str">
        <f>IF(D246="","",IF(AS246=2,0,IF(AS246=1,'Calc (ex-animal)'!$G$48*'DB additional information '!$K$11/100*(1-VLOOKUP(D246,'DB technologies'!$N$122:$Y$133,8,FALSE)/100)*'Calc (ex-housing, ex-storage)'!F246/100/VLOOKUP($C$245,'DB animal categories'!$C$91:$AC$100,27,FALSE)*AJ246+I246+J246+K246,IF(AS246=5,(('Calc (ex-animal)'!$G$48*'DB additional information '!$K$11/100+'Calc (ex-animal)'!$H$48*'DB additional information '!$L$11/100))*(1-VLOOKUP(D246,'DB technologies'!$N$122:$Y$133,9,FALSE)/100)*'Calc (ex-housing, ex-storage)'!F246/100/VLOOKUP($C$245,'DB animal categories'!$C$91:$AC$100,27,FALSE)*AJ246+I246+J246+K246,IF(AS246=3,('Calc (ex-animal)'!$G$48*'DB additional information '!$K$11/100+'Calc (ex-animal)'!$H$48*'DB additional information '!$L$11/100)*(1-VLOOKUP(D246,'DB technologies'!$N$122:$Y$133,9,FALSE)/100)*'Calc (ex-housing, ex-storage)'!F246/100/VLOOKUP($C$245,'DB animal categories'!$C$91:$AC$100,27,FALSE)*AJ246+I246+J246+K246,IF(AS246=4,('Calc (ex-animal)'!$G$48*'DB additional information '!$K$11/100+'Calc (ex-animal)'!$H$48*'DB additional information '!$L$11/100)*(1-VLOOKUP(D246,'DB technologies'!$N$122:$Y$133,9,FALSE)/100)*'Calc (ex-housing, ex-storage)'!F246/100*VLOOKUP(D246,'DB technologies'!$N$122:$Y$133,12,FALSE)/100/VLOOKUP($C$245,'DB animal categories'!$C$91:$AC$100,27,FALSE)*AJ246+I246+J246+K246,0))))))</f>
        <v/>
      </c>
      <c r="AV246" s="442" t="str">
        <f>IF(D246="","",IF(AS246=2,0,IF(AS246=1,'Calc (ex-animal)'!$G$48*(1-'DB additional information '!$K$11/100)*(1-VLOOKUP(D246,'DB technologies'!$N$122:$Y$133,8,FALSE)/100)*'Calc (ex-housing, ex-storage)'!F246/100/VLOOKUP($C$245,'DB animal categories'!$C$91:$AC$100,27,FALSE)*AJ246+M246+N246+O246,IF(AS246=5,('Calc (ex-animal)'!$G$48*(1-'DB additional information '!$K$11/100)+'Calc (ex-animal)'!$H$48*(1-'DB additional information '!$L$11/100))*(1-VLOOKUP(D246,'DB technologies'!$N$122:$Y$133,8,FALSE)/100)*'Calc (ex-housing, ex-storage)'!F246/100/VLOOKUP($C$245,'DB animal categories'!$C$91:$AC$100,27,FALSE)*AJ246+M246+N246+O246,IF(AS246=3,('Calc (ex-animal)'!$G$48*(1-'DB additional information '!$K$11/100)+'Calc (ex-animal)'!$H$48*(1-'DB additional information '!$L$11/100))*(1-VLOOKUP(D246,'DB technologies'!$N$122:$Y$133,8,FALSE)/100)*'Calc (ex-housing, ex-storage)'!F246/100/VLOOKUP($C$245,'DB animal categories'!$C$91:$AC$100,27,FALSE)*AJ246+M246+N246+O246,IF(AS246=4,('Calc (ex-animal)'!$G$48*(1-'DB additional information '!$K$11/100)+'Calc (ex-animal)'!$H$48*(1-'DB additional information '!$L$11/100))*(1-VLOOKUP(D246,'DB technologies'!$N$122:$Y$133,8,FALSE)/100)*'Calc (ex-housing, ex-storage)'!F246/100*VLOOKUP(D246,'DB technologies'!$N$122:$Y$133,12,FALSE)/100/VLOOKUP($C$245,'DB animal categories'!$C$91:$AC$100,27,FALSE)*AJ246+M246+N246+O246,0))))))</f>
        <v/>
      </c>
      <c r="AW246" s="442" t="str">
        <f>IF(AS246="","",IF(AU246=0,0,AU246/AT246*100))</f>
        <v/>
      </c>
      <c r="AX246" s="182" t="str">
        <f>IF(D246="","",IF(AS246=2,0,IF(AS246=1,'Calc (ex-animal)'!$K$48*'Calc (ex-housing, ex-storage)'!F246/100/VLOOKUP($C$245,'DB animal categories'!$C$91:$AC$100,27,FALSE)*AJ246+Q246+R246+S246,IF(AS246=5,('Calc (ex-animal)'!$K$48+'Calc (ex-animal)'!$L$48)*'Calc (ex-housing, ex-storage)'!F246/100/VLOOKUP($C$245,'DB animal categories'!$C$91:$AC$100,27,FALSE)*AJ246+Q246+R246+S246-'Calc (ex-housing, ex-storage)'!AC246,IF(AS246=3,('Calc (ex-animal)'!$K$48+'Calc (ex-animal)'!$L$48)*'Calc (ex-housing, ex-storage)'!F246/100/VLOOKUP($C$245,'DB animal categories'!$C$91:$AC$100,27,FALSE)*AJ246+Q246+R246+S246-'Calc (ex-housing, ex-storage)'!AC246-AD246-AE246,IF(AI246=4,('Calc (ex-animal)'!$K$48+'Calc (ex-animal)'!$L$48)*'Calc (ex-housing, ex-storage)'!F246/100*VLOOKUP(D246,'DB technologies'!$N$122:$Y$133,12,FALSE)/100/VLOOKUP($C$245,'DB animal categories'!$C$91:$AC$100,27,FALSE)*AJ246+Q246+R246+S246-(VLOOKUP(D246,'DB technologies'!$N$122:$Y$133,12,FALSE)/100*AC246)-AD246-AE246,0))))))</f>
        <v/>
      </c>
      <c r="AY246" s="182" t="str">
        <f>IF(D246="","",IF(AS246=2,0,IF(AS246=1,'Calc (ex-animal)'!$N$48*'Calc (ex-housing, ex-storage)'!F246/100/VLOOKUP($C$245,'DB animal categories'!$C$91:$AC$100,27,FALSE)*AJ246+U246+V246+W246,IF(AS246=5,('Calc (ex-animal)'!$N$48+'Calc (ex-animal)'!$O$48)*'Calc (ex-housing, ex-storage)'!F246/100/VLOOKUP($C$245,'DB animal categories'!$C$91:$AC$100,27,FALSE)*AJ246+U246+V246+W246,IF(AS246=3,('Calc (ex-animal)'!$N$48+'Calc (ex-animal)'!$O$48)*'Calc (ex-housing, ex-storage)'!F246/100/VLOOKUP($C$245,'DB animal categories'!$C$91:$AC$100,27,FALSE)*AJ246+U246+V246+W246,IF(AS246=4,('Calc (ex-animal)'!$N$48+'Calc (ex-animal)'!$O$48)*'Calc (ex-housing, ex-storage)'!F246/100*VLOOKUP(D246,'DB technologies'!$N$122:$Y$133,12,FALSE)/100/VLOOKUP($C$245,'DB animal categories'!$C$91:$AC$100,27,FALSE)*AJ246+U246+V246+W246,0))))))</f>
        <v/>
      </c>
      <c r="AZ246" s="182" t="str">
        <f>IF(D246="","",IF(AS246=2,0,IF(AS246=1,'Calc (ex-animal)'!$Q$48*'Calc (ex-housing, ex-storage)'!F246/100/VLOOKUP($C$245,'DB animal categories'!$C$91:$AC$100,27,FALSE)*AJ246+Y246+Z246+AA246,IF(AS246=5,('Calc (ex-animal)'!$Q$48+'Calc (ex-animal)'!$R$48)*'Calc (ex-housing, ex-storage)'!F246/100/VLOOKUP($C$245,'DB animal categories'!$C$91:$AC$100,27,FALSE)*AJ246+Y246+Z246+AA246,IF(AS246=3,('Calc (ex-animal)'!$Q$48+'Calc (ex-animal)'!$R$48)*'Calc (ex-housing, ex-storage)'!F246/100/VLOOKUP($C$245,'DB animal categories'!$C$91:$AC$100,27,FALSE)*AJ246+Y246+Z246+AA246,IF(AS246=4,('Calc (ex-animal)'!$Q$48+'Calc (ex-animal)'!$R$48)*'Calc (ex-housing, ex-storage)'!F246/100*VLOOKUP(D246,'DB technologies'!$N$122:$Y$133,12,FALSE)/100/VLOOKUP($C$245,'DB animal categories'!$C$91:$AC$100,27,FALSE)*AJ246+Y246+Z246+AA246,0))))))</f>
        <v/>
      </c>
      <c r="BA246" s="506"/>
      <c r="BB246" s="506"/>
      <c r="BC246" s="506"/>
    </row>
    <row r="247" spans="1:55" x14ac:dyDescent="0.2">
      <c r="A247" s="684"/>
      <c r="B247" s="695"/>
      <c r="C247" s="251"/>
      <c r="D247" s="1357"/>
      <c r="E247" s="1358"/>
      <c r="F247" s="480" t="str">
        <f>IF('Calc (ex-animal)'!$F$38=1,"",IF($C$245=0,"",IF(D247="","",E247/'Calc (ex-animal)'!$E$48*100)))</f>
        <v/>
      </c>
      <c r="G247" s="485" t="str">
        <f>IF($C$245=0,"",IF('Calc (ex-animal)'!$F$38=1,"",IF(D247="","",SUM(H247:O247))))</f>
        <v/>
      </c>
      <c r="H247" s="423" t="str">
        <f>IF('Calc (ex-animal)'!$F$38=1,"",IF(D247="","",(((VLOOKUP($C$245,'Calc (ex-animal)'!$D$48:$Y$52,6,FALSE)-VLOOKUP($C$245,'Calc (ex-animal)'!$D$48:$Y$52,17,FALSE))*F247/100))*VLOOKUP($C$245,'Calc (ex-animal)'!$D$48:$Y$52,7,FALSE)/100*(1-VLOOKUP(D247,'DB technologies'!$N$122:$Y$133,9,FALSE)/100)))</f>
        <v/>
      </c>
      <c r="I247" s="423" t="str">
        <f>IF(D247="","",((VLOOKUP(D247,'DB technologies'!$N$122:$Y$133,2,FALSE)*VLOOKUP($C$245,'DB animal categories'!$C$91:$AC$100,27,FALSE)*E247/1000)/VLOOKUP($C$245,'DB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'!$S$6/100*(1-VLOOKUP(D247,'DB technologies'!$N$122:$Y$133,9,FALSE)/100)))</f>
        <v/>
      </c>
      <c r="J247" s="434" t="str">
        <f>IF(D247="","",((VLOOKUP(D247,'DB technologies'!$N$122:$Y$133,3,FALSE)*VLOOKUP($C$245,'DB animal categories'!$C$91:$AC$100,27,FALSE)*E247/1000)/VLOOKUP($C$245,'DB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'!$S$7/100*(1-VLOOKUP(D247,'DB technologies'!$N$122:$Y$133,9,FALSE)/100)))</f>
        <v/>
      </c>
      <c r="K247" s="434" t="str">
        <f>IF(D247="","",((VLOOKUP(D247,'DB technologies'!$N$122:$Y$133,4,FALSE)*E247*'DB additional information '!$S$8/100*(1-VLOOKUP(D247,'DB technologies'!$N$122:$Y$133,9,FALSE)/100))/VLOOKUP($C$245,'DB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L247" s="423" t="str">
        <f>IF('Calc (ex-animal)'!$F$38=1,"",IF(D247="","",(((VLOOKUP($C$245,'Calc (ex-animal)'!$D$48:$Y$52,6,FALSE)-VLOOKUP($C$245,'Calc (ex-animal)'!$D$48:$Y$52,17,FALSE))*F247/100))*(1-VLOOKUP($C$245,'Calc (ex-animal)'!$D$48:$Y$52,7,FALSE)/100)*(1-VLOOKUP(D247,'DB technologies'!$N$122:$V$133,8,FALSE)/100)))</f>
        <v/>
      </c>
      <c r="M247" s="434" t="str">
        <f>IF(D247="","",((VLOOKUP(D247,'DB technologies'!$N$122:$Y$133,2,FALSE)*VLOOKUP($C$245,'DB animal categories'!$C$91:$AC$100,27,FALSE)*E247/1000)/VLOOKUP($C$245,'DB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'!$S$6/100)*(1-VLOOKUP(D247,'DB technologies'!$N$122:$Y$133,9,FALSE)/100))</f>
        <v/>
      </c>
      <c r="N247" s="434" t="str">
        <f>IF(D247="","",((VLOOKUP(D247,'DB technologies'!$N$122:$Y$133,3,FALSE)*VLOOKUP($C$245,'DB animal categories'!$C$91:$AC$100,27,FALSE)*E247/1000)/VLOOKUP($C$245,'DB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'!$S$7/100)*(1-VLOOKUP(D247,'DB technologies'!$N$122:$Y$133,9,FALSE)/100))</f>
        <v/>
      </c>
      <c r="O247" s="423" t="str">
        <f>IF(D247="","",((VLOOKUP(D247,'DB technologies'!$N$122:$Y$133,4,FALSE)*E247*(1-'DB additional information '!$S$8/100)*(1-VLOOKUP(D247,'DB technologies'!$N$122:$Y$133,8,FALSE)/100))/VLOOKUP($C$245,'DB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P247" s="438" t="str">
        <f>IF(G247=0,0,IF(E247="","",IF(F247="","",IF($C$245=0,"",IF(D247="","",SUM(H247:K247)/G247*100)))))</f>
        <v/>
      </c>
      <c r="Q247" s="416" t="str">
        <f>IF(D247="","",(VLOOKUP(D247,'DB technologies'!$N$122:$Y$133,2,FALSE)*'DB additional information '!$S$6/100*'DB additional information '!$T$6*VLOOKUP($C$245,'DB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R247" s="416" t="str">
        <f>IF(D247="","",(VLOOKUP(D247,'DB technologies'!$N$122:$Y$133,3,FALSE)*'DB additional information '!$S$7/100*'DB additional information '!$T$7*VLOOKUP($C$245,'DB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S247" s="491" t="str">
        <f>IF(D247="","",(VLOOKUP(D247,'DB technologies'!$N$122:$Y$133,4,FALSE)*('DB additional information '!$S$8/100*'DB additional information '!$T$8*E247/1000/1000)))</f>
        <v/>
      </c>
      <c r="T247" s="264" t="str">
        <f>IF($C$245=0,"",IF('Calc (ex-animal)'!$F$38=1,"",IF(D247="","",((VLOOKUP($C$245,'Calc (ex-animal)'!$D$48:$Y$52,10,FALSE)-VLOOKUP($C$245,'Calc (ex-animal)'!$D$48:$Y$52,18,FALSE))*F247/100+Q247+R247+S247)-AC247-AD247-AE247)))</f>
        <v/>
      </c>
      <c r="U247" s="422" t="str">
        <f>IF(D247="","",(VLOOKUP(D247,'DB technologies'!$N$122:$Y$133,2,FALSE)*'DB additional information '!$S$6/100*'DB additional information '!$U$6*VLOOKUP($C$245,'DB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V247" s="418" t="str">
        <f>IF(D247="","",(VLOOKUP(D247,'DB technologies'!$N$122:$Y$133,3,FALSE)*'DB additional information '!$S$7/100*'DB additional information '!$U$7*VLOOKUP($C$245,'DB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W247" s="417" t="str">
        <f>IF(D247="","",(VLOOKUP(D247,'DB technologies'!$N$122:$Y$133,4,FALSE)*('DB additional information '!$S$8/100*'DB additional information '!$U$8*E247/1000/1000)))</f>
        <v/>
      </c>
      <c r="X247" s="261" t="str">
        <f>IF($C$245=0,"",IF('Calc (ex-animal)'!$F$38=1,"",IF(D247="","",((VLOOKUP($C$245,'Calc (ex-animal)'!$D$48:$Y$52,13,FALSE)-VLOOKUP($C$245,'Calc (ex-animal)'!$D$48:$Y$52,19,FALSE))*F247/100+U247+V247+W247))))</f>
        <v/>
      </c>
      <c r="Y247" s="418" t="str">
        <f>IF(D247="","",(VLOOKUP(D247,'DB technologies'!$N$122:$Y$133,2,FALSE)*'DB additional information '!$S$6/100*'DB additional information '!$V$6*VLOOKUP($C$245,'DB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Z247" s="418" t="str">
        <f>IF(D247="","",(VLOOKUP(D247,'DB technologies'!$N$122:$Y$133,3,FALSE)*'DB additional information '!$S$7/100*'DB additional information '!$V$7*VLOOKUP($C$245,'DB animal categories'!$C$91:$AC$100,27,FALSE)*E247/1000/1000)/VLOOKUP($C$245,'DB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AA247" s="418" t="str">
        <f>IF(D247="","",(VLOOKUP(D247,'DB technologies'!$N$122:$Y$133,4,FALSE)*('DB additional information '!$S$8/100*'DB additional information '!$V$8*E247/1000/1000)))</f>
        <v/>
      </c>
      <c r="AB247" s="261" t="str">
        <f>IF($C$245=0,"",IF('Calc (ex-animal)'!$F$38=1,"",IF(D247="","",((VLOOKUP($C$245,'Calc (ex-animal)'!$D$48:$Y$52,16,FALSE)-VLOOKUP($C$245,'Calc (ex-animal)'!$D$48:$Y$52,20,FALSE))*F247/100+Y247+Z247+AA247))))</f>
        <v/>
      </c>
      <c r="AC247" s="261" t="str">
        <f>IF($C$245=0,"",IF('Calc (ex-animal)'!$F$38=1,"",IF(D247="","",VLOOKUP($C$245,'Calc (ex-animal)'!$D$48:$Y$52,9,FALSE)/VLOOKUP($C$245,'DB animal categories'!$C$91:$AC$100,27,FALSE)*(VLOOKUP($C$245,'DB animal categories'!$C$91:$AC$100,27,FALSE)-VLOOKUP($C$245,'DB animal categories'!$C$91:$AC$100,25,FALSE)*VLOOKUP($C$245,'DB animal categories'!$C$91:$AC$100,26,FALSE)/24)*F247/100*VLOOKUP(D247,'DB technologies'!$N$122:$R$133,5,FALSE)/100)))</f>
        <v/>
      </c>
      <c r="AD247" s="261" t="str">
        <f>IF($C$245=0,"",IF('Calc (ex-animal)'!$F$38=1,"",IF(D247="","",VLOOKUP($C$245,'Calc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categories'!$C$91:$AC$100,26,FALSE)/24)*F247/100*VLOOKUP(D247,'DB technologies'!$N$122:$Y$133,6,FALSE)/100)))</f>
        <v/>
      </c>
      <c r="AE247" s="262" t="str">
        <f>IF($C$245=0,"",IF('Calc (ex-animal)'!$F$38=1,"",IF(D247="","",VLOOKUP($C$245,'Calc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categories'!$C$91:$AC$100,26,FALSE)/24)*F247/100*VLOOKUP(D247,'DB technologies'!$N$122:$Y$133,7,FALSE)/100)))</f>
        <v/>
      </c>
      <c r="AI247" s="181" t="str">
        <f>IF(D247="","",VLOOKUP(D247,'DB technologies'!$N$122:$Y$133,10,FALSE))</f>
        <v/>
      </c>
      <c r="AJ247" s="449" t="e">
        <f>VLOOKUP($C$245,'DB animal categories'!$C$91:$AN$100,27,FALSE)-VLOOKUP($C$245,'DB animal categories'!$C$91:$AN$100,26,FALSE)*VLOOKUP($C$245,'DB animal categories'!$C$91:$AN$100,25,FALSE)/24</f>
        <v>#N/A</v>
      </c>
      <c r="AK247" s="442" t="str">
        <f>IF(AI247="","",AL247+AM247)</f>
        <v/>
      </c>
      <c r="AL247" s="442" t="str">
        <f>IF(D247="","",IF(AI247=2,(('Calc (ex-animal)'!$G$48*'DB additional information '!$K$11/100*(1-VLOOKUP(D247,'DB technologies'!$N$122:$Y$133,9,FALSE)/100)*'Calc (ex-housing, ex-storage)'!F247/100+'Calc (ex-animal)'!$H$48*'DB additional information '!$L$11/100*(1-VLOOKUP(D247,'DB technologies'!$N$122:$Y$133,9,FALSE)/100)*'Calc (ex-housing, ex-storage)'!F247/100))/VLOOKUP($C$245,'DB animal categories'!$C$91:$AC$100,27,FALSE)*AJ247+I247+J247+K247,IF(AI247=1,('Calc (ex-animal)'!$H$48*'DB additional information '!$L$11/100*(1-VLOOKUP(D247,'DB technologies'!$N$122:$Y$133,9,FALSE)/100)*'Calc (ex-housing, ex-storage)'!F247/100)/VLOOKUP($C$245,'DB animal categories'!$C$91:$AC$100,27,FALSE)*AJ247,IF(AI247=4,('Calc (ex-animal)'!$G$48*'DB additional information '!$K$11/100+'Calc (ex-animal)'!$H$48*'DB additional information '!$L$11/100)*(1-VLOOKUP(D247,'DB technologies'!$N$122:$Y$133,9,FALSE)/100)*'Calc (ex-housing, ex-storage)'!F247/100*VLOOKUP(D247,'DB technologies'!$N$122:$Y$133,11,FALSE)/100/VLOOKUP($C$245,'DB animal categories'!$C$91:$AC$100,27,FALSE)*AJ247,0))))</f>
        <v/>
      </c>
      <c r="AM247" s="442" t="str">
        <f>IF(D247="","",IF(AI247=2,(('Calc (ex-animal)'!$G$48*(1-'DB additional information '!$K$11/100)*(1-VLOOKUP(D247,'DB technologies'!$N$122:$Y$133,8,FALSE)/100)*'Calc (ex-housing, ex-storage)'!F247/100+'Calc (ex-animal)'!$H$48*(1-'DB additional information '!$L$11/100)*(1-VLOOKUP(D247,'DB technologies'!$N$122:$Y$133,8,FALSE)/100)*'Calc (ex-housing, ex-storage)'!F247/100))/VLOOKUP($C$245,'DB animal categories'!$C$91:$AC$100,27,FALSE)*AJ247+M247+N247+O247,IF(AI247=1,('Calc (ex-animal)'!$H$48*(1-'DB additional information '!$L$11/100)*(1-VLOOKUP(D247,'DB technologies'!$N$122:$Y$133,8,FALSE)/100)*'Calc (ex-housing, ex-storage)'!F247/100)/VLOOKUP($C$245,'DB animal categories'!$C$91:$AC$100,27,FALSE)*AJ247,IF(AI247=4,('Calc (ex-animal)'!$G$48*(1-'DB additional information '!$K$11/100)+'Calc (ex-animal)'!$H$48*(1-'DB additional information '!$L$11/100))*(1-VLOOKUP(D247,'DB technologies'!$N$122:$Y$133,8,FALSE)/100)*'Calc (ex-housing, ex-storage)'!F247/100*VLOOKUP(D247,'DB technologies'!$N$122:$Y$133,11,FALSE)/100/VLOOKUP($C$245,'DB animal categories'!$C$91:$AC$100,27,FALSE)*AJ247,0))))</f>
        <v/>
      </c>
      <c r="AN247" s="442" t="str">
        <f>IF(AI247="","",IF(AL247=0,0,AL247/AK247*100))</f>
        <v/>
      </c>
      <c r="AO247" s="182" t="str">
        <f>IF(D247="","",IF(AI247=2,(('Calc (ex-animal)'!$L$48*'Calc (ex-housing, ex-storage)'!F247/100+'Calc (ex-animal)'!$K$48*'Calc (ex-housing, ex-storage)'!F247/100))/VLOOKUP($C$245,'DB animal categories'!$C$91:$AC$100,27,FALSE)*AJ247+Q247+R247+S247-AC247,IF(AI247=1,('Calc (ex-animal)'!$L$48*'Calc (ex-housing, ex-storage)'!F247/100)/VLOOKUP($C$245,'DB animal categories'!$C$91:$AC$100,27,FALSE)*AJ247-'Calc (ex-housing, ex-storage)'!AC247,IF(AI247=4,('Calc (ex-animal)'!$L$48+'Calc (ex-animal)'!$K$48)*'Calc (ex-housing, ex-storage)'!F247/100*VLOOKUP(D247,'DB technologies'!$N$122:$Y$133,11,FALSE)/100/VLOOKUP($C$245,'DB animal categories'!$C$91:$AC$100,27,FALSE)*AJ247-AC247*VLOOKUP(D247,'DB technologies'!$N$122:$Y$133,11,FALSE)/100,0))))</f>
        <v/>
      </c>
      <c r="AP247" s="182" t="str">
        <f>IF(D247="","",IF(AO247&lt;-0.01,0,IF(AI247=2,(('Calc (ex-animal)'!$L$48*'Calc (ex-housing, ex-storage)'!F247/100+'Calc (ex-animal)'!$K$48*'Calc (ex-housing, ex-storage)'!F247/100))/VLOOKUP($C$245,'DB animal categories'!$C$91:$AC$100,27,FALSE)*AJ247+Q247+R247+S247-AC247,IF(AI247=1,('Calc (ex-animal)'!$L$48*'Calc (ex-housing, ex-storage)'!F247/100)/VLOOKUP($C$245,'DB animal categories'!$C$91:$AC$100,27,FALSE)*AJ247-'Calc (ex-housing, ex-storage)'!AC247,IF(AI247=4,('Calc (ex-animal)'!$L$48+'Calc (ex-animal)'!$K$48)*'Calc (ex-housing, ex-storage)'!F247/100*VLOOKUP(D247,'DB technologies'!$N$122:$Y$133,11,FALSE)/100/VLOOKUP($C$245,'DB animal categories'!$C$91:$AC$100,27,FALSE)*AJ247-AC247*VLOOKUP(D247,'DB technologies'!$N$122:$Y$133,11,FALSE)/100,0)))))</f>
        <v/>
      </c>
      <c r="AQ247" s="182" t="str">
        <f>IF(D247="","",IF(AI247=2,('Calc (ex-animal)'!$O$48*'Calc (ex-housing, ex-storage)'!F247/100+'Calc (ex-animal)'!$N$48*'Calc (ex-housing, ex-storage)'!F247/100)/VLOOKUP($C$245,'DB animal categories'!$C$91:$AC$100,27,FALSE)*AJ247+U247+V247+W247,IF(AI247=1,'Calc (ex-animal)'!$O$48*'Calc (ex-housing, ex-storage)'!F247/100/VLOOKUP($C$245,'DB animal categories'!$C$91:$AC$100,27,FALSE)*AJ247,IF(AI247=4,('Calc (ex-animal)'!$O$48+'Calc (ex-animal)'!$N$48)*'Calc (ex-housing, ex-storage)'!F247/100*VLOOKUP(D247,'DB technologies'!$N$122:$Y$133,11,FALSE)/100/VLOOKUP($C$245,'DB animal categories'!$C$91:$AC$100,27,FALSE)*AJ247,0))))</f>
        <v/>
      </c>
      <c r="AR247" s="182" t="str">
        <f>IF(D247="","",IF(AI247=2,('Calc (ex-animal)'!$R$48*'Calc (ex-housing, ex-storage)'!F247/100+'Calc (ex-animal)'!$Q$48*'Calc (ex-housing, ex-storage)'!F247/100)/VLOOKUP($C$245,'DB animal categories'!$C$91:$AC$100,27,FALSE)*AJ247+Y247+Z247+AA247,IF(AI247=1,'Calc (ex-animal)'!$R$48*'Calc (ex-housing, ex-storage)'!F247/100/VLOOKUP($C$245,'DB animal categories'!$C$91:$AC$100,27,FALSE)*AJ247,IF(AI247=4,('Calc (ex-animal)'!$R$48+'Calc (ex-animal)'!$Q$48)*'Calc (ex-housing, ex-storage)'!F247/100*VLOOKUP(D247,'DB technologies'!$N$122:$Y$133,11,FALSE)/100/VLOOKUP($C$245,'DB animal categories'!$C$91:$AC$100,27,FALSE)*AJ247,0))))</f>
        <v/>
      </c>
      <c r="AS247" s="181" t="str">
        <f>IF(D247="","",VLOOKUP(D247,'DB technologies'!$N$122:$Y$133,10,FALSE))</f>
        <v/>
      </c>
      <c r="AT247" s="442" t="str">
        <f>IF(AS247="","",AU247+AV247)</f>
        <v/>
      </c>
      <c r="AU247" s="442" t="str">
        <f>IF(D247="","",IF(AS247=2,0,IF(AS247=1,'Calc (ex-animal)'!$G$48*'DB additional information '!$K$11/100*(1-VLOOKUP(D247,'DB technologies'!$N$122:$Y$133,8,FALSE)/100)*'Calc (ex-housing, ex-storage)'!F247/100/VLOOKUP($C$245,'DB animal categories'!$C$91:$AC$100,27,FALSE)*AJ247+I247+J247+K247,IF(AS247=5,(('Calc (ex-animal)'!$G$48*'DB additional information '!$K$11/100+'Calc (ex-animal)'!$H$48*'DB additional information '!$L$11/100))*(1-VLOOKUP(D247,'DB technologies'!$N$122:$Y$133,9,FALSE)/100)*'Calc (ex-housing, ex-storage)'!F247/100/VLOOKUP($C$245,'DB animal categories'!$C$91:$AC$100,27,FALSE)*AJ247+I247+J247+K247,IF(AS247=3,('Calc (ex-animal)'!$G$48*'DB additional information '!$K$11/100+'Calc (ex-animal)'!$H$48*'DB additional information '!$L$11/100)*(1-VLOOKUP(D247,'DB technologies'!$N$122:$Y$133,9,FALSE)/100)*'Calc (ex-housing, ex-storage)'!F247/100/VLOOKUP($C$245,'DB animal categories'!$C$91:$AC$100,27,FALSE)*AJ247+I247+J247+K247,IF(AS247=4,('Calc (ex-animal)'!$G$48*'DB additional information '!$K$11/100+'Calc (ex-animal)'!$H$48*'DB additional information '!$L$11/100)*(1-VLOOKUP(D247,'DB technologies'!$N$122:$Y$133,9,FALSE)/100)*'Calc (ex-housing, ex-storage)'!F247/100*VLOOKUP(D247,'DB technologies'!$N$122:$Y$133,12,FALSE)/100/VLOOKUP($C$245,'DB animal categories'!$C$91:$AC$100,27,FALSE)*AJ247+I247+J247+K247,0))))))</f>
        <v/>
      </c>
      <c r="AV247" s="442" t="str">
        <f>IF(D247="","",IF(AS247=2,0,IF(AS247=1,'Calc (ex-animal)'!$G$48*(1-'DB additional information '!$K$11/100)*(1-VLOOKUP(D247,'DB technologies'!$N$122:$Y$133,8,FALSE)/100)*'Calc (ex-housing, ex-storage)'!F247/100/VLOOKUP($C$245,'DB animal categories'!$C$91:$AC$100,27,FALSE)*AJ247+M247+N247+O247,IF(AS247=5,('Calc (ex-animal)'!$G$48*(1-'DB additional information '!$K$11/100)+'Calc (ex-animal)'!$H$48*(1-'DB additional information '!$L$11/100))*(1-VLOOKUP(D247,'DB technologies'!$N$122:$Y$133,8,FALSE)/100)*'Calc (ex-housing, ex-storage)'!F247/100/VLOOKUP($C$245,'DB animal categories'!$C$91:$AC$100,27,FALSE)*AJ247+M247+N247+O247,IF(AS247=3,('Calc (ex-animal)'!$G$48*(1-'DB additional information '!$K$11/100)+'Calc (ex-animal)'!$H$48*(1-'DB additional information '!$L$11/100))*(1-VLOOKUP(D247,'DB technologies'!$N$122:$Y$133,8,FALSE)/100)*'Calc (ex-housing, ex-storage)'!F247/100/VLOOKUP($C$245,'DB animal categories'!$C$91:$AC$100,27,FALSE)*AJ247+M247+N247+O247,IF(AS247=4,('Calc (ex-animal)'!$G$48*(1-'DB additional information '!$K$11/100)+'Calc (ex-animal)'!$H$48*(1-'DB additional information '!$L$11/100))*(1-VLOOKUP(D247,'DB technologies'!$N$122:$Y$133,8,FALSE)/100)*'Calc (ex-housing, ex-storage)'!F247/100*VLOOKUP(D247,'DB technologies'!$N$122:$Y$133,12,FALSE)/100/VLOOKUP($C$245,'DB animal categories'!$C$91:$AC$100,27,FALSE)*AJ247+M247+N247+O247,0))))))</f>
        <v/>
      </c>
      <c r="AW247" s="442" t="str">
        <f>IF(AS247="","",IF(AU247=0,0,AU247/AT247*100))</f>
        <v/>
      </c>
      <c r="AX247" s="182" t="str">
        <f>IF(D247="","",IF(AS247=2,0,IF(AS247=1,'Calc (ex-animal)'!$K$48*'Calc (ex-housing, ex-storage)'!F247/100/VLOOKUP($C$245,'DB animal categories'!$C$91:$AC$100,27,FALSE)*AJ247+Q247+R247+S247,IF(AS247=5,('Calc (ex-animal)'!$K$48+'Calc (ex-animal)'!$L$48)*'Calc (ex-housing, ex-storage)'!F247/100/VLOOKUP($C$245,'DB animal categories'!$C$91:$AC$100,27,FALSE)*AJ247+Q247+R247+S247-'Calc (ex-housing, ex-storage)'!AC247,IF(AS247=3,('Calc (ex-animal)'!$K$48+'Calc (ex-animal)'!$L$48)*'Calc (ex-housing, ex-storage)'!F247/100/VLOOKUP($C$245,'DB animal categories'!$C$91:$AC$100,27,FALSE)*AJ247+Q247+R247+S247-'Calc (ex-housing, ex-storage)'!AC247-AD247-AE247,IF(AI247=4,('Calc (ex-animal)'!$K$48+'Calc (ex-animal)'!$L$48)*'Calc (ex-housing, ex-storage)'!F247/100*VLOOKUP(D247,'DB technologies'!$N$122:$Y$133,12,FALSE)/100/VLOOKUP($C$245,'DB animal categories'!$C$91:$AC$100,27,FALSE)*AJ247+Q247+R247+S247-(VLOOKUP(D247,'DB technologies'!$N$122:$Y$133,12,FALSE)/100*AC247)-AD247-AE247,0))))))</f>
        <v/>
      </c>
      <c r="AY247" s="182" t="str">
        <f>IF(D247="","",IF(AS247=2,0,IF(AS247=1,'Calc (ex-animal)'!$N$48*'Calc (ex-housing, ex-storage)'!F247/100/VLOOKUP($C$245,'DB animal categories'!$C$91:$AC$100,27,FALSE)*AJ247+U247+V247+W247,IF(AS247=5,('Calc (ex-animal)'!$N$48+'Calc (ex-animal)'!$O$48)*'Calc (ex-housing, ex-storage)'!F247/100/VLOOKUP($C$245,'DB animal categories'!$C$91:$AC$100,27,FALSE)*AJ247+U247+V247+W247,IF(AS247=3,('Calc (ex-animal)'!$N$48+'Calc (ex-animal)'!$O$48)*'Calc (ex-housing, ex-storage)'!F247/100/VLOOKUP($C$245,'DB animal categories'!$C$91:$AC$100,27,FALSE)*AJ247+U247+V247+W247,IF(AS247=4,('Calc (ex-animal)'!$N$48+'Calc (ex-animal)'!$O$48)*'Calc (ex-housing, ex-storage)'!F247/100*VLOOKUP(D247,'DB technologies'!$N$122:$Y$133,12,FALSE)/100/VLOOKUP($C$245,'DB animal categories'!$C$91:$AC$100,27,FALSE)*AJ247+U247+V247+W247,0))))))</f>
        <v/>
      </c>
      <c r="AZ247" s="182" t="str">
        <f>IF(D247="","",IF(AS247=2,0,IF(AS247=1,'Calc (ex-animal)'!$Q$48*'Calc (ex-housing, ex-storage)'!F247/100/VLOOKUP($C$245,'DB animal categories'!$C$91:$AC$100,27,FALSE)*AJ247+Y247+Z247+AA247,IF(AS247=5,('Calc (ex-animal)'!$Q$48+'Calc (ex-animal)'!$R$48)*'Calc (ex-housing, ex-storage)'!F247/100/VLOOKUP($C$245,'DB animal categories'!$C$91:$AC$100,27,FALSE)*AJ247+Y247+Z247+AA247,IF(AS247=3,('Calc (ex-animal)'!$Q$48+'Calc (ex-animal)'!$R$48)*'Calc (ex-housing, ex-storage)'!F247/100/VLOOKUP($C$245,'DB animal categories'!$C$91:$AC$100,27,FALSE)*AJ247+Y247+Z247+AA247,IF(AS247=4,('Calc (ex-animal)'!$Q$48+'Calc (ex-animal)'!$R$48)*'Calc (ex-housing, ex-storage)'!F247/100*VLOOKUP(D247,'DB technologies'!$N$122:$Y$133,12,FALSE)/100/VLOOKUP($C$245,'DB animal categories'!$C$91:$AC$100,27,FALSE)*AJ247+Y247+Z247+AA247,0))))))</f>
        <v/>
      </c>
      <c r="BA247" s="506"/>
      <c r="BB247" s="506"/>
      <c r="BC247" s="506"/>
    </row>
    <row r="248" spans="1:55" x14ac:dyDescent="0.2">
      <c r="A248" s="684"/>
      <c r="B248" s="695"/>
      <c r="C248" s="251"/>
      <c r="D248" s="1357"/>
      <c r="E248" s="1358"/>
      <c r="F248" s="480" t="str">
        <f>IF('Calc (ex-animal)'!$F$38=1,"",IF($C$245=0,"",IF(D248="","",E248/'Calc (ex-animal)'!$E$48*100)))</f>
        <v/>
      </c>
      <c r="G248" s="485" t="str">
        <f>IF($C$245=0,"",IF('Calc (ex-animal)'!$F$38=1,"",IF(D248="","",SUM(H248:O248))))</f>
        <v/>
      </c>
      <c r="H248" s="423" t="str">
        <f>IF('Calc (ex-animal)'!$F$38=1,"",IF(D248="","",(((VLOOKUP($C$245,'Calc (ex-animal)'!$D$48:$Y$52,6,FALSE)-VLOOKUP($C$245,'Calc (ex-animal)'!$D$48:$Y$52,17,FALSE))*F248/100))*VLOOKUP($C$245,'Calc (ex-animal)'!$D$48:$Y$52,7,FALSE)/100*(1-VLOOKUP(D248,'DB technologies'!$N$122:$Y$133,9,FALSE)/100)))</f>
        <v/>
      </c>
      <c r="I248" s="423" t="str">
        <f>IF(D248="","",((VLOOKUP(D248,'DB technologies'!$N$122:$Y$133,2,FALSE)*VLOOKUP($C$245,'DB animal categories'!$C$91:$AC$100,27,FALSE)*E248/1000)/VLOOKUP($C$245,'DB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'!$S$6/100*(1-VLOOKUP(D248,'DB technologies'!$N$122:$Y$133,9,FALSE)/100)))</f>
        <v/>
      </c>
      <c r="J248" s="434" t="str">
        <f>IF(D248="","",((VLOOKUP(D248,'DB technologies'!$N$122:$Y$133,3,FALSE)*VLOOKUP($C$245,'DB animal categories'!$C$91:$AC$100,27,FALSE)*E248/1000)/VLOOKUP($C$245,'DB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'!$S$7/100*(1-VLOOKUP(D248,'DB technologies'!$N$122:$Y$133,9,FALSE)/100)))</f>
        <v/>
      </c>
      <c r="K248" s="434" t="str">
        <f>IF(D248="","",((VLOOKUP(D248,'DB technologies'!$N$122:$Y$133,4,FALSE)*E248*'DB additional information '!$S$8/100*(1-VLOOKUP(D248,'DB technologies'!$N$122:$Y$133,9,FALSE)/100))/VLOOKUP($C$245,'DB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L248" s="423" t="str">
        <f>IF('Calc (ex-animal)'!$F$38=1,"",IF(D248="","",(((VLOOKUP($C$245,'Calc (ex-animal)'!$D$48:$Y$52,6,FALSE)-VLOOKUP($C$245,'Calc (ex-animal)'!$D$48:$Y$52,17,FALSE))*F248/100))*(1-VLOOKUP($C$245,'Calc (ex-animal)'!$D$48:$Y$52,7,FALSE)/100)*(1-VLOOKUP(D248,'DB technologies'!$N$122:$V$133,8,FALSE)/100)))</f>
        <v/>
      </c>
      <c r="M248" s="434" t="str">
        <f>IF(D248="","",((VLOOKUP(D248,'DB technologies'!$N$122:$Y$133,2,FALSE)*VLOOKUP($C$245,'DB animal categories'!$C$91:$AC$100,27,FALSE)*E248/1000)/VLOOKUP($C$245,'DB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'!$S$6/100)*(1-VLOOKUP(D248,'DB technologies'!$N$122:$Y$133,9,FALSE)/100))</f>
        <v/>
      </c>
      <c r="N248" s="434" t="str">
        <f>IF(D248="","",((VLOOKUP(D248,'DB technologies'!$N$122:$Y$133,3,FALSE)*VLOOKUP($C$245,'DB animal categories'!$C$91:$AC$100,27,FALSE)*E248/1000)/VLOOKUP($C$245,'DB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'!$S$7/100)*(1-VLOOKUP(D248,'DB technologies'!$N$122:$Y$133,9,FALSE)/100))</f>
        <v/>
      </c>
      <c r="O248" s="423" t="str">
        <f>IF(D248="","",((VLOOKUP(D248,'DB technologies'!$N$122:$Y$133,4,FALSE)*E248*(1-'DB additional information '!$S$8/100)*(1-VLOOKUP(D248,'DB technologies'!$N$122:$Y$133,8,FALSE)/100))/VLOOKUP($C$245,'DB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P248" s="438" t="str">
        <f>IF(G248=0,0,IF(E248="","",IF(F248="","",IF($C$245=0,"",IF(D248="","",SUM(H248:K248)/G248*100)))))</f>
        <v/>
      </c>
      <c r="Q248" s="416" t="str">
        <f>IF(D248="","",(VLOOKUP(D248,'DB technologies'!$N$122:$Y$133,2,FALSE)*'DB additional information '!$S$6/100*'DB additional information '!$T$6*VLOOKUP($C$245,'DB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R248" s="416" t="str">
        <f>IF(D248="","",(VLOOKUP(D248,'DB technologies'!$N$122:$Y$133,3,FALSE)*'DB additional information '!$S$7/100*'DB additional information '!$T$7*VLOOKUP($C$245,'DB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S248" s="491" t="str">
        <f>IF(D248="","",(VLOOKUP(D248,'DB technologies'!$N$122:$Y$133,4,FALSE)*('DB additional information '!$S$8/100*'DB additional information '!$T$8*E248/1000/1000)))</f>
        <v/>
      </c>
      <c r="T248" s="264" t="str">
        <f>IF($C$245=0,"",IF('Calc (ex-animal)'!$F$38=1,"",IF(D248="","",((VLOOKUP($C$245,'Calc (ex-animal)'!$D$48:$Y$52,10,FALSE)-VLOOKUP($C$245,'Calc (ex-animal)'!$D$48:$Y$52,18,FALSE))*F248/100+Q248+R248+S248)-AC248-AD248-AE248)))</f>
        <v/>
      </c>
      <c r="U248" s="422" t="str">
        <f>IF(D248="","",(VLOOKUP(D248,'DB technologies'!$N$122:$Y$133,2,FALSE)*'DB additional information '!$S$6/100*'DB additional information '!$U$6*VLOOKUP($C$245,'DB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V248" s="418" t="str">
        <f>IF(D248="","",(VLOOKUP(D248,'DB technologies'!$N$122:$Y$133,3,FALSE)*'DB additional information '!$S$7/100*'DB additional information '!$U$7*VLOOKUP($C$245,'DB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W248" s="417" t="str">
        <f>IF(D248="","",(VLOOKUP(D248,'DB technologies'!$N$122:$Y$133,4,FALSE)*('DB additional information '!$S$8/100*'DB additional information '!$U$8*E248/1000/1000)))</f>
        <v/>
      </c>
      <c r="X248" s="261" t="str">
        <f>IF($C$245=0,"",IF('Calc (ex-animal)'!$F$38=1,"",IF(D248="","",((VLOOKUP($C$245,'Calc (ex-animal)'!$D$48:$Y$52,13,FALSE)-VLOOKUP($C$245,'Calc (ex-animal)'!$D$48:$Y$52,19,FALSE))*F248/100+U248+V248+W248))))</f>
        <v/>
      </c>
      <c r="Y248" s="418" t="str">
        <f>IF(D248="","",(VLOOKUP(D248,'DB technologies'!$N$122:$Y$133,2,FALSE)*'DB additional information '!$S$6/100*'DB additional information '!$V$6*VLOOKUP($C$245,'DB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Z248" s="418" t="str">
        <f>IF(D248="","",(VLOOKUP(D248,'DB technologies'!$N$122:$Y$133,3,FALSE)*'DB additional information '!$S$7/100*'DB additional information '!$V$7*VLOOKUP($C$245,'DB animal categories'!$C$91:$AC$100,27,FALSE)*E248/1000/1000)/VLOOKUP($C$245,'DB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AA248" s="418" t="str">
        <f>IF(D248="","",(VLOOKUP(D248,'DB technologies'!$N$122:$Y$133,4,FALSE)*('DB additional information '!$S$8/100*'DB additional information '!$V$8*E248/1000/1000)))</f>
        <v/>
      </c>
      <c r="AB248" s="261" t="str">
        <f>IF($C$245=0,"",IF('Calc (ex-animal)'!$F$38=1,"",IF(D248="","",((VLOOKUP($C$245,'Calc (ex-animal)'!$D$48:$Y$52,16,FALSE)-VLOOKUP($C$245,'Calc (ex-animal)'!$D$48:$Y$52,20,FALSE))*F248/100+Y248+Z248+AA248))))</f>
        <v/>
      </c>
      <c r="AC248" s="261" t="str">
        <f>IF($C$245=0,"",IF('Calc (ex-animal)'!$F$38=1,"",IF(D248="","",VLOOKUP($C$245,'Calc (ex-animal)'!$D$48:$Y$52,9,FALSE)/VLOOKUP($C$245,'DB animal categories'!$C$91:$AC$100,27,FALSE)*(VLOOKUP($C$245,'DB animal categories'!$C$91:$AC$100,27,FALSE)-VLOOKUP($C$245,'DB animal categories'!$C$91:$AC$100,25,FALSE)*VLOOKUP($C$245,'DB animal categories'!$C$91:$AC$100,26,FALSE)/24)*F248/100*VLOOKUP(D248,'DB technologies'!$N$122:$R$133,5,FALSE)/100)))</f>
        <v/>
      </c>
      <c r="AD248" s="261" t="str">
        <f>IF($C$245=0,"",IF('Calc (ex-animal)'!$F$38=1,"",IF(D248="","",VLOOKUP($C$245,'Calc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categories'!$C$91:$AC$100,26,FALSE)/24)*F248/100*VLOOKUP(D248,'DB technologies'!$N$122:$Y$133,6,FALSE)/100)))</f>
        <v/>
      </c>
      <c r="AE248" s="262" t="str">
        <f>IF($C$245=0,"",IF('Calc (ex-animal)'!$F$38=1,"",IF(D248="","",VLOOKUP($C$245,'Calc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categories'!$C$91:$AC$100,26,FALSE)/24)*F248/100*VLOOKUP(D248,'DB technologies'!$N$122:$Y$133,7,FALSE)/100)))</f>
        <v/>
      </c>
      <c r="AI248" s="181" t="str">
        <f>IF(D248="","",VLOOKUP(D248,'DB technologies'!$N$122:$Y$133,10,FALSE))</f>
        <v/>
      </c>
      <c r="AJ248" s="449" t="e">
        <f>VLOOKUP($C$245,'DB animal categories'!$C$91:$AN$100,27,FALSE)-VLOOKUP($C$245,'DB animal categories'!$C$91:$AN$100,26,FALSE)*VLOOKUP($C$245,'DB animal categories'!$C$91:$AN$100,25,FALSE)/24</f>
        <v>#N/A</v>
      </c>
      <c r="AK248" s="442" t="str">
        <f>IF(AI248="","",AL248+AM248)</f>
        <v/>
      </c>
      <c r="AL248" s="442" t="str">
        <f>IF(D248="","",IF(AI248=2,(('Calc (ex-animal)'!$G$48*'DB additional information '!$K$11/100*(1-VLOOKUP(D248,'DB technologies'!$N$122:$Y$133,9,FALSE)/100)*'Calc (ex-housing, ex-storage)'!F248/100+'Calc (ex-animal)'!$H$48*'DB additional information '!$L$11/100*(1-VLOOKUP(D248,'DB technologies'!$N$122:$Y$133,9,FALSE)/100)*'Calc (ex-housing, ex-storage)'!F248/100))/VLOOKUP($C$245,'DB animal categories'!$C$91:$AC$100,27,FALSE)*AJ248+I248+J248+K248,IF(AI248=1,('Calc (ex-animal)'!$H$48*'DB additional information '!$L$11/100*(1-VLOOKUP(D248,'DB technologies'!$N$122:$Y$133,9,FALSE)/100)*'Calc (ex-housing, ex-storage)'!F248/100)/VLOOKUP($C$245,'DB animal categories'!$C$91:$AC$100,27,FALSE)*AJ248,IF(AI248=4,('Calc (ex-animal)'!$G$48*'DB additional information '!$K$11/100+'Calc (ex-animal)'!$H$48*'DB additional information '!$L$11/100)*(1-VLOOKUP(D248,'DB technologies'!$N$122:$Y$133,9,FALSE)/100)*'Calc (ex-housing, ex-storage)'!F248/100*VLOOKUP(D248,'DB technologies'!$N$122:$Y$133,11,FALSE)/100/VLOOKUP($C$245,'DB animal categories'!$C$91:$AC$100,27,FALSE)*AJ248,0))))</f>
        <v/>
      </c>
      <c r="AM248" s="442" t="str">
        <f>IF(D248="","",IF(AI248=2,(('Calc (ex-animal)'!$G$48*(1-'DB additional information '!$K$11/100)*(1-VLOOKUP(D248,'DB technologies'!$N$122:$Y$133,8,FALSE)/100)*'Calc (ex-housing, ex-storage)'!F248/100+'Calc (ex-animal)'!$H$48*(1-'DB additional information '!$L$11/100)*(1-VLOOKUP(D248,'DB technologies'!$N$122:$Y$133,8,FALSE)/100)*'Calc (ex-housing, ex-storage)'!F248/100))/VLOOKUP($C$245,'DB animal categories'!$C$91:$AC$100,27,FALSE)*AJ248+M248+N248+O248,IF(AI248=1,('Calc (ex-animal)'!$H$48*(1-'DB additional information '!$L$11/100)*(1-VLOOKUP(D248,'DB technologies'!$N$122:$Y$133,8,FALSE)/100)*'Calc (ex-housing, ex-storage)'!F248/100)/VLOOKUP($C$245,'DB animal categories'!$C$91:$AC$100,27,FALSE)*AJ248,IF(AI248=4,('Calc (ex-animal)'!$G$48*(1-'DB additional information '!$K$11/100)+'Calc (ex-animal)'!$H$48*(1-'DB additional information '!$L$11/100))*(1-VLOOKUP(D248,'DB technologies'!$N$122:$Y$133,8,FALSE)/100)*'Calc (ex-housing, ex-storage)'!F248/100*VLOOKUP(D248,'DB technologies'!$N$122:$Y$133,11,FALSE)/100/VLOOKUP($C$245,'DB animal categories'!$C$91:$AC$100,27,FALSE)*AJ248,0))))</f>
        <v/>
      </c>
      <c r="AN248" s="442" t="str">
        <f>IF(AI248="","",IF(AL248=0,0,AL248/AK248*100))</f>
        <v/>
      </c>
      <c r="AO248" s="182" t="str">
        <f>IF(D248="","",IF(AI248=2,(('Calc (ex-animal)'!$L$48*'Calc (ex-housing, ex-storage)'!F248/100+'Calc (ex-animal)'!$K$48*'Calc (ex-housing, ex-storage)'!F248/100))/VLOOKUP($C$245,'DB animal categories'!$C$91:$AC$100,27,FALSE)*AJ248+Q248+R248+S248-AC248,IF(AI248=1,('Calc (ex-animal)'!$L$48*'Calc (ex-housing, ex-storage)'!F248/100)/VLOOKUP($C$245,'DB animal categories'!$C$91:$AC$100,27,FALSE)*AJ248-'Calc (ex-housing, ex-storage)'!AC248,IF(AI248=4,('Calc (ex-animal)'!$L$48+'Calc (ex-animal)'!$K$48)*'Calc (ex-housing, ex-storage)'!F248/100*VLOOKUP(D248,'DB technologies'!$N$122:$Y$133,11,FALSE)/100/VLOOKUP($C$245,'DB animal categories'!$C$91:$AC$100,27,FALSE)*AJ248-AC248*VLOOKUP(D248,'DB technologies'!$N$122:$Y$133,11,FALSE)/100,0))))</f>
        <v/>
      </c>
      <c r="AP248" s="182" t="str">
        <f>IF(D248="","",IF(AO248&lt;-0.01,0,IF(AI248=2,(('Calc (ex-animal)'!$L$48*'Calc (ex-housing, ex-storage)'!F248/100+'Calc (ex-animal)'!$K$48*'Calc (ex-housing, ex-storage)'!F248/100))/VLOOKUP($C$245,'DB animal categories'!$C$91:$AC$100,27,FALSE)*AJ248+Q248+R248+S248-AC248,IF(AI248=1,('Calc (ex-animal)'!$L$48*'Calc (ex-housing, ex-storage)'!F248/100)/VLOOKUP($C$245,'DB animal categories'!$C$91:$AC$100,27,FALSE)*AJ248-'Calc (ex-housing, ex-storage)'!AC248,IF(AI248=4,('Calc (ex-animal)'!$L$48+'Calc (ex-animal)'!$K$48)*'Calc (ex-housing, ex-storage)'!F248/100*VLOOKUP(D248,'DB technologies'!$N$122:$Y$133,11,FALSE)/100/VLOOKUP($C$245,'DB animal categories'!$C$91:$AC$100,27,FALSE)*AJ248-AC248*VLOOKUP(D248,'DB technologies'!$N$122:$Y$133,11,FALSE)/100,0)))))</f>
        <v/>
      </c>
      <c r="AQ248" s="182" t="str">
        <f>IF(D248="","",IF(AI248=2,('Calc (ex-animal)'!$O$48*'Calc (ex-housing, ex-storage)'!F248/100+'Calc (ex-animal)'!$N$48*'Calc (ex-housing, ex-storage)'!F248/100)/VLOOKUP($C$245,'DB animal categories'!$C$91:$AC$100,27,FALSE)*AJ248+U248+V248+W248,IF(AI248=1,'Calc (ex-animal)'!$O$48*'Calc (ex-housing, ex-storage)'!F248/100/VLOOKUP($C$245,'DB animal categories'!$C$91:$AC$100,27,FALSE)*AJ248,IF(AI248=4,('Calc (ex-animal)'!$O$48+'Calc (ex-animal)'!$N$48)*'Calc (ex-housing, ex-storage)'!F248/100*VLOOKUP(D248,'DB technologies'!$N$122:$Y$133,11,FALSE)/100/VLOOKUP($C$245,'DB animal categories'!$C$91:$AC$100,27,FALSE)*AJ248,0))))</f>
        <v/>
      </c>
      <c r="AR248" s="182" t="str">
        <f>IF(D248="","",IF(AI248=2,('Calc (ex-animal)'!$R$48*'Calc (ex-housing, ex-storage)'!F248/100+'Calc (ex-animal)'!$Q$48*'Calc (ex-housing, ex-storage)'!F248/100)/VLOOKUP($C$245,'DB animal categories'!$C$91:$AC$100,27,FALSE)*AJ248+Y248+Z248+AA248,IF(AI248=1,'Calc (ex-animal)'!$R$48*'Calc (ex-housing, ex-storage)'!F248/100/VLOOKUP($C$245,'DB animal categories'!$C$91:$AC$100,27,FALSE)*AJ248,IF(AI248=4,('Calc (ex-animal)'!$R$48+'Calc (ex-animal)'!$Q$48)*'Calc (ex-housing, ex-storage)'!F248/100*VLOOKUP(D248,'DB technologies'!$N$122:$Y$133,11,FALSE)/100/VLOOKUP($C$245,'DB animal categories'!$C$91:$AC$100,27,FALSE)*AJ248,0))))</f>
        <v/>
      </c>
      <c r="AS248" s="181" t="str">
        <f>IF(D248="","",VLOOKUP(D248,'DB technologies'!$N$122:$Y$133,10,FALSE))</f>
        <v/>
      </c>
      <c r="AT248" s="442" t="str">
        <f>IF(AS248="","",AU248+AV248)</f>
        <v/>
      </c>
      <c r="AU248" s="442" t="str">
        <f>IF(D248="","",IF(AS248=2,0,IF(AS248=1,'Calc (ex-animal)'!$G$48*'DB additional information '!$K$11/100*(1-VLOOKUP(D248,'DB technologies'!$N$122:$Y$133,8,FALSE)/100)*'Calc (ex-housing, ex-storage)'!F248/100/VLOOKUP($C$245,'DB animal categories'!$C$91:$AC$100,27,FALSE)*AJ248+I248+J248+K248,IF(AS248=5,(('Calc (ex-animal)'!$G$48*'DB additional information '!$K$11/100+'Calc (ex-animal)'!$H$48*'DB additional information '!$L$11/100))*(1-VLOOKUP(D248,'DB technologies'!$N$122:$Y$133,9,FALSE)/100)*'Calc (ex-housing, ex-storage)'!F248/100/VLOOKUP($C$245,'DB animal categories'!$C$91:$AC$100,27,FALSE)*AJ248+I248+J248+K248,IF(AS248=3,('Calc (ex-animal)'!$G$48*'DB additional information '!$K$11/100+'Calc (ex-animal)'!$H$48*'DB additional information '!$L$11/100)*(1-VLOOKUP(D248,'DB technologies'!$N$122:$Y$133,9,FALSE)/100)*'Calc (ex-housing, ex-storage)'!F248/100/VLOOKUP($C$245,'DB animal categories'!$C$91:$AC$100,27,FALSE)*AJ248+I248+J248+K248,IF(AS248=4,('Calc (ex-animal)'!$G$48*'DB additional information '!$K$11/100+'Calc (ex-animal)'!$H$48*'DB additional information '!$L$11/100)*(1-VLOOKUP(D248,'DB technologies'!$N$122:$Y$133,9,FALSE)/100)*'Calc (ex-housing, ex-storage)'!F248/100*VLOOKUP(D248,'DB technologies'!$N$122:$Y$133,12,FALSE)/100/VLOOKUP($C$245,'DB animal categories'!$C$91:$AC$100,27,FALSE)*AJ248+I248+J248+K248,0))))))</f>
        <v/>
      </c>
      <c r="AV248" s="442" t="str">
        <f>IF(D248="","",IF(AS248=2,0,IF(AS248=1,'Calc (ex-animal)'!$G$48*(1-'DB additional information '!$K$11/100)*(1-VLOOKUP(D248,'DB technologies'!$N$122:$Y$133,8,FALSE)/100)*'Calc (ex-housing, ex-storage)'!F248/100/VLOOKUP($C$245,'DB animal categories'!$C$91:$AC$100,27,FALSE)*AJ248+M248+N248+O248,IF(AS248=5,('Calc (ex-animal)'!$G$48*(1-'DB additional information '!$K$11/100)+'Calc (ex-animal)'!$H$48*(1-'DB additional information '!$L$11/100))*(1-VLOOKUP(D248,'DB technologies'!$N$122:$Y$133,8,FALSE)/100)*'Calc (ex-housing, ex-storage)'!F248/100/VLOOKUP($C$245,'DB animal categories'!$C$91:$AC$100,27,FALSE)*AJ248+M248+N248+O248,IF(AS248=3,('Calc (ex-animal)'!$G$48*(1-'DB additional information '!$K$11/100)+'Calc (ex-animal)'!$H$48*(1-'DB additional information '!$L$11/100))*(1-VLOOKUP(D248,'DB technologies'!$N$122:$Y$133,8,FALSE)/100)*'Calc (ex-housing, ex-storage)'!F248/100/VLOOKUP($C$245,'DB animal categories'!$C$91:$AC$100,27,FALSE)*AJ248+M248+N248+O248,IF(AS248=4,('Calc (ex-animal)'!$G$48*(1-'DB additional information '!$K$11/100)+'Calc (ex-animal)'!$H$48*(1-'DB additional information '!$L$11/100))*(1-VLOOKUP(D248,'DB technologies'!$N$122:$Y$133,8,FALSE)/100)*'Calc (ex-housing, ex-storage)'!F248/100*VLOOKUP(D248,'DB technologies'!$N$122:$Y$133,12,FALSE)/100/VLOOKUP($C$245,'DB animal categories'!$C$91:$AC$100,27,FALSE)*AJ248+M248+N248+O248,0))))))</f>
        <v/>
      </c>
      <c r="AW248" s="442" t="str">
        <f>IF(AS248="","",IF(AU248=0,0,AU248/AT248*100))</f>
        <v/>
      </c>
      <c r="AX248" s="182" t="str">
        <f>IF(D248="","",IF(AS248=2,0,IF(AS248=1,'Calc (ex-animal)'!$K$48*'Calc (ex-housing, ex-storage)'!F248/100/VLOOKUP($C$245,'DB animal categories'!$C$91:$AC$100,27,FALSE)*AJ248+Q248+R248+S248,IF(AS248=5,('Calc (ex-animal)'!$K$48+'Calc (ex-animal)'!$L$48)*'Calc (ex-housing, ex-storage)'!F248/100/VLOOKUP($C$245,'DB animal categories'!$C$91:$AC$100,27,FALSE)*AJ248+Q248+R248+S248-'Calc (ex-housing, ex-storage)'!AC248,IF(AS248=3,('Calc (ex-animal)'!$K$48+'Calc (ex-animal)'!$L$48)*'Calc (ex-housing, ex-storage)'!F248/100/VLOOKUP($C$245,'DB animal categories'!$C$91:$AC$100,27,FALSE)*AJ248+Q248+R248+S248-'Calc (ex-housing, ex-storage)'!AC248-AD248-AE248,IF(AI248=4,('Calc (ex-animal)'!$K$48+'Calc (ex-animal)'!$L$48)*'Calc (ex-housing, ex-storage)'!F248/100*VLOOKUP(D248,'DB technologies'!$N$122:$Y$133,12,FALSE)/100/VLOOKUP($C$245,'DB animal categories'!$C$91:$AC$100,27,FALSE)*AJ248+Q248+R248+S248-(VLOOKUP(D248,'DB technologies'!$N$122:$Y$133,12,FALSE)/100*AC248)-AD248-AE248,0))))))</f>
        <v/>
      </c>
      <c r="AY248" s="182" t="str">
        <f>IF(D248="","",IF(AS248=2,0,IF(AS248=1,'Calc (ex-animal)'!$N$48*'Calc (ex-housing, ex-storage)'!F248/100/VLOOKUP($C$245,'DB animal categories'!$C$91:$AC$100,27,FALSE)*AJ248+U248+V248+W248,IF(AS248=5,('Calc (ex-animal)'!$N$48+'Calc (ex-animal)'!$O$48)*'Calc (ex-housing, ex-storage)'!F248/100/VLOOKUP($C$245,'DB animal categories'!$C$91:$AC$100,27,FALSE)*AJ248+U248+V248+W248,IF(AS248=3,('Calc (ex-animal)'!$N$48+'Calc (ex-animal)'!$O$48)*'Calc (ex-housing, ex-storage)'!F248/100/VLOOKUP($C$245,'DB animal categories'!$C$91:$AC$100,27,FALSE)*AJ248+U248+V248+W248,IF(AS248=4,('Calc (ex-animal)'!$N$48+'Calc (ex-animal)'!$O$48)*'Calc (ex-housing, ex-storage)'!F248/100*VLOOKUP(D248,'DB technologies'!$N$122:$Y$133,12,FALSE)/100/VLOOKUP($C$245,'DB animal categories'!$C$91:$AC$100,27,FALSE)*AJ248+U248+V248+W248,0))))))</f>
        <v/>
      </c>
      <c r="AZ248" s="182" t="str">
        <f>IF(D248="","",IF(AS248=2,0,IF(AS248=1,'Calc (ex-animal)'!$Q$48*'Calc (ex-housing, ex-storage)'!F248/100/VLOOKUP($C$245,'DB animal categories'!$C$91:$AC$100,27,FALSE)*AJ248+Y248+Z248+AA248,IF(AS248=5,('Calc (ex-animal)'!$Q$48+'Calc (ex-animal)'!$R$48)*'Calc (ex-housing, ex-storage)'!F248/100/VLOOKUP($C$245,'DB animal categories'!$C$91:$AC$100,27,FALSE)*AJ248+Y248+Z248+AA248,IF(AS248=3,('Calc (ex-animal)'!$Q$48+'Calc (ex-animal)'!$R$48)*'Calc (ex-housing, ex-storage)'!F248/100/VLOOKUP($C$245,'DB animal categories'!$C$91:$AC$100,27,FALSE)*AJ248+Y248+Z248+AA248,IF(AS248=4,('Calc (ex-animal)'!$Q$48+'Calc (ex-animal)'!$R$48)*'Calc (ex-housing, ex-storage)'!F248/100*VLOOKUP(D248,'DB technologies'!$N$122:$Y$133,12,FALSE)/100/VLOOKUP($C$245,'DB animal categories'!$C$91:$AC$100,27,FALSE)*AJ248+Y248+Z248+AA248,0))))))</f>
        <v/>
      </c>
      <c r="BA248" s="506"/>
      <c r="BB248" s="506"/>
      <c r="BC248" s="506"/>
    </row>
    <row r="249" spans="1:55" ht="12" thickBot="1" x14ac:dyDescent="0.25">
      <c r="A249" s="684"/>
      <c r="B249" s="695"/>
      <c r="C249" s="251"/>
      <c r="D249" s="1359"/>
      <c r="E249" s="1360"/>
      <c r="F249" s="481" t="str">
        <f>IF('Calc (ex-animal)'!$F$38=1,"",IF($C$245=0,"",IF(D249="","",E249/'Calc (ex-animal)'!$E$48*100)))</f>
        <v/>
      </c>
      <c r="G249" s="483" t="str">
        <f>IF($C$245=0,"",IF('Calc (ex-animal)'!$F$38=1,"",IF(D249="","",SUM(H249:O249))))</f>
        <v/>
      </c>
      <c r="H249" s="445" t="str">
        <f>IF('Calc (ex-animal)'!$F$38=1,"",IF(D249="","",(((VLOOKUP($C$245,'Calc (ex-animal)'!$D$48:$Y$52,6,FALSE)-VLOOKUP($C$245,'Calc (ex-animal)'!$D$48:$Y$52,17,FALSE))*F249/100))*VLOOKUP($C$245,'Calc (ex-animal)'!$D$48:$Y$52,7,FALSE)/100*(1-VLOOKUP(D249,'DB technologies'!$N$122:$Y$133,9,FALSE)/100)))</f>
        <v/>
      </c>
      <c r="I249" s="445" t="str">
        <f>IF(D249="","",((VLOOKUP(D249,'DB technologies'!$N$122:$Y$133,2,FALSE)*VLOOKUP($C$245,'DB animal categories'!$C$91:$AC$100,27,FALSE)*E249/1000)/VLOOKUP($C$245,'DB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'!$S$6/100*(1-VLOOKUP(D249,'DB technologies'!$N$122:$Y$133,9,FALSE)/100)))</f>
        <v/>
      </c>
      <c r="J249" s="446" t="str">
        <f>IF(D249="","",((VLOOKUP(D249,'DB technologies'!$N$122:$Y$133,3,FALSE)*VLOOKUP($C$245,'DB animal categories'!$C$91:$AC$100,27,FALSE)*E249/1000)/VLOOKUP($C$245,'DB animal categories'!$C$91:$AC$100,27,FALSE)*(VLOOKUP($C$245,'DB animal categories'!$C$91:$AC$100,27,FALSE)-(VLOOKUP($C$245,'DB animal categories'!$C$91:$AC$100,25,FALSE)*VLOOKUP($C$245,'DB animal categories'!$C$91:$AC$100,26,FALSE)/24))*'DB additional information '!$S$7/100*(1-VLOOKUP(D249,'DB technologies'!$N$122:$Y$133,9,FALSE)/100)))</f>
        <v/>
      </c>
      <c r="K249" s="446" t="str">
        <f>IF(D249="","",((VLOOKUP(D249,'DB technologies'!$N$122:$Y$133,4,FALSE)*E249*'DB additional information '!$S$8/100*(1-VLOOKUP(D249,'DB technologies'!$N$122:$Y$133,9,FALSE)/100))/VLOOKUP($C$245,'DB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L249" s="445" t="str">
        <f>IF('Calc (ex-animal)'!$F$38=1,"",IF(D249="","",(((VLOOKUP($C$245,'Calc (ex-animal)'!$D$48:$Y$52,6,FALSE)-VLOOKUP($C$245,'Calc (ex-animal)'!$D$48:$Y$52,17,FALSE))*F249/100))*(1-VLOOKUP($C$245,'Calc (ex-animal)'!$D$48:$Y$52,7,FALSE)/100)*(1-VLOOKUP(D249,'DB technologies'!$N$122:$V$133,8,FALSE)/100)))</f>
        <v/>
      </c>
      <c r="M249" s="446" t="str">
        <f>IF(D249="","",((VLOOKUP(D249,'DB technologies'!$N$122:$Y$133,2,FALSE)*VLOOKUP($C$245,'DB animal categories'!$C$91:$AC$100,27,FALSE)*E249/1000)/VLOOKUP($C$245,'DB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'!$S$6/100)*(1-VLOOKUP(D249,'DB technologies'!$N$122:$Y$133,9,FALSE)/100))</f>
        <v/>
      </c>
      <c r="N249" s="446" t="str">
        <f>IF(D249="","",((VLOOKUP(D249,'DB technologies'!$N$122:$Y$133,3,FALSE)*VLOOKUP($C$245,'DB animal categories'!$C$91:$AC$100,27,FALSE)*E249/1000)/VLOOKUP($C$245,'DB animal categories'!$C$91:$AC$100,27,FALSE)*(VLOOKUP($C$245,'DB animal categories'!$C$91:$AC$100,27,FALSE)-VLOOKUP($C$245,'DB animal categories'!$C$91:$AC$100,25,FALSE)*VLOOKUP($C$245,'DB animal categories'!$C$91:$AC$100,26,FALSE)/24))*(1-'DB additional information '!$S$7/100)*(1-VLOOKUP(D249,'DB technologies'!$N$122:$Y$133,9,FALSE)/100))</f>
        <v/>
      </c>
      <c r="O249" s="445" t="str">
        <f>IF(D249="","",((VLOOKUP(D249,'DB technologies'!$N$122:$Y$133,4,FALSE)*E249*(1-'DB additional information '!$S$8/100)*(1-VLOOKUP(D249,'DB technologies'!$N$122:$Y$133,8,FALSE)/100))/VLOOKUP($C$245,'DB animal categories'!$C$91:$AC$100,27,FALSE)*(VLOOKUP($C$245,'DB animal categories'!$C$91:$AC$100,27,FALSE)-VLOOKUP($C$245,'DB animal categories'!$C$91:$AC$100,25,FALSE)*VLOOKUP($C$245,'DB animal categories'!$C$91:$AC$100,26,FALSE)/24)))</f>
        <v/>
      </c>
      <c r="P249" s="444" t="str">
        <f>IF(G249=0,0,IF(E249="","",IF(F249="","",IF($C$245=0,"",IF(D249="","",SUM(H249:K249)/G249*100)))))</f>
        <v/>
      </c>
      <c r="Q249" s="476" t="str">
        <f>IF(D249="","",(VLOOKUP(D249,'DB technologies'!$N$122:$Y$133,2,FALSE)*'DB additional information '!$S$6/100*'DB additional information '!$T$6*VLOOKUP($C$245,'DB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R249" s="476" t="str">
        <f>IF(D249="","",(VLOOKUP(D249,'DB technologies'!$N$122:$Y$133,3,FALSE)*'DB additional information '!$S$7/100*'DB additional information '!$T$7*VLOOKUP($C$245,'DB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S249" s="494" t="str">
        <f>IF(D249="","",(VLOOKUP(D249,'DB technologies'!$N$122:$Y$133,4,FALSE)*('DB additional information '!$S$8/100*'DB additional information '!$T$8*E249/1000/1000)))</f>
        <v/>
      </c>
      <c r="T249" s="266" t="str">
        <f>IF($C$245=0,"",IF('Calc (ex-animal)'!$F$38=1,"",IF(D249="","",((VLOOKUP($C$245,'Calc (ex-animal)'!$D$48:$Y$52,10,FALSE)-VLOOKUP($C$245,'Calc (ex-animal)'!$D$48:$Y$52,18,FALSE))*F249/100+Q249+R249+S249)-AC249-AD249-AE249)))</f>
        <v/>
      </c>
      <c r="U249" s="477" t="str">
        <f>IF(D249="","",(VLOOKUP(D249,'DB technologies'!$N$122:$Y$133,2,FALSE)*'DB additional information '!$S$6/100*'DB additional information '!$U$6*VLOOKUP($C$245,'DB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V249" s="433" t="str">
        <f>IF(D249="","",(VLOOKUP(D249,'DB technologies'!$N$122:$Y$133,3,FALSE)*'DB additional information '!$S$7/100*'DB additional information '!$U$7*VLOOKUP($C$245,'DB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W249" s="475" t="str">
        <f>IF(D249="","",(VLOOKUP(D249,'DB technologies'!$N$122:$Y$133,4,FALSE)*('DB additional information '!$S$8/100*'DB additional information '!$U$8*E249/1000/1000)))</f>
        <v/>
      </c>
      <c r="X249" s="267" t="str">
        <f>IF($C$245=0,"",IF('Calc (ex-animal)'!$F$38=1,"",IF(D249="","",((VLOOKUP($C$245,'Calc (ex-animal)'!$D$48:$Y$52,13,FALSE)-VLOOKUP($C$245,'Calc (ex-animal)'!$D$48:$Y$52,19,FALSE))*F249/100+U249+V249+W249))))</f>
        <v/>
      </c>
      <c r="Y249" s="433" t="str">
        <f>IF(D249="","",(VLOOKUP(D249,'DB technologies'!$N$122:$Y$133,2,FALSE)*'DB additional information '!$S$6/100*'DB additional information '!$V$6*VLOOKUP($C$245,'DB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Z249" s="433" t="str">
        <f>IF(D249="","",(VLOOKUP(D249,'DB technologies'!$N$122:$Y$133,3,FALSE)*'DB additional information '!$S$7/100*'DB additional information '!$V$7*VLOOKUP($C$245,'DB animal categories'!$C$91:$AC$100,27,FALSE)*E249/1000/1000)/VLOOKUP($C$245,'DB animal categories'!$C$91:$AC$100,27,FALSE)*(VLOOKUP($C$245,'DB animal categories'!$C$91:$AC$100,27,FALSE)-VLOOKUP($C$245,'DB animal categories'!$C$91:$AC$100,25,FALSE)*VLOOKUP($C$245,'DB animal categories'!$C$91:$AC$100,26,FALSE)/24))</f>
        <v/>
      </c>
      <c r="AA249" s="433" t="str">
        <f>IF(D249="","",(VLOOKUP(D249,'DB technologies'!$N$122:$Y$133,4,FALSE)*('DB additional information '!$S$8/100*'DB additional information '!$V$8*E249/1000/1000)))</f>
        <v/>
      </c>
      <c r="AB249" s="267" t="str">
        <f>IF($C$245=0,"",IF('Calc (ex-animal)'!$F$38=1,"",IF(D249="","",((VLOOKUP($C$245,'Calc (ex-animal)'!$D$48:$Y$52,16,FALSE)-VLOOKUP($C$245,'Calc (ex-animal)'!$D$48:$Y$52,20,FALSE))*F249/100+Y249+Z249+AA249))))</f>
        <v/>
      </c>
      <c r="AC249" s="267" t="str">
        <f>IF($C$245=0,"",IF('Calc (ex-animal)'!$F$38=1,"",IF(D249="","",VLOOKUP($C$245,'Calc (ex-animal)'!$D$48:$Y$52,9,FALSE)/VLOOKUP($C$245,'DB animal categories'!$C$91:$AC$100,27,FALSE)*(VLOOKUP($C$245,'DB animal categories'!$C$91:$AC$100,27,FALSE)-VLOOKUP($C$245,'DB animal categories'!$C$91:$AC$100,25,FALSE)*VLOOKUP($C$245,'DB animal categories'!$C$91:$AC$100,26,FALSE)/24)*F249/100*VLOOKUP(D249,'DB technologies'!$N$122:$R$133,5,FALSE)/100)))</f>
        <v/>
      </c>
      <c r="AD249" s="267" t="str">
        <f>IF($C$245=0,"",IF('Calc (ex-animal)'!$F$38=1,"",IF(D249="","",VLOOKUP($C$245,'Calc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categories'!$C$91:$AC$100,26,FALSE)/24)*F249/100*VLOOKUP(D249,'DB technologies'!$N$122:$Y$133,6,FALSE)/100)))</f>
        <v/>
      </c>
      <c r="AE249" s="268" t="str">
        <f>IF($C$245=0,"",IF('Calc (ex-animal)'!$F$38=1,"",IF(D249="","",VLOOKUP($C$245,'Calc (ex-animal)'!$D$48:$Y$52,10,FALSE)/VLOOKUP($C$245,'DB animal categories'!$C$91:$AC$100,27,FALSE)*(VLOOKUP($C$245,'DB animal categories'!$C$91:$AC$100,27,FALSE)-VLOOKUP($C$245,'DB animal categories'!$C$91:$AC$100,25,FALSE)*VLOOKUP($C$245,'DB animal categories'!$C$91:$AC$100,26,FALSE)/24)*F249/100*VLOOKUP(D249,'DB technologies'!$N$122:$Y$133,7,FALSE)/100)))</f>
        <v/>
      </c>
      <c r="AI249" s="183" t="str">
        <f>IF(D249="","",VLOOKUP(D249,'DB technologies'!$N$122:$Y$133,10,FALSE))</f>
        <v/>
      </c>
      <c r="AJ249" s="451" t="e">
        <f>VLOOKUP($C$245,'DB animal categories'!$C$91:$AN$100,27,FALSE)-VLOOKUP($C$245,'DB animal categories'!$C$91:$AN$100,26,FALSE)*VLOOKUP($C$245,'DB animal categories'!$C$91:$AN$100,25,FALSE)/24</f>
        <v>#N/A</v>
      </c>
      <c r="AK249" s="452" t="str">
        <f>IF(AI249="","",AL249+AM249)</f>
        <v/>
      </c>
      <c r="AL249" s="452" t="str">
        <f>IF(D249="","",IF(AI249=2,(('Calc (ex-animal)'!$G$48*'DB additional information '!$K$11/100*(1-VLOOKUP(D249,'DB technologies'!$N$122:$Y$133,9,FALSE)/100)*'Calc (ex-housing, ex-storage)'!F249/100+'Calc (ex-animal)'!$H$48*'DB additional information '!$L$11/100*(1-VLOOKUP(D249,'DB technologies'!$N$122:$Y$133,9,FALSE)/100)*'Calc (ex-housing, ex-storage)'!F249/100))/VLOOKUP($C$245,'DB animal categories'!$C$91:$AC$100,27,FALSE)*AJ249+I249+J249+K249,IF(AI249=1,('Calc (ex-animal)'!$H$48*'DB additional information '!$L$11/100*(1-VLOOKUP(D249,'DB technologies'!$N$122:$Y$133,9,FALSE)/100)*'Calc (ex-housing, ex-storage)'!F249/100)/VLOOKUP($C$245,'DB animal categories'!$C$91:$AC$100,27,FALSE)*AJ249,IF(AI249=4,('Calc (ex-animal)'!$G$48*'DB additional information '!$K$11/100+'Calc (ex-animal)'!$H$48*'DB additional information '!$L$11/100)*(1-VLOOKUP(D249,'DB technologies'!$N$122:$Y$133,9,FALSE)/100)*'Calc (ex-housing, ex-storage)'!F249/100*VLOOKUP(D249,'DB technologies'!$N$122:$Y$133,11,FALSE)/100/VLOOKUP($C$245,'DB animal categories'!$C$91:$AC$100,27,FALSE)*AJ249,0))))</f>
        <v/>
      </c>
      <c r="AM249" s="452" t="str">
        <f>IF(D249="","",IF(AI249=2,(('Calc (ex-animal)'!$G$48*(1-'DB additional information '!$K$11/100)*(1-VLOOKUP(D249,'DB technologies'!$N$122:$Y$133,8,FALSE)/100)*'Calc (ex-housing, ex-storage)'!F249/100+'Calc (ex-animal)'!$H$48*(1-'DB additional information '!$L$11/100)*(1-VLOOKUP(D249,'DB technologies'!$N$122:$Y$133,8,FALSE)/100)*'Calc (ex-housing, ex-storage)'!F249/100))/VLOOKUP($C$245,'DB animal categories'!$C$91:$AC$100,27,FALSE)*AJ249+M249+N249+O249,IF(AI249=1,('Calc (ex-animal)'!$H$48*(1-'DB additional information '!$L$11/100)*(1-VLOOKUP(D249,'DB technologies'!$N$122:$Y$133,8,FALSE)/100)*'Calc (ex-housing, ex-storage)'!F249/100)/VLOOKUP($C$245,'DB animal categories'!$C$91:$AC$100,27,FALSE)*AJ249,IF(AI249=4,('Calc (ex-animal)'!$G$48*(1-'DB additional information '!$K$11/100)+'Calc (ex-animal)'!$H$48*(1-'DB additional information '!$L$11/100))*(1-VLOOKUP(D249,'DB technologies'!$N$122:$Y$133,8,FALSE)/100)*'Calc (ex-housing, ex-storage)'!F249/100*VLOOKUP(D249,'DB technologies'!$N$122:$Y$133,11,FALSE)/100/VLOOKUP($C$245,'DB animal categories'!$C$91:$AC$100,27,FALSE)*AJ249,0))))</f>
        <v/>
      </c>
      <c r="AN249" s="452" t="str">
        <f>IF(AI249="","",IF(AL249=0,0,AL249/AK249*100))</f>
        <v/>
      </c>
      <c r="AO249" s="184" t="str">
        <f>IF(D249="","",IF(AI249=2,(('Calc (ex-animal)'!$L$48*'Calc (ex-housing, ex-storage)'!F249/100+'Calc (ex-animal)'!$K$48*'Calc (ex-housing, ex-storage)'!F249/100))/VLOOKUP($C$245,'DB animal categories'!$C$91:$AC$100,27,FALSE)*AJ249+Q249+R249+S249-AC249,IF(AI249=1,('Calc (ex-animal)'!$L$48*'Calc (ex-housing, ex-storage)'!F249/100)/VLOOKUP($C$245,'DB animal categories'!$C$91:$AC$100,27,FALSE)*AJ249-'Calc (ex-housing, ex-storage)'!AC249,IF(AI249=4,('Calc (ex-animal)'!$L$48+'Calc (ex-animal)'!$K$48)*'Calc (ex-housing, ex-storage)'!F249/100*VLOOKUP(D249,'DB technologies'!$N$122:$Y$133,11,FALSE)/100/VLOOKUP($C$245,'DB animal categories'!$C$91:$AC$100,27,FALSE)*AJ249-AC249*VLOOKUP(D249,'DB technologies'!$N$122:$Y$133,11,FALSE)/100,0))))</f>
        <v/>
      </c>
      <c r="AP249" s="184" t="str">
        <f>IF(D249="","",IF(AO249&lt;-0.01,0,IF(AI249=2,(('Calc (ex-animal)'!$L$48*'Calc (ex-housing, ex-storage)'!F249/100+'Calc (ex-animal)'!$K$48*'Calc (ex-housing, ex-storage)'!F249/100))/VLOOKUP($C$245,'DB animal categories'!$C$91:$AC$100,27,FALSE)*AJ249+Q249+R249+S249-AC249,IF(AI249=1,('Calc (ex-animal)'!$L$48*'Calc (ex-housing, ex-storage)'!F249/100)/VLOOKUP($C$245,'DB animal categories'!$C$91:$AC$100,27,FALSE)*AJ249-'Calc (ex-housing, ex-storage)'!AC249,IF(AI249=4,('Calc (ex-animal)'!$L$48+'Calc (ex-animal)'!$K$48)*'Calc (ex-housing, ex-storage)'!F249/100*VLOOKUP(D249,'DB technologies'!$N$122:$Y$133,11,FALSE)/100/VLOOKUP($C$245,'DB animal categories'!$C$91:$AC$100,27,FALSE)*AJ249-AC249*VLOOKUP(D249,'DB technologies'!$N$122:$Y$133,11,FALSE)/100,0)))))</f>
        <v/>
      </c>
      <c r="AQ249" s="184" t="str">
        <f>IF(D249="","",IF(AI249=2,('Calc (ex-animal)'!$O$48*'Calc (ex-housing, ex-storage)'!F249/100+'Calc (ex-animal)'!$N$48*'Calc (ex-housing, ex-storage)'!F249/100)/VLOOKUP($C$245,'DB animal categories'!$C$91:$AC$100,27,FALSE)*AJ249+U249+V249+W249,IF(AI249=1,'Calc (ex-animal)'!$O$48*'Calc (ex-housing, ex-storage)'!F249/100/VLOOKUP($C$245,'DB animal categories'!$C$91:$AC$100,27,FALSE)*AJ249,IF(AI249=4,('Calc (ex-animal)'!$O$48+'Calc (ex-animal)'!$N$48)*'Calc (ex-housing, ex-storage)'!F249/100*VLOOKUP(D249,'DB technologies'!$N$122:$Y$133,11,FALSE)/100/VLOOKUP($C$245,'DB animal categories'!$C$91:$AC$100,27,FALSE)*AJ249,0))))</f>
        <v/>
      </c>
      <c r="AR249" s="184" t="str">
        <f>IF(D249="","",IF(AI249=2,('Calc (ex-animal)'!$R$48*'Calc (ex-housing, ex-storage)'!F249/100+'Calc (ex-animal)'!$Q$48*'Calc (ex-housing, ex-storage)'!F249/100)/VLOOKUP($C$245,'DB animal categories'!$C$91:$AC$100,27,FALSE)*AJ249+Y249+Z249+AA249,IF(AI249=1,'Calc (ex-animal)'!$R$48*'Calc (ex-housing, ex-storage)'!F249/100/VLOOKUP($C$245,'DB animal categories'!$C$91:$AC$100,27,FALSE)*AJ249,IF(AI249=4,('Calc (ex-animal)'!$R$48+'Calc (ex-animal)'!$Q$48)*'Calc (ex-housing, ex-storage)'!F249/100*VLOOKUP(D249,'DB technologies'!$N$122:$Y$133,11,FALSE)/100/VLOOKUP($C$245,'DB animal categories'!$C$91:$AC$100,27,FALSE)*AJ249,0))))</f>
        <v/>
      </c>
      <c r="AS249" s="183" t="str">
        <f>IF(D249="","",VLOOKUP(D249,'DB technologies'!$N$122:$Y$133,10,FALSE))</f>
        <v/>
      </c>
      <c r="AT249" s="452" t="str">
        <f>IF(AS249="","",AU249+AV249)</f>
        <v/>
      </c>
      <c r="AU249" s="452" t="str">
        <f>IF(D249="","",IF(AS249=2,0,IF(AS249=1,'Calc (ex-animal)'!$G$48*'DB additional information '!$K$11/100*(1-VLOOKUP(D249,'DB technologies'!$N$122:$Y$133,8,FALSE)/100)*'Calc (ex-housing, ex-storage)'!F249/100/VLOOKUP($C$245,'DB animal categories'!$C$91:$AC$100,27,FALSE)*AJ249+I249+J249+K249,IF(AS249=5,(('Calc (ex-animal)'!$G$48*'DB additional information '!$K$11/100+'Calc (ex-animal)'!$H$48*'DB additional information '!$L$11/100))*(1-VLOOKUP(D249,'DB technologies'!$N$122:$Y$133,9,FALSE)/100)*'Calc (ex-housing, ex-storage)'!F249/100/VLOOKUP($C$245,'DB animal categories'!$C$91:$AC$100,27,FALSE)*AJ249+I249+J249+K249,IF(AS249=3,('Calc (ex-animal)'!$G$48*'DB additional information '!$K$11/100+'Calc (ex-animal)'!$H$48*'DB additional information '!$L$11/100)*(1-VLOOKUP(D249,'DB technologies'!$N$122:$Y$133,9,FALSE)/100)*'Calc (ex-housing, ex-storage)'!F249/100/VLOOKUP($C$245,'DB animal categories'!$C$91:$AC$100,27,FALSE)*AJ249+I249+J249+K249,IF(AS249=4,('Calc (ex-animal)'!$G$48*'DB additional information '!$K$11/100+'Calc (ex-animal)'!$H$48*'DB additional information '!$L$11/100)*(1-VLOOKUP(D249,'DB technologies'!$N$122:$Y$133,9,FALSE)/100)*'Calc (ex-housing, ex-storage)'!F249/100*VLOOKUP(D249,'DB technologies'!$N$122:$Y$133,12,FALSE)/100/VLOOKUP($C$245,'DB animal categories'!$C$91:$AC$100,27,FALSE)*AJ249+I249+J249+K249,0))))))</f>
        <v/>
      </c>
      <c r="AV249" s="452" t="str">
        <f>IF(D249="","",IF(AS249=2,0,IF(AS249=1,'Calc (ex-animal)'!$G$48*(1-'DB additional information '!$K$11/100)*(1-VLOOKUP(D249,'DB technologies'!$N$122:$Y$133,8,FALSE)/100)*'Calc (ex-housing, ex-storage)'!F249/100/VLOOKUP($C$245,'DB animal categories'!$C$91:$AC$100,27,FALSE)*AJ249+M249+N249+O249,IF(AS249=5,('Calc (ex-animal)'!$G$48*(1-'DB additional information '!$K$11/100)+'Calc (ex-animal)'!$H$48*(1-'DB additional information '!$L$11/100))*(1-VLOOKUP(D249,'DB technologies'!$N$122:$Y$133,8,FALSE)/100)*'Calc (ex-housing, ex-storage)'!F249/100/VLOOKUP($C$245,'DB animal categories'!$C$91:$AC$100,27,FALSE)*AJ249+M249+N249+O249,IF(AS249=3,('Calc (ex-animal)'!$G$48*(1-'DB additional information '!$K$11/100)+'Calc (ex-animal)'!$H$48*(1-'DB additional information '!$L$11/100))*(1-VLOOKUP(D249,'DB technologies'!$N$122:$Y$133,8,FALSE)/100)*'Calc (ex-housing, ex-storage)'!F249/100/VLOOKUP($C$245,'DB animal categories'!$C$91:$AC$100,27,FALSE)*AJ249+M249+N249+O249,IF(AS249=4,('Calc (ex-animal)'!$G$48*(1-'DB additional information '!$K$11/100)+'Calc (ex-animal)'!$H$48*(1-'DB additional information '!$L$11/100))*(1-VLOOKUP(D249,'DB technologies'!$N$122:$Y$133,8,FALSE)/100)*'Calc (ex-housing, ex-storage)'!F249/100*VLOOKUP(D249,'DB technologies'!$N$122:$Y$133,12,FALSE)/100/VLOOKUP($C$245,'DB animal categories'!$C$91:$AC$100,27,FALSE)*AJ249+M249+N249+O249,0))))))</f>
        <v/>
      </c>
      <c r="AW249" s="452" t="str">
        <f>IF(AS249="","",IF(AU249=0,0,AU249/AT249*100))</f>
        <v/>
      </c>
      <c r="AX249" s="184" t="str">
        <f>IF(D249="","",IF(AS249=2,0,IF(AS249=1,'Calc (ex-animal)'!$K$48*'Calc (ex-housing, ex-storage)'!F249/100/VLOOKUP($C$245,'DB animal categories'!$C$91:$AC$100,27,FALSE)*AJ249+Q249+R249+S249,IF(AS249=5,('Calc (ex-animal)'!$K$48+'Calc (ex-animal)'!$L$48)*'Calc (ex-housing, ex-storage)'!F249/100/VLOOKUP($C$245,'DB animal categories'!$C$91:$AC$100,27,FALSE)*AJ249+Q249+R249+S249-'Calc (ex-housing, ex-storage)'!AC249,IF(AS249=3,('Calc (ex-animal)'!$K$48+'Calc (ex-animal)'!$L$48)*'Calc (ex-housing, ex-storage)'!F249/100/VLOOKUP($C$245,'DB animal categories'!$C$91:$AC$100,27,FALSE)*AJ249+Q249+R249+S249-'Calc (ex-housing, ex-storage)'!AC249-AD249-AE249,IF(AI249=4,('Calc (ex-animal)'!$K$48+'Calc (ex-animal)'!$L$48)*'Calc (ex-housing, ex-storage)'!F249/100*VLOOKUP(D249,'DB technologies'!$N$122:$Y$133,12,FALSE)/100/VLOOKUP($C$245,'DB animal categories'!$C$91:$AC$100,27,FALSE)*AJ249+Q249+R249+S249-(VLOOKUP(D249,'DB technologies'!$N$122:$Y$133,12,FALSE)/100*AC249)-AD249-AE249,0))))))</f>
        <v/>
      </c>
      <c r="AY249" s="184" t="str">
        <f>IF(D249="","",IF(AS249=2,0,IF(AS249=1,'Calc (ex-animal)'!$N$48*'Calc (ex-housing, ex-storage)'!F249/100/VLOOKUP($C$245,'DB animal categories'!$C$91:$AC$100,27,FALSE)*AJ249+U249+V249+W249,IF(AS249=5,('Calc (ex-animal)'!$N$48+'Calc (ex-animal)'!$O$48)*'Calc (ex-housing, ex-storage)'!F249/100/VLOOKUP($C$245,'DB animal categories'!$C$91:$AC$100,27,FALSE)*AJ249+U249+V249+W249,IF(AS249=3,('Calc (ex-animal)'!$N$48+'Calc (ex-animal)'!$O$48)*'Calc (ex-housing, ex-storage)'!F249/100/VLOOKUP($C$245,'DB animal categories'!$C$91:$AC$100,27,FALSE)*AJ249+U249+V249+W249,IF(AS249=4,('Calc (ex-animal)'!$N$48+'Calc (ex-animal)'!$O$48)*'Calc (ex-housing, ex-storage)'!F249/100*VLOOKUP(D249,'DB technologies'!$N$122:$Y$133,12,FALSE)/100/VLOOKUP($C$245,'DB animal categories'!$C$91:$AC$100,27,FALSE)*AJ249+U249+V249+W249,0))))))</f>
        <v/>
      </c>
      <c r="AZ249" s="184" t="str">
        <f>IF(D249="","",IF(AS249=2,0,IF(AS249=1,'Calc (ex-animal)'!$Q$48*'Calc (ex-housing, ex-storage)'!F249/100/VLOOKUP($C$245,'DB animal categories'!$C$91:$AC$100,27,FALSE)*AJ249+Y249+Z249+AA249,IF(AS249=5,('Calc (ex-animal)'!$Q$48+'Calc (ex-animal)'!$R$48)*'Calc (ex-housing, ex-storage)'!F249/100/VLOOKUP($C$245,'DB animal categories'!$C$91:$AC$100,27,FALSE)*AJ249+Y249+Z249+AA249,IF(AS249=3,('Calc (ex-animal)'!$Q$48+'Calc (ex-animal)'!$R$48)*'Calc (ex-housing, ex-storage)'!F249/100/VLOOKUP($C$245,'DB animal categories'!$C$91:$AC$100,27,FALSE)*AJ249+Y249+Z249+AA249,IF(AS249=4,('Calc (ex-animal)'!$Q$48+'Calc (ex-animal)'!$R$48)*'Calc (ex-housing, ex-storage)'!F249/100*VLOOKUP(D249,'DB technologies'!$N$122:$Y$133,12,FALSE)/100/VLOOKUP($C$245,'DB animal categories'!$C$91:$AC$100,27,FALSE)*AJ249+Y249+Z249+AA249,0))))))</f>
        <v/>
      </c>
      <c r="BA249" s="506"/>
      <c r="BB249" s="506"/>
      <c r="BC249" s="506"/>
    </row>
    <row r="250" spans="1:55" ht="12" thickBot="1" x14ac:dyDescent="0.25">
      <c r="A250" s="684"/>
      <c r="B250" s="695"/>
      <c r="C250" s="252"/>
      <c r="D250" s="269" t="s">
        <v>58</v>
      </c>
      <c r="E250" s="270">
        <f>IF(F250&lt;=100,SUM(E245:E249),"ERROR")</f>
        <v>0</v>
      </c>
      <c r="F250" s="284">
        <f>IF(SUM(F245:F249) &lt;=100,SUM(F245:F249),"ERROR, SUM&gt;100%")</f>
        <v>0</v>
      </c>
      <c r="G250" s="504">
        <f>IF('Calc (ex-animal)'!$F$38=1,"",SUM(G245:G249))</f>
        <v>0</v>
      </c>
      <c r="H250" s="433">
        <f>IF('Calc (ex-animal)'!$F$8=1,"",SUM(H245:H249))</f>
        <v>0</v>
      </c>
      <c r="I250" s="433">
        <f>IF('Calc (ex-animal)'!$F$8=1,"",SUM(I245:I249))</f>
        <v>0</v>
      </c>
      <c r="J250" s="433">
        <f>IF('Calc (ex-animal)'!$F$8=1,"",SUM(J245:J249))</f>
        <v>0</v>
      </c>
      <c r="K250" s="433">
        <f>IF('Calc (ex-animal)'!$F$8=1,"",SUM(K245:K249))</f>
        <v>0</v>
      </c>
      <c r="L250" s="433">
        <f>IF('Calc (ex-animal)'!$F$8=1,"",SUM(L245:L249))</f>
        <v>0</v>
      </c>
      <c r="M250" s="470"/>
      <c r="N250" s="470"/>
      <c r="O250" s="470"/>
      <c r="P250" s="478">
        <f>IF(G250=0,0,IF('Calc (ex-animal)'!$F$38=1,"",IF(D250="","",SUM(H250:K250)/G250*100)))</f>
        <v>0</v>
      </c>
      <c r="Q250" s="271"/>
      <c r="R250" s="271"/>
      <c r="S250" s="271"/>
      <c r="T250" s="278">
        <f>IF('Calc (ex-animal)'!$F$48=1,"",SUM(T245:T249))</f>
        <v>0</v>
      </c>
      <c r="U250" s="279"/>
      <c r="V250" s="279"/>
      <c r="W250" s="279"/>
      <c r="X250" s="279">
        <f>IF('Calc (ex-animal)'!$F$48=1,"",SUM(X245:X249))</f>
        <v>0</v>
      </c>
      <c r="Y250" s="279"/>
      <c r="Z250" s="279"/>
      <c r="AA250" s="279"/>
      <c r="AB250" s="279">
        <f>IF('Calc (ex-animal)'!$F$48=1,"",SUM(AB245:AB249))</f>
        <v>0</v>
      </c>
      <c r="AC250" s="279">
        <f>IF('Calc (ex-animal)'!$F$48=1,"",SUM(AC245:AC249))</f>
        <v>0</v>
      </c>
      <c r="AD250" s="279">
        <f>IF('Calc (ex-animal)'!$F$48=1,"",SUM(AD245:AD249))</f>
        <v>0</v>
      </c>
      <c r="AE250" s="280">
        <f>IF('Calc (ex-animal)'!$F$48=1,"",SUM(AE245:AE249))</f>
        <v>0</v>
      </c>
    </row>
    <row r="251" spans="1:55" x14ac:dyDescent="0.2">
      <c r="A251" s="684"/>
      <c r="B251" s="695"/>
      <c r="C251" s="250">
        <f>'Calc (ex-animal)'!D49</f>
        <v>0</v>
      </c>
      <c r="D251" s="1355"/>
      <c r="E251" s="1356"/>
      <c r="F251" s="503" t="str">
        <f>IF('Calc (ex-animal)'!$F$38=1,"",IF($C$251=0,"",IF(D251="","",E251/'Calc (ex-animal)'!$E$49*100)))</f>
        <v/>
      </c>
      <c r="G251" s="484" t="str">
        <f>IF($C$251=0,"",IF('Calc (ex-animal)'!$F$38=1,"",IF(D251="","",SUM(H251:O251))))</f>
        <v/>
      </c>
      <c r="H251" s="471" t="str">
        <f>IF('Calc (ex-animal)'!$F$38=1,"",IF(D251="","",(((VLOOKUP($C$251,'Calc (ex-animal)'!$D$48:$Y$52,6,FALSE)-VLOOKUP($C$251,'Calc (ex-animal)'!$D$48:$Y$52,17,FALSE))*F251/100))*VLOOKUP($C$251,'Calc (ex-animal)'!$D$48:$Y$52,7,FALSE)/100*(1-VLOOKUP(D251,'DB technologies'!$N$122:$Y$133,9,FALSE)/100)))</f>
        <v/>
      </c>
      <c r="I251" s="471" t="str">
        <f>IF(D251="","",((VLOOKUP(D251,'DB technologies'!$N$122:$Y$133,2,FALSE)*VLOOKUP($C$251,'DB animal categories'!$C$91:$AC$100,27,FALSE)*E251/1000)/VLOOKUP($C$251,'DB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'!$S$6/100*(1-VLOOKUP(D251,'DB technologies'!$N$122:$Y$133,9,FALSE)/100)))</f>
        <v/>
      </c>
      <c r="J251" s="472" t="str">
        <f>IF(D251="","",((VLOOKUP(D251,'DB technologies'!$N$122:$Y$133,3,FALSE)*VLOOKUP($C$251,'DB animal categories'!$C$91:$AC$100,27,FALSE)*E251/1000)/VLOOKUP($C$251,'DB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'!$S$7/100*(1-VLOOKUP(D251,'DB technologies'!$N$122:$Y$133,9,FALSE)/100)))</f>
        <v/>
      </c>
      <c r="K251" s="472" t="str">
        <f>IF(D251="","",((VLOOKUP(D251,'DB technologies'!$N$122:$Y$133,4,FALSE)*E251*'DB additional information '!$S$8/100*(1-VLOOKUP(D251,'DB technologies'!$N$122:$Y$133,9,FALSE)/100))/VLOOKUP($C$251,'DB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L251" s="471" t="str">
        <f>IF('Calc (ex-animal)'!$F$38=1,"",IF(D251="","",(((VLOOKUP($C$251,'Calc (ex-animal)'!$D$48:$Y$52,6,FALSE)-VLOOKUP($C$251,'Calc (ex-animal)'!$D$48:$Y$52,17,FALSE))*F251/100))*(1-VLOOKUP($C$251,'Calc (ex-animal)'!$D$48:$Y$52,7,FALSE)/100)*(1-VLOOKUP(D251,'DB technologies'!$N$122:$V$133,8,FALSE)/100)))</f>
        <v/>
      </c>
      <c r="M251" s="472" t="str">
        <f>IF(D251="","",((VLOOKUP(D251,'DB technologies'!$N$122:$Y$133,2,FALSE)*VLOOKUP($C$251,'DB animal categories'!$C$91:$AC$100,27,FALSE)*E251/1000)/VLOOKUP($C$251,'DB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'!$S$6/100)*(1-VLOOKUP(D251,'DB technologies'!$N$122:$Y$133,9,FALSE)/100))</f>
        <v/>
      </c>
      <c r="N251" s="472" t="str">
        <f>IF(D251="","",((VLOOKUP(D251,'DB technologies'!$N$122:$Y$133,3,FALSE)*VLOOKUP($C$251,'DB animal categories'!$C$91:$AC$100,27,FALSE)*E251/1000)/VLOOKUP($C$251,'DB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'!$S$7/100)*(1-VLOOKUP(D251,'DB technologies'!$N$122:$Y$133,9,FALSE)/100))</f>
        <v/>
      </c>
      <c r="O251" s="471" t="str">
        <f>IF(D251="","",((VLOOKUP(D251,'DB technologies'!$N$122:$Y$133,4,FALSE)*E251*(1-'DB additional information '!$S$8/100)*(1-VLOOKUP(D251,'DB technologies'!$N$122:$Y$133,8,FALSE)/100))/VLOOKUP($C$251,'DB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P251" s="443" t="str">
        <f>IF(G251=0,0,IF(E251="","",IF(F251="","",IF($C$251=0,"",IF(D251="","",SUM(H251:K251)/G251*100)))))</f>
        <v/>
      </c>
      <c r="Q251" s="473" t="str">
        <f>IF(D251="","",(VLOOKUP(D251,'DB technologies'!$N$122:$Y$133,2,FALSE)*'DB additional information '!$S$6/100*'DB additional information '!$T$6*VLOOKUP($C$251,'DB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R251" s="473" t="str">
        <f>IF(D251="","",(VLOOKUP(D251,'DB technologies'!$N$122:$Y$133,3,FALSE)*'DB additional information '!$S$7/100*'DB additional information '!$T$7*VLOOKUP($C$251,'DB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S251" s="490" t="str">
        <f>IF(D251="","",(VLOOKUP(D251,'DB technologies'!$N$122:$Y$133,4,FALSE)*('DB additional information '!$S$8/100*'DB additional information '!$T$8*E251/1000/1000)))</f>
        <v/>
      </c>
      <c r="T251" s="263" t="str">
        <f>IF($C$251=0,"",IF('Calc (ex-animal)'!$F$38=1,"",IF(D251="","",((VLOOKUP($C$251,'Calc (ex-animal)'!$D$48:$Y$52,10,FALSE)-VLOOKUP($C$251,'Calc (ex-animal)'!$D$48:$Y$52,18,FALSE))*F251/100+Q251+R251+S251)-AC251-AD251-AE251)))</f>
        <v/>
      </c>
      <c r="U251" s="474" t="str">
        <f>IF(D251="","",(VLOOKUP(D251,'DB technologies'!$N$122:$Y$133,2,FALSE)*'DB additional information '!$S$6/100*'DB additional information '!$U$6*VLOOKUP($C$251,'DB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V251" s="420" t="str">
        <f>IF(D251="","",(VLOOKUP(D251,'DB technologies'!$N$122:$Y$133,3,FALSE)*'DB additional information '!$S$7/100*'DB additional information '!$U$7*VLOOKUP($C$251,'DB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W251" s="415" t="str">
        <f>IF(D251="","",(VLOOKUP(D251,'DB technologies'!$N$122:$Y$133,4,FALSE)*('DB additional information '!$S$8/100*'DB additional information '!$U$8*E251/1000/1000)))</f>
        <v/>
      </c>
      <c r="X251" s="259" t="str">
        <f>IF($C$251=0,"",IF('Calc (ex-animal)'!$F$38=1,"",IF(D251="","",((VLOOKUP($C$251,'Calc (ex-animal)'!$D$48:$Y$52,13,FALSE)-VLOOKUP($C$251,'Calc (ex-animal)'!$D$48:$Y$52,19,FALSE))*F251/100+U251+V251+W251))))</f>
        <v/>
      </c>
      <c r="Y251" s="420" t="str">
        <f>IF(D251="","",(VLOOKUP(D251,'DB technologies'!$N$122:$Y$133,2,FALSE)*'DB additional information '!$S$6/100*'DB additional information '!$V$6*VLOOKUP($C$251,'DB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Z251" s="420" t="str">
        <f>IF(D251="","",(VLOOKUP(D251,'DB technologies'!$N$122:$Y$133,3,FALSE)*'DB additional information '!$S$7/100*'DB additional information '!$V$7*VLOOKUP($C$251,'DB animal categories'!$C$91:$AC$100,27,FALSE)*E251/1000/1000)/VLOOKUP($C$251,'DB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AA251" s="420" t="str">
        <f>IF(D251="","",(VLOOKUP(D251,'DB technologies'!$N$122:$Y$133,4,FALSE)*('DB additional information '!$S$8/100*'DB additional information '!$V$8*E251/1000/1000)))</f>
        <v/>
      </c>
      <c r="AB251" s="259" t="str">
        <f>IF($C$251=0,"",IF('Calc (ex-animal)'!$F$38=1,"",IF(D251="","",((VLOOKUP($C$251,'Calc (ex-animal)'!$D$48:$Y$52,16,FALSE)-VLOOKUP($C$251,'Calc (ex-animal)'!$D$48:$Y$52,20,FALSE))*F251/100+Y251+Z251+AA251))))</f>
        <v/>
      </c>
      <c r="AC251" s="259" t="str">
        <f>IF($C$251=0,"",IF('Calc (ex-animal)'!$F$38=1,"",IF(D251="","",VLOOKUP($C$251,'Calc (ex-animal)'!$D$48:$Y$52,9,FALSE)/VLOOKUP($C$251,'DB animal categories'!$C$91:$AC$100,27,FALSE)*(VLOOKUP($C$251,'DB animal categories'!$C$91:$AC$100,27,FALSE)-VLOOKUP($C$251,'DB animal categories'!$C$91:$AC$100,25,FALSE)*VLOOKUP($C$251,'DB animal categories'!$C$91:$AC$100,26,FALSE)/24)*F251/100*VLOOKUP(D251,'DB technologies'!$N$122:$R$133,5,FALSE)/100)))</f>
        <v/>
      </c>
      <c r="AD251" s="259" t="str">
        <f>IF($C$251=0,"",IF('Calc (ex-animal)'!$F$38=1,"",IF(D251="","",VLOOKUP($C$251,'Calc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categories'!$C$91:$AC$100,26,FALSE)/24)*F251/100*VLOOKUP(D251,'DB technologies'!$N$122:$Y$133,6,FALSE)/100)))</f>
        <v/>
      </c>
      <c r="AE251" s="260" t="str">
        <f>IF($C$251=0,"",IF('Calc (ex-animal)'!$F$38=1,"",IF(D251="","",VLOOKUP($C$251,'Calc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categories'!$C$91:$AC$100,26,FALSE)/24)*F251/100*VLOOKUP(D251,'DB technologies'!$N$122:$Y$133,7,FALSE)/100)))</f>
        <v/>
      </c>
      <c r="AI251" s="179" t="str">
        <f>IF(D251="","",VLOOKUP(D251,'DB technologies'!$N$122:$Y$133,10,FALSE))</f>
        <v/>
      </c>
      <c r="AJ251" s="482" t="e">
        <f>VLOOKUP($C$251,'DB animal categories'!$C$91:$AN$100,27,FALSE)-VLOOKUP($C$251,'DB animal categories'!$C$91:$AN$100,26,FALSE)*VLOOKUP($C$251,'DB animal categories'!$C$91:$AN$100,25,FALSE)/24</f>
        <v>#N/A</v>
      </c>
      <c r="AK251" s="453" t="str">
        <f>IF(AI251="","",AL251+AM251)</f>
        <v/>
      </c>
      <c r="AL251" s="453" t="str">
        <f>IF(D251="","",IF(AI251=2,(('Calc (ex-animal)'!$G$49*'DB additional information '!$K$11/100*(1-VLOOKUP(D251,'DB technologies'!$N$122:$Y$133,9,FALSE)/100)*'Calc (ex-housing, ex-storage)'!F251/100+'Calc (ex-animal)'!$H$49*'DB additional information '!$L$11/100*(1-VLOOKUP(D251,'DB technologies'!$N$122:$Y$133,9,FALSE)/100)*'Calc (ex-housing, ex-storage)'!F251/100))/VLOOKUP($C$251,'DB animal categories'!$C$91:$AC$100,27,FALSE)*AJ251+I251+J251+K251,IF(AI251=1,('Calc (ex-animal)'!$H$49*'DB additional information '!$L$11/100*(1-VLOOKUP(D251,'DB technologies'!$N$122:$Y$133,9,FALSE)/100)*'Calc (ex-housing, ex-storage)'!F251/100)/VLOOKUP($C$251,'DB animal categories'!$C$91:$AC$100,27,FALSE)*AJ251,IF(AI251=4,('Calc (ex-animal)'!$G$49*'DB additional information '!$K$11/100+'Calc (ex-animal)'!$H$49*'DB additional information '!$L$11/100)*(1-VLOOKUP(D251,'DB technologies'!$N$122:$Y$133,9,FALSE)/100)*'Calc (ex-housing, ex-storage)'!F251/100*VLOOKUP(D251,'DB technologies'!$N$122:$Y$133,11,FALSE)/100/VLOOKUP($C$251,'DB animal categories'!$C$91:$AC$100,27,FALSE)*AJ251,0))))</f>
        <v/>
      </c>
      <c r="AM251" s="453" t="str">
        <f>IF(D251="","",IF(AI251=2,(('Calc (ex-animal)'!$G$49*(1-'DB additional information '!$K$11/100)*(1-VLOOKUP(D251,'DB technologies'!$N$122:$Y$133,8,FALSE)/100)*'Calc (ex-housing, ex-storage)'!F251/100+'Calc (ex-animal)'!$H$49*(1-'DB additional information '!$L$11/100)*(1-VLOOKUP(D251,'DB technologies'!$N$122:$Y$133,8,FALSE)/100)*'Calc (ex-housing, ex-storage)'!F251/100))/VLOOKUP($C$251,'DB animal categories'!$C$91:$AC$100,27,FALSE)*AJ251+M251+N251+O251,IF(AI251=1,('Calc (ex-animal)'!$H$49*(1-'DB additional information '!$L$11/100)*(1-VLOOKUP(D251,'DB technologies'!$N$122:$Y$133,8,FALSE)/100)*'Calc (ex-housing, ex-storage)'!F251/100)/VLOOKUP($C$251,'DB animal categories'!$C$91:$AC$100,27,FALSE)*AJ251,IF(AI251=4,('Calc (ex-animal)'!$G$49*(1-'DB additional information '!$K$11/100)+'Calc (ex-animal)'!$H$49*(1-'DB additional information '!$L$11/100))*(1-VLOOKUP(D251,'DB technologies'!$N$122:$Y$133,8,FALSE)/100)*'Calc (ex-housing, ex-storage)'!F251/100*VLOOKUP(D251,'DB technologies'!$N$122:$Y$133,11,FALSE)/100/VLOOKUP($C$251,'DB animal categories'!$C$91:$AC$100,27,FALSE)*AJ251,0))))</f>
        <v/>
      </c>
      <c r="AN251" s="453" t="str">
        <f>IF(AI251="","",IF(AL251=0,0,AL251/AK251*100))</f>
        <v/>
      </c>
      <c r="AO251" s="180" t="str">
        <f>IF(D251="","",IF(AI251=2,(('Calc (ex-animal)'!$L$49*'Calc (ex-housing, ex-storage)'!F251/100+'Calc (ex-animal)'!$K$49*'Calc (ex-housing, ex-storage)'!F251/100))/VLOOKUP($C$251,'DB animal categories'!$C$91:$AC$100,27,FALSE)*AJ251+Q251+R251+S251-AC251,IF(AI251=1,('Calc (ex-animal)'!$L$49*'Calc (ex-housing, ex-storage)'!F251/100)/VLOOKUP($C$251,'DB animal categories'!$C$91:$AC$100,27,FALSE)*AJ251-'Calc (ex-housing, ex-storage)'!AC251,IF(AI251=4,('Calc (ex-animal)'!$L$49+'Calc (ex-animal)'!$K$49)*'Calc (ex-housing, ex-storage)'!F251/100*VLOOKUP(D251,'DB technologies'!$N$122:$Y$133,11,FALSE)/100/VLOOKUP($C$251,'DB animal categories'!$C$91:$AC$100,27,FALSE)*AJ251-AC251*VLOOKUP(D251,'DB technologies'!$N$122:$Y$133,11,FALSE)/100,0))))</f>
        <v/>
      </c>
      <c r="AP251" s="180" t="str">
        <f>IF(D251="","",IF(AO251&lt;-0.01,0,IF(AI251=2,(('Calc (ex-animal)'!$L$49*'Calc (ex-housing, ex-storage)'!F251/100+'Calc (ex-animal)'!$K$49*'Calc (ex-housing, ex-storage)'!F251/100))/VLOOKUP($C$251,'DB animal categories'!$C$91:$AC$100,27,FALSE)*AJ251+Q251+R251+S251-AC251,IF(AI251=1,('Calc (ex-animal)'!$L$49*'Calc (ex-housing, ex-storage)'!F251/100)/VLOOKUP($C$251,'DB animal categories'!$C$91:$AC$100,27,FALSE)*AJ251-'Calc (ex-housing, ex-storage)'!AC251,IF(AI251=4,('Calc (ex-animal)'!$L$49+'Calc (ex-animal)'!$K$49)*'Calc (ex-housing, ex-storage)'!F251/100*VLOOKUP(D251,'DB technologies'!$N$122:$Y$133,11,FALSE)/100/VLOOKUP($C$251,'DB animal categories'!$C$91:$AC$100,27,FALSE)*AJ251-AC251*VLOOKUP(D251,'DB technologies'!$N$122:$Y$133,11,FALSE)/100,0)))))</f>
        <v/>
      </c>
      <c r="AQ251" s="180" t="str">
        <f>IF(D251="","",IF(AI251=2,('Calc (ex-animal)'!$O$49*'Calc (ex-housing, ex-storage)'!F251/100+'Calc (ex-animal)'!$N$49*'Calc (ex-housing, ex-storage)'!F251/100)/VLOOKUP($C$251,'DB animal categories'!$C$91:$AC$100,27,FALSE)*AJ251+U251+V251+W251,IF(AI251=1,'Calc (ex-animal)'!$O$49*'Calc (ex-housing, ex-storage)'!F251/100/VLOOKUP($C$251,'DB animal categories'!$C$91:$AC$100,27,FALSE)*AJ251,IF(AI251=4,('Calc (ex-animal)'!$O$49+'Calc (ex-animal)'!$N$49)*'Calc (ex-housing, ex-storage)'!F251/100*VLOOKUP(D251,'DB technologies'!$N$122:$Y$133,11,FALSE)/100/VLOOKUP($C$251,'DB animal categories'!$C$91:$AC$100,27,FALSE)*AJ251,0))))</f>
        <v/>
      </c>
      <c r="AR251" s="180" t="str">
        <f>IF(D251="","",IF(AI251=2,('Calc (ex-animal)'!$R$49*'Calc (ex-housing, ex-storage)'!F251/100+'Calc (ex-animal)'!$Q$49*'Calc (ex-housing, ex-storage)'!F251/100)/VLOOKUP($C$251,'DB animal categories'!$C$91:$AC$100,27,FALSE)*AJ251+Y251+Z251+AA251,IF(AI251=1,'Calc (ex-animal)'!$R$49*'Calc (ex-housing, ex-storage)'!F251/100/VLOOKUP($C$251,'DB animal categories'!$C$91:$AC$100,27,FALSE)*AJ251,IF(AI251=4,('Calc (ex-animal)'!$R$49+'Calc (ex-animal)'!$Q$49)*'Calc (ex-housing, ex-storage)'!F251/100*VLOOKUP(D251,'DB technologies'!$N$122:$Y$133,11,FALSE)/100/VLOOKUP($C$251,'DB animal categories'!$C$91:$AC$100,27,FALSE)*AJ251,0))))</f>
        <v/>
      </c>
      <c r="AS251" s="179" t="str">
        <f>IF(D251="","",VLOOKUP(D251,'DB technologies'!$N$122:$Y$133,10,FALSE))</f>
        <v/>
      </c>
      <c r="AT251" s="453" t="str">
        <f>IF(AS251="","",AU251+AV251)</f>
        <v/>
      </c>
      <c r="AU251" s="453" t="str">
        <f>IF(D251="","",IF(AS251=2,0,IF(AS251=1,'Calc (ex-animal)'!$G$49*'DB additional information '!$K$11/100*(1-VLOOKUP(D251,'DB technologies'!$N$122:$Y$133,8,FALSE)/100)*'Calc (ex-housing, ex-storage)'!F251/100/VLOOKUP($C$251,'DB animal categories'!$C$91:$AC$100,27,FALSE)*AJ251+I251+J251+K251,IF(AS251=5,(('Calc (ex-animal)'!$G$49*'DB additional information '!$K$11/100+'Calc (ex-animal)'!$H$49*'DB additional information '!$L$11/100))*(1-VLOOKUP(D251,'DB technologies'!$N$122:$Y$133,9,FALSE)/100)*'Calc (ex-housing, ex-storage)'!F251/100/VLOOKUP($C$251,'DB animal categories'!$C$91:$AC$100,27,FALSE)*AJ251+I251+J251+K251,IF(AS251=3,('Calc (ex-animal)'!$G$49*'DB additional information '!$K$11/100+'Calc (ex-animal)'!$H$49*'DB additional information '!$L$11/100)*(1-VLOOKUP(D251,'DB technologies'!$N$122:$Y$133,9,FALSE)/100)*'Calc (ex-housing, ex-storage)'!F251/100/VLOOKUP($C$251,'DB animal categories'!$C$91:$AC$100,27,FALSE)*AJ251+I251+J251+K251,IF(AS251=4,('Calc (ex-animal)'!$G$49*'DB additional information '!$K$11/100+'Calc (ex-animal)'!$H$49*'DB additional information '!$L$11/100)*(1-VLOOKUP(D251,'DB technologies'!$N$122:$Y$133,9,FALSE)/100)*'Calc (ex-housing, ex-storage)'!F251/100*VLOOKUP(D251,'DB technologies'!$N$122:$Y$133,12,FALSE)/100/VLOOKUP($C$251,'DB animal categories'!$C$91:$AC$100,27,FALSE)*AJ251+I251+J251+K251,0))))))</f>
        <v/>
      </c>
      <c r="AV251" s="453" t="str">
        <f>IF(D251="","",IF(AS251=2,0,IF(AS251=1,'Calc (ex-animal)'!$G$49*(1-'DB additional information '!$K$11/100)*(1-VLOOKUP(D251,'DB technologies'!$N$122:$Y$133,8,FALSE)/100)*'Calc (ex-housing, ex-storage)'!F251/100/VLOOKUP($C$251,'DB animal categories'!$C$91:$AC$100,27,FALSE)*AJ251+M251+N251+O251,IF(AS251=5,('Calc (ex-animal)'!$G$49*(1-'DB additional information '!$K$11/100)+'Calc (ex-animal)'!$H$49*(1-'DB additional information '!$L$11/100))*(1-VLOOKUP(D251,'DB technologies'!$N$122:$Y$133,8,FALSE)/100)*'Calc (ex-housing, ex-storage)'!F251/100/VLOOKUP($C$251,'DB animal categories'!$C$91:$AC$100,27,FALSE)*AJ251+M251+N251+O251,IF(AS251=3,('Calc (ex-animal)'!$G$49*(1-'DB additional information '!$K$11/100)+'Calc (ex-animal)'!$H$49*(1-'DB additional information '!$L$11/100))*(1-VLOOKUP(D251,'DB technologies'!$N$122:$Y$133,8,FALSE)/100)*'Calc (ex-housing, ex-storage)'!F251/100/VLOOKUP($C$251,'DB animal categories'!$C$91:$AC$100,27,FALSE)*AJ251+M251+N251+O251,IF(AS251=4,('Calc (ex-animal)'!$G$49*(1-'DB additional information '!$K$11/100)+'Calc (ex-animal)'!$H$49*(1-'DB additional information '!$L$11/100))*(1-VLOOKUP(D251,'DB technologies'!$N$122:$Y$133,8,FALSE)/100)*'Calc (ex-housing, ex-storage)'!F251/100*VLOOKUP(D251,'DB technologies'!$N$122:$Y$133,12,FALSE)/100/VLOOKUP($C$251,'DB animal categories'!$C$91:$AC$100,27,FALSE)*AJ251+M251+N251+O251,0))))))</f>
        <v/>
      </c>
      <c r="AW251" s="453" t="str">
        <f>IF(AS251="","",IF(AU251=0,0,AU251/AT251*100))</f>
        <v/>
      </c>
      <c r="AX251" s="180" t="str">
        <f>IF(D251="","",IF(AS251=2,0,IF(AS251=1,'Calc (ex-animal)'!$K$49*'Calc (ex-housing, ex-storage)'!F251/100/VLOOKUP($C$251,'DB animal categories'!$C$91:$AC$100,27,FALSE)*AJ251+Q251+R251+S251,IF(AS251=5,('Calc (ex-animal)'!$K$49+'Calc (ex-animal)'!$L$49)*'Calc (ex-housing, ex-storage)'!F251/100/VLOOKUP($C$251,'DB animal categories'!$C$91:$AC$100,27,FALSE)*AJ251+Q251+R251+S251-'Calc (ex-housing, ex-storage)'!AC251,IF(AS251=3,('Calc (ex-animal)'!$K$49+'Calc (ex-animal)'!$L$49)*'Calc (ex-housing, ex-storage)'!F251/100/VLOOKUP($C$251,'DB animal categories'!$C$91:$AC$100,27,FALSE)*AJ251+Q251+R251+S251-'Calc (ex-housing, ex-storage)'!AC251-AD251-AE251,IF(AI251=4,('Calc (ex-animal)'!$K$49+'Calc (ex-animal)'!$L$49)*'Calc (ex-housing, ex-storage)'!F251/100*VLOOKUP(D251,'DB technologies'!$N$122:$Y$133,12,FALSE)/100/VLOOKUP($C$251,'DB animal categories'!$C$91:$AC$100,27,FALSE)*AJ251+Q251+R251+S251-(VLOOKUP(D251,'DB technologies'!$N$122:$Y$133,12,FALSE)/100*AC251)-AD251-AE251,0))))))</f>
        <v/>
      </c>
      <c r="AY251" s="180" t="str">
        <f>IF(D251="","",IF(AS251=2,0,IF(AS251=1,'Calc (ex-animal)'!$N$49*'Calc (ex-housing, ex-storage)'!F251/100/VLOOKUP($C$251,'DB animal categories'!$C$91:$AC$100,27,FALSE)*AJ251+U251+V251+W251,IF(AS251=5,('Calc (ex-animal)'!$N$49+'Calc (ex-animal)'!$O$49)*'Calc (ex-housing, ex-storage)'!F251/100/VLOOKUP($C$251,'DB animal categories'!$C$91:$AC$100,27,FALSE)*AJ251+U251+V251+W251,IF(AS251=3,('Calc (ex-animal)'!$N$49+'Calc (ex-animal)'!$O$49)*'Calc (ex-housing, ex-storage)'!F251/100/VLOOKUP($C$251,'DB animal categories'!$C$91:$AC$100,27,FALSE)*AJ251+U251+V251+W251,IF(AS251=4,('Calc (ex-animal)'!$N$49+'Calc (ex-animal)'!$O$49)*'Calc (ex-housing, ex-storage)'!F251/100*VLOOKUP(D251,'DB technologies'!$N$122:$Y$133,12,FALSE)/100/VLOOKUP($C$251,'DB animal categories'!$C$91:$AC$100,27,FALSE)*AJ251+U251+V251+W251,0))))))</f>
        <v/>
      </c>
      <c r="AZ251" s="180" t="str">
        <f>IF(D251="","",IF(AS251=2,0,IF(AS251=1,'Calc (ex-animal)'!$Q$49*'Calc (ex-housing, ex-storage)'!F251/100/VLOOKUP($C$251,'DB animal categories'!$C$91:$AC$100,27,FALSE)*AJ251+Y251+Z251+AA251,IF(AS251=5,('Calc (ex-animal)'!$Q$49+'Calc (ex-animal)'!$R$49)*'Calc (ex-housing, ex-storage)'!F251/100/VLOOKUP($C$251,'DB animal categories'!$C$91:$AC$100,27,FALSE)*AJ251+Y251+Z251+AA251,IF(AS251=3,('Calc (ex-animal)'!$Q$49+'Calc (ex-animal)'!$R$49)*'Calc (ex-housing, ex-storage)'!F251/100/VLOOKUP($C$251,'DB animal categories'!$C$91:$AC$100,27,FALSE)*AJ251+Y251+Z251+AA251,IF(AS251=4,('Calc (ex-animal)'!$Q$49+'Calc (ex-animal)'!$R$49)*'Calc (ex-housing, ex-storage)'!F251/100*VLOOKUP(D251,'DB technologies'!$N$122:$Y$133,12,FALSE)/100/VLOOKUP($C$251,'DB animal categories'!$C$91:$AC$100,27,FALSE)*AJ251+Y251+Z251+AA251,0))))))</f>
        <v/>
      </c>
      <c r="BA251" s="506"/>
      <c r="BB251" s="506"/>
      <c r="BC251" s="506"/>
    </row>
    <row r="252" spans="1:55" x14ac:dyDescent="0.2">
      <c r="A252" s="684"/>
      <c r="B252" s="695"/>
      <c r="C252" s="251"/>
      <c r="D252" s="1357"/>
      <c r="E252" s="1358"/>
      <c r="F252" s="501" t="str">
        <f>IF('Calc (ex-animal)'!$F$38=1,"",IF($C$251=0,"",IF(D252="","",E252/'Calc (ex-animal)'!$E$49*100)))</f>
        <v/>
      </c>
      <c r="G252" s="485" t="str">
        <f>IF($C$251=0,"",IF('Calc (ex-animal)'!$F$38=1,"",IF(D252="","",SUM(H252:O252))))</f>
        <v/>
      </c>
      <c r="H252" s="423" t="str">
        <f>IF('Calc (ex-animal)'!$F$38=1,"",IF(D252="","",(((VLOOKUP($C$251,'Calc (ex-animal)'!$D$48:$Y$52,6,FALSE)-VLOOKUP($C$251,'Calc (ex-animal)'!$D$48:$Y$52,17,FALSE))*F252/100))*VLOOKUP($C$251,'Calc (ex-animal)'!$D$48:$Y$52,7,FALSE)/100*(1-VLOOKUP(D252,'DB technologies'!$N$122:$Y$133,9,FALSE)/100)))</f>
        <v/>
      </c>
      <c r="I252" s="423" t="str">
        <f>IF(D252="","",((VLOOKUP(D252,'DB technologies'!$N$122:$Y$133,2,FALSE)*VLOOKUP($C$251,'DB animal categories'!$C$91:$AC$100,27,FALSE)*E252/1000)/VLOOKUP($C$251,'DB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'!$S$6/100*(1-VLOOKUP(D252,'DB technologies'!$N$122:$Y$133,9,FALSE)/100)))</f>
        <v/>
      </c>
      <c r="J252" s="434" t="str">
        <f>IF(D252="","",((VLOOKUP(D252,'DB technologies'!$N$122:$Y$133,3,FALSE)*VLOOKUP($C$251,'DB animal categories'!$C$91:$AC$100,27,FALSE)*E252/1000)/VLOOKUP($C$251,'DB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'!$S$7/100*(1-VLOOKUP(D252,'DB technologies'!$N$122:$Y$133,9,FALSE)/100)))</f>
        <v/>
      </c>
      <c r="K252" s="434" t="str">
        <f>IF(D252="","",((VLOOKUP(D252,'DB technologies'!$N$122:$Y$133,4,FALSE)*E252*'DB additional information '!$S$8/100*(1-VLOOKUP(D252,'DB technologies'!$N$122:$Y$133,9,FALSE)/100))/VLOOKUP($C$251,'DB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L252" s="423" t="str">
        <f>IF('Calc (ex-animal)'!$F$38=1,"",IF(D252="","",(((VLOOKUP($C$251,'Calc (ex-animal)'!$D$48:$Y$52,6,FALSE)-VLOOKUP($C$251,'Calc (ex-animal)'!$D$48:$Y$52,17,FALSE))*F252/100))*(1-VLOOKUP($C$251,'Calc (ex-animal)'!$D$48:$Y$52,7,FALSE)/100)*(1-VLOOKUP(D252,'DB technologies'!$N$122:$V$133,8,FALSE)/100)))</f>
        <v/>
      </c>
      <c r="M252" s="434" t="str">
        <f>IF(D252="","",((VLOOKUP(D252,'DB technologies'!$N$122:$Y$133,2,FALSE)*VLOOKUP($C$251,'DB animal categories'!$C$91:$AC$100,27,FALSE)*E252/1000)/VLOOKUP($C$251,'DB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'!$S$6/100)*(1-VLOOKUP(D252,'DB technologies'!$N$122:$Y$133,9,FALSE)/100))</f>
        <v/>
      </c>
      <c r="N252" s="434" t="str">
        <f>IF(D252="","",((VLOOKUP(D252,'DB technologies'!$N$122:$Y$133,3,FALSE)*VLOOKUP($C$251,'DB animal categories'!$C$91:$AC$100,27,FALSE)*E252/1000)/VLOOKUP($C$251,'DB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'!$S$7/100)*(1-VLOOKUP(D252,'DB technologies'!$N$122:$Y$133,9,FALSE)/100))</f>
        <v/>
      </c>
      <c r="O252" s="423" t="str">
        <f>IF(D252="","",((VLOOKUP(D252,'DB technologies'!$N$122:$Y$133,4,FALSE)*E252*(1-'DB additional information '!$S$8/100)*(1-VLOOKUP(D252,'DB technologies'!$N$122:$Y$133,8,FALSE)/100))/VLOOKUP($C$251,'DB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P252" s="438" t="str">
        <f>IF(G252=0,0,IF(E252="","",IF(F252="","",IF($C$251=0,"",IF(D252="","",SUM(H252:K252)/G252*100)))))</f>
        <v/>
      </c>
      <c r="Q252" s="416" t="str">
        <f>IF(D252="","",(VLOOKUP(D252,'DB technologies'!$N$122:$Y$133,2,FALSE)*'DB additional information '!$S$6/100*'DB additional information '!$T$6*VLOOKUP($C$251,'DB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R252" s="416" t="str">
        <f>IF(D252="","",(VLOOKUP(D252,'DB technologies'!$N$122:$Y$133,3,FALSE)*'DB additional information '!$S$7/100*'DB additional information '!$T$7*VLOOKUP($C$251,'DB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S252" s="491" t="str">
        <f>IF(D252="","",(VLOOKUP(D252,'DB technologies'!$N$122:$Y$133,4,FALSE)*('DB additional information '!$S$8/100*'DB additional information '!$T$8*E252/1000/1000)))</f>
        <v/>
      </c>
      <c r="T252" s="264" t="str">
        <f>IF($C$251=0,"",IF('Calc (ex-animal)'!$F$38=1,"",IF(D252="","",((VLOOKUP($C$251,'Calc (ex-animal)'!$D$48:$Y$52,10,FALSE)-VLOOKUP($C$251,'Calc (ex-animal)'!$D$48:$Y$52,18,FALSE))*F252/100+Q252+R252+S252)-AC252-AD252-AE252)))</f>
        <v/>
      </c>
      <c r="U252" s="422" t="str">
        <f>IF(D252="","",(VLOOKUP(D252,'DB technologies'!$N$122:$Y$133,2,FALSE)*'DB additional information '!$S$6/100*'DB additional information '!$U$6*VLOOKUP($C$251,'DB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V252" s="418" t="str">
        <f>IF(D252="","",(VLOOKUP(D252,'DB technologies'!$N$122:$Y$133,3,FALSE)*'DB additional information '!$S$7/100*'DB additional information '!$U$7*VLOOKUP($C$251,'DB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W252" s="417" t="str">
        <f>IF(D252="","",(VLOOKUP(D252,'DB technologies'!$N$122:$Y$133,4,FALSE)*('DB additional information '!$S$8/100*'DB additional information '!$U$8*E252/1000/1000)))</f>
        <v/>
      </c>
      <c r="X252" s="261" t="str">
        <f>IF($C$251=0,"",IF('Calc (ex-animal)'!$F$38=1,"",IF(D252="","",((VLOOKUP($C$251,'Calc (ex-animal)'!$D$48:$Y$52,13,FALSE)-VLOOKUP($C$251,'Calc (ex-animal)'!$D$48:$Y$52,19,FALSE))*F252/100+U252+V252+W252))))</f>
        <v/>
      </c>
      <c r="Y252" s="418" t="str">
        <f>IF(D252="","",(VLOOKUP(D252,'DB technologies'!$N$122:$Y$133,2,FALSE)*'DB additional information '!$S$6/100*'DB additional information '!$V$6*VLOOKUP($C$251,'DB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Z252" s="418" t="str">
        <f>IF(D252="","",(VLOOKUP(D252,'DB technologies'!$N$122:$Y$133,3,FALSE)*'DB additional information '!$S$7/100*'DB additional information '!$V$7*VLOOKUP($C$251,'DB animal categories'!$C$91:$AC$100,27,FALSE)*E252/1000/1000)/VLOOKUP($C$251,'DB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AA252" s="418" t="str">
        <f>IF(D252="","",(VLOOKUP(D252,'DB technologies'!$N$122:$Y$133,4,FALSE)*('DB additional information '!$S$8/100*'DB additional information '!$V$8*E252/1000/1000)))</f>
        <v/>
      </c>
      <c r="AB252" s="261" t="str">
        <f>IF($C$251=0,"",IF('Calc (ex-animal)'!$F$38=1,"",IF(D252="","",((VLOOKUP($C$251,'Calc (ex-animal)'!$D$48:$Y$52,16,FALSE)-VLOOKUP($C$251,'Calc (ex-animal)'!$D$48:$Y$52,20,FALSE))*F252/100+Y252+Z252+AA252))))</f>
        <v/>
      </c>
      <c r="AC252" s="261" t="str">
        <f>IF($C$251=0,"",IF('Calc (ex-animal)'!$F$38=1,"",IF(D252="","",VLOOKUP($C$251,'Calc (ex-animal)'!$D$48:$Y$52,9,FALSE)/VLOOKUP($C$251,'DB animal categories'!$C$91:$AC$100,27,FALSE)*(VLOOKUP($C$251,'DB animal categories'!$C$91:$AC$100,27,FALSE)-VLOOKUP($C$251,'DB animal categories'!$C$91:$AC$100,25,FALSE)*VLOOKUP($C$251,'DB animal categories'!$C$91:$AC$100,26,FALSE)/24)*F252/100*VLOOKUP(D252,'DB technologies'!$N$122:$R$133,5,FALSE)/100)))</f>
        <v/>
      </c>
      <c r="AD252" s="261" t="str">
        <f>IF($C$251=0,"",IF('Calc (ex-animal)'!$F$38=1,"",IF(D252="","",VLOOKUP($C$251,'Calc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categories'!$C$91:$AC$100,26,FALSE)/24)*F252/100*VLOOKUP(D252,'DB technologies'!$N$122:$Y$133,6,FALSE)/100)))</f>
        <v/>
      </c>
      <c r="AE252" s="262" t="str">
        <f>IF($C$251=0,"",IF('Calc (ex-animal)'!$F$38=1,"",IF(D252="","",VLOOKUP($C$251,'Calc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categories'!$C$91:$AC$100,26,FALSE)/24)*F252/100*VLOOKUP(D252,'DB technologies'!$N$122:$Y$133,7,FALSE)/100)))</f>
        <v/>
      </c>
      <c r="AI252" s="181" t="str">
        <f>IF(D252="","",VLOOKUP(D252,'DB technologies'!$N$122:$Y$133,10,FALSE))</f>
        <v/>
      </c>
      <c r="AJ252" s="449" t="e">
        <f>VLOOKUP($C$251,'DB animal categories'!$C$91:$AN$100,27,FALSE)-VLOOKUP($C$251,'DB animal categories'!$C$91:$AN$100,26,FALSE)*VLOOKUP($C$251,'DB animal categories'!$C$91:$AN$100,25,FALSE)/24</f>
        <v>#N/A</v>
      </c>
      <c r="AK252" s="442" t="str">
        <f>IF(AI252="","",AL252+AM252)</f>
        <v/>
      </c>
      <c r="AL252" s="442" t="str">
        <f>IF(D252="","",IF(AI252=2,(('Calc (ex-animal)'!$G$49*'DB additional information '!$K$11/100*(1-VLOOKUP(D252,'DB technologies'!$N$122:$Y$133,9,FALSE)/100)*'Calc (ex-housing, ex-storage)'!F252/100+'Calc (ex-animal)'!$H$49*'DB additional information '!$L$11/100*(1-VLOOKUP(D252,'DB technologies'!$N$122:$Y$133,9,FALSE)/100)*'Calc (ex-housing, ex-storage)'!F252/100))/VLOOKUP($C$251,'DB animal categories'!$C$91:$AC$100,27,FALSE)*AJ252+I252+J252+K252,IF(AI252=1,('Calc (ex-animal)'!$H$49*'DB additional information '!$L$11/100*(1-VLOOKUP(D252,'DB technologies'!$N$122:$Y$133,9,FALSE)/100)*'Calc (ex-housing, ex-storage)'!F252/100)/VLOOKUP($C$251,'DB animal categories'!$C$91:$AC$100,27,FALSE)*AJ252,IF(AI252=4,('Calc (ex-animal)'!$G$49*'DB additional information '!$K$11/100+'Calc (ex-animal)'!$H$49*'DB additional information '!$L$11/100)*(1-VLOOKUP(D252,'DB technologies'!$N$122:$Y$133,9,FALSE)/100)*'Calc (ex-housing, ex-storage)'!F252/100*VLOOKUP(D252,'DB technologies'!$N$122:$Y$133,11,FALSE)/100/VLOOKUP($C$251,'DB animal categories'!$C$91:$AC$100,27,FALSE)*AJ252,0))))</f>
        <v/>
      </c>
      <c r="AM252" s="442" t="str">
        <f>IF(D252="","",IF(AI252=2,(('Calc (ex-animal)'!$G$49*(1-'DB additional information '!$K$11/100)*(1-VLOOKUP(D252,'DB technologies'!$N$122:$Y$133,8,FALSE)/100)*'Calc (ex-housing, ex-storage)'!F252/100+'Calc (ex-animal)'!$H$49*(1-'DB additional information '!$L$11/100)*(1-VLOOKUP(D252,'DB technologies'!$N$122:$Y$133,8,FALSE)/100)*'Calc (ex-housing, ex-storage)'!F252/100))/VLOOKUP($C$251,'DB animal categories'!$C$91:$AC$100,27,FALSE)*AJ252+M252+N252+O252,IF(AI252=1,('Calc (ex-animal)'!$H$49*(1-'DB additional information '!$L$11/100)*(1-VLOOKUP(D252,'DB technologies'!$N$122:$Y$133,8,FALSE)/100)*'Calc (ex-housing, ex-storage)'!F252/100)/VLOOKUP($C$251,'DB animal categories'!$C$91:$AC$100,27,FALSE)*AJ252,IF(AI252=4,('Calc (ex-animal)'!$G$49*(1-'DB additional information '!$K$11/100)+'Calc (ex-animal)'!$H$49*(1-'DB additional information '!$L$11/100))*(1-VLOOKUP(D252,'DB technologies'!$N$122:$Y$133,8,FALSE)/100)*'Calc (ex-housing, ex-storage)'!F252/100*VLOOKUP(D252,'DB technologies'!$N$122:$Y$133,11,FALSE)/100/VLOOKUP($C$251,'DB animal categories'!$C$91:$AC$100,27,FALSE)*AJ252,0))))</f>
        <v/>
      </c>
      <c r="AN252" s="442" t="str">
        <f>IF(AI252="","",IF(AL252=0,0,AL252/AK252*100))</f>
        <v/>
      </c>
      <c r="AO252" s="182" t="str">
        <f>IF(D252="","",IF(AI252=2,(('Calc (ex-animal)'!$L$49*'Calc (ex-housing, ex-storage)'!F252/100+'Calc (ex-animal)'!$K$49*'Calc (ex-housing, ex-storage)'!F252/100))/VLOOKUP($C$251,'DB animal categories'!$C$91:$AC$100,27,FALSE)*AJ252+Q252+R252+S252-AC252,IF(AI252=1,('Calc (ex-animal)'!$L$49*'Calc (ex-housing, ex-storage)'!F252/100)/VLOOKUP($C$251,'DB animal categories'!$C$91:$AC$100,27,FALSE)*AJ252-'Calc (ex-housing, ex-storage)'!AC252,IF(AI252=4,('Calc (ex-animal)'!$L$49+'Calc (ex-animal)'!$K$49)*'Calc (ex-housing, ex-storage)'!F252/100*VLOOKUP(D252,'DB technologies'!$N$122:$Y$133,11,FALSE)/100/VLOOKUP($C$251,'DB animal categories'!$C$91:$AC$100,27,FALSE)*AJ252-AC252*VLOOKUP(D252,'DB technologies'!$N$122:$Y$133,11,FALSE)/100,0))))</f>
        <v/>
      </c>
      <c r="AP252" s="182" t="str">
        <f>IF(D252="","",IF(AO252&lt;-0.01,0,IF(AI252=2,(('Calc (ex-animal)'!$L$49*'Calc (ex-housing, ex-storage)'!F252/100+'Calc (ex-animal)'!$K$49*'Calc (ex-housing, ex-storage)'!F252/100))/VLOOKUP($C$251,'DB animal categories'!$C$91:$AC$100,27,FALSE)*AJ252+Q252+R252+S252-AC252,IF(AI252=1,('Calc (ex-animal)'!$L$49*'Calc (ex-housing, ex-storage)'!F252/100)/VLOOKUP($C$251,'DB animal categories'!$C$91:$AC$100,27,FALSE)*AJ252-'Calc (ex-housing, ex-storage)'!AC252,IF(AI252=4,('Calc (ex-animal)'!$L$49+'Calc (ex-animal)'!$K$49)*'Calc (ex-housing, ex-storage)'!F252/100*VLOOKUP(D252,'DB technologies'!$N$122:$Y$133,11,FALSE)/100/VLOOKUP($C$251,'DB animal categories'!$C$91:$AC$100,27,FALSE)*AJ252-AC252*VLOOKUP(D252,'DB technologies'!$N$122:$Y$133,11,FALSE)/100,0)))))</f>
        <v/>
      </c>
      <c r="AQ252" s="182" t="str">
        <f>IF(D252="","",IF(AI252=2,('Calc (ex-animal)'!$O$49*'Calc (ex-housing, ex-storage)'!F252/100+'Calc (ex-animal)'!$N$49*'Calc (ex-housing, ex-storage)'!F252/100)/VLOOKUP($C$251,'DB animal categories'!$C$91:$AC$100,27,FALSE)*AJ252+U252+V252+W252,IF(AI252=1,'Calc (ex-animal)'!$O$49*'Calc (ex-housing, ex-storage)'!F252/100/VLOOKUP($C$251,'DB animal categories'!$C$91:$AC$100,27,FALSE)*AJ252,IF(AI252=4,('Calc (ex-animal)'!$O$49+'Calc (ex-animal)'!$N$49)*'Calc (ex-housing, ex-storage)'!F252/100*VLOOKUP(D252,'DB technologies'!$N$122:$Y$133,11,FALSE)/100/VLOOKUP($C$251,'DB animal categories'!$C$91:$AC$100,27,FALSE)*AJ252,0))))</f>
        <v/>
      </c>
      <c r="AR252" s="182" t="str">
        <f>IF(D252="","",IF(AI252=2,('Calc (ex-animal)'!$R$49*'Calc (ex-housing, ex-storage)'!F252/100+'Calc (ex-animal)'!$Q$49*'Calc (ex-housing, ex-storage)'!F252/100)/VLOOKUP($C$251,'DB animal categories'!$C$91:$AC$100,27,FALSE)*AJ252+Y252+Z252+AA252,IF(AI252=1,'Calc (ex-animal)'!$R$49*'Calc (ex-housing, ex-storage)'!F252/100/VLOOKUP($C$251,'DB animal categories'!$C$91:$AC$100,27,FALSE)*AJ252,IF(AI252=4,('Calc (ex-animal)'!$R$49+'Calc (ex-animal)'!$Q$49)*'Calc (ex-housing, ex-storage)'!F252/100*VLOOKUP(D252,'DB technologies'!$N$122:$Y$133,11,FALSE)/100/VLOOKUP($C$251,'DB animal categories'!$C$91:$AC$100,27,FALSE)*AJ252,0))))</f>
        <v/>
      </c>
      <c r="AS252" s="181" t="str">
        <f>IF(D252="","",VLOOKUP(D252,'DB technologies'!$N$122:$Y$133,10,FALSE))</f>
        <v/>
      </c>
      <c r="AT252" s="442" t="str">
        <f>IF(AS252="","",AU252+AV252)</f>
        <v/>
      </c>
      <c r="AU252" s="442" t="str">
        <f>IF(D252="","",IF(AS252=2,0,IF(AS252=1,'Calc (ex-animal)'!$G$49*'DB additional information '!$K$11/100*(1-VLOOKUP(D252,'DB technologies'!$N$122:$Y$133,8,FALSE)/100)*'Calc (ex-housing, ex-storage)'!F252/100/VLOOKUP($C$251,'DB animal categories'!$C$91:$AC$100,27,FALSE)*AJ252+I252+J252+K252,IF(AS252=5,(('Calc (ex-animal)'!$G$49*'DB additional information '!$K$11/100+'Calc (ex-animal)'!$H$49*'DB additional information '!$L$11/100))*(1-VLOOKUP(D252,'DB technologies'!$N$122:$Y$133,9,FALSE)/100)*'Calc (ex-housing, ex-storage)'!F252/100/VLOOKUP($C$251,'DB animal categories'!$C$91:$AC$100,27,FALSE)*AJ252+I252+J252+K252,IF(AS252=3,('Calc (ex-animal)'!$G$49*'DB additional information '!$K$11/100+'Calc (ex-animal)'!$H$49*'DB additional information '!$L$11/100)*(1-VLOOKUP(D252,'DB technologies'!$N$122:$Y$133,9,FALSE)/100)*'Calc (ex-housing, ex-storage)'!F252/100/VLOOKUP($C$251,'DB animal categories'!$C$91:$AC$100,27,FALSE)*AJ252+I252+J252+K252,IF(AS252=4,('Calc (ex-animal)'!$G$49*'DB additional information '!$K$11/100+'Calc (ex-animal)'!$H$49*'DB additional information '!$L$11/100)*(1-VLOOKUP(D252,'DB technologies'!$N$122:$Y$133,9,FALSE)/100)*'Calc (ex-housing, ex-storage)'!F252/100*VLOOKUP(D252,'DB technologies'!$N$122:$Y$133,12,FALSE)/100/VLOOKUP($C$251,'DB animal categories'!$C$91:$AC$100,27,FALSE)*AJ252+I252+J252+K252,0))))))</f>
        <v/>
      </c>
      <c r="AV252" s="442" t="str">
        <f>IF(D252="","",IF(AS252=2,0,IF(AS252=1,'Calc (ex-animal)'!$G$49*(1-'DB additional information '!$K$11/100)*(1-VLOOKUP(D252,'DB technologies'!$N$122:$Y$133,8,FALSE)/100)*'Calc (ex-housing, ex-storage)'!F252/100/VLOOKUP($C$251,'DB animal categories'!$C$91:$AC$100,27,FALSE)*AJ252+M252+N252+O252,IF(AS252=5,('Calc (ex-animal)'!$G$49*(1-'DB additional information '!$K$11/100)+'Calc (ex-animal)'!$H$49*(1-'DB additional information '!$L$11/100))*(1-VLOOKUP(D252,'DB technologies'!$N$122:$Y$133,8,FALSE)/100)*'Calc (ex-housing, ex-storage)'!F252/100/VLOOKUP($C$251,'DB animal categories'!$C$91:$AC$100,27,FALSE)*AJ252+M252+N252+O252,IF(AS252=3,('Calc (ex-animal)'!$G$49*(1-'DB additional information '!$K$11/100)+'Calc (ex-animal)'!$H$49*(1-'DB additional information '!$L$11/100))*(1-VLOOKUP(D252,'DB technologies'!$N$122:$Y$133,8,FALSE)/100)*'Calc (ex-housing, ex-storage)'!F252/100/VLOOKUP($C$251,'DB animal categories'!$C$91:$AC$100,27,FALSE)*AJ252+M252+N252+O252,IF(AS252=4,('Calc (ex-animal)'!$G$49*(1-'DB additional information '!$K$11/100)+'Calc (ex-animal)'!$H$49*(1-'DB additional information '!$L$11/100))*(1-VLOOKUP(D252,'DB technologies'!$N$122:$Y$133,8,FALSE)/100)*'Calc (ex-housing, ex-storage)'!F252/100*VLOOKUP(D252,'DB technologies'!$N$122:$Y$133,12,FALSE)/100/VLOOKUP($C$251,'DB animal categories'!$C$91:$AC$100,27,FALSE)*AJ252+M252+N252+O252,0))))))</f>
        <v/>
      </c>
      <c r="AW252" s="442" t="str">
        <f>IF(AS252="","",IF(AU252=0,0,AU252/AT252*100))</f>
        <v/>
      </c>
      <c r="AX252" s="182" t="str">
        <f>IF(D252="","",IF(AS252=2,0,IF(AS252=1,'Calc (ex-animal)'!$K$49*'Calc (ex-housing, ex-storage)'!F252/100/VLOOKUP($C$251,'DB animal categories'!$C$91:$AC$100,27,FALSE)*AJ252+Q252+R252+S252,IF(AS252=5,('Calc (ex-animal)'!$K$49+'Calc (ex-animal)'!$L$49)*'Calc (ex-housing, ex-storage)'!F252/100/VLOOKUP($C$251,'DB animal categories'!$C$91:$AC$100,27,FALSE)*AJ252+Q252+R252+S252-'Calc (ex-housing, ex-storage)'!AC252,IF(AS252=3,('Calc (ex-animal)'!$K$49+'Calc (ex-animal)'!$L$49)*'Calc (ex-housing, ex-storage)'!F252/100/VLOOKUP($C$251,'DB animal categories'!$C$91:$AC$100,27,FALSE)*AJ252+Q252+R252+S252-'Calc (ex-housing, ex-storage)'!AC252-AD252-AE252,IF(AI252=4,('Calc (ex-animal)'!$K$49+'Calc (ex-animal)'!$L$49)*'Calc (ex-housing, ex-storage)'!F252/100*VLOOKUP(D252,'DB technologies'!$N$122:$Y$133,12,FALSE)/100/VLOOKUP($C$251,'DB animal categories'!$C$91:$AC$100,27,FALSE)*AJ252+Q252+R252+S252-(VLOOKUP(D252,'DB technologies'!$N$122:$Y$133,12,FALSE)/100*AC252)-AD252-AE252,0))))))</f>
        <v/>
      </c>
      <c r="AY252" s="182" t="str">
        <f>IF(D252="","",IF(AS252=2,0,IF(AS252=1,'Calc (ex-animal)'!$N$49*'Calc (ex-housing, ex-storage)'!F252/100/VLOOKUP($C$251,'DB animal categories'!$C$91:$AC$100,27,FALSE)*AJ252+U252+V252+W252,IF(AS252=5,('Calc (ex-animal)'!$N$49+'Calc (ex-animal)'!$O$49)*'Calc (ex-housing, ex-storage)'!F252/100/VLOOKUP($C$251,'DB animal categories'!$C$91:$AC$100,27,FALSE)*AJ252+U252+V252+W252,IF(AS252=3,('Calc (ex-animal)'!$N$49+'Calc (ex-animal)'!$O$49)*'Calc (ex-housing, ex-storage)'!F252/100/VLOOKUP($C$251,'DB animal categories'!$C$91:$AC$100,27,FALSE)*AJ252+U252+V252+W252,IF(AS252=4,('Calc (ex-animal)'!$N$49+'Calc (ex-animal)'!$O$49)*'Calc (ex-housing, ex-storage)'!F252/100*VLOOKUP(D252,'DB technologies'!$N$122:$Y$133,12,FALSE)/100/VLOOKUP($C$251,'DB animal categories'!$C$91:$AC$100,27,FALSE)*AJ252+U252+V252+W252,0))))))</f>
        <v/>
      </c>
      <c r="AZ252" s="182" t="str">
        <f>IF(D252="","",IF(AS252=2,0,IF(AS252=1,'Calc (ex-animal)'!$Q$49*'Calc (ex-housing, ex-storage)'!F252/100/VLOOKUP($C$251,'DB animal categories'!$C$91:$AC$100,27,FALSE)*AJ252+Y252+Z252+AA252,IF(AS252=5,('Calc (ex-animal)'!$Q$49+'Calc (ex-animal)'!$R$49)*'Calc (ex-housing, ex-storage)'!F252/100/VLOOKUP($C$251,'DB animal categories'!$C$91:$AC$100,27,FALSE)*AJ252+Y252+Z252+AA252,IF(AS252=3,('Calc (ex-animal)'!$Q$49+'Calc (ex-animal)'!$R$49)*'Calc (ex-housing, ex-storage)'!F252/100/VLOOKUP($C$251,'DB animal categories'!$C$91:$AC$100,27,FALSE)*AJ252+Y252+Z252+AA252,IF(AS252=4,('Calc (ex-animal)'!$Q$49+'Calc (ex-animal)'!$R$49)*'Calc (ex-housing, ex-storage)'!F252/100*VLOOKUP(D252,'DB technologies'!$N$122:$Y$133,12,FALSE)/100/VLOOKUP($C$251,'DB animal categories'!$C$91:$AC$100,27,FALSE)*AJ252+Y252+Z252+AA252,0))))))</f>
        <v/>
      </c>
      <c r="BA252" s="506"/>
      <c r="BB252" s="506"/>
      <c r="BC252" s="506"/>
    </row>
    <row r="253" spans="1:55" x14ac:dyDescent="0.2">
      <c r="A253" s="684"/>
      <c r="B253" s="695"/>
      <c r="C253" s="251"/>
      <c r="D253" s="1357"/>
      <c r="E253" s="1358"/>
      <c r="F253" s="501" t="str">
        <f>IF('Calc (ex-animal)'!$F$38=1,"",IF($C$251=0,"",IF(D253="","",E253/'Calc (ex-animal)'!$E$49*100)))</f>
        <v/>
      </c>
      <c r="G253" s="485" t="str">
        <f>IF($C$251=0,"",IF('Calc (ex-animal)'!$F$38=1,"",IF(D253="","",SUM(H253:O253))))</f>
        <v/>
      </c>
      <c r="H253" s="423" t="str">
        <f>IF('Calc (ex-animal)'!$F$38=1,"",IF(D253="","",(((VLOOKUP($C$251,'Calc (ex-animal)'!$D$48:$Y$52,6,FALSE)-VLOOKUP($C$251,'Calc (ex-animal)'!$D$48:$Y$52,17,FALSE))*F253/100))*VLOOKUP($C$251,'Calc (ex-animal)'!$D$48:$Y$52,7,FALSE)/100*(1-VLOOKUP(D253,'DB technologies'!$N$122:$Y$133,9,FALSE)/100)))</f>
        <v/>
      </c>
      <c r="I253" s="423" t="str">
        <f>IF(D253="","",((VLOOKUP(D253,'DB technologies'!$N$122:$Y$133,2,FALSE)*VLOOKUP($C$251,'DB animal categories'!$C$91:$AC$100,27,FALSE)*E253/1000)/VLOOKUP($C$251,'DB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'!$S$6/100*(1-VLOOKUP(D253,'DB technologies'!$N$122:$Y$133,9,FALSE)/100)))</f>
        <v/>
      </c>
      <c r="J253" s="434" t="str">
        <f>IF(D253="","",((VLOOKUP(D253,'DB technologies'!$N$122:$Y$133,3,FALSE)*VLOOKUP($C$251,'DB animal categories'!$C$91:$AC$100,27,FALSE)*E253/1000)/VLOOKUP($C$251,'DB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'!$S$7/100*(1-VLOOKUP(D253,'DB technologies'!$N$122:$Y$133,9,FALSE)/100)))</f>
        <v/>
      </c>
      <c r="K253" s="434" t="str">
        <f>IF(D253="","",((VLOOKUP(D253,'DB technologies'!$N$122:$Y$133,4,FALSE)*E253*'DB additional information '!$S$8/100*(1-VLOOKUP(D253,'DB technologies'!$N$122:$Y$133,9,FALSE)/100))/VLOOKUP($C$251,'DB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L253" s="423" t="str">
        <f>IF('Calc (ex-animal)'!$F$38=1,"",IF(D253="","",(((VLOOKUP($C$251,'Calc (ex-animal)'!$D$48:$Y$52,6,FALSE)-VLOOKUP($C$251,'Calc (ex-animal)'!$D$48:$Y$52,17,FALSE))*F253/100))*(1-VLOOKUP($C$251,'Calc (ex-animal)'!$D$48:$Y$52,7,FALSE)/100)*(1-VLOOKUP(D253,'DB technologies'!$N$122:$V$133,8,FALSE)/100)))</f>
        <v/>
      </c>
      <c r="M253" s="434" t="str">
        <f>IF(D253="","",((VLOOKUP(D253,'DB technologies'!$N$122:$Y$133,2,FALSE)*VLOOKUP($C$251,'DB animal categories'!$C$91:$AC$100,27,FALSE)*E253/1000)/VLOOKUP($C$251,'DB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'!$S$6/100)*(1-VLOOKUP(D253,'DB technologies'!$N$122:$Y$133,9,FALSE)/100))</f>
        <v/>
      </c>
      <c r="N253" s="434" t="str">
        <f>IF(D253="","",((VLOOKUP(D253,'DB technologies'!$N$122:$Y$133,3,FALSE)*VLOOKUP($C$251,'DB animal categories'!$C$91:$AC$100,27,FALSE)*E253/1000)/VLOOKUP($C$251,'DB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'!$S$7/100)*(1-VLOOKUP(D253,'DB technologies'!$N$122:$Y$133,9,FALSE)/100))</f>
        <v/>
      </c>
      <c r="O253" s="423" t="str">
        <f>IF(D253="","",((VLOOKUP(D253,'DB technologies'!$N$122:$Y$133,4,FALSE)*E253*(1-'DB additional information '!$S$8/100)*(1-VLOOKUP(D253,'DB technologies'!$N$122:$Y$133,8,FALSE)/100))/VLOOKUP($C$251,'DB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P253" s="438" t="str">
        <f>IF(G253=0,0,IF(E253="","",IF(F253="","",IF($C$251=0,"",IF(D253="","",SUM(H253:K253)/G253*100)))))</f>
        <v/>
      </c>
      <c r="Q253" s="416" t="str">
        <f>IF(D253="","",(VLOOKUP(D253,'DB technologies'!$N$122:$Y$133,2,FALSE)*'DB additional information '!$S$6/100*'DB additional information '!$T$6*VLOOKUP($C$251,'DB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R253" s="416" t="str">
        <f>IF(D253="","",(VLOOKUP(D253,'DB technologies'!$N$122:$Y$133,3,FALSE)*'DB additional information '!$S$7/100*'DB additional information '!$T$7*VLOOKUP($C$251,'DB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S253" s="491" t="str">
        <f>IF(D253="","",(VLOOKUP(D253,'DB technologies'!$N$122:$Y$133,4,FALSE)*('DB additional information '!$S$8/100*'DB additional information '!$T$8*E253/1000/1000)))</f>
        <v/>
      </c>
      <c r="T253" s="264" t="str">
        <f>IF($C$251=0,"",IF('Calc (ex-animal)'!$F$38=1,"",IF(D253="","",((VLOOKUP($C$251,'Calc (ex-animal)'!$D$48:$Y$52,10,FALSE)-VLOOKUP($C$251,'Calc (ex-animal)'!$D$48:$Y$52,18,FALSE))*F253/100+Q253+R253+S253)-AC253-AD253-AE253)))</f>
        <v/>
      </c>
      <c r="U253" s="422" t="str">
        <f>IF(D253="","",(VLOOKUP(D253,'DB technologies'!$N$122:$Y$133,2,FALSE)*'DB additional information '!$S$6/100*'DB additional information '!$U$6*VLOOKUP($C$251,'DB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V253" s="418" t="str">
        <f>IF(D253="","",(VLOOKUP(D253,'DB technologies'!$N$122:$Y$133,3,FALSE)*'DB additional information '!$S$7/100*'DB additional information '!$U$7*VLOOKUP($C$251,'DB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W253" s="417" t="str">
        <f>IF(D253="","",(VLOOKUP(D253,'DB technologies'!$N$122:$Y$133,4,FALSE)*('DB additional information '!$S$8/100*'DB additional information '!$U$8*E253/1000/1000)))</f>
        <v/>
      </c>
      <c r="X253" s="261" t="str">
        <f>IF($C$251=0,"",IF('Calc (ex-animal)'!$F$38=1,"",IF(D253="","",((VLOOKUP($C$251,'Calc (ex-animal)'!$D$48:$Y$52,13,FALSE)-VLOOKUP($C$251,'Calc (ex-animal)'!$D$48:$Y$52,19,FALSE))*F253/100+U253+V253+W253))))</f>
        <v/>
      </c>
      <c r="Y253" s="418" t="str">
        <f>IF(D253="","",(VLOOKUP(D253,'DB technologies'!$N$122:$Y$133,2,FALSE)*'DB additional information '!$S$6/100*'DB additional information '!$V$6*VLOOKUP($C$251,'DB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Z253" s="418" t="str">
        <f>IF(D253="","",(VLOOKUP(D253,'DB technologies'!$N$122:$Y$133,3,FALSE)*'DB additional information '!$S$7/100*'DB additional information '!$V$7*VLOOKUP($C$251,'DB animal categories'!$C$91:$AC$100,27,FALSE)*E253/1000/1000)/VLOOKUP($C$251,'DB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AA253" s="418" t="str">
        <f>IF(D253="","",(VLOOKUP(D253,'DB technologies'!$N$122:$Y$133,4,FALSE)*('DB additional information '!$S$8/100*'DB additional information '!$V$8*E253/1000/1000)))</f>
        <v/>
      </c>
      <c r="AB253" s="261" t="str">
        <f>IF($C$251=0,"",IF('Calc (ex-animal)'!$F$38=1,"",IF(D253="","",((VLOOKUP($C$251,'Calc (ex-animal)'!$D$48:$Y$52,16,FALSE)-VLOOKUP($C$251,'Calc (ex-animal)'!$D$48:$Y$52,20,FALSE))*F253/100+Y253+Z253+AA253))))</f>
        <v/>
      </c>
      <c r="AC253" s="261" t="str">
        <f>IF($C$251=0,"",IF('Calc (ex-animal)'!$F$38=1,"",IF(D253="","",VLOOKUP($C$251,'Calc (ex-animal)'!$D$48:$Y$52,9,FALSE)/VLOOKUP($C$251,'DB animal categories'!$C$91:$AC$100,27,FALSE)*(VLOOKUP($C$251,'DB animal categories'!$C$91:$AC$100,27,FALSE)-VLOOKUP($C$251,'DB animal categories'!$C$91:$AC$100,25,FALSE)*VLOOKUP($C$251,'DB animal categories'!$C$91:$AC$100,26,FALSE)/24)*F253/100*VLOOKUP(D253,'DB technologies'!$N$122:$R$133,5,FALSE)/100)))</f>
        <v/>
      </c>
      <c r="AD253" s="261" t="str">
        <f>IF($C$251=0,"",IF('Calc (ex-animal)'!$F$38=1,"",IF(D253="","",VLOOKUP($C$251,'Calc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categories'!$C$91:$AC$100,26,FALSE)/24)*F253/100*VLOOKUP(D253,'DB technologies'!$N$122:$Y$133,6,FALSE)/100)))</f>
        <v/>
      </c>
      <c r="AE253" s="262" t="str">
        <f>IF($C$251=0,"",IF('Calc (ex-animal)'!$F$38=1,"",IF(D253="","",VLOOKUP($C$251,'Calc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categories'!$C$91:$AC$100,26,FALSE)/24)*F253/100*VLOOKUP(D253,'DB technologies'!$N$122:$Y$133,7,FALSE)/100)))</f>
        <v/>
      </c>
      <c r="AI253" s="181" t="str">
        <f>IF(D253="","",VLOOKUP(D253,'DB technologies'!$N$122:$Y$133,10,FALSE))</f>
        <v/>
      </c>
      <c r="AJ253" s="449" t="e">
        <f>VLOOKUP($C$251,'DB animal categories'!$C$91:$AN$100,27,FALSE)-VLOOKUP($C$251,'DB animal categories'!$C$91:$AN$100,26,FALSE)*VLOOKUP($C$251,'DB animal categories'!$C$91:$AN$100,25,FALSE)/24</f>
        <v>#N/A</v>
      </c>
      <c r="AK253" s="442" t="str">
        <f>IF(AI253="","",AL253+AM253)</f>
        <v/>
      </c>
      <c r="AL253" s="442" t="str">
        <f>IF(D253="","",IF(AI253=2,(('Calc (ex-animal)'!$G$49*'DB additional information '!$K$11/100*(1-VLOOKUP(D253,'DB technologies'!$N$122:$Y$133,9,FALSE)/100)*'Calc (ex-housing, ex-storage)'!F253/100+'Calc (ex-animal)'!$H$49*'DB additional information '!$L$11/100*(1-VLOOKUP(D253,'DB technologies'!$N$122:$Y$133,9,FALSE)/100)*'Calc (ex-housing, ex-storage)'!F253/100))/VLOOKUP($C$251,'DB animal categories'!$C$91:$AC$100,27,FALSE)*AJ253+I253+J253+K253,IF(AI253=1,('Calc (ex-animal)'!$H$49*'DB additional information '!$L$11/100*(1-VLOOKUP(D253,'DB technologies'!$N$122:$Y$133,9,FALSE)/100)*'Calc (ex-housing, ex-storage)'!F253/100)/VLOOKUP($C$251,'DB animal categories'!$C$91:$AC$100,27,FALSE)*AJ253,IF(AI253=4,('Calc (ex-animal)'!$G$49*'DB additional information '!$K$11/100+'Calc (ex-animal)'!$H$49*'DB additional information '!$L$11/100)*(1-VLOOKUP(D253,'DB technologies'!$N$122:$Y$133,9,FALSE)/100)*'Calc (ex-housing, ex-storage)'!F253/100*VLOOKUP(D253,'DB technologies'!$N$122:$Y$133,11,FALSE)/100/VLOOKUP($C$251,'DB animal categories'!$C$91:$AC$100,27,FALSE)*AJ253,0))))</f>
        <v/>
      </c>
      <c r="AM253" s="442" t="str">
        <f>IF(D253="","",IF(AI253=2,(('Calc (ex-animal)'!$G$49*(1-'DB additional information '!$K$11/100)*(1-VLOOKUP(D253,'DB technologies'!$N$122:$Y$133,8,FALSE)/100)*'Calc (ex-housing, ex-storage)'!F253/100+'Calc (ex-animal)'!$H$49*(1-'DB additional information '!$L$11/100)*(1-VLOOKUP(D253,'DB technologies'!$N$122:$Y$133,8,FALSE)/100)*'Calc (ex-housing, ex-storage)'!F253/100))/VLOOKUP($C$251,'DB animal categories'!$C$91:$AC$100,27,FALSE)*AJ253+M253+N253+O253,IF(AI253=1,('Calc (ex-animal)'!$H$49*(1-'DB additional information '!$L$11/100)*(1-VLOOKUP(D253,'DB technologies'!$N$122:$Y$133,8,FALSE)/100)*'Calc (ex-housing, ex-storage)'!F253/100)/VLOOKUP($C$251,'DB animal categories'!$C$91:$AC$100,27,FALSE)*AJ253,IF(AI253=4,('Calc (ex-animal)'!$G$49*(1-'DB additional information '!$K$11/100)+'Calc (ex-animal)'!$H$49*(1-'DB additional information '!$L$11/100))*(1-VLOOKUP(D253,'DB technologies'!$N$122:$Y$133,8,FALSE)/100)*'Calc (ex-housing, ex-storage)'!F253/100*VLOOKUP(D253,'DB technologies'!$N$122:$Y$133,11,FALSE)/100/VLOOKUP($C$251,'DB animal categories'!$C$91:$AC$100,27,FALSE)*AJ253,0))))</f>
        <v/>
      </c>
      <c r="AN253" s="442" t="str">
        <f>IF(AI253="","",IF(AL253=0,0,AL253/AK253*100))</f>
        <v/>
      </c>
      <c r="AO253" s="182" t="str">
        <f>IF(D253="","",IF(AI253=2,(('Calc (ex-animal)'!$L$49*'Calc (ex-housing, ex-storage)'!F253/100+'Calc (ex-animal)'!$K$49*'Calc (ex-housing, ex-storage)'!F253/100))/VLOOKUP($C$251,'DB animal categories'!$C$91:$AC$100,27,FALSE)*AJ253+Q253+R253+S253-AC253,IF(AI253=1,('Calc (ex-animal)'!$L$49*'Calc (ex-housing, ex-storage)'!F253/100)/VLOOKUP($C$251,'DB animal categories'!$C$91:$AC$100,27,FALSE)*AJ253-'Calc (ex-housing, ex-storage)'!AC253,IF(AI253=4,('Calc (ex-animal)'!$L$49+'Calc (ex-animal)'!$K$49)*'Calc (ex-housing, ex-storage)'!F253/100*VLOOKUP(D253,'DB technologies'!$N$122:$Y$133,11,FALSE)/100/VLOOKUP($C$251,'DB animal categories'!$C$91:$AC$100,27,FALSE)*AJ253-AC253*VLOOKUP(D253,'DB technologies'!$N$122:$Y$133,11,FALSE)/100,0))))</f>
        <v/>
      </c>
      <c r="AP253" s="182" t="str">
        <f>IF(D253="","",IF(AO253&lt;-0.01,0,IF(AI253=2,(('Calc (ex-animal)'!$L$49*'Calc (ex-housing, ex-storage)'!F253/100+'Calc (ex-animal)'!$K$49*'Calc (ex-housing, ex-storage)'!F253/100))/VLOOKUP($C$251,'DB animal categories'!$C$91:$AC$100,27,FALSE)*AJ253+Q253+R253+S253-AC253,IF(AI253=1,('Calc (ex-animal)'!$L$49*'Calc (ex-housing, ex-storage)'!F253/100)/VLOOKUP($C$251,'DB animal categories'!$C$91:$AC$100,27,FALSE)*AJ253-'Calc (ex-housing, ex-storage)'!AC253,IF(AI253=4,('Calc (ex-animal)'!$L$49+'Calc (ex-animal)'!$K$49)*'Calc (ex-housing, ex-storage)'!F253/100*VLOOKUP(D253,'DB technologies'!$N$122:$Y$133,11,FALSE)/100/VLOOKUP($C$251,'DB animal categories'!$C$91:$AC$100,27,FALSE)*AJ253-AC253*VLOOKUP(D253,'DB technologies'!$N$122:$Y$133,11,FALSE)/100,0)))))</f>
        <v/>
      </c>
      <c r="AQ253" s="182" t="str">
        <f>IF(D253="","",IF(AI253=2,('Calc (ex-animal)'!$O$49*'Calc (ex-housing, ex-storage)'!F253/100+'Calc (ex-animal)'!$N$49*'Calc (ex-housing, ex-storage)'!F253/100)/VLOOKUP($C$251,'DB animal categories'!$C$91:$AC$100,27,FALSE)*AJ253+U253+V253+W253,IF(AI253=1,'Calc (ex-animal)'!$O$49*'Calc (ex-housing, ex-storage)'!F253/100/VLOOKUP($C$251,'DB animal categories'!$C$91:$AC$100,27,FALSE)*AJ253,IF(AI253=4,('Calc (ex-animal)'!$O$49+'Calc (ex-animal)'!$N$49)*'Calc (ex-housing, ex-storage)'!F253/100*VLOOKUP(D253,'DB technologies'!$N$122:$Y$133,11,FALSE)/100/VLOOKUP($C$251,'DB animal categories'!$C$91:$AC$100,27,FALSE)*AJ253,0))))</f>
        <v/>
      </c>
      <c r="AR253" s="182" t="str">
        <f>IF(D253="","",IF(AI253=2,('Calc (ex-animal)'!$R$49*'Calc (ex-housing, ex-storage)'!F253/100+'Calc (ex-animal)'!$Q$49*'Calc (ex-housing, ex-storage)'!F253/100)/VLOOKUP($C$251,'DB animal categories'!$C$91:$AC$100,27,FALSE)*AJ253+Y253+Z253+AA253,IF(AI253=1,'Calc (ex-animal)'!$R$49*'Calc (ex-housing, ex-storage)'!F253/100/VLOOKUP($C$251,'DB animal categories'!$C$91:$AC$100,27,FALSE)*AJ253,IF(AI253=4,('Calc (ex-animal)'!$R$49+'Calc (ex-animal)'!$Q$49)*'Calc (ex-housing, ex-storage)'!F253/100*VLOOKUP(D253,'DB technologies'!$N$122:$Y$133,11,FALSE)/100/VLOOKUP($C$251,'DB animal categories'!$C$91:$AC$100,27,FALSE)*AJ253,0))))</f>
        <v/>
      </c>
      <c r="AS253" s="181" t="str">
        <f>IF(D253="","",VLOOKUP(D253,'DB technologies'!$N$122:$Y$133,10,FALSE))</f>
        <v/>
      </c>
      <c r="AT253" s="442" t="str">
        <f>IF(AS253="","",AU253+AV253)</f>
        <v/>
      </c>
      <c r="AU253" s="442" t="str">
        <f>IF(D253="","",IF(AS253=2,0,IF(AS253=1,'Calc (ex-animal)'!$G$49*'DB additional information '!$K$11/100*(1-VLOOKUP(D253,'DB technologies'!$N$122:$Y$133,8,FALSE)/100)*'Calc (ex-housing, ex-storage)'!F253/100/VLOOKUP($C$251,'DB animal categories'!$C$91:$AC$100,27,FALSE)*AJ253+I253+J253+K253,IF(AS253=5,(('Calc (ex-animal)'!$G$49*'DB additional information '!$K$11/100+'Calc (ex-animal)'!$H$49*'DB additional information '!$L$11/100))*(1-VLOOKUP(D253,'DB technologies'!$N$122:$Y$133,9,FALSE)/100)*'Calc (ex-housing, ex-storage)'!F253/100/VLOOKUP($C$251,'DB animal categories'!$C$91:$AC$100,27,FALSE)*AJ253+I253+J253+K253,IF(AS253=3,('Calc (ex-animal)'!$G$49*'DB additional information '!$K$11/100+'Calc (ex-animal)'!$H$49*'DB additional information '!$L$11/100)*(1-VLOOKUP(D253,'DB technologies'!$N$122:$Y$133,9,FALSE)/100)*'Calc (ex-housing, ex-storage)'!F253/100/VLOOKUP($C$251,'DB animal categories'!$C$91:$AC$100,27,FALSE)*AJ253+I253+J253+K253,IF(AS253=4,('Calc (ex-animal)'!$G$49*'DB additional information '!$K$11/100+'Calc (ex-animal)'!$H$49*'DB additional information '!$L$11/100)*(1-VLOOKUP(D253,'DB technologies'!$N$122:$Y$133,9,FALSE)/100)*'Calc (ex-housing, ex-storage)'!F253/100*VLOOKUP(D253,'DB technologies'!$N$122:$Y$133,12,FALSE)/100/VLOOKUP($C$251,'DB animal categories'!$C$91:$AC$100,27,FALSE)*AJ253+I253+J253+K253,0))))))</f>
        <v/>
      </c>
      <c r="AV253" s="442" t="str">
        <f>IF(D253="","",IF(AS253=2,0,IF(AS253=1,'Calc (ex-animal)'!$G$49*(1-'DB additional information '!$K$11/100)*(1-VLOOKUP(D253,'DB technologies'!$N$122:$Y$133,8,FALSE)/100)*'Calc (ex-housing, ex-storage)'!F253/100/VLOOKUP($C$251,'DB animal categories'!$C$91:$AC$100,27,FALSE)*AJ253+M253+N253+O253,IF(AS253=5,('Calc (ex-animal)'!$G$49*(1-'DB additional information '!$K$11/100)+'Calc (ex-animal)'!$H$49*(1-'DB additional information '!$L$11/100))*(1-VLOOKUP(D253,'DB technologies'!$N$122:$Y$133,8,FALSE)/100)*'Calc (ex-housing, ex-storage)'!F253/100/VLOOKUP($C$251,'DB animal categories'!$C$91:$AC$100,27,FALSE)*AJ253+M253+N253+O253,IF(AS253=3,('Calc (ex-animal)'!$G$49*(1-'DB additional information '!$K$11/100)+'Calc (ex-animal)'!$H$49*(1-'DB additional information '!$L$11/100))*(1-VLOOKUP(D253,'DB technologies'!$N$122:$Y$133,8,FALSE)/100)*'Calc (ex-housing, ex-storage)'!F253/100/VLOOKUP($C$251,'DB animal categories'!$C$91:$AC$100,27,FALSE)*AJ253+M253+N253+O253,IF(AS253=4,('Calc (ex-animal)'!$G$49*(1-'DB additional information '!$K$11/100)+'Calc (ex-animal)'!$H$49*(1-'DB additional information '!$L$11/100))*(1-VLOOKUP(D253,'DB technologies'!$N$122:$Y$133,8,FALSE)/100)*'Calc (ex-housing, ex-storage)'!F253/100*VLOOKUP(D253,'DB technologies'!$N$122:$Y$133,12,FALSE)/100/VLOOKUP($C$251,'DB animal categories'!$C$91:$AC$100,27,FALSE)*AJ253+M253+N253+O253,0))))))</f>
        <v/>
      </c>
      <c r="AW253" s="442" t="str">
        <f>IF(AS253="","",IF(AU253=0,0,AU253/AT253*100))</f>
        <v/>
      </c>
      <c r="AX253" s="182" t="str">
        <f>IF(D253="","",IF(AS253=2,0,IF(AS253=1,'Calc (ex-animal)'!$K$49*'Calc (ex-housing, ex-storage)'!F253/100/VLOOKUP($C$251,'DB animal categories'!$C$91:$AC$100,27,FALSE)*AJ253+Q253+R253+S253,IF(AS253=5,('Calc (ex-animal)'!$K$49+'Calc (ex-animal)'!$L$49)*'Calc (ex-housing, ex-storage)'!F253/100/VLOOKUP($C$251,'DB animal categories'!$C$91:$AC$100,27,FALSE)*AJ253+Q253+R253+S253-'Calc (ex-housing, ex-storage)'!AC253,IF(AS253=3,('Calc (ex-animal)'!$K$49+'Calc (ex-animal)'!$L$49)*'Calc (ex-housing, ex-storage)'!F253/100/VLOOKUP($C$251,'DB animal categories'!$C$91:$AC$100,27,FALSE)*AJ253+Q253+R253+S253-'Calc (ex-housing, ex-storage)'!AC253-AD253-AE253,IF(AI253=4,('Calc (ex-animal)'!$K$49+'Calc (ex-animal)'!$L$49)*'Calc (ex-housing, ex-storage)'!F253/100*VLOOKUP(D253,'DB technologies'!$N$122:$Y$133,12,FALSE)/100/VLOOKUP($C$251,'DB animal categories'!$C$91:$AC$100,27,FALSE)*AJ253+Q253+R253+S253-(VLOOKUP(D253,'DB technologies'!$N$122:$Y$133,12,FALSE)/100*AC253)-AD253-AE253,0))))))</f>
        <v/>
      </c>
      <c r="AY253" s="182" t="str">
        <f>IF(D253="","",IF(AS253=2,0,IF(AS253=1,'Calc (ex-animal)'!$N$49*'Calc (ex-housing, ex-storage)'!F253/100/VLOOKUP($C$251,'DB animal categories'!$C$91:$AC$100,27,FALSE)*AJ253+U253+V253+W253,IF(AS253=5,('Calc (ex-animal)'!$N$49+'Calc (ex-animal)'!$O$49)*'Calc (ex-housing, ex-storage)'!F253/100/VLOOKUP($C$251,'DB animal categories'!$C$91:$AC$100,27,FALSE)*AJ253+U253+V253+W253,IF(AS253=3,('Calc (ex-animal)'!$N$49+'Calc (ex-animal)'!$O$49)*'Calc (ex-housing, ex-storage)'!F253/100/VLOOKUP($C$251,'DB animal categories'!$C$91:$AC$100,27,FALSE)*AJ253+U253+V253+W253,IF(AS253=4,('Calc (ex-animal)'!$N$49+'Calc (ex-animal)'!$O$49)*'Calc (ex-housing, ex-storage)'!F253/100*VLOOKUP(D253,'DB technologies'!$N$122:$Y$133,12,FALSE)/100/VLOOKUP($C$251,'DB animal categories'!$C$91:$AC$100,27,FALSE)*AJ253+U253+V253+W253,0))))))</f>
        <v/>
      </c>
      <c r="AZ253" s="182" t="str">
        <f>IF(D253="","",IF(AS253=2,0,IF(AS253=1,'Calc (ex-animal)'!$Q$49*'Calc (ex-housing, ex-storage)'!F253/100/VLOOKUP($C$251,'DB animal categories'!$C$91:$AC$100,27,FALSE)*AJ253+Y253+Z253+AA253,IF(AS253=5,('Calc (ex-animal)'!$Q$49+'Calc (ex-animal)'!$R$49)*'Calc (ex-housing, ex-storage)'!F253/100/VLOOKUP($C$251,'DB animal categories'!$C$91:$AC$100,27,FALSE)*AJ253+Y253+Z253+AA253,IF(AS253=3,('Calc (ex-animal)'!$Q$49+'Calc (ex-animal)'!$R$49)*'Calc (ex-housing, ex-storage)'!F253/100/VLOOKUP($C$251,'DB animal categories'!$C$91:$AC$100,27,FALSE)*AJ253+Y253+Z253+AA253,IF(AS253=4,('Calc (ex-animal)'!$Q$49+'Calc (ex-animal)'!$R$49)*'Calc (ex-housing, ex-storage)'!F253/100*VLOOKUP(D253,'DB technologies'!$N$122:$Y$133,12,FALSE)/100/VLOOKUP($C$251,'DB animal categories'!$C$91:$AC$100,27,FALSE)*AJ253+Y253+Z253+AA253,0))))))</f>
        <v/>
      </c>
      <c r="BA253" s="506"/>
      <c r="BB253" s="506"/>
      <c r="BC253" s="506"/>
    </row>
    <row r="254" spans="1:55" x14ac:dyDescent="0.2">
      <c r="A254" s="684"/>
      <c r="B254" s="695"/>
      <c r="C254" s="251"/>
      <c r="D254" s="1357"/>
      <c r="E254" s="1358"/>
      <c r="F254" s="501" t="str">
        <f>IF('Calc (ex-animal)'!$F$38=1,"",IF($C$251=0,"",IF(D254="","",E254/'Calc (ex-animal)'!$E$49*100)))</f>
        <v/>
      </c>
      <c r="G254" s="485" t="str">
        <f>IF($C$251=0,"",IF('Calc (ex-animal)'!$F$38=1,"",IF(D254="","",SUM(H254:O254))))</f>
        <v/>
      </c>
      <c r="H254" s="423" t="str">
        <f>IF('Calc (ex-animal)'!$F$38=1,"",IF(D254="","",(((VLOOKUP($C$251,'Calc (ex-animal)'!$D$48:$Y$52,6,FALSE)-VLOOKUP($C$251,'Calc (ex-animal)'!$D$48:$Y$52,17,FALSE))*F254/100))*VLOOKUP($C$251,'Calc (ex-animal)'!$D$48:$Y$52,7,FALSE)/100*(1-VLOOKUP(D254,'DB technologies'!$N$122:$Y$133,9,FALSE)/100)))</f>
        <v/>
      </c>
      <c r="I254" s="423" t="str">
        <f>IF(D254="","",((VLOOKUP(D254,'DB technologies'!$N$122:$Y$133,2,FALSE)*VLOOKUP($C$251,'DB animal categories'!$C$91:$AC$100,27,FALSE)*E254/1000)/VLOOKUP($C$251,'DB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'!$S$6/100*(1-VLOOKUP(D254,'DB technologies'!$N$122:$Y$133,9,FALSE)/100)))</f>
        <v/>
      </c>
      <c r="J254" s="434" t="str">
        <f>IF(D254="","",((VLOOKUP(D254,'DB technologies'!$N$122:$Y$133,3,FALSE)*VLOOKUP($C$251,'DB animal categories'!$C$91:$AC$100,27,FALSE)*E254/1000)/VLOOKUP($C$251,'DB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'!$S$7/100*(1-VLOOKUP(D254,'DB technologies'!$N$122:$Y$133,9,FALSE)/100)))</f>
        <v/>
      </c>
      <c r="K254" s="434" t="str">
        <f>IF(D254="","",((VLOOKUP(D254,'DB technologies'!$N$122:$Y$133,4,FALSE)*E254*'DB additional information '!$S$8/100*(1-VLOOKUP(D254,'DB technologies'!$N$122:$Y$133,9,FALSE)/100))/VLOOKUP($C$251,'DB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L254" s="423" t="str">
        <f>IF('Calc (ex-animal)'!$F$38=1,"",IF(D254="","",(((VLOOKUP($C$251,'Calc (ex-animal)'!$D$48:$Y$52,6,FALSE)-VLOOKUP($C$251,'Calc (ex-animal)'!$D$48:$Y$52,17,FALSE))*F254/100))*(1-VLOOKUP($C$251,'Calc (ex-animal)'!$D$48:$Y$52,7,FALSE)/100)*(1-VLOOKUP(D254,'DB technologies'!$N$122:$V$133,8,FALSE)/100)))</f>
        <v/>
      </c>
      <c r="M254" s="434" t="str">
        <f>IF(D254="","",((VLOOKUP(D254,'DB technologies'!$N$122:$Y$133,2,FALSE)*VLOOKUP($C$251,'DB animal categories'!$C$91:$AC$100,27,FALSE)*E254/1000)/VLOOKUP($C$251,'DB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'!$S$6/100)*(1-VLOOKUP(D254,'DB technologies'!$N$122:$Y$133,9,FALSE)/100))</f>
        <v/>
      </c>
      <c r="N254" s="434" t="str">
        <f>IF(D254="","",((VLOOKUP(D254,'DB technologies'!$N$122:$Y$133,3,FALSE)*VLOOKUP($C$251,'DB animal categories'!$C$91:$AC$100,27,FALSE)*E254/1000)/VLOOKUP($C$251,'DB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'!$S$7/100)*(1-VLOOKUP(D254,'DB technologies'!$N$122:$Y$133,9,FALSE)/100))</f>
        <v/>
      </c>
      <c r="O254" s="423" t="str">
        <f>IF(D254="","",((VLOOKUP(D254,'DB technologies'!$N$122:$Y$133,4,FALSE)*E254*(1-'DB additional information '!$S$8/100)*(1-VLOOKUP(D254,'DB technologies'!$N$122:$Y$133,8,FALSE)/100))/VLOOKUP($C$251,'DB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P254" s="438" t="str">
        <f>IF(G254=0,0,IF(E254="","",IF(F254="","",IF($C$251=0,"",IF(D254="","",SUM(H254:K254)/G254*100)))))</f>
        <v/>
      </c>
      <c r="Q254" s="416" t="str">
        <f>IF(D254="","",(VLOOKUP(D254,'DB technologies'!$N$122:$Y$133,2,FALSE)*'DB additional information '!$S$6/100*'DB additional information '!$T$6*VLOOKUP($C$251,'DB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R254" s="416" t="str">
        <f>IF(D254="","",(VLOOKUP(D254,'DB technologies'!$N$122:$Y$133,3,FALSE)*'DB additional information '!$S$7/100*'DB additional information '!$T$7*VLOOKUP($C$251,'DB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S254" s="491" t="str">
        <f>IF(D254="","",(VLOOKUP(D254,'DB technologies'!$N$122:$Y$133,4,FALSE)*('DB additional information '!$S$8/100*'DB additional information '!$T$8*E254/1000/1000)))</f>
        <v/>
      </c>
      <c r="T254" s="264" t="str">
        <f>IF($C$251=0,"",IF('Calc (ex-animal)'!$F$38=1,"",IF(D254="","",((VLOOKUP($C$251,'Calc (ex-animal)'!$D$48:$Y$52,10,FALSE)-VLOOKUP($C$251,'Calc (ex-animal)'!$D$48:$Y$52,18,FALSE))*F254/100+Q254+R254+S254)-AC254-AD254-AE254)))</f>
        <v/>
      </c>
      <c r="U254" s="422" t="str">
        <f>IF(D254="","",(VLOOKUP(D254,'DB technologies'!$N$122:$Y$133,2,FALSE)*'DB additional information '!$S$6/100*'DB additional information '!$U$6*VLOOKUP($C$251,'DB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V254" s="418" t="str">
        <f>IF(D254="","",(VLOOKUP(D254,'DB technologies'!$N$122:$Y$133,3,FALSE)*'DB additional information '!$S$7/100*'DB additional information '!$U$7*VLOOKUP($C$251,'DB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W254" s="417" t="str">
        <f>IF(D254="","",(VLOOKUP(D254,'DB technologies'!$N$122:$Y$133,4,FALSE)*('DB additional information '!$S$8/100*'DB additional information '!$U$8*E254/1000/1000)))</f>
        <v/>
      </c>
      <c r="X254" s="261" t="str">
        <f>IF($C$251=0,"",IF('Calc (ex-animal)'!$F$38=1,"",IF(D254="","",((VLOOKUP($C$251,'Calc (ex-animal)'!$D$48:$Y$52,13,FALSE)-VLOOKUP($C$251,'Calc (ex-animal)'!$D$48:$Y$52,19,FALSE))*F254/100+U254+V254+W254))))</f>
        <v/>
      </c>
      <c r="Y254" s="418" t="str">
        <f>IF(D254="","",(VLOOKUP(D254,'DB technologies'!$N$122:$Y$133,2,FALSE)*'DB additional information '!$S$6/100*'DB additional information '!$V$6*VLOOKUP($C$251,'DB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Z254" s="418" t="str">
        <f>IF(D254="","",(VLOOKUP(D254,'DB technologies'!$N$122:$Y$133,3,FALSE)*'DB additional information '!$S$7/100*'DB additional information '!$V$7*VLOOKUP($C$251,'DB animal categories'!$C$91:$AC$100,27,FALSE)*E254/1000/1000)/VLOOKUP($C$251,'DB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AA254" s="418" t="str">
        <f>IF(D254="","",(VLOOKUP(D254,'DB technologies'!$N$122:$Y$133,4,FALSE)*('DB additional information '!$S$8/100*'DB additional information '!$V$8*E254/1000/1000)))</f>
        <v/>
      </c>
      <c r="AB254" s="261" t="str">
        <f>IF($C$251=0,"",IF('Calc (ex-animal)'!$F$38=1,"",IF(D254="","",((VLOOKUP($C$251,'Calc (ex-animal)'!$D$48:$Y$52,16,FALSE)-VLOOKUP($C$251,'Calc (ex-animal)'!$D$48:$Y$52,20,FALSE))*F254/100+Y254+Z254+AA254))))</f>
        <v/>
      </c>
      <c r="AC254" s="261" t="str">
        <f>IF($C$251=0,"",IF('Calc (ex-animal)'!$F$38=1,"",IF(D254="","",VLOOKUP($C$251,'Calc (ex-animal)'!$D$48:$Y$52,9,FALSE)/VLOOKUP($C$251,'DB animal categories'!$C$91:$AC$100,27,FALSE)*(VLOOKUP($C$251,'DB animal categories'!$C$91:$AC$100,27,FALSE)-VLOOKUP($C$251,'DB animal categories'!$C$91:$AC$100,25,FALSE)*VLOOKUP($C$251,'DB animal categories'!$C$91:$AC$100,26,FALSE)/24)*F254/100*VLOOKUP(D254,'DB technologies'!$N$122:$R$133,5,FALSE)/100)))</f>
        <v/>
      </c>
      <c r="AD254" s="261" t="str">
        <f>IF($C$251=0,"",IF('Calc (ex-animal)'!$F$38=1,"",IF(D254="","",VLOOKUP($C$251,'Calc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categories'!$C$91:$AC$100,26,FALSE)/24)*F254/100*VLOOKUP(D254,'DB technologies'!$N$122:$Y$133,6,FALSE)/100)))</f>
        <v/>
      </c>
      <c r="AE254" s="262" t="str">
        <f>IF($C$251=0,"",IF('Calc (ex-animal)'!$F$38=1,"",IF(D254="","",VLOOKUP($C$251,'Calc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categories'!$C$91:$AC$100,26,FALSE)/24)*F254/100*VLOOKUP(D254,'DB technologies'!$N$122:$Y$133,7,FALSE)/100)))</f>
        <v/>
      </c>
      <c r="AI254" s="181" t="str">
        <f>IF(D254="","",VLOOKUP(D254,'DB technologies'!$N$122:$Y$133,10,FALSE))</f>
        <v/>
      </c>
      <c r="AJ254" s="449" t="e">
        <f>VLOOKUP($C$251,'DB animal categories'!$C$91:$AN$100,27,FALSE)-VLOOKUP($C$251,'DB animal categories'!$C$91:$AN$100,26,FALSE)*VLOOKUP($C$251,'DB animal categories'!$C$91:$AN$100,25,FALSE)/24</f>
        <v>#N/A</v>
      </c>
      <c r="AK254" s="442" t="str">
        <f>IF(AI254="","",AL254+AM254)</f>
        <v/>
      </c>
      <c r="AL254" s="442" t="str">
        <f>IF(D254="","",IF(AI254=2,(('Calc (ex-animal)'!$G$49*'DB additional information '!$K$11/100*(1-VLOOKUP(D254,'DB technologies'!$N$122:$Y$133,9,FALSE)/100)*'Calc (ex-housing, ex-storage)'!F254/100+'Calc (ex-animal)'!$H$49*'DB additional information '!$L$11/100*(1-VLOOKUP(D254,'DB technologies'!$N$122:$Y$133,9,FALSE)/100)*'Calc (ex-housing, ex-storage)'!F254/100))/VLOOKUP($C$251,'DB animal categories'!$C$91:$AC$100,27,FALSE)*AJ254+I254+J254+K254,IF(AI254=1,('Calc (ex-animal)'!$H$49*'DB additional information '!$L$11/100*(1-VLOOKUP(D254,'DB technologies'!$N$122:$Y$133,9,FALSE)/100)*'Calc (ex-housing, ex-storage)'!F254/100)/VLOOKUP($C$251,'DB animal categories'!$C$91:$AC$100,27,FALSE)*AJ254,IF(AI254=4,('Calc (ex-animal)'!$G$49*'DB additional information '!$K$11/100+'Calc (ex-animal)'!$H$49*'DB additional information '!$L$11/100)*(1-VLOOKUP(D254,'DB technologies'!$N$122:$Y$133,9,FALSE)/100)*'Calc (ex-housing, ex-storage)'!F254/100*VLOOKUP(D254,'DB technologies'!$N$122:$Y$133,11,FALSE)/100/VLOOKUP($C$251,'DB animal categories'!$C$91:$AC$100,27,FALSE)*AJ254,0))))</f>
        <v/>
      </c>
      <c r="AM254" s="442" t="str">
        <f>IF(D254="","",IF(AI254=2,(('Calc (ex-animal)'!$G$49*(1-'DB additional information '!$K$11/100)*(1-VLOOKUP(D254,'DB technologies'!$N$122:$Y$133,8,FALSE)/100)*'Calc (ex-housing, ex-storage)'!F254/100+'Calc (ex-animal)'!$H$49*(1-'DB additional information '!$L$11/100)*(1-VLOOKUP(D254,'DB technologies'!$N$122:$Y$133,8,FALSE)/100)*'Calc (ex-housing, ex-storage)'!F254/100))/VLOOKUP($C$251,'DB animal categories'!$C$91:$AC$100,27,FALSE)*AJ254+M254+N254+O254,IF(AI254=1,('Calc (ex-animal)'!$H$49*(1-'DB additional information '!$L$11/100)*(1-VLOOKUP(D254,'DB technologies'!$N$122:$Y$133,8,FALSE)/100)*'Calc (ex-housing, ex-storage)'!F254/100)/VLOOKUP($C$251,'DB animal categories'!$C$91:$AC$100,27,FALSE)*AJ254,IF(AI254=4,('Calc (ex-animal)'!$G$49*(1-'DB additional information '!$K$11/100)+'Calc (ex-animal)'!$H$49*(1-'DB additional information '!$L$11/100))*(1-VLOOKUP(D254,'DB technologies'!$N$122:$Y$133,8,FALSE)/100)*'Calc (ex-housing, ex-storage)'!F254/100*VLOOKUP(D254,'DB technologies'!$N$122:$Y$133,11,FALSE)/100/VLOOKUP($C$251,'DB animal categories'!$C$91:$AC$100,27,FALSE)*AJ254,0))))</f>
        <v/>
      </c>
      <c r="AN254" s="442" t="str">
        <f>IF(AI254="","",IF(AL254=0,0,AL254/AK254*100))</f>
        <v/>
      </c>
      <c r="AO254" s="182" t="str">
        <f>IF(D254="","",IF(AI254=2,(('Calc (ex-animal)'!$L$49*'Calc (ex-housing, ex-storage)'!F254/100+'Calc (ex-animal)'!$K$49*'Calc (ex-housing, ex-storage)'!F254/100))/VLOOKUP($C$251,'DB animal categories'!$C$91:$AC$100,27,FALSE)*AJ254+Q254+R254+S254-AC254,IF(AI254=1,('Calc (ex-animal)'!$L$49*'Calc (ex-housing, ex-storage)'!F254/100)/VLOOKUP($C$251,'DB animal categories'!$C$91:$AC$100,27,FALSE)*AJ254-'Calc (ex-housing, ex-storage)'!AC254,IF(AI254=4,('Calc (ex-animal)'!$L$49+'Calc (ex-animal)'!$K$49)*'Calc (ex-housing, ex-storage)'!F254/100*VLOOKUP(D254,'DB technologies'!$N$122:$Y$133,11,FALSE)/100/VLOOKUP($C$251,'DB animal categories'!$C$91:$AC$100,27,FALSE)*AJ254-AC254*VLOOKUP(D254,'DB technologies'!$N$122:$Y$133,11,FALSE)/100,0))))</f>
        <v/>
      </c>
      <c r="AP254" s="182" t="str">
        <f>IF(D254="","",IF(AO254&lt;-0.01,0,IF(AI254=2,(('Calc (ex-animal)'!$L$49*'Calc (ex-housing, ex-storage)'!F254/100+'Calc (ex-animal)'!$K$49*'Calc (ex-housing, ex-storage)'!F254/100))/VLOOKUP($C$251,'DB animal categories'!$C$91:$AC$100,27,FALSE)*AJ254+Q254+R254+S254-AC254,IF(AI254=1,('Calc (ex-animal)'!$L$49*'Calc (ex-housing, ex-storage)'!F254/100)/VLOOKUP($C$251,'DB animal categories'!$C$91:$AC$100,27,FALSE)*AJ254-'Calc (ex-housing, ex-storage)'!AC254,IF(AI254=4,('Calc (ex-animal)'!$L$49+'Calc (ex-animal)'!$K$49)*'Calc (ex-housing, ex-storage)'!F254/100*VLOOKUP(D254,'DB technologies'!$N$122:$Y$133,11,FALSE)/100/VLOOKUP($C$251,'DB animal categories'!$C$91:$AC$100,27,FALSE)*AJ254-AC254*VLOOKUP(D254,'DB technologies'!$N$122:$Y$133,11,FALSE)/100,0)))))</f>
        <v/>
      </c>
      <c r="AQ254" s="182" t="str">
        <f>IF(D254="","",IF(AI254=2,('Calc (ex-animal)'!$O$49*'Calc (ex-housing, ex-storage)'!F254/100+'Calc (ex-animal)'!$N$49*'Calc (ex-housing, ex-storage)'!F254/100)/VLOOKUP($C$251,'DB animal categories'!$C$91:$AC$100,27,FALSE)*AJ254+U254+V254+W254,IF(AI254=1,'Calc (ex-animal)'!$O$49*'Calc (ex-housing, ex-storage)'!F254/100/VLOOKUP($C$251,'DB animal categories'!$C$91:$AC$100,27,FALSE)*AJ254,IF(AI254=4,('Calc (ex-animal)'!$O$49+'Calc (ex-animal)'!$N$49)*'Calc (ex-housing, ex-storage)'!F254/100*VLOOKUP(D254,'DB technologies'!$N$122:$Y$133,11,FALSE)/100/VLOOKUP($C$251,'DB animal categories'!$C$91:$AC$100,27,FALSE)*AJ254,0))))</f>
        <v/>
      </c>
      <c r="AR254" s="182" t="str">
        <f>IF(D254="","",IF(AI254=2,('Calc (ex-animal)'!$R$49*'Calc (ex-housing, ex-storage)'!F254/100+'Calc (ex-animal)'!$Q$49*'Calc (ex-housing, ex-storage)'!F254/100)/VLOOKUP($C$251,'DB animal categories'!$C$91:$AC$100,27,FALSE)*AJ254+Y254+Z254+AA254,IF(AI254=1,'Calc (ex-animal)'!$R$49*'Calc (ex-housing, ex-storage)'!F254/100/VLOOKUP($C$251,'DB animal categories'!$C$91:$AC$100,27,FALSE)*AJ254,IF(AI254=4,('Calc (ex-animal)'!$R$49+'Calc (ex-animal)'!$Q$49)*'Calc (ex-housing, ex-storage)'!F254/100*VLOOKUP(D254,'DB technologies'!$N$122:$Y$133,11,FALSE)/100/VLOOKUP($C$251,'DB animal categories'!$C$91:$AC$100,27,FALSE)*AJ254,0))))</f>
        <v/>
      </c>
      <c r="AS254" s="181" t="str">
        <f>IF(D254="","",VLOOKUP(D254,'DB technologies'!$N$122:$Y$133,10,FALSE))</f>
        <v/>
      </c>
      <c r="AT254" s="442" t="str">
        <f>IF(AS254="","",AU254+AV254)</f>
        <v/>
      </c>
      <c r="AU254" s="442" t="str">
        <f>IF(D254="","",IF(AS254=2,0,IF(AS254=1,'Calc (ex-animal)'!$G$49*'DB additional information '!$K$11/100*(1-VLOOKUP(D254,'DB technologies'!$N$122:$Y$133,8,FALSE)/100)*'Calc (ex-housing, ex-storage)'!F254/100/VLOOKUP($C$251,'DB animal categories'!$C$91:$AC$100,27,FALSE)*AJ254+I254+J254+K254,IF(AS254=5,(('Calc (ex-animal)'!$G$49*'DB additional information '!$K$11/100+'Calc (ex-animal)'!$H$49*'DB additional information '!$L$11/100))*(1-VLOOKUP(D254,'DB technologies'!$N$122:$Y$133,9,FALSE)/100)*'Calc (ex-housing, ex-storage)'!F254/100/VLOOKUP($C$251,'DB animal categories'!$C$91:$AC$100,27,FALSE)*AJ254+I254+J254+K254,IF(AS254=3,('Calc (ex-animal)'!$G$49*'DB additional information '!$K$11/100+'Calc (ex-animal)'!$H$49*'DB additional information '!$L$11/100)*(1-VLOOKUP(D254,'DB technologies'!$N$122:$Y$133,9,FALSE)/100)*'Calc (ex-housing, ex-storage)'!F254/100/VLOOKUP($C$251,'DB animal categories'!$C$91:$AC$100,27,FALSE)*AJ254+I254+J254+K254,IF(AS254=4,('Calc (ex-animal)'!$G$49*'DB additional information '!$K$11/100+'Calc (ex-animal)'!$H$49*'DB additional information '!$L$11/100)*(1-VLOOKUP(D254,'DB technologies'!$N$122:$Y$133,9,FALSE)/100)*'Calc (ex-housing, ex-storage)'!F254/100*VLOOKUP(D254,'DB technologies'!$N$122:$Y$133,12,FALSE)/100/VLOOKUP($C$251,'DB animal categories'!$C$91:$AC$100,27,FALSE)*AJ254+I254+J254+K254,0))))))</f>
        <v/>
      </c>
      <c r="AV254" s="442" t="str">
        <f>IF(D254="","",IF(AS254=2,0,IF(AS254=1,'Calc (ex-animal)'!$G$49*(1-'DB additional information '!$K$11/100)*(1-VLOOKUP(D254,'DB technologies'!$N$122:$Y$133,8,FALSE)/100)*'Calc (ex-housing, ex-storage)'!F254/100/VLOOKUP($C$251,'DB animal categories'!$C$91:$AC$100,27,FALSE)*AJ254+M254+N254+O254,IF(AS254=5,('Calc (ex-animal)'!$G$49*(1-'DB additional information '!$K$11/100)+'Calc (ex-animal)'!$H$49*(1-'DB additional information '!$L$11/100))*(1-VLOOKUP(D254,'DB technologies'!$N$122:$Y$133,8,FALSE)/100)*'Calc (ex-housing, ex-storage)'!F254/100/VLOOKUP($C$251,'DB animal categories'!$C$91:$AC$100,27,FALSE)*AJ254+M254+N254+O254,IF(AS254=3,('Calc (ex-animal)'!$G$49*(1-'DB additional information '!$K$11/100)+'Calc (ex-animal)'!$H$49*(1-'DB additional information '!$L$11/100))*(1-VLOOKUP(D254,'DB technologies'!$N$122:$Y$133,8,FALSE)/100)*'Calc (ex-housing, ex-storage)'!F254/100/VLOOKUP($C$251,'DB animal categories'!$C$91:$AC$100,27,FALSE)*AJ254+M254+N254+O254,IF(AS254=4,('Calc (ex-animal)'!$G$49*(1-'DB additional information '!$K$11/100)+'Calc (ex-animal)'!$H$49*(1-'DB additional information '!$L$11/100))*(1-VLOOKUP(D254,'DB technologies'!$N$122:$Y$133,8,FALSE)/100)*'Calc (ex-housing, ex-storage)'!F254/100*VLOOKUP(D254,'DB technologies'!$N$122:$Y$133,12,FALSE)/100/VLOOKUP($C$251,'DB animal categories'!$C$91:$AC$100,27,FALSE)*AJ254+M254+N254+O254,0))))))</f>
        <v/>
      </c>
      <c r="AW254" s="442" t="str">
        <f>IF(AS254="","",IF(AU254=0,0,AU254/AT254*100))</f>
        <v/>
      </c>
      <c r="AX254" s="182" t="str">
        <f>IF(D254="","",IF(AS254=2,0,IF(AS254=1,'Calc (ex-animal)'!$K$49*'Calc (ex-housing, ex-storage)'!F254/100/VLOOKUP($C$251,'DB animal categories'!$C$91:$AC$100,27,FALSE)*AJ254+Q254+R254+S254,IF(AS254=5,('Calc (ex-animal)'!$K$49+'Calc (ex-animal)'!$L$49)*'Calc (ex-housing, ex-storage)'!F254/100/VLOOKUP($C$251,'DB animal categories'!$C$91:$AC$100,27,FALSE)*AJ254+Q254+R254+S254-'Calc (ex-housing, ex-storage)'!AC254,IF(AS254=3,('Calc (ex-animal)'!$K$49+'Calc (ex-animal)'!$L$49)*'Calc (ex-housing, ex-storage)'!F254/100/VLOOKUP($C$251,'DB animal categories'!$C$91:$AC$100,27,FALSE)*AJ254+Q254+R254+S254-'Calc (ex-housing, ex-storage)'!AC254-AD254-AE254,IF(AI254=4,('Calc (ex-animal)'!$K$49+'Calc (ex-animal)'!$L$49)*'Calc (ex-housing, ex-storage)'!F254/100*VLOOKUP(D254,'DB technologies'!$N$122:$Y$133,12,FALSE)/100/VLOOKUP($C$251,'DB animal categories'!$C$91:$AC$100,27,FALSE)*AJ254+Q254+R254+S254-(VLOOKUP(D254,'DB technologies'!$N$122:$Y$133,12,FALSE)/100*AC254)-AD254-AE254,0))))))</f>
        <v/>
      </c>
      <c r="AY254" s="182" t="str">
        <f>IF(D254="","",IF(AS254=2,0,IF(AS254=1,'Calc (ex-animal)'!$N$49*'Calc (ex-housing, ex-storage)'!F254/100/VLOOKUP($C$251,'DB animal categories'!$C$91:$AC$100,27,FALSE)*AJ254+U254+V254+W254,IF(AS254=5,('Calc (ex-animal)'!$N$49+'Calc (ex-animal)'!$O$49)*'Calc (ex-housing, ex-storage)'!F254/100/VLOOKUP($C$251,'DB animal categories'!$C$91:$AC$100,27,FALSE)*AJ254+U254+V254+W254,IF(AS254=3,('Calc (ex-animal)'!$N$49+'Calc (ex-animal)'!$O$49)*'Calc (ex-housing, ex-storage)'!F254/100/VLOOKUP($C$251,'DB animal categories'!$C$91:$AC$100,27,FALSE)*AJ254+U254+V254+W254,IF(AS254=4,('Calc (ex-animal)'!$N$49+'Calc (ex-animal)'!$O$49)*'Calc (ex-housing, ex-storage)'!F254/100*VLOOKUP(D254,'DB technologies'!$N$122:$Y$133,12,FALSE)/100/VLOOKUP($C$251,'DB animal categories'!$C$91:$AC$100,27,FALSE)*AJ254+U254+V254+W254,0))))))</f>
        <v/>
      </c>
      <c r="AZ254" s="182" t="str">
        <f>IF(D254="","",IF(AS254=2,0,IF(AS254=1,'Calc (ex-animal)'!$Q$49*'Calc (ex-housing, ex-storage)'!F254/100/VLOOKUP($C$251,'DB animal categories'!$C$91:$AC$100,27,FALSE)*AJ254+Y254+Z254+AA254,IF(AS254=5,('Calc (ex-animal)'!$Q$49+'Calc (ex-animal)'!$R$49)*'Calc (ex-housing, ex-storage)'!F254/100/VLOOKUP($C$251,'DB animal categories'!$C$91:$AC$100,27,FALSE)*AJ254+Y254+Z254+AA254,IF(AS254=3,('Calc (ex-animal)'!$Q$49+'Calc (ex-animal)'!$R$49)*'Calc (ex-housing, ex-storage)'!F254/100/VLOOKUP($C$251,'DB animal categories'!$C$91:$AC$100,27,FALSE)*AJ254+Y254+Z254+AA254,IF(AS254=4,('Calc (ex-animal)'!$Q$49+'Calc (ex-animal)'!$R$49)*'Calc (ex-housing, ex-storage)'!F254/100*VLOOKUP(D254,'DB technologies'!$N$122:$Y$133,12,FALSE)/100/VLOOKUP($C$251,'DB animal categories'!$C$91:$AC$100,27,FALSE)*AJ254+Y254+Z254+AA254,0))))))</f>
        <v/>
      </c>
      <c r="BA254" s="506"/>
      <c r="BB254" s="506"/>
      <c r="BC254" s="506"/>
    </row>
    <row r="255" spans="1:55" ht="12" thickBot="1" x14ac:dyDescent="0.25">
      <c r="A255" s="684"/>
      <c r="B255" s="695"/>
      <c r="C255" s="251"/>
      <c r="D255" s="1359"/>
      <c r="E255" s="1360"/>
      <c r="F255" s="502" t="str">
        <f>IF('Calc (ex-animal)'!$F$38=1,"",IF($C$251=0,"",IF(D255="","",E255/'Calc (ex-animal)'!$E$49*100)))</f>
        <v/>
      </c>
      <c r="G255" s="483" t="str">
        <f>IF($C$251=0,"",IF('Calc (ex-animal)'!$F$38=1,"",IF(D255="","",SUM(H255:O255))))</f>
        <v/>
      </c>
      <c r="H255" s="445" t="str">
        <f>IF('Calc (ex-animal)'!$F$38=1,"",IF(D255="","",(((VLOOKUP($C$251,'Calc (ex-animal)'!$D$48:$Y$52,6,FALSE)-VLOOKUP($C$251,'Calc (ex-animal)'!$D$48:$Y$52,17,FALSE))*F255/100))*VLOOKUP($C$251,'Calc (ex-animal)'!$D$48:$Y$52,7,FALSE)/100*(1-VLOOKUP(D255,'DB technologies'!$N$122:$Y$133,9,FALSE)/100)))</f>
        <v/>
      </c>
      <c r="I255" s="445" t="str">
        <f>IF(D255="","",((VLOOKUP(D255,'DB technologies'!$N$122:$Y$133,2,FALSE)*VLOOKUP($C$251,'DB animal categories'!$C$91:$AC$100,27,FALSE)*E255/1000)/VLOOKUP($C$251,'DB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'!$S$6/100*(1-VLOOKUP(D255,'DB technologies'!$N$122:$Y$133,9,FALSE)/100)))</f>
        <v/>
      </c>
      <c r="J255" s="446" t="str">
        <f>IF(D255="","",((VLOOKUP(D255,'DB technologies'!$N$122:$Y$133,3,FALSE)*VLOOKUP($C$251,'DB animal categories'!$C$91:$AC$100,27,FALSE)*E255/1000)/VLOOKUP($C$251,'DB animal categories'!$C$91:$AC$100,27,FALSE)*(VLOOKUP($C$251,'DB animal categories'!$C$91:$AC$100,27,FALSE)-(VLOOKUP($C$251,'DB animal categories'!$C$91:$AC$100,25,FALSE)*VLOOKUP($C$251,'DB animal categories'!$C$91:$AC$100,26,FALSE)/24))*'DB additional information '!$S$7/100*(1-VLOOKUP(D255,'DB technologies'!$N$122:$Y$133,9,FALSE)/100)))</f>
        <v/>
      </c>
      <c r="K255" s="446" t="str">
        <f>IF(D255="","",((VLOOKUP(D255,'DB technologies'!$N$122:$Y$133,4,FALSE)*E255*'DB additional information '!$S$8/100*(1-VLOOKUP(D255,'DB technologies'!$N$122:$Y$133,9,FALSE)/100))/VLOOKUP($C$251,'DB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L255" s="445" t="str">
        <f>IF('Calc (ex-animal)'!$F$38=1,"",IF(D255="","",(((VLOOKUP($C$251,'Calc (ex-animal)'!$D$48:$Y$52,6,FALSE)-VLOOKUP($C$251,'Calc (ex-animal)'!$D$48:$Y$52,17,FALSE))*F255/100))*(1-VLOOKUP($C$251,'Calc (ex-animal)'!$D$48:$Y$52,7,FALSE)/100)*(1-VLOOKUP(D255,'DB technologies'!$N$122:$V$133,8,FALSE)/100)))</f>
        <v/>
      </c>
      <c r="M255" s="446" t="str">
        <f>IF(D255="","",((VLOOKUP(D255,'DB technologies'!$N$122:$Y$133,2,FALSE)*VLOOKUP($C$251,'DB animal categories'!$C$91:$AC$100,27,FALSE)*E255/1000)/VLOOKUP($C$251,'DB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'!$S$6/100)*(1-VLOOKUP(D255,'DB technologies'!$N$122:$Y$133,9,FALSE)/100))</f>
        <v/>
      </c>
      <c r="N255" s="446" t="str">
        <f>IF(D255="","",((VLOOKUP(D255,'DB technologies'!$N$122:$Y$133,3,FALSE)*VLOOKUP($C$251,'DB animal categories'!$C$91:$AC$100,27,FALSE)*E255/1000)/VLOOKUP($C$251,'DB animal categories'!$C$91:$AC$100,27,FALSE)*(VLOOKUP($C$251,'DB animal categories'!$C$91:$AC$100,27,FALSE)-VLOOKUP($C$251,'DB animal categories'!$C$91:$AC$100,25,FALSE)*VLOOKUP($C$251,'DB animal categories'!$C$91:$AC$100,26,FALSE)/24))*(1-'DB additional information '!$S$7/100)*(1-VLOOKUP(D255,'DB technologies'!$N$122:$Y$133,9,FALSE)/100))</f>
        <v/>
      </c>
      <c r="O255" s="445" t="str">
        <f>IF(D255="","",((VLOOKUP(D255,'DB technologies'!$N$122:$Y$133,4,FALSE)*E255*(1-'DB additional information '!$S$8/100)*(1-VLOOKUP(D255,'DB technologies'!$N$122:$Y$133,8,FALSE)/100))/VLOOKUP($C$251,'DB animal categories'!$C$91:$AC$100,27,FALSE)*(VLOOKUP($C$251,'DB animal categories'!$C$91:$AC$100,27,FALSE)-VLOOKUP($C$251,'DB animal categories'!$C$91:$AC$100,25,FALSE)*VLOOKUP($C$251,'DB animal categories'!$C$91:$AC$100,26,FALSE)/24)))</f>
        <v/>
      </c>
      <c r="P255" s="444" t="str">
        <f>IF(G255=0,0,IF(E255="","",IF(F255="","",IF($C$251=0,"",IF(D255="","",SUM(H255:K255)/G255*100)))))</f>
        <v/>
      </c>
      <c r="Q255" s="476" t="str">
        <f>IF(D255="","",(VLOOKUP(D255,'DB technologies'!$N$122:$Y$133,2,FALSE)*'DB additional information '!$S$6/100*'DB additional information '!$T$6*VLOOKUP($C$251,'DB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R255" s="476" t="str">
        <f>IF(D255="","",(VLOOKUP(D255,'DB technologies'!$N$122:$Y$133,3,FALSE)*'DB additional information '!$S$7/100*'DB additional information '!$T$7*VLOOKUP($C$251,'DB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S255" s="494" t="str">
        <f>IF(D255="","",(VLOOKUP(D255,'DB technologies'!$N$122:$Y$133,4,FALSE)*('DB additional information '!$S$8/100*'DB additional information '!$T$8*E255/1000/1000)))</f>
        <v/>
      </c>
      <c r="T255" s="266" t="str">
        <f>IF($C$251=0,"",IF('Calc (ex-animal)'!$F$38=1,"",IF(D255="","",((VLOOKUP($C$251,'Calc (ex-animal)'!$D$48:$Y$52,10,FALSE)-VLOOKUP($C$251,'Calc (ex-animal)'!$D$48:$Y$52,18,FALSE))*F255/100+Q255+R255+S255)-AC255-AD255-AE255)))</f>
        <v/>
      </c>
      <c r="U255" s="477" t="str">
        <f>IF(D255="","",(VLOOKUP(D255,'DB technologies'!$N$122:$Y$133,2,FALSE)*'DB additional information '!$S$6/100*'DB additional information '!$U$6*VLOOKUP($C$251,'DB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V255" s="433" t="str">
        <f>IF(D255="","",(VLOOKUP(D255,'DB technologies'!$N$122:$Y$133,3,FALSE)*'DB additional information '!$S$7/100*'DB additional information '!$U$7*VLOOKUP($C$251,'DB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W255" s="475" t="str">
        <f>IF(D255="","",(VLOOKUP(D255,'DB technologies'!$N$122:$Y$133,4,FALSE)*('DB additional information '!$S$8/100*'DB additional information '!$U$8*E255/1000/1000)))</f>
        <v/>
      </c>
      <c r="X255" s="267" t="str">
        <f>IF($C$251=0,"",IF('Calc (ex-animal)'!$F$38=1,"",IF(D255="","",((VLOOKUP($C$251,'Calc (ex-animal)'!$D$48:$Y$52,13,FALSE)-VLOOKUP($C$251,'Calc (ex-animal)'!$D$48:$Y$52,19,FALSE))*F255/100+U255+V255+W255))))</f>
        <v/>
      </c>
      <c r="Y255" s="433" t="str">
        <f>IF(D255="","",(VLOOKUP(D255,'DB technologies'!$N$122:$Y$133,2,FALSE)*'DB additional information '!$S$6/100*'DB additional information '!$V$6*VLOOKUP($C$251,'DB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Z255" s="433" t="str">
        <f>IF(D255="","",(VLOOKUP(D255,'DB technologies'!$N$122:$Y$133,3,FALSE)*'DB additional information '!$S$7/100*'DB additional information '!$V$7*VLOOKUP($C$251,'DB animal categories'!$C$91:$AC$100,27,FALSE)*E255/1000/1000)/VLOOKUP($C$251,'DB animal categories'!$C$91:$AC$100,27,FALSE)*(VLOOKUP($C$251,'DB animal categories'!$C$91:$AC$100,27,FALSE)-VLOOKUP($C$251,'DB animal categories'!$C$91:$AC$100,25,FALSE)*VLOOKUP($C$251,'DB animal categories'!$C$91:$AC$100,26,FALSE)/24))</f>
        <v/>
      </c>
      <c r="AA255" s="433" t="str">
        <f>IF(D255="","",(VLOOKUP(D255,'DB technologies'!$N$122:$Y$133,4,FALSE)*('DB additional information '!$S$8/100*'DB additional information '!$V$8*E255/1000/1000)))</f>
        <v/>
      </c>
      <c r="AB255" s="267" t="str">
        <f>IF($C$251=0,"",IF('Calc (ex-animal)'!$F$38=1,"",IF(D255="","",((VLOOKUP($C$251,'Calc (ex-animal)'!$D$48:$Y$52,16,FALSE)-VLOOKUP($C$251,'Calc (ex-animal)'!$D$48:$Y$52,20,FALSE))*F255/100+Y255+Z255+AA255))))</f>
        <v/>
      </c>
      <c r="AC255" s="267" t="str">
        <f>IF($C$251=0,"",IF('Calc (ex-animal)'!$F$38=1,"",IF(D255="","",VLOOKUP($C$251,'Calc (ex-animal)'!$D$48:$Y$52,9,FALSE)/VLOOKUP($C$251,'DB animal categories'!$C$91:$AC$100,27,FALSE)*(VLOOKUP($C$251,'DB animal categories'!$C$91:$AC$100,27,FALSE)-VLOOKUP($C$251,'DB animal categories'!$C$91:$AC$100,25,FALSE)*VLOOKUP($C$251,'DB animal categories'!$C$91:$AC$100,26,FALSE)/24)*F255/100*VLOOKUP(D255,'DB technologies'!$N$122:$R$133,5,FALSE)/100)))</f>
        <v/>
      </c>
      <c r="AD255" s="267" t="str">
        <f>IF($C$251=0,"",IF('Calc (ex-animal)'!$F$38=1,"",IF(D255="","",VLOOKUP($C$251,'Calc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categories'!$C$91:$AC$100,26,FALSE)/24)*F255/100*VLOOKUP(D255,'DB technologies'!$N$122:$Y$133,6,FALSE)/100)))</f>
        <v/>
      </c>
      <c r="AE255" s="268" t="str">
        <f>IF($C$251=0,"",IF('Calc (ex-animal)'!$F$38=1,"",IF(D255="","",VLOOKUP($C$251,'Calc (ex-animal)'!$D$48:$Y$52,10,FALSE)/VLOOKUP($C$251,'DB animal categories'!$C$91:$AC$100,27,FALSE)*(VLOOKUP($C$251,'DB animal categories'!$C$91:$AC$100,27,FALSE)-VLOOKUP($C$251,'DB animal categories'!$C$91:$AC$100,25,FALSE)*VLOOKUP($C$251,'DB animal categories'!$C$91:$AC$100,26,FALSE)/24)*F255/100*VLOOKUP(D255,'DB technologies'!$N$122:$Y$133,7,FALSE)/100)))</f>
        <v/>
      </c>
      <c r="AI255" s="183" t="str">
        <f>IF(D255="","",VLOOKUP(D255,'DB technologies'!$N$122:$Y$133,10,FALSE))</f>
        <v/>
      </c>
      <c r="AJ255" s="451" t="e">
        <f>VLOOKUP($C$251,'DB animal categories'!$C$91:$AN$100,27,FALSE)-VLOOKUP($C$251,'DB animal categories'!$C$91:$AN$100,26,FALSE)*VLOOKUP($C$251,'DB animal categories'!$C$91:$AN$100,25,FALSE)/24</f>
        <v>#N/A</v>
      </c>
      <c r="AK255" s="452" t="str">
        <f>IF(AI255="","",AL255+AM255)</f>
        <v/>
      </c>
      <c r="AL255" s="452" t="str">
        <f>IF(D255="","",IF(AI255=2,(('Calc (ex-animal)'!$G$49*'DB additional information '!$K$11/100*(1-VLOOKUP(D255,'DB technologies'!$N$122:$Y$133,9,FALSE)/100)*'Calc (ex-housing, ex-storage)'!F255/100+'Calc (ex-animal)'!$H$49*'DB additional information '!$L$11/100*(1-VLOOKUP(D255,'DB technologies'!$N$122:$Y$133,9,FALSE)/100)*'Calc (ex-housing, ex-storage)'!F255/100))/VLOOKUP($C$251,'DB animal categories'!$C$91:$AC$100,27,FALSE)*AJ255+I255+J255+K255,IF(AI255=1,('Calc (ex-animal)'!$H$49*'DB additional information '!$L$11/100*(1-VLOOKUP(D255,'DB technologies'!$N$122:$Y$133,9,FALSE)/100)*'Calc (ex-housing, ex-storage)'!F255/100)/VLOOKUP($C$251,'DB animal categories'!$C$91:$AC$100,27,FALSE)*AJ255,IF(AI255=4,('Calc (ex-animal)'!$G$49*'DB additional information '!$K$11/100+'Calc (ex-animal)'!$H$49*'DB additional information '!$L$11/100)*(1-VLOOKUP(D255,'DB technologies'!$N$122:$Y$133,9,FALSE)/100)*'Calc (ex-housing, ex-storage)'!F255/100*VLOOKUP(D255,'DB technologies'!$N$122:$Y$133,11,FALSE)/100/VLOOKUP($C$251,'DB animal categories'!$C$91:$AC$100,27,FALSE)*AJ255,0))))</f>
        <v/>
      </c>
      <c r="AM255" s="452" t="str">
        <f>IF(D255="","",IF(AI255=2,(('Calc (ex-animal)'!$G$49*(1-'DB additional information '!$K$11/100)*(1-VLOOKUP(D255,'DB technologies'!$N$122:$Y$133,8,FALSE)/100)*'Calc (ex-housing, ex-storage)'!F255/100+'Calc (ex-animal)'!$H$49*(1-'DB additional information '!$L$11/100)*(1-VLOOKUP(D255,'DB technologies'!$N$122:$Y$133,8,FALSE)/100)*'Calc (ex-housing, ex-storage)'!F255/100))/VLOOKUP($C$251,'DB animal categories'!$C$91:$AC$100,27,FALSE)*AJ255+M255+N255+O255,IF(AI255=1,('Calc (ex-animal)'!$H$49*(1-'DB additional information '!$L$11/100)*(1-VLOOKUP(D255,'DB technologies'!$N$122:$Y$133,8,FALSE)/100)*'Calc (ex-housing, ex-storage)'!F255/100)/VLOOKUP($C$251,'DB animal categories'!$C$91:$AC$100,27,FALSE)*AJ255,IF(AI255=4,('Calc (ex-animal)'!$G$49*(1-'DB additional information '!$K$11/100)+'Calc (ex-animal)'!$H$49*(1-'DB additional information '!$L$11/100))*(1-VLOOKUP(D255,'DB technologies'!$N$122:$Y$133,8,FALSE)/100)*'Calc (ex-housing, ex-storage)'!F255/100*VLOOKUP(D255,'DB technologies'!$N$122:$Y$133,11,FALSE)/100/VLOOKUP($C$251,'DB animal categories'!$C$91:$AC$100,27,FALSE)*AJ255,0))))</f>
        <v/>
      </c>
      <c r="AN255" s="452" t="str">
        <f>IF(AI255="","",IF(AL255=0,0,AL255/AK255*100))</f>
        <v/>
      </c>
      <c r="AO255" s="184" t="str">
        <f>IF(D255="","",IF(AI255=2,(('Calc (ex-animal)'!$L$49*'Calc (ex-housing, ex-storage)'!F255/100+'Calc (ex-animal)'!$K$49*'Calc (ex-housing, ex-storage)'!F255/100))/VLOOKUP($C$251,'DB animal categories'!$C$91:$AC$100,27,FALSE)*AJ255+Q255+R255+S255-AC255,IF(AI255=1,('Calc (ex-animal)'!$L$49*'Calc (ex-housing, ex-storage)'!F255/100)/VLOOKUP($C$251,'DB animal categories'!$C$91:$AC$100,27,FALSE)*AJ255-'Calc (ex-housing, ex-storage)'!AC255,IF(AI255=4,('Calc (ex-animal)'!$L$49+'Calc (ex-animal)'!$K$49)*'Calc (ex-housing, ex-storage)'!F255/100*VLOOKUP(D255,'DB technologies'!$N$122:$Y$133,11,FALSE)/100/VLOOKUP($C$251,'DB animal categories'!$C$91:$AC$100,27,FALSE)*AJ255-AC255*VLOOKUP(D255,'DB technologies'!$N$122:$Y$133,11,FALSE)/100,0))))</f>
        <v/>
      </c>
      <c r="AP255" s="184" t="str">
        <f>IF(D255="","",IF(AO255&lt;-0.01,0,IF(AI255=2,(('Calc (ex-animal)'!$L$49*'Calc (ex-housing, ex-storage)'!F255/100+'Calc (ex-animal)'!$K$49*'Calc (ex-housing, ex-storage)'!F255/100))/VLOOKUP($C$251,'DB animal categories'!$C$91:$AC$100,27,FALSE)*AJ255+Q255+R255+S255-AC255,IF(AI255=1,('Calc (ex-animal)'!$L$49*'Calc (ex-housing, ex-storage)'!F255/100)/VLOOKUP($C$251,'DB animal categories'!$C$91:$AC$100,27,FALSE)*AJ255-'Calc (ex-housing, ex-storage)'!AC255,IF(AI255=4,('Calc (ex-animal)'!$L$49+'Calc (ex-animal)'!$K$49)*'Calc (ex-housing, ex-storage)'!F255/100*VLOOKUP(D255,'DB technologies'!$N$122:$Y$133,11,FALSE)/100/VLOOKUP($C$251,'DB animal categories'!$C$91:$AC$100,27,FALSE)*AJ255-AC255*VLOOKUP(D255,'DB technologies'!$N$122:$Y$133,11,FALSE)/100,0)))))</f>
        <v/>
      </c>
      <c r="AQ255" s="184" t="str">
        <f>IF(D255="","",IF(AI255=2,('Calc (ex-animal)'!$O$49*'Calc (ex-housing, ex-storage)'!F255/100+'Calc (ex-animal)'!$N$49*'Calc (ex-housing, ex-storage)'!F255/100)/VLOOKUP($C$251,'DB animal categories'!$C$91:$AC$100,27,FALSE)*AJ255+U255+V255+W255,IF(AI255=1,'Calc (ex-animal)'!$O$49*'Calc (ex-housing, ex-storage)'!F255/100/VLOOKUP($C$251,'DB animal categories'!$C$91:$AC$100,27,FALSE)*AJ255,IF(AI255=4,('Calc (ex-animal)'!$O$49+'Calc (ex-animal)'!$N$49)*'Calc (ex-housing, ex-storage)'!F255/100*VLOOKUP(D255,'DB technologies'!$N$122:$Y$133,11,FALSE)/100/VLOOKUP($C$251,'DB animal categories'!$C$91:$AC$100,27,FALSE)*AJ255,0))))</f>
        <v/>
      </c>
      <c r="AR255" s="184" t="str">
        <f>IF(D255="","",IF(AI255=2,('Calc (ex-animal)'!$R$49*'Calc (ex-housing, ex-storage)'!F255/100+'Calc (ex-animal)'!$Q$49*'Calc (ex-housing, ex-storage)'!F255/100)/VLOOKUP($C$251,'DB animal categories'!$C$91:$AC$100,27,FALSE)*AJ255+Y255+Z255+AA255,IF(AI255=1,'Calc (ex-animal)'!$R$49*'Calc (ex-housing, ex-storage)'!F255/100/VLOOKUP($C$251,'DB animal categories'!$C$91:$AC$100,27,FALSE)*AJ255,IF(AI255=4,('Calc (ex-animal)'!$R$49+'Calc (ex-animal)'!$Q$49)*'Calc (ex-housing, ex-storage)'!F255/100*VLOOKUP(D255,'DB technologies'!$N$122:$Y$133,11,FALSE)/100/VLOOKUP($C$251,'DB animal categories'!$C$91:$AC$100,27,FALSE)*AJ255,0))))</f>
        <v/>
      </c>
      <c r="AS255" s="183" t="str">
        <f>IF(D255="","",VLOOKUP(D255,'DB technologies'!$N$122:$Y$133,10,FALSE))</f>
        <v/>
      </c>
      <c r="AT255" s="452" t="str">
        <f>IF(AS255="","",AU255+AV255)</f>
        <v/>
      </c>
      <c r="AU255" s="452" t="str">
        <f>IF(D255="","",IF(AS255=2,0,IF(AS255=1,'Calc (ex-animal)'!$G$49*'DB additional information '!$K$11/100*(1-VLOOKUP(D255,'DB technologies'!$N$122:$Y$133,8,FALSE)/100)*'Calc (ex-housing, ex-storage)'!F255/100/VLOOKUP($C$251,'DB animal categories'!$C$91:$AC$100,27,FALSE)*AJ255+I255+J255+K255,IF(AS255=5,(('Calc (ex-animal)'!$G$49*'DB additional information '!$K$11/100+'Calc (ex-animal)'!$H$49*'DB additional information '!$L$11/100))*(1-VLOOKUP(D255,'DB technologies'!$N$122:$Y$133,9,FALSE)/100)*'Calc (ex-housing, ex-storage)'!F255/100/VLOOKUP($C$251,'DB animal categories'!$C$91:$AC$100,27,FALSE)*AJ255+I255+J255+K255,IF(AS255=3,('Calc (ex-animal)'!$G$49*'DB additional information '!$K$11/100+'Calc (ex-animal)'!$H$49*'DB additional information '!$L$11/100)*(1-VLOOKUP(D255,'DB technologies'!$N$122:$Y$133,9,FALSE)/100)*'Calc (ex-housing, ex-storage)'!F255/100/VLOOKUP($C$251,'DB animal categories'!$C$91:$AC$100,27,FALSE)*AJ255+I255+J255+K255,IF(AS255=4,('Calc (ex-animal)'!$G$49*'DB additional information '!$K$11/100+'Calc (ex-animal)'!$H$49*'DB additional information '!$L$11/100)*(1-VLOOKUP(D255,'DB technologies'!$N$122:$Y$133,9,FALSE)/100)*'Calc (ex-housing, ex-storage)'!F255/100*VLOOKUP(D255,'DB technologies'!$N$122:$Y$133,12,FALSE)/100/VLOOKUP($C$251,'DB animal categories'!$C$91:$AC$100,27,FALSE)*AJ255+I255+J255+K255,0))))))</f>
        <v/>
      </c>
      <c r="AV255" s="452" t="str">
        <f>IF(D255="","",IF(AS255=2,0,IF(AS255=1,'Calc (ex-animal)'!$G$49*(1-'DB additional information '!$K$11/100)*(1-VLOOKUP(D255,'DB technologies'!$N$122:$Y$133,8,FALSE)/100)*'Calc (ex-housing, ex-storage)'!F255/100/VLOOKUP($C$251,'DB animal categories'!$C$91:$AC$100,27,FALSE)*AJ255+M255+N255+O255,IF(AS255=5,('Calc (ex-animal)'!$G$49*(1-'DB additional information '!$K$11/100)+'Calc (ex-animal)'!$H$49*(1-'DB additional information '!$L$11/100))*(1-VLOOKUP(D255,'DB technologies'!$N$122:$Y$133,8,FALSE)/100)*'Calc (ex-housing, ex-storage)'!F255/100/VLOOKUP($C$251,'DB animal categories'!$C$91:$AC$100,27,FALSE)*AJ255+M255+N255+O255,IF(AS255=3,('Calc (ex-animal)'!$G$49*(1-'DB additional information '!$K$11/100)+'Calc (ex-animal)'!$H$49*(1-'DB additional information '!$L$11/100))*(1-VLOOKUP(D255,'DB technologies'!$N$122:$Y$133,8,FALSE)/100)*'Calc (ex-housing, ex-storage)'!F255/100/VLOOKUP($C$251,'DB animal categories'!$C$91:$AC$100,27,FALSE)*AJ255+M255+N255+O255,IF(AS255=4,('Calc (ex-animal)'!$G$49*(1-'DB additional information '!$K$11/100)+'Calc (ex-animal)'!$H$49*(1-'DB additional information '!$L$11/100))*(1-VLOOKUP(D255,'DB technologies'!$N$122:$Y$133,8,FALSE)/100)*'Calc (ex-housing, ex-storage)'!F255/100*VLOOKUP(D255,'DB technologies'!$N$122:$Y$133,12,FALSE)/100/VLOOKUP($C$251,'DB animal categories'!$C$91:$AC$100,27,FALSE)*AJ255+M255+N255+O255,0))))))</f>
        <v/>
      </c>
      <c r="AW255" s="452" t="str">
        <f>IF(AS255="","",IF(AU255=0,0,AU255/AT255*100))</f>
        <v/>
      </c>
      <c r="AX255" s="184" t="str">
        <f>IF(D255="","",IF(AS255=2,0,IF(AS255=1,'Calc (ex-animal)'!$K$49*'Calc (ex-housing, ex-storage)'!F255/100/VLOOKUP($C$251,'DB animal categories'!$C$91:$AC$100,27,FALSE)*AJ255+Q255+R255+S255,IF(AS255=5,('Calc (ex-animal)'!$K$49+'Calc (ex-animal)'!$L$49)*'Calc (ex-housing, ex-storage)'!F255/100/VLOOKUP($C$251,'DB animal categories'!$C$91:$AC$100,27,FALSE)*AJ255+Q255+R255+S255-'Calc (ex-housing, ex-storage)'!AC255,IF(AS255=3,('Calc (ex-animal)'!$K$49+'Calc (ex-animal)'!$L$49)*'Calc (ex-housing, ex-storage)'!F255/100/VLOOKUP($C$251,'DB animal categories'!$C$91:$AC$100,27,FALSE)*AJ255+Q255+R255+S255-'Calc (ex-housing, ex-storage)'!AC255-AD255-AE255,IF(AI255=4,('Calc (ex-animal)'!$K$49+'Calc (ex-animal)'!$L$49)*'Calc (ex-housing, ex-storage)'!F255/100*VLOOKUP(D255,'DB technologies'!$N$122:$Y$133,12,FALSE)/100/VLOOKUP($C$251,'DB animal categories'!$C$91:$AC$100,27,FALSE)*AJ255+Q255+R255+S255-(VLOOKUP(D255,'DB technologies'!$N$122:$Y$133,12,FALSE)/100*AC255)-AD255-AE255,0))))))</f>
        <v/>
      </c>
      <c r="AY255" s="184" t="str">
        <f>IF(D255="","",IF(AS255=2,0,IF(AS255=1,'Calc (ex-animal)'!$N$49*'Calc (ex-housing, ex-storage)'!F255/100/VLOOKUP($C$251,'DB animal categories'!$C$91:$AC$100,27,FALSE)*AJ255+U255+V255+W255,IF(AS255=5,('Calc (ex-animal)'!$N$49+'Calc (ex-animal)'!$O$49)*'Calc (ex-housing, ex-storage)'!F255/100/VLOOKUP($C$251,'DB animal categories'!$C$91:$AC$100,27,FALSE)*AJ255+U255+V255+W255,IF(AS255=3,('Calc (ex-animal)'!$N$49+'Calc (ex-animal)'!$O$49)*'Calc (ex-housing, ex-storage)'!F255/100/VLOOKUP($C$251,'DB animal categories'!$C$91:$AC$100,27,FALSE)*AJ255+U255+V255+W255,IF(AS255=4,('Calc (ex-animal)'!$N$49+'Calc (ex-animal)'!$O$49)*'Calc (ex-housing, ex-storage)'!F255/100*VLOOKUP(D255,'DB technologies'!$N$122:$Y$133,12,FALSE)/100/VLOOKUP($C$251,'DB animal categories'!$C$91:$AC$100,27,FALSE)*AJ255+U255+V255+W255,0))))))</f>
        <v/>
      </c>
      <c r="AZ255" s="184" t="str">
        <f>IF(D255="","",IF(AS255=2,0,IF(AS255=1,'Calc (ex-animal)'!$Q$49*'Calc (ex-housing, ex-storage)'!F255/100/VLOOKUP($C$251,'DB animal categories'!$C$91:$AC$100,27,FALSE)*AJ255+Y255+Z255+AA255,IF(AS255=5,('Calc (ex-animal)'!$Q$49+'Calc (ex-animal)'!$R$49)*'Calc (ex-housing, ex-storage)'!F255/100/VLOOKUP($C$251,'DB animal categories'!$C$91:$AC$100,27,FALSE)*AJ255+Y255+Z255+AA255,IF(AS255=3,('Calc (ex-animal)'!$Q$49+'Calc (ex-animal)'!$R$49)*'Calc (ex-housing, ex-storage)'!F255/100/VLOOKUP($C$251,'DB animal categories'!$C$91:$AC$100,27,FALSE)*AJ255+Y255+Z255+AA255,IF(AS255=4,('Calc (ex-animal)'!$Q$49+'Calc (ex-animal)'!$R$49)*'Calc (ex-housing, ex-storage)'!F255/100*VLOOKUP(D255,'DB technologies'!$N$122:$Y$133,12,FALSE)/100/VLOOKUP($C$251,'DB animal categories'!$C$91:$AC$100,27,FALSE)*AJ255+Y255+Z255+AA255,0))))))</f>
        <v/>
      </c>
      <c r="BA255" s="506"/>
      <c r="BB255" s="506"/>
      <c r="BC255" s="506"/>
    </row>
    <row r="256" spans="1:55" ht="12" thickBot="1" x14ac:dyDescent="0.25">
      <c r="A256" s="684"/>
      <c r="B256" s="695"/>
      <c r="C256" s="252"/>
      <c r="D256" s="269" t="s">
        <v>58</v>
      </c>
      <c r="E256" s="270">
        <f>IF(F256&lt;=100,SUM(E251:E255),"ERROR")</f>
        <v>0</v>
      </c>
      <c r="F256" s="284">
        <f>IF(SUM(F251:F255) &lt;=100,SUM(F251:F255),"ERROR, SUM&gt;100%")</f>
        <v>0</v>
      </c>
      <c r="G256" s="550">
        <f>IF('Calc (ex-animal)'!$F$38=1,"",SUM(G251:G255))</f>
        <v>0</v>
      </c>
      <c r="H256" s="418">
        <f>IF('Calc (ex-animal)'!$F$8=1,"",SUM(H251:H255))</f>
        <v>0</v>
      </c>
      <c r="I256" s="418">
        <f>IF('Calc (ex-animal)'!$F$8=1,"",SUM(I251:I255))</f>
        <v>0</v>
      </c>
      <c r="J256" s="418">
        <f>IF('Calc (ex-animal)'!$F$8=1,"",SUM(J251:J255))</f>
        <v>0</v>
      </c>
      <c r="K256" s="418">
        <f>IF('Calc (ex-animal)'!$F$8=1,"",SUM(K251:K255))</f>
        <v>0</v>
      </c>
      <c r="L256" s="418">
        <f>IF('Calc (ex-animal)'!$F$8=1,"",SUM(L251:L255))</f>
        <v>0</v>
      </c>
      <c r="M256" s="551"/>
      <c r="N256" s="551"/>
      <c r="O256" s="551"/>
      <c r="P256" s="552">
        <f>IF(G256=0,0,IF('Calc (ex-animal)'!$F$38=1,"",IF(D256="","",SUM(H256:K256)/G256*100)))</f>
        <v>0</v>
      </c>
      <c r="Q256" s="394"/>
      <c r="R256" s="394"/>
      <c r="S256" s="394"/>
      <c r="T256" s="285">
        <f>IF('Calc (ex-animal)'!$F$49=1,"",SUM(T251:T255))</f>
        <v>0</v>
      </c>
      <c r="U256" s="286"/>
      <c r="V256" s="286"/>
      <c r="W256" s="286"/>
      <c r="X256" s="286">
        <f>IF('Calc (ex-animal)'!$F$49=1,"",SUM(X251:X255))</f>
        <v>0</v>
      </c>
      <c r="Y256" s="286"/>
      <c r="Z256" s="286"/>
      <c r="AA256" s="286"/>
      <c r="AB256" s="286">
        <f>IF('Calc (ex-animal)'!$F$49=1,"",SUM(AB251:AB255))</f>
        <v>0</v>
      </c>
      <c r="AC256" s="286">
        <f>IF('Calc (ex-animal)'!$F$49=1,"",SUM(AC251:AC255))</f>
        <v>0</v>
      </c>
      <c r="AD256" s="286">
        <f>IF('Calc (ex-animal)'!$F$49=1,"",SUM(AD251:AD255))</f>
        <v>0</v>
      </c>
      <c r="AE256" s="287">
        <f>IF('Calc (ex-animal)'!$F$49=1,"",SUM(AE251:AE255))</f>
        <v>0</v>
      </c>
    </row>
    <row r="257" spans="1:55" x14ac:dyDescent="0.2">
      <c r="A257" s="684"/>
      <c r="B257" s="695"/>
      <c r="C257" s="250">
        <f>'Calc (ex-animal)'!D50</f>
        <v>0</v>
      </c>
      <c r="D257" s="1355"/>
      <c r="E257" s="1356"/>
      <c r="F257" s="479" t="str">
        <f>IF('Calc (ex-animal)'!$F$38=1,"",IF($C$257=0,"",IF(D257="","",E257/'Calc (ex-animal)'!$E$50*100)))</f>
        <v/>
      </c>
      <c r="G257" s="484" t="str">
        <f>IF($C$257=0,"",IF('Calc (ex-animal)'!$F$38=1,"",IF(D257="","",SUM(H257:O257))))</f>
        <v/>
      </c>
      <c r="H257" s="471" t="str">
        <f>IF('Calc (ex-animal)'!$F$38=1,"",IF(D257="","",(((VLOOKUP($C$257,'Calc (ex-animal)'!$D$48:$Y$52,6,FALSE)-VLOOKUP($C$257,'Calc (ex-animal)'!$D$48:$Y$52,17,FALSE))*F257/100))*VLOOKUP($C$257,'Calc (ex-animal)'!$D$48:$Y$52,7,FALSE)/100*(1-VLOOKUP(D257,'DB technologies'!$N$122:$Y$133,9,FALSE)/100)))</f>
        <v/>
      </c>
      <c r="I257" s="471" t="str">
        <f>IF(D257="","",((VLOOKUP(D257,'DB technologies'!$N$122:$Y$133,2,FALSE)*VLOOKUP($C$257,'DB animal categories'!$C$91:$AC$100,27,FALSE)*E257/1000)/VLOOKUP($C$257,'DB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'!$S$6/100*(1-VLOOKUP(D257,'DB technologies'!$N$122:$Y$133,9,FALSE)/100)))</f>
        <v/>
      </c>
      <c r="J257" s="472" t="str">
        <f>IF(D257="","",((VLOOKUP(D257,'DB technologies'!$N$122:$Y$133,3,FALSE)*VLOOKUP($C$257,'DB animal categories'!$C$91:$AC$100,27,FALSE)*E257/1000)/VLOOKUP($C$257,'DB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'!$S$7/100*(1-VLOOKUP(D257,'DB technologies'!$N$122:$Y$133,9,FALSE)/100)))</f>
        <v/>
      </c>
      <c r="K257" s="472" t="str">
        <f>IF(D257="","",((VLOOKUP(D257,'DB technologies'!$N$122:$Y$133,4,FALSE)*E257*'DB additional information '!$S$8/100*(1-VLOOKUP(D257,'DB technologies'!$N$122:$Y$133,9,FALSE)/100))/VLOOKUP($C$257,'DB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L257" s="471" t="str">
        <f>IF('Calc (ex-animal)'!$F$38=1,"",IF(D257="","",(((VLOOKUP($C$257,'Calc (ex-animal)'!$D$48:$Y$52,6,FALSE)-VLOOKUP($C$257,'Calc (ex-animal)'!$D$48:$Y$52,17,FALSE))*F257/100))*(1-VLOOKUP($C$257,'Calc (ex-animal)'!$D$48:$Y$52,7,FALSE)/100)*(1-VLOOKUP(D257,'DB technologies'!$N$122:$V$133,8,FALSE)/100)))</f>
        <v/>
      </c>
      <c r="M257" s="472" t="str">
        <f>IF(D257="","",((VLOOKUP(D257,'DB technologies'!$N$122:$Y$133,2,FALSE)*VLOOKUP($C$257,'DB animal categories'!$C$91:$AC$100,27,FALSE)*E257/1000)/VLOOKUP($C$257,'DB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'!$S$6/100)*(1-VLOOKUP(D257,'DB technologies'!$N$122:$Y$133,9,FALSE)/100))</f>
        <v/>
      </c>
      <c r="N257" s="472" t="str">
        <f>IF(D257="","",((VLOOKUP(D257,'DB technologies'!$N$122:$Y$133,3,FALSE)*VLOOKUP($C$257,'DB animal categories'!$C$91:$AC$100,27,FALSE)*E257/1000)/VLOOKUP($C$257,'DB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'!$S$7/100)*(1-VLOOKUP(D257,'DB technologies'!$N$122:$Y$133,9,FALSE)/100))</f>
        <v/>
      </c>
      <c r="O257" s="471" t="str">
        <f>IF(D257="","",((VLOOKUP(D257,'DB technologies'!$N$122:$Y$133,4,FALSE)*E257*(1-'DB additional information '!$S$8/100)*(1-VLOOKUP(D257,'DB technologies'!$N$122:$Y$133,8,FALSE)/100))/VLOOKUP($C$257,'DB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P257" s="443" t="str">
        <f>IF(G257=0,0,IF(E257="","",IF(F257="","",IF($C$257=0,"",IF(D257="","",SUM(H257:K257)/G257*100)))))</f>
        <v/>
      </c>
      <c r="Q257" s="473" t="str">
        <f>IF(D257="","",(VLOOKUP(D257,'DB technologies'!$N$122:$Y$133,2,FALSE)*'DB additional information '!$S$6/100*'DB additional information '!$T$6*VLOOKUP($C$257,'DB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R257" s="473" t="str">
        <f>IF(D257="","",(VLOOKUP(D257,'DB technologies'!$N$122:$Y$133,3,FALSE)*'DB additional information '!$S$7/100*'DB additional information '!$T$7*VLOOKUP($C$257,'DB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S257" s="490" t="str">
        <f>IF(D257="","",(VLOOKUP(D257,'DB technologies'!$N$122:$Y$133,4,FALSE)*('DB additional information '!$S$8/100*'DB additional information '!$T$8*E257/1000/1000)))</f>
        <v/>
      </c>
      <c r="T257" s="263" t="str">
        <f>IF($C$257=0,"",IF('Calc (ex-animal)'!$F$38=1,"",IF(D257="","",((VLOOKUP($C$257,'Calc (ex-animal)'!$D$48:$Y$52,10,FALSE)-VLOOKUP($C$257,'Calc (ex-animal)'!$D$48:$Y$52,18,FALSE))*F257/100+Q257+R257+S257)-AC257-AD257-AE257)))</f>
        <v/>
      </c>
      <c r="U257" s="474" t="str">
        <f>IF(D257="","",(VLOOKUP(D257,'DB technologies'!$N$122:$Y$133,2,FALSE)*'DB additional information '!$S$6/100*'DB additional information '!$U$6*VLOOKUP($C$257,'DB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V257" s="420" t="str">
        <f>IF(D257="","",(VLOOKUP(D257,'DB technologies'!$N$122:$Y$133,3,FALSE)*'DB additional information '!$S$7/100*'DB additional information '!$U$7*VLOOKUP($C$257,'DB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W257" s="415" t="str">
        <f>IF(D257="","",(VLOOKUP(D257,'DB technologies'!$N$122:$Y$133,4,FALSE)*('DB additional information '!$S$8/100*'DB additional information '!$U$8*E257/1000/1000)))</f>
        <v/>
      </c>
      <c r="X257" s="259" t="str">
        <f>IF($C$257=0,"",IF('Calc (ex-animal)'!$F$38=1,"",IF(D257="","",((VLOOKUP($C$257,'Calc (ex-animal)'!$D$48:$Y$52,13,FALSE)-VLOOKUP($C$257,'Calc (ex-animal)'!$D$48:$Y$52,19,FALSE))*F257/100+U257+V257+W257))))</f>
        <v/>
      </c>
      <c r="Y257" s="420" t="str">
        <f>IF(D257="","",(VLOOKUP(D257,'DB technologies'!$N$122:$Y$133,2,FALSE)*'DB additional information '!$S$6/100*'DB additional information '!$V$6*VLOOKUP($C$257,'DB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Z257" s="420" t="str">
        <f>IF(D257="","",(VLOOKUP(D257,'DB technologies'!$N$122:$Y$133,3,FALSE)*'DB additional information '!$S$7/100*'DB additional information '!$V$7*VLOOKUP($C$257,'DB animal categories'!$C$91:$AC$100,27,FALSE)*E257/1000/1000)/VLOOKUP($C$257,'DB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AA257" s="420" t="str">
        <f>IF(D257="","",(VLOOKUP(D257,'DB technologies'!$N$122:$Y$133,4,FALSE)*('DB additional information '!$S$8/100*'DB additional information '!$V$8*E257/1000/1000)))</f>
        <v/>
      </c>
      <c r="AB257" s="259" t="str">
        <f>IF($C$257=0,"",IF('Calc (ex-animal)'!$F$38=1,"",IF(D257="","",((VLOOKUP($C$257,'Calc (ex-animal)'!$D$48:$Y$52,16,FALSE)-VLOOKUP($C$257,'Calc (ex-animal)'!$D$48:$Y$52,20,FALSE))*F257/100+Y257+Z257+AA257))))</f>
        <v/>
      </c>
      <c r="AC257" s="259" t="str">
        <f>IF($C$257=0,"",IF('Calc (ex-animal)'!$F$38=1,"",IF(D257="","",VLOOKUP($C$257,'Calc (ex-animal)'!$D$48:$Y$52,9,FALSE)/VLOOKUP($C$257,'DB animal categories'!$C$91:$AC$100,27,FALSE)*(VLOOKUP($C$257,'DB animal categories'!$C$91:$AC$100,27,FALSE)-VLOOKUP($C$257,'DB animal categories'!$C$91:$AC$100,25,FALSE)*VLOOKUP($C$257,'DB animal categories'!$C$91:$AC$100,26,FALSE)/24)*F257/100*VLOOKUP(D257,'DB technologies'!$N$122:$R$133,5,FALSE)/100)))</f>
        <v/>
      </c>
      <c r="AD257" s="259" t="str">
        <f>IF($C$257=0,"",IF('Calc (ex-animal)'!$F$38=1,"",IF(D257="","",VLOOKUP($C$257,'Calc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categories'!$C$91:$AC$100,26,FALSE)/24)*F257/100*VLOOKUP(D257,'DB technologies'!$N$122:$Y$133,6,FALSE)/100)))</f>
        <v/>
      </c>
      <c r="AE257" s="260" t="str">
        <f>IF($C$257=0,"",IF('Calc (ex-animal)'!$F$38=1,"",IF(D257="","",VLOOKUP($C$257,'Calc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categories'!$C$91:$AC$100,26,FALSE)/24)*F257/100*VLOOKUP(D257,'DB technologies'!$N$122:$Y$133,7,FALSE)/100)))</f>
        <v/>
      </c>
      <c r="AI257" s="179" t="str">
        <f>IF(D257="","",VLOOKUP(D257,'DB technologies'!$N$122:$Y$133,10,FALSE))</f>
        <v/>
      </c>
      <c r="AJ257" s="482" t="e">
        <f>VLOOKUP($C$257,'DB animal categories'!$C$91:$AN$100,27,FALSE)-VLOOKUP($C$257,'DB animal categories'!$C$91:$AN$100,26,FALSE)*VLOOKUP($C$257,'DB animal categories'!$C$91:$AN$100,25,FALSE)/24</f>
        <v>#N/A</v>
      </c>
      <c r="AK257" s="453" t="str">
        <f>IF(AI257="","",AL257+AM257)</f>
        <v/>
      </c>
      <c r="AL257" s="453" t="str">
        <f>IF(D257="","",IF(AI257=2,(('Calc (ex-animal)'!$G$50*'DB additional information '!$K$11/100*(1-VLOOKUP(D257,'DB technologies'!$N$122:$Y$133,9,FALSE)/100)*'Calc (ex-housing, ex-storage)'!F257/100+'Calc (ex-animal)'!$H$50*'DB additional information '!$L$11/100*(1-VLOOKUP(D257,'DB technologies'!$N$122:$Y$133,9,FALSE)/100)*'Calc (ex-housing, ex-storage)'!F257/100))/VLOOKUP($C$257,'DB animal categories'!$C$91:$AC$100,27,FALSE)*AJ257+I257+J257+K257,IF(AI257=1,('Calc (ex-animal)'!$H$50*'DB additional information '!$L$11/100*(1-VLOOKUP(D257,'DB technologies'!$N$122:$Y$133,9,FALSE)/100)*'Calc (ex-housing, ex-storage)'!F257/100)/VLOOKUP($C$257,'DB animal categories'!$C$91:$AC$100,27,FALSE)*AJ257,IF(AI257=4,('Calc (ex-animal)'!$G$50*'DB additional information '!$K$11/100+'Calc (ex-animal)'!$H$50*'DB additional information '!$L$11/100)*(1-VLOOKUP(D257,'DB technologies'!$N$122:$Y$133,9,FALSE)/100)*'Calc (ex-housing, ex-storage)'!F257/100*VLOOKUP(D257,'DB technologies'!$N$122:$Y$133,11,FALSE)/100/VLOOKUP($C$257,'DB animal categories'!$C$91:$AC$100,27,FALSE)*AJ257,0))))</f>
        <v/>
      </c>
      <c r="AM257" s="453" t="str">
        <f>IF(D257="","",IF(AI257=2,(('Calc (ex-animal)'!$G$50*(1-'DB additional information '!$K$11/100)*(1-VLOOKUP(D257,'DB technologies'!$N$122:$Y$133,8,FALSE)/100)*'Calc (ex-housing, ex-storage)'!F257/100+'Calc (ex-animal)'!$H$50*(1-'DB additional information '!$L$11/100)*(1-VLOOKUP(D257,'DB technologies'!$N$122:$Y$133,8,FALSE)/100)*'Calc (ex-housing, ex-storage)'!F257/100))/VLOOKUP($C$257,'DB animal categories'!$C$91:$AC$100,27,FALSE)*AJ257+M257+N257+O257,IF(AI257=1,('Calc (ex-animal)'!$H$50*(1-'DB additional information '!$L$11/100)*(1-VLOOKUP(D257,'DB technologies'!$N$122:$Y$133,8,FALSE)/100)*'Calc (ex-housing, ex-storage)'!F257/100)/VLOOKUP($C$257,'DB animal categories'!$C$91:$AC$100,27,FALSE)*AJ257,IF(AI257=4,('Calc (ex-animal)'!$G$50*(1-'DB additional information '!$K$11/100)+'Calc (ex-animal)'!$H$50*(1-'DB additional information '!$L$11/100))*(1-VLOOKUP(D257,'DB technologies'!$N$122:$Y$133,8,FALSE)/100)*'Calc (ex-housing, ex-storage)'!F257/100*VLOOKUP(D257,'DB technologies'!$N$122:$Y$133,11,FALSE)/100/VLOOKUP($C$257,'DB animal categories'!$C$91:$AC$100,27,FALSE)*AJ257,0))))</f>
        <v/>
      </c>
      <c r="AN257" s="453" t="str">
        <f>IF(AI257="","",IF(AL257=0,0,AL257/AK257*100))</f>
        <v/>
      </c>
      <c r="AO257" s="180" t="str">
        <f>IF(D257="","",IF(AI257=2,(('Calc (ex-animal)'!$L$50*'Calc (ex-housing, ex-storage)'!F257/100+'Calc (ex-animal)'!$K$50*'Calc (ex-housing, ex-storage)'!F257/100))/VLOOKUP($C$257,'DB animal categories'!$C$91:$AC$100,27,FALSE)*AJ257+Q257+R257+S257-AC257,IF(AI257=1,('Calc (ex-animal)'!$L$50*'Calc (ex-housing, ex-storage)'!F257/100)/VLOOKUP($C$257,'DB animal categories'!$C$91:$AC$100,27,FALSE)*AJ257-'Calc (ex-housing, ex-storage)'!AC257,IF(AI257=4,('Calc (ex-animal)'!$L$50+'Calc (ex-animal)'!$K$50)*'Calc (ex-housing, ex-storage)'!F257/100*VLOOKUP(D257,'DB technologies'!$N$122:$Y$133,11,FALSE)/100/VLOOKUP($C$257,'DB animal categories'!$C$91:$AC$100,27,FALSE)*AJ257-AC257*VLOOKUP(D257,'DB technologies'!$N$122:$Y$133,11,FALSE)/100,0))))</f>
        <v/>
      </c>
      <c r="AP257" s="180" t="str">
        <f>IF(D257="","",IF(AO257&lt;-0.01,0,IF(AI257=2,(('Calc (ex-animal)'!$L$50*'Calc (ex-housing, ex-storage)'!F257/100+'Calc (ex-animal)'!$K$50*'Calc (ex-housing, ex-storage)'!F257/100))/VLOOKUP($C$257,'DB animal categories'!$C$91:$AC$100,27,FALSE)*AJ257+Q257+R257+S257-AC257,IF(AI257=1,('Calc (ex-animal)'!$L$50*'Calc (ex-housing, ex-storage)'!F257/100)/VLOOKUP($C$257,'DB animal categories'!$C$91:$AC$100,27,FALSE)*AJ257-'Calc (ex-housing, ex-storage)'!AC257,IF(AI257=4,('Calc (ex-animal)'!$L$50+'Calc (ex-animal)'!$K$50)*'Calc (ex-housing, ex-storage)'!F257/100*VLOOKUP(D257,'DB technologies'!$N$122:$Y$133,11,FALSE)/100/VLOOKUP($C$257,'DB animal categories'!$C$91:$AC$100,27,FALSE)*AJ257-AC257*VLOOKUP(D257,'DB technologies'!$N$122:$Y$133,11,FALSE)/100,0)))))</f>
        <v/>
      </c>
      <c r="AQ257" s="180" t="str">
        <f>IF(D257="","",IF(AI257=2,('Calc (ex-animal)'!$O$50*'Calc (ex-housing, ex-storage)'!F257/100+'Calc (ex-animal)'!$N$50*'Calc (ex-housing, ex-storage)'!F257/100)/VLOOKUP($C$257,'DB animal categories'!$C$91:$AC$100,27,FALSE)*AJ257+U257+V257+W257,IF(AI257=1,'Calc (ex-animal)'!$O$50*'Calc (ex-housing, ex-storage)'!F257/100/VLOOKUP($C$257,'DB animal categories'!$C$91:$AC$100,27,FALSE)*AJ257,IF(AI257=4,('Calc (ex-animal)'!$O$50+'Calc (ex-animal)'!$N$50)*'Calc (ex-housing, ex-storage)'!F257/100*VLOOKUP(D257,'DB technologies'!$N$122:$Y$133,11,FALSE)/100/VLOOKUP($C$257,'DB animal categories'!$C$91:$AC$100,27,FALSE)*AJ257,0))))</f>
        <v/>
      </c>
      <c r="AR257" s="180" t="str">
        <f>IF(D257="","",IF(AI257=2,('Calc (ex-animal)'!$R$50*'Calc (ex-housing, ex-storage)'!F257/100+'Calc (ex-animal)'!$Q$50*'Calc (ex-housing, ex-storage)'!F257/100)/VLOOKUP($C$257,'DB animal categories'!$C$91:$AC$100,27,FALSE)*AJ257+Y257+Z257+AA257,IF(AI257=1,'Calc (ex-animal)'!$R$50*'Calc (ex-housing, ex-storage)'!F257/100/VLOOKUP($C$257,'DB animal categories'!$C$91:$AC$100,27,FALSE)*AJ257,IF(AI257=4,('Calc (ex-animal)'!$R$50+'Calc (ex-animal)'!$Q$50)*'Calc (ex-housing, ex-storage)'!F257/100*VLOOKUP(D257,'DB technologies'!$N$122:$Y$133,11,FALSE)/100/VLOOKUP($C$257,'DB animal categories'!$C$91:$AC$100,27,FALSE)*AJ257,0))))</f>
        <v/>
      </c>
      <c r="AS257" s="179" t="str">
        <f>IF(D257="","",VLOOKUP(D257,'DB technologies'!$N$122:$Y$133,10,FALSE))</f>
        <v/>
      </c>
      <c r="AT257" s="453" t="str">
        <f>IF(AS257="","",AU257+AV257)</f>
        <v/>
      </c>
      <c r="AU257" s="453" t="str">
        <f>IF(D257="","",IF(AS257=2,0,IF(AS257=1,'Calc (ex-animal)'!$G$50*'DB additional information '!$K$11/100*(1-VLOOKUP(D257,'DB technologies'!$N$122:$Y$133,8,FALSE)/100)*'Calc (ex-housing, ex-storage)'!F257/100/VLOOKUP($C$257,'DB animal categories'!$C$91:$AC$100,27,FALSE)*AJ257+I257+J257+K257,IF(AS257=5,(('Calc (ex-animal)'!$G$50*'DB additional information '!$K$11/100+'Calc (ex-animal)'!$H$50*'DB additional information '!$L$11/100))*(1-VLOOKUP(D257,'DB technologies'!$N$122:$Y$133,9,FALSE)/100)*'Calc (ex-housing, ex-storage)'!F257/100/VLOOKUP($C$257,'DB animal categories'!$C$91:$AC$100,27,FALSE)*AJ257+I257+J257+K257,IF(AS257=3,('Calc (ex-animal)'!$G$50*'DB additional information '!$K$11/100+'Calc (ex-animal)'!$H$50*'DB additional information '!$L$11/100)*(1-VLOOKUP(D257,'DB technologies'!$N$122:$Y$133,9,FALSE)/100)*'Calc (ex-housing, ex-storage)'!F257/100/VLOOKUP($C$257,'DB animal categories'!$C$91:$AC$100,27,FALSE)*AJ257+I257+J257+K257,IF(AS257=4,('Calc (ex-animal)'!$G$50*'DB additional information '!$K$11/100+'Calc (ex-animal)'!$H$50*'DB additional information '!$L$11/100)*(1-VLOOKUP(D257,'DB technologies'!$N$122:$Y$133,9,FALSE)/100)*'Calc (ex-housing, ex-storage)'!F257/100*VLOOKUP(D257,'DB technologies'!$N$122:$Y$133,12,FALSE)/100/VLOOKUP($C$257,'DB animal categories'!$C$91:$AC$100,27,FALSE)*AJ257+I257+J257+K257,0))))))</f>
        <v/>
      </c>
      <c r="AV257" s="453" t="str">
        <f>IF(D257="","",IF(AS257=2,0,IF(AS257=1,'Calc (ex-animal)'!$G$50*(1-'DB additional information '!$K$11/100)*(1-VLOOKUP(D257,'DB technologies'!$N$122:$Y$133,8,FALSE)/100)*'Calc (ex-housing, ex-storage)'!F257/100/VLOOKUP($C$257,'DB animal categories'!$C$91:$AC$100,27,FALSE)*AJ257+M257+N257+O257,IF(AS257=5,('Calc (ex-animal)'!$G$50*(1-'DB additional information '!$K$11/100)+'Calc (ex-animal)'!$H$50*(1-'DB additional information '!$L$11/100))*(1-VLOOKUP(D257,'DB technologies'!$N$122:$Y$133,8,FALSE)/100)*'Calc (ex-housing, ex-storage)'!F257/100/VLOOKUP($C$257,'DB animal categories'!$C$91:$AC$100,27,FALSE)*AJ257+M257+N257+O257,IF(AS257=3,('Calc (ex-animal)'!$G$50*(1-'DB additional information '!$K$11/100)+'Calc (ex-animal)'!$H$50*(1-'DB additional information '!$L$11/100))*(1-VLOOKUP(D257,'DB technologies'!$N$122:$Y$133,8,FALSE)/100)*'Calc (ex-housing, ex-storage)'!F257/100/VLOOKUP($C$257,'DB animal categories'!$C$91:$AC$100,27,FALSE)*AJ257+M257+N257+O257,IF(AS257=4,('Calc (ex-animal)'!$G$50*(1-'DB additional information '!$K$11/100)+'Calc (ex-animal)'!$H$50*(1-'DB additional information '!$L$11/100))*(1-VLOOKUP(D257,'DB technologies'!$N$122:$Y$133,8,FALSE)/100)*'Calc (ex-housing, ex-storage)'!F257/100*VLOOKUP(D257,'DB technologies'!$N$122:$Y$133,12,FALSE)/100/VLOOKUP($C$257,'DB animal categories'!$C$91:$AC$100,27,FALSE)*AJ257+M257+N257+O257,0))))))</f>
        <v/>
      </c>
      <c r="AW257" s="453" t="str">
        <f>IF(AS257="","",IF(AU257=0,0,AU257/AT257*100))</f>
        <v/>
      </c>
      <c r="AX257" s="180" t="str">
        <f>IF(D257="","",IF(AS257=2,0,IF(AS257=1,'Calc (ex-animal)'!$K$50*'Calc (ex-housing, ex-storage)'!F257/100/VLOOKUP($C$257,'DB animal categories'!$C$91:$AC$100,27,FALSE)*AJ257+Q257+R257+S257,IF(AS257=5,('Calc (ex-animal)'!$K$50+'Calc (ex-animal)'!$L$50)*'Calc (ex-housing, ex-storage)'!F257/100/VLOOKUP($C$257,'DB animal categories'!$C$91:$AC$100,27,FALSE)*AJ257+Q257+R257+S257-'Calc (ex-housing, ex-storage)'!AC257,IF(AS257=3,('Calc (ex-animal)'!$K$50+'Calc (ex-animal)'!$L$50)*'Calc (ex-housing, ex-storage)'!F257/100/VLOOKUP($C$257,'DB animal categories'!$C$91:$AC$100,27,FALSE)*AJ257+Q257+R257+S257-'Calc (ex-housing, ex-storage)'!AC257-AD257-AE257,IF(AI257=4,('Calc (ex-animal)'!$K$50+'Calc (ex-animal)'!$L$50)*'Calc (ex-housing, ex-storage)'!F257/100*VLOOKUP(D257,'DB technologies'!$N$122:$Y$133,12,FALSE)/100/VLOOKUP($C$257,'DB animal categories'!$C$91:$AC$100,27,FALSE)*AJ257+Q257+R257+S257-(VLOOKUP(D257,'DB technologies'!$N$122:$Y$133,12,FALSE)/100*AC257)-AD257-AE257,0))))))</f>
        <v/>
      </c>
      <c r="AY257" s="180" t="str">
        <f>IF(D257="","",IF(AS257=2,0,IF(AS257=1,'Calc (ex-animal)'!$N$50*'Calc (ex-housing, ex-storage)'!F257/100/VLOOKUP($C$257,'DB animal categories'!$C$91:$AC$100,27,FALSE)*AJ257+U257+V257+W257,IF(AS257=5,('Calc (ex-animal)'!$N$50+'Calc (ex-animal)'!$O$50)*'Calc (ex-housing, ex-storage)'!F257/100/VLOOKUP($C$257,'DB animal categories'!$C$91:$AC$100,27,FALSE)*AJ257+U257+V257+W257,IF(AS257=3,('Calc (ex-animal)'!$N$50+'Calc (ex-animal)'!$O$50)*'Calc (ex-housing, ex-storage)'!F257/100/VLOOKUP($C$257,'DB animal categories'!$C$91:$AC$100,27,FALSE)*AJ257+U257+V257+W257,IF(AS257=4,('Calc (ex-animal)'!$N$50+'Calc (ex-animal)'!$O$50)*'Calc (ex-housing, ex-storage)'!F257/100*VLOOKUP(D257,'DB technologies'!$N$122:$Y$133,12,FALSE)/100/VLOOKUP($C$257,'DB animal categories'!$C$91:$AC$100,27,FALSE)*AJ257+U257+V257+W257,0))))))</f>
        <v/>
      </c>
      <c r="AZ257" s="180" t="str">
        <f>IF(D257="","",IF(AS257=2,0,IF(AS257=1,'Calc (ex-animal)'!$Q$50*'Calc (ex-housing, ex-storage)'!F257/100/VLOOKUP($C$257,'DB animal categories'!$C$91:$AC$100,27,FALSE)*AJ257+Y257+Z257+AA257,IF(AS257=5,('Calc (ex-animal)'!$Q$50+'Calc (ex-animal)'!$R$50)*'Calc (ex-housing, ex-storage)'!F257/100/VLOOKUP($C$257,'DB animal categories'!$C$91:$AC$100,27,FALSE)*AJ257+Y257+Z257+AA257,IF(AS257=3,('Calc (ex-animal)'!$Q$50+'Calc (ex-animal)'!$R$50)*'Calc (ex-housing, ex-storage)'!F257/100/VLOOKUP($C$257,'DB animal categories'!$C$91:$AC$100,27,FALSE)*AJ257+Y257+Z257+AA257,IF(AS257=4,('Calc (ex-animal)'!$Q$50+'Calc (ex-animal)'!$R$50)*'Calc (ex-housing, ex-storage)'!F257/100*VLOOKUP(D257,'DB technologies'!$N$122:$Y$133,12,FALSE)/100/VLOOKUP($C$257,'DB animal categories'!$C$91:$AC$100,27,FALSE)*AJ257+Y257+Z257+AA257,0))))))</f>
        <v/>
      </c>
      <c r="BA257" s="506"/>
      <c r="BB257" s="506"/>
      <c r="BC257" s="506"/>
    </row>
    <row r="258" spans="1:55" x14ac:dyDescent="0.2">
      <c r="A258" s="684"/>
      <c r="B258" s="695"/>
      <c r="C258" s="251"/>
      <c r="D258" s="1357"/>
      <c r="E258" s="1358"/>
      <c r="F258" s="480" t="str">
        <f>IF('Calc (ex-animal)'!$F$38=1,"",IF($C$257=0,"",IF(D258="","",E258/'Calc (ex-animal)'!$E$50*100)))</f>
        <v/>
      </c>
      <c r="G258" s="485" t="str">
        <f>IF($C$257=0,"",IF('Calc (ex-animal)'!$F$38=1,"",IF(D258="","",SUM(H258:O258))))</f>
        <v/>
      </c>
      <c r="H258" s="423" t="str">
        <f>IF('Calc (ex-animal)'!$F$38=1,"",IF(D258="","",(((VLOOKUP($C$257,'Calc (ex-animal)'!$D$48:$Y$52,6,FALSE)-VLOOKUP($C$257,'Calc (ex-animal)'!$D$48:$Y$52,17,FALSE))*F258/100))*VLOOKUP($C$257,'Calc (ex-animal)'!$D$48:$Y$52,7,FALSE)/100*(1-VLOOKUP(D258,'DB technologies'!$N$122:$Y$133,9,FALSE)/100)))</f>
        <v/>
      </c>
      <c r="I258" s="423" t="str">
        <f>IF(D258="","",((VLOOKUP(D258,'DB technologies'!$N$122:$Y$133,2,FALSE)*VLOOKUP($C$257,'DB animal categories'!$C$91:$AC$100,27,FALSE)*E258/1000)/VLOOKUP($C$257,'DB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'!$S$6/100*(1-VLOOKUP(D258,'DB technologies'!$N$122:$Y$133,9,FALSE)/100)))</f>
        <v/>
      </c>
      <c r="J258" s="434" t="str">
        <f>IF(D258="","",((VLOOKUP(D258,'DB technologies'!$N$122:$Y$133,3,FALSE)*VLOOKUP($C$257,'DB animal categories'!$C$91:$AC$100,27,FALSE)*E258/1000)/VLOOKUP($C$257,'DB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'!$S$7/100*(1-VLOOKUP(D258,'DB technologies'!$N$122:$Y$133,9,FALSE)/100)))</f>
        <v/>
      </c>
      <c r="K258" s="434" t="str">
        <f>IF(D258="","",((VLOOKUP(D258,'DB technologies'!$N$122:$Y$133,4,FALSE)*E258*'DB additional information '!$S$8/100*(1-VLOOKUP(D258,'DB technologies'!$N$122:$Y$133,9,FALSE)/100))/VLOOKUP($C$257,'DB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L258" s="423" t="str">
        <f>IF('Calc (ex-animal)'!$F$38=1,"",IF(D258="","",(((VLOOKUP($C$257,'Calc (ex-animal)'!$D$48:$Y$52,6,FALSE)-VLOOKUP($C$257,'Calc (ex-animal)'!$D$48:$Y$52,17,FALSE))*F258/100))*(1-VLOOKUP($C$257,'Calc (ex-animal)'!$D$48:$Y$52,7,FALSE)/100)*(1-VLOOKUP(D258,'DB technologies'!$N$122:$V$133,8,FALSE)/100)))</f>
        <v/>
      </c>
      <c r="M258" s="434" t="str">
        <f>IF(D258="","",((VLOOKUP(D258,'DB technologies'!$N$122:$Y$133,2,FALSE)*VLOOKUP($C$257,'DB animal categories'!$C$91:$AC$100,27,FALSE)*E258/1000)/VLOOKUP($C$257,'DB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'!$S$6/100)*(1-VLOOKUP(D258,'DB technologies'!$N$122:$Y$133,9,FALSE)/100))</f>
        <v/>
      </c>
      <c r="N258" s="434" t="str">
        <f>IF(D258="","",((VLOOKUP(D258,'DB technologies'!$N$122:$Y$133,3,FALSE)*VLOOKUP($C$257,'DB animal categories'!$C$91:$AC$100,27,FALSE)*E258/1000)/VLOOKUP($C$257,'DB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'!$S$7/100)*(1-VLOOKUP(D258,'DB technologies'!$N$122:$Y$133,9,FALSE)/100))</f>
        <v/>
      </c>
      <c r="O258" s="423" t="str">
        <f>IF(D258="","",((VLOOKUP(D258,'DB technologies'!$N$122:$Y$133,4,FALSE)*E258*(1-'DB additional information '!$S$8/100)*(1-VLOOKUP(D258,'DB technologies'!$N$122:$Y$133,8,FALSE)/100))/VLOOKUP($C$257,'DB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P258" s="438" t="str">
        <f>IF(G258=0,0,IF(E258="","",IF(F258="","",IF($C$257=0,"",IF(D258="","",SUM(H258:K258)/G258*100)))))</f>
        <v/>
      </c>
      <c r="Q258" s="416" t="str">
        <f>IF(D258="","",(VLOOKUP(D258,'DB technologies'!$N$122:$Y$133,2,FALSE)*'DB additional information '!$S$6/100*'DB additional information '!$T$6*VLOOKUP($C$257,'DB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R258" s="416" t="str">
        <f>IF(D258="","",(VLOOKUP(D258,'DB technologies'!$N$122:$Y$133,3,FALSE)*'DB additional information '!$S$7/100*'DB additional information '!$T$7*VLOOKUP($C$257,'DB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S258" s="491" t="str">
        <f>IF(D258="","",(VLOOKUP(D258,'DB technologies'!$N$122:$Y$133,4,FALSE)*('DB additional information '!$S$8/100*'DB additional information '!$T$8*E258/1000/1000)))</f>
        <v/>
      </c>
      <c r="T258" s="264" t="str">
        <f>IF($C$257=0,"",IF('Calc (ex-animal)'!$F$38=1,"",IF(D258="","",((VLOOKUP($C$257,'Calc (ex-animal)'!$D$48:$Y$52,10,FALSE)-VLOOKUP($C$257,'Calc (ex-animal)'!$D$48:$Y$52,18,FALSE))*F258/100+Q258+R258+S258)-AC258-AD258-AE258)))</f>
        <v/>
      </c>
      <c r="U258" s="422" t="str">
        <f>IF(D258="","",(VLOOKUP(D258,'DB technologies'!$N$122:$Y$133,2,FALSE)*'DB additional information '!$S$6/100*'DB additional information '!$U$6*VLOOKUP($C$257,'DB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V258" s="418" t="str">
        <f>IF(D258="","",(VLOOKUP(D258,'DB technologies'!$N$122:$Y$133,3,FALSE)*'DB additional information '!$S$7/100*'DB additional information '!$U$7*VLOOKUP($C$257,'DB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W258" s="417" t="str">
        <f>IF(D258="","",(VLOOKUP(D258,'DB technologies'!$N$122:$Y$133,4,FALSE)*('DB additional information '!$S$8/100*'DB additional information '!$U$8*E258/1000/1000)))</f>
        <v/>
      </c>
      <c r="X258" s="261" t="str">
        <f>IF($C$257=0,"",IF('Calc (ex-animal)'!$F$38=1,"",IF(D258="","",((VLOOKUP($C$257,'Calc (ex-animal)'!$D$48:$Y$52,13,FALSE)-VLOOKUP($C$257,'Calc (ex-animal)'!$D$48:$Y$52,19,FALSE))*F258/100+U258+V258+W258))))</f>
        <v/>
      </c>
      <c r="Y258" s="418" t="str">
        <f>IF(D258="","",(VLOOKUP(D258,'DB technologies'!$N$122:$Y$133,2,FALSE)*'DB additional information '!$S$6/100*'DB additional information '!$V$6*VLOOKUP($C$257,'DB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Z258" s="418" t="str">
        <f>IF(D258="","",(VLOOKUP(D258,'DB technologies'!$N$122:$Y$133,3,FALSE)*'DB additional information '!$S$7/100*'DB additional information '!$V$7*VLOOKUP($C$257,'DB animal categories'!$C$91:$AC$100,27,FALSE)*E258/1000/1000)/VLOOKUP($C$257,'DB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AA258" s="418" t="str">
        <f>IF(D258="","",(VLOOKUP(D258,'DB technologies'!$N$122:$Y$133,4,FALSE)*('DB additional information '!$S$8/100*'DB additional information '!$V$8*E258/1000/1000)))</f>
        <v/>
      </c>
      <c r="AB258" s="261" t="str">
        <f>IF($C$257=0,"",IF('Calc (ex-animal)'!$F$38=1,"",IF(D258="","",((VLOOKUP($C$257,'Calc (ex-animal)'!$D$48:$Y$52,16,FALSE)-VLOOKUP($C$257,'Calc (ex-animal)'!$D$48:$Y$52,20,FALSE))*F258/100+Y258+Z258+AA258))))</f>
        <v/>
      </c>
      <c r="AC258" s="261" t="str">
        <f>IF($C$257=0,"",IF('Calc (ex-animal)'!$F$38=1,"",IF(D258="","",VLOOKUP($C$257,'Calc (ex-animal)'!$D$48:$Y$52,9,FALSE)/VLOOKUP($C$257,'DB animal categories'!$C$91:$AC$100,27,FALSE)*(VLOOKUP($C$257,'DB animal categories'!$C$91:$AC$100,27,FALSE)-VLOOKUP($C$257,'DB animal categories'!$C$91:$AC$100,25,FALSE)*VLOOKUP($C$257,'DB animal categories'!$C$91:$AC$100,26,FALSE)/24)*F258/100*VLOOKUP(D258,'DB technologies'!$N$122:$R$133,5,FALSE)/100)))</f>
        <v/>
      </c>
      <c r="AD258" s="261" t="str">
        <f>IF($C$257=0,"",IF('Calc (ex-animal)'!$F$38=1,"",IF(D258="","",VLOOKUP($C$257,'Calc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categories'!$C$91:$AC$100,26,FALSE)/24)*F258/100*VLOOKUP(D258,'DB technologies'!$N$122:$Y$133,6,FALSE)/100)))</f>
        <v/>
      </c>
      <c r="AE258" s="262" t="str">
        <f>IF($C$257=0,"",IF('Calc (ex-animal)'!$F$38=1,"",IF(D258="","",VLOOKUP($C$257,'Calc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categories'!$C$91:$AC$100,26,FALSE)/24)*F258/100*VLOOKUP(D258,'DB technologies'!$N$122:$Y$133,7,FALSE)/100)))</f>
        <v/>
      </c>
      <c r="AI258" s="181" t="str">
        <f>IF(D258="","",VLOOKUP(D258,'DB technologies'!$N$122:$Y$133,10,FALSE))</f>
        <v/>
      </c>
      <c r="AJ258" s="449" t="e">
        <f>VLOOKUP($C$257,'DB animal categories'!$C$91:$AN$100,27,FALSE)-VLOOKUP($C$257,'DB animal categories'!$C$91:$AN$100,26,FALSE)*VLOOKUP($C$257,'DB animal categories'!$C$91:$AN$100,25,FALSE)/24</f>
        <v>#N/A</v>
      </c>
      <c r="AK258" s="442" t="str">
        <f>IF(AI258="","",AL258+AM258)</f>
        <v/>
      </c>
      <c r="AL258" s="442" t="str">
        <f>IF(D258="","",IF(AI258=2,(('Calc (ex-animal)'!$G$50*'DB additional information '!$K$11/100*(1-VLOOKUP(D258,'DB technologies'!$N$122:$Y$133,9,FALSE)/100)*'Calc (ex-housing, ex-storage)'!F258/100+'Calc (ex-animal)'!$H$50*'DB additional information '!$L$11/100*(1-VLOOKUP(D258,'DB technologies'!$N$122:$Y$133,9,FALSE)/100)*'Calc (ex-housing, ex-storage)'!F258/100))/VLOOKUP($C$257,'DB animal categories'!$C$91:$AC$100,27,FALSE)*AJ258+I258+J258+K258,IF(AI258=1,('Calc (ex-animal)'!$H$50*'DB additional information '!$L$11/100*(1-VLOOKUP(D258,'DB technologies'!$N$122:$Y$133,9,FALSE)/100)*'Calc (ex-housing, ex-storage)'!F258/100)/VLOOKUP($C$257,'DB animal categories'!$C$91:$AC$100,27,FALSE)*AJ258,IF(AI258=4,('Calc (ex-animal)'!$G$50*'DB additional information '!$K$11/100+'Calc (ex-animal)'!$H$50*'DB additional information '!$L$11/100)*(1-VLOOKUP(D258,'DB technologies'!$N$122:$Y$133,9,FALSE)/100)*'Calc (ex-housing, ex-storage)'!F258/100*VLOOKUP(D258,'DB technologies'!$N$122:$Y$133,11,FALSE)/100/VLOOKUP($C$257,'DB animal categories'!$C$91:$AC$100,27,FALSE)*AJ258,0))))</f>
        <v/>
      </c>
      <c r="AM258" s="442" t="str">
        <f>IF(D258="","",IF(AI258=2,(('Calc (ex-animal)'!$G$50*(1-'DB additional information '!$K$11/100)*(1-VLOOKUP(D258,'DB technologies'!$N$122:$Y$133,8,FALSE)/100)*'Calc (ex-housing, ex-storage)'!F258/100+'Calc (ex-animal)'!$H$50*(1-'DB additional information '!$L$11/100)*(1-VLOOKUP(D258,'DB technologies'!$N$122:$Y$133,8,FALSE)/100)*'Calc (ex-housing, ex-storage)'!F258/100))/VLOOKUP($C$257,'DB animal categories'!$C$91:$AC$100,27,FALSE)*AJ258+M258+N258+O258,IF(AI258=1,('Calc (ex-animal)'!$H$50*(1-'DB additional information '!$L$11/100)*(1-VLOOKUP(D258,'DB technologies'!$N$122:$Y$133,8,FALSE)/100)*'Calc (ex-housing, ex-storage)'!F258/100)/VLOOKUP($C$257,'DB animal categories'!$C$91:$AC$100,27,FALSE)*AJ258,IF(AI258=4,('Calc (ex-animal)'!$G$50*(1-'DB additional information '!$K$11/100)+'Calc (ex-animal)'!$H$50*(1-'DB additional information '!$L$11/100))*(1-VLOOKUP(D258,'DB technologies'!$N$122:$Y$133,8,FALSE)/100)*'Calc (ex-housing, ex-storage)'!F258/100*VLOOKUP(D258,'DB technologies'!$N$122:$Y$133,11,FALSE)/100/VLOOKUP($C$257,'DB animal categories'!$C$91:$AC$100,27,FALSE)*AJ258,0))))</f>
        <v/>
      </c>
      <c r="AN258" s="442" t="str">
        <f>IF(AI258="","",IF(AL258=0,0,AL258/AK258*100))</f>
        <v/>
      </c>
      <c r="AO258" s="182" t="str">
        <f>IF(D258="","",IF(AI258=2,(('Calc (ex-animal)'!$L$50*'Calc (ex-housing, ex-storage)'!F258/100+'Calc (ex-animal)'!$K$50*'Calc (ex-housing, ex-storage)'!F258/100))/VLOOKUP($C$257,'DB animal categories'!$C$91:$AC$100,27,FALSE)*AJ258+Q258+R258+S258-AC258,IF(AI258=1,('Calc (ex-animal)'!$L$50*'Calc (ex-housing, ex-storage)'!F258/100)/VLOOKUP($C$257,'DB animal categories'!$C$91:$AC$100,27,FALSE)*AJ258-'Calc (ex-housing, ex-storage)'!AC258,IF(AI258=4,('Calc (ex-animal)'!$L$50+'Calc (ex-animal)'!$K$50)*'Calc (ex-housing, ex-storage)'!F258/100*VLOOKUP(D258,'DB technologies'!$N$122:$Y$133,11,FALSE)/100/VLOOKUP($C$257,'DB animal categories'!$C$91:$AC$100,27,FALSE)*AJ258-AC258*VLOOKUP(D258,'DB technologies'!$N$122:$Y$133,11,FALSE)/100,0))))</f>
        <v/>
      </c>
      <c r="AP258" s="182" t="str">
        <f>IF(D258="","",IF(AO258&lt;-0.01,0,IF(AI258=2,(('Calc (ex-animal)'!$L$50*'Calc (ex-housing, ex-storage)'!F258/100+'Calc (ex-animal)'!$K$50*'Calc (ex-housing, ex-storage)'!F258/100))/VLOOKUP($C$257,'DB animal categories'!$C$91:$AC$100,27,FALSE)*AJ258+Q258+R258+S258-AC258,IF(AI258=1,('Calc (ex-animal)'!$L$50*'Calc (ex-housing, ex-storage)'!F258/100)/VLOOKUP($C$257,'DB animal categories'!$C$91:$AC$100,27,FALSE)*AJ258-'Calc (ex-housing, ex-storage)'!AC258,IF(AI258=4,('Calc (ex-animal)'!$L$50+'Calc (ex-animal)'!$K$50)*'Calc (ex-housing, ex-storage)'!F258/100*VLOOKUP(D258,'DB technologies'!$N$122:$Y$133,11,FALSE)/100/VLOOKUP($C$257,'DB animal categories'!$C$91:$AC$100,27,FALSE)*AJ258-AC258*VLOOKUP(D258,'DB technologies'!$N$122:$Y$133,11,FALSE)/100,0)))))</f>
        <v/>
      </c>
      <c r="AQ258" s="182" t="str">
        <f>IF(D258="","",IF(AI258=2,('Calc (ex-animal)'!$O$50*'Calc (ex-housing, ex-storage)'!F258/100+'Calc (ex-animal)'!$N$50*'Calc (ex-housing, ex-storage)'!F258/100)/VLOOKUP($C$257,'DB animal categories'!$C$91:$AC$100,27,FALSE)*AJ258+U258+V258+W258,IF(AI258=1,'Calc (ex-animal)'!$O$50*'Calc (ex-housing, ex-storage)'!F258/100/VLOOKUP($C$257,'DB animal categories'!$C$91:$AC$100,27,FALSE)*AJ258,IF(AI258=4,('Calc (ex-animal)'!$O$50+'Calc (ex-animal)'!$N$50)*'Calc (ex-housing, ex-storage)'!F258/100*VLOOKUP(D258,'DB technologies'!$N$122:$Y$133,11,FALSE)/100/VLOOKUP($C$257,'DB animal categories'!$C$91:$AC$100,27,FALSE)*AJ258,0))))</f>
        <v/>
      </c>
      <c r="AR258" s="182" t="str">
        <f>IF(D258="","",IF(AI258=2,('Calc (ex-animal)'!$R$50*'Calc (ex-housing, ex-storage)'!F258/100+'Calc (ex-animal)'!$Q$50*'Calc (ex-housing, ex-storage)'!F258/100)/VLOOKUP($C$257,'DB animal categories'!$C$91:$AC$100,27,FALSE)*AJ258+Y258+Z258+AA258,IF(AI258=1,'Calc (ex-animal)'!$R$50*'Calc (ex-housing, ex-storage)'!F258/100/VLOOKUP($C$257,'DB animal categories'!$C$91:$AC$100,27,FALSE)*AJ258,IF(AI258=4,('Calc (ex-animal)'!$R$50+'Calc (ex-animal)'!$Q$50)*'Calc (ex-housing, ex-storage)'!F258/100*VLOOKUP(D258,'DB technologies'!$N$122:$Y$133,11,FALSE)/100/VLOOKUP($C$257,'DB animal categories'!$C$91:$AC$100,27,FALSE)*AJ258,0))))</f>
        <v/>
      </c>
      <c r="AS258" s="181" t="str">
        <f>IF(D258="","",VLOOKUP(D258,'DB technologies'!$N$122:$Y$133,10,FALSE))</f>
        <v/>
      </c>
      <c r="AT258" s="442" t="str">
        <f>IF(AS258="","",AU258+AV258)</f>
        <v/>
      </c>
      <c r="AU258" s="442" t="str">
        <f>IF(D258="","",IF(AS258=2,0,IF(AS258=1,'Calc (ex-animal)'!$G$50*'DB additional information '!$K$11/100*(1-VLOOKUP(D258,'DB technologies'!$N$122:$Y$133,8,FALSE)/100)*'Calc (ex-housing, ex-storage)'!F258/100/VLOOKUP($C$257,'DB animal categories'!$C$91:$AC$100,27,FALSE)*AJ258+I258+J258+K258,IF(AS258=5,(('Calc (ex-animal)'!$G$50*'DB additional information '!$K$11/100+'Calc (ex-animal)'!$H$50*'DB additional information '!$L$11/100))*(1-VLOOKUP(D258,'DB technologies'!$N$122:$Y$133,9,FALSE)/100)*'Calc (ex-housing, ex-storage)'!F258/100/VLOOKUP($C$257,'DB animal categories'!$C$91:$AC$100,27,FALSE)*AJ258+I258+J258+K258,IF(AS258=3,('Calc (ex-animal)'!$G$50*'DB additional information '!$K$11/100+'Calc (ex-animal)'!$H$50*'DB additional information '!$L$11/100)*(1-VLOOKUP(D258,'DB technologies'!$N$122:$Y$133,9,FALSE)/100)*'Calc (ex-housing, ex-storage)'!F258/100/VLOOKUP($C$257,'DB animal categories'!$C$91:$AC$100,27,FALSE)*AJ258+I258+J258+K258,IF(AS258=4,('Calc (ex-animal)'!$G$50*'DB additional information '!$K$11/100+'Calc (ex-animal)'!$H$50*'DB additional information '!$L$11/100)*(1-VLOOKUP(D258,'DB technologies'!$N$122:$Y$133,9,FALSE)/100)*'Calc (ex-housing, ex-storage)'!F258/100*VLOOKUP(D258,'DB technologies'!$N$122:$Y$133,12,FALSE)/100/VLOOKUP($C$257,'DB animal categories'!$C$91:$AC$100,27,FALSE)*AJ258+I258+J258+K258,0))))))</f>
        <v/>
      </c>
      <c r="AV258" s="442" t="str">
        <f>IF(D258="","",IF(AS258=2,0,IF(AS258=1,'Calc (ex-animal)'!$G$50*(1-'DB additional information '!$K$11/100)*(1-VLOOKUP(D258,'DB technologies'!$N$122:$Y$133,8,FALSE)/100)*'Calc (ex-housing, ex-storage)'!F258/100/VLOOKUP($C$257,'DB animal categories'!$C$91:$AC$100,27,FALSE)*AJ258+M258+N258+O258,IF(AS258=5,('Calc (ex-animal)'!$G$50*(1-'DB additional information '!$K$11/100)+'Calc (ex-animal)'!$H$50*(1-'DB additional information '!$L$11/100))*(1-VLOOKUP(D258,'DB technologies'!$N$122:$Y$133,8,FALSE)/100)*'Calc (ex-housing, ex-storage)'!F258/100/VLOOKUP($C$257,'DB animal categories'!$C$91:$AC$100,27,FALSE)*AJ258+M258+N258+O258,IF(AS258=3,('Calc (ex-animal)'!$G$50*(1-'DB additional information '!$K$11/100)+'Calc (ex-animal)'!$H$50*(1-'DB additional information '!$L$11/100))*(1-VLOOKUP(D258,'DB technologies'!$N$122:$Y$133,8,FALSE)/100)*'Calc (ex-housing, ex-storage)'!F258/100/VLOOKUP($C$257,'DB animal categories'!$C$91:$AC$100,27,FALSE)*AJ258+M258+N258+O258,IF(AS258=4,('Calc (ex-animal)'!$G$50*(1-'DB additional information '!$K$11/100)+'Calc (ex-animal)'!$H$50*(1-'DB additional information '!$L$11/100))*(1-VLOOKUP(D258,'DB technologies'!$N$122:$Y$133,8,FALSE)/100)*'Calc (ex-housing, ex-storage)'!F258/100*VLOOKUP(D258,'DB technologies'!$N$122:$Y$133,12,FALSE)/100/VLOOKUP($C$257,'DB animal categories'!$C$91:$AC$100,27,FALSE)*AJ258+M258+N258+O258,0))))))</f>
        <v/>
      </c>
      <c r="AW258" s="442" t="str">
        <f>IF(AS258="","",IF(AU258=0,0,AU258/AT258*100))</f>
        <v/>
      </c>
      <c r="AX258" s="182" t="str">
        <f>IF(D258="","",IF(AS258=2,0,IF(AS258=1,'Calc (ex-animal)'!$K$50*'Calc (ex-housing, ex-storage)'!F258/100/VLOOKUP($C$257,'DB animal categories'!$C$91:$AC$100,27,FALSE)*AJ258+Q258+R258+S258,IF(AS258=5,('Calc (ex-animal)'!$K$50+'Calc (ex-animal)'!$L$50)*'Calc (ex-housing, ex-storage)'!F258/100/VLOOKUP($C$257,'DB animal categories'!$C$91:$AC$100,27,FALSE)*AJ258+Q258+R258+S258-'Calc (ex-housing, ex-storage)'!AC258,IF(AS258=3,('Calc (ex-animal)'!$K$50+'Calc (ex-animal)'!$L$50)*'Calc (ex-housing, ex-storage)'!F258/100/VLOOKUP($C$257,'DB animal categories'!$C$91:$AC$100,27,FALSE)*AJ258+Q258+R258+S258-'Calc (ex-housing, ex-storage)'!AC258-AD258-AE258,IF(AI258=4,('Calc (ex-animal)'!$K$50+'Calc (ex-animal)'!$L$50)*'Calc (ex-housing, ex-storage)'!F258/100*VLOOKUP(D258,'DB technologies'!$N$122:$Y$133,12,FALSE)/100/VLOOKUP($C$257,'DB animal categories'!$C$91:$AC$100,27,FALSE)*AJ258+Q258+R258+S258-(VLOOKUP(D258,'DB technologies'!$N$122:$Y$133,12,FALSE)/100*AC258)-AD258-AE258,0))))))</f>
        <v/>
      </c>
      <c r="AY258" s="182" t="str">
        <f>IF(D258="","",IF(AS258=2,0,IF(AS258=1,'Calc (ex-animal)'!$N$50*'Calc (ex-housing, ex-storage)'!F258/100/VLOOKUP($C$257,'DB animal categories'!$C$91:$AC$100,27,FALSE)*AJ258+U258+V258+W258,IF(AS258=5,('Calc (ex-animal)'!$N$50+'Calc (ex-animal)'!$O$50)*'Calc (ex-housing, ex-storage)'!F258/100/VLOOKUP($C$257,'DB animal categories'!$C$91:$AC$100,27,FALSE)*AJ258+U258+V258+W258,IF(AS258=3,('Calc (ex-animal)'!$N$50+'Calc (ex-animal)'!$O$50)*'Calc (ex-housing, ex-storage)'!F258/100/VLOOKUP($C$257,'DB animal categories'!$C$91:$AC$100,27,FALSE)*AJ258+U258+V258+W258,IF(AS258=4,('Calc (ex-animal)'!$N$50+'Calc (ex-animal)'!$O$50)*'Calc (ex-housing, ex-storage)'!F258/100*VLOOKUP(D258,'DB technologies'!$N$122:$Y$133,12,FALSE)/100/VLOOKUP($C$257,'DB animal categories'!$C$91:$AC$100,27,FALSE)*AJ258+U258+V258+W258,0))))))</f>
        <v/>
      </c>
      <c r="AZ258" s="182" t="str">
        <f>IF(D258="","",IF(AS258=2,0,IF(AS258=1,'Calc (ex-animal)'!$Q$50*'Calc (ex-housing, ex-storage)'!F258/100/VLOOKUP($C$257,'DB animal categories'!$C$91:$AC$100,27,FALSE)*AJ258+Y258+Z258+AA258,IF(AS258=5,('Calc (ex-animal)'!$Q$50+'Calc (ex-animal)'!$R$50)*'Calc (ex-housing, ex-storage)'!F258/100/VLOOKUP($C$257,'DB animal categories'!$C$91:$AC$100,27,FALSE)*AJ258+Y258+Z258+AA258,IF(AS258=3,('Calc (ex-animal)'!$Q$50+'Calc (ex-animal)'!$R$50)*'Calc (ex-housing, ex-storage)'!F258/100/VLOOKUP($C$257,'DB animal categories'!$C$91:$AC$100,27,FALSE)*AJ258+Y258+Z258+AA258,IF(AS258=4,('Calc (ex-animal)'!$Q$50+'Calc (ex-animal)'!$R$50)*'Calc (ex-housing, ex-storage)'!F258/100*VLOOKUP(D258,'DB technologies'!$N$122:$Y$133,12,FALSE)/100/VLOOKUP($C$257,'DB animal categories'!$C$91:$AC$100,27,FALSE)*AJ258+Y258+Z258+AA258,0))))))</f>
        <v/>
      </c>
      <c r="BA258" s="506"/>
      <c r="BB258" s="506"/>
      <c r="BC258" s="506"/>
    </row>
    <row r="259" spans="1:55" x14ac:dyDescent="0.2">
      <c r="A259" s="684"/>
      <c r="B259" s="695"/>
      <c r="C259" s="251"/>
      <c r="D259" s="1357"/>
      <c r="E259" s="1358"/>
      <c r="F259" s="480" t="str">
        <f>IF('Calc (ex-animal)'!$F$38=1,"",IF($C$257=0,"",IF(D259="","",E259/'Calc (ex-animal)'!$E$50*100)))</f>
        <v/>
      </c>
      <c r="G259" s="485" t="str">
        <f>IF($C$257=0,"",IF('Calc (ex-animal)'!$F$38=1,"",IF(D259="","",SUM(H259:O259))))</f>
        <v/>
      </c>
      <c r="H259" s="423" t="str">
        <f>IF('Calc (ex-animal)'!$F$38=1,"",IF(D259="","",(((VLOOKUP($C$257,'Calc (ex-animal)'!$D$48:$Y$52,6,FALSE)-VLOOKUP($C$257,'Calc (ex-animal)'!$D$48:$Y$52,17,FALSE))*F259/100))*VLOOKUP($C$257,'Calc (ex-animal)'!$D$48:$Y$52,7,FALSE)/100*(1-VLOOKUP(D259,'DB technologies'!$N$122:$Y$133,9,FALSE)/100)))</f>
        <v/>
      </c>
      <c r="I259" s="423" t="str">
        <f>IF(D259="","",((VLOOKUP(D259,'DB technologies'!$N$122:$Y$133,2,FALSE)*VLOOKUP($C$257,'DB animal categories'!$C$91:$AC$100,27,FALSE)*E259/1000)/VLOOKUP($C$257,'DB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'!$S$6/100*(1-VLOOKUP(D259,'DB technologies'!$N$122:$Y$133,9,FALSE)/100)))</f>
        <v/>
      </c>
      <c r="J259" s="434" t="str">
        <f>IF(D259="","",((VLOOKUP(D259,'DB technologies'!$N$122:$Y$133,3,FALSE)*VLOOKUP($C$257,'DB animal categories'!$C$91:$AC$100,27,FALSE)*E259/1000)/VLOOKUP($C$257,'DB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'!$S$7/100*(1-VLOOKUP(D259,'DB technologies'!$N$122:$Y$133,9,FALSE)/100)))</f>
        <v/>
      </c>
      <c r="K259" s="434" t="str">
        <f>IF(D259="","",((VLOOKUP(D259,'DB technologies'!$N$122:$Y$133,4,FALSE)*E259*'DB additional information '!$S$8/100*(1-VLOOKUP(D259,'DB technologies'!$N$122:$Y$133,9,FALSE)/100))/VLOOKUP($C$257,'DB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L259" s="423" t="str">
        <f>IF('Calc (ex-animal)'!$F$38=1,"",IF(D259="","",(((VLOOKUP($C$257,'Calc (ex-animal)'!$D$48:$Y$52,6,FALSE)-VLOOKUP($C$257,'Calc (ex-animal)'!$D$48:$Y$52,17,FALSE))*F259/100))*(1-VLOOKUP($C$257,'Calc (ex-animal)'!$D$48:$Y$52,7,FALSE)/100)*(1-VLOOKUP(D259,'DB technologies'!$N$122:$V$133,8,FALSE)/100)))</f>
        <v/>
      </c>
      <c r="M259" s="434" t="str">
        <f>IF(D259="","",((VLOOKUP(D259,'DB technologies'!$N$122:$Y$133,2,FALSE)*VLOOKUP($C$257,'DB animal categories'!$C$91:$AC$100,27,FALSE)*E259/1000)/VLOOKUP($C$257,'DB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'!$S$6/100)*(1-VLOOKUP(D259,'DB technologies'!$N$122:$Y$133,9,FALSE)/100))</f>
        <v/>
      </c>
      <c r="N259" s="434" t="str">
        <f>IF(D259="","",((VLOOKUP(D259,'DB technologies'!$N$122:$Y$133,3,FALSE)*VLOOKUP($C$257,'DB animal categories'!$C$91:$AC$100,27,FALSE)*E259/1000)/VLOOKUP($C$257,'DB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'!$S$7/100)*(1-VLOOKUP(D259,'DB technologies'!$N$122:$Y$133,9,FALSE)/100))</f>
        <v/>
      </c>
      <c r="O259" s="423" t="str">
        <f>IF(D259="","",((VLOOKUP(D259,'DB technologies'!$N$122:$Y$133,4,FALSE)*E259*(1-'DB additional information '!$S$8/100)*(1-VLOOKUP(D259,'DB technologies'!$N$122:$Y$133,8,FALSE)/100))/VLOOKUP($C$257,'DB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P259" s="438" t="str">
        <f>IF(G259=0,0,IF(E259="","",IF(F259="","",IF($C$257=0,"",IF(D259="","",SUM(H259:K259)/G259*100)))))</f>
        <v/>
      </c>
      <c r="Q259" s="416" t="str">
        <f>IF(D259="","",(VLOOKUP(D259,'DB technologies'!$N$122:$Y$133,2,FALSE)*'DB additional information '!$S$6/100*'DB additional information '!$T$6*VLOOKUP($C$257,'DB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R259" s="416" t="str">
        <f>IF(D259="","",(VLOOKUP(D259,'DB technologies'!$N$122:$Y$133,3,FALSE)*'DB additional information '!$S$7/100*'DB additional information '!$T$7*VLOOKUP($C$257,'DB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S259" s="491" t="str">
        <f>IF(D259="","",(VLOOKUP(D259,'DB technologies'!$N$122:$Y$133,4,FALSE)*('DB additional information '!$S$8/100*'DB additional information '!$T$8*E259/1000/1000)))</f>
        <v/>
      </c>
      <c r="T259" s="264" t="str">
        <f>IF($C$257=0,"",IF('Calc (ex-animal)'!$F$38=1,"",IF(D259="","",((VLOOKUP($C$257,'Calc (ex-animal)'!$D$48:$Y$52,10,FALSE)-VLOOKUP($C$257,'Calc (ex-animal)'!$D$48:$Y$52,18,FALSE))*F259/100+Q259+R259+S259)-AC259-AD259-AE259)))</f>
        <v/>
      </c>
      <c r="U259" s="422" t="str">
        <f>IF(D259="","",(VLOOKUP(D259,'DB technologies'!$N$122:$Y$133,2,FALSE)*'DB additional information '!$S$6/100*'DB additional information '!$U$6*VLOOKUP($C$257,'DB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V259" s="418" t="str">
        <f>IF(D259="","",(VLOOKUP(D259,'DB technologies'!$N$122:$Y$133,3,FALSE)*'DB additional information '!$S$7/100*'DB additional information '!$U$7*VLOOKUP($C$257,'DB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W259" s="417" t="str">
        <f>IF(D259="","",(VLOOKUP(D259,'DB technologies'!$N$122:$Y$133,4,FALSE)*('DB additional information '!$S$8/100*'DB additional information '!$U$8*E259/1000/1000)))</f>
        <v/>
      </c>
      <c r="X259" s="261" t="str">
        <f>IF($C$257=0,"",IF('Calc (ex-animal)'!$F$38=1,"",IF(D259="","",((VLOOKUP($C$257,'Calc (ex-animal)'!$D$48:$Y$52,13,FALSE)-VLOOKUP($C$257,'Calc (ex-animal)'!$D$48:$Y$52,19,FALSE))*F259/100+U259+V259+W259))))</f>
        <v/>
      </c>
      <c r="Y259" s="418" t="str">
        <f>IF(D259="","",(VLOOKUP(D259,'DB technologies'!$N$122:$Y$133,2,FALSE)*'DB additional information '!$S$6/100*'DB additional information '!$V$6*VLOOKUP($C$257,'DB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Z259" s="418" t="str">
        <f>IF(D259="","",(VLOOKUP(D259,'DB technologies'!$N$122:$Y$133,3,FALSE)*'DB additional information '!$S$7/100*'DB additional information '!$V$7*VLOOKUP($C$257,'DB animal categories'!$C$91:$AC$100,27,FALSE)*E259/1000/1000)/VLOOKUP($C$257,'DB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AA259" s="418" t="str">
        <f>IF(D259="","",(VLOOKUP(D259,'DB technologies'!$N$122:$Y$133,4,FALSE)*('DB additional information '!$S$8/100*'DB additional information '!$V$8*E259/1000/1000)))</f>
        <v/>
      </c>
      <c r="AB259" s="261" t="str">
        <f>IF($C$257=0,"",IF('Calc (ex-animal)'!$F$38=1,"",IF(D259="","",((VLOOKUP($C$257,'Calc (ex-animal)'!$D$48:$Y$52,16,FALSE)-VLOOKUP($C$257,'Calc (ex-animal)'!$D$48:$Y$52,20,FALSE))*F259/100+Y259+Z259+AA259))))</f>
        <v/>
      </c>
      <c r="AC259" s="261" t="str">
        <f>IF($C$257=0,"",IF('Calc (ex-animal)'!$F$38=1,"",IF(D259="","",VLOOKUP($C$257,'Calc (ex-animal)'!$D$48:$Y$52,9,FALSE)/VLOOKUP($C$257,'DB animal categories'!$C$91:$AC$100,27,FALSE)*(VLOOKUP($C$257,'DB animal categories'!$C$91:$AC$100,27,FALSE)-VLOOKUP($C$257,'DB animal categories'!$C$91:$AC$100,25,FALSE)*VLOOKUP($C$257,'DB animal categories'!$C$91:$AC$100,26,FALSE)/24)*F259/100*VLOOKUP(D259,'DB technologies'!$N$122:$R$133,5,FALSE)/100)))</f>
        <v/>
      </c>
      <c r="AD259" s="261" t="str">
        <f>IF($C$257=0,"",IF('Calc (ex-animal)'!$F$38=1,"",IF(D259="","",VLOOKUP($C$257,'Calc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categories'!$C$91:$AC$100,26,FALSE)/24)*F259/100*VLOOKUP(D259,'DB technologies'!$N$122:$Y$133,6,FALSE)/100)))</f>
        <v/>
      </c>
      <c r="AE259" s="262" t="str">
        <f>IF($C$257=0,"",IF('Calc (ex-animal)'!$F$38=1,"",IF(D259="","",VLOOKUP($C$257,'Calc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categories'!$C$91:$AC$100,26,FALSE)/24)*F259/100*VLOOKUP(D259,'DB technologies'!$N$122:$Y$133,7,FALSE)/100)))</f>
        <v/>
      </c>
      <c r="AI259" s="181" t="str">
        <f>IF(D259="","",VLOOKUP(D259,'DB technologies'!$N$122:$Y$133,10,FALSE))</f>
        <v/>
      </c>
      <c r="AJ259" s="449" t="e">
        <f>VLOOKUP($C$257,'DB animal categories'!$C$91:$AN$100,27,FALSE)-VLOOKUP($C$257,'DB animal categories'!$C$91:$AN$100,26,FALSE)*VLOOKUP($C$257,'DB animal categories'!$C$91:$AN$100,25,FALSE)/24</f>
        <v>#N/A</v>
      </c>
      <c r="AK259" s="442" t="str">
        <f>IF(AI259="","",AL259+AM259)</f>
        <v/>
      </c>
      <c r="AL259" s="442" t="str">
        <f>IF(D259="","",IF(AI259=2,(('Calc (ex-animal)'!$G$50*'DB additional information '!$K$11/100*(1-VLOOKUP(D259,'DB technologies'!$N$122:$Y$133,9,FALSE)/100)*'Calc (ex-housing, ex-storage)'!F259/100+'Calc (ex-animal)'!$H$50*'DB additional information '!$L$11/100*(1-VLOOKUP(D259,'DB technologies'!$N$122:$Y$133,9,FALSE)/100)*'Calc (ex-housing, ex-storage)'!F259/100))/VLOOKUP($C$257,'DB animal categories'!$C$91:$AC$100,27,FALSE)*AJ259+I259+J259+K259,IF(AI259=1,('Calc (ex-animal)'!$H$50*'DB additional information '!$L$11/100*(1-VLOOKUP(D259,'DB technologies'!$N$122:$Y$133,9,FALSE)/100)*'Calc (ex-housing, ex-storage)'!F259/100)/VLOOKUP($C$257,'DB animal categories'!$C$91:$AC$100,27,FALSE)*AJ259,IF(AI259=4,('Calc (ex-animal)'!$G$50*'DB additional information '!$K$11/100+'Calc (ex-animal)'!$H$50*'DB additional information '!$L$11/100)*(1-VLOOKUP(D259,'DB technologies'!$N$122:$Y$133,9,FALSE)/100)*'Calc (ex-housing, ex-storage)'!F259/100*VLOOKUP(D259,'DB technologies'!$N$122:$Y$133,11,FALSE)/100/VLOOKUP($C$257,'DB animal categories'!$C$91:$AC$100,27,FALSE)*AJ259,0))))</f>
        <v/>
      </c>
      <c r="AM259" s="442" t="str">
        <f>IF(D259="","",IF(AI259=2,(('Calc (ex-animal)'!$G$50*(1-'DB additional information '!$K$11/100)*(1-VLOOKUP(D259,'DB technologies'!$N$122:$Y$133,8,FALSE)/100)*'Calc (ex-housing, ex-storage)'!F259/100+'Calc (ex-animal)'!$H$50*(1-'DB additional information '!$L$11/100)*(1-VLOOKUP(D259,'DB technologies'!$N$122:$Y$133,8,FALSE)/100)*'Calc (ex-housing, ex-storage)'!F259/100))/VLOOKUP($C$257,'DB animal categories'!$C$91:$AC$100,27,FALSE)*AJ259+M259+N259+O259,IF(AI259=1,('Calc (ex-animal)'!$H$50*(1-'DB additional information '!$L$11/100)*(1-VLOOKUP(D259,'DB technologies'!$N$122:$Y$133,8,FALSE)/100)*'Calc (ex-housing, ex-storage)'!F259/100)/VLOOKUP($C$257,'DB animal categories'!$C$91:$AC$100,27,FALSE)*AJ259,IF(AI259=4,('Calc (ex-animal)'!$G$50*(1-'DB additional information '!$K$11/100)+'Calc (ex-animal)'!$H$50*(1-'DB additional information '!$L$11/100))*(1-VLOOKUP(D259,'DB technologies'!$N$122:$Y$133,8,FALSE)/100)*'Calc (ex-housing, ex-storage)'!F259/100*VLOOKUP(D259,'DB technologies'!$N$122:$Y$133,11,FALSE)/100/VLOOKUP($C$257,'DB animal categories'!$C$91:$AC$100,27,FALSE)*AJ259,0))))</f>
        <v/>
      </c>
      <c r="AN259" s="442" t="str">
        <f>IF(AI259="","",IF(AL259=0,0,AL259/AK259*100))</f>
        <v/>
      </c>
      <c r="AO259" s="182" t="str">
        <f>IF(D259="","",IF(AI259=2,(('Calc (ex-animal)'!$L$50*'Calc (ex-housing, ex-storage)'!F259/100+'Calc (ex-animal)'!$K$50*'Calc (ex-housing, ex-storage)'!F259/100))/VLOOKUP($C$257,'DB animal categories'!$C$91:$AC$100,27,FALSE)*AJ259+Q259+R259+S259-AC259,IF(AI259=1,('Calc (ex-animal)'!$L$50*'Calc (ex-housing, ex-storage)'!F259/100)/VLOOKUP($C$257,'DB animal categories'!$C$91:$AC$100,27,FALSE)*AJ259-'Calc (ex-housing, ex-storage)'!AC259,IF(AI259=4,('Calc (ex-animal)'!$L$50+'Calc (ex-animal)'!$K$50)*'Calc (ex-housing, ex-storage)'!F259/100*VLOOKUP(D259,'DB technologies'!$N$122:$Y$133,11,FALSE)/100/VLOOKUP($C$257,'DB animal categories'!$C$91:$AC$100,27,FALSE)*AJ259-AC259*VLOOKUP(D259,'DB technologies'!$N$122:$Y$133,11,FALSE)/100,0))))</f>
        <v/>
      </c>
      <c r="AP259" s="182" t="str">
        <f>IF(D259="","",IF(AO259&lt;-0.01,0,IF(AI259=2,(('Calc (ex-animal)'!$L$50*'Calc (ex-housing, ex-storage)'!F259/100+'Calc (ex-animal)'!$K$50*'Calc (ex-housing, ex-storage)'!F259/100))/VLOOKUP($C$257,'DB animal categories'!$C$91:$AC$100,27,FALSE)*AJ259+Q259+R259+S259-AC259,IF(AI259=1,('Calc (ex-animal)'!$L$50*'Calc (ex-housing, ex-storage)'!F259/100)/VLOOKUP($C$257,'DB animal categories'!$C$91:$AC$100,27,FALSE)*AJ259-'Calc (ex-housing, ex-storage)'!AC259,IF(AI259=4,('Calc (ex-animal)'!$L$50+'Calc (ex-animal)'!$K$50)*'Calc (ex-housing, ex-storage)'!F259/100*VLOOKUP(D259,'DB technologies'!$N$122:$Y$133,11,FALSE)/100/VLOOKUP($C$257,'DB animal categories'!$C$91:$AC$100,27,FALSE)*AJ259-AC259*VLOOKUP(D259,'DB technologies'!$N$122:$Y$133,11,FALSE)/100,0)))))</f>
        <v/>
      </c>
      <c r="AQ259" s="182" t="str">
        <f>IF(D259="","",IF(AI259=2,('Calc (ex-animal)'!$O$50*'Calc (ex-housing, ex-storage)'!F259/100+'Calc (ex-animal)'!$N$50*'Calc (ex-housing, ex-storage)'!F259/100)/VLOOKUP($C$257,'DB animal categories'!$C$91:$AC$100,27,FALSE)*AJ259+U259+V259+W259,IF(AI259=1,'Calc (ex-animal)'!$O$50*'Calc (ex-housing, ex-storage)'!F259/100/VLOOKUP($C$257,'DB animal categories'!$C$91:$AC$100,27,FALSE)*AJ259,IF(AI259=4,('Calc (ex-animal)'!$O$50+'Calc (ex-animal)'!$N$50)*'Calc (ex-housing, ex-storage)'!F259/100*VLOOKUP(D259,'DB technologies'!$N$122:$Y$133,11,FALSE)/100/VLOOKUP($C$257,'DB animal categories'!$C$91:$AC$100,27,FALSE)*AJ259,0))))</f>
        <v/>
      </c>
      <c r="AR259" s="182" t="str">
        <f>IF(D259="","",IF(AI259=2,('Calc (ex-animal)'!$R$50*'Calc (ex-housing, ex-storage)'!F259/100+'Calc (ex-animal)'!$Q$50*'Calc (ex-housing, ex-storage)'!F259/100)/VLOOKUP($C$257,'DB animal categories'!$C$91:$AC$100,27,FALSE)*AJ259+Y259+Z259+AA259,IF(AI259=1,'Calc (ex-animal)'!$R$50*'Calc (ex-housing, ex-storage)'!F259/100/VLOOKUP($C$257,'DB animal categories'!$C$91:$AC$100,27,FALSE)*AJ259,IF(AI259=4,('Calc (ex-animal)'!$R$50+'Calc (ex-animal)'!$Q$50)*'Calc (ex-housing, ex-storage)'!F259/100*VLOOKUP(D259,'DB technologies'!$N$122:$Y$133,11,FALSE)/100/VLOOKUP($C$257,'DB animal categories'!$C$91:$AC$100,27,FALSE)*AJ259,0))))</f>
        <v/>
      </c>
      <c r="AS259" s="181" t="str">
        <f>IF(D259="","",VLOOKUP(D259,'DB technologies'!$N$122:$Y$133,10,FALSE))</f>
        <v/>
      </c>
      <c r="AT259" s="442" t="str">
        <f>IF(AS259="","",AU259+AV259)</f>
        <v/>
      </c>
      <c r="AU259" s="442" t="str">
        <f>IF(D259="","",IF(AS259=2,0,IF(AS259=1,'Calc (ex-animal)'!$G$50*'DB additional information '!$K$11/100*(1-VLOOKUP(D259,'DB technologies'!$N$122:$Y$133,8,FALSE)/100)*'Calc (ex-housing, ex-storage)'!F259/100/VLOOKUP($C$257,'DB animal categories'!$C$91:$AC$100,27,FALSE)*AJ259+I259+J259+K259,IF(AS259=5,(('Calc (ex-animal)'!$G$50*'DB additional information '!$K$11/100+'Calc (ex-animal)'!$H$50*'DB additional information '!$L$11/100))*(1-VLOOKUP(D259,'DB technologies'!$N$122:$Y$133,9,FALSE)/100)*'Calc (ex-housing, ex-storage)'!F259/100/VLOOKUP($C$257,'DB animal categories'!$C$91:$AC$100,27,FALSE)*AJ259+I259+J259+K259,IF(AS259=3,('Calc (ex-animal)'!$G$50*'DB additional information '!$K$11/100+'Calc (ex-animal)'!$H$50*'DB additional information '!$L$11/100)*(1-VLOOKUP(D259,'DB technologies'!$N$122:$Y$133,9,FALSE)/100)*'Calc (ex-housing, ex-storage)'!F259/100/VLOOKUP($C$257,'DB animal categories'!$C$91:$AC$100,27,FALSE)*AJ259+I259+J259+K259,IF(AS259=4,('Calc (ex-animal)'!$G$50*'DB additional information '!$K$11/100+'Calc (ex-animal)'!$H$50*'DB additional information '!$L$11/100)*(1-VLOOKUP(D259,'DB technologies'!$N$122:$Y$133,9,FALSE)/100)*'Calc (ex-housing, ex-storage)'!F259/100*VLOOKUP(D259,'DB technologies'!$N$122:$Y$133,12,FALSE)/100/VLOOKUP($C$257,'DB animal categories'!$C$91:$AC$100,27,FALSE)*AJ259+I259+J259+K259,0))))))</f>
        <v/>
      </c>
      <c r="AV259" s="442" t="str">
        <f>IF(D259="","",IF(AS259=2,0,IF(AS259=1,'Calc (ex-animal)'!$G$50*(1-'DB additional information '!$K$11/100)*(1-VLOOKUP(D259,'DB technologies'!$N$122:$Y$133,8,FALSE)/100)*'Calc (ex-housing, ex-storage)'!F259/100/VLOOKUP($C$257,'DB animal categories'!$C$91:$AC$100,27,FALSE)*AJ259+M259+N259+O259,IF(AS259=5,('Calc (ex-animal)'!$G$50*(1-'DB additional information '!$K$11/100)+'Calc (ex-animal)'!$H$50*(1-'DB additional information '!$L$11/100))*(1-VLOOKUP(D259,'DB technologies'!$N$122:$Y$133,8,FALSE)/100)*'Calc (ex-housing, ex-storage)'!F259/100/VLOOKUP($C$257,'DB animal categories'!$C$91:$AC$100,27,FALSE)*AJ259+M259+N259+O259,IF(AS259=3,('Calc (ex-animal)'!$G$50*(1-'DB additional information '!$K$11/100)+'Calc (ex-animal)'!$H$50*(1-'DB additional information '!$L$11/100))*(1-VLOOKUP(D259,'DB technologies'!$N$122:$Y$133,8,FALSE)/100)*'Calc (ex-housing, ex-storage)'!F259/100/VLOOKUP($C$257,'DB animal categories'!$C$91:$AC$100,27,FALSE)*AJ259+M259+N259+O259,IF(AS259=4,('Calc (ex-animal)'!$G$50*(1-'DB additional information '!$K$11/100)+'Calc (ex-animal)'!$H$50*(1-'DB additional information '!$L$11/100))*(1-VLOOKUP(D259,'DB technologies'!$N$122:$Y$133,8,FALSE)/100)*'Calc (ex-housing, ex-storage)'!F259/100*VLOOKUP(D259,'DB technologies'!$N$122:$Y$133,12,FALSE)/100/VLOOKUP($C$257,'DB animal categories'!$C$91:$AC$100,27,FALSE)*AJ259+M259+N259+O259,0))))))</f>
        <v/>
      </c>
      <c r="AW259" s="442" t="str">
        <f>IF(AS259="","",IF(AU259=0,0,AU259/AT259*100))</f>
        <v/>
      </c>
      <c r="AX259" s="182" t="str">
        <f>IF(D259="","",IF(AS259=2,0,IF(AS259=1,'Calc (ex-animal)'!$K$50*'Calc (ex-housing, ex-storage)'!F259/100/VLOOKUP($C$257,'DB animal categories'!$C$91:$AC$100,27,FALSE)*AJ259+Q259+R259+S259,IF(AS259=5,('Calc (ex-animal)'!$K$50+'Calc (ex-animal)'!$L$50)*'Calc (ex-housing, ex-storage)'!F259/100/VLOOKUP($C$257,'DB animal categories'!$C$91:$AC$100,27,FALSE)*AJ259+Q259+R259+S259-'Calc (ex-housing, ex-storage)'!AC259,IF(AS259=3,('Calc (ex-animal)'!$K$50+'Calc (ex-animal)'!$L$50)*'Calc (ex-housing, ex-storage)'!F259/100/VLOOKUP($C$257,'DB animal categories'!$C$91:$AC$100,27,FALSE)*AJ259+Q259+R259+S259-'Calc (ex-housing, ex-storage)'!AC259-AD259-AE259,IF(AI259=4,('Calc (ex-animal)'!$K$50+'Calc (ex-animal)'!$L$50)*'Calc (ex-housing, ex-storage)'!F259/100*VLOOKUP(D259,'DB technologies'!$N$122:$Y$133,12,FALSE)/100/VLOOKUP($C$257,'DB animal categories'!$C$91:$AC$100,27,FALSE)*AJ259+Q259+R259+S259-(VLOOKUP(D259,'DB technologies'!$N$122:$Y$133,12,FALSE)/100*AC259)-AD259-AE259,0))))))</f>
        <v/>
      </c>
      <c r="AY259" s="182" t="str">
        <f>IF(D259="","",IF(AS259=2,0,IF(AS259=1,'Calc (ex-animal)'!$N$50*'Calc (ex-housing, ex-storage)'!F259/100/VLOOKUP($C$257,'DB animal categories'!$C$91:$AC$100,27,FALSE)*AJ259+U259+V259+W259,IF(AS259=5,('Calc (ex-animal)'!$N$50+'Calc (ex-animal)'!$O$50)*'Calc (ex-housing, ex-storage)'!F259/100/VLOOKUP($C$257,'DB animal categories'!$C$91:$AC$100,27,FALSE)*AJ259+U259+V259+W259,IF(AS259=3,('Calc (ex-animal)'!$N$50+'Calc (ex-animal)'!$O$50)*'Calc (ex-housing, ex-storage)'!F259/100/VLOOKUP($C$257,'DB animal categories'!$C$91:$AC$100,27,FALSE)*AJ259+U259+V259+W259,IF(AS259=4,('Calc (ex-animal)'!$N$50+'Calc (ex-animal)'!$O$50)*'Calc (ex-housing, ex-storage)'!F259/100*VLOOKUP(D259,'DB technologies'!$N$122:$Y$133,12,FALSE)/100/VLOOKUP($C$257,'DB animal categories'!$C$91:$AC$100,27,FALSE)*AJ259+U259+V259+W259,0))))))</f>
        <v/>
      </c>
      <c r="AZ259" s="182" t="str">
        <f>IF(D259="","",IF(AS259=2,0,IF(AS259=1,'Calc (ex-animal)'!$Q$50*'Calc (ex-housing, ex-storage)'!F259/100/VLOOKUP($C$257,'DB animal categories'!$C$91:$AC$100,27,FALSE)*AJ259+Y259+Z259+AA259,IF(AS259=5,('Calc (ex-animal)'!$Q$50+'Calc (ex-animal)'!$R$50)*'Calc (ex-housing, ex-storage)'!F259/100/VLOOKUP($C$257,'DB animal categories'!$C$91:$AC$100,27,FALSE)*AJ259+Y259+Z259+AA259,IF(AS259=3,('Calc (ex-animal)'!$Q$50+'Calc (ex-animal)'!$R$50)*'Calc (ex-housing, ex-storage)'!F259/100/VLOOKUP($C$257,'DB animal categories'!$C$91:$AC$100,27,FALSE)*AJ259+Y259+Z259+AA259,IF(AS259=4,('Calc (ex-animal)'!$Q$50+'Calc (ex-animal)'!$R$50)*'Calc (ex-housing, ex-storage)'!F259/100*VLOOKUP(D259,'DB technologies'!$N$122:$Y$133,12,FALSE)/100/VLOOKUP($C$257,'DB animal categories'!$C$91:$AC$100,27,FALSE)*AJ259+Y259+Z259+AA259,0))))))</f>
        <v/>
      </c>
      <c r="BA259" s="506"/>
      <c r="BB259" s="506"/>
      <c r="BC259" s="506"/>
    </row>
    <row r="260" spans="1:55" x14ac:dyDescent="0.2">
      <c r="A260" s="684"/>
      <c r="B260" s="695"/>
      <c r="C260" s="251"/>
      <c r="D260" s="1357"/>
      <c r="E260" s="1358"/>
      <c r="F260" s="480" t="str">
        <f>IF('Calc (ex-animal)'!$F$38=1,"",IF($C$257=0,"",IF(D260="","",E260/'Calc (ex-animal)'!$E$50*100)))</f>
        <v/>
      </c>
      <c r="G260" s="485" t="str">
        <f>IF($C$257=0,"",IF('Calc (ex-animal)'!$F$38=1,"",IF(D260="","",SUM(H260:O260))))</f>
        <v/>
      </c>
      <c r="H260" s="423" t="str">
        <f>IF('Calc (ex-animal)'!$F$38=1,"",IF(D260="","",(((VLOOKUP($C$257,'Calc (ex-animal)'!$D$48:$Y$52,6,FALSE)-VLOOKUP($C$257,'Calc (ex-animal)'!$D$48:$Y$52,17,FALSE))*F260/100))*VLOOKUP($C$257,'Calc (ex-animal)'!$D$48:$Y$52,7,FALSE)/100*(1-VLOOKUP(D260,'DB technologies'!$N$122:$Y$133,9,FALSE)/100)))</f>
        <v/>
      </c>
      <c r="I260" s="423" t="str">
        <f>IF(D260="","",((VLOOKUP(D260,'DB technologies'!$N$122:$Y$133,2,FALSE)*VLOOKUP($C$257,'DB animal categories'!$C$91:$AC$100,27,FALSE)*E260/1000)/VLOOKUP($C$257,'DB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'!$S$6/100*(1-VLOOKUP(D260,'DB technologies'!$N$122:$Y$133,9,FALSE)/100)))</f>
        <v/>
      </c>
      <c r="J260" s="434" t="str">
        <f>IF(D260="","",((VLOOKUP(D260,'DB technologies'!$N$122:$Y$133,3,FALSE)*VLOOKUP($C$257,'DB animal categories'!$C$91:$AC$100,27,FALSE)*E260/1000)/VLOOKUP($C$257,'DB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'!$S$7/100*(1-VLOOKUP(D260,'DB technologies'!$N$122:$Y$133,9,FALSE)/100)))</f>
        <v/>
      </c>
      <c r="K260" s="434" t="str">
        <f>IF(D260="","",((VLOOKUP(D260,'DB technologies'!$N$122:$Y$133,4,FALSE)*E260*'DB additional information '!$S$8/100*(1-VLOOKUP(D260,'DB technologies'!$N$122:$Y$133,9,FALSE)/100))/VLOOKUP($C$257,'DB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L260" s="423" t="str">
        <f>IF('Calc (ex-animal)'!$F$38=1,"",IF(D260="","",(((VLOOKUP($C$257,'Calc (ex-animal)'!$D$48:$Y$52,6,FALSE)-VLOOKUP($C$257,'Calc (ex-animal)'!$D$48:$Y$52,17,FALSE))*F260/100))*(1-VLOOKUP($C$257,'Calc (ex-animal)'!$D$48:$Y$52,7,FALSE)/100)*(1-VLOOKUP(D260,'DB technologies'!$N$122:$V$133,8,FALSE)/100)))</f>
        <v/>
      </c>
      <c r="M260" s="434" t="str">
        <f>IF(D260="","",((VLOOKUP(D260,'DB technologies'!$N$122:$Y$133,2,FALSE)*VLOOKUP($C$257,'DB animal categories'!$C$91:$AC$100,27,FALSE)*E260/1000)/VLOOKUP($C$257,'DB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'!$S$6/100)*(1-VLOOKUP(D260,'DB technologies'!$N$122:$Y$133,9,FALSE)/100))</f>
        <v/>
      </c>
      <c r="N260" s="434" t="str">
        <f>IF(D260="","",((VLOOKUP(D260,'DB technologies'!$N$122:$Y$133,3,FALSE)*VLOOKUP($C$257,'DB animal categories'!$C$91:$AC$100,27,FALSE)*E260/1000)/VLOOKUP($C$257,'DB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'!$S$7/100)*(1-VLOOKUP(D260,'DB technologies'!$N$122:$Y$133,9,FALSE)/100))</f>
        <v/>
      </c>
      <c r="O260" s="423" t="str">
        <f>IF(D260="","",((VLOOKUP(D260,'DB technologies'!$N$122:$Y$133,4,FALSE)*E260*(1-'DB additional information '!$S$8/100)*(1-VLOOKUP(D260,'DB technologies'!$N$122:$Y$133,8,FALSE)/100))/VLOOKUP($C$257,'DB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P260" s="438" t="str">
        <f>IF(G260=0,0,IF(E260="","",IF(F260="","",IF($C$257=0,"",IF(D260="","",SUM(H260:K260)/G260*100)))))</f>
        <v/>
      </c>
      <c r="Q260" s="416" t="str">
        <f>IF(D260="","",(VLOOKUP(D260,'DB technologies'!$N$122:$Y$133,2,FALSE)*'DB additional information '!$S$6/100*'DB additional information '!$T$6*VLOOKUP($C$257,'DB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R260" s="416" t="str">
        <f>IF(D260="","",(VLOOKUP(D260,'DB technologies'!$N$122:$Y$133,3,FALSE)*'DB additional information '!$S$7/100*'DB additional information '!$T$7*VLOOKUP($C$257,'DB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S260" s="491" t="str">
        <f>IF(D260="","",(VLOOKUP(D260,'DB technologies'!$N$122:$Y$133,4,FALSE)*('DB additional information '!$S$8/100*'DB additional information '!$T$8*E260/1000/1000)))</f>
        <v/>
      </c>
      <c r="T260" s="264" t="str">
        <f>IF($C$257=0,"",IF('Calc (ex-animal)'!$F$38=1,"",IF(D260="","",((VLOOKUP($C$257,'Calc (ex-animal)'!$D$48:$Y$52,10,FALSE)-VLOOKUP($C$257,'Calc (ex-animal)'!$D$48:$Y$52,18,FALSE))*F260/100+Q260+R260+S260)-AC260-AD260-AE260)))</f>
        <v/>
      </c>
      <c r="U260" s="422" t="str">
        <f>IF(D260="","",(VLOOKUP(D260,'DB technologies'!$N$122:$Y$133,2,FALSE)*'DB additional information '!$S$6/100*'DB additional information '!$U$6*VLOOKUP($C$257,'DB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V260" s="418" t="str">
        <f>IF(D260="","",(VLOOKUP(D260,'DB technologies'!$N$122:$Y$133,3,FALSE)*'DB additional information '!$S$7/100*'DB additional information '!$U$7*VLOOKUP($C$257,'DB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W260" s="417" t="str">
        <f>IF(D260="","",(VLOOKUP(D260,'DB technologies'!$N$122:$Y$133,4,FALSE)*('DB additional information '!$S$8/100*'DB additional information '!$U$8*E260/1000/1000)))</f>
        <v/>
      </c>
      <c r="X260" s="261" t="str">
        <f>IF($C$257=0,"",IF('Calc (ex-animal)'!$F$38=1,"",IF(D260="","",((VLOOKUP($C$257,'Calc (ex-animal)'!$D$48:$Y$52,13,FALSE)-VLOOKUP($C$257,'Calc (ex-animal)'!$D$48:$Y$52,19,FALSE))*F260/100+U260+V260+W260))))</f>
        <v/>
      </c>
      <c r="Y260" s="418" t="str">
        <f>IF(D260="","",(VLOOKUP(D260,'DB technologies'!$N$122:$Y$133,2,FALSE)*'DB additional information '!$S$6/100*'DB additional information '!$V$6*VLOOKUP($C$257,'DB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Z260" s="418" t="str">
        <f>IF(D260="","",(VLOOKUP(D260,'DB technologies'!$N$122:$Y$133,3,FALSE)*'DB additional information '!$S$7/100*'DB additional information '!$V$7*VLOOKUP($C$257,'DB animal categories'!$C$91:$AC$100,27,FALSE)*E260/1000/1000)/VLOOKUP($C$257,'DB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AA260" s="418" t="str">
        <f>IF(D260="","",(VLOOKUP(D260,'DB technologies'!$N$122:$Y$133,4,FALSE)*('DB additional information '!$S$8/100*'DB additional information '!$V$8*E260/1000/1000)))</f>
        <v/>
      </c>
      <c r="AB260" s="261" t="str">
        <f>IF($C$257=0,"",IF('Calc (ex-animal)'!$F$38=1,"",IF(D260="","",((VLOOKUP($C$257,'Calc (ex-animal)'!$D$48:$Y$52,16,FALSE)-VLOOKUP($C$257,'Calc (ex-animal)'!$D$48:$Y$52,20,FALSE))*F260/100+Y260+Z260+AA260))))</f>
        <v/>
      </c>
      <c r="AC260" s="261" t="str">
        <f>IF($C$257=0,"",IF('Calc (ex-animal)'!$F$38=1,"",IF(D260="","",VLOOKUP($C$257,'Calc (ex-animal)'!$D$48:$Y$52,9,FALSE)/VLOOKUP($C$257,'DB animal categories'!$C$91:$AC$100,27,FALSE)*(VLOOKUP($C$257,'DB animal categories'!$C$91:$AC$100,27,FALSE)-VLOOKUP($C$257,'DB animal categories'!$C$91:$AC$100,25,FALSE)*VLOOKUP($C$257,'DB animal categories'!$C$91:$AC$100,26,FALSE)/24)*F260/100*VLOOKUP(D260,'DB technologies'!$N$122:$R$133,5,FALSE)/100)))</f>
        <v/>
      </c>
      <c r="AD260" s="261" t="str">
        <f>IF($C$257=0,"",IF('Calc (ex-animal)'!$F$38=1,"",IF(D260="","",VLOOKUP($C$257,'Calc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categories'!$C$91:$AC$100,26,FALSE)/24)*F260/100*VLOOKUP(D260,'DB technologies'!$N$122:$Y$133,6,FALSE)/100)))</f>
        <v/>
      </c>
      <c r="AE260" s="262" t="str">
        <f>IF($C$257=0,"",IF('Calc (ex-animal)'!$F$38=1,"",IF(D260="","",VLOOKUP($C$257,'Calc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categories'!$C$91:$AC$100,26,FALSE)/24)*F260/100*VLOOKUP(D260,'DB technologies'!$N$122:$Y$133,7,FALSE)/100)))</f>
        <v/>
      </c>
      <c r="AI260" s="181" t="str">
        <f>IF(D260="","",VLOOKUP(D260,'DB technologies'!$N$122:$Y$133,10,FALSE))</f>
        <v/>
      </c>
      <c r="AJ260" s="449" t="e">
        <f>VLOOKUP($C$257,'DB animal categories'!$C$91:$AN$100,27,FALSE)-VLOOKUP($C$257,'DB animal categories'!$C$91:$AN$100,26,FALSE)*VLOOKUP($C$257,'DB animal categories'!$C$91:$AN$100,25,FALSE)/24</f>
        <v>#N/A</v>
      </c>
      <c r="AK260" s="442" t="str">
        <f>IF(AI260="","",AL260+AM260)</f>
        <v/>
      </c>
      <c r="AL260" s="442" t="str">
        <f>IF(D260="","",IF(AI260=2,(('Calc (ex-animal)'!$G$50*'DB additional information '!$K$11/100*(1-VLOOKUP(D260,'DB technologies'!$N$122:$Y$133,9,FALSE)/100)*'Calc (ex-housing, ex-storage)'!F260/100+'Calc (ex-animal)'!$H$50*'DB additional information '!$L$11/100*(1-VLOOKUP(D260,'DB technologies'!$N$122:$Y$133,9,FALSE)/100)*'Calc (ex-housing, ex-storage)'!F260/100))/VLOOKUP($C$257,'DB animal categories'!$C$91:$AC$100,27,FALSE)*AJ260+I260+J260+K260,IF(AI260=1,('Calc (ex-animal)'!$H$50*'DB additional information '!$L$11/100*(1-VLOOKUP(D260,'DB technologies'!$N$122:$Y$133,9,FALSE)/100)*'Calc (ex-housing, ex-storage)'!F260/100)/VLOOKUP($C$257,'DB animal categories'!$C$91:$AC$100,27,FALSE)*AJ260,IF(AI260=4,('Calc (ex-animal)'!$G$50*'DB additional information '!$K$11/100+'Calc (ex-animal)'!$H$50*'DB additional information '!$L$11/100)*(1-VLOOKUP(D260,'DB technologies'!$N$122:$Y$133,9,FALSE)/100)*'Calc (ex-housing, ex-storage)'!F260/100*VLOOKUP(D260,'DB technologies'!$N$122:$Y$133,11,FALSE)/100/VLOOKUP($C$257,'DB animal categories'!$C$91:$AC$100,27,FALSE)*AJ260,0))))</f>
        <v/>
      </c>
      <c r="AM260" s="442" t="str">
        <f>IF(D260="","",IF(AI260=2,(('Calc (ex-animal)'!$G$50*(1-'DB additional information '!$K$11/100)*(1-VLOOKUP(D260,'DB technologies'!$N$122:$Y$133,8,FALSE)/100)*'Calc (ex-housing, ex-storage)'!F260/100+'Calc (ex-animal)'!$H$50*(1-'DB additional information '!$L$11/100)*(1-VLOOKUP(D260,'DB technologies'!$N$122:$Y$133,8,FALSE)/100)*'Calc (ex-housing, ex-storage)'!F260/100))/VLOOKUP($C$257,'DB animal categories'!$C$91:$AC$100,27,FALSE)*AJ260+M260+N260+O260,IF(AI260=1,('Calc (ex-animal)'!$H$50*(1-'DB additional information '!$L$11/100)*(1-VLOOKUP(D260,'DB technologies'!$N$122:$Y$133,8,FALSE)/100)*'Calc (ex-housing, ex-storage)'!F260/100)/VLOOKUP($C$257,'DB animal categories'!$C$91:$AC$100,27,FALSE)*AJ260,IF(AI260=4,('Calc (ex-animal)'!$G$50*(1-'DB additional information '!$K$11/100)+'Calc (ex-animal)'!$H$50*(1-'DB additional information '!$L$11/100))*(1-VLOOKUP(D260,'DB technologies'!$N$122:$Y$133,8,FALSE)/100)*'Calc (ex-housing, ex-storage)'!F260/100*VLOOKUP(D260,'DB technologies'!$N$122:$Y$133,11,FALSE)/100/VLOOKUP($C$257,'DB animal categories'!$C$91:$AC$100,27,FALSE)*AJ260,0))))</f>
        <v/>
      </c>
      <c r="AN260" s="442" t="str">
        <f>IF(AI260="","",IF(AL260=0,0,AL260/AK260*100))</f>
        <v/>
      </c>
      <c r="AO260" s="182" t="str">
        <f>IF(D260="","",IF(AI260=2,(('Calc (ex-animal)'!$L$50*'Calc (ex-housing, ex-storage)'!F260/100+'Calc (ex-animal)'!$K$50*'Calc (ex-housing, ex-storage)'!F260/100))/VLOOKUP($C$257,'DB animal categories'!$C$91:$AC$100,27,FALSE)*AJ260+Q260+R260+S260-AC260,IF(AI260=1,('Calc (ex-animal)'!$L$50*'Calc (ex-housing, ex-storage)'!F260/100)/VLOOKUP($C$257,'DB animal categories'!$C$91:$AC$100,27,FALSE)*AJ260-'Calc (ex-housing, ex-storage)'!AC260,IF(AI260=4,('Calc (ex-animal)'!$L$50+'Calc (ex-animal)'!$K$50)*'Calc (ex-housing, ex-storage)'!F260/100*VLOOKUP(D260,'DB technologies'!$N$122:$Y$133,11,FALSE)/100/VLOOKUP($C$257,'DB animal categories'!$C$91:$AC$100,27,FALSE)*AJ260-AC260*VLOOKUP(D260,'DB technologies'!$N$122:$Y$133,11,FALSE)/100,0))))</f>
        <v/>
      </c>
      <c r="AP260" s="182" t="str">
        <f>IF(D260="","",IF(AO260&lt;-0.01,0,IF(AI260=2,(('Calc (ex-animal)'!$L$50*'Calc (ex-housing, ex-storage)'!F260/100+'Calc (ex-animal)'!$K$50*'Calc (ex-housing, ex-storage)'!F260/100))/VLOOKUP($C$257,'DB animal categories'!$C$91:$AC$100,27,FALSE)*AJ260+Q260+R260+S260-AC260,IF(AI260=1,('Calc (ex-animal)'!$L$50*'Calc (ex-housing, ex-storage)'!F260/100)/VLOOKUP($C$257,'DB animal categories'!$C$91:$AC$100,27,FALSE)*AJ260-'Calc (ex-housing, ex-storage)'!AC260,IF(AI260=4,('Calc (ex-animal)'!$L$50+'Calc (ex-animal)'!$K$50)*'Calc (ex-housing, ex-storage)'!F260/100*VLOOKUP(D260,'DB technologies'!$N$122:$Y$133,11,FALSE)/100/VLOOKUP($C$257,'DB animal categories'!$C$91:$AC$100,27,FALSE)*AJ260-AC260*VLOOKUP(D260,'DB technologies'!$N$122:$Y$133,11,FALSE)/100,0)))))</f>
        <v/>
      </c>
      <c r="AQ260" s="182" t="str">
        <f>IF(D260="","",IF(AI260=2,('Calc (ex-animal)'!$O$50*'Calc (ex-housing, ex-storage)'!F260/100+'Calc (ex-animal)'!$N$50*'Calc (ex-housing, ex-storage)'!F260/100)/VLOOKUP($C$257,'DB animal categories'!$C$91:$AC$100,27,FALSE)*AJ260+U260+V260+W260,IF(AI260=1,'Calc (ex-animal)'!$O$50*'Calc (ex-housing, ex-storage)'!F260/100/VLOOKUP($C$257,'DB animal categories'!$C$91:$AC$100,27,FALSE)*AJ260,IF(AI260=4,('Calc (ex-animal)'!$O$50+'Calc (ex-animal)'!$N$50)*'Calc (ex-housing, ex-storage)'!F260/100*VLOOKUP(D260,'DB technologies'!$N$122:$Y$133,11,FALSE)/100/VLOOKUP($C$257,'DB animal categories'!$C$91:$AC$100,27,FALSE)*AJ260,0))))</f>
        <v/>
      </c>
      <c r="AR260" s="182" t="str">
        <f>IF(D260="","",IF(AI260=2,('Calc (ex-animal)'!$R$50*'Calc (ex-housing, ex-storage)'!F260/100+'Calc (ex-animal)'!$Q$50*'Calc (ex-housing, ex-storage)'!F260/100)/VLOOKUP($C$257,'DB animal categories'!$C$91:$AC$100,27,FALSE)*AJ260+Y260+Z260+AA260,IF(AI260=1,'Calc (ex-animal)'!$R$50*'Calc (ex-housing, ex-storage)'!F260/100/VLOOKUP($C$257,'DB animal categories'!$C$91:$AC$100,27,FALSE)*AJ260,IF(AI260=4,('Calc (ex-animal)'!$R$50+'Calc (ex-animal)'!$Q$50)*'Calc (ex-housing, ex-storage)'!F260/100*VLOOKUP(D260,'DB technologies'!$N$122:$Y$133,11,FALSE)/100/VLOOKUP($C$257,'DB animal categories'!$C$91:$AC$100,27,FALSE)*AJ260,0))))</f>
        <v/>
      </c>
      <c r="AS260" s="181" t="str">
        <f>IF(D260="","",VLOOKUP(D260,'DB technologies'!$N$122:$Y$133,10,FALSE))</f>
        <v/>
      </c>
      <c r="AT260" s="442" t="str">
        <f>IF(AS260="","",AU260+AV260)</f>
        <v/>
      </c>
      <c r="AU260" s="442" t="str">
        <f>IF(D260="","",IF(AS260=2,0,IF(AS260=1,'Calc (ex-animal)'!$G$50*'DB additional information '!$K$11/100*(1-VLOOKUP(D260,'DB technologies'!$N$122:$Y$133,8,FALSE)/100)*'Calc (ex-housing, ex-storage)'!F260/100/VLOOKUP($C$257,'DB animal categories'!$C$91:$AC$100,27,FALSE)*AJ260+I260+J260+K260,IF(AS260=5,(('Calc (ex-animal)'!$G$50*'DB additional information '!$K$11/100+'Calc (ex-animal)'!$H$50*'DB additional information '!$L$11/100))*(1-VLOOKUP(D260,'DB technologies'!$N$122:$Y$133,9,FALSE)/100)*'Calc (ex-housing, ex-storage)'!F260/100/VLOOKUP($C$257,'DB animal categories'!$C$91:$AC$100,27,FALSE)*AJ260+I260+J260+K260,IF(AS260=3,('Calc (ex-animal)'!$G$50*'DB additional information '!$K$11/100+'Calc (ex-animal)'!$H$50*'DB additional information '!$L$11/100)*(1-VLOOKUP(D260,'DB technologies'!$N$122:$Y$133,9,FALSE)/100)*'Calc (ex-housing, ex-storage)'!F260/100/VLOOKUP($C$257,'DB animal categories'!$C$91:$AC$100,27,FALSE)*AJ260+I260+J260+K260,IF(AS260=4,('Calc (ex-animal)'!$G$50*'DB additional information '!$K$11/100+'Calc (ex-animal)'!$H$50*'DB additional information '!$L$11/100)*(1-VLOOKUP(D260,'DB technologies'!$N$122:$Y$133,9,FALSE)/100)*'Calc (ex-housing, ex-storage)'!F260/100*VLOOKUP(D260,'DB technologies'!$N$122:$Y$133,12,FALSE)/100/VLOOKUP($C$257,'DB animal categories'!$C$91:$AC$100,27,FALSE)*AJ260+I260+J260+K260,0))))))</f>
        <v/>
      </c>
      <c r="AV260" s="442" t="str">
        <f>IF(D260="","",IF(AS260=2,0,IF(AS260=1,'Calc (ex-animal)'!$G$50*(1-'DB additional information '!$K$11/100)*(1-VLOOKUP(D260,'DB technologies'!$N$122:$Y$133,8,FALSE)/100)*'Calc (ex-housing, ex-storage)'!F260/100/VLOOKUP($C$257,'DB animal categories'!$C$91:$AC$100,27,FALSE)*AJ260+M260+N260+O260,IF(AS260=5,('Calc (ex-animal)'!$G$50*(1-'DB additional information '!$K$11/100)+'Calc (ex-animal)'!$H$50*(1-'DB additional information '!$L$11/100))*(1-VLOOKUP(D260,'DB technologies'!$N$122:$Y$133,8,FALSE)/100)*'Calc (ex-housing, ex-storage)'!F260/100/VLOOKUP($C$257,'DB animal categories'!$C$91:$AC$100,27,FALSE)*AJ260+M260+N260+O260,IF(AS260=3,('Calc (ex-animal)'!$G$50*(1-'DB additional information '!$K$11/100)+'Calc (ex-animal)'!$H$50*(1-'DB additional information '!$L$11/100))*(1-VLOOKUP(D260,'DB technologies'!$N$122:$Y$133,8,FALSE)/100)*'Calc (ex-housing, ex-storage)'!F260/100/VLOOKUP($C$257,'DB animal categories'!$C$91:$AC$100,27,FALSE)*AJ260+M260+N260+O260,IF(AS260=4,('Calc (ex-animal)'!$G$50*(1-'DB additional information '!$K$11/100)+'Calc (ex-animal)'!$H$50*(1-'DB additional information '!$L$11/100))*(1-VLOOKUP(D260,'DB technologies'!$N$122:$Y$133,8,FALSE)/100)*'Calc (ex-housing, ex-storage)'!F260/100*VLOOKUP(D260,'DB technologies'!$N$122:$Y$133,12,FALSE)/100/VLOOKUP($C$257,'DB animal categories'!$C$91:$AC$100,27,FALSE)*AJ260+M260+N260+O260,0))))))</f>
        <v/>
      </c>
      <c r="AW260" s="442" t="str">
        <f>IF(AS260="","",IF(AU260=0,0,AU260/AT260*100))</f>
        <v/>
      </c>
      <c r="AX260" s="182" t="str">
        <f>IF(D260="","",IF(AS260=2,0,IF(AS260=1,'Calc (ex-animal)'!$K$50*'Calc (ex-housing, ex-storage)'!F260/100/VLOOKUP($C$257,'DB animal categories'!$C$91:$AC$100,27,FALSE)*AJ260+Q260+R260+S260,IF(AS260=5,('Calc (ex-animal)'!$K$50+'Calc (ex-animal)'!$L$50)*'Calc (ex-housing, ex-storage)'!F260/100/VLOOKUP($C$257,'DB animal categories'!$C$91:$AC$100,27,FALSE)*AJ260+Q260+R260+S260-'Calc (ex-housing, ex-storage)'!AC260,IF(AS260=3,('Calc (ex-animal)'!$K$50+'Calc (ex-animal)'!$L$50)*'Calc (ex-housing, ex-storage)'!F260/100/VLOOKUP($C$257,'DB animal categories'!$C$91:$AC$100,27,FALSE)*AJ260+Q260+R260+S260-'Calc (ex-housing, ex-storage)'!AC260-AD260-AE260,IF(AI260=4,('Calc (ex-animal)'!$K$50+'Calc (ex-animal)'!$L$50)*'Calc (ex-housing, ex-storage)'!F260/100*VLOOKUP(D260,'DB technologies'!$N$122:$Y$133,12,FALSE)/100/VLOOKUP($C$257,'DB animal categories'!$C$91:$AC$100,27,FALSE)*AJ260+Q260+R260+S260-(VLOOKUP(D260,'DB technologies'!$N$122:$Y$133,12,FALSE)/100*AC260)-AD260-AE260,0))))))</f>
        <v/>
      </c>
      <c r="AY260" s="182" t="str">
        <f>IF(D260="","",IF(AS260=2,0,IF(AS260=1,'Calc (ex-animal)'!$N$50*'Calc (ex-housing, ex-storage)'!F260/100/VLOOKUP($C$257,'DB animal categories'!$C$91:$AC$100,27,FALSE)*AJ260+U260+V260+W260,IF(AS260=5,('Calc (ex-animal)'!$N$50+'Calc (ex-animal)'!$O$50)*'Calc (ex-housing, ex-storage)'!F260/100/VLOOKUP($C$257,'DB animal categories'!$C$91:$AC$100,27,FALSE)*AJ260+U260+V260+W260,IF(AS260=3,('Calc (ex-animal)'!$N$50+'Calc (ex-animal)'!$O$50)*'Calc (ex-housing, ex-storage)'!F260/100/VLOOKUP($C$257,'DB animal categories'!$C$91:$AC$100,27,FALSE)*AJ260+U260+V260+W260,IF(AS260=4,('Calc (ex-animal)'!$N$50+'Calc (ex-animal)'!$O$50)*'Calc (ex-housing, ex-storage)'!F260/100*VLOOKUP(D260,'DB technologies'!$N$122:$Y$133,12,FALSE)/100/VLOOKUP($C$257,'DB animal categories'!$C$91:$AC$100,27,FALSE)*AJ260+U260+V260+W260,0))))))</f>
        <v/>
      </c>
      <c r="AZ260" s="182" t="str">
        <f>IF(D260="","",IF(AS260=2,0,IF(AS260=1,'Calc (ex-animal)'!$Q$50*'Calc (ex-housing, ex-storage)'!F260/100/VLOOKUP($C$257,'DB animal categories'!$C$91:$AC$100,27,FALSE)*AJ260+Y260+Z260+AA260,IF(AS260=5,('Calc (ex-animal)'!$Q$50+'Calc (ex-animal)'!$R$50)*'Calc (ex-housing, ex-storage)'!F260/100/VLOOKUP($C$257,'DB animal categories'!$C$91:$AC$100,27,FALSE)*AJ260+Y260+Z260+AA260,IF(AS260=3,('Calc (ex-animal)'!$Q$50+'Calc (ex-animal)'!$R$50)*'Calc (ex-housing, ex-storage)'!F260/100/VLOOKUP($C$257,'DB animal categories'!$C$91:$AC$100,27,FALSE)*AJ260+Y260+Z260+AA260,IF(AS260=4,('Calc (ex-animal)'!$Q$50+'Calc (ex-animal)'!$R$50)*'Calc (ex-housing, ex-storage)'!F260/100*VLOOKUP(D260,'DB technologies'!$N$122:$Y$133,12,FALSE)/100/VLOOKUP($C$257,'DB animal categories'!$C$91:$AC$100,27,FALSE)*AJ260+Y260+Z260+AA260,0))))))</f>
        <v/>
      </c>
      <c r="BA260" s="506"/>
      <c r="BB260" s="506"/>
      <c r="BC260" s="506"/>
    </row>
    <row r="261" spans="1:55" ht="12" thickBot="1" x14ac:dyDescent="0.25">
      <c r="A261" s="684"/>
      <c r="B261" s="695"/>
      <c r="C261" s="251"/>
      <c r="D261" s="1359"/>
      <c r="E261" s="1360"/>
      <c r="F261" s="481" t="str">
        <f>IF('Calc (ex-animal)'!$F$38=1,"",IF($C$257=0,"",IF(D261="","",E261/'Calc (ex-animal)'!$E$50*100)))</f>
        <v/>
      </c>
      <c r="G261" s="483" t="str">
        <f>IF($C$257=0,"",IF('Calc (ex-animal)'!$F$38=1,"",IF(D261="","",SUM(H261:O261))))</f>
        <v/>
      </c>
      <c r="H261" s="445" t="str">
        <f>IF('Calc (ex-animal)'!$F$38=1,"",IF(D261="","",(((VLOOKUP($C$257,'Calc (ex-animal)'!$D$48:$Y$52,6,FALSE)-VLOOKUP($C$257,'Calc (ex-animal)'!$D$48:$Y$52,17,FALSE))*F261/100))*VLOOKUP($C$257,'Calc (ex-animal)'!$D$48:$Y$52,7,FALSE)/100*(1-VLOOKUP(D261,'DB technologies'!$N$122:$Y$133,9,FALSE)/100)))</f>
        <v/>
      </c>
      <c r="I261" s="445" t="str">
        <f>IF(D261="","",((VLOOKUP(D261,'DB technologies'!$N$122:$Y$133,2,FALSE)*VLOOKUP($C$257,'DB animal categories'!$C$91:$AC$100,27,FALSE)*E261/1000)/VLOOKUP($C$257,'DB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'!$S$6/100*(1-VLOOKUP(D261,'DB technologies'!$N$122:$Y$133,9,FALSE)/100)))</f>
        <v/>
      </c>
      <c r="J261" s="446" t="str">
        <f>IF(D261="","",((VLOOKUP(D261,'DB technologies'!$N$122:$Y$133,3,FALSE)*VLOOKUP($C$257,'DB animal categories'!$C$91:$AC$100,27,FALSE)*E261/1000)/VLOOKUP($C$257,'DB animal categories'!$C$91:$AC$100,27,FALSE)*(VLOOKUP($C$257,'DB animal categories'!$C$91:$AC$100,27,FALSE)-(VLOOKUP($C$257,'DB animal categories'!$C$91:$AC$100,25,FALSE)*VLOOKUP($C$257,'DB animal categories'!$C$91:$AC$100,26,FALSE)/24))*'DB additional information '!$S$7/100*(1-VLOOKUP(D261,'DB technologies'!$N$122:$Y$133,9,FALSE)/100)))</f>
        <v/>
      </c>
      <c r="K261" s="446" t="str">
        <f>IF(D261="","",((VLOOKUP(D261,'DB technologies'!$N$122:$Y$133,4,FALSE)*E261*'DB additional information '!$S$8/100*(1-VLOOKUP(D261,'DB technologies'!$N$122:$Y$133,9,FALSE)/100))/VLOOKUP($C$257,'DB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L261" s="445" t="str">
        <f>IF('Calc (ex-animal)'!$F$38=1,"",IF(D261="","",(((VLOOKUP($C$257,'Calc (ex-animal)'!$D$48:$Y$52,6,FALSE)-VLOOKUP($C$257,'Calc (ex-animal)'!$D$48:$Y$52,17,FALSE))*F261/100))*(1-VLOOKUP($C$257,'Calc (ex-animal)'!$D$48:$Y$52,7,FALSE)/100)*(1-VLOOKUP(D261,'DB technologies'!$N$122:$V$133,8,FALSE)/100)))</f>
        <v/>
      </c>
      <c r="M261" s="446" t="str">
        <f>IF(D261="","",((VLOOKUP(D261,'DB technologies'!$N$122:$Y$133,2,FALSE)*VLOOKUP($C$257,'DB animal categories'!$C$91:$AC$100,27,FALSE)*E261/1000)/VLOOKUP($C$257,'DB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'!$S$6/100)*(1-VLOOKUP(D261,'DB technologies'!$N$122:$Y$133,9,FALSE)/100))</f>
        <v/>
      </c>
      <c r="N261" s="446" t="str">
        <f>IF(D261="","",((VLOOKUP(D261,'DB technologies'!$N$122:$Y$133,3,FALSE)*VLOOKUP($C$257,'DB animal categories'!$C$91:$AC$100,27,FALSE)*E261/1000)/VLOOKUP($C$257,'DB animal categories'!$C$91:$AC$100,27,FALSE)*(VLOOKUP($C$257,'DB animal categories'!$C$91:$AC$100,27,FALSE)-VLOOKUP($C$257,'DB animal categories'!$C$91:$AC$100,25,FALSE)*VLOOKUP($C$257,'DB animal categories'!$C$91:$AC$100,26,FALSE)/24))*(1-'DB additional information '!$S$7/100)*(1-VLOOKUP(D261,'DB technologies'!$N$122:$Y$133,9,FALSE)/100))</f>
        <v/>
      </c>
      <c r="O261" s="445" t="str">
        <f>IF(D261="","",((VLOOKUP(D261,'DB technologies'!$N$122:$Y$133,4,FALSE)*E261*(1-'DB additional information '!$S$8/100)*(1-VLOOKUP(D261,'DB technologies'!$N$122:$Y$133,8,FALSE)/100))/VLOOKUP($C$257,'DB animal categories'!$C$91:$AC$100,27,FALSE)*(VLOOKUP($C$257,'DB animal categories'!$C$91:$AC$100,27,FALSE)-VLOOKUP($C$257,'DB animal categories'!$C$91:$AC$100,25,FALSE)*VLOOKUP($C$257,'DB animal categories'!$C$91:$AC$100,26,FALSE)/24)))</f>
        <v/>
      </c>
      <c r="P261" s="444" t="str">
        <f>IF(G261=0,0,IF(E261="","",IF(F261="","",IF($C$257=0,"",IF(D261="","",SUM(H261:K261)/G261*100)))))</f>
        <v/>
      </c>
      <c r="Q261" s="476" t="str">
        <f>IF(D261="","",(VLOOKUP(D261,'DB technologies'!$N$122:$Y$133,2,FALSE)*'DB additional information '!$S$6/100*'DB additional information '!$T$6*VLOOKUP($C$257,'DB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R261" s="476" t="str">
        <f>IF(D261="","",(VLOOKUP(D261,'DB technologies'!$N$122:$Y$133,3,FALSE)*'DB additional information '!$S$7/100*'DB additional information '!$T$7*VLOOKUP($C$257,'DB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S261" s="494" t="str">
        <f>IF(D261="","",(VLOOKUP(D261,'DB technologies'!$N$122:$Y$133,4,FALSE)*('DB additional information '!$S$8/100*'DB additional information '!$T$8*E261/1000/1000)))</f>
        <v/>
      </c>
      <c r="T261" s="266" t="str">
        <f>IF($C$257=0,"",IF('Calc (ex-animal)'!$F$38=1,"",IF(D261="","",((VLOOKUP($C$257,'Calc (ex-animal)'!$D$48:$Y$52,10,FALSE)-VLOOKUP($C$257,'Calc (ex-animal)'!$D$48:$Y$52,18,FALSE))*F261/100+Q261+R261+S261)-AC261-AD261-AE261)))</f>
        <v/>
      </c>
      <c r="U261" s="477" t="str">
        <f>IF(D261="","",(VLOOKUP(D261,'DB technologies'!$N$122:$Y$133,2,FALSE)*'DB additional information '!$S$6/100*'DB additional information '!$U$6*VLOOKUP($C$257,'DB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V261" s="433" t="str">
        <f>IF(D261="","",(VLOOKUP(D261,'DB technologies'!$N$122:$Y$133,3,FALSE)*'DB additional information '!$S$7/100*'DB additional information '!$U$7*VLOOKUP($C$257,'DB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W261" s="475" t="str">
        <f>IF(D261="","",(VLOOKUP(D261,'DB technologies'!$N$122:$Y$133,4,FALSE)*('DB additional information '!$S$8/100*'DB additional information '!$U$8*E261/1000/1000)))</f>
        <v/>
      </c>
      <c r="X261" s="267" t="str">
        <f>IF($C$257=0,"",IF('Calc (ex-animal)'!$F$38=1,"",IF(D261="","",((VLOOKUP($C$257,'Calc (ex-animal)'!$D$48:$Y$52,13,FALSE)-VLOOKUP($C$257,'Calc (ex-animal)'!$D$48:$Y$52,19,FALSE))*F261/100+U261+V261+W261))))</f>
        <v/>
      </c>
      <c r="Y261" s="433" t="str">
        <f>IF(D261="","",(VLOOKUP(D261,'DB technologies'!$N$122:$Y$133,2,FALSE)*'DB additional information '!$S$6/100*'DB additional information '!$V$6*VLOOKUP($C$257,'DB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Z261" s="433" t="str">
        <f>IF(D261="","",(VLOOKUP(D261,'DB technologies'!$N$122:$Y$133,3,FALSE)*'DB additional information '!$S$7/100*'DB additional information '!$V$7*VLOOKUP($C$257,'DB animal categories'!$C$91:$AC$100,27,FALSE)*E261/1000/1000)/VLOOKUP($C$257,'DB animal categories'!$C$91:$AC$100,27,FALSE)*(VLOOKUP($C$257,'DB animal categories'!$C$91:$AC$100,27,FALSE)-VLOOKUP($C$257,'DB animal categories'!$C$91:$AC$100,25,FALSE)*VLOOKUP($C$257,'DB animal categories'!$C$91:$AC$100,26,FALSE)/24))</f>
        <v/>
      </c>
      <c r="AA261" s="433" t="str">
        <f>IF(D261="","",(VLOOKUP(D261,'DB technologies'!$N$122:$Y$133,4,FALSE)*('DB additional information '!$S$8/100*'DB additional information '!$V$8*E261/1000/1000)))</f>
        <v/>
      </c>
      <c r="AB261" s="267" t="str">
        <f>IF($C$257=0,"",IF('Calc (ex-animal)'!$F$38=1,"",IF(D261="","",((VLOOKUP($C$257,'Calc (ex-animal)'!$D$48:$Y$52,16,FALSE)-VLOOKUP($C$257,'Calc (ex-animal)'!$D$48:$Y$52,20,FALSE))*F261/100+Y261+Z261+AA261))))</f>
        <v/>
      </c>
      <c r="AC261" s="267" t="str">
        <f>IF($C$257=0,"",IF('Calc (ex-animal)'!$F$38=1,"",IF(D261="","",VLOOKUP($C$257,'Calc (ex-animal)'!$D$48:$Y$52,9,FALSE)/VLOOKUP($C$257,'DB animal categories'!$C$91:$AC$100,27,FALSE)*(VLOOKUP($C$257,'DB animal categories'!$C$91:$AC$100,27,FALSE)-VLOOKUP($C$257,'DB animal categories'!$C$91:$AC$100,25,FALSE)*VLOOKUP($C$257,'DB animal categories'!$C$91:$AC$100,26,FALSE)/24)*F261/100*VLOOKUP(D261,'DB technologies'!$N$122:$R$133,5,FALSE)/100)))</f>
        <v/>
      </c>
      <c r="AD261" s="267" t="str">
        <f>IF($C$257=0,"",IF('Calc (ex-animal)'!$F$38=1,"",IF(D261="","",VLOOKUP($C$257,'Calc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categories'!$C$91:$AC$100,26,FALSE)/24)*F261/100*VLOOKUP(D261,'DB technologies'!$N$122:$Y$133,6,FALSE)/100)))</f>
        <v/>
      </c>
      <c r="AE261" s="268" t="str">
        <f>IF($C$257=0,"",IF('Calc (ex-animal)'!$F$38=1,"",IF(D261="","",VLOOKUP($C$257,'Calc (ex-animal)'!$D$48:$Y$52,10,FALSE)/VLOOKUP($C$257,'DB animal categories'!$C$91:$AC$100,27,FALSE)*(VLOOKUP($C$257,'DB animal categories'!$C$91:$AC$100,27,FALSE)-VLOOKUP($C$257,'DB animal categories'!$C$91:$AC$100,25,FALSE)*VLOOKUP($C$257,'DB animal categories'!$C$91:$AC$100,26,FALSE)/24)*F261/100*VLOOKUP(D261,'DB technologies'!$N$122:$Y$133,7,FALSE)/100)))</f>
        <v/>
      </c>
      <c r="AI261" s="183" t="str">
        <f>IF(D261="","",VLOOKUP(D261,'DB technologies'!$N$122:$Y$133,10,FALSE))</f>
        <v/>
      </c>
      <c r="AJ261" s="451" t="e">
        <f>VLOOKUP($C$257,'DB animal categories'!$C$91:$AN$100,27,FALSE)-VLOOKUP($C$257,'DB animal categories'!$C$91:$AN$100,26,FALSE)*VLOOKUP($C$257,'DB animal categories'!$C$91:$AN$100,25,FALSE)/24</f>
        <v>#N/A</v>
      </c>
      <c r="AK261" s="452" t="str">
        <f>IF(AI261="","",AL261+AM261)</f>
        <v/>
      </c>
      <c r="AL261" s="452" t="str">
        <f>IF(D261="","",IF(AI261=2,(('Calc (ex-animal)'!$G$50*'DB additional information '!$K$11/100*(1-VLOOKUP(D261,'DB technologies'!$N$122:$Y$133,9,FALSE)/100)*'Calc (ex-housing, ex-storage)'!F261/100+'Calc (ex-animal)'!$H$50*'DB additional information '!$L$11/100*(1-VLOOKUP(D261,'DB technologies'!$N$122:$Y$133,9,FALSE)/100)*'Calc (ex-housing, ex-storage)'!F261/100))/VLOOKUP($C$257,'DB animal categories'!$C$91:$AC$100,27,FALSE)*AJ261+I261+J261+K261,IF(AI261=1,('Calc (ex-animal)'!$H$50*'DB additional information '!$L$11/100*(1-VLOOKUP(D261,'DB technologies'!$N$122:$Y$133,9,FALSE)/100)*'Calc (ex-housing, ex-storage)'!F261/100)/VLOOKUP($C$257,'DB animal categories'!$C$91:$AC$100,27,FALSE)*AJ261,IF(AI261=4,('Calc (ex-animal)'!$G$50*'DB additional information '!$K$11/100+'Calc (ex-animal)'!$H$50*'DB additional information '!$L$11/100)*(1-VLOOKUP(D261,'DB technologies'!$N$122:$Y$133,9,FALSE)/100)*'Calc (ex-housing, ex-storage)'!F261/100*VLOOKUP(D261,'DB technologies'!$N$122:$Y$133,11,FALSE)/100/VLOOKUP($C$257,'DB animal categories'!$C$91:$AC$100,27,FALSE)*AJ261,0))))</f>
        <v/>
      </c>
      <c r="AM261" s="452" t="str">
        <f>IF(D261="","",IF(AI261=2,(('Calc (ex-animal)'!$G$50*(1-'DB additional information '!$K$11/100)*(1-VLOOKUP(D261,'DB technologies'!$N$122:$Y$133,8,FALSE)/100)*'Calc (ex-housing, ex-storage)'!F261/100+'Calc (ex-animal)'!$H$50*(1-'DB additional information '!$L$11/100)*(1-VLOOKUP(D261,'DB technologies'!$N$122:$Y$133,8,FALSE)/100)*'Calc (ex-housing, ex-storage)'!F261/100))/VLOOKUP($C$257,'DB animal categories'!$C$91:$AC$100,27,FALSE)*AJ261+M261+N261+O261,IF(AI261=1,('Calc (ex-animal)'!$H$50*(1-'DB additional information '!$L$11/100)*(1-VLOOKUP(D261,'DB technologies'!$N$122:$Y$133,8,FALSE)/100)*'Calc (ex-housing, ex-storage)'!F261/100)/VLOOKUP($C$257,'DB animal categories'!$C$91:$AC$100,27,FALSE)*AJ261,IF(AI261=4,('Calc (ex-animal)'!$G$50*(1-'DB additional information '!$K$11/100)+'Calc (ex-animal)'!$H$50*(1-'DB additional information '!$L$11/100))*(1-VLOOKUP(D261,'DB technologies'!$N$122:$Y$133,8,FALSE)/100)*'Calc (ex-housing, ex-storage)'!F261/100*VLOOKUP(D261,'DB technologies'!$N$122:$Y$133,11,FALSE)/100/VLOOKUP($C$257,'DB animal categories'!$C$91:$AC$100,27,FALSE)*AJ261,0))))</f>
        <v/>
      </c>
      <c r="AN261" s="452" t="str">
        <f>IF(AI261="","",IF(AL261=0,0,AL261/AK261*100))</f>
        <v/>
      </c>
      <c r="AO261" s="184" t="str">
        <f>IF(D261="","",IF(AI261=2,(('Calc (ex-animal)'!$L$50*'Calc (ex-housing, ex-storage)'!F261/100+'Calc (ex-animal)'!$K$50*'Calc (ex-housing, ex-storage)'!F261/100))/VLOOKUP($C$257,'DB animal categories'!$C$91:$AC$100,27,FALSE)*AJ261+Q261+R261+S261-AC261,IF(AI261=1,('Calc (ex-animal)'!$L$50*'Calc (ex-housing, ex-storage)'!F261/100)/VLOOKUP($C$257,'DB animal categories'!$C$91:$AC$100,27,FALSE)*AJ261-'Calc (ex-housing, ex-storage)'!AC261,IF(AI261=4,('Calc (ex-animal)'!$L$50+'Calc (ex-animal)'!$K$50)*'Calc (ex-housing, ex-storage)'!F261/100*VLOOKUP(D261,'DB technologies'!$N$122:$Y$133,11,FALSE)/100/VLOOKUP($C$257,'DB animal categories'!$C$91:$AC$100,27,FALSE)*AJ261-AC261*VLOOKUP(D261,'DB technologies'!$N$122:$Y$133,11,FALSE)/100,0))))</f>
        <v/>
      </c>
      <c r="AP261" s="184" t="str">
        <f>IF(D261="","",IF(AO261&lt;-0.01,0,IF(AI261=2,(('Calc (ex-animal)'!$L$50*'Calc (ex-housing, ex-storage)'!F261/100+'Calc (ex-animal)'!$K$50*'Calc (ex-housing, ex-storage)'!F261/100))/VLOOKUP($C$257,'DB animal categories'!$C$91:$AC$100,27,FALSE)*AJ261+Q261+R261+S261-AC261,IF(AI261=1,('Calc (ex-animal)'!$L$50*'Calc (ex-housing, ex-storage)'!F261/100)/VLOOKUP($C$257,'DB animal categories'!$C$91:$AC$100,27,FALSE)*AJ261-'Calc (ex-housing, ex-storage)'!AC261,IF(AI261=4,('Calc (ex-animal)'!$L$50+'Calc (ex-animal)'!$K$50)*'Calc (ex-housing, ex-storage)'!F261/100*VLOOKUP(D261,'DB technologies'!$N$122:$Y$133,11,FALSE)/100/VLOOKUP($C$257,'DB animal categories'!$C$91:$AC$100,27,FALSE)*AJ261-AC261*VLOOKUP(D261,'DB technologies'!$N$122:$Y$133,11,FALSE)/100,0)))))</f>
        <v/>
      </c>
      <c r="AQ261" s="184" t="str">
        <f>IF(D261="","",IF(AI261=2,('Calc (ex-animal)'!$O$50*'Calc (ex-housing, ex-storage)'!F261/100+'Calc (ex-animal)'!$N$50*'Calc (ex-housing, ex-storage)'!F261/100)/VLOOKUP($C$257,'DB animal categories'!$C$91:$AC$100,27,FALSE)*AJ261+U261+V261+W261,IF(AI261=1,'Calc (ex-animal)'!$O$50*'Calc (ex-housing, ex-storage)'!F261/100/VLOOKUP($C$257,'DB animal categories'!$C$91:$AC$100,27,FALSE)*AJ261,IF(AI261=4,('Calc (ex-animal)'!$O$50+'Calc (ex-animal)'!$N$50)*'Calc (ex-housing, ex-storage)'!F261/100*VLOOKUP(D261,'DB technologies'!$N$122:$Y$133,11,FALSE)/100/VLOOKUP($C$257,'DB animal categories'!$C$91:$AC$100,27,FALSE)*AJ261,0))))</f>
        <v/>
      </c>
      <c r="AR261" s="184" t="str">
        <f>IF(D261="","",IF(AI261=2,('Calc (ex-animal)'!$R$50*'Calc (ex-housing, ex-storage)'!F261/100+'Calc (ex-animal)'!$Q$50*'Calc (ex-housing, ex-storage)'!F261/100)/VLOOKUP($C$257,'DB animal categories'!$C$91:$AC$100,27,FALSE)*AJ261+Y261+Z261+AA261,IF(AI261=1,'Calc (ex-animal)'!$R$50*'Calc (ex-housing, ex-storage)'!F261/100/VLOOKUP($C$257,'DB animal categories'!$C$91:$AC$100,27,FALSE)*AJ261,IF(AI261=4,('Calc (ex-animal)'!$R$50+'Calc (ex-animal)'!$Q$50)*'Calc (ex-housing, ex-storage)'!F261/100*VLOOKUP(D261,'DB technologies'!$N$122:$Y$133,11,FALSE)/100/VLOOKUP($C$257,'DB animal categories'!$C$91:$AC$100,27,FALSE)*AJ261,0))))</f>
        <v/>
      </c>
      <c r="AS261" s="183" t="str">
        <f>IF(D261="","",VLOOKUP(D261,'DB technologies'!$N$122:$Y$133,10,FALSE))</f>
        <v/>
      </c>
      <c r="AT261" s="452" t="str">
        <f>IF(AS261="","",AU261+AV261)</f>
        <v/>
      </c>
      <c r="AU261" s="452" t="str">
        <f>IF(D261="","",IF(AS261=2,0,IF(AS261=1,'Calc (ex-animal)'!$G$50*'DB additional information '!$K$11/100*(1-VLOOKUP(D261,'DB technologies'!$N$122:$Y$133,8,FALSE)/100)*'Calc (ex-housing, ex-storage)'!F261/100/VLOOKUP($C$257,'DB animal categories'!$C$91:$AC$100,27,FALSE)*AJ261+I261+J261+K261,IF(AS261=5,(('Calc (ex-animal)'!$G$50*'DB additional information '!$K$11/100+'Calc (ex-animal)'!$H$50*'DB additional information '!$L$11/100))*(1-VLOOKUP(D261,'DB technologies'!$N$122:$Y$133,9,FALSE)/100)*'Calc (ex-housing, ex-storage)'!F261/100/VLOOKUP($C$257,'DB animal categories'!$C$91:$AC$100,27,FALSE)*AJ261+I261+J261+K261,IF(AS261=3,('Calc (ex-animal)'!$G$50*'DB additional information '!$K$11/100+'Calc (ex-animal)'!$H$50*'DB additional information '!$L$11/100)*(1-VLOOKUP(D261,'DB technologies'!$N$122:$Y$133,9,FALSE)/100)*'Calc (ex-housing, ex-storage)'!F261/100/VLOOKUP($C$257,'DB animal categories'!$C$91:$AC$100,27,FALSE)*AJ261+I261+J261+K261,IF(AS261=4,('Calc (ex-animal)'!$G$50*'DB additional information '!$K$11/100+'Calc (ex-animal)'!$H$50*'DB additional information '!$L$11/100)*(1-VLOOKUP(D261,'DB technologies'!$N$122:$Y$133,9,FALSE)/100)*'Calc (ex-housing, ex-storage)'!F261/100*VLOOKUP(D261,'DB technologies'!$N$122:$Y$133,12,FALSE)/100/VLOOKUP($C$257,'DB animal categories'!$C$91:$AC$100,27,FALSE)*AJ261+I261+J261+K261,0))))))</f>
        <v/>
      </c>
      <c r="AV261" s="452" t="str">
        <f>IF(D261="","",IF(AS261=2,0,IF(AS261=1,'Calc (ex-animal)'!$G$50*(1-'DB additional information '!$K$11/100)*(1-VLOOKUP(D261,'DB technologies'!$N$122:$Y$133,8,FALSE)/100)*'Calc (ex-housing, ex-storage)'!F261/100/VLOOKUP($C$257,'DB animal categories'!$C$91:$AC$100,27,FALSE)*AJ261+M261+N261+O261,IF(AS261=5,('Calc (ex-animal)'!$G$50*(1-'DB additional information '!$K$11/100)+'Calc (ex-animal)'!$H$50*(1-'DB additional information '!$L$11/100))*(1-VLOOKUP(D261,'DB technologies'!$N$122:$Y$133,8,FALSE)/100)*'Calc (ex-housing, ex-storage)'!F261/100/VLOOKUP($C$257,'DB animal categories'!$C$91:$AC$100,27,FALSE)*AJ261+M261+N261+O261,IF(AS261=3,('Calc (ex-animal)'!$G$50*(1-'DB additional information '!$K$11/100)+'Calc (ex-animal)'!$H$50*(1-'DB additional information '!$L$11/100))*(1-VLOOKUP(D261,'DB technologies'!$N$122:$Y$133,8,FALSE)/100)*'Calc (ex-housing, ex-storage)'!F261/100/VLOOKUP($C$257,'DB animal categories'!$C$91:$AC$100,27,FALSE)*AJ261+M261+N261+O261,IF(AS261=4,('Calc (ex-animal)'!$G$50*(1-'DB additional information '!$K$11/100)+'Calc (ex-animal)'!$H$50*(1-'DB additional information '!$L$11/100))*(1-VLOOKUP(D261,'DB technologies'!$N$122:$Y$133,8,FALSE)/100)*'Calc (ex-housing, ex-storage)'!F261/100*VLOOKUP(D261,'DB technologies'!$N$122:$Y$133,12,FALSE)/100/VLOOKUP($C$257,'DB animal categories'!$C$91:$AC$100,27,FALSE)*AJ261+M261+N261+O261,0))))))</f>
        <v/>
      </c>
      <c r="AW261" s="452" t="str">
        <f>IF(AS261="","",IF(AU261=0,0,AU261/AT261*100))</f>
        <v/>
      </c>
      <c r="AX261" s="184" t="str">
        <f>IF(D261="","",IF(AS261=2,0,IF(AS261=1,'Calc (ex-animal)'!$K$50*'Calc (ex-housing, ex-storage)'!F261/100/VLOOKUP($C$257,'DB animal categories'!$C$91:$AC$100,27,FALSE)*AJ261+Q261+R261+S261,IF(AS261=5,('Calc (ex-animal)'!$K$50+'Calc (ex-animal)'!$L$50)*'Calc (ex-housing, ex-storage)'!F261/100/VLOOKUP($C$257,'DB animal categories'!$C$91:$AC$100,27,FALSE)*AJ261+Q261+R261+S261-'Calc (ex-housing, ex-storage)'!AC261,IF(AS261=3,('Calc (ex-animal)'!$K$50+'Calc (ex-animal)'!$L$50)*'Calc (ex-housing, ex-storage)'!F261/100/VLOOKUP($C$257,'DB animal categories'!$C$91:$AC$100,27,FALSE)*AJ261+Q261+R261+S261-'Calc (ex-housing, ex-storage)'!AC261-AD261-AE261,IF(AI261=4,('Calc (ex-animal)'!$K$50+'Calc (ex-animal)'!$L$50)*'Calc (ex-housing, ex-storage)'!F261/100*VLOOKUP(D261,'DB technologies'!$N$122:$Y$133,12,FALSE)/100/VLOOKUP($C$257,'DB animal categories'!$C$91:$AC$100,27,FALSE)*AJ261+Q261+R261+S261-(VLOOKUP(D261,'DB technologies'!$N$122:$Y$133,12,FALSE)/100*AC261)-AD261-AE261,0))))))</f>
        <v/>
      </c>
      <c r="AY261" s="184" t="str">
        <f>IF(D261="","",IF(AS261=2,0,IF(AS261=1,'Calc (ex-animal)'!$N$50*'Calc (ex-housing, ex-storage)'!F261/100/VLOOKUP($C$257,'DB animal categories'!$C$91:$AC$100,27,FALSE)*AJ261+U261+V261+W261,IF(AS261=5,('Calc (ex-animal)'!$N$50+'Calc (ex-animal)'!$O$50)*'Calc (ex-housing, ex-storage)'!F261/100/VLOOKUP($C$257,'DB animal categories'!$C$91:$AC$100,27,FALSE)*AJ261+U261+V261+W261,IF(AS261=3,('Calc (ex-animal)'!$N$50+'Calc (ex-animal)'!$O$50)*'Calc (ex-housing, ex-storage)'!F261/100/VLOOKUP($C$257,'DB animal categories'!$C$91:$AC$100,27,FALSE)*AJ261+U261+V261+W261,IF(AS261=4,('Calc (ex-animal)'!$N$50+'Calc (ex-animal)'!$O$50)*'Calc (ex-housing, ex-storage)'!F261/100*VLOOKUP(D261,'DB technologies'!$N$122:$Y$133,12,FALSE)/100/VLOOKUP($C$257,'DB animal categories'!$C$91:$AC$100,27,FALSE)*AJ261+U261+V261+W261,0))))))</f>
        <v/>
      </c>
      <c r="AZ261" s="184" t="str">
        <f>IF(D261="","",IF(AS261=2,0,IF(AS261=1,'Calc (ex-animal)'!$Q$50*'Calc (ex-housing, ex-storage)'!F261/100/VLOOKUP($C$257,'DB animal categories'!$C$91:$AC$100,27,FALSE)*AJ261+Y261+Z261+AA261,IF(AS261=5,('Calc (ex-animal)'!$Q$50+'Calc (ex-animal)'!$R$50)*'Calc (ex-housing, ex-storage)'!F261/100/VLOOKUP($C$257,'DB animal categories'!$C$91:$AC$100,27,FALSE)*AJ261+Y261+Z261+AA261,IF(AS261=3,('Calc (ex-animal)'!$Q$50+'Calc (ex-animal)'!$R$50)*'Calc (ex-housing, ex-storage)'!F261/100/VLOOKUP($C$257,'DB animal categories'!$C$91:$AC$100,27,FALSE)*AJ261+Y261+Z261+AA261,IF(AS261=4,('Calc (ex-animal)'!$Q$50+'Calc (ex-animal)'!$R$50)*'Calc (ex-housing, ex-storage)'!F261/100*VLOOKUP(D261,'DB technologies'!$N$122:$Y$133,12,FALSE)/100/VLOOKUP($C$257,'DB animal categories'!$C$91:$AC$100,27,FALSE)*AJ261+Y261+Z261+AA261,0))))))</f>
        <v/>
      </c>
      <c r="BA261" s="506"/>
      <c r="BB261" s="506"/>
      <c r="BC261" s="506"/>
    </row>
    <row r="262" spans="1:55" ht="12" thickBot="1" x14ac:dyDescent="0.25">
      <c r="A262" s="684"/>
      <c r="B262" s="695"/>
      <c r="C262" s="252"/>
      <c r="D262" s="281" t="s">
        <v>58</v>
      </c>
      <c r="E262" s="282">
        <f>IF(F262&lt;=100,SUM(E257:E261),"ERROR")</f>
        <v>0</v>
      </c>
      <c r="F262" s="283">
        <f>IF(SUM(F257:F261) &lt;=100,SUM(F257:F261),"ERROR, SUM&gt;100%")</f>
        <v>0</v>
      </c>
      <c r="G262" s="550">
        <f>IF('Calc (ex-animal)'!$F$38=1,"",SUM(G257:G261))</f>
        <v>0</v>
      </c>
      <c r="H262" s="418">
        <f>IF('Calc (ex-animal)'!$F$8=1,"",SUM(H257:H261))</f>
        <v>0</v>
      </c>
      <c r="I262" s="418">
        <f>IF('Calc (ex-animal)'!$F$8=1,"",SUM(I257:I261))</f>
        <v>0</v>
      </c>
      <c r="J262" s="418">
        <f>IF('Calc (ex-animal)'!$F$8=1,"",SUM(J257:J261))</f>
        <v>0</v>
      </c>
      <c r="K262" s="418">
        <f>IF('Calc (ex-animal)'!$F$8=1,"",SUM(K257:K261))</f>
        <v>0</v>
      </c>
      <c r="L262" s="418">
        <f>IF('Calc (ex-animal)'!$F$8=1,"",SUM(L257:L261))</f>
        <v>0</v>
      </c>
      <c r="M262" s="551"/>
      <c r="N262" s="551"/>
      <c r="O262" s="551"/>
      <c r="P262" s="552">
        <f>IF(G262=0,0,IF('Calc (ex-animal)'!$F$38=1,"",IF(D262="","",SUM(H262:K262)/G262*100)))</f>
        <v>0</v>
      </c>
      <c r="Q262" s="394"/>
      <c r="R262" s="394"/>
      <c r="S262" s="394"/>
      <c r="T262" s="272">
        <f>IF('Calc (ex-animal)'!$F$50=1,"",SUM(T257:T261))</f>
        <v>0</v>
      </c>
      <c r="U262" s="273"/>
      <c r="V262" s="273"/>
      <c r="W262" s="273"/>
      <c r="X262" s="273">
        <f>IF('Calc (ex-animal)'!$F$50=1,"",SUM(X257:X261))</f>
        <v>0</v>
      </c>
      <c r="Y262" s="273"/>
      <c r="Z262" s="273"/>
      <c r="AA262" s="273"/>
      <c r="AB262" s="273">
        <f>IF('Calc (ex-animal)'!$F$50=1,"",SUM(AB257:AB261))</f>
        <v>0</v>
      </c>
      <c r="AC262" s="273">
        <f>IF('Calc (ex-animal)'!$F$50=1,"",SUM(AC257:AC261))</f>
        <v>0</v>
      </c>
      <c r="AD262" s="273">
        <f>IF('Calc (ex-animal)'!$F$50=1,"",SUM(AD257:AD261))</f>
        <v>0</v>
      </c>
      <c r="AE262" s="274">
        <f>IF('Calc (ex-animal)'!$F$50=1,"",SUM(AE257:AE261))</f>
        <v>0</v>
      </c>
    </row>
    <row r="263" spans="1:55" x14ac:dyDescent="0.2">
      <c r="A263" s="684"/>
      <c r="B263" s="695"/>
      <c r="C263" s="250">
        <f>'Calc (ex-animal)'!D51</f>
        <v>0</v>
      </c>
      <c r="D263" s="1355"/>
      <c r="E263" s="1356"/>
      <c r="F263" s="479" t="str">
        <f>IF('Calc (ex-animal)'!$F$38=1,"",IF($C$263=0,"",IF(D263="","",E263/'Calc (ex-animal)'!$E$51*100)))</f>
        <v/>
      </c>
      <c r="G263" s="484" t="str">
        <f>IF($C$263=0,"",IF('Calc (ex-animal)'!$F$38=1,"",IF(D263="","",SUM(H263:O263))))</f>
        <v/>
      </c>
      <c r="H263" s="471" t="str">
        <f>IF('Calc (ex-animal)'!$F$38=1,"",IF(D263="","",(((VLOOKUP($C$263,'Calc (ex-animal)'!$D$48:$Y$52,6,FALSE)-VLOOKUP($C$263,'Calc (ex-animal)'!$D$48:$Y$52,17,FALSE))*F263/100))*VLOOKUP($C$263,'Calc (ex-animal)'!$D$48:$Y$52,7,FALSE)/100*(1-VLOOKUP(D263,'DB technologies'!$N$122:$Y$133,9,FALSE)/100)))</f>
        <v/>
      </c>
      <c r="I263" s="471" t="str">
        <f>IF(D263="","",((VLOOKUP(D263,'DB technologies'!$N$122:$Y$133,2,FALSE)*VLOOKUP($C$263,'DB animal categories'!$C$91:$AC$100,27,FALSE)*E263/1000)/VLOOKUP($C$263,'DB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'!$S$6/100*(1-VLOOKUP(D263,'DB technologies'!$N$122:$Y$133,9,FALSE)/100)))</f>
        <v/>
      </c>
      <c r="J263" s="472" t="str">
        <f>IF(D263="","",((VLOOKUP(D263,'DB technologies'!$N$122:$Y$133,3,FALSE)*VLOOKUP($C$263,'DB animal categories'!$C$91:$AC$100,27,FALSE)*E263/1000)/VLOOKUP($C$263,'DB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'!$S$7/100*(1-VLOOKUP(D263,'DB technologies'!$N$122:$Y$133,9,FALSE)/100)))</f>
        <v/>
      </c>
      <c r="K263" s="472" t="str">
        <f>IF(D263="","",((VLOOKUP(D263,'DB technologies'!$N$122:$Y$133,4,FALSE)*E263*'DB additional information '!$S$8/100*(1-VLOOKUP(D263,'DB technologies'!$N$122:$Y$133,9,FALSE)/100))/VLOOKUP($C$263,'DB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L263" s="471" t="str">
        <f>IF('Calc (ex-animal)'!$F$38=1,"",IF(D263="","",(((VLOOKUP($C$263,'Calc (ex-animal)'!$D$48:$Y$52,6,FALSE)-VLOOKUP($C$263,'Calc (ex-animal)'!$D$48:$Y$52,17,FALSE))*F263/100))*(1-VLOOKUP($C$263,'Calc (ex-animal)'!$D$48:$Y$52,7,FALSE)/100)*(1-VLOOKUP(D263,'DB technologies'!$N$122:$V$133,8,FALSE)/100)))</f>
        <v/>
      </c>
      <c r="M263" s="472" t="str">
        <f>IF(D263="","",((VLOOKUP(D263,'DB technologies'!$N$122:$Y$133,2,FALSE)*VLOOKUP($C$263,'DB animal categories'!$C$91:$AC$100,27,FALSE)*E263/1000)/VLOOKUP($C$263,'DB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'!$S$6/100)*(1-VLOOKUP(D263,'DB technologies'!$N$122:$Y$133,9,FALSE)/100))</f>
        <v/>
      </c>
      <c r="N263" s="472" t="str">
        <f>IF(D263="","",((VLOOKUP(D263,'DB technologies'!$N$122:$Y$133,3,FALSE)*VLOOKUP($C$263,'DB animal categories'!$C$91:$AC$100,27,FALSE)*E263/1000)/VLOOKUP($C$263,'DB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'!$S$7/100)*(1-VLOOKUP(D263,'DB technologies'!$N$122:$Y$133,9,FALSE)/100))</f>
        <v/>
      </c>
      <c r="O263" s="471" t="str">
        <f>IF(D263="","",((VLOOKUP(D263,'DB technologies'!$N$122:$Y$133,4,FALSE)*E263*(1-'DB additional information '!$S$8/100)*(1-VLOOKUP(D263,'DB technologies'!$N$122:$Y$133,8,FALSE)/100))/VLOOKUP($C$263,'DB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P263" s="443" t="str">
        <f>IF(G263=0,0,IF(E263="","",IF(F263="","",IF($C$263=0,"",IF(D263="","",SUM(H263:K263)/G263*100)))))</f>
        <v/>
      </c>
      <c r="Q263" s="473" t="str">
        <f>IF(D263="","",(VLOOKUP(D263,'DB technologies'!$N$122:$Y$133,2,FALSE)*'DB additional information '!$S$6/100*'DB additional information '!$T$6*VLOOKUP($C$263,'DB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R263" s="473" t="str">
        <f>IF(D263="","",(VLOOKUP(D263,'DB technologies'!$N$122:$Y$133,3,FALSE)*'DB additional information '!$S$7/100*'DB additional information '!$T$7*VLOOKUP($C$263,'DB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S263" s="490" t="str">
        <f>IF(D263="","",(VLOOKUP(D263,'DB technologies'!$N$122:$Y$133,4,FALSE)*('DB additional information '!$S$8/100*'DB additional information '!$T$8*E263/1000/1000)))</f>
        <v/>
      </c>
      <c r="T263" s="263" t="str">
        <f>IF($C$263=0,"",IF('Calc (ex-animal)'!$F$38=1,"",IF(D263="","",((VLOOKUP($C$263,'Calc (ex-animal)'!$D$48:$Y$52,10,FALSE)-VLOOKUP($C$263,'Calc (ex-animal)'!$D$48:$Y$52,18,FALSE))*F263/100+Q263+R263+S263)-AC263-AD263-AE263)))</f>
        <v/>
      </c>
      <c r="U263" s="474" t="str">
        <f>IF(D263="","",(VLOOKUP(D263,'DB technologies'!$N$122:$Y$133,2,FALSE)*'DB additional information '!$S$6/100*'DB additional information '!$U$6*VLOOKUP($C$263,'DB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V263" s="420" t="str">
        <f>IF(D263="","",(VLOOKUP(D263,'DB technologies'!$N$122:$Y$133,3,FALSE)*'DB additional information '!$S$7/100*'DB additional information '!$U$7*VLOOKUP($C$263,'DB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W263" s="415" t="str">
        <f>IF(D263="","",(VLOOKUP(D263,'DB technologies'!$N$122:$Y$133,4,FALSE)*('DB additional information '!$S$8/100*'DB additional information '!$U$8*E263/1000/1000)))</f>
        <v/>
      </c>
      <c r="X263" s="259" t="str">
        <f>IF($C$263=0,"",IF('Calc (ex-animal)'!$F$38=1,"",IF(D263="","",((VLOOKUP($C$263,'Calc (ex-animal)'!$D$48:$Y$52,13,FALSE)-VLOOKUP($C$263,'Calc (ex-animal)'!$D$48:$Y$52,19,FALSE))*F263/100+U263+V263+W263))))</f>
        <v/>
      </c>
      <c r="Y263" s="420" t="str">
        <f>IF(D263="","",(VLOOKUP(D263,'DB technologies'!$N$122:$Y$133,2,FALSE)*'DB additional information '!$S$6/100*'DB additional information '!$V$6*VLOOKUP($C$263,'DB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Z263" s="420" t="str">
        <f>IF(D263="","",(VLOOKUP(D263,'DB technologies'!$N$122:$Y$133,3,FALSE)*'DB additional information '!$S$7/100*'DB additional information '!$V$7*VLOOKUP($C$263,'DB animal categories'!$C$91:$AC$100,27,FALSE)*E263/1000/1000)/VLOOKUP($C$263,'DB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AA263" s="420" t="str">
        <f>IF(D263="","",(VLOOKUP(D263,'DB technologies'!$N$122:$Y$133,4,FALSE)*('DB additional information '!$S$8/100*'DB additional information '!$V$8*E263/1000/1000)))</f>
        <v/>
      </c>
      <c r="AB263" s="259" t="str">
        <f>IF($C$263=0,"",IF('Calc (ex-animal)'!$F$38=1,"",IF(D263="","",((VLOOKUP($C$263,'Calc (ex-animal)'!$D$48:$Y$52,16,FALSE)-VLOOKUP($C$263,'Calc (ex-animal)'!$D$48:$Y$52,20,FALSE))*F263/100+Y263+Z263+AA263))))</f>
        <v/>
      </c>
      <c r="AC263" s="259" t="str">
        <f>IF($C$263=0,"",IF('Calc (ex-animal)'!$F$38=1,"",IF(D263="","",VLOOKUP($C$263,'Calc (ex-animal)'!$D$48:$Y$52,9,FALSE)/VLOOKUP($C$263,'DB animal categories'!$C$91:$AC$100,27,FALSE)*(VLOOKUP($C$263,'DB animal categories'!$C$91:$AC$100,27,FALSE)-VLOOKUP($C$263,'DB animal categories'!$C$91:$AC$100,25,FALSE)*VLOOKUP($C$263,'DB animal categories'!$C$91:$AC$100,26,FALSE)/24)*F263/100*VLOOKUP(D263,'DB technologies'!$N$122:$R$133,5,FALSE)/100)))</f>
        <v/>
      </c>
      <c r="AD263" s="259" t="str">
        <f>IF($C$263=0,"",IF('Calc (ex-animal)'!$F$38=1,"",IF(D263="","",VLOOKUP($C$263,'Calc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categories'!$C$91:$AC$100,26,FALSE)/24)*F263/100*VLOOKUP(D263,'DB technologies'!$N$122:$Y$133,6,FALSE)/100)))</f>
        <v/>
      </c>
      <c r="AE263" s="260" t="str">
        <f>IF($C$263=0,"",IF('Calc (ex-animal)'!$F$38=1,"",IF(D263="","",VLOOKUP($C$263,'Calc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categories'!$C$91:$AC$100,26,FALSE)/24)*F263/100*VLOOKUP(D263,'DB technologies'!$N$122:$Y$133,7,FALSE)/100)))</f>
        <v/>
      </c>
      <c r="AI263" s="179" t="str">
        <f>IF(D263="","",VLOOKUP(D263,'DB technologies'!$N$122:$Y$133,10,FALSE))</f>
        <v/>
      </c>
      <c r="AJ263" s="482" t="e">
        <f>VLOOKUP($C$263,'DB animal categories'!$C$91:$AN$100,27,FALSE)-VLOOKUP($C$263,'DB animal categories'!$C$91:$AN$100,26,FALSE)*VLOOKUP($C$263,'DB animal categories'!$C$91:$AN$100,25,FALSE)/24</f>
        <v>#N/A</v>
      </c>
      <c r="AK263" s="453" t="str">
        <f>IF(AI263="","",AL263+AM263)</f>
        <v/>
      </c>
      <c r="AL263" s="453" t="str">
        <f>IF(D263="","",IF(AI263=2,(('Calc (ex-animal)'!$G$51*'DB additional information '!$K$11/100*(1-VLOOKUP(D263,'DB technologies'!$N$122:$Y$133,9,FALSE)/100)*'Calc (ex-housing, ex-storage)'!F263/100+'Calc (ex-animal)'!$H$51*'DB additional information '!$L$11/100*(1-VLOOKUP(D263,'DB technologies'!$N$122:$Y$133,9,FALSE)/100)*'Calc (ex-housing, ex-storage)'!F263/100))/VLOOKUP($C$263,'DB animal categories'!$C$91:$AC$100,27,FALSE)*AJ263+I263+J263+K263,IF(AI263=1,('Calc (ex-animal)'!$H$51*'DB additional information '!$L$11/100*(1-VLOOKUP(D263,'DB technologies'!$N$122:$Y$133,9,FALSE)/100)*'Calc (ex-housing, ex-storage)'!F263/100)/VLOOKUP($C$263,'DB animal categories'!$C$91:$AC$100,27,FALSE)*AJ263,IF(AI263=4,('Calc (ex-animal)'!$G$51*'DB additional information '!$K$11/100+'Calc (ex-animal)'!$H$51*'DB additional information '!$L$11/100)*(1-VLOOKUP(D263,'DB technologies'!$N$122:$Y$133,9,FALSE)/100)*'Calc (ex-housing, ex-storage)'!F263/100*VLOOKUP(D263,'DB technologies'!$N$122:$Y$133,11,FALSE)/100/VLOOKUP($C$263,'DB animal categories'!$C$91:$AC$100,27,FALSE)*AJ263,0))))</f>
        <v/>
      </c>
      <c r="AM263" s="453" t="str">
        <f>IF(D263="","",IF(AI263=2,(('Calc (ex-animal)'!$G$51*(1-'DB additional information '!$K$11/100)*(1-VLOOKUP(D263,'DB technologies'!$N$122:$Y$133,8,FALSE)/100)*'Calc (ex-housing, ex-storage)'!F263/100+'Calc (ex-animal)'!$H$51*(1-'DB additional information '!$L$11/100)*(1-VLOOKUP(D263,'DB technologies'!$N$122:$Y$133,8,FALSE)/100)*'Calc (ex-housing, ex-storage)'!F263/100))/VLOOKUP($C$263,'DB animal categories'!$C$91:$AC$100,27,FALSE)*AJ263+M263+N263+O263,IF(AI263=1,('Calc (ex-animal)'!$H$51*(1-'DB additional information '!$L$11/100)*(1-VLOOKUP(D263,'DB technologies'!$N$122:$Y$133,8,FALSE)/100)*'Calc (ex-housing, ex-storage)'!F263/100)/VLOOKUP($C$263,'DB animal categories'!$C$91:$AC$100,27,FALSE)*AJ263,IF(AI263=4,('Calc (ex-animal)'!$G$51*(1-'DB additional information '!$K$11/100)+'Calc (ex-animal)'!$H$51*(1-'DB additional information '!$L$11/100))*(1-VLOOKUP(D263,'DB technologies'!$N$122:$Y$133,8,FALSE)/100)*'Calc (ex-housing, ex-storage)'!F263/100*VLOOKUP(D263,'DB technologies'!$N$122:$Y$133,11,FALSE)/100/VLOOKUP($C$263,'DB animal categories'!$C$91:$AC$100,27,FALSE)*AJ263,0))))</f>
        <v/>
      </c>
      <c r="AN263" s="453" t="str">
        <f>IF(AI263="","",IF(AL263=0,0,AL263/AK263*100))</f>
        <v/>
      </c>
      <c r="AO263" s="180" t="str">
        <f>IF(D263="","",IF(AI263=2,(('Calc (ex-animal)'!$L$51*'Calc (ex-housing, ex-storage)'!F263/100+'Calc (ex-animal)'!$K$51*'Calc (ex-housing, ex-storage)'!F263/100))/VLOOKUP($C$263,'DB animal categories'!$C$91:$AC$100,27,FALSE)*AJ263+Q263+R263+S263-AC263,IF(AI263=1,('Calc (ex-animal)'!$L$51*'Calc (ex-housing, ex-storage)'!F263/100)/VLOOKUP($C$263,'DB animal categories'!$C$91:$AC$100,27,FALSE)*AJ263-'Calc (ex-housing, ex-storage)'!AC263,IF(AI263=4,('Calc (ex-animal)'!$L$51+'Calc (ex-animal)'!$K$51)*'Calc (ex-housing, ex-storage)'!F263/100*VLOOKUP(D263,'DB technologies'!$N$122:$Y$133,11,FALSE)/100/VLOOKUP($C$263,'DB animal categories'!$C$91:$AC$100,27,FALSE)*AJ263-AC263*VLOOKUP(D263,'DB technologies'!$N$122:$Y$133,11,FALSE)/100,0))))</f>
        <v/>
      </c>
      <c r="AP263" s="180" t="str">
        <f>IF(D263="","",IF(AO263&lt;-0.01,0,IF(AI263=2,(('Calc (ex-animal)'!$L$51*'Calc (ex-housing, ex-storage)'!F263/100+'Calc (ex-animal)'!$K$51*'Calc (ex-housing, ex-storage)'!F263/100))/VLOOKUP($C$263,'DB animal categories'!$C$91:$AC$100,27,FALSE)*AJ263+Q263+R263+S263-AC263,IF(AI263=1,('Calc (ex-animal)'!$L$51*'Calc (ex-housing, ex-storage)'!F263/100)/VLOOKUP($C$263,'DB animal categories'!$C$91:$AC$100,27,FALSE)*AJ263-'Calc (ex-housing, ex-storage)'!AC263,IF(AI263=4,('Calc (ex-animal)'!$L$51+'Calc (ex-animal)'!$K$51)*'Calc (ex-housing, ex-storage)'!F263/100*VLOOKUP(D263,'DB technologies'!$N$122:$Y$133,11,FALSE)/100/VLOOKUP($C$263,'DB animal categories'!$C$91:$AC$100,27,FALSE)*AJ263-AC263*VLOOKUP(D263,'DB technologies'!$N$122:$Y$133,11,FALSE)/100,0)))))</f>
        <v/>
      </c>
      <c r="AQ263" s="180" t="str">
        <f>IF(D263="","",IF(AI263=2,('Calc (ex-animal)'!$O$51*'Calc (ex-housing, ex-storage)'!F263/100+'Calc (ex-animal)'!$N$51*'Calc (ex-housing, ex-storage)'!F263/100)/VLOOKUP($C$263,'DB animal categories'!$C$91:$AC$100,27,FALSE)*AJ263+U263+V263+W263,IF(AI263=1,'Calc (ex-animal)'!$O$51*'Calc (ex-housing, ex-storage)'!F263/100/VLOOKUP($C$263,'DB animal categories'!$C$91:$AC$100,27,FALSE)*AJ263,IF(AI263=4,('Calc (ex-animal)'!$O$51+'Calc (ex-animal)'!$N$51)*'Calc (ex-housing, ex-storage)'!F263/100*VLOOKUP(D263,'DB technologies'!$N$122:$Y$133,11,FALSE)/100/VLOOKUP($C$263,'DB animal categories'!$C$91:$AC$100,27,FALSE)*AJ263,0))))</f>
        <v/>
      </c>
      <c r="AR263" s="180" t="str">
        <f>IF(D263="","",IF(AI263=2,('Calc (ex-animal)'!$R$51*'Calc (ex-housing, ex-storage)'!F263/100+'Calc (ex-animal)'!$Q$51*'Calc (ex-housing, ex-storage)'!F263/100)/VLOOKUP($C$263,'DB animal categories'!$C$91:$AC$100,27,FALSE)*AJ263+Y263+Z263+AA263,IF(AI263=1,'Calc (ex-animal)'!$R$51*'Calc (ex-housing, ex-storage)'!F263/100/VLOOKUP($C$263,'DB animal categories'!$C$91:$AC$100,27,FALSE)*AJ263,IF(AI263=4,('Calc (ex-animal)'!$R$51+'Calc (ex-animal)'!$Q$51)*'Calc (ex-housing, ex-storage)'!F263/100*VLOOKUP(D263,'DB technologies'!$N$122:$Y$133,11,FALSE)/100/VLOOKUP($C$263,'DB animal categories'!$C$91:$AC$100,27,FALSE)*AJ263,0))))</f>
        <v/>
      </c>
      <c r="AS263" s="179" t="str">
        <f>IF(D263="","",VLOOKUP(D263,'DB technologies'!$N$122:$Y$133,10,FALSE))</f>
        <v/>
      </c>
      <c r="AT263" s="453" t="str">
        <f>IF(AS263="","",AU263+AV263)</f>
        <v/>
      </c>
      <c r="AU263" s="453" t="str">
        <f>IF(D263="","",IF(AS263=2,0,IF(AS263=1,'Calc (ex-animal)'!$G$51*'DB additional information '!$K$11/100*(1-VLOOKUP(D263,'DB technologies'!$N$122:$Y$133,8,FALSE)/100)*'Calc (ex-housing, ex-storage)'!F263/100/VLOOKUP($C$263,'DB animal categories'!$C$91:$AC$100,27,FALSE)*AJ263+I263+J263+K263,IF(AS263=5,(('Calc (ex-animal)'!$G$51*'DB additional information '!$K$11/100+'Calc (ex-animal)'!$H$51*'DB additional information '!$L$11/100))*(1-VLOOKUP(D263,'DB technologies'!$N$122:$Y$133,9,FALSE)/100)*'Calc (ex-housing, ex-storage)'!F263/100/VLOOKUP($C$263,'DB animal categories'!$C$91:$AC$100,27,FALSE)*AJ263+I263+J263+K263,IF(AS263=3,('Calc (ex-animal)'!$G$51*'DB additional information '!$K$11/100+'Calc (ex-animal)'!$H$51*'DB additional information '!$L$11/100)*(1-VLOOKUP(D263,'DB technologies'!$N$122:$Y$133,9,FALSE)/100)*'Calc (ex-housing, ex-storage)'!F263/100/VLOOKUP($C$263,'DB animal categories'!$C$91:$AC$100,27,FALSE)*AJ263+I263+J263+K263,IF(AS263=4,('Calc (ex-animal)'!$G$51*'DB additional information '!$K$11/100+'Calc (ex-animal)'!$H$51*'DB additional information '!$L$11/100)*(1-VLOOKUP(D263,'DB technologies'!$N$122:$Y$133,9,FALSE)/100)*'Calc (ex-housing, ex-storage)'!F263/100*VLOOKUP(D263,'DB technologies'!$N$122:$Y$133,12,FALSE)/100/VLOOKUP($C$263,'DB animal categories'!$C$91:$AC$100,27,FALSE)*AJ263+I263+J263+K263,0))))))</f>
        <v/>
      </c>
      <c r="AV263" s="453" t="str">
        <f>IF(D263="","",IF(AS263=2,0,IF(AS263=1,'Calc (ex-animal)'!$G$51*(1-'DB additional information '!$K$11/100)*(1-VLOOKUP(D263,'DB technologies'!$N$122:$Y$133,8,FALSE)/100)*'Calc (ex-housing, ex-storage)'!F263/100/VLOOKUP($C$263,'DB animal categories'!$C$91:$AC$100,27,FALSE)*AJ263+M263+N263+O263,IF(AS263=5,('Calc (ex-animal)'!$G$51*(1-'DB additional information '!$K$11/100)+'Calc (ex-animal)'!$H$51*(1-'DB additional information '!$L$11/100))*(1-VLOOKUP(D263,'DB technologies'!$N$122:$Y$133,8,FALSE)/100)*'Calc (ex-housing, ex-storage)'!F263/100/VLOOKUP($C$263,'DB animal categories'!$C$91:$AC$100,27,FALSE)*AJ263+M263+N263+O263,IF(AS263=3,('Calc (ex-animal)'!$G$51*(1-'DB additional information '!$K$11/100)+'Calc (ex-animal)'!$H$51*(1-'DB additional information '!$L$11/100))*(1-VLOOKUP(D263,'DB technologies'!$N$122:$Y$133,8,FALSE)/100)*'Calc (ex-housing, ex-storage)'!F263/100/VLOOKUP($C$263,'DB animal categories'!$C$91:$AC$100,27,FALSE)*AJ263+M263+N263+O263,IF(AS263=4,('Calc (ex-animal)'!$G$51*(1-'DB additional information '!$K$11/100)+'Calc (ex-animal)'!$H$51*(1-'DB additional information '!$L$11/100))*(1-VLOOKUP(D263,'DB technologies'!$N$122:$Y$133,8,FALSE)/100)*'Calc (ex-housing, ex-storage)'!F263/100*VLOOKUP(D263,'DB technologies'!$N$122:$Y$133,12,FALSE)/100/VLOOKUP($C$263,'DB animal categories'!$C$91:$AC$100,27,FALSE)*AJ263+M263+N263+O263,0))))))</f>
        <v/>
      </c>
      <c r="AW263" s="453" t="str">
        <f>IF(AS263="","",IF(AU263=0,0,AU263/AT263*100))</f>
        <v/>
      </c>
      <c r="AX263" s="180" t="str">
        <f>IF(D263="","",IF(AS263=2,0,IF(AS263=1,'Calc (ex-animal)'!$K$51*'Calc (ex-housing, ex-storage)'!F263/100/VLOOKUP($C$263,'DB animal categories'!$C$91:$AC$100,27,FALSE)*AJ263+Q263+R263+S263,IF(AS263=5,('Calc (ex-animal)'!$K$51+'Calc (ex-animal)'!$L$51)*'Calc (ex-housing, ex-storage)'!F263/100/VLOOKUP($C$263,'DB animal categories'!$C$91:$AC$100,27,FALSE)*AJ263+Q263+R263+S263-'Calc (ex-housing, ex-storage)'!AC263,IF(AS263=3,('Calc (ex-animal)'!$K$51+'Calc (ex-animal)'!$L$51)*'Calc (ex-housing, ex-storage)'!F263/100/VLOOKUP($C$263,'DB animal categories'!$C$91:$AC$100,27,FALSE)*AJ263+Q263+R263+S263-'Calc (ex-housing, ex-storage)'!AC263-AD263-AE263,IF(AI263=4,('Calc (ex-animal)'!$K$51+'Calc (ex-animal)'!$L$51)*'Calc (ex-housing, ex-storage)'!F263/100*VLOOKUP(D263,'DB technologies'!$N$122:$Y$133,12,FALSE)/100/VLOOKUP($C$263,'DB animal categories'!$C$91:$AC$100,27,FALSE)*AJ263+Q263+R263+S263-(VLOOKUP(D263,'DB technologies'!$N$122:$Y$133,12,FALSE)/100*AC263)-AD263-AE263,0))))))</f>
        <v/>
      </c>
      <c r="AY263" s="180" t="str">
        <f>IF(D263="","",IF(AS263=2,0,IF(AS263=1,'Calc (ex-animal)'!$N$51*'Calc (ex-housing, ex-storage)'!F263/100/VLOOKUP($C$263,'DB animal categories'!$C$91:$AC$100,27,FALSE)*AJ263+U263+V263+W263,IF(AS263=5,('Calc (ex-animal)'!$N$51+'Calc (ex-animal)'!$O$51)*'Calc (ex-housing, ex-storage)'!F263/100/VLOOKUP($C$263,'DB animal categories'!$C$91:$AC$100,27,FALSE)*AJ263+U263+V263+W263,IF(AS263=3,('Calc (ex-animal)'!$N$51+'Calc (ex-animal)'!$O$51)*'Calc (ex-housing, ex-storage)'!F263/100/VLOOKUP($C$263,'DB animal categories'!$C$91:$AC$100,27,FALSE)*AJ263+U263+V263+W263,IF(AS263=4,('Calc (ex-animal)'!$N$51+'Calc (ex-animal)'!$O$51)*'Calc (ex-housing, ex-storage)'!F263/100*VLOOKUP(D263,'DB technologies'!$N$122:$Y$133,12,FALSE)/100/VLOOKUP($C$263,'DB animal categories'!$C$91:$AC$100,27,FALSE)*AJ263+U263+V263+W263,0))))))</f>
        <v/>
      </c>
      <c r="AZ263" s="180" t="str">
        <f>IF(D263="","",IF(AS263=2,0,IF(AS263=1,'Calc (ex-animal)'!$Q$51*'Calc (ex-housing, ex-storage)'!F263/100/VLOOKUP($C$263,'DB animal categories'!$C$91:$AC$100,27,FALSE)*AJ263+Y263+Z263+AA263,IF(AS263=5,('Calc (ex-animal)'!$Q$51+'Calc (ex-animal)'!$R$51)*'Calc (ex-housing, ex-storage)'!F263/100/VLOOKUP($C$263,'DB animal categories'!$C$91:$AC$100,27,FALSE)*AJ263+Y263+Z263+AA263,IF(AS263=3,('Calc (ex-animal)'!$Q$51+'Calc (ex-animal)'!$R$51)*'Calc (ex-housing, ex-storage)'!F263/100/VLOOKUP($C$263,'DB animal categories'!$C$91:$AC$100,27,FALSE)*AJ263+Y263+Z263+AA263,IF(AS263=4,('Calc (ex-animal)'!$Q$51+'Calc (ex-animal)'!$R$51)*'Calc (ex-housing, ex-storage)'!F263/100*VLOOKUP(D263,'DB technologies'!$N$122:$Y$133,12,FALSE)/100/VLOOKUP($C$263,'DB animal categories'!$C$91:$AC$100,27,FALSE)*AJ263+Y263+Z263+AA263,0))))))</f>
        <v/>
      </c>
      <c r="BA263" s="506"/>
      <c r="BB263" s="506"/>
      <c r="BC263" s="506"/>
    </row>
    <row r="264" spans="1:55" x14ac:dyDescent="0.2">
      <c r="A264" s="684"/>
      <c r="B264" s="695"/>
      <c r="C264" s="251"/>
      <c r="D264" s="1357"/>
      <c r="E264" s="1358"/>
      <c r="F264" s="480" t="str">
        <f>IF('Calc (ex-animal)'!$F$38=1,"",IF($C$263=0,"",IF(D264="","",E264/'Calc (ex-animal)'!$E$51*100)))</f>
        <v/>
      </c>
      <c r="G264" s="485" t="str">
        <f>IF($C$263=0,"",IF('Calc (ex-animal)'!$F$38=1,"",IF(D264="","",SUM(H264:O264))))</f>
        <v/>
      </c>
      <c r="H264" s="423" t="str">
        <f>IF('Calc (ex-animal)'!$F$38=1,"",IF(D264="","",(((VLOOKUP($C$263,'Calc (ex-animal)'!$D$48:$Y$52,6,FALSE)-VLOOKUP($C$263,'Calc (ex-animal)'!$D$48:$Y$52,17,FALSE))*F264/100))*VLOOKUP($C$263,'Calc (ex-animal)'!$D$48:$Y$52,7,FALSE)/100*(1-VLOOKUP(D264,'DB technologies'!$N$122:$Y$133,9,FALSE)/100)))</f>
        <v/>
      </c>
      <c r="I264" s="423" t="str">
        <f>IF(D264="","",((VLOOKUP(D264,'DB technologies'!$N$122:$Y$133,2,FALSE)*VLOOKUP($C$263,'DB animal categories'!$C$91:$AC$100,27,FALSE)*E264/1000)/VLOOKUP($C$263,'DB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'!$S$6/100*(1-VLOOKUP(D264,'DB technologies'!$N$122:$Y$133,9,FALSE)/100)))</f>
        <v/>
      </c>
      <c r="J264" s="434" t="str">
        <f>IF(D264="","",((VLOOKUP(D264,'DB technologies'!$N$122:$Y$133,3,FALSE)*VLOOKUP($C$263,'DB animal categories'!$C$91:$AC$100,27,FALSE)*E264/1000)/VLOOKUP($C$263,'DB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'!$S$7/100*(1-VLOOKUP(D264,'DB technologies'!$N$122:$Y$133,9,FALSE)/100)))</f>
        <v/>
      </c>
      <c r="K264" s="434" t="str">
        <f>IF(D264="","",((VLOOKUP(D264,'DB technologies'!$N$122:$Y$133,4,FALSE)*E264*'DB additional information '!$S$8/100*(1-VLOOKUP(D264,'DB technologies'!$N$122:$Y$133,9,FALSE)/100))/VLOOKUP($C$263,'DB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L264" s="423" t="str">
        <f>IF('Calc (ex-animal)'!$F$38=1,"",IF(D264="","",(((VLOOKUP($C$263,'Calc (ex-animal)'!$D$48:$Y$52,6,FALSE)-VLOOKUP($C$263,'Calc (ex-animal)'!$D$48:$Y$52,17,FALSE))*F264/100))*(1-VLOOKUP($C$263,'Calc (ex-animal)'!$D$48:$Y$52,7,FALSE)/100)*(1-VLOOKUP(D264,'DB technologies'!$N$122:$V$133,8,FALSE)/100)))</f>
        <v/>
      </c>
      <c r="M264" s="434" t="str">
        <f>IF(D264="","",((VLOOKUP(D264,'DB technologies'!$N$122:$Y$133,2,FALSE)*VLOOKUP($C$263,'DB animal categories'!$C$91:$AC$100,27,FALSE)*E264/1000)/VLOOKUP($C$263,'DB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'!$S$6/100)*(1-VLOOKUP(D264,'DB technologies'!$N$122:$Y$133,9,FALSE)/100))</f>
        <v/>
      </c>
      <c r="N264" s="434" t="str">
        <f>IF(D264="","",((VLOOKUP(D264,'DB technologies'!$N$122:$Y$133,3,FALSE)*VLOOKUP($C$263,'DB animal categories'!$C$91:$AC$100,27,FALSE)*E264/1000)/VLOOKUP($C$263,'DB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'!$S$7/100)*(1-VLOOKUP(D264,'DB technologies'!$N$122:$Y$133,9,FALSE)/100))</f>
        <v/>
      </c>
      <c r="O264" s="423" t="str">
        <f>IF(D264="","",((VLOOKUP(D264,'DB technologies'!$N$122:$Y$133,4,FALSE)*E264*(1-'DB additional information '!$S$8/100)*(1-VLOOKUP(D264,'DB technologies'!$N$122:$Y$133,8,FALSE)/100))/VLOOKUP($C$263,'DB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P264" s="438" t="str">
        <f>IF(G264=0,0,IF(E264="","",IF(F264="","",IF($C$263=0,"",IF(D264="","",SUM(H264:K264)/G264*100)))))</f>
        <v/>
      </c>
      <c r="Q264" s="416" t="str">
        <f>IF(D264="","",(VLOOKUP(D264,'DB technologies'!$N$122:$Y$133,2,FALSE)*'DB additional information '!$S$6/100*'DB additional information '!$T$6*VLOOKUP($C$263,'DB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R264" s="416" t="str">
        <f>IF(D264="","",(VLOOKUP(D264,'DB technologies'!$N$122:$Y$133,3,FALSE)*'DB additional information '!$S$7/100*'DB additional information '!$T$7*VLOOKUP($C$263,'DB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S264" s="491" t="str">
        <f>IF(D264="","",(VLOOKUP(D264,'DB technologies'!$N$122:$Y$133,4,FALSE)*('DB additional information '!$S$8/100*'DB additional information '!$T$8*E264/1000/1000)))</f>
        <v/>
      </c>
      <c r="T264" s="264" t="str">
        <f>IF($C$263=0,"",IF('Calc (ex-animal)'!$F$38=1,"",IF(D264="","",((VLOOKUP($C$263,'Calc (ex-animal)'!$D$48:$Y$52,10,FALSE)-VLOOKUP($C$263,'Calc (ex-animal)'!$D$48:$Y$52,18,FALSE))*F264/100+Q264+R264+S264)-AC264-AD264-AE264)))</f>
        <v/>
      </c>
      <c r="U264" s="422" t="str">
        <f>IF(D264="","",(VLOOKUP(D264,'DB technologies'!$N$122:$Y$133,2,FALSE)*'DB additional information '!$S$6/100*'DB additional information '!$U$6*VLOOKUP($C$263,'DB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V264" s="418" t="str">
        <f>IF(D264="","",(VLOOKUP(D264,'DB technologies'!$N$122:$Y$133,3,FALSE)*'DB additional information '!$S$7/100*'DB additional information '!$U$7*VLOOKUP($C$263,'DB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W264" s="417" t="str">
        <f>IF(D264="","",(VLOOKUP(D264,'DB technologies'!$N$122:$Y$133,4,FALSE)*('DB additional information '!$S$8/100*'DB additional information '!$U$8*E264/1000/1000)))</f>
        <v/>
      </c>
      <c r="X264" s="261" t="str">
        <f>IF($C$263=0,"",IF('Calc (ex-animal)'!$F$38=1,"",IF(D264="","",((VLOOKUP($C$263,'Calc (ex-animal)'!$D$48:$Y$52,13,FALSE)-VLOOKUP($C$263,'Calc (ex-animal)'!$D$48:$Y$52,19,FALSE))*F264/100+U264+V264+W264))))</f>
        <v/>
      </c>
      <c r="Y264" s="418" t="str">
        <f>IF(D264="","",(VLOOKUP(D264,'DB technologies'!$N$122:$Y$133,2,FALSE)*'DB additional information '!$S$6/100*'DB additional information '!$V$6*VLOOKUP($C$263,'DB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Z264" s="418" t="str">
        <f>IF(D264="","",(VLOOKUP(D264,'DB technologies'!$N$122:$Y$133,3,FALSE)*'DB additional information '!$S$7/100*'DB additional information '!$V$7*VLOOKUP($C$263,'DB animal categories'!$C$91:$AC$100,27,FALSE)*E264/1000/1000)/VLOOKUP($C$263,'DB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AA264" s="418" t="str">
        <f>IF(D264="","",(VLOOKUP(D264,'DB technologies'!$N$122:$Y$133,4,FALSE)*('DB additional information '!$S$8/100*'DB additional information '!$V$8*E264/1000/1000)))</f>
        <v/>
      </c>
      <c r="AB264" s="261" t="str">
        <f>IF($C$263=0,"",IF('Calc (ex-animal)'!$F$38=1,"",IF(D264="","",((VLOOKUP($C$263,'Calc (ex-animal)'!$D$48:$Y$52,16,FALSE)-VLOOKUP($C$263,'Calc (ex-animal)'!$D$48:$Y$52,20,FALSE))*F264/100+Y264+Z264+AA264))))</f>
        <v/>
      </c>
      <c r="AC264" s="261" t="str">
        <f>IF($C$263=0,"",IF('Calc (ex-animal)'!$F$38=1,"",IF(D264="","",VLOOKUP($C$263,'Calc (ex-animal)'!$D$48:$Y$52,9,FALSE)/VLOOKUP($C$263,'DB animal categories'!$C$91:$AC$100,27,FALSE)*(VLOOKUP($C$263,'DB animal categories'!$C$91:$AC$100,27,FALSE)-VLOOKUP($C$263,'DB animal categories'!$C$91:$AC$100,25,FALSE)*VLOOKUP($C$263,'DB animal categories'!$C$91:$AC$100,26,FALSE)/24)*F264/100*VLOOKUP(D264,'DB technologies'!$N$122:$R$133,5,FALSE)/100)))</f>
        <v/>
      </c>
      <c r="AD264" s="261" t="str">
        <f>IF($C$263=0,"",IF('Calc (ex-animal)'!$F$38=1,"",IF(D264="","",VLOOKUP($C$263,'Calc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categories'!$C$91:$AC$100,26,FALSE)/24)*F264/100*VLOOKUP(D264,'DB technologies'!$N$122:$Y$133,6,FALSE)/100)))</f>
        <v/>
      </c>
      <c r="AE264" s="262" t="str">
        <f>IF($C$263=0,"",IF('Calc (ex-animal)'!$F$38=1,"",IF(D264="","",VLOOKUP($C$263,'Calc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categories'!$C$91:$AC$100,26,FALSE)/24)*F264/100*VLOOKUP(D264,'DB technologies'!$N$122:$Y$133,7,FALSE)/100)))</f>
        <v/>
      </c>
      <c r="AI264" s="181" t="str">
        <f>IF(D264="","",VLOOKUP(D264,'DB technologies'!$N$122:$Y$133,10,FALSE))</f>
        <v/>
      </c>
      <c r="AJ264" s="449" t="e">
        <f>VLOOKUP($C$263,'DB animal categories'!$C$91:$AN$100,27,FALSE)-VLOOKUP($C$263,'DB animal categories'!$C$91:$AN$100,26,FALSE)*VLOOKUP($C$263,'DB animal categories'!$C$91:$AN$100,25,FALSE)/24</f>
        <v>#N/A</v>
      </c>
      <c r="AK264" s="442" t="str">
        <f>IF(AI264="","",AL264+AM264)</f>
        <v/>
      </c>
      <c r="AL264" s="442" t="str">
        <f>IF(D264="","",IF(AI264=2,(('Calc (ex-animal)'!$G$51*'DB additional information '!$K$11/100*(1-VLOOKUP(D264,'DB technologies'!$N$122:$Y$133,9,FALSE)/100)*'Calc (ex-housing, ex-storage)'!F264/100+'Calc (ex-animal)'!$H$51*'DB additional information '!$L$11/100*(1-VLOOKUP(D264,'DB technologies'!$N$122:$Y$133,9,FALSE)/100)*'Calc (ex-housing, ex-storage)'!F264/100))/VLOOKUP($C$263,'DB animal categories'!$C$91:$AC$100,27,FALSE)*AJ264+I264+J264+K264,IF(AI264=1,('Calc (ex-animal)'!$H$51*'DB additional information '!$L$11/100*(1-VLOOKUP(D264,'DB technologies'!$N$122:$Y$133,9,FALSE)/100)*'Calc (ex-housing, ex-storage)'!F264/100)/VLOOKUP($C$263,'DB animal categories'!$C$91:$AC$100,27,FALSE)*AJ264,IF(AI264=4,('Calc (ex-animal)'!$G$51*'DB additional information '!$K$11/100+'Calc (ex-animal)'!$H$51*'DB additional information '!$L$11/100)*(1-VLOOKUP(D264,'DB technologies'!$N$122:$Y$133,9,FALSE)/100)*'Calc (ex-housing, ex-storage)'!F264/100*VLOOKUP(D264,'DB technologies'!$N$122:$Y$133,11,FALSE)/100/VLOOKUP($C$263,'DB animal categories'!$C$91:$AC$100,27,FALSE)*AJ264,0))))</f>
        <v/>
      </c>
      <c r="AM264" s="442" t="str">
        <f>IF(D264="","",IF(AI264=2,(('Calc (ex-animal)'!$G$51*(1-'DB additional information '!$K$11/100)*(1-VLOOKUP(D264,'DB technologies'!$N$122:$Y$133,8,FALSE)/100)*'Calc (ex-housing, ex-storage)'!F264/100+'Calc (ex-animal)'!$H$51*(1-'DB additional information '!$L$11/100)*(1-VLOOKUP(D264,'DB technologies'!$N$122:$Y$133,8,FALSE)/100)*'Calc (ex-housing, ex-storage)'!F264/100))/VLOOKUP($C$263,'DB animal categories'!$C$91:$AC$100,27,FALSE)*AJ264+M264+N264+O264,IF(AI264=1,('Calc (ex-animal)'!$H$51*(1-'DB additional information '!$L$11/100)*(1-VLOOKUP(D264,'DB technologies'!$N$122:$Y$133,8,FALSE)/100)*'Calc (ex-housing, ex-storage)'!F264/100)/VLOOKUP($C$263,'DB animal categories'!$C$91:$AC$100,27,FALSE)*AJ264,IF(AI264=4,('Calc (ex-animal)'!$G$51*(1-'DB additional information '!$K$11/100)+'Calc (ex-animal)'!$H$51*(1-'DB additional information '!$L$11/100))*(1-VLOOKUP(D264,'DB technologies'!$N$122:$Y$133,8,FALSE)/100)*'Calc (ex-housing, ex-storage)'!F264/100*VLOOKUP(D264,'DB technologies'!$N$122:$Y$133,11,FALSE)/100/VLOOKUP($C$263,'DB animal categories'!$C$91:$AC$100,27,FALSE)*AJ264,0))))</f>
        <v/>
      </c>
      <c r="AN264" s="442" t="str">
        <f>IF(AI264="","",IF(AL264=0,0,AL264/AK264*100))</f>
        <v/>
      </c>
      <c r="AO264" s="182" t="str">
        <f>IF(D264="","",IF(AI264=2,(('Calc (ex-animal)'!$L$51*'Calc (ex-housing, ex-storage)'!F264/100+'Calc (ex-animal)'!$K$51*'Calc (ex-housing, ex-storage)'!F264/100))/VLOOKUP($C$263,'DB animal categories'!$C$91:$AC$100,27,FALSE)*AJ264+Q264+R264+S264-AC264,IF(AI264=1,('Calc (ex-animal)'!$L$51*'Calc (ex-housing, ex-storage)'!F264/100)/VLOOKUP($C$263,'DB animal categories'!$C$91:$AC$100,27,FALSE)*AJ264-'Calc (ex-housing, ex-storage)'!AC264,IF(AI264=4,('Calc (ex-animal)'!$L$51+'Calc (ex-animal)'!$K$51)*'Calc (ex-housing, ex-storage)'!F264/100*VLOOKUP(D264,'DB technologies'!$N$122:$Y$133,11,FALSE)/100/VLOOKUP($C$263,'DB animal categories'!$C$91:$AC$100,27,FALSE)*AJ264-AC264*VLOOKUP(D264,'DB technologies'!$N$122:$Y$133,11,FALSE)/100,0))))</f>
        <v/>
      </c>
      <c r="AP264" s="182" t="str">
        <f>IF(D264="","",IF(AO264&lt;-0.01,0,IF(AI264=2,(('Calc (ex-animal)'!$L$51*'Calc (ex-housing, ex-storage)'!F264/100+'Calc (ex-animal)'!$K$51*'Calc (ex-housing, ex-storage)'!F264/100))/VLOOKUP($C$263,'DB animal categories'!$C$91:$AC$100,27,FALSE)*AJ264+Q264+R264+S264-AC264,IF(AI264=1,('Calc (ex-animal)'!$L$51*'Calc (ex-housing, ex-storage)'!F264/100)/VLOOKUP($C$263,'DB animal categories'!$C$91:$AC$100,27,FALSE)*AJ264-'Calc (ex-housing, ex-storage)'!AC264,IF(AI264=4,('Calc (ex-animal)'!$L$51+'Calc (ex-animal)'!$K$51)*'Calc (ex-housing, ex-storage)'!F264/100*VLOOKUP(D264,'DB technologies'!$N$122:$Y$133,11,FALSE)/100/VLOOKUP($C$263,'DB animal categories'!$C$91:$AC$100,27,FALSE)*AJ264-AC264*VLOOKUP(D264,'DB technologies'!$N$122:$Y$133,11,FALSE)/100,0)))))</f>
        <v/>
      </c>
      <c r="AQ264" s="182" t="str">
        <f>IF(D264="","",IF(AI264=2,('Calc (ex-animal)'!$O$51*'Calc (ex-housing, ex-storage)'!F264/100+'Calc (ex-animal)'!$N$51*'Calc (ex-housing, ex-storage)'!F264/100)/VLOOKUP($C$263,'DB animal categories'!$C$91:$AC$100,27,FALSE)*AJ264+U264+V264+W264,IF(AI264=1,'Calc (ex-animal)'!$O$51*'Calc (ex-housing, ex-storage)'!F264/100/VLOOKUP($C$263,'DB animal categories'!$C$91:$AC$100,27,FALSE)*AJ264,IF(AI264=4,('Calc (ex-animal)'!$O$51+'Calc (ex-animal)'!$N$51)*'Calc (ex-housing, ex-storage)'!F264/100*VLOOKUP(D264,'DB technologies'!$N$122:$Y$133,11,FALSE)/100/VLOOKUP($C$263,'DB animal categories'!$C$91:$AC$100,27,FALSE)*AJ264,0))))</f>
        <v/>
      </c>
      <c r="AR264" s="182" t="str">
        <f>IF(D264="","",IF(AI264=2,('Calc (ex-animal)'!$R$51*'Calc (ex-housing, ex-storage)'!F264/100+'Calc (ex-animal)'!$Q$51*'Calc (ex-housing, ex-storage)'!F264/100)/VLOOKUP($C$263,'DB animal categories'!$C$91:$AC$100,27,FALSE)*AJ264+Y264+Z264+AA264,IF(AI264=1,'Calc (ex-animal)'!$R$51*'Calc (ex-housing, ex-storage)'!F264/100/VLOOKUP($C$263,'DB animal categories'!$C$91:$AC$100,27,FALSE)*AJ264,IF(AI264=4,('Calc (ex-animal)'!$R$51+'Calc (ex-animal)'!$Q$51)*'Calc (ex-housing, ex-storage)'!F264/100*VLOOKUP(D264,'DB technologies'!$N$122:$Y$133,11,FALSE)/100/VLOOKUP($C$263,'DB animal categories'!$C$91:$AC$100,27,FALSE)*AJ264,0))))</f>
        <v/>
      </c>
      <c r="AS264" s="181" t="str">
        <f>IF(D264="","",VLOOKUP(D264,'DB technologies'!$N$122:$Y$133,10,FALSE))</f>
        <v/>
      </c>
      <c r="AT264" s="442" t="str">
        <f>IF(AS264="","",AU264+AV264)</f>
        <v/>
      </c>
      <c r="AU264" s="442" t="str">
        <f>IF(D264="","",IF(AS264=2,0,IF(AS264=1,'Calc (ex-animal)'!$G$51*'DB additional information '!$K$11/100*(1-VLOOKUP(D264,'DB technologies'!$N$122:$Y$133,8,FALSE)/100)*'Calc (ex-housing, ex-storage)'!F264/100/VLOOKUP($C$263,'DB animal categories'!$C$91:$AC$100,27,FALSE)*AJ264+I264+J264+K264,IF(AS264=5,(('Calc (ex-animal)'!$G$51*'DB additional information '!$K$11/100+'Calc (ex-animal)'!$H$51*'DB additional information '!$L$11/100))*(1-VLOOKUP(D264,'DB technologies'!$N$122:$Y$133,9,FALSE)/100)*'Calc (ex-housing, ex-storage)'!F264/100/VLOOKUP($C$263,'DB animal categories'!$C$91:$AC$100,27,FALSE)*AJ264+I264+J264+K264,IF(AS264=3,('Calc (ex-animal)'!$G$51*'DB additional information '!$K$11/100+'Calc (ex-animal)'!$H$51*'DB additional information '!$L$11/100)*(1-VLOOKUP(D264,'DB technologies'!$N$122:$Y$133,9,FALSE)/100)*'Calc (ex-housing, ex-storage)'!F264/100/VLOOKUP($C$263,'DB animal categories'!$C$91:$AC$100,27,FALSE)*AJ264+I264+J264+K264,IF(AS264=4,('Calc (ex-animal)'!$G$51*'DB additional information '!$K$11/100+'Calc (ex-animal)'!$H$51*'DB additional information '!$L$11/100)*(1-VLOOKUP(D264,'DB technologies'!$N$122:$Y$133,9,FALSE)/100)*'Calc (ex-housing, ex-storage)'!F264/100*VLOOKUP(D264,'DB technologies'!$N$122:$Y$133,12,FALSE)/100/VLOOKUP($C$263,'DB animal categories'!$C$91:$AC$100,27,FALSE)*AJ264+I264+J264+K264,0))))))</f>
        <v/>
      </c>
      <c r="AV264" s="442" t="str">
        <f>IF(D264="","",IF(AS264=2,0,IF(AS264=1,'Calc (ex-animal)'!$G$51*(1-'DB additional information '!$K$11/100)*(1-VLOOKUP(D264,'DB technologies'!$N$122:$Y$133,8,FALSE)/100)*'Calc (ex-housing, ex-storage)'!F264/100/VLOOKUP($C$263,'DB animal categories'!$C$91:$AC$100,27,FALSE)*AJ264+M264+N264+O264,IF(AS264=5,('Calc (ex-animal)'!$G$51*(1-'DB additional information '!$K$11/100)+'Calc (ex-animal)'!$H$51*(1-'DB additional information '!$L$11/100))*(1-VLOOKUP(D264,'DB technologies'!$N$122:$Y$133,8,FALSE)/100)*'Calc (ex-housing, ex-storage)'!F264/100/VLOOKUP($C$263,'DB animal categories'!$C$91:$AC$100,27,FALSE)*AJ264+M264+N264+O264,IF(AS264=3,('Calc (ex-animal)'!$G$51*(1-'DB additional information '!$K$11/100)+'Calc (ex-animal)'!$H$51*(1-'DB additional information '!$L$11/100))*(1-VLOOKUP(D264,'DB technologies'!$N$122:$Y$133,8,FALSE)/100)*'Calc (ex-housing, ex-storage)'!F264/100/VLOOKUP($C$263,'DB animal categories'!$C$91:$AC$100,27,FALSE)*AJ264+M264+N264+O264,IF(AS264=4,('Calc (ex-animal)'!$G$51*(1-'DB additional information '!$K$11/100)+'Calc (ex-animal)'!$H$51*(1-'DB additional information '!$L$11/100))*(1-VLOOKUP(D264,'DB technologies'!$N$122:$Y$133,8,FALSE)/100)*'Calc (ex-housing, ex-storage)'!F264/100*VLOOKUP(D264,'DB technologies'!$N$122:$Y$133,12,FALSE)/100/VLOOKUP($C$263,'DB animal categories'!$C$91:$AC$100,27,FALSE)*AJ264+M264+N264+O264,0))))))</f>
        <v/>
      </c>
      <c r="AW264" s="442" t="str">
        <f>IF(AS264="","",IF(AU264=0,0,AU264/AT264*100))</f>
        <v/>
      </c>
      <c r="AX264" s="182" t="str">
        <f>IF(D264="","",IF(AS264=2,0,IF(AS264=1,'Calc (ex-animal)'!$K$51*'Calc (ex-housing, ex-storage)'!F264/100/VLOOKUP($C$263,'DB animal categories'!$C$91:$AC$100,27,FALSE)*AJ264+Q264+R264+S264,IF(AS264=5,('Calc (ex-animal)'!$K$51+'Calc (ex-animal)'!$L$51)*'Calc (ex-housing, ex-storage)'!F264/100/VLOOKUP($C$263,'DB animal categories'!$C$91:$AC$100,27,FALSE)*AJ264+Q264+R264+S264-'Calc (ex-housing, ex-storage)'!AC264,IF(AS264=3,('Calc (ex-animal)'!$K$51+'Calc (ex-animal)'!$L$51)*'Calc (ex-housing, ex-storage)'!F264/100/VLOOKUP($C$263,'DB animal categories'!$C$91:$AC$100,27,FALSE)*AJ264+Q264+R264+S264-'Calc (ex-housing, ex-storage)'!AC264-AD264-AE264,IF(AI264=4,('Calc (ex-animal)'!$K$51+'Calc (ex-animal)'!$L$51)*'Calc (ex-housing, ex-storage)'!F264/100*VLOOKUP(D264,'DB technologies'!$N$122:$Y$133,12,FALSE)/100/VLOOKUP($C$263,'DB animal categories'!$C$91:$AC$100,27,FALSE)*AJ264+Q264+R264+S264-(VLOOKUP(D264,'DB technologies'!$N$122:$Y$133,12,FALSE)/100*AC264)-AD264-AE264,0))))))</f>
        <v/>
      </c>
      <c r="AY264" s="182" t="str">
        <f>IF(D264="","",IF(AS264=2,0,IF(AS264=1,'Calc (ex-animal)'!$N$51*'Calc (ex-housing, ex-storage)'!F264/100/VLOOKUP($C$263,'DB animal categories'!$C$91:$AC$100,27,FALSE)*AJ264+U264+V264+W264,IF(AS264=5,('Calc (ex-animal)'!$N$51+'Calc (ex-animal)'!$O$51)*'Calc (ex-housing, ex-storage)'!F264/100/VLOOKUP($C$263,'DB animal categories'!$C$91:$AC$100,27,FALSE)*AJ264+U264+V264+W264,IF(AS264=3,('Calc (ex-animal)'!$N$51+'Calc (ex-animal)'!$O$51)*'Calc (ex-housing, ex-storage)'!F264/100/VLOOKUP($C$263,'DB animal categories'!$C$91:$AC$100,27,FALSE)*AJ264+U264+V264+W264,IF(AS264=4,('Calc (ex-animal)'!$N$51+'Calc (ex-animal)'!$O$51)*'Calc (ex-housing, ex-storage)'!F264/100*VLOOKUP(D264,'DB technologies'!$N$122:$Y$133,12,FALSE)/100/VLOOKUP($C$263,'DB animal categories'!$C$91:$AC$100,27,FALSE)*AJ264+U264+V264+W264,0))))))</f>
        <v/>
      </c>
      <c r="AZ264" s="182" t="str">
        <f>IF(D264="","",IF(AS264=2,0,IF(AS264=1,'Calc (ex-animal)'!$Q$51*'Calc (ex-housing, ex-storage)'!F264/100/VLOOKUP($C$263,'DB animal categories'!$C$91:$AC$100,27,FALSE)*AJ264+Y264+Z264+AA264,IF(AS264=5,('Calc (ex-animal)'!$Q$51+'Calc (ex-animal)'!$R$51)*'Calc (ex-housing, ex-storage)'!F264/100/VLOOKUP($C$263,'DB animal categories'!$C$91:$AC$100,27,FALSE)*AJ264+Y264+Z264+AA264,IF(AS264=3,('Calc (ex-animal)'!$Q$51+'Calc (ex-animal)'!$R$51)*'Calc (ex-housing, ex-storage)'!F264/100/VLOOKUP($C$263,'DB animal categories'!$C$91:$AC$100,27,FALSE)*AJ264+Y264+Z264+AA264,IF(AS264=4,('Calc (ex-animal)'!$Q$51+'Calc (ex-animal)'!$R$51)*'Calc (ex-housing, ex-storage)'!F264/100*VLOOKUP(D264,'DB technologies'!$N$122:$Y$133,12,FALSE)/100/VLOOKUP($C$263,'DB animal categories'!$C$91:$AC$100,27,FALSE)*AJ264+Y264+Z264+AA264,0))))))</f>
        <v/>
      </c>
      <c r="BA264" s="506"/>
      <c r="BB264" s="506"/>
      <c r="BC264" s="506"/>
    </row>
    <row r="265" spans="1:55" x14ac:dyDescent="0.2">
      <c r="A265" s="684"/>
      <c r="B265" s="695"/>
      <c r="C265" s="251"/>
      <c r="D265" s="1357"/>
      <c r="E265" s="1358"/>
      <c r="F265" s="480" t="str">
        <f>IF('Calc (ex-animal)'!$F$38=1,"",IF($C$263=0,"",IF(D265="","",E265/'Calc (ex-animal)'!$E$51*100)))</f>
        <v/>
      </c>
      <c r="G265" s="485" t="str">
        <f>IF($C$263=0,"",IF('Calc (ex-animal)'!$F$38=1,"",IF(D265="","",SUM(H265:O265))))</f>
        <v/>
      </c>
      <c r="H265" s="423" t="str">
        <f>IF('Calc (ex-animal)'!$F$38=1,"",IF(D265="","",(((VLOOKUP($C$263,'Calc (ex-animal)'!$D$48:$Y$52,6,FALSE)-VLOOKUP($C$263,'Calc (ex-animal)'!$D$48:$Y$52,17,FALSE))*F265/100))*VLOOKUP($C$263,'Calc (ex-animal)'!$D$48:$Y$52,7,FALSE)/100*(1-VLOOKUP(D265,'DB technologies'!$N$122:$Y$133,9,FALSE)/100)))</f>
        <v/>
      </c>
      <c r="I265" s="423" t="str">
        <f>IF(D265="","",((VLOOKUP(D265,'DB technologies'!$N$122:$Y$133,2,FALSE)*VLOOKUP($C$263,'DB animal categories'!$C$91:$AC$100,27,FALSE)*E265/1000)/VLOOKUP($C$263,'DB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'!$S$6/100*(1-VLOOKUP(D265,'DB technologies'!$N$122:$Y$133,9,FALSE)/100)))</f>
        <v/>
      </c>
      <c r="J265" s="434" t="str">
        <f>IF(D265="","",((VLOOKUP(D265,'DB technologies'!$N$122:$Y$133,3,FALSE)*VLOOKUP($C$263,'DB animal categories'!$C$91:$AC$100,27,FALSE)*E265/1000)/VLOOKUP($C$263,'DB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'!$S$7/100*(1-VLOOKUP(D265,'DB technologies'!$N$122:$Y$133,9,FALSE)/100)))</f>
        <v/>
      </c>
      <c r="K265" s="434" t="str">
        <f>IF(D265="","",((VLOOKUP(D265,'DB technologies'!$N$122:$Y$133,4,FALSE)*E265*'DB additional information '!$S$8/100*(1-VLOOKUP(D265,'DB technologies'!$N$122:$Y$133,9,FALSE)/100))/VLOOKUP($C$263,'DB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L265" s="423" t="str">
        <f>IF('Calc (ex-animal)'!$F$38=1,"",IF(D265="","",(((VLOOKUP($C$263,'Calc (ex-animal)'!$D$48:$Y$52,6,FALSE)-VLOOKUP($C$263,'Calc (ex-animal)'!$D$48:$Y$52,17,FALSE))*F265/100))*(1-VLOOKUP($C$263,'Calc (ex-animal)'!$D$48:$Y$52,7,FALSE)/100)*(1-VLOOKUP(D265,'DB technologies'!$N$122:$V$133,8,FALSE)/100)))</f>
        <v/>
      </c>
      <c r="M265" s="434" t="str">
        <f>IF(D265="","",((VLOOKUP(D265,'DB technologies'!$N$122:$Y$133,2,FALSE)*VLOOKUP($C$263,'DB animal categories'!$C$91:$AC$100,27,FALSE)*E265/1000)/VLOOKUP($C$263,'DB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'!$S$6/100)*(1-VLOOKUP(D265,'DB technologies'!$N$122:$Y$133,9,FALSE)/100))</f>
        <v/>
      </c>
      <c r="N265" s="434" t="str">
        <f>IF(D265="","",((VLOOKUP(D265,'DB technologies'!$N$122:$Y$133,3,FALSE)*VLOOKUP($C$263,'DB animal categories'!$C$91:$AC$100,27,FALSE)*E265/1000)/VLOOKUP($C$263,'DB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'!$S$7/100)*(1-VLOOKUP(D265,'DB technologies'!$N$122:$Y$133,9,FALSE)/100))</f>
        <v/>
      </c>
      <c r="O265" s="423" t="str">
        <f>IF(D265="","",((VLOOKUP(D265,'DB technologies'!$N$122:$Y$133,4,FALSE)*E265*(1-'DB additional information '!$S$8/100)*(1-VLOOKUP(D265,'DB technologies'!$N$122:$Y$133,8,FALSE)/100))/VLOOKUP($C$263,'DB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P265" s="438" t="str">
        <f>IF(G265=0,0,IF(E265="","",IF(F265="","",IF($C$263=0,"",IF(D265="","",SUM(H265:K265)/G265*100)))))</f>
        <v/>
      </c>
      <c r="Q265" s="416" t="str">
        <f>IF(D265="","",(VLOOKUP(D265,'DB technologies'!$N$122:$Y$133,2,FALSE)*'DB additional information '!$S$6/100*'DB additional information '!$T$6*VLOOKUP($C$263,'DB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R265" s="416" t="str">
        <f>IF(D265="","",(VLOOKUP(D265,'DB technologies'!$N$122:$Y$133,3,FALSE)*'DB additional information '!$S$7/100*'DB additional information '!$T$7*VLOOKUP($C$263,'DB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S265" s="491" t="str">
        <f>IF(D265="","",(VLOOKUP(D265,'DB technologies'!$N$122:$Y$133,4,FALSE)*('DB additional information '!$S$8/100*'DB additional information '!$T$8*E265/1000/1000)))</f>
        <v/>
      </c>
      <c r="T265" s="264" t="str">
        <f>IF($C$263=0,"",IF('Calc (ex-animal)'!$F$38=1,"",IF(D265="","",((VLOOKUP($C$263,'Calc (ex-animal)'!$D$48:$Y$52,10,FALSE)-VLOOKUP($C$263,'Calc (ex-animal)'!$D$48:$Y$52,18,FALSE))*F265/100+Q265+R265+S265)-AC265-AD265-AE265)))</f>
        <v/>
      </c>
      <c r="U265" s="422" t="str">
        <f>IF(D265="","",(VLOOKUP(D265,'DB technologies'!$N$122:$Y$133,2,FALSE)*'DB additional information '!$S$6/100*'DB additional information '!$U$6*VLOOKUP($C$263,'DB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V265" s="418" t="str">
        <f>IF(D265="","",(VLOOKUP(D265,'DB technologies'!$N$122:$Y$133,3,FALSE)*'DB additional information '!$S$7/100*'DB additional information '!$U$7*VLOOKUP($C$263,'DB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W265" s="417" t="str">
        <f>IF(D265="","",(VLOOKUP(D265,'DB technologies'!$N$122:$Y$133,4,FALSE)*('DB additional information '!$S$8/100*'DB additional information '!$U$8*E265/1000/1000)))</f>
        <v/>
      </c>
      <c r="X265" s="261" t="str">
        <f>IF($C$263=0,"",IF('Calc (ex-animal)'!$F$38=1,"",IF(D265="","",((VLOOKUP($C$263,'Calc (ex-animal)'!$D$48:$Y$52,13,FALSE)-VLOOKUP($C$263,'Calc (ex-animal)'!$D$48:$Y$52,19,FALSE))*F265/100+U265+V265+W265))))</f>
        <v/>
      </c>
      <c r="Y265" s="418" t="str">
        <f>IF(D265="","",(VLOOKUP(D265,'DB technologies'!$N$122:$Y$133,2,FALSE)*'DB additional information '!$S$6/100*'DB additional information '!$V$6*VLOOKUP($C$263,'DB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Z265" s="418" t="str">
        <f>IF(D265="","",(VLOOKUP(D265,'DB technologies'!$N$122:$Y$133,3,FALSE)*'DB additional information '!$S$7/100*'DB additional information '!$V$7*VLOOKUP($C$263,'DB animal categories'!$C$91:$AC$100,27,FALSE)*E265/1000/1000)/VLOOKUP($C$263,'DB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AA265" s="418" t="str">
        <f>IF(D265="","",(VLOOKUP(D265,'DB technologies'!$N$122:$Y$133,4,FALSE)*('DB additional information '!$S$8/100*'DB additional information '!$V$8*E265/1000/1000)))</f>
        <v/>
      </c>
      <c r="AB265" s="261" t="str">
        <f>IF($C$263=0,"",IF('Calc (ex-animal)'!$F$38=1,"",IF(D265="","",((VLOOKUP($C$263,'Calc (ex-animal)'!$D$48:$Y$52,16,FALSE)-VLOOKUP($C$263,'Calc (ex-animal)'!$D$48:$Y$52,20,FALSE))*F265/100+Y265+Z265+AA265))))</f>
        <v/>
      </c>
      <c r="AC265" s="261" t="str">
        <f>IF($C$263=0,"",IF('Calc (ex-animal)'!$F$38=1,"",IF(D265="","",VLOOKUP($C$263,'Calc (ex-animal)'!$D$48:$Y$52,9,FALSE)/VLOOKUP($C$263,'DB animal categories'!$C$91:$AC$100,27,FALSE)*(VLOOKUP($C$263,'DB animal categories'!$C$91:$AC$100,27,FALSE)-VLOOKUP($C$263,'DB animal categories'!$C$91:$AC$100,25,FALSE)*VLOOKUP($C$263,'DB animal categories'!$C$91:$AC$100,26,FALSE)/24)*F265/100*VLOOKUP(D265,'DB technologies'!$N$122:$R$133,5,FALSE)/100)))</f>
        <v/>
      </c>
      <c r="AD265" s="261" t="str">
        <f>IF($C$263=0,"",IF('Calc (ex-animal)'!$F$38=1,"",IF(D265="","",VLOOKUP($C$263,'Calc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categories'!$C$91:$AC$100,26,FALSE)/24)*F265/100*VLOOKUP(D265,'DB technologies'!$N$122:$Y$133,6,FALSE)/100)))</f>
        <v/>
      </c>
      <c r="AE265" s="262" t="str">
        <f>IF($C$263=0,"",IF('Calc (ex-animal)'!$F$38=1,"",IF(D265="","",VLOOKUP($C$263,'Calc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categories'!$C$91:$AC$100,26,FALSE)/24)*F265/100*VLOOKUP(D265,'DB technologies'!$N$122:$Y$133,7,FALSE)/100)))</f>
        <v/>
      </c>
      <c r="AI265" s="181" t="str">
        <f>IF(D265="","",VLOOKUP(D265,'DB technologies'!$N$122:$Y$133,10,FALSE))</f>
        <v/>
      </c>
      <c r="AJ265" s="449" t="e">
        <f>VLOOKUP($C$263,'DB animal categories'!$C$91:$AN$100,27,FALSE)-VLOOKUP($C$263,'DB animal categories'!$C$91:$AN$100,26,FALSE)*VLOOKUP($C$263,'DB animal categories'!$C$91:$AN$100,25,FALSE)/24</f>
        <v>#N/A</v>
      </c>
      <c r="AK265" s="442" t="str">
        <f>IF(AI265="","",AL265+AM265)</f>
        <v/>
      </c>
      <c r="AL265" s="442" t="str">
        <f>IF(D265="","",IF(AI265=2,(('Calc (ex-animal)'!$G$51*'DB additional information '!$K$11/100*(1-VLOOKUP(D265,'DB technologies'!$N$122:$Y$133,9,FALSE)/100)*'Calc (ex-housing, ex-storage)'!F265/100+'Calc (ex-animal)'!$H$51*'DB additional information '!$L$11/100*(1-VLOOKUP(D265,'DB technologies'!$N$122:$Y$133,9,FALSE)/100)*'Calc (ex-housing, ex-storage)'!F265/100))/VLOOKUP($C$263,'DB animal categories'!$C$91:$AC$100,27,FALSE)*AJ265+I265+J265+K265,IF(AI265=1,('Calc (ex-animal)'!$H$51*'DB additional information '!$L$11/100*(1-VLOOKUP(D265,'DB technologies'!$N$122:$Y$133,9,FALSE)/100)*'Calc (ex-housing, ex-storage)'!F265/100)/VLOOKUP($C$263,'DB animal categories'!$C$91:$AC$100,27,FALSE)*AJ265,IF(AI265=4,('Calc (ex-animal)'!$G$51*'DB additional information '!$K$11/100+'Calc (ex-animal)'!$H$51*'DB additional information '!$L$11/100)*(1-VLOOKUP(D265,'DB technologies'!$N$122:$Y$133,9,FALSE)/100)*'Calc (ex-housing, ex-storage)'!F265/100*VLOOKUP(D265,'DB technologies'!$N$122:$Y$133,11,FALSE)/100/VLOOKUP($C$263,'DB animal categories'!$C$91:$AC$100,27,FALSE)*AJ265,0))))</f>
        <v/>
      </c>
      <c r="AM265" s="442" t="str">
        <f>IF(D265="","",IF(AI265=2,(('Calc (ex-animal)'!$G$51*(1-'DB additional information '!$K$11/100)*(1-VLOOKUP(D265,'DB technologies'!$N$122:$Y$133,8,FALSE)/100)*'Calc (ex-housing, ex-storage)'!F265/100+'Calc (ex-animal)'!$H$51*(1-'DB additional information '!$L$11/100)*(1-VLOOKUP(D265,'DB technologies'!$N$122:$Y$133,8,FALSE)/100)*'Calc (ex-housing, ex-storage)'!F265/100))/VLOOKUP($C$263,'DB animal categories'!$C$91:$AC$100,27,FALSE)*AJ265+M265+N265+O265,IF(AI265=1,('Calc (ex-animal)'!$H$51*(1-'DB additional information '!$L$11/100)*(1-VLOOKUP(D265,'DB technologies'!$N$122:$Y$133,8,FALSE)/100)*'Calc (ex-housing, ex-storage)'!F265/100)/VLOOKUP($C$263,'DB animal categories'!$C$91:$AC$100,27,FALSE)*AJ265,IF(AI265=4,('Calc (ex-animal)'!$G$51*(1-'DB additional information '!$K$11/100)+'Calc (ex-animal)'!$H$51*(1-'DB additional information '!$L$11/100))*(1-VLOOKUP(D265,'DB technologies'!$N$122:$Y$133,8,FALSE)/100)*'Calc (ex-housing, ex-storage)'!F265/100*VLOOKUP(D265,'DB technologies'!$N$122:$Y$133,11,FALSE)/100/VLOOKUP($C$263,'DB animal categories'!$C$91:$AC$100,27,FALSE)*AJ265,0))))</f>
        <v/>
      </c>
      <c r="AN265" s="442" t="str">
        <f>IF(AI265="","",IF(AL265=0,0,AL265/AK265*100))</f>
        <v/>
      </c>
      <c r="AO265" s="182" t="str">
        <f>IF(D265="","",IF(AI265=2,(('Calc (ex-animal)'!$L$51*'Calc (ex-housing, ex-storage)'!F265/100+'Calc (ex-animal)'!$K$51*'Calc (ex-housing, ex-storage)'!F265/100))/VLOOKUP($C$263,'DB animal categories'!$C$91:$AC$100,27,FALSE)*AJ265+Q265+R265+S265-AC265,IF(AI265=1,('Calc (ex-animal)'!$L$51*'Calc (ex-housing, ex-storage)'!F265/100)/VLOOKUP($C$263,'DB animal categories'!$C$91:$AC$100,27,FALSE)*AJ265-'Calc (ex-housing, ex-storage)'!AC265,IF(AI265=4,('Calc (ex-animal)'!$L$51+'Calc (ex-animal)'!$K$51)*'Calc (ex-housing, ex-storage)'!F265/100*VLOOKUP(D265,'DB technologies'!$N$122:$Y$133,11,FALSE)/100/VLOOKUP($C$263,'DB animal categories'!$C$91:$AC$100,27,FALSE)*AJ265-AC265*VLOOKUP(D265,'DB technologies'!$N$122:$Y$133,11,FALSE)/100,0))))</f>
        <v/>
      </c>
      <c r="AP265" s="182" t="str">
        <f>IF(D265="","",IF(AO265&lt;-0.01,0,IF(AI265=2,(('Calc (ex-animal)'!$L$51*'Calc (ex-housing, ex-storage)'!F265/100+'Calc (ex-animal)'!$K$51*'Calc (ex-housing, ex-storage)'!F265/100))/VLOOKUP($C$263,'DB animal categories'!$C$91:$AC$100,27,FALSE)*AJ265+Q265+R265+S265-AC265,IF(AI265=1,('Calc (ex-animal)'!$L$51*'Calc (ex-housing, ex-storage)'!F265/100)/VLOOKUP($C$263,'DB animal categories'!$C$91:$AC$100,27,FALSE)*AJ265-'Calc (ex-housing, ex-storage)'!AC265,IF(AI265=4,('Calc (ex-animal)'!$L$51+'Calc (ex-animal)'!$K$51)*'Calc (ex-housing, ex-storage)'!F265/100*VLOOKUP(D265,'DB technologies'!$N$122:$Y$133,11,FALSE)/100/VLOOKUP($C$263,'DB animal categories'!$C$91:$AC$100,27,FALSE)*AJ265-AC265*VLOOKUP(D265,'DB technologies'!$N$122:$Y$133,11,FALSE)/100,0)))))</f>
        <v/>
      </c>
      <c r="AQ265" s="182" t="str">
        <f>IF(D265="","",IF(AI265=2,('Calc (ex-animal)'!$O$51*'Calc (ex-housing, ex-storage)'!F265/100+'Calc (ex-animal)'!$N$51*'Calc (ex-housing, ex-storage)'!F265/100)/VLOOKUP($C$263,'DB animal categories'!$C$91:$AC$100,27,FALSE)*AJ265+U265+V265+W265,IF(AI265=1,'Calc (ex-animal)'!$O$51*'Calc (ex-housing, ex-storage)'!F265/100/VLOOKUP($C$263,'DB animal categories'!$C$91:$AC$100,27,FALSE)*AJ265,IF(AI265=4,('Calc (ex-animal)'!$O$51+'Calc (ex-animal)'!$N$51)*'Calc (ex-housing, ex-storage)'!F265/100*VLOOKUP(D265,'DB technologies'!$N$122:$Y$133,11,FALSE)/100/VLOOKUP($C$263,'DB animal categories'!$C$91:$AC$100,27,FALSE)*AJ265,0))))</f>
        <v/>
      </c>
      <c r="AR265" s="182" t="str">
        <f>IF(D265="","",IF(AI265=2,('Calc (ex-animal)'!$R$51*'Calc (ex-housing, ex-storage)'!F265/100+'Calc (ex-animal)'!$Q$51*'Calc (ex-housing, ex-storage)'!F265/100)/VLOOKUP($C$263,'DB animal categories'!$C$91:$AC$100,27,FALSE)*AJ265+Y265+Z265+AA265,IF(AI265=1,'Calc (ex-animal)'!$R$51*'Calc (ex-housing, ex-storage)'!F265/100/VLOOKUP($C$263,'DB animal categories'!$C$91:$AC$100,27,FALSE)*AJ265,IF(AI265=4,('Calc (ex-animal)'!$R$51+'Calc (ex-animal)'!$Q$51)*'Calc (ex-housing, ex-storage)'!F265/100*VLOOKUP(D265,'DB technologies'!$N$122:$Y$133,11,FALSE)/100/VLOOKUP($C$263,'DB animal categories'!$C$91:$AC$100,27,FALSE)*AJ265,0))))</f>
        <v/>
      </c>
      <c r="AS265" s="181" t="str">
        <f>IF(D265="","",VLOOKUP(D265,'DB technologies'!$N$122:$Y$133,10,FALSE))</f>
        <v/>
      </c>
      <c r="AT265" s="442" t="str">
        <f>IF(AS265="","",AU265+AV265)</f>
        <v/>
      </c>
      <c r="AU265" s="442" t="str">
        <f>IF(D265="","",IF(AS265=2,0,IF(AS265=1,'Calc (ex-animal)'!$G$51*'DB additional information '!$K$11/100*(1-VLOOKUP(D265,'DB technologies'!$N$122:$Y$133,8,FALSE)/100)*'Calc (ex-housing, ex-storage)'!F265/100/VLOOKUP($C$263,'DB animal categories'!$C$91:$AC$100,27,FALSE)*AJ265+I265+J265+K265,IF(AS265=5,(('Calc (ex-animal)'!$G$51*'DB additional information '!$K$11/100+'Calc (ex-animal)'!$H$51*'DB additional information '!$L$11/100))*(1-VLOOKUP(D265,'DB technologies'!$N$122:$Y$133,9,FALSE)/100)*'Calc (ex-housing, ex-storage)'!F265/100/VLOOKUP($C$263,'DB animal categories'!$C$91:$AC$100,27,FALSE)*AJ265+I265+J265+K265,IF(AS265=3,('Calc (ex-animal)'!$G$51*'DB additional information '!$K$11/100+'Calc (ex-animal)'!$H$51*'DB additional information '!$L$11/100)*(1-VLOOKUP(D265,'DB technologies'!$N$122:$Y$133,9,FALSE)/100)*'Calc (ex-housing, ex-storage)'!F265/100/VLOOKUP($C$263,'DB animal categories'!$C$91:$AC$100,27,FALSE)*AJ265+I265+J265+K265,IF(AS265=4,('Calc (ex-animal)'!$G$51*'DB additional information '!$K$11/100+'Calc (ex-animal)'!$H$51*'DB additional information '!$L$11/100)*(1-VLOOKUP(D265,'DB technologies'!$N$122:$Y$133,9,FALSE)/100)*'Calc (ex-housing, ex-storage)'!F265/100*VLOOKUP(D265,'DB technologies'!$N$122:$Y$133,12,FALSE)/100/VLOOKUP($C$263,'DB animal categories'!$C$91:$AC$100,27,FALSE)*AJ265+I265+J265+K265,0))))))</f>
        <v/>
      </c>
      <c r="AV265" s="442" t="str">
        <f>IF(D265="","",IF(AS265=2,0,IF(AS265=1,'Calc (ex-animal)'!$G$51*(1-'DB additional information '!$K$11/100)*(1-VLOOKUP(D265,'DB technologies'!$N$122:$Y$133,8,FALSE)/100)*'Calc (ex-housing, ex-storage)'!F265/100/VLOOKUP($C$263,'DB animal categories'!$C$91:$AC$100,27,FALSE)*AJ265+M265+N265+O265,IF(AS265=5,('Calc (ex-animal)'!$G$51*(1-'DB additional information '!$K$11/100)+'Calc (ex-animal)'!$H$51*(1-'DB additional information '!$L$11/100))*(1-VLOOKUP(D265,'DB technologies'!$N$122:$Y$133,8,FALSE)/100)*'Calc (ex-housing, ex-storage)'!F265/100/VLOOKUP($C$263,'DB animal categories'!$C$91:$AC$100,27,FALSE)*AJ265+M265+N265+O265,IF(AS265=3,('Calc (ex-animal)'!$G$51*(1-'DB additional information '!$K$11/100)+'Calc (ex-animal)'!$H$51*(1-'DB additional information '!$L$11/100))*(1-VLOOKUP(D265,'DB technologies'!$N$122:$Y$133,8,FALSE)/100)*'Calc (ex-housing, ex-storage)'!F265/100/VLOOKUP($C$263,'DB animal categories'!$C$91:$AC$100,27,FALSE)*AJ265+M265+N265+O265,IF(AS265=4,('Calc (ex-animal)'!$G$51*(1-'DB additional information '!$K$11/100)+'Calc (ex-animal)'!$H$51*(1-'DB additional information '!$L$11/100))*(1-VLOOKUP(D265,'DB technologies'!$N$122:$Y$133,8,FALSE)/100)*'Calc (ex-housing, ex-storage)'!F265/100*VLOOKUP(D265,'DB technologies'!$N$122:$Y$133,12,FALSE)/100/VLOOKUP($C$263,'DB animal categories'!$C$91:$AC$100,27,FALSE)*AJ265+M265+N265+O265,0))))))</f>
        <v/>
      </c>
      <c r="AW265" s="442" t="str">
        <f>IF(AS265="","",IF(AU265=0,0,AU265/AT265*100))</f>
        <v/>
      </c>
      <c r="AX265" s="182" t="str">
        <f>IF(D265="","",IF(AS265=2,0,IF(AS265=1,'Calc (ex-animal)'!$K$51*'Calc (ex-housing, ex-storage)'!F265/100/VLOOKUP($C$263,'DB animal categories'!$C$91:$AC$100,27,FALSE)*AJ265+Q265+R265+S265,IF(AS265=5,('Calc (ex-animal)'!$K$51+'Calc (ex-animal)'!$L$51)*'Calc (ex-housing, ex-storage)'!F265/100/VLOOKUP($C$263,'DB animal categories'!$C$91:$AC$100,27,FALSE)*AJ265+Q265+R265+S265-'Calc (ex-housing, ex-storage)'!AC265,IF(AS265=3,('Calc (ex-animal)'!$K$51+'Calc (ex-animal)'!$L$51)*'Calc (ex-housing, ex-storage)'!F265/100/VLOOKUP($C$263,'DB animal categories'!$C$91:$AC$100,27,FALSE)*AJ265+Q265+R265+S265-'Calc (ex-housing, ex-storage)'!AC265-AD265-AE265,IF(AI265=4,('Calc (ex-animal)'!$K$51+'Calc (ex-animal)'!$L$51)*'Calc (ex-housing, ex-storage)'!F265/100*VLOOKUP(D265,'DB technologies'!$N$122:$Y$133,12,FALSE)/100/VLOOKUP($C$263,'DB animal categories'!$C$91:$AC$100,27,FALSE)*AJ265+Q265+R265+S265-(VLOOKUP(D265,'DB technologies'!$N$122:$Y$133,12,FALSE)/100*AC265)-AD265-AE265,0))))))</f>
        <v/>
      </c>
      <c r="AY265" s="182" t="str">
        <f>IF(D265="","",IF(AS265=2,0,IF(AS265=1,'Calc (ex-animal)'!$N$51*'Calc (ex-housing, ex-storage)'!F265/100/VLOOKUP($C$263,'DB animal categories'!$C$91:$AC$100,27,FALSE)*AJ265+U265+V265+W265,IF(AS265=5,('Calc (ex-animal)'!$N$51+'Calc (ex-animal)'!$O$51)*'Calc (ex-housing, ex-storage)'!F265/100/VLOOKUP($C$263,'DB animal categories'!$C$91:$AC$100,27,FALSE)*AJ265+U265+V265+W265,IF(AS265=3,('Calc (ex-animal)'!$N$51+'Calc (ex-animal)'!$O$51)*'Calc (ex-housing, ex-storage)'!F265/100/VLOOKUP($C$263,'DB animal categories'!$C$91:$AC$100,27,FALSE)*AJ265+U265+V265+W265,IF(AS265=4,('Calc (ex-animal)'!$N$51+'Calc (ex-animal)'!$O$51)*'Calc (ex-housing, ex-storage)'!F265/100*VLOOKUP(D265,'DB technologies'!$N$122:$Y$133,12,FALSE)/100/VLOOKUP($C$263,'DB animal categories'!$C$91:$AC$100,27,FALSE)*AJ265+U265+V265+W265,0))))))</f>
        <v/>
      </c>
      <c r="AZ265" s="182" t="str">
        <f>IF(D265="","",IF(AS265=2,0,IF(AS265=1,'Calc (ex-animal)'!$Q$51*'Calc (ex-housing, ex-storage)'!F265/100/VLOOKUP($C$263,'DB animal categories'!$C$91:$AC$100,27,FALSE)*AJ265+Y265+Z265+AA265,IF(AS265=5,('Calc (ex-animal)'!$Q$51+'Calc (ex-animal)'!$R$51)*'Calc (ex-housing, ex-storage)'!F265/100/VLOOKUP($C$263,'DB animal categories'!$C$91:$AC$100,27,FALSE)*AJ265+Y265+Z265+AA265,IF(AS265=3,('Calc (ex-animal)'!$Q$51+'Calc (ex-animal)'!$R$51)*'Calc (ex-housing, ex-storage)'!F265/100/VLOOKUP($C$263,'DB animal categories'!$C$91:$AC$100,27,FALSE)*AJ265+Y265+Z265+AA265,IF(AS265=4,('Calc (ex-animal)'!$Q$51+'Calc (ex-animal)'!$R$51)*'Calc (ex-housing, ex-storage)'!F265/100*VLOOKUP(D265,'DB technologies'!$N$122:$Y$133,12,FALSE)/100/VLOOKUP($C$263,'DB animal categories'!$C$91:$AC$100,27,FALSE)*AJ265+Y265+Z265+AA265,0))))))</f>
        <v/>
      </c>
      <c r="BA265" s="506"/>
      <c r="BB265" s="506"/>
      <c r="BC265" s="506"/>
    </row>
    <row r="266" spans="1:55" x14ac:dyDescent="0.2">
      <c r="A266" s="684"/>
      <c r="B266" s="695"/>
      <c r="C266" s="251"/>
      <c r="D266" s="1357"/>
      <c r="E266" s="1358"/>
      <c r="F266" s="480" t="str">
        <f>IF('Calc (ex-animal)'!$F$38=1,"",IF($C$263=0,"",IF(D266="","",E266/'Calc (ex-animal)'!$E$51*100)))</f>
        <v/>
      </c>
      <c r="G266" s="485" t="str">
        <f>IF($C$263=0,"",IF('Calc (ex-animal)'!$F$38=1,"",IF(D266="","",SUM(H266:O266))))</f>
        <v/>
      </c>
      <c r="H266" s="423" t="str">
        <f>IF('Calc (ex-animal)'!$F$38=1,"",IF(D266="","",(((VLOOKUP($C$263,'Calc (ex-animal)'!$D$48:$Y$52,6,FALSE)-VLOOKUP($C$263,'Calc (ex-animal)'!$D$48:$Y$52,17,FALSE))*F266/100))*VLOOKUP($C$263,'Calc (ex-animal)'!$D$48:$Y$52,7,FALSE)/100*(1-VLOOKUP(D266,'DB technologies'!$N$122:$Y$133,9,FALSE)/100)))</f>
        <v/>
      </c>
      <c r="I266" s="423" t="str">
        <f>IF(D266="","",((VLOOKUP(D266,'DB technologies'!$N$122:$Y$133,2,FALSE)*VLOOKUP($C$263,'DB animal categories'!$C$91:$AC$100,27,FALSE)*E266/1000)/VLOOKUP($C$263,'DB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'!$S$6/100*(1-VLOOKUP(D266,'DB technologies'!$N$122:$Y$133,9,FALSE)/100)))</f>
        <v/>
      </c>
      <c r="J266" s="434" t="str">
        <f>IF(D266="","",((VLOOKUP(D266,'DB technologies'!$N$122:$Y$133,3,FALSE)*VLOOKUP($C$263,'DB animal categories'!$C$91:$AC$100,27,FALSE)*E266/1000)/VLOOKUP($C$263,'DB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'!$S$7/100*(1-VLOOKUP(D266,'DB technologies'!$N$122:$Y$133,9,FALSE)/100)))</f>
        <v/>
      </c>
      <c r="K266" s="434" t="str">
        <f>IF(D266="","",((VLOOKUP(D266,'DB technologies'!$N$122:$Y$133,4,FALSE)*E266*'DB additional information '!$S$8/100*(1-VLOOKUP(D266,'DB technologies'!$N$122:$Y$133,9,FALSE)/100))/VLOOKUP($C$263,'DB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L266" s="423" t="str">
        <f>IF('Calc (ex-animal)'!$F$38=1,"",IF(D266="","",(((VLOOKUP($C$263,'Calc (ex-animal)'!$D$48:$Y$52,6,FALSE)-VLOOKUP($C$263,'Calc (ex-animal)'!$D$48:$Y$52,17,FALSE))*F266/100))*(1-VLOOKUP($C$263,'Calc (ex-animal)'!$D$48:$Y$52,7,FALSE)/100)*(1-VLOOKUP(D266,'DB technologies'!$N$122:$V$133,8,FALSE)/100)))</f>
        <v/>
      </c>
      <c r="M266" s="434" t="str">
        <f>IF(D266="","",((VLOOKUP(D266,'DB technologies'!$N$122:$Y$133,2,FALSE)*VLOOKUP($C$263,'DB animal categories'!$C$91:$AC$100,27,FALSE)*E266/1000)/VLOOKUP($C$263,'DB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'!$S$6/100)*(1-VLOOKUP(D266,'DB technologies'!$N$122:$Y$133,9,FALSE)/100))</f>
        <v/>
      </c>
      <c r="N266" s="434" t="str">
        <f>IF(D266="","",((VLOOKUP(D266,'DB technologies'!$N$122:$Y$133,3,FALSE)*VLOOKUP($C$263,'DB animal categories'!$C$91:$AC$100,27,FALSE)*E266/1000)/VLOOKUP($C$263,'DB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'!$S$7/100)*(1-VLOOKUP(D266,'DB technologies'!$N$122:$Y$133,9,FALSE)/100))</f>
        <v/>
      </c>
      <c r="O266" s="423" t="str">
        <f>IF(D266="","",((VLOOKUP(D266,'DB technologies'!$N$122:$Y$133,4,FALSE)*E266*(1-'DB additional information '!$S$8/100)*(1-VLOOKUP(D266,'DB technologies'!$N$122:$Y$133,8,FALSE)/100))/VLOOKUP($C$263,'DB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P266" s="438" t="str">
        <f>IF(G266=0,0,IF(E266="","",IF(F266="","",IF($C$263=0,"",IF(D266="","",SUM(H266:K266)/G266*100)))))</f>
        <v/>
      </c>
      <c r="Q266" s="416" t="str">
        <f>IF(D266="","",(VLOOKUP(D266,'DB technologies'!$N$122:$Y$133,2,FALSE)*'DB additional information '!$S$6/100*'DB additional information '!$T$6*VLOOKUP($C$263,'DB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R266" s="416" t="str">
        <f>IF(D266="","",(VLOOKUP(D266,'DB technologies'!$N$122:$Y$133,3,FALSE)*'DB additional information '!$S$7/100*'DB additional information '!$T$7*VLOOKUP($C$263,'DB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S266" s="491" t="str">
        <f>IF(D266="","",(VLOOKUP(D266,'DB technologies'!$N$122:$Y$133,4,FALSE)*('DB additional information '!$S$8/100*'DB additional information '!$T$8*E266/1000/1000)))</f>
        <v/>
      </c>
      <c r="T266" s="264" t="str">
        <f>IF($C$263=0,"",IF('Calc (ex-animal)'!$F$38=1,"",IF(D266="","",((VLOOKUP($C$263,'Calc (ex-animal)'!$D$48:$Y$52,10,FALSE)-VLOOKUP($C$263,'Calc (ex-animal)'!$D$48:$Y$52,18,FALSE))*F266/100+Q266+R266+S266)-AC266-AD266-AE266)))</f>
        <v/>
      </c>
      <c r="U266" s="422" t="str">
        <f>IF(D266="","",(VLOOKUP(D266,'DB technologies'!$N$122:$Y$133,2,FALSE)*'DB additional information '!$S$6/100*'DB additional information '!$U$6*VLOOKUP($C$263,'DB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V266" s="418" t="str">
        <f>IF(D266="","",(VLOOKUP(D266,'DB technologies'!$N$122:$Y$133,3,FALSE)*'DB additional information '!$S$7/100*'DB additional information '!$U$7*VLOOKUP($C$263,'DB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W266" s="417" t="str">
        <f>IF(D266="","",(VLOOKUP(D266,'DB technologies'!$N$122:$Y$133,4,FALSE)*('DB additional information '!$S$8/100*'DB additional information '!$U$8*E266/1000/1000)))</f>
        <v/>
      </c>
      <c r="X266" s="261" t="str">
        <f>IF($C$263=0,"",IF('Calc (ex-animal)'!$F$38=1,"",IF(D266="","",((VLOOKUP($C$263,'Calc (ex-animal)'!$D$48:$Y$52,13,FALSE)-VLOOKUP($C$263,'Calc (ex-animal)'!$D$48:$Y$52,19,FALSE))*F266/100+U266+V266+W266))))</f>
        <v/>
      </c>
      <c r="Y266" s="418" t="str">
        <f>IF(D266="","",(VLOOKUP(D266,'DB technologies'!$N$122:$Y$133,2,FALSE)*'DB additional information '!$S$6/100*'DB additional information '!$V$6*VLOOKUP($C$263,'DB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Z266" s="418" t="str">
        <f>IF(D266="","",(VLOOKUP(D266,'DB technologies'!$N$122:$Y$133,3,FALSE)*'DB additional information '!$S$7/100*'DB additional information '!$V$7*VLOOKUP($C$263,'DB animal categories'!$C$91:$AC$100,27,FALSE)*E266/1000/1000)/VLOOKUP($C$263,'DB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AA266" s="418" t="str">
        <f>IF(D266="","",(VLOOKUP(D266,'DB technologies'!$N$122:$Y$133,4,FALSE)*('DB additional information '!$S$8/100*'DB additional information '!$V$8*E266/1000/1000)))</f>
        <v/>
      </c>
      <c r="AB266" s="261" t="str">
        <f>IF($C$263=0,"",IF('Calc (ex-animal)'!$F$38=1,"",IF(D266="","",((VLOOKUP($C$263,'Calc (ex-animal)'!$D$48:$Y$52,16,FALSE)-VLOOKUP($C$263,'Calc (ex-animal)'!$D$48:$Y$52,20,FALSE))*F266/100+Y266+Z266+AA266))))</f>
        <v/>
      </c>
      <c r="AC266" s="261" t="str">
        <f>IF($C$263=0,"",IF('Calc (ex-animal)'!$F$38=1,"",IF(D266="","",VLOOKUP($C$263,'Calc (ex-animal)'!$D$48:$Y$52,9,FALSE)/VLOOKUP($C$263,'DB animal categories'!$C$91:$AC$100,27,FALSE)*(VLOOKUP($C$263,'DB animal categories'!$C$91:$AC$100,27,FALSE)-VLOOKUP($C$263,'DB animal categories'!$C$91:$AC$100,25,FALSE)*VLOOKUP($C$263,'DB animal categories'!$C$91:$AC$100,26,FALSE)/24)*F266/100*VLOOKUP(D266,'DB technologies'!$N$122:$R$133,5,FALSE)/100)))</f>
        <v/>
      </c>
      <c r="AD266" s="261" t="str">
        <f>IF($C$263=0,"",IF('Calc (ex-animal)'!$F$38=1,"",IF(D266="","",VLOOKUP($C$263,'Calc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categories'!$C$91:$AC$100,26,FALSE)/24)*F266/100*VLOOKUP(D266,'DB technologies'!$N$122:$Y$133,6,FALSE)/100)))</f>
        <v/>
      </c>
      <c r="AE266" s="262" t="str">
        <f>IF($C$263=0,"",IF('Calc (ex-animal)'!$F$38=1,"",IF(D266="","",VLOOKUP($C$263,'Calc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categories'!$C$91:$AC$100,26,FALSE)/24)*F266/100*VLOOKUP(D266,'DB technologies'!$N$122:$Y$133,7,FALSE)/100)))</f>
        <v/>
      </c>
      <c r="AI266" s="181" t="str">
        <f>IF(D266="","",VLOOKUP(D266,'DB technologies'!$N$122:$Y$133,10,FALSE))</f>
        <v/>
      </c>
      <c r="AJ266" s="449" t="e">
        <f>VLOOKUP($C$263,'DB animal categories'!$C$91:$AN$100,27,FALSE)-VLOOKUP($C$263,'DB animal categories'!$C$91:$AN$100,26,FALSE)*VLOOKUP($C$263,'DB animal categories'!$C$91:$AN$100,25,FALSE)/24</f>
        <v>#N/A</v>
      </c>
      <c r="AK266" s="442" t="str">
        <f>IF(AI266="","",AL266+AM266)</f>
        <v/>
      </c>
      <c r="AL266" s="442" t="str">
        <f>IF(D266="","",IF(AI266=2,(('Calc (ex-animal)'!$G$51*'DB additional information '!$K$11/100*(1-VLOOKUP(D266,'DB technologies'!$N$122:$Y$133,9,FALSE)/100)*'Calc (ex-housing, ex-storage)'!F266/100+'Calc (ex-animal)'!$H$51*'DB additional information '!$L$11/100*(1-VLOOKUP(D266,'DB technologies'!$N$122:$Y$133,9,FALSE)/100)*'Calc (ex-housing, ex-storage)'!F266/100))/VLOOKUP($C$263,'DB animal categories'!$C$91:$AC$100,27,FALSE)*AJ266+I266+J266+K266,IF(AI266=1,('Calc (ex-animal)'!$H$51*'DB additional information '!$L$11/100*(1-VLOOKUP(D266,'DB technologies'!$N$122:$Y$133,9,FALSE)/100)*'Calc (ex-housing, ex-storage)'!F266/100)/VLOOKUP($C$263,'DB animal categories'!$C$91:$AC$100,27,FALSE)*AJ266,IF(AI266=4,('Calc (ex-animal)'!$G$51*'DB additional information '!$K$11/100+'Calc (ex-animal)'!$H$51*'DB additional information '!$L$11/100)*(1-VLOOKUP(D266,'DB technologies'!$N$122:$Y$133,9,FALSE)/100)*'Calc (ex-housing, ex-storage)'!F266/100*VLOOKUP(D266,'DB technologies'!$N$122:$Y$133,11,FALSE)/100/VLOOKUP($C$263,'DB animal categories'!$C$91:$AC$100,27,FALSE)*AJ266,0))))</f>
        <v/>
      </c>
      <c r="AM266" s="442" t="str">
        <f>IF(D266="","",IF(AI266=2,(('Calc (ex-animal)'!$G$51*(1-'DB additional information '!$K$11/100)*(1-VLOOKUP(D266,'DB technologies'!$N$122:$Y$133,8,FALSE)/100)*'Calc (ex-housing, ex-storage)'!F266/100+'Calc (ex-animal)'!$H$51*(1-'DB additional information '!$L$11/100)*(1-VLOOKUP(D266,'DB technologies'!$N$122:$Y$133,8,FALSE)/100)*'Calc (ex-housing, ex-storage)'!F266/100))/VLOOKUP($C$263,'DB animal categories'!$C$91:$AC$100,27,FALSE)*AJ266+M266+N266+O266,IF(AI266=1,('Calc (ex-animal)'!$H$51*(1-'DB additional information '!$L$11/100)*(1-VLOOKUP(D266,'DB technologies'!$N$122:$Y$133,8,FALSE)/100)*'Calc (ex-housing, ex-storage)'!F266/100)/VLOOKUP($C$263,'DB animal categories'!$C$91:$AC$100,27,FALSE)*AJ266,IF(AI266=4,('Calc (ex-animal)'!$G$51*(1-'DB additional information '!$K$11/100)+'Calc (ex-animal)'!$H$51*(1-'DB additional information '!$L$11/100))*(1-VLOOKUP(D266,'DB technologies'!$N$122:$Y$133,8,FALSE)/100)*'Calc (ex-housing, ex-storage)'!F266/100*VLOOKUP(D266,'DB technologies'!$N$122:$Y$133,11,FALSE)/100/VLOOKUP($C$263,'DB animal categories'!$C$91:$AC$100,27,FALSE)*AJ266,0))))</f>
        <v/>
      </c>
      <c r="AN266" s="442" t="str">
        <f>IF(AI266="","",IF(AL266=0,0,AL266/AK266*100))</f>
        <v/>
      </c>
      <c r="AO266" s="182" t="str">
        <f>IF(D266="","",IF(AI266=2,(('Calc (ex-animal)'!$L$51*'Calc (ex-housing, ex-storage)'!F266/100+'Calc (ex-animal)'!$K$51*'Calc (ex-housing, ex-storage)'!F266/100))/VLOOKUP($C$263,'DB animal categories'!$C$91:$AC$100,27,FALSE)*AJ266+Q266+R266+S266-AC266,IF(AI266=1,('Calc (ex-animal)'!$L$51*'Calc (ex-housing, ex-storage)'!F266/100)/VLOOKUP($C$263,'DB animal categories'!$C$91:$AC$100,27,FALSE)*AJ266-'Calc (ex-housing, ex-storage)'!AC266,IF(AI266=4,('Calc (ex-animal)'!$L$51+'Calc (ex-animal)'!$K$51)*'Calc (ex-housing, ex-storage)'!F266/100*VLOOKUP(D266,'DB technologies'!$N$122:$Y$133,11,FALSE)/100/VLOOKUP($C$263,'DB animal categories'!$C$91:$AC$100,27,FALSE)*AJ266-AC266*VLOOKUP(D266,'DB technologies'!$N$122:$Y$133,11,FALSE)/100,0))))</f>
        <v/>
      </c>
      <c r="AP266" s="182" t="str">
        <f>IF(D266="","",IF(AO266&lt;-0.01,0,IF(AI266=2,(('Calc (ex-animal)'!$L$51*'Calc (ex-housing, ex-storage)'!F266/100+'Calc (ex-animal)'!$K$51*'Calc (ex-housing, ex-storage)'!F266/100))/VLOOKUP($C$263,'DB animal categories'!$C$91:$AC$100,27,FALSE)*AJ266+Q266+R266+S266-AC266,IF(AI266=1,('Calc (ex-animal)'!$L$51*'Calc (ex-housing, ex-storage)'!F266/100)/VLOOKUP($C$263,'DB animal categories'!$C$91:$AC$100,27,FALSE)*AJ266-'Calc (ex-housing, ex-storage)'!AC266,IF(AI266=4,('Calc (ex-animal)'!$L$51+'Calc (ex-animal)'!$K$51)*'Calc (ex-housing, ex-storage)'!F266/100*VLOOKUP(D266,'DB technologies'!$N$122:$Y$133,11,FALSE)/100/VLOOKUP($C$263,'DB animal categories'!$C$91:$AC$100,27,FALSE)*AJ266-AC266*VLOOKUP(D266,'DB technologies'!$N$122:$Y$133,11,FALSE)/100,0)))))</f>
        <v/>
      </c>
      <c r="AQ266" s="182" t="str">
        <f>IF(D266="","",IF(AI266=2,('Calc (ex-animal)'!$O$51*'Calc (ex-housing, ex-storage)'!F266/100+'Calc (ex-animal)'!$N$51*'Calc (ex-housing, ex-storage)'!F266/100)/VLOOKUP($C$263,'DB animal categories'!$C$91:$AC$100,27,FALSE)*AJ266+U266+V266+W266,IF(AI266=1,'Calc (ex-animal)'!$O$51*'Calc (ex-housing, ex-storage)'!F266/100/VLOOKUP($C$263,'DB animal categories'!$C$91:$AC$100,27,FALSE)*AJ266,IF(AI266=4,('Calc (ex-animal)'!$O$51+'Calc (ex-animal)'!$N$51)*'Calc (ex-housing, ex-storage)'!F266/100*VLOOKUP(D266,'DB technologies'!$N$122:$Y$133,11,FALSE)/100/VLOOKUP($C$263,'DB animal categories'!$C$91:$AC$100,27,FALSE)*AJ266,0))))</f>
        <v/>
      </c>
      <c r="AR266" s="182" t="str">
        <f>IF(D266="","",IF(AI266=2,('Calc (ex-animal)'!$R$51*'Calc (ex-housing, ex-storage)'!F266/100+'Calc (ex-animal)'!$Q$51*'Calc (ex-housing, ex-storage)'!F266/100)/VLOOKUP($C$263,'DB animal categories'!$C$91:$AC$100,27,FALSE)*AJ266+Y266+Z266+AA266,IF(AI266=1,'Calc (ex-animal)'!$R$51*'Calc (ex-housing, ex-storage)'!F266/100/VLOOKUP($C$263,'DB animal categories'!$C$91:$AC$100,27,FALSE)*AJ266,IF(AI266=4,('Calc (ex-animal)'!$R$51+'Calc (ex-animal)'!$Q$51)*'Calc (ex-housing, ex-storage)'!F266/100*VLOOKUP(D266,'DB technologies'!$N$122:$Y$133,11,FALSE)/100/VLOOKUP($C$263,'DB animal categories'!$C$91:$AC$100,27,FALSE)*AJ266,0))))</f>
        <v/>
      </c>
      <c r="AS266" s="181" t="str">
        <f>IF(D266="","",VLOOKUP(D266,'DB technologies'!$N$122:$Y$133,10,FALSE))</f>
        <v/>
      </c>
      <c r="AT266" s="442" t="str">
        <f>IF(AS266="","",AU266+AV266)</f>
        <v/>
      </c>
      <c r="AU266" s="442" t="str">
        <f>IF(D266="","",IF(AS266=2,0,IF(AS266=1,'Calc (ex-animal)'!$G$51*'DB additional information '!$K$11/100*(1-VLOOKUP(D266,'DB technologies'!$N$122:$Y$133,8,FALSE)/100)*'Calc (ex-housing, ex-storage)'!F266/100/VLOOKUP($C$263,'DB animal categories'!$C$91:$AC$100,27,FALSE)*AJ266+I266+J266+K266,IF(AS266=5,(('Calc (ex-animal)'!$G$51*'DB additional information '!$K$11/100+'Calc (ex-animal)'!$H$51*'DB additional information '!$L$11/100))*(1-VLOOKUP(D266,'DB technologies'!$N$122:$Y$133,9,FALSE)/100)*'Calc (ex-housing, ex-storage)'!F266/100/VLOOKUP($C$263,'DB animal categories'!$C$91:$AC$100,27,FALSE)*AJ266+I266+J266+K266,IF(AS266=3,('Calc (ex-animal)'!$G$51*'DB additional information '!$K$11/100+'Calc (ex-animal)'!$H$51*'DB additional information '!$L$11/100)*(1-VLOOKUP(D266,'DB technologies'!$N$122:$Y$133,9,FALSE)/100)*'Calc (ex-housing, ex-storage)'!F266/100/VLOOKUP($C$263,'DB animal categories'!$C$91:$AC$100,27,FALSE)*AJ266+I266+J266+K266,IF(AS266=4,('Calc (ex-animal)'!$G$51*'DB additional information '!$K$11/100+'Calc (ex-animal)'!$H$51*'DB additional information '!$L$11/100)*(1-VLOOKUP(D266,'DB technologies'!$N$122:$Y$133,9,FALSE)/100)*'Calc (ex-housing, ex-storage)'!F266/100*VLOOKUP(D266,'DB technologies'!$N$122:$Y$133,12,FALSE)/100/VLOOKUP($C$263,'DB animal categories'!$C$91:$AC$100,27,FALSE)*AJ266+I266+J266+K266,0))))))</f>
        <v/>
      </c>
      <c r="AV266" s="442" t="str">
        <f>IF(D266="","",IF(AS266=2,0,IF(AS266=1,'Calc (ex-animal)'!$G$51*(1-'DB additional information '!$K$11/100)*(1-VLOOKUP(D266,'DB technologies'!$N$122:$Y$133,8,FALSE)/100)*'Calc (ex-housing, ex-storage)'!F266/100/VLOOKUP($C$263,'DB animal categories'!$C$91:$AC$100,27,FALSE)*AJ266+M266+N266+O266,IF(AS266=5,('Calc (ex-animal)'!$G$51*(1-'DB additional information '!$K$11/100)+'Calc (ex-animal)'!$H$51*(1-'DB additional information '!$L$11/100))*(1-VLOOKUP(D266,'DB technologies'!$N$122:$Y$133,8,FALSE)/100)*'Calc (ex-housing, ex-storage)'!F266/100/VLOOKUP($C$263,'DB animal categories'!$C$91:$AC$100,27,FALSE)*AJ266+M266+N266+O266,IF(AS266=3,('Calc (ex-animal)'!$G$51*(1-'DB additional information '!$K$11/100)+'Calc (ex-animal)'!$H$51*(1-'DB additional information '!$L$11/100))*(1-VLOOKUP(D266,'DB technologies'!$N$122:$Y$133,8,FALSE)/100)*'Calc (ex-housing, ex-storage)'!F266/100/VLOOKUP($C$263,'DB animal categories'!$C$91:$AC$100,27,FALSE)*AJ266+M266+N266+O266,IF(AS266=4,('Calc (ex-animal)'!$G$51*(1-'DB additional information '!$K$11/100)+'Calc (ex-animal)'!$H$51*(1-'DB additional information '!$L$11/100))*(1-VLOOKUP(D266,'DB technologies'!$N$122:$Y$133,8,FALSE)/100)*'Calc (ex-housing, ex-storage)'!F266/100*VLOOKUP(D266,'DB technologies'!$N$122:$Y$133,12,FALSE)/100/VLOOKUP($C$263,'DB animal categories'!$C$91:$AC$100,27,FALSE)*AJ266+M266+N266+O266,0))))))</f>
        <v/>
      </c>
      <c r="AW266" s="442" t="str">
        <f>IF(AS266="","",IF(AU266=0,0,AU266/AT266*100))</f>
        <v/>
      </c>
      <c r="AX266" s="182" t="str">
        <f>IF(D266="","",IF(AS266=2,0,IF(AS266=1,'Calc (ex-animal)'!$K$51*'Calc (ex-housing, ex-storage)'!F266/100/VLOOKUP($C$263,'DB animal categories'!$C$91:$AC$100,27,FALSE)*AJ266+Q266+R266+S266,IF(AS266=5,('Calc (ex-animal)'!$K$51+'Calc (ex-animal)'!$L$51)*'Calc (ex-housing, ex-storage)'!F266/100/VLOOKUP($C$263,'DB animal categories'!$C$91:$AC$100,27,FALSE)*AJ266+Q266+R266+S266-'Calc (ex-housing, ex-storage)'!AC266,IF(AS266=3,('Calc (ex-animal)'!$K$51+'Calc (ex-animal)'!$L$51)*'Calc (ex-housing, ex-storage)'!F266/100/VLOOKUP($C$263,'DB animal categories'!$C$91:$AC$100,27,FALSE)*AJ266+Q266+R266+S266-'Calc (ex-housing, ex-storage)'!AC266-AD266-AE266,IF(AI266=4,('Calc (ex-animal)'!$K$51+'Calc (ex-animal)'!$L$51)*'Calc (ex-housing, ex-storage)'!F266/100*VLOOKUP(D266,'DB technologies'!$N$122:$Y$133,12,FALSE)/100/VLOOKUP($C$263,'DB animal categories'!$C$91:$AC$100,27,FALSE)*AJ266+Q266+R266+S266-(VLOOKUP(D266,'DB technologies'!$N$122:$Y$133,12,FALSE)/100*AC266)-AD266-AE266,0))))))</f>
        <v/>
      </c>
      <c r="AY266" s="182" t="str">
        <f>IF(D266="","",IF(AS266=2,0,IF(AS266=1,'Calc (ex-animal)'!$N$51*'Calc (ex-housing, ex-storage)'!F266/100/VLOOKUP($C$263,'DB animal categories'!$C$91:$AC$100,27,FALSE)*AJ266+U266+V266+W266,IF(AS266=5,('Calc (ex-animal)'!$N$51+'Calc (ex-animal)'!$O$51)*'Calc (ex-housing, ex-storage)'!F266/100/VLOOKUP($C$263,'DB animal categories'!$C$91:$AC$100,27,FALSE)*AJ266+U266+V266+W266,IF(AS266=3,('Calc (ex-animal)'!$N$51+'Calc (ex-animal)'!$O$51)*'Calc (ex-housing, ex-storage)'!F266/100/VLOOKUP($C$263,'DB animal categories'!$C$91:$AC$100,27,FALSE)*AJ266+U266+V266+W266,IF(AS266=4,('Calc (ex-animal)'!$N$51+'Calc (ex-animal)'!$O$51)*'Calc (ex-housing, ex-storage)'!F266/100*VLOOKUP(D266,'DB technologies'!$N$122:$Y$133,12,FALSE)/100/VLOOKUP($C$263,'DB animal categories'!$C$91:$AC$100,27,FALSE)*AJ266+U266+V266+W266,0))))))</f>
        <v/>
      </c>
      <c r="AZ266" s="182" t="str">
        <f>IF(D266="","",IF(AS266=2,0,IF(AS266=1,'Calc (ex-animal)'!$Q$51*'Calc (ex-housing, ex-storage)'!F266/100/VLOOKUP($C$263,'DB animal categories'!$C$91:$AC$100,27,FALSE)*AJ266+Y266+Z266+AA266,IF(AS266=5,('Calc (ex-animal)'!$Q$51+'Calc (ex-animal)'!$R$51)*'Calc (ex-housing, ex-storage)'!F266/100/VLOOKUP($C$263,'DB animal categories'!$C$91:$AC$100,27,FALSE)*AJ266+Y266+Z266+AA266,IF(AS266=3,('Calc (ex-animal)'!$Q$51+'Calc (ex-animal)'!$R$51)*'Calc (ex-housing, ex-storage)'!F266/100/VLOOKUP($C$263,'DB animal categories'!$C$91:$AC$100,27,FALSE)*AJ266+Y266+Z266+AA266,IF(AS266=4,('Calc (ex-animal)'!$Q$51+'Calc (ex-animal)'!$R$51)*'Calc (ex-housing, ex-storage)'!F266/100*VLOOKUP(D266,'DB technologies'!$N$122:$Y$133,12,FALSE)/100/VLOOKUP($C$263,'DB animal categories'!$C$91:$AC$100,27,FALSE)*AJ266+Y266+Z266+AA266,0))))))</f>
        <v/>
      </c>
      <c r="BA266" s="506"/>
      <c r="BB266" s="506"/>
      <c r="BC266" s="506"/>
    </row>
    <row r="267" spans="1:55" ht="12" thickBot="1" x14ac:dyDescent="0.25">
      <c r="A267" s="684"/>
      <c r="B267" s="695"/>
      <c r="C267" s="251"/>
      <c r="D267" s="1359"/>
      <c r="E267" s="1360"/>
      <c r="F267" s="481" t="str">
        <f>IF('Calc (ex-animal)'!$F$38=1,"",IF($C$263=0,"",IF(D267="","",E267/'Calc (ex-animal)'!$E$51*100)))</f>
        <v/>
      </c>
      <c r="G267" s="483" t="str">
        <f>IF($C$263=0,"",IF('Calc (ex-animal)'!$F$38=1,"",IF(D267="","",SUM(H267:O267))))</f>
        <v/>
      </c>
      <c r="H267" s="445" t="str">
        <f>IF('Calc (ex-animal)'!$F$38=1,"",IF(D267="","",(((VLOOKUP($C$263,'Calc (ex-animal)'!$D$48:$Y$52,6,FALSE)-VLOOKUP($C$263,'Calc (ex-animal)'!$D$48:$Y$52,17,FALSE))*F267/100))*VLOOKUP($C$263,'Calc (ex-animal)'!$D$48:$Y$52,7,FALSE)/100*(1-VLOOKUP(D267,'DB technologies'!$N$122:$Y$133,9,FALSE)/100)))</f>
        <v/>
      </c>
      <c r="I267" s="445" t="str">
        <f>IF(D267="","",((VLOOKUP(D267,'DB technologies'!$N$122:$Y$133,2,FALSE)*VLOOKUP($C$263,'DB animal categories'!$C$91:$AC$100,27,FALSE)*E267/1000)/VLOOKUP($C$263,'DB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'!$S$6/100*(1-VLOOKUP(D267,'DB technologies'!$N$122:$Y$133,9,FALSE)/100)))</f>
        <v/>
      </c>
      <c r="J267" s="446" t="str">
        <f>IF(D267="","",((VLOOKUP(D267,'DB technologies'!$N$122:$Y$133,3,FALSE)*VLOOKUP($C$263,'DB animal categories'!$C$91:$AC$100,27,FALSE)*E267/1000)/VLOOKUP($C$263,'DB animal categories'!$C$91:$AC$100,27,FALSE)*(VLOOKUP($C$263,'DB animal categories'!$C$91:$AC$100,27,FALSE)-(VLOOKUP($C$263,'DB animal categories'!$C$91:$AC$100,25,FALSE)*VLOOKUP($C$263,'DB animal categories'!$C$91:$AC$100,26,FALSE)/24))*'DB additional information '!$S$7/100*(1-VLOOKUP(D267,'DB technologies'!$N$122:$Y$133,9,FALSE)/100)))</f>
        <v/>
      </c>
      <c r="K267" s="446" t="str">
        <f>IF(D267="","",((VLOOKUP(D267,'DB technologies'!$N$122:$Y$133,4,FALSE)*E267*'DB additional information '!$S$8/100*(1-VLOOKUP(D267,'DB technologies'!$N$122:$Y$133,9,FALSE)/100))/VLOOKUP($C$263,'DB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L267" s="445" t="str">
        <f>IF('Calc (ex-animal)'!$F$38=1,"",IF(D267="","",(((VLOOKUP($C$263,'Calc (ex-animal)'!$D$48:$Y$52,6,FALSE)-VLOOKUP($C$263,'Calc (ex-animal)'!$D$48:$Y$52,17,FALSE))*F267/100))*(1-VLOOKUP($C$263,'Calc (ex-animal)'!$D$48:$Y$52,7,FALSE)/100)*(1-VLOOKUP(D267,'DB technologies'!$N$122:$V$133,8,FALSE)/100)))</f>
        <v/>
      </c>
      <c r="M267" s="446" t="str">
        <f>IF(D267="","",((VLOOKUP(D267,'DB technologies'!$N$122:$Y$133,2,FALSE)*VLOOKUP($C$263,'DB animal categories'!$C$91:$AC$100,27,FALSE)*E267/1000)/VLOOKUP($C$263,'DB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'!$S$6/100)*(1-VLOOKUP(D267,'DB technologies'!$N$122:$Y$133,9,FALSE)/100))</f>
        <v/>
      </c>
      <c r="N267" s="446" t="str">
        <f>IF(D267="","",((VLOOKUP(D267,'DB technologies'!$N$122:$Y$133,3,FALSE)*VLOOKUP($C$263,'DB animal categories'!$C$91:$AC$100,27,FALSE)*E267/1000)/VLOOKUP($C$263,'DB animal categories'!$C$91:$AC$100,27,FALSE)*(VLOOKUP($C$263,'DB animal categories'!$C$91:$AC$100,27,FALSE)-VLOOKUP($C$263,'DB animal categories'!$C$91:$AC$100,25,FALSE)*VLOOKUP($C$263,'DB animal categories'!$C$91:$AC$100,26,FALSE)/24))*(1-'DB additional information '!$S$7/100)*(1-VLOOKUP(D267,'DB technologies'!$N$122:$Y$133,9,FALSE)/100))</f>
        <v/>
      </c>
      <c r="O267" s="445" t="str">
        <f>IF(D267="","",((VLOOKUP(D267,'DB technologies'!$N$122:$Y$133,4,FALSE)*E267*(1-'DB additional information '!$S$8/100)*(1-VLOOKUP(D267,'DB technologies'!$N$122:$Y$133,8,FALSE)/100))/VLOOKUP($C$263,'DB animal categories'!$C$91:$AC$100,27,FALSE)*(VLOOKUP($C$263,'DB animal categories'!$C$91:$AC$100,27,FALSE)-VLOOKUP($C$263,'DB animal categories'!$C$91:$AC$100,25,FALSE)*VLOOKUP($C$263,'DB animal categories'!$C$91:$AC$100,26,FALSE)/24)))</f>
        <v/>
      </c>
      <c r="P267" s="444" t="str">
        <f>IF(G267=0,0,IF(E267="","",IF(F267="","",IF($C$263=0,"",IF(D267="","",SUM(H267:K267)/G267*100)))))</f>
        <v/>
      </c>
      <c r="Q267" s="476" t="str">
        <f>IF(D267="","",(VLOOKUP(D267,'DB technologies'!$N$122:$Y$133,2,FALSE)*'DB additional information '!$S$6/100*'DB additional information '!$T$6*VLOOKUP($C$263,'DB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R267" s="476" t="str">
        <f>IF(D267="","",(VLOOKUP(D267,'DB technologies'!$N$122:$Y$133,3,FALSE)*'DB additional information '!$S$7/100*'DB additional information '!$T$7*VLOOKUP($C$263,'DB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S267" s="494" t="str">
        <f>IF(D267="","",(VLOOKUP(D267,'DB technologies'!$N$122:$Y$133,4,FALSE)*('DB additional information '!$S$8/100*'DB additional information '!$T$8*E267/1000/1000)))</f>
        <v/>
      </c>
      <c r="T267" s="266" t="str">
        <f>IF($C$263=0,"",IF('Calc (ex-animal)'!$F$38=1,"",IF(D267="","",((VLOOKUP($C$263,'Calc (ex-animal)'!$D$48:$Y$52,10,FALSE)-VLOOKUP($C$263,'Calc (ex-animal)'!$D$48:$Y$52,18,FALSE))*F267/100+Q267+R267+S267)-AC267-AD267-AE267)))</f>
        <v/>
      </c>
      <c r="U267" s="477" t="str">
        <f>IF(D267="","",(VLOOKUP(D267,'DB technologies'!$N$122:$Y$133,2,FALSE)*'DB additional information '!$S$6/100*'DB additional information '!$U$6*VLOOKUP($C$263,'DB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V267" s="433" t="str">
        <f>IF(D267="","",(VLOOKUP(D267,'DB technologies'!$N$122:$Y$133,3,FALSE)*'DB additional information '!$S$7/100*'DB additional information '!$U$7*VLOOKUP($C$263,'DB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W267" s="475" t="str">
        <f>IF(D267="","",(VLOOKUP(D267,'DB technologies'!$N$122:$Y$133,4,FALSE)*('DB additional information '!$S$8/100*'DB additional information '!$U$8*E267/1000/1000)))</f>
        <v/>
      </c>
      <c r="X267" s="267" t="str">
        <f>IF($C$263=0,"",IF('Calc (ex-animal)'!$F$38=1,"",IF(D267="","",((VLOOKUP($C$263,'Calc (ex-animal)'!$D$48:$Y$52,13,FALSE)-VLOOKUP($C$263,'Calc (ex-animal)'!$D$48:$Y$52,19,FALSE))*F267/100+U267+V267+W267))))</f>
        <v/>
      </c>
      <c r="Y267" s="433" t="str">
        <f>IF(D267="","",(VLOOKUP(D267,'DB technologies'!$N$122:$Y$133,2,FALSE)*'DB additional information '!$S$6/100*'DB additional information '!$V$6*VLOOKUP($C$263,'DB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Z267" s="433" t="str">
        <f>IF(D267="","",(VLOOKUP(D267,'DB technologies'!$N$122:$Y$133,3,FALSE)*'DB additional information '!$S$7/100*'DB additional information '!$V$7*VLOOKUP($C$263,'DB animal categories'!$C$91:$AC$100,27,FALSE)*E267/1000/1000)/VLOOKUP($C$263,'DB animal categories'!$C$91:$AC$100,27,FALSE)*(VLOOKUP($C$263,'DB animal categories'!$C$91:$AC$100,27,FALSE)-VLOOKUP($C$263,'DB animal categories'!$C$91:$AC$100,25,FALSE)*VLOOKUP($C$263,'DB animal categories'!$C$91:$AC$100,26,FALSE)/24))</f>
        <v/>
      </c>
      <c r="AA267" s="433" t="str">
        <f>IF(D267="","",(VLOOKUP(D267,'DB technologies'!$N$122:$Y$133,4,FALSE)*('DB additional information '!$S$8/100*'DB additional information '!$V$8*E267/1000/1000)))</f>
        <v/>
      </c>
      <c r="AB267" s="267" t="str">
        <f>IF($C$263=0,"",IF('Calc (ex-animal)'!$F$38=1,"",IF(D267="","",((VLOOKUP($C$263,'Calc (ex-animal)'!$D$48:$Y$52,16,FALSE)-VLOOKUP($C$263,'Calc (ex-animal)'!$D$48:$Y$52,20,FALSE))*F267/100+Y267+Z267+AA267))))</f>
        <v/>
      </c>
      <c r="AC267" s="267" t="str">
        <f>IF($C$263=0,"",IF('Calc (ex-animal)'!$F$38=1,"",IF(D267="","",VLOOKUP($C$263,'Calc (ex-animal)'!$D$48:$Y$52,9,FALSE)/VLOOKUP($C$263,'DB animal categories'!$C$91:$AC$100,27,FALSE)*(VLOOKUP($C$263,'DB animal categories'!$C$91:$AC$100,27,FALSE)-VLOOKUP($C$263,'DB animal categories'!$C$91:$AC$100,25,FALSE)*VLOOKUP($C$263,'DB animal categories'!$C$91:$AC$100,26,FALSE)/24)*F267/100*VLOOKUP(D267,'DB technologies'!$N$122:$R$133,5,FALSE)/100)))</f>
        <v/>
      </c>
      <c r="AD267" s="267" t="str">
        <f>IF($C$263=0,"",IF('Calc (ex-animal)'!$F$38=1,"",IF(D267="","",VLOOKUP($C$263,'Calc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categories'!$C$91:$AC$100,26,FALSE)/24)*F267/100*VLOOKUP(D267,'DB technologies'!$N$122:$Y$133,6,FALSE)/100)))</f>
        <v/>
      </c>
      <c r="AE267" s="268" t="str">
        <f>IF($C$263=0,"",IF('Calc (ex-animal)'!$F$38=1,"",IF(D267="","",VLOOKUP($C$263,'Calc (ex-animal)'!$D$48:$Y$52,10,FALSE)/VLOOKUP($C$263,'DB animal categories'!$C$91:$AC$100,27,FALSE)*(VLOOKUP($C$263,'DB animal categories'!$C$91:$AC$100,27,FALSE)-VLOOKUP($C$263,'DB animal categories'!$C$91:$AC$100,25,FALSE)*VLOOKUP($C$263,'DB animal categories'!$C$91:$AC$100,26,FALSE)/24)*F267/100*VLOOKUP(D267,'DB technologies'!$N$122:$Y$133,7,FALSE)/100)))</f>
        <v/>
      </c>
      <c r="AI267" s="183" t="str">
        <f>IF(D267="","",VLOOKUP(D267,'DB technologies'!$N$122:$Y$133,10,FALSE))</f>
        <v/>
      </c>
      <c r="AJ267" s="451" t="e">
        <f>VLOOKUP($C$263,'DB animal categories'!$C$91:$AN$100,27,FALSE)-VLOOKUP($C$263,'DB animal categories'!$C$91:$AN$100,26,FALSE)*VLOOKUP($C$263,'DB animal categories'!$C$91:$AN$100,25,FALSE)/24</f>
        <v>#N/A</v>
      </c>
      <c r="AK267" s="452" t="str">
        <f>IF(AI267="","",AL267+AM267)</f>
        <v/>
      </c>
      <c r="AL267" s="452" t="str">
        <f>IF(D267="","",IF(AI267=2,(('Calc (ex-animal)'!$G$51*'DB additional information '!$K$11/100*(1-VLOOKUP(D267,'DB technologies'!$N$122:$Y$133,9,FALSE)/100)*'Calc (ex-housing, ex-storage)'!F267/100+'Calc (ex-animal)'!$H$51*'DB additional information '!$L$11/100*(1-VLOOKUP(D267,'DB technologies'!$N$122:$Y$133,9,FALSE)/100)*'Calc (ex-housing, ex-storage)'!F267/100))/VLOOKUP($C$263,'DB animal categories'!$C$91:$AC$100,27,FALSE)*AJ267+I267+J267+K267,IF(AI267=1,('Calc (ex-animal)'!$H$51*'DB additional information '!$L$11/100*(1-VLOOKUP(D267,'DB technologies'!$N$122:$Y$133,9,FALSE)/100)*'Calc (ex-housing, ex-storage)'!F267/100)/VLOOKUP($C$263,'DB animal categories'!$C$91:$AC$100,27,FALSE)*AJ267,IF(AI267=4,('Calc (ex-animal)'!$G$51*'DB additional information '!$K$11/100+'Calc (ex-animal)'!$H$51*'DB additional information '!$L$11/100)*(1-VLOOKUP(D267,'DB technologies'!$N$122:$Y$133,9,FALSE)/100)*'Calc (ex-housing, ex-storage)'!F267/100*VLOOKUP(D267,'DB technologies'!$N$122:$Y$133,11,FALSE)/100/VLOOKUP($C$263,'DB animal categories'!$C$91:$AC$100,27,FALSE)*AJ267,0))))</f>
        <v/>
      </c>
      <c r="AM267" s="452" t="str">
        <f>IF(D267="","",IF(AI267=2,(('Calc (ex-animal)'!$G$51*(1-'DB additional information '!$K$11/100)*(1-VLOOKUP(D267,'DB technologies'!$N$122:$Y$133,8,FALSE)/100)*'Calc (ex-housing, ex-storage)'!F267/100+'Calc (ex-animal)'!$H$51*(1-'DB additional information '!$L$11/100)*(1-VLOOKUP(D267,'DB technologies'!$N$122:$Y$133,8,FALSE)/100)*'Calc (ex-housing, ex-storage)'!F267/100))/VLOOKUP($C$263,'DB animal categories'!$C$91:$AC$100,27,FALSE)*AJ267+M267+N267+O267,IF(AI267=1,('Calc (ex-animal)'!$H$51*(1-'DB additional information '!$L$11/100)*(1-VLOOKUP(D267,'DB technologies'!$N$122:$Y$133,8,FALSE)/100)*'Calc (ex-housing, ex-storage)'!F267/100)/VLOOKUP($C$263,'DB animal categories'!$C$91:$AC$100,27,FALSE)*AJ267,IF(AI267=4,('Calc (ex-animal)'!$G$51*(1-'DB additional information '!$K$11/100)+'Calc (ex-animal)'!$H$51*(1-'DB additional information '!$L$11/100))*(1-VLOOKUP(D267,'DB technologies'!$N$122:$Y$133,8,FALSE)/100)*'Calc (ex-housing, ex-storage)'!F267/100*VLOOKUP(D267,'DB technologies'!$N$122:$Y$133,11,FALSE)/100/VLOOKUP($C$263,'DB animal categories'!$C$91:$AC$100,27,FALSE)*AJ267,0))))</f>
        <v/>
      </c>
      <c r="AN267" s="452" t="str">
        <f>IF(AI267="","",IF(AL267=0,0,AL267/AK267*100))</f>
        <v/>
      </c>
      <c r="AO267" s="184" t="str">
        <f>IF(D267="","",IF(AI267=2,(('Calc (ex-animal)'!$L$51*'Calc (ex-housing, ex-storage)'!F267/100+'Calc (ex-animal)'!$K$51*'Calc (ex-housing, ex-storage)'!F267/100))/VLOOKUP($C$263,'DB animal categories'!$C$91:$AC$100,27,FALSE)*AJ267+Q267+R267+S267-AC267,IF(AI267=1,('Calc (ex-animal)'!$L$51*'Calc (ex-housing, ex-storage)'!F267/100)/VLOOKUP($C$263,'DB animal categories'!$C$91:$AC$100,27,FALSE)*AJ267-'Calc (ex-housing, ex-storage)'!AC267,IF(AI267=4,('Calc (ex-animal)'!$L$51+'Calc (ex-animal)'!$K$51)*'Calc (ex-housing, ex-storage)'!F267/100*VLOOKUP(D267,'DB technologies'!$N$122:$Y$133,11,FALSE)/100/VLOOKUP($C$263,'DB animal categories'!$C$91:$AC$100,27,FALSE)*AJ267-AC267*VLOOKUP(D267,'DB technologies'!$N$122:$Y$133,11,FALSE)/100,0))))</f>
        <v/>
      </c>
      <c r="AP267" s="184" t="str">
        <f>IF(D267="","",IF(AO267&lt;-0.01,0,IF(AI267=2,(('Calc (ex-animal)'!$L$51*'Calc (ex-housing, ex-storage)'!F267/100+'Calc (ex-animal)'!$K$51*'Calc (ex-housing, ex-storage)'!F267/100))/VLOOKUP($C$263,'DB animal categories'!$C$91:$AC$100,27,FALSE)*AJ267+Q267+R267+S267-AC267,IF(AI267=1,('Calc (ex-animal)'!$L$51*'Calc (ex-housing, ex-storage)'!F267/100)/VLOOKUP($C$263,'DB animal categories'!$C$91:$AC$100,27,FALSE)*AJ267-'Calc (ex-housing, ex-storage)'!AC267,IF(AI267=4,('Calc (ex-animal)'!$L$51+'Calc (ex-animal)'!$K$51)*'Calc (ex-housing, ex-storage)'!F267/100*VLOOKUP(D267,'DB technologies'!$N$122:$Y$133,11,FALSE)/100/VLOOKUP($C$263,'DB animal categories'!$C$91:$AC$100,27,FALSE)*AJ267-AC267*VLOOKUP(D267,'DB technologies'!$N$122:$Y$133,11,FALSE)/100,0)))))</f>
        <v/>
      </c>
      <c r="AQ267" s="184" t="str">
        <f>IF(D267="","",IF(AI267=2,('Calc (ex-animal)'!$O$51*'Calc (ex-housing, ex-storage)'!F267/100+'Calc (ex-animal)'!$N$51*'Calc (ex-housing, ex-storage)'!F267/100)/VLOOKUP($C$263,'DB animal categories'!$C$91:$AC$100,27,FALSE)*AJ267+U267+V267+W267,IF(AI267=1,'Calc (ex-animal)'!$O$51*'Calc (ex-housing, ex-storage)'!F267/100/VLOOKUP($C$263,'DB animal categories'!$C$91:$AC$100,27,FALSE)*AJ267,IF(AI267=4,('Calc (ex-animal)'!$O$51+'Calc (ex-animal)'!$N$51)*'Calc (ex-housing, ex-storage)'!F267/100*VLOOKUP(D267,'DB technologies'!$N$122:$Y$133,11,FALSE)/100/VLOOKUP($C$263,'DB animal categories'!$C$91:$AC$100,27,FALSE)*AJ267,0))))</f>
        <v/>
      </c>
      <c r="AR267" s="184" t="str">
        <f>IF(D267="","",IF(AI267=2,('Calc (ex-animal)'!$R$51*'Calc (ex-housing, ex-storage)'!F267/100+'Calc (ex-animal)'!$Q$51*'Calc (ex-housing, ex-storage)'!F267/100)/VLOOKUP($C$263,'DB animal categories'!$C$91:$AC$100,27,FALSE)*AJ267+Y267+Z267+AA267,IF(AI267=1,'Calc (ex-animal)'!$R$51*'Calc (ex-housing, ex-storage)'!F267/100/VLOOKUP($C$263,'DB animal categories'!$C$91:$AC$100,27,FALSE)*AJ267,IF(AI267=4,('Calc (ex-animal)'!$R$51+'Calc (ex-animal)'!$Q$51)*'Calc (ex-housing, ex-storage)'!F267/100*VLOOKUP(D267,'DB technologies'!$N$122:$Y$133,11,FALSE)/100/VLOOKUP($C$263,'DB animal categories'!$C$91:$AC$100,27,FALSE)*AJ267,0))))</f>
        <v/>
      </c>
      <c r="AS267" s="183" t="str">
        <f>IF(D267="","",VLOOKUP(D267,'DB technologies'!$N$122:$Y$133,10,FALSE))</f>
        <v/>
      </c>
      <c r="AT267" s="452" t="str">
        <f>IF(AS267="","",AU267+AV267)</f>
        <v/>
      </c>
      <c r="AU267" s="452" t="str">
        <f>IF(D267="","",IF(AS267=2,0,IF(AS267=1,'Calc (ex-animal)'!$G$51*'DB additional information '!$K$11/100*(1-VLOOKUP(D267,'DB technologies'!$N$122:$Y$133,8,FALSE)/100)*'Calc (ex-housing, ex-storage)'!F267/100/VLOOKUP($C$263,'DB animal categories'!$C$91:$AC$100,27,FALSE)*AJ267+I267+J267+K267,IF(AS267=5,(('Calc (ex-animal)'!$G$51*'DB additional information '!$K$11/100+'Calc (ex-animal)'!$H$51*'DB additional information '!$L$11/100))*(1-VLOOKUP(D267,'DB technologies'!$N$122:$Y$133,9,FALSE)/100)*'Calc (ex-housing, ex-storage)'!F267/100/VLOOKUP($C$263,'DB animal categories'!$C$91:$AC$100,27,FALSE)*AJ267+I267+J267+K267,IF(AS267=3,('Calc (ex-animal)'!$G$51*'DB additional information '!$K$11/100+'Calc (ex-animal)'!$H$51*'DB additional information '!$L$11/100)*(1-VLOOKUP(D267,'DB technologies'!$N$122:$Y$133,9,FALSE)/100)*'Calc (ex-housing, ex-storage)'!F267/100/VLOOKUP($C$263,'DB animal categories'!$C$91:$AC$100,27,FALSE)*AJ267+I267+J267+K267,IF(AS267=4,('Calc (ex-animal)'!$G$51*'DB additional information '!$K$11/100+'Calc (ex-animal)'!$H$51*'DB additional information '!$L$11/100)*(1-VLOOKUP(D267,'DB technologies'!$N$122:$Y$133,9,FALSE)/100)*'Calc (ex-housing, ex-storage)'!F267/100*VLOOKUP(D267,'DB technologies'!$N$122:$Y$133,12,FALSE)/100/VLOOKUP($C$263,'DB animal categories'!$C$91:$AC$100,27,FALSE)*AJ267+I267+J267+K267,0))))))</f>
        <v/>
      </c>
      <c r="AV267" s="452" t="str">
        <f>IF(D267="","",IF(AS267=2,0,IF(AS267=1,'Calc (ex-animal)'!$G$51*(1-'DB additional information '!$K$11/100)*(1-VLOOKUP(D267,'DB technologies'!$N$122:$Y$133,8,FALSE)/100)*'Calc (ex-housing, ex-storage)'!F267/100/VLOOKUP($C$263,'DB animal categories'!$C$91:$AC$100,27,FALSE)*AJ267+M267+N267+O267,IF(AS267=5,('Calc (ex-animal)'!$G$51*(1-'DB additional information '!$K$11/100)+'Calc (ex-animal)'!$H$51*(1-'DB additional information '!$L$11/100))*(1-VLOOKUP(D267,'DB technologies'!$N$122:$Y$133,8,FALSE)/100)*'Calc (ex-housing, ex-storage)'!F267/100/VLOOKUP($C$263,'DB animal categories'!$C$91:$AC$100,27,FALSE)*AJ267+M267+N267+O267,IF(AS267=3,('Calc (ex-animal)'!$G$51*(1-'DB additional information '!$K$11/100)+'Calc (ex-animal)'!$H$51*(1-'DB additional information '!$L$11/100))*(1-VLOOKUP(D267,'DB technologies'!$N$122:$Y$133,8,FALSE)/100)*'Calc (ex-housing, ex-storage)'!F267/100/VLOOKUP($C$263,'DB animal categories'!$C$91:$AC$100,27,FALSE)*AJ267+M267+N267+O267,IF(AS267=4,('Calc (ex-animal)'!$G$51*(1-'DB additional information '!$K$11/100)+'Calc (ex-animal)'!$H$51*(1-'DB additional information '!$L$11/100))*(1-VLOOKUP(D267,'DB technologies'!$N$122:$Y$133,8,FALSE)/100)*'Calc (ex-housing, ex-storage)'!F267/100*VLOOKUP(D267,'DB technologies'!$N$122:$Y$133,12,FALSE)/100/VLOOKUP($C$263,'DB animal categories'!$C$91:$AC$100,27,FALSE)*AJ267+M267+N267+O267,0))))))</f>
        <v/>
      </c>
      <c r="AW267" s="452" t="str">
        <f>IF(AS267="","",IF(AU267=0,0,AU267/AT267*100))</f>
        <v/>
      </c>
      <c r="AX267" s="184" t="str">
        <f>IF(D267="","",IF(AS267=2,0,IF(AS267=1,'Calc (ex-animal)'!$K$51*'Calc (ex-housing, ex-storage)'!F267/100/VLOOKUP($C$263,'DB animal categories'!$C$91:$AC$100,27,FALSE)*AJ267+Q267+R267+S267,IF(AS267=5,('Calc (ex-animal)'!$K$51+'Calc (ex-animal)'!$L$51)*'Calc (ex-housing, ex-storage)'!F267/100/VLOOKUP($C$263,'DB animal categories'!$C$91:$AC$100,27,FALSE)*AJ267+Q267+R267+S267-'Calc (ex-housing, ex-storage)'!AC267,IF(AS267=3,('Calc (ex-animal)'!$K$51+'Calc (ex-animal)'!$L$51)*'Calc (ex-housing, ex-storage)'!F267/100/VLOOKUP($C$263,'DB animal categories'!$C$91:$AC$100,27,FALSE)*AJ267+Q267+R267+S267-'Calc (ex-housing, ex-storage)'!AC267-AD267-AE267,IF(AI267=4,('Calc (ex-animal)'!$K$51+'Calc (ex-animal)'!$L$51)*'Calc (ex-housing, ex-storage)'!F267/100*VLOOKUP(D267,'DB technologies'!$N$122:$Y$133,12,FALSE)/100/VLOOKUP($C$263,'DB animal categories'!$C$91:$AC$100,27,FALSE)*AJ267+Q267+R267+S267-(VLOOKUP(D267,'DB technologies'!$N$122:$Y$133,12,FALSE)/100*AC267)-AD267-AE267,0))))))</f>
        <v/>
      </c>
      <c r="AY267" s="184" t="str">
        <f>IF(D267="","",IF(AS267=2,0,IF(AS267=1,'Calc (ex-animal)'!$N$51*'Calc (ex-housing, ex-storage)'!F267/100/VLOOKUP($C$263,'DB animal categories'!$C$91:$AC$100,27,FALSE)*AJ267+U267+V267+W267,IF(AS267=5,('Calc (ex-animal)'!$N$51+'Calc (ex-animal)'!$O$51)*'Calc (ex-housing, ex-storage)'!F267/100/VLOOKUP($C$263,'DB animal categories'!$C$91:$AC$100,27,FALSE)*AJ267+U267+V267+W267,IF(AS267=3,('Calc (ex-animal)'!$N$51+'Calc (ex-animal)'!$O$51)*'Calc (ex-housing, ex-storage)'!F267/100/VLOOKUP($C$263,'DB animal categories'!$C$91:$AC$100,27,FALSE)*AJ267+U267+V267+W267,IF(AS267=4,('Calc (ex-animal)'!$N$51+'Calc (ex-animal)'!$O$51)*'Calc (ex-housing, ex-storage)'!F267/100*VLOOKUP(D267,'DB technologies'!$N$122:$Y$133,12,FALSE)/100/VLOOKUP($C$263,'DB animal categories'!$C$91:$AC$100,27,FALSE)*AJ267+U267+V267+W267,0))))))</f>
        <v/>
      </c>
      <c r="AZ267" s="184" t="str">
        <f>IF(D267="","",IF(AS267=2,0,IF(AS267=1,'Calc (ex-animal)'!$Q$51*'Calc (ex-housing, ex-storage)'!F267/100/VLOOKUP($C$263,'DB animal categories'!$C$91:$AC$100,27,FALSE)*AJ267+Y267+Z267+AA267,IF(AS267=5,('Calc (ex-animal)'!$Q$51+'Calc (ex-animal)'!$R$51)*'Calc (ex-housing, ex-storage)'!F267/100/VLOOKUP($C$263,'DB animal categories'!$C$91:$AC$100,27,FALSE)*AJ267+Y267+Z267+AA267,IF(AS267=3,('Calc (ex-animal)'!$Q$51+'Calc (ex-animal)'!$R$51)*'Calc (ex-housing, ex-storage)'!F267/100/VLOOKUP($C$263,'DB animal categories'!$C$91:$AC$100,27,FALSE)*AJ267+Y267+Z267+AA267,IF(AS267=4,('Calc (ex-animal)'!$Q$51+'Calc (ex-animal)'!$R$51)*'Calc (ex-housing, ex-storage)'!F267/100*VLOOKUP(D267,'DB technologies'!$N$122:$Y$133,12,FALSE)/100/VLOOKUP($C$263,'DB animal categories'!$C$91:$AC$100,27,FALSE)*AJ267+Y267+Z267+AA267,0))))))</f>
        <v/>
      </c>
      <c r="BA267" s="506"/>
      <c r="BB267" s="506"/>
      <c r="BC267" s="506"/>
    </row>
    <row r="268" spans="1:55" ht="12" thickBot="1" x14ac:dyDescent="0.25">
      <c r="A268" s="684"/>
      <c r="B268" s="695"/>
      <c r="C268" s="252"/>
      <c r="D268" s="269" t="s">
        <v>58</v>
      </c>
      <c r="E268" s="270">
        <f>IF(F268&lt;=100,SUM(E263:E267),"ERROR")</f>
        <v>0</v>
      </c>
      <c r="F268" s="284">
        <f>IF(SUM(F263:F267) &lt;=100,SUM(F263:F267),"ERROR, SUM&gt;100%")</f>
        <v>0</v>
      </c>
      <c r="G268" s="550">
        <f>IF('Calc (ex-animal)'!$F$38=1,"",SUM(G263:G267))</f>
        <v>0</v>
      </c>
      <c r="H268" s="418">
        <f>IF('Calc (ex-animal)'!$F$8=1,"",SUM(H263:H267))</f>
        <v>0</v>
      </c>
      <c r="I268" s="418">
        <f>IF('Calc (ex-animal)'!$F$8=1,"",SUM(I263:I267))</f>
        <v>0</v>
      </c>
      <c r="J268" s="418">
        <f>IF('Calc (ex-animal)'!$F$8=1,"",SUM(J263:J267))</f>
        <v>0</v>
      </c>
      <c r="K268" s="418">
        <f>IF('Calc (ex-animal)'!$F$8=1,"",SUM(K263:K267))</f>
        <v>0</v>
      </c>
      <c r="L268" s="418">
        <f>IF('Calc (ex-animal)'!$F$8=1,"",SUM(L263:L267))</f>
        <v>0</v>
      </c>
      <c r="M268" s="551"/>
      <c r="N268" s="551"/>
      <c r="O268" s="551"/>
      <c r="P268" s="552">
        <f>IF(G268=0,0,IF('Calc (ex-animal)'!$F$38=1,"",IF(D268="","",SUM(H268:K268)/G268*100)))</f>
        <v>0</v>
      </c>
      <c r="Q268" s="394"/>
      <c r="R268" s="394"/>
      <c r="S268" s="394"/>
      <c r="T268" s="278">
        <f>IF('Calc (ex-animal)'!$F$51=1,"",SUM(T263:T267))</f>
        <v>0</v>
      </c>
      <c r="U268" s="279"/>
      <c r="V268" s="279"/>
      <c r="W268" s="279"/>
      <c r="X268" s="279">
        <f>IF('Calc (ex-animal)'!$F$51=1,"",SUM(X263:X267))</f>
        <v>0</v>
      </c>
      <c r="Y268" s="279"/>
      <c r="Z268" s="279"/>
      <c r="AA268" s="279"/>
      <c r="AB268" s="279">
        <f>IF('Calc (ex-animal)'!$F$51=1,"",SUM(AB263:AB267))</f>
        <v>0</v>
      </c>
      <c r="AC268" s="279">
        <f>IF('Calc (ex-animal)'!$F$51=1,"",SUM(AC263:AC267))</f>
        <v>0</v>
      </c>
      <c r="AD268" s="279">
        <f>IF('Calc (ex-animal)'!$F$51=1,"",SUM(AD263:AD267))</f>
        <v>0</v>
      </c>
      <c r="AE268" s="280">
        <f>IF('Calc (ex-animal)'!$F$51=1,"",SUM(AE263:AE267))</f>
        <v>0</v>
      </c>
    </row>
    <row r="269" spans="1:55" x14ac:dyDescent="0.2">
      <c r="A269" s="684"/>
      <c r="B269" s="695"/>
      <c r="C269" s="250">
        <f>'Calc (ex-animal)'!D52</f>
        <v>0</v>
      </c>
      <c r="D269" s="1355"/>
      <c r="E269" s="1356"/>
      <c r="F269" s="503" t="str">
        <f>IF('Calc (ex-animal)'!$F$38=1,"",IF($C$269=0,"",IF(D269="","",E269/'Calc (ex-animal)'!$E$52*100)))</f>
        <v/>
      </c>
      <c r="G269" s="484" t="str">
        <f>IF($C$269=0,"",IF('Calc (ex-animal)'!$F$38=1,"",IF(D269="","",SUM(H269:O269))))</f>
        <v/>
      </c>
      <c r="H269" s="471" t="str">
        <f>IF('Calc (ex-animal)'!$F$38=1,"",IF(D269="","",(((VLOOKUP($C$269,'Calc (ex-animal)'!$D$48:$Y$52,6,FALSE)-VLOOKUP($C$269,'Calc (ex-animal)'!$D$48:$Y$52,17,FALSE))*F269/100))*VLOOKUP($C$269,'Calc (ex-animal)'!$D$48:$Y$52,7,FALSE)/100*(1-VLOOKUP(D269,'DB technologies'!$N$122:$Y$133,9,FALSE)/100)))</f>
        <v/>
      </c>
      <c r="I269" s="471" t="str">
        <f>IF(D269="","",((VLOOKUP(D269,'DB technologies'!$N$122:$Y$133,2,FALSE)*VLOOKUP($C$269,'DB animal categories'!$C$91:$AC$100,27,FALSE)*E269/1000)/VLOOKUP($C$269,'DB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'!$S$6/100*(1-VLOOKUP(D269,'DB technologies'!$N$122:$Y$133,9,FALSE)/100)))</f>
        <v/>
      </c>
      <c r="J269" s="472" t="str">
        <f>IF(D269="","",((VLOOKUP(D269,'DB technologies'!$N$122:$Y$133,3,FALSE)*VLOOKUP($C$269,'DB animal categories'!$C$91:$AC$100,27,FALSE)*E269/1000)/VLOOKUP($C$269,'DB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'!$S$7/100*(1-VLOOKUP(D269,'DB technologies'!$N$122:$Y$133,9,FALSE)/100)))</f>
        <v/>
      </c>
      <c r="K269" s="472" t="str">
        <f>IF(D269="","",((VLOOKUP(D269,'DB technologies'!$N$122:$Y$133,4,FALSE)*E269*'DB additional information '!$S$8/100*(1-VLOOKUP(D269,'DB technologies'!$N$122:$Y$133,9,FALSE)/100))/VLOOKUP($C$269,'DB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L269" s="471" t="str">
        <f>IF('Calc (ex-animal)'!$F$38=1,"",IF(D269="","",(((VLOOKUP($C$269,'Calc (ex-animal)'!$D$48:$Y$52,6,FALSE)-VLOOKUP($C$269,'Calc (ex-animal)'!$D$48:$Y$52,17,FALSE))*F269/100))*(1-VLOOKUP($C$269,'Calc (ex-animal)'!$D$48:$Y$52,7,FALSE)/100)*(1-VLOOKUP(D269,'DB technologies'!$N$122:$V$133,8,FALSE)/100)))</f>
        <v/>
      </c>
      <c r="M269" s="472" t="str">
        <f>IF(D269="","",((VLOOKUP(D269,'DB technologies'!$N$122:$Y$133,2,FALSE)*VLOOKUP($C$269,'DB animal categories'!$C$91:$AC$100,27,FALSE)*E269/1000)/VLOOKUP($C$269,'DB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'!$S$6/100)*(1-VLOOKUP(D269,'DB technologies'!$N$122:$Y$133,9,FALSE)/100))</f>
        <v/>
      </c>
      <c r="N269" s="472" t="str">
        <f>IF(D269="","",((VLOOKUP(D269,'DB technologies'!$N$122:$Y$133,3,FALSE)*VLOOKUP($C$269,'DB animal categories'!$C$91:$AC$100,27,FALSE)*E269/1000)/VLOOKUP($C$269,'DB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'!$S$7/100)*(1-VLOOKUP(D269,'DB technologies'!$N$122:$Y$133,9,FALSE)/100))</f>
        <v/>
      </c>
      <c r="O269" s="471" t="str">
        <f>IF(D269="","",((VLOOKUP(D269,'DB technologies'!$N$122:$Y$133,4,FALSE)*E269*(1-'DB additional information '!$S$8/100)*(1-VLOOKUP(D269,'DB technologies'!$N$122:$Y$133,8,FALSE)/100))/VLOOKUP($C$269,'DB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P269" s="443" t="str">
        <f>IF(G269=0,0,IF(E269="","",IF(F269="","",IF($C$269=0,"",IF(D269="","",SUM(H269:K269)/G269*100)))))</f>
        <v/>
      </c>
      <c r="Q269" s="473" t="str">
        <f>IF(D269="","",(VLOOKUP(D269,'DB technologies'!$N$122:$Y$133,2,FALSE)*'DB additional information '!$S$6/100*'DB additional information '!$T$6*VLOOKUP($C$269,'DB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R269" s="473" t="str">
        <f>IF(D269="","",(VLOOKUP(D269,'DB technologies'!$N$122:$Y$133,3,FALSE)*'DB additional information '!$S$7/100*'DB additional information '!$T$7*VLOOKUP($C$269,'DB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S269" s="490" t="str">
        <f>IF(D269="","",(VLOOKUP(D269,'DB technologies'!$N$122:$Y$133,4,FALSE)*('DB additional information '!$S$8/100*'DB additional information '!$T$8*E269/1000/1000)))</f>
        <v/>
      </c>
      <c r="T269" s="259" t="str">
        <f>IF($C$269=0,"",IF('Calc (ex-animal)'!$F$38=1,"",IF(D269="","",((VLOOKUP($C$269,'Calc (ex-animal)'!$D$48:$Y$52,10,FALSE)-VLOOKUP($C$269,'Calc (ex-animal)'!$D$48:$Y$52,18,FALSE))*F269/100+Q269+R269+S269)-AC269-AD269-AE269)))</f>
        <v/>
      </c>
      <c r="U269" s="474" t="str">
        <f>IF(D269="","",(VLOOKUP(D269,'DB technologies'!$N$122:$Y$133,2,FALSE)*'DB additional information '!$S$6/100*'DB additional information '!$U$6*VLOOKUP($C$269,'DB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V269" s="420" t="str">
        <f>IF(D269="","",(VLOOKUP(D269,'DB technologies'!$N$122:$Y$133,3,FALSE)*'DB additional information '!$S$7/100*'DB additional information '!$U$7*VLOOKUP($C$269,'DB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W269" s="415" t="str">
        <f>IF(D269="","",(VLOOKUP(D269,'DB technologies'!$N$122:$Y$133,4,FALSE)*('DB additional information '!$S$8/100*'DB additional information '!$U$8*E269/1000/1000)))</f>
        <v/>
      </c>
      <c r="X269" s="259" t="str">
        <f>IF($C$269=0,"",IF('Calc (ex-animal)'!$F$38=1,"",IF(D269="","",((VLOOKUP($C$269,'Calc (ex-animal)'!$D$48:$Y$52,13,FALSE)-VLOOKUP($C$269,'Calc (ex-animal)'!$D$48:$Y$52,19,FALSE))*F269/100+U269+V269+W269))))</f>
        <v/>
      </c>
      <c r="Y269" s="420" t="str">
        <f>IF(D269="","",(VLOOKUP(D269,'DB technologies'!$N$122:$Y$133,2,FALSE)*'DB additional information '!$S$6/100*'DB additional information '!$V$6*VLOOKUP($C$269,'DB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Z269" s="420" t="str">
        <f>IF(D269="","",(VLOOKUP(D269,'DB technologies'!$N$122:$Y$133,3,FALSE)*'DB additional information '!$S$7/100*'DB additional information '!$V$7*VLOOKUP($C$269,'DB animal categories'!$C$91:$AC$100,27,FALSE)*E269/1000/1000)/VLOOKUP($C$269,'DB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AA269" s="420" t="str">
        <f>IF(D269="","",(VLOOKUP(D269,'DB technologies'!$N$122:$Y$133,4,FALSE)*('DB additional information '!$S$8/100*'DB additional information '!$V$8*E269/1000/1000)))</f>
        <v/>
      </c>
      <c r="AB269" s="259" t="str">
        <f>IF($C$269=0,"",IF('Calc (ex-animal)'!$F$38=1,"",IF(D269="","",((VLOOKUP($C$269,'Calc (ex-animal)'!$D$48:$Y$52,16,FALSE)-VLOOKUP($C$269,'Calc (ex-animal)'!$D$48:$Y$52,20,FALSE))*F269/100+Y269+Z269+AA269))))</f>
        <v/>
      </c>
      <c r="AC269" s="259" t="str">
        <f>IF($C$269=0,"",IF('Calc (ex-animal)'!$F$38=1,"",IF(D269="","",VLOOKUP($C$269,'Calc (ex-animal)'!$D$48:$Y$52,9,FALSE)/VLOOKUP($C$269,'DB animal categories'!$C$91:$AC$100,27,FALSE)*(VLOOKUP($C$269,'DB animal categories'!$C$91:$AC$100,27,FALSE)-VLOOKUP($C$269,'DB animal categories'!$C$91:$AC$100,25,FALSE)*VLOOKUP($C$269,'DB animal categories'!$C$91:$AC$100,26,FALSE)/24)*F269/100*VLOOKUP(D269,'DB technologies'!$N$122:$R$133,5,FALSE)/100)))</f>
        <v/>
      </c>
      <c r="AD269" s="259" t="str">
        <f>IF($C$269=0,"",IF('Calc (ex-animal)'!$F$38=1,"",IF(D269="","",VLOOKUP($C$269,'Calc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categories'!$C$91:$AC$100,26,FALSE)/24)*F269/100*VLOOKUP(D269,'DB technologies'!$N$122:$Y$133,6,FALSE)/100)))</f>
        <v/>
      </c>
      <c r="AE269" s="260" t="str">
        <f>IF($C$269=0,"",IF('Calc (ex-animal)'!$F$38=1,"",IF(D269="","",VLOOKUP($C$269,'Calc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categories'!$C$91:$AC$100,26,FALSE)/24)*F269/100*VLOOKUP(D269,'DB technologies'!$N$122:$Y$133,7,FALSE)/100)))</f>
        <v/>
      </c>
      <c r="AI269" s="179" t="str">
        <f>IF(D269="","",VLOOKUP(D269,'DB technologies'!$N$122:$Y$133,10,FALSE))</f>
        <v/>
      </c>
      <c r="AJ269" s="482" t="e">
        <f>VLOOKUP($C$269,'DB animal categories'!$C$91:$AN$100,27,FALSE)-VLOOKUP($C$269,'DB animal categories'!$C$91:$AN$100,26,FALSE)*VLOOKUP($C$269,'DB animal categories'!$C$91:$AN$100,25,FALSE)/24</f>
        <v>#N/A</v>
      </c>
      <c r="AK269" s="453" t="str">
        <f>IF(AI269="","",AL269+AM269)</f>
        <v/>
      </c>
      <c r="AL269" s="453" t="str">
        <f>IF(D269="","",IF(AI269=2,(('Calc (ex-animal)'!$G$52*'DB additional information '!$K$11/100*(1-VLOOKUP(D269,'DB technologies'!$N$122:$Y$133,9,FALSE)/100)*'Calc (ex-housing, ex-storage)'!F269/100+'Calc (ex-animal)'!$H$52*'DB additional information '!$L$11/100*(1-VLOOKUP(D269,'DB technologies'!$N$122:$Y$133,9,FALSE)/100)*'Calc (ex-housing, ex-storage)'!F269/100))/VLOOKUP($C$269,'DB animal categories'!$C$91:$AC$100,27,FALSE)*AJ269+I269+J269+K269,IF(AI269=1,('Calc (ex-animal)'!$H$52*'DB additional information '!$L$11/100*(1-VLOOKUP(D269,'DB technologies'!$N$122:$Y$133,9,FALSE)/100)*'Calc (ex-housing, ex-storage)'!F269/100)/VLOOKUP($C$269,'DB animal categories'!$C$91:$AC$100,27,FALSE)*AJ269,IF(AI269=4,('Calc (ex-animal)'!$G$52*'DB additional information '!$K$11/100+'Calc (ex-animal)'!$H$52*'DB additional information '!$L$11/100)*(1-VLOOKUP(D269,'DB technologies'!$N$122:$Y$133,9,FALSE)/100)*'Calc (ex-housing, ex-storage)'!F269/100*VLOOKUP(D269,'DB technologies'!$N$122:$Y$133,11,FALSE)/100/VLOOKUP($C$269,'DB animal categories'!$C$91:$AC$100,27,FALSE)*AJ269,0))))</f>
        <v/>
      </c>
      <c r="AM269" s="453" t="str">
        <f>IF(D269="","",IF(AI269=2,(('Calc (ex-animal)'!$G$52*(1-'DB additional information '!$K$11/100)*(1-VLOOKUP(D269,'DB technologies'!$N$122:$Y$133,8,FALSE)/100)*'Calc (ex-housing, ex-storage)'!F269/100+'Calc (ex-animal)'!$H$52*(1-'DB additional information '!$L$11/100)*(1-VLOOKUP(D269,'DB technologies'!$N$122:$Y$133,8,FALSE)/100)*'Calc (ex-housing, ex-storage)'!F269/100))/VLOOKUP($C$269,'DB animal categories'!$C$91:$AC$100,27,FALSE)*AJ269+M269+N269+O269,IF(AI269=1,('Calc (ex-animal)'!$H$52*(1-'DB additional information '!$L$11/100)*(1-VLOOKUP(D269,'DB technologies'!$N$122:$Y$133,8,FALSE)/100)*'Calc (ex-housing, ex-storage)'!F269/100)/VLOOKUP($C$269,'DB animal categories'!$C$91:$AC$100,27,FALSE)*AJ269,IF(AI269=4,('Calc (ex-animal)'!$G$52*(1-'DB additional information '!$K$11/100)+'Calc (ex-animal)'!$H$52*(1-'DB additional information '!$L$11/100))*(1-VLOOKUP(D269,'DB technologies'!$N$122:$Y$133,8,FALSE)/100)*'Calc (ex-housing, ex-storage)'!F269/100*VLOOKUP(D269,'DB technologies'!$N$122:$Y$133,11,FALSE)/100/VLOOKUP($C$269,'DB animal categories'!$C$91:$AC$100,27,FALSE)*AJ269,0))))</f>
        <v/>
      </c>
      <c r="AN269" s="453" t="str">
        <f>IF(AI269="","",IF(AL269=0,0,AL269/AK269*100))</f>
        <v/>
      </c>
      <c r="AO269" s="180" t="str">
        <f>IF(D269="","",IF(AI269=2,(('Calc (ex-animal)'!$L$52*'Calc (ex-housing, ex-storage)'!F269/100+'Calc (ex-animal)'!$K$52*'Calc (ex-housing, ex-storage)'!F269/100))/VLOOKUP($C$269,'DB animal categories'!$C$91:$AC$100,27,FALSE)*AJ269+Q269+R269+S269-AC269,IF(AI269=1,('Calc (ex-animal)'!$L$52*'Calc (ex-housing, ex-storage)'!F269/100)/VLOOKUP($C$269,'DB animal categories'!$C$91:$AC$100,27,FALSE)*AJ269-'Calc (ex-housing, ex-storage)'!AC269,IF(AI269=4,('Calc (ex-animal)'!$L$52+'Calc (ex-animal)'!$K$52)*'Calc (ex-housing, ex-storage)'!F269/100*VLOOKUP(D269,'DB technologies'!$N$122:$Y$133,11,FALSE)/100/VLOOKUP($C$269,'DB animal categories'!$C$91:$AC$100,27,FALSE)*AJ269-AC269*VLOOKUP(D269,'DB technologies'!$N$122:$Y$133,11,FALSE)/100,0))))</f>
        <v/>
      </c>
      <c r="AP269" s="180" t="str">
        <f>IF(D269="","",IF(AO269&lt;-0.01,0,IF(AI269=2,(('Calc (ex-animal)'!$L$52*'Calc (ex-housing, ex-storage)'!F269/100+'Calc (ex-animal)'!$K$52*'Calc (ex-housing, ex-storage)'!F269/100))/VLOOKUP($C$269,'DB animal categories'!$C$91:$AC$100,27,FALSE)*AJ269+Q269+R269+S269-AC269,IF(AI269=1,('Calc (ex-animal)'!$L$52*'Calc (ex-housing, ex-storage)'!F269/100)/VLOOKUP($C$269,'DB animal categories'!$C$91:$AC$100,27,FALSE)*AJ269-'Calc (ex-housing, ex-storage)'!AC269,IF(AI269=4,('Calc (ex-animal)'!$L$52+'Calc (ex-animal)'!$K$52)*'Calc (ex-housing, ex-storage)'!F269/100*VLOOKUP(D269,'DB technologies'!$N$122:$Y$133,11,FALSE)/100/VLOOKUP($C$269,'DB animal categories'!$C$91:$AC$100,27,FALSE)*AJ269-AC269*VLOOKUP(D269,'DB technologies'!$N$122:$Y$133,11,FALSE)/100,0)))))</f>
        <v/>
      </c>
      <c r="AQ269" s="180" t="str">
        <f>IF(D269="","",IF(AI269=2,('Calc (ex-animal)'!$O$52*'Calc (ex-housing, ex-storage)'!F269/100+'Calc (ex-animal)'!$N$52*'Calc (ex-housing, ex-storage)'!F269/100)/VLOOKUP($C$269,'DB animal categories'!$C$91:$AC$100,27,FALSE)*AJ269+U269+V269+W269,IF(AI269=1,'Calc (ex-animal)'!$O$52*'Calc (ex-housing, ex-storage)'!F269/100/VLOOKUP($C$269,'DB animal categories'!$C$91:$AC$100,27,FALSE)*AJ269,IF(AI269=4,('Calc (ex-animal)'!$O$52+'Calc (ex-animal)'!$N$52)*'Calc (ex-housing, ex-storage)'!F269/100*VLOOKUP(D269,'DB technologies'!$N$122:$Y$133,11,FALSE)/100/VLOOKUP($C$269,'DB animal categories'!$C$91:$AC$100,27,FALSE)*AJ269,0))))</f>
        <v/>
      </c>
      <c r="AR269" s="180" t="str">
        <f>IF(D269="","",IF(AI269=2,('Calc (ex-animal)'!$R$52*'Calc (ex-housing, ex-storage)'!F269/100+'Calc (ex-animal)'!$Q$52*'Calc (ex-housing, ex-storage)'!F269/100)/VLOOKUP($C$269,'DB animal categories'!$C$91:$AC$100,27,FALSE)*AJ269+Y269+Z269+AA269,IF(AI269=1,'Calc (ex-animal)'!$R$52*'Calc (ex-housing, ex-storage)'!F269/100/VLOOKUP($C$269,'DB animal categories'!$C$91:$AC$100,27,FALSE)*AJ269,IF(AI269=4,('Calc (ex-animal)'!$R$52+'Calc (ex-animal)'!$Q$52)*'Calc (ex-housing, ex-storage)'!F269/100*VLOOKUP(D269,'DB technologies'!$N$122:$Y$133,11,FALSE)/100/VLOOKUP($C$269,'DB animal categories'!$C$91:$AC$100,27,FALSE)*AJ269,0))))</f>
        <v/>
      </c>
      <c r="AS269" s="179" t="str">
        <f>IF(D269="","",VLOOKUP(D269,'DB technologies'!$N$122:$Y$133,10,FALSE))</f>
        <v/>
      </c>
      <c r="AT269" s="453" t="str">
        <f>IF(AS269="","",AU269+AV269)</f>
        <v/>
      </c>
      <c r="AU269" s="453" t="str">
        <f>IF(D269="","",IF(AS269=2,0,IF(AS269=1,'Calc (ex-animal)'!$G$52*'DB additional information '!$K$11/100*(1-VLOOKUP(D269,'DB technologies'!$N$122:$Y$133,8,FALSE)/100)*'Calc (ex-housing, ex-storage)'!F269/100/VLOOKUP($C$269,'DB animal categories'!$C$91:$AC$100,27,FALSE)*AJ269+I269+J269+K269,IF(AS269=5,(('Calc (ex-animal)'!$G$52*'DB additional information '!$K$11/100+'Calc (ex-animal)'!$H$52*'DB additional information '!$L$11/100))*(1-VLOOKUP(D269,'DB technologies'!$N$122:$Y$133,9,FALSE)/100)*'Calc (ex-housing, ex-storage)'!F269/100/VLOOKUP($C$269,'DB animal categories'!$C$91:$AC$100,27,FALSE)*AJ269+I269+J269+K269,IF(AS269=3,('Calc (ex-animal)'!$G$52*'DB additional information '!$K$11/100+'Calc (ex-animal)'!$H$52*'DB additional information '!$L$11/100)*(1-VLOOKUP(D269,'DB technologies'!$N$122:$Y$133,9,FALSE)/100)*'Calc (ex-housing, ex-storage)'!F269/100/VLOOKUP($C$269,'DB animal categories'!$C$91:$AC$100,27,FALSE)*AJ269+I269+J269+K269,IF(AS269=4,('Calc (ex-animal)'!$G$52*'DB additional information '!$K$11/100+'Calc (ex-animal)'!$H$52*'DB additional information '!$L$11/100)*(1-VLOOKUP(D269,'DB technologies'!$N$122:$Y$133,9,FALSE)/100)*'Calc (ex-housing, ex-storage)'!F269/100*VLOOKUP(D269,'DB technologies'!$N$122:$Y$133,12,FALSE)/100/VLOOKUP($C$269,'DB animal categories'!$C$91:$AC$100,27,FALSE)*AJ269+I269+J269+K269,0))))))</f>
        <v/>
      </c>
      <c r="AV269" s="453" t="str">
        <f>IF(D269="","",IF(AS269=2,0,IF(AS269=1,'Calc (ex-animal)'!$G$52*(1-'DB additional information '!$K$11/100)*(1-VLOOKUP(D269,'DB technologies'!$N$122:$Y$133,8,FALSE)/100)*'Calc (ex-housing, ex-storage)'!F269/100/VLOOKUP($C$269,'DB animal categories'!$C$91:$AC$100,27,FALSE)*AJ269+M269+N269+O269,IF(AS269=5,('Calc (ex-animal)'!$G$52*(1-'DB additional information '!$K$11/100)+'Calc (ex-animal)'!$H$52*(1-'DB additional information '!$L$11/100))*(1-VLOOKUP(D269,'DB technologies'!$N$122:$Y$133,8,FALSE)/100)*'Calc (ex-housing, ex-storage)'!F269/100/VLOOKUP($C$269,'DB animal categories'!$C$91:$AC$100,27,FALSE)*AJ269+M269+N269+O269,IF(AS269=3,('Calc (ex-animal)'!$G$52*(1-'DB additional information '!$K$11/100)+'Calc (ex-animal)'!$H$52*(1-'DB additional information '!$L$11/100))*(1-VLOOKUP(D269,'DB technologies'!$N$122:$Y$133,8,FALSE)/100)*'Calc (ex-housing, ex-storage)'!F269/100/VLOOKUP($C$269,'DB animal categories'!$C$91:$AC$100,27,FALSE)*AJ269+M269+N269+O269,IF(AS269=4,('Calc (ex-animal)'!$G$52*(1-'DB additional information '!$K$11/100)+'Calc (ex-animal)'!$H$52*(1-'DB additional information '!$L$11/100))*(1-VLOOKUP(D269,'DB technologies'!$N$122:$Y$133,8,FALSE)/100)*'Calc (ex-housing, ex-storage)'!F269/100*VLOOKUP(D269,'DB technologies'!$N$122:$Y$133,12,FALSE)/100/VLOOKUP($C$269,'DB animal categories'!$C$91:$AC$100,27,FALSE)*AJ269+M269+N269+O269,0))))))</f>
        <v/>
      </c>
      <c r="AW269" s="453" t="str">
        <f>IF(AS269="","",IF(AU269=0,0,AU269/AT269*100))</f>
        <v/>
      </c>
      <c r="AX269" s="180" t="str">
        <f>IF(D269="","",IF(AS269=2,0,IF(AS269=1,'Calc (ex-animal)'!$K$52*'Calc (ex-housing, ex-storage)'!F269/100/VLOOKUP($C$269,'DB animal categories'!$C$91:$AC$100,27,FALSE)*AJ269+Q269+R269+S269,IF(AS269=5,('Calc (ex-animal)'!$K$52+'Calc (ex-animal)'!$L$52)*'Calc (ex-housing, ex-storage)'!F269/100/VLOOKUP($C$269,'DB animal categories'!$C$91:$AC$100,27,FALSE)*AJ269+Q269+R269+S269-'Calc (ex-housing, ex-storage)'!AC269,IF(AS269=3,('Calc (ex-animal)'!$K$52+'Calc (ex-animal)'!$L$52)*'Calc (ex-housing, ex-storage)'!F269/100/VLOOKUP($C$269,'DB animal categories'!$C$91:$AC$100,27,FALSE)*AJ269+Q269+R269+S269-'Calc (ex-housing, ex-storage)'!AC269-AD269-AE269,IF(AI269=4,('Calc (ex-animal)'!$K$52+'Calc (ex-animal)'!$L$52)*'Calc (ex-housing, ex-storage)'!F269/100*VLOOKUP(D269,'DB technologies'!$N$122:$Y$133,12,FALSE)/100/VLOOKUP($C$269,'DB animal categories'!$C$91:$AC$100,27,FALSE)*AJ269+Q269+R269+S269-(VLOOKUP(D269,'DB technologies'!$N$122:$Y$133,12,FALSE)/100*AC269)-AD269-AE269,0))))))</f>
        <v/>
      </c>
      <c r="AY269" s="180" t="str">
        <f>IF(D269="","",IF(AS269=2,0,IF(AS269=1,'Calc (ex-animal)'!$N$52*'Calc (ex-housing, ex-storage)'!F269/100/VLOOKUP($C$269,'DB animal categories'!$C$91:$AC$100,27,FALSE)*AJ269+U269+V269+W269,IF(AS269=5,('Calc (ex-animal)'!$N$52+'Calc (ex-animal)'!$O$52)*'Calc (ex-housing, ex-storage)'!F269/100/VLOOKUP($C$269,'DB animal categories'!$C$91:$AC$100,27,FALSE)*AJ269+U269+V269+W269,IF(AS269=3,('Calc (ex-animal)'!$N$52+'Calc (ex-animal)'!$O$52)*'Calc (ex-housing, ex-storage)'!F269/100/VLOOKUP($C$269,'DB animal categories'!$C$91:$AC$100,27,FALSE)*AJ269+U269+V269+W269,IF(AS269=4,('Calc (ex-animal)'!$N$52+'Calc (ex-animal)'!$O$52)*'Calc (ex-housing, ex-storage)'!F269/100*VLOOKUP(D269,'DB technologies'!$N$122:$Y$133,12,FALSE)/100/VLOOKUP($C$269,'DB animal categories'!$C$91:$AC$100,27,FALSE)*AJ269+U269+V269+W269,0))))))</f>
        <v/>
      </c>
      <c r="AZ269" s="180" t="str">
        <f>IF(D269="","",IF(AS269=2,0,IF(AS269=1,'Calc (ex-animal)'!$Q$52*'Calc (ex-housing, ex-storage)'!F269/100/VLOOKUP($C$269,'DB animal categories'!$C$91:$AC$100,27,FALSE)*AJ269+Y269+Z269+AA269,IF(AS269=5,('Calc (ex-animal)'!$Q$52+'Calc (ex-animal)'!$R$52)*'Calc (ex-housing, ex-storage)'!F269/100/VLOOKUP($C$269,'DB animal categories'!$C$91:$AC$100,27,FALSE)*AJ269+Y269+Z269+AA269,IF(AS269=3,('Calc (ex-animal)'!$Q$52+'Calc (ex-animal)'!$R$52)*'Calc (ex-housing, ex-storage)'!F269/100/VLOOKUP($C$269,'DB animal categories'!$C$91:$AC$100,27,FALSE)*AJ269+Y269+Z269+AA269,IF(AS269=4,('Calc (ex-animal)'!$Q$52+'Calc (ex-animal)'!$R$52)*'Calc (ex-housing, ex-storage)'!F269/100*VLOOKUP(D269,'DB technologies'!$N$122:$Y$133,12,FALSE)/100/VLOOKUP($C$269,'DB animal categories'!$C$91:$AC$100,27,FALSE)*AJ269+Y269+Z269+AA269,0))))))</f>
        <v/>
      </c>
      <c r="BA269" s="506"/>
      <c r="BB269" s="506"/>
      <c r="BC269" s="506"/>
    </row>
    <row r="270" spans="1:55" x14ac:dyDescent="0.2">
      <c r="A270" s="684"/>
      <c r="B270" s="695"/>
      <c r="C270" s="251"/>
      <c r="D270" s="1357"/>
      <c r="E270" s="1358"/>
      <c r="F270" s="501" t="str">
        <f>IF('Calc (ex-animal)'!$F$38=1,"",IF($C$269=0,"",IF(D270="","",E270/'Calc (ex-animal)'!$E$52*100)))</f>
        <v/>
      </c>
      <c r="G270" s="485" t="str">
        <f>IF($C$269=0,"",IF('Calc (ex-animal)'!$F$38=1,"",IF(D270="","",SUM(H270:O270))))</f>
        <v/>
      </c>
      <c r="H270" s="423" t="str">
        <f>IF('Calc (ex-animal)'!$F$38=1,"",IF(D270="","",(((VLOOKUP($C$269,'Calc (ex-animal)'!$D$48:$Y$52,6,FALSE)-VLOOKUP($C$269,'Calc (ex-animal)'!$D$48:$Y$52,17,FALSE))*F270/100))*VLOOKUP($C$269,'Calc (ex-animal)'!$D$48:$Y$52,7,FALSE)/100*(1-VLOOKUP(D270,'DB technologies'!$N$122:$Y$133,9,FALSE)/100)))</f>
        <v/>
      </c>
      <c r="I270" s="423" t="str">
        <f>IF(D270="","",((VLOOKUP(D270,'DB technologies'!$N$122:$Y$133,2,FALSE)*VLOOKUP($C$269,'DB animal categories'!$C$91:$AC$100,27,FALSE)*E270/1000)/VLOOKUP($C$269,'DB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'!$S$6/100*(1-VLOOKUP(D270,'DB technologies'!$N$122:$Y$133,9,FALSE)/100)))</f>
        <v/>
      </c>
      <c r="J270" s="434" t="str">
        <f>IF(D270="","",((VLOOKUP(D270,'DB technologies'!$N$122:$Y$133,3,FALSE)*VLOOKUP($C$269,'DB animal categories'!$C$91:$AC$100,27,FALSE)*E270/1000)/VLOOKUP($C$269,'DB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'!$S$7/100*(1-VLOOKUP(D270,'DB technologies'!$N$122:$Y$133,9,FALSE)/100)))</f>
        <v/>
      </c>
      <c r="K270" s="434" t="str">
        <f>IF(D270="","",((VLOOKUP(D270,'DB technologies'!$N$122:$Y$133,4,FALSE)*E270*'DB additional information '!$S$8/100*(1-VLOOKUP(D270,'DB technologies'!$N$122:$Y$133,9,FALSE)/100))/VLOOKUP($C$269,'DB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L270" s="423" t="str">
        <f>IF('Calc (ex-animal)'!$F$38=1,"",IF(D270="","",(((VLOOKUP($C$269,'Calc (ex-animal)'!$D$48:$Y$52,6,FALSE)-VLOOKUP($C$269,'Calc (ex-animal)'!$D$48:$Y$52,17,FALSE))*F270/100))*(1-VLOOKUP($C$269,'Calc (ex-animal)'!$D$48:$Y$52,7,FALSE)/100)*(1-VLOOKUP(D270,'DB technologies'!$N$122:$V$133,8,FALSE)/100)))</f>
        <v/>
      </c>
      <c r="M270" s="434" t="str">
        <f>IF(D270="","",((VLOOKUP(D270,'DB technologies'!$N$122:$Y$133,2,FALSE)*VLOOKUP($C$269,'DB animal categories'!$C$91:$AC$100,27,FALSE)*E270/1000)/VLOOKUP($C$269,'DB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'!$S$6/100)*(1-VLOOKUP(D270,'DB technologies'!$N$122:$Y$133,9,FALSE)/100))</f>
        <v/>
      </c>
      <c r="N270" s="434" t="str">
        <f>IF(D270="","",((VLOOKUP(D270,'DB technologies'!$N$122:$Y$133,3,FALSE)*VLOOKUP($C$269,'DB animal categories'!$C$91:$AC$100,27,FALSE)*E270/1000)/VLOOKUP($C$269,'DB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'!$S$7/100)*(1-VLOOKUP(D270,'DB technologies'!$N$122:$Y$133,9,FALSE)/100))</f>
        <v/>
      </c>
      <c r="O270" s="423" t="str">
        <f>IF(D270="","",((VLOOKUP(D270,'DB technologies'!$N$122:$Y$133,4,FALSE)*E270*(1-'DB additional information '!$S$8/100)*(1-VLOOKUP(D270,'DB technologies'!$N$122:$Y$133,8,FALSE)/100))/VLOOKUP($C$269,'DB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P270" s="438" t="str">
        <f>IF(G270=0,0,IF(E270="","",IF(F270="","",IF($C$269=0,"",IF(D270="","",SUM(H270:K270)/G270*100)))))</f>
        <v/>
      </c>
      <c r="Q270" s="416" t="str">
        <f>IF(D270="","",(VLOOKUP(D270,'DB technologies'!$N$122:$Y$133,2,FALSE)*'DB additional information '!$S$6/100*'DB additional information '!$T$6*VLOOKUP($C$269,'DB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R270" s="416" t="str">
        <f>IF(D270="","",(VLOOKUP(D270,'DB technologies'!$N$122:$Y$133,3,FALSE)*'DB additional information '!$S$7/100*'DB additional information '!$T$7*VLOOKUP($C$269,'DB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S270" s="491" t="str">
        <f>IF(D270="","",(VLOOKUP(D270,'DB technologies'!$N$122:$Y$133,4,FALSE)*('DB additional information '!$S$8/100*'DB additional information '!$T$8*E270/1000/1000)))</f>
        <v/>
      </c>
      <c r="T270" s="261" t="str">
        <f>IF($C$269=0,"",IF('Calc (ex-animal)'!$F$38=1,"",IF(D270="","",((VLOOKUP($C$269,'Calc (ex-animal)'!$D$48:$Y$52,10,FALSE)-VLOOKUP($C$269,'Calc (ex-animal)'!$D$48:$Y$52,18,FALSE))*F270/100+Q270+R270+S270)-AC270-AD270-AE270)))</f>
        <v/>
      </c>
      <c r="U270" s="422" t="str">
        <f>IF(D270="","",(VLOOKUP(D270,'DB technologies'!$N$122:$Y$133,2,FALSE)*'DB additional information '!$S$6/100*'DB additional information '!$U$6*VLOOKUP($C$269,'DB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V270" s="418" t="str">
        <f>IF(D270="","",(VLOOKUP(D270,'DB technologies'!$N$122:$Y$133,3,FALSE)*'DB additional information '!$S$7/100*'DB additional information '!$U$7*VLOOKUP($C$269,'DB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W270" s="417" t="str">
        <f>IF(D270="","",(VLOOKUP(D270,'DB technologies'!$N$122:$Y$133,4,FALSE)*('DB additional information '!$S$8/100*'DB additional information '!$U$8*E270/1000/1000)))</f>
        <v/>
      </c>
      <c r="X270" s="261" t="str">
        <f>IF($C$269=0,"",IF('Calc (ex-animal)'!$F$38=1,"",IF(D270="","",((VLOOKUP($C$269,'Calc (ex-animal)'!$D$48:$Y$52,13,FALSE)-VLOOKUP($C$269,'Calc (ex-animal)'!$D$48:$Y$52,19,FALSE))*F270/100+U270+V270+W270))))</f>
        <v/>
      </c>
      <c r="Y270" s="418" t="str">
        <f>IF(D270="","",(VLOOKUP(D270,'DB technologies'!$N$122:$Y$133,2,FALSE)*'DB additional information '!$S$6/100*'DB additional information '!$V$6*VLOOKUP($C$269,'DB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Z270" s="418" t="str">
        <f>IF(D270="","",(VLOOKUP(D270,'DB technologies'!$N$122:$Y$133,3,FALSE)*'DB additional information '!$S$7/100*'DB additional information '!$V$7*VLOOKUP($C$269,'DB animal categories'!$C$91:$AC$100,27,FALSE)*E270/1000/1000)/VLOOKUP($C$269,'DB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AA270" s="418" t="str">
        <f>IF(D270="","",(VLOOKUP(D270,'DB technologies'!$N$122:$Y$133,4,FALSE)*('DB additional information '!$S$8/100*'DB additional information '!$V$8*E270/1000/1000)))</f>
        <v/>
      </c>
      <c r="AB270" s="261" t="str">
        <f>IF($C$269=0,"",IF('Calc (ex-animal)'!$F$38=1,"",IF(D270="","",((VLOOKUP($C$269,'Calc (ex-animal)'!$D$48:$Y$52,16,FALSE)-VLOOKUP($C$269,'Calc (ex-animal)'!$D$48:$Y$52,20,FALSE))*F270/100+Y270+Z270+AA270))))</f>
        <v/>
      </c>
      <c r="AC270" s="261" t="str">
        <f>IF($C$269=0,"",IF('Calc (ex-animal)'!$F$38=1,"",IF(D270="","",VLOOKUP($C$269,'Calc (ex-animal)'!$D$48:$Y$52,9,FALSE)/VLOOKUP($C$269,'DB animal categories'!$C$91:$AC$100,27,FALSE)*(VLOOKUP($C$269,'DB animal categories'!$C$91:$AC$100,27,FALSE)-VLOOKUP($C$269,'DB animal categories'!$C$91:$AC$100,25,FALSE)*VLOOKUP($C$269,'DB animal categories'!$C$91:$AC$100,26,FALSE)/24)*F270/100*VLOOKUP(D270,'DB technologies'!$N$122:$R$133,5,FALSE)/100)))</f>
        <v/>
      </c>
      <c r="AD270" s="261" t="str">
        <f>IF($C$269=0,"",IF('Calc (ex-animal)'!$F$38=1,"",IF(D270="","",VLOOKUP($C$269,'Calc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categories'!$C$91:$AC$100,26,FALSE)/24)*F270/100*VLOOKUP(D270,'DB technologies'!$N$122:$Y$133,6,FALSE)/100)))</f>
        <v/>
      </c>
      <c r="AE270" s="262" t="str">
        <f>IF($C$269=0,"",IF('Calc (ex-animal)'!$F$38=1,"",IF(D270="","",VLOOKUP($C$269,'Calc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categories'!$C$91:$AC$100,26,FALSE)/24)*F270/100*VLOOKUP(D270,'DB technologies'!$N$122:$Y$133,7,FALSE)/100)))</f>
        <v/>
      </c>
      <c r="AI270" s="181" t="str">
        <f>IF(D270="","",VLOOKUP(D270,'DB technologies'!$N$122:$Y$133,10,FALSE))</f>
        <v/>
      </c>
      <c r="AJ270" s="449" t="e">
        <f>VLOOKUP($C$269,'DB animal categories'!$C$91:$AN$100,27,FALSE)-VLOOKUP($C$269,'DB animal categories'!$C$91:$AN$100,26,FALSE)*VLOOKUP($C$269,'DB animal categories'!$C$91:$AN$100,25,FALSE)/24</f>
        <v>#N/A</v>
      </c>
      <c r="AK270" s="442" t="str">
        <f>IF(AI270="","",AL270+AM270)</f>
        <v/>
      </c>
      <c r="AL270" s="442" t="str">
        <f>IF(D270="","",IF(AI270=2,(('Calc (ex-animal)'!$G$52*'DB additional information '!$K$11/100*(1-VLOOKUP(D270,'DB technologies'!$N$122:$Y$133,9,FALSE)/100)*'Calc (ex-housing, ex-storage)'!F270/100+'Calc (ex-animal)'!$H$52*'DB additional information '!$L$11/100*(1-VLOOKUP(D270,'DB technologies'!$N$122:$Y$133,9,FALSE)/100)*'Calc (ex-housing, ex-storage)'!F270/100))/VLOOKUP($C$269,'DB animal categories'!$C$91:$AC$100,27,FALSE)*AJ270+I270+J270+K270,IF(AI270=1,('Calc (ex-animal)'!$H$52*'DB additional information '!$L$11/100*(1-VLOOKUP(D270,'DB technologies'!$N$122:$Y$133,9,FALSE)/100)*'Calc (ex-housing, ex-storage)'!F270/100)/VLOOKUP($C$269,'DB animal categories'!$C$91:$AC$100,27,FALSE)*AJ270,IF(AI270=4,('Calc (ex-animal)'!$G$52*'DB additional information '!$K$11/100+'Calc (ex-animal)'!$H$52*'DB additional information '!$L$11/100)*(1-VLOOKUP(D270,'DB technologies'!$N$122:$Y$133,9,FALSE)/100)*'Calc (ex-housing, ex-storage)'!F270/100*VLOOKUP(D270,'DB technologies'!$N$122:$Y$133,11,FALSE)/100/VLOOKUP($C$269,'DB animal categories'!$C$91:$AC$100,27,FALSE)*AJ270,0))))</f>
        <v/>
      </c>
      <c r="AM270" s="442" t="str">
        <f>IF(D270="","",IF(AI270=2,(('Calc (ex-animal)'!$G$52*(1-'DB additional information '!$K$11/100)*(1-VLOOKUP(D270,'DB technologies'!$N$122:$Y$133,8,FALSE)/100)*'Calc (ex-housing, ex-storage)'!F270/100+'Calc (ex-animal)'!$H$52*(1-'DB additional information '!$L$11/100)*(1-VLOOKUP(D270,'DB technologies'!$N$122:$Y$133,8,FALSE)/100)*'Calc (ex-housing, ex-storage)'!F270/100))/VLOOKUP($C$269,'DB animal categories'!$C$91:$AC$100,27,FALSE)*AJ270+M270+N270+O270,IF(AI270=1,('Calc (ex-animal)'!$H$52*(1-'DB additional information '!$L$11/100)*(1-VLOOKUP(D270,'DB technologies'!$N$122:$Y$133,8,FALSE)/100)*'Calc (ex-housing, ex-storage)'!F270/100)/VLOOKUP($C$269,'DB animal categories'!$C$91:$AC$100,27,FALSE)*AJ270,IF(AI270=4,('Calc (ex-animal)'!$G$52*(1-'DB additional information '!$K$11/100)+'Calc (ex-animal)'!$H$52*(1-'DB additional information '!$L$11/100))*(1-VLOOKUP(D270,'DB technologies'!$N$122:$Y$133,8,FALSE)/100)*'Calc (ex-housing, ex-storage)'!F270/100*VLOOKUP(D270,'DB technologies'!$N$122:$Y$133,11,FALSE)/100/VLOOKUP($C$269,'DB animal categories'!$C$91:$AC$100,27,FALSE)*AJ270,0))))</f>
        <v/>
      </c>
      <c r="AN270" s="442" t="str">
        <f>IF(AI270="","",IF(AL270=0,0,AL270/AK270*100))</f>
        <v/>
      </c>
      <c r="AO270" s="182" t="str">
        <f>IF(D270="","",IF(AI270=2,(('Calc (ex-animal)'!$L$52*'Calc (ex-housing, ex-storage)'!F270/100+'Calc (ex-animal)'!$K$52*'Calc (ex-housing, ex-storage)'!F270/100))/VLOOKUP($C$269,'DB animal categories'!$C$91:$AC$100,27,FALSE)*AJ270+Q270+R270+S270-AC270,IF(AI270=1,('Calc (ex-animal)'!$L$52*'Calc (ex-housing, ex-storage)'!F270/100)/VLOOKUP($C$269,'DB animal categories'!$C$91:$AC$100,27,FALSE)*AJ270-'Calc (ex-housing, ex-storage)'!AC270,IF(AI270=4,('Calc (ex-animal)'!$L$52+'Calc (ex-animal)'!$K$52)*'Calc (ex-housing, ex-storage)'!F270/100*VLOOKUP(D270,'DB technologies'!$N$122:$Y$133,11,FALSE)/100/VLOOKUP($C$269,'DB animal categories'!$C$91:$AC$100,27,FALSE)*AJ270-AC270*VLOOKUP(D270,'DB technologies'!$N$122:$Y$133,11,FALSE)/100,0))))</f>
        <v/>
      </c>
      <c r="AP270" s="182" t="str">
        <f>IF(D270="","",IF(AO270&lt;-0.01,0,IF(AI270=2,(('Calc (ex-animal)'!$L$52*'Calc (ex-housing, ex-storage)'!F270/100+'Calc (ex-animal)'!$K$52*'Calc (ex-housing, ex-storage)'!F270/100))/VLOOKUP($C$269,'DB animal categories'!$C$91:$AC$100,27,FALSE)*AJ270+Q270+R270+S270-AC270,IF(AI270=1,('Calc (ex-animal)'!$L$52*'Calc (ex-housing, ex-storage)'!F270/100)/VLOOKUP($C$269,'DB animal categories'!$C$91:$AC$100,27,FALSE)*AJ270-'Calc (ex-housing, ex-storage)'!AC270,IF(AI270=4,('Calc (ex-animal)'!$L$52+'Calc (ex-animal)'!$K$52)*'Calc (ex-housing, ex-storage)'!F270/100*VLOOKUP(D270,'DB technologies'!$N$122:$Y$133,11,FALSE)/100/VLOOKUP($C$269,'DB animal categories'!$C$91:$AC$100,27,FALSE)*AJ270-AC270*VLOOKUP(D270,'DB technologies'!$N$122:$Y$133,11,FALSE)/100,0)))))</f>
        <v/>
      </c>
      <c r="AQ270" s="182" t="str">
        <f>IF(D270="","",IF(AI270=2,('Calc (ex-animal)'!$O$52*'Calc (ex-housing, ex-storage)'!F270/100+'Calc (ex-animal)'!$N$52*'Calc (ex-housing, ex-storage)'!F270/100)/VLOOKUP($C$269,'DB animal categories'!$C$91:$AC$100,27,FALSE)*AJ270+U270+V270+W270,IF(AI270=1,'Calc (ex-animal)'!$O$52*'Calc (ex-housing, ex-storage)'!F270/100/VLOOKUP($C$269,'DB animal categories'!$C$91:$AC$100,27,FALSE)*AJ270,IF(AI270=4,('Calc (ex-animal)'!$O$52+'Calc (ex-animal)'!$N$52)*'Calc (ex-housing, ex-storage)'!F270/100*VLOOKUP(D270,'DB technologies'!$N$122:$Y$133,11,FALSE)/100/VLOOKUP($C$269,'DB animal categories'!$C$91:$AC$100,27,FALSE)*AJ270,0))))</f>
        <v/>
      </c>
      <c r="AR270" s="182" t="str">
        <f>IF(D270="","",IF(AI270=2,('Calc (ex-animal)'!$R$52*'Calc (ex-housing, ex-storage)'!F270/100+'Calc (ex-animal)'!$Q$52*'Calc (ex-housing, ex-storage)'!F270/100)/VLOOKUP($C$269,'DB animal categories'!$C$91:$AC$100,27,FALSE)*AJ270+Y270+Z270+AA270,IF(AI270=1,'Calc (ex-animal)'!$R$52*'Calc (ex-housing, ex-storage)'!F270/100/VLOOKUP($C$269,'DB animal categories'!$C$91:$AC$100,27,FALSE)*AJ270,IF(AI270=4,('Calc (ex-animal)'!$R$52+'Calc (ex-animal)'!$Q$52)*'Calc (ex-housing, ex-storage)'!F270/100*VLOOKUP(D270,'DB technologies'!$N$122:$Y$133,11,FALSE)/100/VLOOKUP($C$269,'DB animal categories'!$C$91:$AC$100,27,FALSE)*AJ270,0))))</f>
        <v/>
      </c>
      <c r="AS270" s="181" t="str">
        <f>IF(D270="","",VLOOKUP(D270,'DB technologies'!$N$122:$Y$133,10,FALSE))</f>
        <v/>
      </c>
      <c r="AT270" s="442" t="str">
        <f>IF(AS270="","",AU270+AV270)</f>
        <v/>
      </c>
      <c r="AU270" s="442" t="str">
        <f>IF(D270="","",IF(AS270=2,0,IF(AS270=1,'Calc (ex-animal)'!$G$52*'DB additional information '!$K$11/100*(1-VLOOKUP(D270,'DB technologies'!$N$122:$Y$133,8,FALSE)/100)*'Calc (ex-housing, ex-storage)'!F270/100/VLOOKUP($C$269,'DB animal categories'!$C$91:$AC$100,27,FALSE)*AJ270+I270+J270+K270,IF(AS270=5,(('Calc (ex-animal)'!$G$52*'DB additional information '!$K$11/100+'Calc (ex-animal)'!$H$52*'DB additional information '!$L$11/100))*(1-VLOOKUP(D270,'DB technologies'!$N$122:$Y$133,9,FALSE)/100)*'Calc (ex-housing, ex-storage)'!F270/100/VLOOKUP($C$269,'DB animal categories'!$C$91:$AC$100,27,FALSE)*AJ270+I270+J270+K270,IF(AS270=3,('Calc (ex-animal)'!$G$52*'DB additional information '!$K$11/100+'Calc (ex-animal)'!$H$52*'DB additional information '!$L$11/100)*(1-VLOOKUP(D270,'DB technologies'!$N$122:$Y$133,9,FALSE)/100)*'Calc (ex-housing, ex-storage)'!F270/100/VLOOKUP($C$269,'DB animal categories'!$C$91:$AC$100,27,FALSE)*AJ270+I270+J270+K270,IF(AS270=4,('Calc (ex-animal)'!$G$52*'DB additional information '!$K$11/100+'Calc (ex-animal)'!$H$52*'DB additional information '!$L$11/100)*(1-VLOOKUP(D270,'DB technologies'!$N$122:$Y$133,9,FALSE)/100)*'Calc (ex-housing, ex-storage)'!F270/100*VLOOKUP(D270,'DB technologies'!$N$122:$Y$133,12,FALSE)/100/VLOOKUP($C$269,'DB animal categories'!$C$91:$AC$100,27,FALSE)*AJ270+I270+J270+K270,0))))))</f>
        <v/>
      </c>
      <c r="AV270" s="442" t="str">
        <f>IF(D270="","",IF(AS270=2,0,IF(AS270=1,'Calc (ex-animal)'!$G$52*(1-'DB additional information '!$K$11/100)*(1-VLOOKUP(D270,'DB technologies'!$N$122:$Y$133,8,FALSE)/100)*'Calc (ex-housing, ex-storage)'!F270/100/VLOOKUP($C$269,'DB animal categories'!$C$91:$AC$100,27,FALSE)*AJ270+M270+N270+O270,IF(AS270=5,('Calc (ex-animal)'!$G$52*(1-'DB additional information '!$K$11/100)+'Calc (ex-animal)'!$H$52*(1-'DB additional information '!$L$11/100))*(1-VLOOKUP(D270,'DB technologies'!$N$122:$Y$133,8,FALSE)/100)*'Calc (ex-housing, ex-storage)'!F270/100/VLOOKUP($C$269,'DB animal categories'!$C$91:$AC$100,27,FALSE)*AJ270+M270+N270+O270,IF(AS270=3,('Calc (ex-animal)'!$G$52*(1-'DB additional information '!$K$11/100)+'Calc (ex-animal)'!$H$52*(1-'DB additional information '!$L$11/100))*(1-VLOOKUP(D270,'DB technologies'!$N$122:$Y$133,8,FALSE)/100)*'Calc (ex-housing, ex-storage)'!F270/100/VLOOKUP($C$269,'DB animal categories'!$C$91:$AC$100,27,FALSE)*AJ270+M270+N270+O270,IF(AS270=4,('Calc (ex-animal)'!$G$52*(1-'DB additional information '!$K$11/100)+'Calc (ex-animal)'!$H$52*(1-'DB additional information '!$L$11/100))*(1-VLOOKUP(D270,'DB technologies'!$N$122:$Y$133,8,FALSE)/100)*'Calc (ex-housing, ex-storage)'!F270/100*VLOOKUP(D270,'DB technologies'!$N$122:$Y$133,12,FALSE)/100/VLOOKUP($C$269,'DB animal categories'!$C$91:$AC$100,27,FALSE)*AJ270+M270+N270+O270,0))))))</f>
        <v/>
      </c>
      <c r="AW270" s="442" t="str">
        <f>IF(AS270="","",IF(AU270=0,0,AU270/AT270*100))</f>
        <v/>
      </c>
      <c r="AX270" s="182" t="str">
        <f>IF(D270="","",IF(AS270=2,0,IF(AS270=1,'Calc (ex-animal)'!$K$52*'Calc (ex-housing, ex-storage)'!F270/100/VLOOKUP($C$269,'DB animal categories'!$C$91:$AC$100,27,FALSE)*AJ270+Q270+R270+S270,IF(AS270=5,('Calc (ex-animal)'!$K$52+'Calc (ex-animal)'!$L$52)*'Calc (ex-housing, ex-storage)'!F270/100/VLOOKUP($C$269,'DB animal categories'!$C$91:$AC$100,27,FALSE)*AJ270+Q270+R270+S270-'Calc (ex-housing, ex-storage)'!AC270,IF(AS270=3,('Calc (ex-animal)'!$K$52+'Calc (ex-animal)'!$L$52)*'Calc (ex-housing, ex-storage)'!F270/100/VLOOKUP($C$269,'DB animal categories'!$C$91:$AC$100,27,FALSE)*AJ270+Q270+R270+S270-'Calc (ex-housing, ex-storage)'!AC270-AD270-AE270,IF(AI270=4,('Calc (ex-animal)'!$K$52+'Calc (ex-animal)'!$L$52)*'Calc (ex-housing, ex-storage)'!F270/100*VLOOKUP(D270,'DB technologies'!$N$122:$Y$133,12,FALSE)/100/VLOOKUP($C$269,'DB animal categories'!$C$91:$AC$100,27,FALSE)*AJ270+Q270+R270+S270-(VLOOKUP(D270,'DB technologies'!$N$122:$Y$133,12,FALSE)/100*AC270)-AD270-AE270,0))))))</f>
        <v/>
      </c>
      <c r="AY270" s="182" t="str">
        <f>IF(D270="","",IF(AS270=2,0,IF(AS270=1,'Calc (ex-animal)'!$N$52*'Calc (ex-housing, ex-storage)'!F270/100/VLOOKUP($C$269,'DB animal categories'!$C$91:$AC$100,27,FALSE)*AJ270+U270+V270+W270,IF(AS270=5,('Calc (ex-animal)'!$N$52+'Calc (ex-animal)'!$O$52)*'Calc (ex-housing, ex-storage)'!F270/100/VLOOKUP($C$269,'DB animal categories'!$C$91:$AC$100,27,FALSE)*AJ270+U270+V270+W270,IF(AS270=3,('Calc (ex-animal)'!$N$52+'Calc (ex-animal)'!$O$52)*'Calc (ex-housing, ex-storage)'!F270/100/VLOOKUP($C$269,'DB animal categories'!$C$91:$AC$100,27,FALSE)*AJ270+U270+V270+W270,IF(AS270=4,('Calc (ex-animal)'!$N$52+'Calc (ex-animal)'!$O$52)*'Calc (ex-housing, ex-storage)'!F270/100*VLOOKUP(D270,'DB technologies'!$N$122:$Y$133,12,FALSE)/100/VLOOKUP($C$269,'DB animal categories'!$C$91:$AC$100,27,FALSE)*AJ270+U270+V270+W270,0))))))</f>
        <v/>
      </c>
      <c r="AZ270" s="182" t="str">
        <f>IF(D270="","",IF(AS270=2,0,IF(AS270=1,'Calc (ex-animal)'!$Q$52*'Calc (ex-housing, ex-storage)'!F270/100/VLOOKUP($C$269,'DB animal categories'!$C$91:$AC$100,27,FALSE)*AJ270+Y270+Z270+AA270,IF(AS270=5,('Calc (ex-animal)'!$Q$52+'Calc (ex-animal)'!$R$52)*'Calc (ex-housing, ex-storage)'!F270/100/VLOOKUP($C$269,'DB animal categories'!$C$91:$AC$100,27,FALSE)*AJ270+Y270+Z270+AA270,IF(AS270=3,('Calc (ex-animal)'!$Q$52+'Calc (ex-animal)'!$R$52)*'Calc (ex-housing, ex-storage)'!F270/100/VLOOKUP($C$269,'DB animal categories'!$C$91:$AC$100,27,FALSE)*AJ270+Y270+Z270+AA270,IF(AS270=4,('Calc (ex-animal)'!$Q$52+'Calc (ex-animal)'!$R$52)*'Calc (ex-housing, ex-storage)'!F270/100*VLOOKUP(D270,'DB technologies'!$N$122:$Y$133,12,FALSE)/100/VLOOKUP($C$269,'DB animal categories'!$C$91:$AC$100,27,FALSE)*AJ270+Y270+Z270+AA270,0))))))</f>
        <v/>
      </c>
      <c r="BA270" s="506"/>
      <c r="BB270" s="506"/>
      <c r="BC270" s="506"/>
    </row>
    <row r="271" spans="1:55" x14ac:dyDescent="0.2">
      <c r="A271" s="684"/>
      <c r="B271" s="695"/>
      <c r="C271" s="251"/>
      <c r="D271" s="1357"/>
      <c r="E271" s="1358"/>
      <c r="F271" s="501" t="str">
        <f>IF('Calc (ex-animal)'!$F$38=1,"",IF($C$269=0,"",IF(D271="","",E271/'Calc (ex-animal)'!$E$52*100)))</f>
        <v/>
      </c>
      <c r="G271" s="485" t="str">
        <f>IF($C$269=0,"",IF('Calc (ex-animal)'!$F$38=1,"",IF(D271="","",SUM(H271:O271))))</f>
        <v/>
      </c>
      <c r="H271" s="423" t="str">
        <f>IF('Calc (ex-animal)'!$F$38=1,"",IF(D271="","",(((VLOOKUP($C$269,'Calc (ex-animal)'!$D$48:$Y$52,6,FALSE)-VLOOKUP($C$269,'Calc (ex-animal)'!$D$48:$Y$52,17,FALSE))*F271/100))*VLOOKUP($C$269,'Calc (ex-animal)'!$D$48:$Y$52,7,FALSE)/100*(1-VLOOKUP(D271,'DB technologies'!$N$122:$Y$133,9,FALSE)/100)))</f>
        <v/>
      </c>
      <c r="I271" s="423" t="str">
        <f>IF(D271="","",((VLOOKUP(D271,'DB technologies'!$N$122:$Y$133,2,FALSE)*VLOOKUP($C$269,'DB animal categories'!$C$91:$AC$100,27,FALSE)*E271/1000)/VLOOKUP($C$269,'DB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'!$S$6/100*(1-VLOOKUP(D271,'DB technologies'!$N$122:$Y$133,9,FALSE)/100)))</f>
        <v/>
      </c>
      <c r="J271" s="434" t="str">
        <f>IF(D271="","",((VLOOKUP(D271,'DB technologies'!$N$122:$Y$133,3,FALSE)*VLOOKUP($C$269,'DB animal categories'!$C$91:$AC$100,27,FALSE)*E271/1000)/VLOOKUP($C$269,'DB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'!$S$7/100*(1-VLOOKUP(D271,'DB technologies'!$N$122:$Y$133,9,FALSE)/100)))</f>
        <v/>
      </c>
      <c r="K271" s="434" t="str">
        <f>IF(D271="","",((VLOOKUP(D271,'DB technologies'!$N$122:$Y$133,4,FALSE)*E271*'DB additional information '!$S$8/100*(1-VLOOKUP(D271,'DB technologies'!$N$122:$Y$133,9,FALSE)/100))/VLOOKUP($C$269,'DB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L271" s="423" t="str">
        <f>IF('Calc (ex-animal)'!$F$38=1,"",IF(D271="","",(((VLOOKUP($C$269,'Calc (ex-animal)'!$D$48:$Y$52,6,FALSE)-VLOOKUP($C$269,'Calc (ex-animal)'!$D$48:$Y$52,17,FALSE))*F271/100))*(1-VLOOKUP($C$269,'Calc (ex-animal)'!$D$48:$Y$52,7,FALSE)/100)*(1-VLOOKUP(D271,'DB technologies'!$N$122:$V$133,8,FALSE)/100)))</f>
        <v/>
      </c>
      <c r="M271" s="434" t="str">
        <f>IF(D271="","",((VLOOKUP(D271,'DB technologies'!$N$122:$Y$133,2,FALSE)*VLOOKUP($C$269,'DB animal categories'!$C$91:$AC$100,27,FALSE)*E271/1000)/VLOOKUP($C$269,'DB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'!$S$6/100)*(1-VLOOKUP(D271,'DB technologies'!$N$122:$Y$133,9,FALSE)/100))</f>
        <v/>
      </c>
      <c r="N271" s="434" t="str">
        <f>IF(D271="","",((VLOOKUP(D271,'DB technologies'!$N$122:$Y$133,3,FALSE)*VLOOKUP($C$269,'DB animal categories'!$C$91:$AC$100,27,FALSE)*E271/1000)/VLOOKUP($C$269,'DB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'!$S$7/100)*(1-VLOOKUP(D271,'DB technologies'!$N$122:$Y$133,9,FALSE)/100))</f>
        <v/>
      </c>
      <c r="O271" s="423" t="str">
        <f>IF(D271="","",((VLOOKUP(D271,'DB technologies'!$N$122:$Y$133,4,FALSE)*E271*(1-'DB additional information '!$S$8/100)*(1-VLOOKUP(D271,'DB technologies'!$N$122:$Y$133,8,FALSE)/100))/VLOOKUP($C$269,'DB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P271" s="438" t="str">
        <f>IF(G271=0,0,IF(E271="","",IF(F271="","",IF($C$269=0,"",IF(D271="","",SUM(H271:K271)/G271*100)))))</f>
        <v/>
      </c>
      <c r="Q271" s="416" t="str">
        <f>IF(D271="","",(VLOOKUP(D271,'DB technologies'!$N$122:$Y$133,2,FALSE)*'DB additional information '!$S$6/100*'DB additional information '!$T$6*VLOOKUP($C$269,'DB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R271" s="416" t="str">
        <f>IF(D271="","",(VLOOKUP(D271,'DB technologies'!$N$122:$Y$133,3,FALSE)*'DB additional information '!$S$7/100*'DB additional information '!$T$7*VLOOKUP($C$269,'DB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S271" s="491" t="str">
        <f>IF(D271="","",(VLOOKUP(D271,'DB technologies'!$N$122:$Y$133,4,FALSE)*('DB additional information '!$S$8/100*'DB additional information '!$T$8*E271/1000/1000)))</f>
        <v/>
      </c>
      <c r="T271" s="261" t="str">
        <f>IF($C$269=0,"",IF('Calc (ex-animal)'!$F$38=1,"",IF(D271="","",((VLOOKUP($C$269,'Calc (ex-animal)'!$D$48:$Y$52,10,FALSE)-VLOOKUP($C$269,'Calc (ex-animal)'!$D$48:$Y$52,18,FALSE))*F271/100+Q271+R271+S271)-AC271-AD271-AE271)))</f>
        <v/>
      </c>
      <c r="U271" s="422" t="str">
        <f>IF(D271="","",(VLOOKUP(D271,'DB technologies'!$N$122:$Y$133,2,FALSE)*'DB additional information '!$S$6/100*'DB additional information '!$U$6*VLOOKUP($C$269,'DB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V271" s="418" t="str">
        <f>IF(D271="","",(VLOOKUP(D271,'DB technologies'!$N$122:$Y$133,3,FALSE)*'DB additional information '!$S$7/100*'DB additional information '!$U$7*VLOOKUP($C$269,'DB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W271" s="417" t="str">
        <f>IF(D271="","",(VLOOKUP(D271,'DB technologies'!$N$122:$Y$133,4,FALSE)*('DB additional information '!$S$8/100*'DB additional information '!$U$8*E271/1000/1000)))</f>
        <v/>
      </c>
      <c r="X271" s="261" t="str">
        <f>IF($C$269=0,"",IF('Calc (ex-animal)'!$F$38=1,"",IF(D271="","",((VLOOKUP($C$269,'Calc (ex-animal)'!$D$48:$Y$52,13,FALSE)-VLOOKUP($C$269,'Calc (ex-animal)'!$D$48:$Y$52,19,FALSE))*F271/100+U271+V271+W271))))</f>
        <v/>
      </c>
      <c r="Y271" s="418" t="str">
        <f>IF(D271="","",(VLOOKUP(D271,'DB technologies'!$N$122:$Y$133,2,FALSE)*'DB additional information '!$S$6/100*'DB additional information '!$V$6*VLOOKUP($C$269,'DB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Z271" s="418" t="str">
        <f>IF(D271="","",(VLOOKUP(D271,'DB technologies'!$N$122:$Y$133,3,FALSE)*'DB additional information '!$S$7/100*'DB additional information '!$V$7*VLOOKUP($C$269,'DB animal categories'!$C$91:$AC$100,27,FALSE)*E271/1000/1000)/VLOOKUP($C$269,'DB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AA271" s="418" t="str">
        <f>IF(D271="","",(VLOOKUP(D271,'DB technologies'!$N$122:$Y$133,4,FALSE)*('DB additional information '!$S$8/100*'DB additional information '!$V$8*E271/1000/1000)))</f>
        <v/>
      </c>
      <c r="AB271" s="261" t="str">
        <f>IF($C$269=0,"",IF('Calc (ex-animal)'!$F$38=1,"",IF(D271="","",((VLOOKUP($C$269,'Calc (ex-animal)'!$D$48:$Y$52,16,FALSE)-VLOOKUP($C$269,'Calc (ex-animal)'!$D$48:$Y$52,20,FALSE))*F271/100+Y271+Z271+AA271))))</f>
        <v/>
      </c>
      <c r="AC271" s="261" t="str">
        <f>IF($C$269=0,"",IF('Calc (ex-animal)'!$F$38=1,"",IF(D271="","",VLOOKUP($C$269,'Calc (ex-animal)'!$D$48:$Y$52,9,FALSE)/VLOOKUP($C$269,'DB animal categories'!$C$91:$AC$100,27,FALSE)*(VLOOKUP($C$269,'DB animal categories'!$C$91:$AC$100,27,FALSE)-VLOOKUP($C$269,'DB animal categories'!$C$91:$AC$100,25,FALSE)*VLOOKUP($C$269,'DB animal categories'!$C$91:$AC$100,26,FALSE)/24)*F271/100*VLOOKUP(D271,'DB technologies'!$N$122:$R$133,5,FALSE)/100)))</f>
        <v/>
      </c>
      <c r="AD271" s="261" t="str">
        <f>IF($C$269=0,"",IF('Calc (ex-animal)'!$F$38=1,"",IF(D271="","",VLOOKUP($C$269,'Calc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categories'!$C$91:$AC$100,26,FALSE)/24)*F271/100*VLOOKUP(D271,'DB technologies'!$N$122:$Y$133,6,FALSE)/100)))</f>
        <v/>
      </c>
      <c r="AE271" s="262" t="str">
        <f>IF($C$269=0,"",IF('Calc (ex-animal)'!$F$38=1,"",IF(D271="","",VLOOKUP($C$269,'Calc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categories'!$C$91:$AC$100,26,FALSE)/24)*F271/100*VLOOKUP(D271,'DB technologies'!$N$122:$Y$133,7,FALSE)/100)))</f>
        <v/>
      </c>
      <c r="AI271" s="181" t="str">
        <f>IF(D271="","",VLOOKUP(D271,'DB technologies'!$N$122:$Y$133,10,FALSE))</f>
        <v/>
      </c>
      <c r="AJ271" s="449" t="e">
        <f>VLOOKUP($C$269,'DB animal categories'!$C$91:$AN$100,27,FALSE)-VLOOKUP($C$269,'DB animal categories'!$C$91:$AN$100,26,FALSE)*VLOOKUP($C$269,'DB animal categories'!$C$91:$AN$100,25,FALSE)/24</f>
        <v>#N/A</v>
      </c>
      <c r="AK271" s="442" t="str">
        <f>IF(AI271="","",AL271+AM271)</f>
        <v/>
      </c>
      <c r="AL271" s="442" t="str">
        <f>IF(D271="","",IF(AI271=2,(('Calc (ex-animal)'!$G$52*'DB additional information '!$K$11/100*(1-VLOOKUP(D271,'DB technologies'!$N$122:$Y$133,9,FALSE)/100)*'Calc (ex-housing, ex-storage)'!F271/100+'Calc (ex-animal)'!$H$52*'DB additional information '!$L$11/100*(1-VLOOKUP(D271,'DB technologies'!$N$122:$Y$133,9,FALSE)/100)*'Calc (ex-housing, ex-storage)'!F271/100))/VLOOKUP($C$269,'DB animal categories'!$C$91:$AC$100,27,FALSE)*AJ271+I271+J271+K271,IF(AI271=1,('Calc (ex-animal)'!$H$52*'DB additional information '!$L$11/100*(1-VLOOKUP(D271,'DB technologies'!$N$122:$Y$133,9,FALSE)/100)*'Calc (ex-housing, ex-storage)'!F271/100)/VLOOKUP($C$269,'DB animal categories'!$C$91:$AC$100,27,FALSE)*AJ271,IF(AI271=4,('Calc (ex-animal)'!$G$52*'DB additional information '!$K$11/100+'Calc (ex-animal)'!$H$52*'DB additional information '!$L$11/100)*(1-VLOOKUP(D271,'DB technologies'!$N$122:$Y$133,9,FALSE)/100)*'Calc (ex-housing, ex-storage)'!F271/100*VLOOKUP(D271,'DB technologies'!$N$122:$Y$133,11,FALSE)/100/VLOOKUP($C$269,'DB animal categories'!$C$91:$AC$100,27,FALSE)*AJ271,0))))</f>
        <v/>
      </c>
      <c r="AM271" s="442" t="str">
        <f>IF(D271="","",IF(AI271=2,(('Calc (ex-animal)'!$G$52*(1-'DB additional information '!$K$11/100)*(1-VLOOKUP(D271,'DB technologies'!$N$122:$Y$133,8,FALSE)/100)*'Calc (ex-housing, ex-storage)'!F271/100+'Calc (ex-animal)'!$H$52*(1-'DB additional information '!$L$11/100)*(1-VLOOKUP(D271,'DB technologies'!$N$122:$Y$133,8,FALSE)/100)*'Calc (ex-housing, ex-storage)'!F271/100))/VLOOKUP($C$269,'DB animal categories'!$C$91:$AC$100,27,FALSE)*AJ271+M271+N271+O271,IF(AI271=1,('Calc (ex-animal)'!$H$52*(1-'DB additional information '!$L$11/100)*(1-VLOOKUP(D271,'DB technologies'!$N$122:$Y$133,8,FALSE)/100)*'Calc (ex-housing, ex-storage)'!F271/100)/VLOOKUP($C$269,'DB animal categories'!$C$91:$AC$100,27,FALSE)*AJ271,IF(AI271=4,('Calc (ex-animal)'!$G$52*(1-'DB additional information '!$K$11/100)+'Calc (ex-animal)'!$H$52*(1-'DB additional information '!$L$11/100))*(1-VLOOKUP(D271,'DB technologies'!$N$122:$Y$133,8,FALSE)/100)*'Calc (ex-housing, ex-storage)'!F271/100*VLOOKUP(D271,'DB technologies'!$N$122:$Y$133,11,FALSE)/100/VLOOKUP($C$269,'DB animal categories'!$C$91:$AC$100,27,FALSE)*AJ271,0))))</f>
        <v/>
      </c>
      <c r="AN271" s="442" t="str">
        <f>IF(AI271="","",IF(AL271=0,0,AL271/AK271*100))</f>
        <v/>
      </c>
      <c r="AO271" s="182" t="str">
        <f>IF(D271="","",IF(AI271=2,(('Calc (ex-animal)'!$L$52*'Calc (ex-housing, ex-storage)'!F271/100+'Calc (ex-animal)'!$K$52*'Calc (ex-housing, ex-storage)'!F271/100))/VLOOKUP($C$269,'DB animal categories'!$C$91:$AC$100,27,FALSE)*AJ271+Q271+R271+S271-AC271,IF(AI271=1,('Calc (ex-animal)'!$L$52*'Calc (ex-housing, ex-storage)'!F271/100)/VLOOKUP($C$269,'DB animal categories'!$C$91:$AC$100,27,FALSE)*AJ271-'Calc (ex-housing, ex-storage)'!AC271,IF(AI271=4,('Calc (ex-animal)'!$L$52+'Calc (ex-animal)'!$K$52)*'Calc (ex-housing, ex-storage)'!F271/100*VLOOKUP(D271,'DB technologies'!$N$122:$Y$133,11,FALSE)/100/VLOOKUP($C$269,'DB animal categories'!$C$91:$AC$100,27,FALSE)*AJ271-AC271*VLOOKUP(D271,'DB technologies'!$N$122:$Y$133,11,FALSE)/100,0))))</f>
        <v/>
      </c>
      <c r="AP271" s="182" t="str">
        <f>IF(D271="","",IF(AO271&lt;-0.01,0,IF(AI271=2,(('Calc (ex-animal)'!$L$52*'Calc (ex-housing, ex-storage)'!F271/100+'Calc (ex-animal)'!$K$52*'Calc (ex-housing, ex-storage)'!F271/100))/VLOOKUP($C$269,'DB animal categories'!$C$91:$AC$100,27,FALSE)*AJ271+Q271+R271+S271-AC271,IF(AI271=1,('Calc (ex-animal)'!$L$52*'Calc (ex-housing, ex-storage)'!F271/100)/VLOOKUP($C$269,'DB animal categories'!$C$91:$AC$100,27,FALSE)*AJ271-'Calc (ex-housing, ex-storage)'!AC271,IF(AI271=4,('Calc (ex-animal)'!$L$52+'Calc (ex-animal)'!$K$52)*'Calc (ex-housing, ex-storage)'!F271/100*VLOOKUP(D271,'DB technologies'!$N$122:$Y$133,11,FALSE)/100/VLOOKUP($C$269,'DB animal categories'!$C$91:$AC$100,27,FALSE)*AJ271-AC271*VLOOKUP(D271,'DB technologies'!$N$122:$Y$133,11,FALSE)/100,0)))))</f>
        <v/>
      </c>
      <c r="AQ271" s="182" t="str">
        <f>IF(D271="","",IF(AI271=2,('Calc (ex-animal)'!$O$52*'Calc (ex-housing, ex-storage)'!F271/100+'Calc (ex-animal)'!$N$52*'Calc (ex-housing, ex-storage)'!F271/100)/VLOOKUP($C$269,'DB animal categories'!$C$91:$AC$100,27,FALSE)*AJ271+U271+V271+W271,IF(AI271=1,'Calc (ex-animal)'!$O$52*'Calc (ex-housing, ex-storage)'!F271/100/VLOOKUP($C$269,'DB animal categories'!$C$91:$AC$100,27,FALSE)*AJ271,IF(AI271=4,('Calc (ex-animal)'!$O$52+'Calc (ex-animal)'!$N$52)*'Calc (ex-housing, ex-storage)'!F271/100*VLOOKUP(D271,'DB technologies'!$N$122:$Y$133,11,FALSE)/100/VLOOKUP($C$269,'DB animal categories'!$C$91:$AC$100,27,FALSE)*AJ271,0))))</f>
        <v/>
      </c>
      <c r="AR271" s="182" t="str">
        <f>IF(D271="","",IF(AI271=2,('Calc (ex-animal)'!$R$52*'Calc (ex-housing, ex-storage)'!F271/100+'Calc (ex-animal)'!$Q$52*'Calc (ex-housing, ex-storage)'!F271/100)/VLOOKUP($C$269,'DB animal categories'!$C$91:$AC$100,27,FALSE)*AJ271+Y271+Z271+AA271,IF(AI271=1,'Calc (ex-animal)'!$R$52*'Calc (ex-housing, ex-storage)'!F271/100/VLOOKUP($C$269,'DB animal categories'!$C$91:$AC$100,27,FALSE)*AJ271,IF(AI271=4,('Calc (ex-animal)'!$R$52+'Calc (ex-animal)'!$Q$52)*'Calc (ex-housing, ex-storage)'!F271/100*VLOOKUP(D271,'DB technologies'!$N$122:$Y$133,11,FALSE)/100/VLOOKUP($C$269,'DB animal categories'!$C$91:$AC$100,27,FALSE)*AJ271,0))))</f>
        <v/>
      </c>
      <c r="AS271" s="181" t="str">
        <f>IF(D271="","",VLOOKUP(D271,'DB technologies'!$N$122:$Y$133,10,FALSE))</f>
        <v/>
      </c>
      <c r="AT271" s="442" t="str">
        <f>IF(AS271="","",AU271+AV271)</f>
        <v/>
      </c>
      <c r="AU271" s="442" t="str">
        <f>IF(D271="","",IF(AS271=2,0,IF(AS271=1,'Calc (ex-animal)'!$G$52*'DB additional information '!$K$11/100*(1-VLOOKUP(D271,'DB technologies'!$N$122:$Y$133,8,FALSE)/100)*'Calc (ex-housing, ex-storage)'!F271/100/VLOOKUP($C$269,'DB animal categories'!$C$91:$AC$100,27,FALSE)*AJ271+I271+J271+K271,IF(AS271=5,(('Calc (ex-animal)'!$G$52*'DB additional information '!$K$11/100+'Calc (ex-animal)'!$H$52*'DB additional information '!$L$11/100))*(1-VLOOKUP(D271,'DB technologies'!$N$122:$Y$133,9,FALSE)/100)*'Calc (ex-housing, ex-storage)'!F271/100/VLOOKUP($C$269,'DB animal categories'!$C$91:$AC$100,27,FALSE)*AJ271+I271+J271+K271,IF(AS271=3,('Calc (ex-animal)'!$G$52*'DB additional information '!$K$11/100+'Calc (ex-animal)'!$H$52*'DB additional information '!$L$11/100)*(1-VLOOKUP(D271,'DB technologies'!$N$122:$Y$133,9,FALSE)/100)*'Calc (ex-housing, ex-storage)'!F271/100/VLOOKUP($C$269,'DB animal categories'!$C$91:$AC$100,27,FALSE)*AJ271+I271+J271+K271,IF(AS271=4,('Calc (ex-animal)'!$G$52*'DB additional information '!$K$11/100+'Calc (ex-animal)'!$H$52*'DB additional information '!$L$11/100)*(1-VLOOKUP(D271,'DB technologies'!$N$122:$Y$133,9,FALSE)/100)*'Calc (ex-housing, ex-storage)'!F271/100*VLOOKUP(D271,'DB technologies'!$N$122:$Y$133,12,FALSE)/100/VLOOKUP($C$269,'DB animal categories'!$C$91:$AC$100,27,FALSE)*AJ271+I271+J271+K271,0))))))</f>
        <v/>
      </c>
      <c r="AV271" s="442" t="str">
        <f>IF(D271="","",IF(AS271=2,0,IF(AS271=1,'Calc (ex-animal)'!$G$52*(1-'DB additional information '!$K$11/100)*(1-VLOOKUP(D271,'DB technologies'!$N$122:$Y$133,8,FALSE)/100)*'Calc (ex-housing, ex-storage)'!F271/100/VLOOKUP($C$269,'DB animal categories'!$C$91:$AC$100,27,FALSE)*AJ271+M271+N271+O271,IF(AS271=5,('Calc (ex-animal)'!$G$52*(1-'DB additional information '!$K$11/100)+'Calc (ex-animal)'!$H$52*(1-'DB additional information '!$L$11/100))*(1-VLOOKUP(D271,'DB technologies'!$N$122:$Y$133,8,FALSE)/100)*'Calc (ex-housing, ex-storage)'!F271/100/VLOOKUP($C$269,'DB animal categories'!$C$91:$AC$100,27,FALSE)*AJ271+M271+N271+O271,IF(AS271=3,('Calc (ex-animal)'!$G$52*(1-'DB additional information '!$K$11/100)+'Calc (ex-animal)'!$H$52*(1-'DB additional information '!$L$11/100))*(1-VLOOKUP(D271,'DB technologies'!$N$122:$Y$133,8,FALSE)/100)*'Calc (ex-housing, ex-storage)'!F271/100/VLOOKUP($C$269,'DB animal categories'!$C$91:$AC$100,27,FALSE)*AJ271+M271+N271+O271,IF(AS271=4,('Calc (ex-animal)'!$G$52*(1-'DB additional information '!$K$11/100)+'Calc (ex-animal)'!$H$52*(1-'DB additional information '!$L$11/100))*(1-VLOOKUP(D271,'DB technologies'!$N$122:$Y$133,8,FALSE)/100)*'Calc (ex-housing, ex-storage)'!F271/100*VLOOKUP(D271,'DB technologies'!$N$122:$Y$133,12,FALSE)/100/VLOOKUP($C$269,'DB animal categories'!$C$91:$AC$100,27,FALSE)*AJ271+M271+N271+O271,0))))))</f>
        <v/>
      </c>
      <c r="AW271" s="442" t="str">
        <f>IF(AS271="","",IF(AU271=0,0,AU271/AT271*100))</f>
        <v/>
      </c>
      <c r="AX271" s="182" t="str">
        <f>IF(D271="","",IF(AS271=2,0,IF(AS271=1,'Calc (ex-animal)'!$K$52*'Calc (ex-housing, ex-storage)'!F271/100/VLOOKUP($C$269,'DB animal categories'!$C$91:$AC$100,27,FALSE)*AJ271+Q271+R271+S271,IF(AS271=5,('Calc (ex-animal)'!$K$52+'Calc (ex-animal)'!$L$52)*'Calc (ex-housing, ex-storage)'!F271/100/VLOOKUP($C$269,'DB animal categories'!$C$91:$AC$100,27,FALSE)*AJ271+Q271+R271+S271-'Calc (ex-housing, ex-storage)'!AC271,IF(AS271=3,('Calc (ex-animal)'!$K$52+'Calc (ex-animal)'!$L$52)*'Calc (ex-housing, ex-storage)'!F271/100/VLOOKUP($C$269,'DB animal categories'!$C$91:$AC$100,27,FALSE)*AJ271+Q271+R271+S271-'Calc (ex-housing, ex-storage)'!AC271-AD271-AE271,IF(AI271=4,('Calc (ex-animal)'!$K$52+'Calc (ex-animal)'!$L$52)*'Calc (ex-housing, ex-storage)'!F271/100*VLOOKUP(D271,'DB technologies'!$N$122:$Y$133,12,FALSE)/100/VLOOKUP($C$269,'DB animal categories'!$C$91:$AC$100,27,FALSE)*AJ271+Q271+R271+S271-(VLOOKUP(D271,'DB technologies'!$N$122:$Y$133,12,FALSE)/100*AC271)-AD271-AE271,0))))))</f>
        <v/>
      </c>
      <c r="AY271" s="182" t="str">
        <f>IF(D271="","",IF(AS271=2,0,IF(AS271=1,'Calc (ex-animal)'!$N$52*'Calc (ex-housing, ex-storage)'!F271/100/VLOOKUP($C$269,'DB animal categories'!$C$91:$AC$100,27,FALSE)*AJ271+U271+V271+W271,IF(AS271=5,('Calc (ex-animal)'!$N$52+'Calc (ex-animal)'!$O$52)*'Calc (ex-housing, ex-storage)'!F271/100/VLOOKUP($C$269,'DB animal categories'!$C$91:$AC$100,27,FALSE)*AJ271+U271+V271+W271,IF(AS271=3,('Calc (ex-animal)'!$N$52+'Calc (ex-animal)'!$O$52)*'Calc (ex-housing, ex-storage)'!F271/100/VLOOKUP($C$269,'DB animal categories'!$C$91:$AC$100,27,FALSE)*AJ271+U271+V271+W271,IF(AS271=4,('Calc (ex-animal)'!$N$52+'Calc (ex-animal)'!$O$52)*'Calc (ex-housing, ex-storage)'!F271/100*VLOOKUP(D271,'DB technologies'!$N$122:$Y$133,12,FALSE)/100/VLOOKUP($C$269,'DB animal categories'!$C$91:$AC$100,27,FALSE)*AJ271+U271+V271+W271,0))))))</f>
        <v/>
      </c>
      <c r="AZ271" s="182" t="str">
        <f>IF(D271="","",IF(AS271=2,0,IF(AS271=1,'Calc (ex-animal)'!$Q$52*'Calc (ex-housing, ex-storage)'!F271/100/VLOOKUP($C$269,'DB animal categories'!$C$91:$AC$100,27,FALSE)*AJ271+Y271+Z271+AA271,IF(AS271=5,('Calc (ex-animal)'!$Q$52+'Calc (ex-animal)'!$R$52)*'Calc (ex-housing, ex-storage)'!F271/100/VLOOKUP($C$269,'DB animal categories'!$C$91:$AC$100,27,FALSE)*AJ271+Y271+Z271+AA271,IF(AS271=3,('Calc (ex-animal)'!$Q$52+'Calc (ex-animal)'!$R$52)*'Calc (ex-housing, ex-storage)'!F271/100/VLOOKUP($C$269,'DB animal categories'!$C$91:$AC$100,27,FALSE)*AJ271+Y271+Z271+AA271,IF(AS271=4,('Calc (ex-animal)'!$Q$52+'Calc (ex-animal)'!$R$52)*'Calc (ex-housing, ex-storage)'!F271/100*VLOOKUP(D271,'DB technologies'!$N$122:$Y$133,12,FALSE)/100/VLOOKUP($C$269,'DB animal categories'!$C$91:$AC$100,27,FALSE)*AJ271+Y271+Z271+AA271,0))))))</f>
        <v/>
      </c>
      <c r="BA271" s="506"/>
      <c r="BB271" s="506"/>
      <c r="BC271" s="506"/>
    </row>
    <row r="272" spans="1:55" x14ac:dyDescent="0.2">
      <c r="A272" s="684"/>
      <c r="B272" s="695"/>
      <c r="C272" s="251"/>
      <c r="D272" s="1357"/>
      <c r="E272" s="1358"/>
      <c r="F272" s="501" t="str">
        <f>IF('Calc (ex-animal)'!$F$38=1,"",IF($C$269=0,"",IF(D272="","",E272/'Calc (ex-animal)'!$E$52*100)))</f>
        <v/>
      </c>
      <c r="G272" s="485" t="str">
        <f>IF($C$269=0,"",IF('Calc (ex-animal)'!$F$38=1,"",IF(D272="","",SUM(H272:O272))))</f>
        <v/>
      </c>
      <c r="H272" s="423" t="str">
        <f>IF('Calc (ex-animal)'!$F$38=1,"",IF(D272="","",(((VLOOKUP($C$269,'Calc (ex-animal)'!$D$48:$Y$52,6,FALSE)-VLOOKUP($C$269,'Calc (ex-animal)'!$D$48:$Y$52,17,FALSE))*F272/100))*VLOOKUP($C$269,'Calc (ex-animal)'!$D$48:$Y$52,7,FALSE)/100*(1-VLOOKUP(D272,'DB technologies'!$N$122:$Y$133,9,FALSE)/100)))</f>
        <v/>
      </c>
      <c r="I272" s="423" t="str">
        <f>IF(D272="","",((VLOOKUP(D272,'DB technologies'!$N$122:$Y$133,2,FALSE)*VLOOKUP($C$269,'DB animal categories'!$C$91:$AC$100,27,FALSE)*E272/1000)/VLOOKUP($C$269,'DB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'!$S$6/100*(1-VLOOKUP(D272,'DB technologies'!$N$122:$Y$133,9,FALSE)/100)))</f>
        <v/>
      </c>
      <c r="J272" s="434" t="str">
        <f>IF(D272="","",((VLOOKUP(D272,'DB technologies'!$N$122:$Y$133,3,FALSE)*VLOOKUP($C$269,'DB animal categories'!$C$91:$AC$100,27,FALSE)*E272/1000)/VLOOKUP($C$269,'DB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'!$S$7/100*(1-VLOOKUP(D272,'DB technologies'!$N$122:$Y$133,9,FALSE)/100)))</f>
        <v/>
      </c>
      <c r="K272" s="434" t="str">
        <f>IF(D272="","",((VLOOKUP(D272,'DB technologies'!$N$122:$Y$133,4,FALSE)*E272*'DB additional information '!$S$8/100*(1-VLOOKUP(D272,'DB technologies'!$N$122:$Y$133,9,FALSE)/100))/VLOOKUP($C$269,'DB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L272" s="423" t="str">
        <f>IF('Calc (ex-animal)'!$F$38=1,"",IF(D272="","",(((VLOOKUP($C$269,'Calc (ex-animal)'!$D$48:$Y$52,6,FALSE)-VLOOKUP($C$269,'Calc (ex-animal)'!$D$48:$Y$52,17,FALSE))*F272/100))*(1-VLOOKUP($C$269,'Calc (ex-animal)'!$D$48:$Y$52,7,FALSE)/100)*(1-VLOOKUP(D272,'DB technologies'!$N$122:$V$133,8,FALSE)/100)))</f>
        <v/>
      </c>
      <c r="M272" s="434" t="str">
        <f>IF(D272="","",((VLOOKUP(D272,'DB technologies'!$N$122:$Y$133,2,FALSE)*VLOOKUP($C$269,'DB animal categories'!$C$91:$AC$100,27,FALSE)*E272/1000)/VLOOKUP($C$269,'DB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'!$S$6/100)*(1-VLOOKUP(D272,'DB technologies'!$N$122:$Y$133,9,FALSE)/100))</f>
        <v/>
      </c>
      <c r="N272" s="434" t="str">
        <f>IF(D272="","",((VLOOKUP(D272,'DB technologies'!$N$122:$Y$133,3,FALSE)*VLOOKUP($C$269,'DB animal categories'!$C$91:$AC$100,27,FALSE)*E272/1000)/VLOOKUP($C$269,'DB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'!$S$7/100)*(1-VLOOKUP(D272,'DB technologies'!$N$122:$Y$133,9,FALSE)/100))</f>
        <v/>
      </c>
      <c r="O272" s="423" t="str">
        <f>IF(D272="","",((VLOOKUP(D272,'DB technologies'!$N$122:$Y$133,4,FALSE)*E272*(1-'DB additional information '!$S$8/100)*(1-VLOOKUP(D272,'DB technologies'!$N$122:$Y$133,8,FALSE)/100))/VLOOKUP($C$269,'DB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P272" s="438" t="str">
        <f>IF(G272=0,0,IF(E272="","",IF(F272="","",IF($C$269=0,"",IF(D272="","",SUM(H272:K272)/G272*100)))))</f>
        <v/>
      </c>
      <c r="Q272" s="416" t="str">
        <f>IF(D272="","",(VLOOKUP(D272,'DB technologies'!$N$122:$Y$133,2,FALSE)*'DB additional information '!$S$6/100*'DB additional information '!$T$6*VLOOKUP($C$269,'DB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R272" s="416" t="str">
        <f>IF(D272="","",(VLOOKUP(D272,'DB technologies'!$N$122:$Y$133,3,FALSE)*'DB additional information '!$S$7/100*'DB additional information '!$T$7*VLOOKUP($C$269,'DB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S272" s="491" t="str">
        <f>IF(D272="","",(VLOOKUP(D272,'DB technologies'!$N$122:$Y$133,4,FALSE)*('DB additional information '!$S$8/100*'DB additional information '!$T$8*E272/1000/1000)))</f>
        <v/>
      </c>
      <c r="T272" s="261" t="str">
        <f>IF($C$269=0,"",IF('Calc (ex-animal)'!$F$38=1,"",IF(D272="","",((VLOOKUP($C$269,'Calc (ex-animal)'!$D$48:$Y$52,10,FALSE)-VLOOKUP($C$269,'Calc (ex-animal)'!$D$48:$Y$52,18,FALSE))*F272/100+Q272+R272+S272)-AC272-AD272-AE272)))</f>
        <v/>
      </c>
      <c r="U272" s="422" t="str">
        <f>IF(D272="","",(VLOOKUP(D272,'DB technologies'!$N$122:$Y$133,2,FALSE)*'DB additional information '!$S$6/100*'DB additional information '!$U$6*VLOOKUP($C$269,'DB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V272" s="418" t="str">
        <f>IF(D272="","",(VLOOKUP(D272,'DB technologies'!$N$122:$Y$133,3,FALSE)*'DB additional information '!$S$7/100*'DB additional information '!$U$7*VLOOKUP($C$269,'DB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W272" s="417" t="str">
        <f>IF(D272="","",(VLOOKUP(D272,'DB technologies'!$N$122:$Y$133,4,FALSE)*('DB additional information '!$S$8/100*'DB additional information '!$U$8*E272/1000/1000)))</f>
        <v/>
      </c>
      <c r="X272" s="261" t="str">
        <f>IF($C$269=0,"",IF('Calc (ex-animal)'!$F$38=1,"",IF(D272="","",((VLOOKUP($C$269,'Calc (ex-animal)'!$D$48:$Y$52,13,FALSE)-VLOOKUP($C$269,'Calc (ex-animal)'!$D$48:$Y$52,19,FALSE))*F272/100+U272+V272+W272))))</f>
        <v/>
      </c>
      <c r="Y272" s="418" t="str">
        <f>IF(D272="","",(VLOOKUP(D272,'DB technologies'!$N$122:$Y$133,2,FALSE)*'DB additional information '!$S$6/100*'DB additional information '!$V$6*VLOOKUP($C$269,'DB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Z272" s="418" t="str">
        <f>IF(D272="","",(VLOOKUP(D272,'DB technologies'!$N$122:$Y$133,3,FALSE)*'DB additional information '!$S$7/100*'DB additional information '!$V$7*VLOOKUP($C$269,'DB animal categories'!$C$91:$AC$100,27,FALSE)*E272/1000/1000)/VLOOKUP($C$269,'DB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AA272" s="418" t="str">
        <f>IF(D272="","",(VLOOKUP(D272,'DB technologies'!$N$122:$Y$133,4,FALSE)*('DB additional information '!$S$8/100*'DB additional information '!$V$8*E272/1000/1000)))</f>
        <v/>
      </c>
      <c r="AB272" s="261" t="str">
        <f>IF($C$269=0,"",IF('Calc (ex-animal)'!$F$38=1,"",IF(D272="","",((VLOOKUP($C$269,'Calc (ex-animal)'!$D$48:$Y$52,16,FALSE)-VLOOKUP($C$269,'Calc (ex-animal)'!$D$48:$Y$52,20,FALSE))*F272/100+Y272+Z272+AA272))))</f>
        <v/>
      </c>
      <c r="AC272" s="261" t="str">
        <f>IF($C$269=0,"",IF('Calc (ex-animal)'!$F$38=1,"",IF(D272="","",VLOOKUP($C$269,'Calc (ex-animal)'!$D$48:$Y$52,9,FALSE)/VLOOKUP($C$269,'DB animal categories'!$C$91:$AC$100,27,FALSE)*(VLOOKUP($C$269,'DB animal categories'!$C$91:$AC$100,27,FALSE)-VLOOKUP($C$269,'DB animal categories'!$C$91:$AC$100,25,FALSE)*VLOOKUP($C$269,'DB animal categories'!$C$91:$AC$100,26,FALSE)/24)*F272/100*VLOOKUP(D272,'DB technologies'!$N$122:$R$133,5,FALSE)/100)))</f>
        <v/>
      </c>
      <c r="AD272" s="261" t="str">
        <f>IF($C$269=0,"",IF('Calc (ex-animal)'!$F$38=1,"",IF(D272="","",VLOOKUP($C$269,'Calc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categories'!$C$91:$AC$100,26,FALSE)/24)*F272/100*VLOOKUP(D272,'DB technologies'!$N$122:$Y$133,6,FALSE)/100)))</f>
        <v/>
      </c>
      <c r="AE272" s="262" t="str">
        <f>IF($C$269=0,"",IF('Calc (ex-animal)'!$F$38=1,"",IF(D272="","",VLOOKUP($C$269,'Calc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categories'!$C$91:$AC$100,26,FALSE)/24)*F272/100*VLOOKUP(D272,'DB technologies'!$N$122:$Y$133,7,FALSE)/100)))</f>
        <v/>
      </c>
      <c r="AI272" s="181" t="str">
        <f>IF(D272="","",VLOOKUP(D272,'DB technologies'!$N$122:$Y$133,10,FALSE))</f>
        <v/>
      </c>
      <c r="AJ272" s="449" t="e">
        <f>VLOOKUP($C$269,'DB animal categories'!$C$91:$AN$100,27,FALSE)-VLOOKUP($C$269,'DB animal categories'!$C$91:$AN$100,26,FALSE)*VLOOKUP($C$269,'DB animal categories'!$C$91:$AN$100,25,FALSE)/24</f>
        <v>#N/A</v>
      </c>
      <c r="AK272" s="442" t="str">
        <f>IF(AI272="","",AL272+AM272)</f>
        <v/>
      </c>
      <c r="AL272" s="442" t="str">
        <f>IF(D272="","",IF(AI272=2,(('Calc (ex-animal)'!$G$52*'DB additional information '!$K$11/100*(1-VLOOKUP(D272,'DB technologies'!$N$122:$Y$133,9,FALSE)/100)*'Calc (ex-housing, ex-storage)'!F272/100+'Calc (ex-animal)'!$H$52*'DB additional information '!$L$11/100*(1-VLOOKUP(D272,'DB technologies'!$N$122:$Y$133,9,FALSE)/100)*'Calc (ex-housing, ex-storage)'!F272/100))/VLOOKUP($C$269,'DB animal categories'!$C$91:$AC$100,27,FALSE)*AJ272+I272+J272+K272,IF(AI272=1,('Calc (ex-animal)'!$H$52*'DB additional information '!$L$11/100*(1-VLOOKUP(D272,'DB technologies'!$N$122:$Y$133,9,FALSE)/100)*'Calc (ex-housing, ex-storage)'!F272/100)/VLOOKUP($C$269,'DB animal categories'!$C$91:$AC$100,27,FALSE)*AJ272,IF(AI272=4,('Calc (ex-animal)'!$G$52*'DB additional information '!$K$11/100+'Calc (ex-animal)'!$H$52*'DB additional information '!$L$11/100)*(1-VLOOKUP(D272,'DB technologies'!$N$122:$Y$133,9,FALSE)/100)*'Calc (ex-housing, ex-storage)'!F272/100*VLOOKUP(D272,'DB technologies'!$N$122:$Y$133,11,FALSE)/100/VLOOKUP($C$269,'DB animal categories'!$C$91:$AC$100,27,FALSE)*AJ272,0))))</f>
        <v/>
      </c>
      <c r="AM272" s="442" t="str">
        <f>IF(D272="","",IF(AI272=2,(('Calc (ex-animal)'!$G$52*(1-'DB additional information '!$K$11/100)*(1-VLOOKUP(D272,'DB technologies'!$N$122:$Y$133,8,FALSE)/100)*'Calc (ex-housing, ex-storage)'!F272/100+'Calc (ex-animal)'!$H$52*(1-'DB additional information '!$L$11/100)*(1-VLOOKUP(D272,'DB technologies'!$N$122:$Y$133,8,FALSE)/100)*'Calc (ex-housing, ex-storage)'!F272/100))/VLOOKUP($C$269,'DB animal categories'!$C$91:$AC$100,27,FALSE)*AJ272+M272+N272+O272,IF(AI272=1,('Calc (ex-animal)'!$H$52*(1-'DB additional information '!$L$11/100)*(1-VLOOKUP(D272,'DB technologies'!$N$122:$Y$133,8,FALSE)/100)*'Calc (ex-housing, ex-storage)'!F272/100)/VLOOKUP($C$269,'DB animal categories'!$C$91:$AC$100,27,FALSE)*AJ272,IF(AI272=4,('Calc (ex-animal)'!$G$52*(1-'DB additional information '!$K$11/100)+'Calc (ex-animal)'!$H$52*(1-'DB additional information '!$L$11/100))*(1-VLOOKUP(D272,'DB technologies'!$N$122:$Y$133,8,FALSE)/100)*'Calc (ex-housing, ex-storage)'!F272/100*VLOOKUP(D272,'DB technologies'!$N$122:$Y$133,11,FALSE)/100/VLOOKUP($C$269,'DB animal categories'!$C$91:$AC$100,27,FALSE)*AJ272,0))))</f>
        <v/>
      </c>
      <c r="AN272" s="442" t="str">
        <f>IF(AI272="","",IF(AL272=0,0,AL272/AK272*100))</f>
        <v/>
      </c>
      <c r="AO272" s="182" t="str">
        <f>IF(D272="","",IF(AI272=2,(('Calc (ex-animal)'!$L$52*'Calc (ex-housing, ex-storage)'!F272/100+'Calc (ex-animal)'!$K$52*'Calc (ex-housing, ex-storage)'!F272/100))/VLOOKUP($C$269,'DB animal categories'!$C$91:$AC$100,27,FALSE)*AJ272+Q272+R272+S272-AC272,IF(AI272=1,('Calc (ex-animal)'!$L$52*'Calc (ex-housing, ex-storage)'!F272/100)/VLOOKUP($C$269,'DB animal categories'!$C$91:$AC$100,27,FALSE)*AJ272-'Calc (ex-housing, ex-storage)'!AC272,IF(AI272=4,('Calc (ex-animal)'!$L$52+'Calc (ex-animal)'!$K$52)*'Calc (ex-housing, ex-storage)'!F272/100*VLOOKUP(D272,'DB technologies'!$N$122:$Y$133,11,FALSE)/100/VLOOKUP($C$269,'DB animal categories'!$C$91:$AC$100,27,FALSE)*AJ272-AC272*VLOOKUP(D272,'DB technologies'!$N$122:$Y$133,11,FALSE)/100,0))))</f>
        <v/>
      </c>
      <c r="AP272" s="182" t="str">
        <f>IF(D272="","",IF(AO272&lt;-0.01,0,IF(AI272=2,(('Calc (ex-animal)'!$L$52*'Calc (ex-housing, ex-storage)'!F272/100+'Calc (ex-animal)'!$K$52*'Calc (ex-housing, ex-storage)'!F272/100))/VLOOKUP($C$269,'DB animal categories'!$C$91:$AC$100,27,FALSE)*AJ272+Q272+R272+S272-AC272,IF(AI272=1,('Calc (ex-animal)'!$L$52*'Calc (ex-housing, ex-storage)'!F272/100)/VLOOKUP($C$269,'DB animal categories'!$C$91:$AC$100,27,FALSE)*AJ272-'Calc (ex-housing, ex-storage)'!AC272,IF(AI272=4,('Calc (ex-animal)'!$L$52+'Calc (ex-animal)'!$K$52)*'Calc (ex-housing, ex-storage)'!F272/100*VLOOKUP(D272,'DB technologies'!$N$122:$Y$133,11,FALSE)/100/VLOOKUP($C$269,'DB animal categories'!$C$91:$AC$100,27,FALSE)*AJ272-AC272*VLOOKUP(D272,'DB technologies'!$N$122:$Y$133,11,FALSE)/100,0)))))</f>
        <v/>
      </c>
      <c r="AQ272" s="182" t="str">
        <f>IF(D272="","",IF(AI272=2,('Calc (ex-animal)'!$O$52*'Calc (ex-housing, ex-storage)'!F272/100+'Calc (ex-animal)'!$N$52*'Calc (ex-housing, ex-storage)'!F272/100)/VLOOKUP($C$269,'DB animal categories'!$C$91:$AC$100,27,FALSE)*AJ272+U272+V272+W272,IF(AI272=1,'Calc (ex-animal)'!$O$52*'Calc (ex-housing, ex-storage)'!F272/100/VLOOKUP($C$269,'DB animal categories'!$C$91:$AC$100,27,FALSE)*AJ272,IF(AI272=4,('Calc (ex-animal)'!$O$52+'Calc (ex-animal)'!$N$52)*'Calc (ex-housing, ex-storage)'!F272/100*VLOOKUP(D272,'DB technologies'!$N$122:$Y$133,11,FALSE)/100/VLOOKUP($C$269,'DB animal categories'!$C$91:$AC$100,27,FALSE)*AJ272,0))))</f>
        <v/>
      </c>
      <c r="AR272" s="182" t="str">
        <f>IF(D272="","",IF(AI272=2,('Calc (ex-animal)'!$R$52*'Calc (ex-housing, ex-storage)'!F272/100+'Calc (ex-animal)'!$Q$52*'Calc (ex-housing, ex-storage)'!F272/100)/VLOOKUP($C$269,'DB animal categories'!$C$91:$AC$100,27,FALSE)*AJ272+Y272+Z272+AA272,IF(AI272=1,'Calc (ex-animal)'!$R$52*'Calc (ex-housing, ex-storage)'!F272/100/VLOOKUP($C$269,'DB animal categories'!$C$91:$AC$100,27,FALSE)*AJ272,IF(AI272=4,('Calc (ex-animal)'!$R$52+'Calc (ex-animal)'!$Q$52)*'Calc (ex-housing, ex-storage)'!F272/100*VLOOKUP(D272,'DB technologies'!$N$122:$Y$133,11,FALSE)/100/VLOOKUP($C$269,'DB animal categories'!$C$91:$AC$100,27,FALSE)*AJ272,0))))</f>
        <v/>
      </c>
      <c r="AS272" s="181" t="str">
        <f>IF(D272="","",VLOOKUP(D272,'DB technologies'!$N$122:$Y$133,10,FALSE))</f>
        <v/>
      </c>
      <c r="AT272" s="442" t="str">
        <f>IF(AS272="","",AU272+AV272)</f>
        <v/>
      </c>
      <c r="AU272" s="442" t="str">
        <f>IF(D272="","",IF(AS272=2,0,IF(AS272=1,'Calc (ex-animal)'!$G$52*'DB additional information '!$K$11/100*(1-VLOOKUP(D272,'DB technologies'!$N$122:$Y$133,8,FALSE)/100)*'Calc (ex-housing, ex-storage)'!F272/100/VLOOKUP($C$269,'DB animal categories'!$C$91:$AC$100,27,FALSE)*AJ272+I272+J272+K272,IF(AS272=5,(('Calc (ex-animal)'!$G$52*'DB additional information '!$K$11/100+'Calc (ex-animal)'!$H$52*'DB additional information '!$L$11/100))*(1-VLOOKUP(D272,'DB technologies'!$N$122:$Y$133,9,FALSE)/100)*'Calc (ex-housing, ex-storage)'!F272/100/VLOOKUP($C$269,'DB animal categories'!$C$91:$AC$100,27,FALSE)*AJ272+I272+J272+K272,IF(AS272=3,('Calc (ex-animal)'!$G$52*'DB additional information '!$K$11/100+'Calc (ex-animal)'!$H$52*'DB additional information '!$L$11/100)*(1-VLOOKUP(D272,'DB technologies'!$N$122:$Y$133,9,FALSE)/100)*'Calc (ex-housing, ex-storage)'!F272/100/VLOOKUP($C$269,'DB animal categories'!$C$91:$AC$100,27,FALSE)*AJ272+I272+J272+K272,IF(AS272=4,('Calc (ex-animal)'!$G$52*'DB additional information '!$K$11/100+'Calc (ex-animal)'!$H$52*'DB additional information '!$L$11/100)*(1-VLOOKUP(D272,'DB technologies'!$N$122:$Y$133,9,FALSE)/100)*'Calc (ex-housing, ex-storage)'!F272/100*VLOOKUP(D272,'DB technologies'!$N$122:$Y$133,12,FALSE)/100/VLOOKUP($C$269,'DB animal categories'!$C$91:$AC$100,27,FALSE)*AJ272+I272+J272+K272,0))))))</f>
        <v/>
      </c>
      <c r="AV272" s="442" t="str">
        <f>IF(D272="","",IF(AS272=2,0,IF(AS272=1,'Calc (ex-animal)'!$G$52*(1-'DB additional information '!$K$11/100)*(1-VLOOKUP(D272,'DB technologies'!$N$122:$Y$133,8,FALSE)/100)*'Calc (ex-housing, ex-storage)'!F272/100/VLOOKUP($C$269,'DB animal categories'!$C$91:$AC$100,27,FALSE)*AJ272+M272+N272+O272,IF(AS272=5,('Calc (ex-animal)'!$G$52*(1-'DB additional information '!$K$11/100)+'Calc (ex-animal)'!$H$52*(1-'DB additional information '!$L$11/100))*(1-VLOOKUP(D272,'DB technologies'!$N$122:$Y$133,8,FALSE)/100)*'Calc (ex-housing, ex-storage)'!F272/100/VLOOKUP($C$269,'DB animal categories'!$C$91:$AC$100,27,FALSE)*AJ272+M272+N272+O272,IF(AS272=3,('Calc (ex-animal)'!$G$52*(1-'DB additional information '!$K$11/100)+'Calc (ex-animal)'!$H$52*(1-'DB additional information '!$L$11/100))*(1-VLOOKUP(D272,'DB technologies'!$N$122:$Y$133,8,FALSE)/100)*'Calc (ex-housing, ex-storage)'!F272/100/VLOOKUP($C$269,'DB animal categories'!$C$91:$AC$100,27,FALSE)*AJ272+M272+N272+O272,IF(AS272=4,('Calc (ex-animal)'!$G$52*(1-'DB additional information '!$K$11/100)+'Calc (ex-animal)'!$H$52*(1-'DB additional information '!$L$11/100))*(1-VLOOKUP(D272,'DB technologies'!$N$122:$Y$133,8,FALSE)/100)*'Calc (ex-housing, ex-storage)'!F272/100*VLOOKUP(D272,'DB technologies'!$N$122:$Y$133,12,FALSE)/100/VLOOKUP($C$269,'DB animal categories'!$C$91:$AC$100,27,FALSE)*AJ272+M272+N272+O272,0))))))</f>
        <v/>
      </c>
      <c r="AW272" s="442" t="str">
        <f>IF(AS272="","",IF(AU272=0,0,AU272/AT272*100))</f>
        <v/>
      </c>
      <c r="AX272" s="182" t="str">
        <f>IF(D272="","",IF(AS272=2,0,IF(AS272=1,'Calc (ex-animal)'!$K$52*'Calc (ex-housing, ex-storage)'!F272/100/VLOOKUP($C$269,'DB animal categories'!$C$91:$AC$100,27,FALSE)*AJ272+Q272+R272+S272,IF(AS272=5,('Calc (ex-animal)'!$K$52+'Calc (ex-animal)'!$L$52)*'Calc (ex-housing, ex-storage)'!F272/100/VLOOKUP($C$269,'DB animal categories'!$C$91:$AC$100,27,FALSE)*AJ272+Q272+R272+S272-'Calc (ex-housing, ex-storage)'!AC272,IF(AS272=3,('Calc (ex-animal)'!$K$52+'Calc (ex-animal)'!$L$52)*'Calc (ex-housing, ex-storage)'!F272/100/VLOOKUP($C$269,'DB animal categories'!$C$91:$AC$100,27,FALSE)*AJ272+Q272+R272+S272-'Calc (ex-housing, ex-storage)'!AC272-AD272-AE272,IF(AI272=4,('Calc (ex-animal)'!$K$52+'Calc (ex-animal)'!$L$52)*'Calc (ex-housing, ex-storage)'!F272/100*VLOOKUP(D272,'DB technologies'!$N$122:$Y$133,12,FALSE)/100/VLOOKUP($C$269,'DB animal categories'!$C$91:$AC$100,27,FALSE)*AJ272+Q272+R272+S272-(VLOOKUP(D272,'DB technologies'!$N$122:$Y$133,12,FALSE)/100*AC272)-AD272-AE272,0))))))</f>
        <v/>
      </c>
      <c r="AY272" s="182" t="str">
        <f>IF(D272="","",IF(AS272=2,0,IF(AS272=1,'Calc (ex-animal)'!$N$52*'Calc (ex-housing, ex-storage)'!F272/100/VLOOKUP($C$269,'DB animal categories'!$C$91:$AC$100,27,FALSE)*AJ272+U272+V272+W272,IF(AS272=5,('Calc (ex-animal)'!$N$52+'Calc (ex-animal)'!$O$52)*'Calc (ex-housing, ex-storage)'!F272/100/VLOOKUP($C$269,'DB animal categories'!$C$91:$AC$100,27,FALSE)*AJ272+U272+V272+W272,IF(AS272=3,('Calc (ex-animal)'!$N$52+'Calc (ex-animal)'!$O$52)*'Calc (ex-housing, ex-storage)'!F272/100/VLOOKUP($C$269,'DB animal categories'!$C$91:$AC$100,27,FALSE)*AJ272+U272+V272+W272,IF(AS272=4,('Calc (ex-animal)'!$N$52+'Calc (ex-animal)'!$O$52)*'Calc (ex-housing, ex-storage)'!F272/100*VLOOKUP(D272,'DB technologies'!$N$122:$Y$133,12,FALSE)/100/VLOOKUP($C$269,'DB animal categories'!$C$91:$AC$100,27,FALSE)*AJ272+U272+V272+W272,0))))))</f>
        <v/>
      </c>
      <c r="AZ272" s="182" t="str">
        <f>IF(D272="","",IF(AS272=2,0,IF(AS272=1,'Calc (ex-animal)'!$Q$52*'Calc (ex-housing, ex-storage)'!F272/100/VLOOKUP($C$269,'DB animal categories'!$C$91:$AC$100,27,FALSE)*AJ272+Y272+Z272+AA272,IF(AS272=5,('Calc (ex-animal)'!$Q$52+'Calc (ex-animal)'!$R$52)*'Calc (ex-housing, ex-storage)'!F272/100/VLOOKUP($C$269,'DB animal categories'!$C$91:$AC$100,27,FALSE)*AJ272+Y272+Z272+AA272,IF(AS272=3,('Calc (ex-animal)'!$Q$52+'Calc (ex-animal)'!$R$52)*'Calc (ex-housing, ex-storage)'!F272/100/VLOOKUP($C$269,'DB animal categories'!$C$91:$AC$100,27,FALSE)*AJ272+Y272+Z272+AA272,IF(AS272=4,('Calc (ex-animal)'!$Q$52+'Calc (ex-animal)'!$R$52)*'Calc (ex-housing, ex-storage)'!F272/100*VLOOKUP(D272,'DB technologies'!$N$122:$Y$133,12,FALSE)/100/VLOOKUP($C$269,'DB animal categories'!$C$91:$AC$100,27,FALSE)*AJ272+Y272+Z272+AA272,0))))))</f>
        <v/>
      </c>
      <c r="BA272" s="506"/>
      <c r="BB272" s="506"/>
      <c r="BC272" s="506"/>
    </row>
    <row r="273" spans="1:55" ht="12" thickBot="1" x14ac:dyDescent="0.25">
      <c r="A273" s="684"/>
      <c r="B273" s="695"/>
      <c r="C273" s="251"/>
      <c r="D273" s="1359"/>
      <c r="E273" s="1360"/>
      <c r="F273" s="502" t="str">
        <f>IF('Calc (ex-animal)'!$F$38=1,"",IF($C$269=0,"",IF(D273="","",E273/'Calc (ex-animal)'!$E$52*100)))</f>
        <v/>
      </c>
      <c r="G273" s="483" t="str">
        <f>IF($C$269=0,"",IF('Calc (ex-animal)'!$F$38=1,"",IF(D273="","",SUM(H273:O273))))</f>
        <v/>
      </c>
      <c r="H273" s="445" t="str">
        <f>IF('Calc (ex-animal)'!$F$38=1,"",IF(D273="","",(((VLOOKUP($C$269,'Calc (ex-animal)'!$D$48:$Y$52,6,FALSE)-VLOOKUP($C$269,'Calc (ex-animal)'!$D$48:$Y$52,17,FALSE))*F273/100))*VLOOKUP($C$269,'Calc (ex-animal)'!$D$48:$Y$52,7,FALSE)/100*(1-VLOOKUP(D273,'DB technologies'!$N$122:$Y$133,9,FALSE)/100)))</f>
        <v/>
      </c>
      <c r="I273" s="445" t="str">
        <f>IF(D273="","",((VLOOKUP(D273,'DB technologies'!$N$122:$Y$133,2,FALSE)*VLOOKUP($C$269,'DB animal categories'!$C$91:$AC$100,27,FALSE)*E273/1000)/VLOOKUP($C$269,'DB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'!$S$6/100*(1-VLOOKUP(D273,'DB technologies'!$N$122:$Y$133,9,FALSE)/100)))</f>
        <v/>
      </c>
      <c r="J273" s="446" t="str">
        <f>IF(D273="","",((VLOOKUP(D273,'DB technologies'!$N$122:$Y$133,3,FALSE)*VLOOKUP($C$269,'DB animal categories'!$C$91:$AC$100,27,FALSE)*E273/1000)/VLOOKUP($C$269,'DB animal categories'!$C$91:$AC$100,27,FALSE)*(VLOOKUP($C$269,'DB animal categories'!$C$91:$AC$100,27,FALSE)-(VLOOKUP($C$269,'DB animal categories'!$C$91:$AC$100,25,FALSE)*VLOOKUP($C$269,'DB animal categories'!$C$91:$AC$100,26,FALSE)/24))*'DB additional information '!$S$7/100*(1-VLOOKUP(D273,'DB technologies'!$N$122:$Y$133,9,FALSE)/100)))</f>
        <v/>
      </c>
      <c r="K273" s="446" t="str">
        <f>IF(D273="","",((VLOOKUP(D273,'DB technologies'!$N$122:$Y$133,4,FALSE)*E273*'DB additional information '!$S$8/100*(1-VLOOKUP(D273,'DB technologies'!$N$122:$Y$133,9,FALSE)/100))/VLOOKUP($C$269,'DB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L273" s="445" t="str">
        <f>IF('Calc (ex-animal)'!$F$38=1,"",IF(D273="","",(((VLOOKUP($C$269,'Calc (ex-animal)'!$D$48:$Y$52,6,FALSE)-VLOOKUP($C$269,'Calc (ex-animal)'!$D$48:$Y$52,17,FALSE))*F273/100))*(1-VLOOKUP($C$269,'Calc (ex-animal)'!$D$48:$Y$52,7,FALSE)/100)*(1-VLOOKUP(D273,'DB technologies'!$N$122:$V$133,8,FALSE)/100)))</f>
        <v/>
      </c>
      <c r="M273" s="446" t="str">
        <f>IF(D273="","",((VLOOKUP(D273,'DB technologies'!$N$122:$Y$133,2,FALSE)*VLOOKUP($C$269,'DB animal categories'!$C$91:$AC$100,27,FALSE)*E273/1000)/VLOOKUP($C$269,'DB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'!$S$6/100)*(1-VLOOKUP(D273,'DB technologies'!$N$122:$Y$133,9,FALSE)/100))</f>
        <v/>
      </c>
      <c r="N273" s="446" t="str">
        <f>IF(D273="","",((VLOOKUP(D273,'DB technologies'!$N$122:$Y$133,3,FALSE)*VLOOKUP($C$269,'DB animal categories'!$C$91:$AC$100,27,FALSE)*E273/1000)/VLOOKUP($C$269,'DB animal categories'!$C$91:$AC$100,27,FALSE)*(VLOOKUP($C$269,'DB animal categories'!$C$91:$AC$100,27,FALSE)-VLOOKUP($C$269,'DB animal categories'!$C$91:$AC$100,25,FALSE)*VLOOKUP($C$269,'DB animal categories'!$C$91:$AC$100,26,FALSE)/24))*(1-'DB additional information '!$S$7/100)*(1-VLOOKUP(D273,'DB technologies'!$N$122:$Y$133,9,FALSE)/100))</f>
        <v/>
      </c>
      <c r="O273" s="445" t="str">
        <f>IF(D273="","",((VLOOKUP(D273,'DB technologies'!$N$122:$Y$133,4,FALSE)*E273*(1-'DB additional information '!$S$8/100)*(1-VLOOKUP(D273,'DB technologies'!$N$122:$Y$133,8,FALSE)/100))/VLOOKUP($C$269,'DB animal categories'!$C$91:$AC$100,27,FALSE)*(VLOOKUP($C$269,'DB animal categories'!$C$91:$AC$100,27,FALSE)-VLOOKUP($C$269,'DB animal categories'!$C$91:$AC$100,25,FALSE)*VLOOKUP($C$269,'DB animal categories'!$C$91:$AC$100,26,FALSE)/24)))</f>
        <v/>
      </c>
      <c r="P273" s="444" t="str">
        <f>IF(G273=0,0,IF(E273="","",IF(F273="","",IF($C$269=0,"",IF(D273="","",SUM(H273:K273)/G273*100)))))</f>
        <v/>
      </c>
      <c r="Q273" s="476" t="str">
        <f>IF(D273="","",(VLOOKUP(D273,'DB technologies'!$N$122:$Y$133,2,FALSE)*'DB additional information '!$S$6/100*'DB additional information '!$T$6*VLOOKUP($C$269,'DB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R273" s="476" t="str">
        <f>IF(D273="","",(VLOOKUP(D273,'DB technologies'!$N$122:$Y$133,3,FALSE)*'DB additional information '!$S$7/100*'DB additional information '!$T$7*VLOOKUP($C$269,'DB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S273" s="494" t="str">
        <f>IF(D273="","",(VLOOKUP(D273,'DB technologies'!$N$122:$Y$133,4,FALSE)*('DB additional information '!$S$8/100*'DB additional information '!$T$8*E273/1000/1000)))</f>
        <v/>
      </c>
      <c r="T273" s="267" t="str">
        <f>IF($C$269=0,"",IF('Calc (ex-animal)'!$F$38=1,"",IF(D273="","",((VLOOKUP($C$269,'Calc (ex-animal)'!$D$48:$Y$52,10,FALSE)-VLOOKUP($C$269,'Calc (ex-animal)'!$D$48:$Y$52,18,FALSE))*F273/100+Q273+R273+S273)-AC273-AD273-AE273)))</f>
        <v/>
      </c>
      <c r="U273" s="477" t="str">
        <f>IF(D273="","",(VLOOKUP(D273,'DB technologies'!$N$122:$Y$133,2,FALSE)*'DB additional information '!$S$6/100*'DB additional information '!$U$6*VLOOKUP($C$269,'DB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V273" s="433" t="str">
        <f>IF(D273="","",(VLOOKUP(D273,'DB technologies'!$N$122:$Y$133,3,FALSE)*'DB additional information '!$S$7/100*'DB additional information '!$U$7*VLOOKUP($C$269,'DB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W273" s="475" t="str">
        <f>IF(D273="","",(VLOOKUP(D273,'DB technologies'!$N$122:$Y$133,4,FALSE)*('DB additional information '!$S$8/100*'DB additional information '!$U$8*E273/1000/1000)))</f>
        <v/>
      </c>
      <c r="X273" s="267" t="str">
        <f>IF($C$269=0,"",IF('Calc (ex-animal)'!$F$38=1,"",IF(D273="","",((VLOOKUP($C$269,'Calc (ex-animal)'!$D$48:$Y$52,13,FALSE)-VLOOKUP($C$269,'Calc (ex-animal)'!$D$48:$Y$52,19,FALSE))*F273/100+U273+V273+W273))))</f>
        <v/>
      </c>
      <c r="Y273" s="433" t="str">
        <f>IF(D273="","",(VLOOKUP(D273,'DB technologies'!$N$122:$Y$133,2,FALSE)*'DB additional information '!$S$6/100*'DB additional information '!$V$6*VLOOKUP($C$269,'DB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Z273" s="433" t="str">
        <f>IF(D273="","",(VLOOKUP(D273,'DB technologies'!$N$122:$Y$133,3,FALSE)*'DB additional information '!$S$7/100*'DB additional information '!$V$7*VLOOKUP($C$269,'DB animal categories'!$C$91:$AC$100,27,FALSE)*E273/1000/1000)/VLOOKUP($C$269,'DB animal categories'!$C$91:$AC$100,27,FALSE)*(VLOOKUP($C$269,'DB animal categories'!$C$91:$AC$100,27,FALSE)-VLOOKUP($C$269,'DB animal categories'!$C$91:$AC$100,25,FALSE)*VLOOKUP($C$269,'DB animal categories'!$C$91:$AC$100,26,FALSE)/24))</f>
        <v/>
      </c>
      <c r="AA273" s="433" t="str">
        <f>IF(D273="","",(VLOOKUP(D273,'DB technologies'!$N$122:$Y$133,4,FALSE)*('DB additional information '!$S$8/100*'DB additional information '!$V$8*E273/1000/1000)))</f>
        <v/>
      </c>
      <c r="AB273" s="267" t="str">
        <f>IF($C$269=0,"",IF('Calc (ex-animal)'!$F$38=1,"",IF(D273="","",((VLOOKUP($C$269,'Calc (ex-animal)'!$D$48:$Y$52,16,FALSE)-VLOOKUP($C$269,'Calc (ex-animal)'!$D$48:$Y$52,20,FALSE))*F273/100+Y273+Z273+AA273))))</f>
        <v/>
      </c>
      <c r="AC273" s="267" t="str">
        <f>IF($C$269=0,"",IF('Calc (ex-animal)'!$F$38=1,"",IF(D273="","",VLOOKUP($C$269,'Calc (ex-animal)'!$D$48:$Y$52,9,FALSE)/VLOOKUP($C$269,'DB animal categories'!$C$91:$AC$100,27,FALSE)*(VLOOKUP($C$269,'DB animal categories'!$C$91:$AC$100,27,FALSE)-VLOOKUP($C$269,'DB animal categories'!$C$91:$AC$100,25,FALSE)*VLOOKUP($C$269,'DB animal categories'!$C$91:$AC$100,26,FALSE)/24)*F273/100*VLOOKUP(D273,'DB technologies'!$N$122:$R$133,5,FALSE)/100)))</f>
        <v/>
      </c>
      <c r="AD273" s="267" t="str">
        <f>IF($C$269=0,"",IF('Calc (ex-animal)'!$F$38=1,"",IF(D273="","",VLOOKUP($C$269,'Calc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categories'!$C$91:$AC$100,26,FALSE)/24)*F273/100*VLOOKUP(D273,'DB technologies'!$N$122:$Y$133,6,FALSE)/100)))</f>
        <v/>
      </c>
      <c r="AE273" s="268" t="str">
        <f>IF($C$269=0,"",IF('Calc (ex-animal)'!$F$38=1,"",IF(D273="","",VLOOKUP($C$269,'Calc (ex-animal)'!$D$48:$Y$52,10,FALSE)/VLOOKUP($C$269,'DB animal categories'!$C$91:$AC$100,27,FALSE)*(VLOOKUP($C$269,'DB animal categories'!$C$91:$AC$100,27,FALSE)-VLOOKUP($C$269,'DB animal categories'!$C$91:$AC$100,25,FALSE)*VLOOKUP($C$269,'DB animal categories'!$C$91:$AC$100,26,FALSE)/24)*F273/100*VLOOKUP(D273,'DB technologies'!$N$122:$Y$133,7,FALSE)/100)))</f>
        <v/>
      </c>
      <c r="AI273" s="183" t="str">
        <f>IF(D273="","",VLOOKUP(D273,'DB technologies'!$N$122:$Y$133,10,FALSE))</f>
        <v/>
      </c>
      <c r="AJ273" s="451" t="e">
        <f>VLOOKUP($C$269,'DB animal categories'!$C$91:$AN$100,27,FALSE)-VLOOKUP($C$269,'DB animal categories'!$C$91:$AN$100,26,FALSE)*VLOOKUP($C$269,'DB animal categories'!$C$91:$AN$100,25,FALSE)/24</f>
        <v>#N/A</v>
      </c>
      <c r="AK273" s="452" t="str">
        <f>IF(AI273="","",AL273+AM273)</f>
        <v/>
      </c>
      <c r="AL273" s="452" t="str">
        <f>IF(D273="","",IF(AI273=2,(('Calc (ex-animal)'!$G$52*'DB additional information '!$K$11/100*(1-VLOOKUP(D273,'DB technologies'!$N$122:$Y$133,9,FALSE)/100)*'Calc (ex-housing, ex-storage)'!F273/100+'Calc (ex-animal)'!$H$52*'DB additional information '!$L$11/100*(1-VLOOKUP(D273,'DB technologies'!$N$122:$Y$133,9,FALSE)/100)*'Calc (ex-housing, ex-storage)'!F273/100))/VLOOKUP($C$269,'DB animal categories'!$C$91:$AC$100,27,FALSE)*AJ273+I273+J273+K273,IF(AI273=1,('Calc (ex-animal)'!$H$52*'DB additional information '!$L$11/100*(1-VLOOKUP(D273,'DB technologies'!$N$122:$Y$133,9,FALSE)/100)*'Calc (ex-housing, ex-storage)'!F273/100)/VLOOKUP($C$269,'DB animal categories'!$C$91:$AC$100,27,FALSE)*AJ273,IF(AI273=4,('Calc (ex-animal)'!$G$52*'DB additional information '!$K$11/100+'Calc (ex-animal)'!$H$52*'DB additional information '!$L$11/100)*(1-VLOOKUP(D273,'DB technologies'!$N$122:$Y$133,9,FALSE)/100)*'Calc (ex-housing, ex-storage)'!F273/100*VLOOKUP(D273,'DB technologies'!$N$122:$Y$133,11,FALSE)/100/VLOOKUP($C$269,'DB animal categories'!$C$91:$AC$100,27,FALSE)*AJ273,0))))</f>
        <v/>
      </c>
      <c r="AM273" s="452" t="str">
        <f>IF(D273="","",IF(AI273=2,(('Calc (ex-animal)'!$G$52*(1-'DB additional information '!$K$11/100)*(1-VLOOKUP(D273,'DB technologies'!$N$122:$Y$133,8,FALSE)/100)*'Calc (ex-housing, ex-storage)'!F273/100+'Calc (ex-animal)'!$H$52*(1-'DB additional information '!$L$11/100)*(1-VLOOKUP(D273,'DB technologies'!$N$122:$Y$133,8,FALSE)/100)*'Calc (ex-housing, ex-storage)'!F273/100))/VLOOKUP($C$269,'DB animal categories'!$C$91:$AC$100,27,FALSE)*AJ273+M273+N273+O273,IF(AI273=1,('Calc (ex-animal)'!$H$52*(1-'DB additional information '!$L$11/100)*(1-VLOOKUP(D273,'DB technologies'!$N$122:$Y$133,8,FALSE)/100)*'Calc (ex-housing, ex-storage)'!F273/100)/VLOOKUP($C$269,'DB animal categories'!$C$91:$AC$100,27,FALSE)*AJ273,IF(AI273=4,('Calc (ex-animal)'!$G$52*(1-'DB additional information '!$K$11/100)+'Calc (ex-animal)'!$H$52*(1-'DB additional information '!$L$11/100))*(1-VLOOKUP(D273,'DB technologies'!$N$122:$Y$133,8,FALSE)/100)*'Calc (ex-housing, ex-storage)'!F273/100*VLOOKUP(D273,'DB technologies'!$N$122:$Y$133,11,FALSE)/100/VLOOKUP($C$269,'DB animal categories'!$C$91:$AC$100,27,FALSE)*AJ273,0))))</f>
        <v/>
      </c>
      <c r="AN273" s="452" t="str">
        <f>IF(AI273="","",IF(AL273=0,0,AL273/AK273*100))</f>
        <v/>
      </c>
      <c r="AO273" s="184" t="str">
        <f>IF(D273="","",IF(AI273=2,(('Calc (ex-animal)'!$L$52*'Calc (ex-housing, ex-storage)'!F273/100+'Calc (ex-animal)'!$K$52*'Calc (ex-housing, ex-storage)'!F273/100))/VLOOKUP($C$269,'DB animal categories'!$C$91:$AC$100,27,FALSE)*AJ273+Q273+R273+S273-AC273,IF(AI273=1,('Calc (ex-animal)'!$L$52*'Calc (ex-housing, ex-storage)'!F273/100)/VLOOKUP($C$269,'DB animal categories'!$C$91:$AC$100,27,FALSE)*AJ273-'Calc (ex-housing, ex-storage)'!AC273,IF(AI273=4,('Calc (ex-animal)'!$L$52+'Calc (ex-animal)'!$K$52)*'Calc (ex-housing, ex-storage)'!F273/100*VLOOKUP(D273,'DB technologies'!$N$122:$Y$133,11,FALSE)/100/VLOOKUP($C$269,'DB animal categories'!$C$91:$AC$100,27,FALSE)*AJ273-AC273*VLOOKUP(D273,'DB technologies'!$N$122:$Y$133,11,FALSE)/100,0))))</f>
        <v/>
      </c>
      <c r="AP273" s="184" t="str">
        <f>IF(D273="","",IF(AO273&lt;-0.01,0,IF(AI273=2,(('Calc (ex-animal)'!$L$52*'Calc (ex-housing, ex-storage)'!F273/100+'Calc (ex-animal)'!$K$52*'Calc (ex-housing, ex-storage)'!F273/100))/VLOOKUP($C$269,'DB animal categories'!$C$91:$AC$100,27,FALSE)*AJ273+Q273+R273+S273-AC273,IF(AI273=1,('Calc (ex-animal)'!$L$52*'Calc (ex-housing, ex-storage)'!F273/100)/VLOOKUP($C$269,'DB animal categories'!$C$91:$AC$100,27,FALSE)*AJ273-'Calc (ex-housing, ex-storage)'!AC273,IF(AI273=4,('Calc (ex-animal)'!$L$52+'Calc (ex-animal)'!$K$52)*'Calc (ex-housing, ex-storage)'!F273/100*VLOOKUP(D273,'DB technologies'!$N$122:$Y$133,11,FALSE)/100/VLOOKUP($C$269,'DB animal categories'!$C$91:$AC$100,27,FALSE)*AJ273-AC273*VLOOKUP(D273,'DB technologies'!$N$122:$Y$133,11,FALSE)/100,0)))))</f>
        <v/>
      </c>
      <c r="AQ273" s="184" t="str">
        <f>IF(D273="","",IF(AI273=2,('Calc (ex-animal)'!$O$52*'Calc (ex-housing, ex-storage)'!F273/100+'Calc (ex-animal)'!$N$52*'Calc (ex-housing, ex-storage)'!F273/100)/VLOOKUP($C$269,'DB animal categories'!$C$91:$AC$100,27,FALSE)*AJ273+U273+V273+W273,IF(AI273=1,'Calc (ex-animal)'!$O$52*'Calc (ex-housing, ex-storage)'!F273/100/VLOOKUP($C$269,'DB animal categories'!$C$91:$AC$100,27,FALSE)*AJ273,IF(AI273=4,('Calc (ex-animal)'!$O$52+'Calc (ex-animal)'!$N$52)*'Calc (ex-housing, ex-storage)'!F273/100*VLOOKUP(D273,'DB technologies'!$N$122:$Y$133,11,FALSE)/100/VLOOKUP($C$269,'DB animal categories'!$C$91:$AC$100,27,FALSE)*AJ273,0))))</f>
        <v/>
      </c>
      <c r="AR273" s="184" t="str">
        <f>IF(D273="","",IF(AI273=2,('Calc (ex-animal)'!$R$52*'Calc (ex-housing, ex-storage)'!F273/100+'Calc (ex-animal)'!$Q$52*'Calc (ex-housing, ex-storage)'!F273/100)/VLOOKUP($C$269,'DB animal categories'!$C$91:$AC$100,27,FALSE)*AJ273+Y273+Z273+AA273,IF(AI273=1,'Calc (ex-animal)'!$R$52*'Calc (ex-housing, ex-storage)'!F273/100/VLOOKUP($C$269,'DB animal categories'!$C$91:$AC$100,27,FALSE)*AJ273,IF(AI273=4,('Calc (ex-animal)'!$R$52+'Calc (ex-animal)'!$Q$52)*'Calc (ex-housing, ex-storage)'!F273/100*VLOOKUP(D273,'DB technologies'!$N$122:$Y$133,11,FALSE)/100/VLOOKUP($C$269,'DB animal categories'!$C$91:$AC$100,27,FALSE)*AJ273,0))))</f>
        <v/>
      </c>
      <c r="AS273" s="183" t="str">
        <f>IF(D273="","",VLOOKUP(D273,'DB technologies'!$N$122:$Y$133,10,FALSE))</f>
        <v/>
      </c>
      <c r="AT273" s="452" t="str">
        <f>IF(AS273="","",AU273+AV273)</f>
        <v/>
      </c>
      <c r="AU273" s="452" t="str">
        <f>IF(D273="","",IF(AS273=2,0,IF(AS273=1,'Calc (ex-animal)'!$G$52*'DB additional information '!$K$11/100*(1-VLOOKUP(D273,'DB technologies'!$N$122:$Y$133,8,FALSE)/100)*'Calc (ex-housing, ex-storage)'!F273/100/VLOOKUP($C$269,'DB animal categories'!$C$91:$AC$100,27,FALSE)*AJ273+I273+J273+K273,IF(AS273=5,(('Calc (ex-animal)'!$G$52*'DB additional information '!$K$11/100+'Calc (ex-animal)'!$H$52*'DB additional information '!$L$11/100))*(1-VLOOKUP(D273,'DB technologies'!$N$122:$Y$133,9,FALSE)/100)*'Calc (ex-housing, ex-storage)'!F273/100/VLOOKUP($C$269,'DB animal categories'!$C$91:$AC$100,27,FALSE)*AJ273+I273+J273+K273,IF(AS273=3,('Calc (ex-animal)'!$G$52*'DB additional information '!$K$11/100+'Calc (ex-animal)'!$H$52*'DB additional information '!$L$11/100)*(1-VLOOKUP(D273,'DB technologies'!$N$122:$Y$133,9,FALSE)/100)*'Calc (ex-housing, ex-storage)'!F273/100/VLOOKUP($C$269,'DB animal categories'!$C$91:$AC$100,27,FALSE)*AJ273+I273+J273+K273,IF(AS273=4,('Calc (ex-animal)'!$G$52*'DB additional information '!$K$11/100+'Calc (ex-animal)'!$H$52*'DB additional information '!$L$11/100)*(1-VLOOKUP(D273,'DB technologies'!$N$122:$Y$133,9,FALSE)/100)*'Calc (ex-housing, ex-storage)'!F273/100*VLOOKUP(D273,'DB technologies'!$N$122:$Y$133,12,FALSE)/100/VLOOKUP($C$269,'DB animal categories'!$C$91:$AC$100,27,FALSE)*AJ273+I273+J273+K273,0))))))</f>
        <v/>
      </c>
      <c r="AV273" s="452" t="str">
        <f>IF(D273="","",IF(AS273=2,0,IF(AS273=1,'Calc (ex-animal)'!$G$52*(1-'DB additional information '!$K$11/100)*(1-VLOOKUP(D273,'DB technologies'!$N$122:$Y$133,8,FALSE)/100)*'Calc (ex-housing, ex-storage)'!F273/100/VLOOKUP($C$269,'DB animal categories'!$C$91:$AC$100,27,FALSE)*AJ273+M273+N273+O273,IF(AS273=5,('Calc (ex-animal)'!$G$52*(1-'DB additional information '!$K$11/100)+'Calc (ex-animal)'!$H$52*(1-'DB additional information '!$L$11/100))*(1-VLOOKUP(D273,'DB technologies'!$N$122:$Y$133,8,FALSE)/100)*'Calc (ex-housing, ex-storage)'!F273/100/VLOOKUP($C$269,'DB animal categories'!$C$91:$AC$100,27,FALSE)*AJ273+M273+N273+O273,IF(AS273=3,('Calc (ex-animal)'!$G$52*(1-'DB additional information '!$K$11/100)+'Calc (ex-animal)'!$H$52*(1-'DB additional information '!$L$11/100))*(1-VLOOKUP(D273,'DB technologies'!$N$122:$Y$133,8,FALSE)/100)*'Calc (ex-housing, ex-storage)'!F273/100/VLOOKUP($C$269,'DB animal categories'!$C$91:$AC$100,27,FALSE)*AJ273+M273+N273+O273,IF(AS273=4,('Calc (ex-animal)'!$G$52*(1-'DB additional information '!$K$11/100)+'Calc (ex-animal)'!$H$52*(1-'DB additional information '!$L$11/100))*(1-VLOOKUP(D273,'DB technologies'!$N$122:$Y$133,8,FALSE)/100)*'Calc (ex-housing, ex-storage)'!F273/100*VLOOKUP(D273,'DB technologies'!$N$122:$Y$133,12,FALSE)/100/VLOOKUP($C$269,'DB animal categories'!$C$91:$AC$100,27,FALSE)*AJ273+M273+N273+O273,0))))))</f>
        <v/>
      </c>
      <c r="AW273" s="452" t="str">
        <f>IF(AS273="","",IF(AU273=0,0,AU273/AT273*100))</f>
        <v/>
      </c>
      <c r="AX273" s="184" t="str">
        <f>IF(D273="","",IF(AS273=2,0,IF(AS273=1,'Calc (ex-animal)'!$K$52*'Calc (ex-housing, ex-storage)'!F273/100/VLOOKUP($C$269,'DB animal categories'!$C$91:$AC$100,27,FALSE)*AJ273+Q273+R273+S273,IF(AS273=5,('Calc (ex-animal)'!$K$52+'Calc (ex-animal)'!$L$52)*'Calc (ex-housing, ex-storage)'!F273/100/VLOOKUP($C$269,'DB animal categories'!$C$91:$AC$100,27,FALSE)*AJ273+Q273+R273+S273-'Calc (ex-housing, ex-storage)'!AC273,IF(AS273=3,('Calc (ex-animal)'!$K$52+'Calc (ex-animal)'!$L$52)*'Calc (ex-housing, ex-storage)'!F273/100/VLOOKUP($C$269,'DB animal categories'!$C$91:$AC$100,27,FALSE)*AJ273+Q273+R273+S273-'Calc (ex-housing, ex-storage)'!AC273-AD273-AE273,IF(AI273=4,('Calc (ex-animal)'!$K$52+'Calc (ex-animal)'!$L$52)*'Calc (ex-housing, ex-storage)'!F273/100*VLOOKUP(D273,'DB technologies'!$N$122:$Y$133,12,FALSE)/100/VLOOKUP($C$269,'DB animal categories'!$C$91:$AC$100,27,FALSE)*AJ273+Q273+R273+S273-(VLOOKUP(D273,'DB technologies'!$N$122:$Y$133,12,FALSE)/100*AC273)-AD273-AE273,0))))))</f>
        <v/>
      </c>
      <c r="AY273" s="184" t="str">
        <f>IF(D273="","",IF(AS273=2,0,IF(AS273=1,'Calc (ex-animal)'!$N$52*'Calc (ex-housing, ex-storage)'!F273/100/VLOOKUP($C$269,'DB animal categories'!$C$91:$AC$100,27,FALSE)*AJ273+U273+V273+W273,IF(AS273=5,('Calc (ex-animal)'!$N$52+'Calc (ex-animal)'!$O$52)*'Calc (ex-housing, ex-storage)'!F273/100/VLOOKUP($C$269,'DB animal categories'!$C$91:$AC$100,27,FALSE)*AJ273+U273+V273+W273,IF(AS273=3,('Calc (ex-animal)'!$N$52+'Calc (ex-animal)'!$O$52)*'Calc (ex-housing, ex-storage)'!F273/100/VLOOKUP($C$269,'DB animal categories'!$C$91:$AC$100,27,FALSE)*AJ273+U273+V273+W273,IF(AS273=4,('Calc (ex-animal)'!$N$52+'Calc (ex-animal)'!$O$52)*'Calc (ex-housing, ex-storage)'!F273/100*VLOOKUP(D273,'DB technologies'!$N$122:$Y$133,12,FALSE)/100/VLOOKUP($C$269,'DB animal categories'!$C$91:$AC$100,27,FALSE)*AJ273+U273+V273+W273,0))))))</f>
        <v/>
      </c>
      <c r="AZ273" s="184" t="str">
        <f>IF(D273="","",IF(AS273=2,0,IF(AS273=1,'Calc (ex-animal)'!$Q$52*'Calc (ex-housing, ex-storage)'!F273/100/VLOOKUP($C$269,'DB animal categories'!$C$91:$AC$100,27,FALSE)*AJ273+Y273+Z273+AA273,IF(AS273=5,('Calc (ex-animal)'!$Q$52+'Calc (ex-animal)'!$R$52)*'Calc (ex-housing, ex-storage)'!F273/100/VLOOKUP($C$269,'DB animal categories'!$C$91:$AC$100,27,FALSE)*AJ273+Y273+Z273+AA273,IF(AS273=3,('Calc (ex-animal)'!$Q$52+'Calc (ex-animal)'!$R$52)*'Calc (ex-housing, ex-storage)'!F273/100/VLOOKUP($C$269,'DB animal categories'!$C$91:$AC$100,27,FALSE)*AJ273+Y273+Z273+AA273,IF(AS273=4,('Calc (ex-animal)'!$Q$52+'Calc (ex-animal)'!$R$52)*'Calc (ex-housing, ex-storage)'!F273/100*VLOOKUP(D273,'DB technologies'!$N$122:$Y$133,12,FALSE)/100/VLOOKUP($C$269,'DB animal categories'!$C$91:$AC$100,27,FALSE)*AJ273+Y273+Z273+AA273,0))))))</f>
        <v/>
      </c>
      <c r="BA273" s="506"/>
      <c r="BB273" s="506"/>
      <c r="BC273" s="506"/>
    </row>
    <row r="274" spans="1:55" ht="12" thickBot="1" x14ac:dyDescent="0.25">
      <c r="A274" s="684"/>
      <c r="B274" s="696"/>
      <c r="C274" s="251"/>
      <c r="D274" s="281" t="s">
        <v>58</v>
      </c>
      <c r="E274" s="282">
        <f>IF(F274&lt;=100,SUM(E269:E273),"ERROR")</f>
        <v>0</v>
      </c>
      <c r="F274" s="283">
        <f>IF(SUM(F269:F273) &lt;=100,SUM(F269:F273),"ERROR, SUM&gt;100%")</f>
        <v>0</v>
      </c>
      <c r="G274" s="550">
        <f>IF('Calc (ex-animal)'!$F$38=1,"",SUM(G269:G273))</f>
        <v>0</v>
      </c>
      <c r="H274" s="418">
        <f>IF('Calc (ex-animal)'!$F$8=1,"",SUM(H269:H273))</f>
        <v>0</v>
      </c>
      <c r="I274" s="418">
        <f>IF('Calc (ex-animal)'!$F$8=1,"",SUM(I269:I273))</f>
        <v>0</v>
      </c>
      <c r="J274" s="418">
        <f>IF('Calc (ex-animal)'!$F$8=1,"",SUM(J269:J273))</f>
        <v>0</v>
      </c>
      <c r="K274" s="418">
        <f>IF('Calc (ex-animal)'!$F$8=1,"",SUM(K269:K273))</f>
        <v>0</v>
      </c>
      <c r="L274" s="418">
        <f>IF('Calc (ex-animal)'!$F$8=1,"",SUM(L269:L273))</f>
        <v>0</v>
      </c>
      <c r="M274" s="551"/>
      <c r="N274" s="551"/>
      <c r="O274" s="551"/>
      <c r="P274" s="552">
        <f>IF(G274=0,0,IF('Calc (ex-animal)'!$F$38=1,"",IF(D274="","",SUM(H274:K274)/G274*100)))</f>
        <v>0</v>
      </c>
      <c r="Q274" s="394"/>
      <c r="R274" s="394"/>
      <c r="S274" s="394"/>
      <c r="T274" s="278">
        <f>IF('Calc (ex-animal)'!$F$52=1,"",SUM(T269:T273))</f>
        <v>0</v>
      </c>
      <c r="U274" s="279"/>
      <c r="V274" s="279"/>
      <c r="W274" s="279"/>
      <c r="X274" s="279">
        <f>IF('Calc (ex-animal)'!$F$52=1,"",SUM(X269:X273))</f>
        <v>0</v>
      </c>
      <c r="Y274" s="279"/>
      <c r="Z274" s="279"/>
      <c r="AA274" s="279"/>
      <c r="AB274" s="279">
        <f>IF('Calc (ex-animal)'!$F$52=1,"",SUM(AB269:AB273))</f>
        <v>0</v>
      </c>
      <c r="AC274" s="279">
        <f>IF('Calc (ex-animal)'!$F$52=1,"",SUM(AC269:AC273))</f>
        <v>0</v>
      </c>
      <c r="AD274" s="279">
        <f>IF('Calc (ex-animal)'!$F$52=1,"",SUM(AD269:AD273))</f>
        <v>0</v>
      </c>
      <c r="AE274" s="280">
        <f>IF('Calc (ex-animal)'!$F$52=1,"",SUM(AE269:AE273))</f>
        <v>0</v>
      </c>
    </row>
    <row r="275" spans="1:55" x14ac:dyDescent="0.2">
      <c r="A275" s="684"/>
      <c r="B275" s="741" t="s">
        <v>75</v>
      </c>
      <c r="C275" s="169">
        <f>'Calc (ex-animal)'!D53</f>
        <v>0</v>
      </c>
      <c r="D275" s="295" t="s">
        <v>58</v>
      </c>
      <c r="E275" s="296" t="str">
        <f>IF('Calc (ex-animal)'!F53=1,'Calc (ex-animal)'!E53,"")</f>
        <v/>
      </c>
      <c r="F275" s="297" t="str">
        <f>IF('Calc (ex-animal)'!F53=1,100,"")</f>
        <v/>
      </c>
      <c r="G275" s="395"/>
      <c r="H275" s="395"/>
      <c r="I275" s="395"/>
      <c r="J275" s="395"/>
      <c r="K275" s="395"/>
      <c r="L275" s="395"/>
      <c r="M275" s="395"/>
      <c r="N275" s="395"/>
      <c r="O275" s="395"/>
      <c r="P275" s="395"/>
      <c r="Q275" s="395"/>
      <c r="R275" s="395"/>
      <c r="S275" s="395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1"/>
      <c r="AK275" s="111"/>
    </row>
    <row r="276" spans="1:55" ht="12" thickBot="1" x14ac:dyDescent="0.25">
      <c r="A276" s="685"/>
      <c r="B276" s="742"/>
      <c r="C276" s="172">
        <f>'Calc (ex-animal)'!D54</f>
        <v>0</v>
      </c>
      <c r="D276" s="292" t="s">
        <v>58</v>
      </c>
      <c r="E276" s="293" t="str">
        <f>IF('Calc (ex-animal)'!F54=1,'Calc (ex-animal)'!E54,"")</f>
        <v/>
      </c>
      <c r="F276" s="294" t="str">
        <f>IF('Calc (ex-animal)'!F54=1,100,"")</f>
        <v/>
      </c>
      <c r="G276" s="396"/>
      <c r="H276" s="396"/>
      <c r="I276" s="396"/>
      <c r="J276" s="396"/>
      <c r="K276" s="396"/>
      <c r="L276" s="396"/>
      <c r="M276" s="396"/>
      <c r="N276" s="396"/>
      <c r="O276" s="396"/>
      <c r="P276" s="396"/>
      <c r="Q276" s="396"/>
      <c r="R276" s="396"/>
      <c r="S276" s="396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4"/>
    </row>
    <row r="277" spans="1:55" x14ac:dyDescent="0.2">
      <c r="A277" s="683" t="s">
        <v>79</v>
      </c>
      <c r="B277" s="694" t="s">
        <v>179</v>
      </c>
      <c r="C277" s="254">
        <f>'Calc (ex-animal)'!D58</f>
        <v>0</v>
      </c>
      <c r="D277" s="1355"/>
      <c r="E277" s="1356"/>
      <c r="F277" s="479" t="str">
        <f>IF('Calc (ex-animal)'!$F$58=1,"",IF($C$277=0,"",IF(D277="","",E277/'Calc (ex-animal)'!$E$58*100)))</f>
        <v/>
      </c>
      <c r="G277" s="484" t="str">
        <f>IF($C$277=0,"",IF('Calc (ex-animal)'!$F$58=1,"",IF(D277="","",SUM(H277:O277))))</f>
        <v/>
      </c>
      <c r="H277" s="471" t="str">
        <f>IF('Calc (ex-animal)'!$F$58=1,"",IF(D277="","",(((VLOOKUP($C$277,'Calc (ex-animal)'!$D$58:$Y$62,6,FALSE)-VLOOKUP($C$277,'Calc (ex-animal)'!$D$58:$Y$62,17,FALSE))*F277/100))*VLOOKUP($C$277,'Calc (ex-animal)'!$D$58:$Y$62,7,FALSE)/100*(1-VLOOKUP(D277,'DB technologies'!$N$138:$Y$152,9,FALSE)/100)))</f>
        <v/>
      </c>
      <c r="I277" s="471" t="str">
        <f>IF(D277="","",((VLOOKUP(D277,'DB technologies'!$N$138:$Y$152,2,FALSE)*VLOOKUP($C$277,'DB animal categories'!$C$107:$AC$116,27,FALSE)*E277/1000)/VLOOKUP($C$277,'DB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'!$S$6/100*(1-VLOOKUP(D277,'DB technologies'!$N$138:$Y$152,9,FALSE)/100)))</f>
        <v/>
      </c>
      <c r="J277" s="472" t="str">
        <f>IF(D277="","",((VLOOKUP(D277,'DB technologies'!$N$138:$Y$152,3,FALSE)*VLOOKUP($C$277,'DB animal categories'!$C$107:$AC$116,27,FALSE)*E277/1000)/VLOOKUP($C$277,'DB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'!$S$7/100*(1-VLOOKUP(D277,'DB technologies'!$N$138:$Y$152,9,FALSE)/100)))</f>
        <v/>
      </c>
      <c r="K277" s="472" t="str">
        <f>IF(D277="","",((VLOOKUP(D277,'DB technologies'!$N$138:$Y$152,4,FALSE)*E277*'DB additional information '!$S$8/100*(1-VLOOKUP(D277,'DB technologies'!$N$138:$Y$152,9,FALSE)/100))/VLOOKUP($C$277,'DB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L277" s="471" t="str">
        <f>IF('Calc (ex-animal)'!$F$58=1,"",IF(D277="","",(((VLOOKUP($C$277,'Calc (ex-animal)'!$D$58:$Y$62,6,FALSE)-VLOOKUP($C$277,'Calc (ex-animal)'!$D$58:$Y$62,17,FALSE))*F277/100))*(1-VLOOKUP($C$277,'Calc (ex-animal)'!$D$58:$Y$62,7,FALSE)/100)*(1-VLOOKUP(D277,'DB technologies'!$N$138:$V$152,8,FALSE)/100)))</f>
        <v/>
      </c>
      <c r="M277" s="472" t="str">
        <f>IF(D277="","",((VLOOKUP(D277,'DB technologies'!$N$138:$Y$152,2,FALSE)*VLOOKUP($C$277,'DB animal categories'!$C$107:$AC$116,27,FALSE)*E277/1000)/VLOOKUP($C$277,'DB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'!$S$6/100)*(1-VLOOKUP(D277,'DB technologies'!$N$138:$Y$152,9,FALSE)/100))</f>
        <v/>
      </c>
      <c r="N277" s="472" t="str">
        <f>IF(D277="","",((VLOOKUP(D277,'DB technologies'!$N$138:$Y$152,3,FALSE)*VLOOKUP($C$277,'DB animal categories'!$C$107:$AC$116,27,FALSE)*E277/1000)/VLOOKUP($C$277,'DB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'!$S$7/100)*(1-VLOOKUP(D277,'DB technologies'!$N$138:$Y$152,9,FALSE)/100))</f>
        <v/>
      </c>
      <c r="O277" s="471" t="str">
        <f>IF(D277="","",((VLOOKUP(D277,'DB technologies'!$N$138:$Y$152,4,FALSE)*E277*(1-'DB additional information '!$S$8/100)*(1-VLOOKUP(D277,'DB technologies'!$N$138:$Y$152,8,FALSE)/100))/VLOOKUP($C$277,'DB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P277" s="443" t="str">
        <f>IF(G277=0,0,IF(E277="","",IF(F277="","",IF($C$277=0,"",IF(D277="","",SUM(H277:K277)/G277*100)))))</f>
        <v/>
      </c>
      <c r="Q277" s="473" t="str">
        <f>IF(D277="","",(VLOOKUP(D277,'DB technologies'!$N$138:$Y$152,2,FALSE)*'DB additional information '!$S$6/100*'DB additional information '!$T$6*VLOOKUP($C$277,'DB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R277" s="473" t="str">
        <f>IF(D277="","",(VLOOKUP(D277,'DB technologies'!$N$138:$Y$152,3,FALSE)*'DB additional information '!$S$7/100*'DB additional information '!$T$7*VLOOKUP($C$277,'DB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S277" s="490" t="str">
        <f>IF(D277="","",(VLOOKUP(D277,'DB technologies'!$N$138:$Y$152,4,FALSE)*('DB additional information '!$S$8/100*'DB additional information '!$T$8*E277/1000/1000)))</f>
        <v/>
      </c>
      <c r="T277" s="263" t="str">
        <f>IF($C$277=0,"",IF('Calc (ex-animal)'!$F$58=1,"",IF(D277="","",((VLOOKUP($C$277,'Calc (ex-animal)'!$D$58:$Y$62,10,FALSE)-VLOOKUP($C$277,'Calc (ex-animal)'!$D$58:$Y$62,18,FALSE))*F277/100+Q277+R277+S277)-AC277-AD277-AE277)))</f>
        <v/>
      </c>
      <c r="U277" s="474" t="str">
        <f>IF(D277="","",(VLOOKUP(D277,'DB technologies'!$N$138:$Y$152,2,FALSE)*'DB additional information '!$S$6/100*'DB additional information '!$U$6*VLOOKUP($C$277,'DB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V277" s="420" t="str">
        <f>IF(D277="","",(VLOOKUP(D277,'DB technologies'!$N$138:$Y$152,3,FALSE)*'DB additional information '!$S$7/100*'DB additional information '!$U$7*VLOOKUP($C$277,'DB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W277" s="415" t="str">
        <f>IF(D277="","",(VLOOKUP(D277,'DB technologies'!$N$138:$Y$152,4,FALSE)*('DB additional information '!$S$8/100*'DB additional information '!$U$8*E277/1000/1000)))</f>
        <v/>
      </c>
      <c r="X277" s="259" t="str">
        <f>IF($C$277=0,"",IF('Calc (ex-animal)'!$F$58=1,"",IF(D277="","",((VLOOKUP($C$277,'Calc (ex-animal)'!$D$58:$Y$62,13,FALSE)-VLOOKUP($C$277,'Calc (ex-animal)'!$D$58:$Y$62,19,FALSE))*F277/100+U277+V277+W277))))</f>
        <v/>
      </c>
      <c r="Y277" s="420" t="str">
        <f>IF(D277="","",(VLOOKUP(D277,'DB technologies'!$N$138:$Y$152,2,FALSE)*'DB additional information '!$S$6/100*'DB additional information '!$V$6*VLOOKUP($C$277,'DB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Z277" s="420" t="str">
        <f>IF(D277="","",(VLOOKUP(D277,'DB technologies'!$N$138:$Y$152,3,FALSE)*'DB additional information '!$S$7/100*'DB additional information '!$V$7*VLOOKUP($C$277,'DB animal categories'!$C$107:$AC$116,27,FALSE)*E277/1000/1000)/VLOOKUP($C$277,'DB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AA277" s="420" t="str">
        <f>IF(D277="","",(VLOOKUP(D277,'DB technologies'!$N$138:$Y$152,4,FALSE)*('DB additional information '!$S$8/100*'DB additional information '!$V$8*E277/1000/1000)))</f>
        <v/>
      </c>
      <c r="AB277" s="259" t="str">
        <f>IF($C$277=0,"",IF('Calc (ex-animal)'!$F$58=1,"",IF(D277="","",((VLOOKUP($C$277,'Calc (ex-animal)'!$D$58:$Y$62,16,FALSE)-VLOOKUP($C$277,'Calc (ex-animal)'!$D$58:$Y$62,20,FALSE))*F277/100+Y277+Z277+AA277))))</f>
        <v/>
      </c>
      <c r="AC277" s="259" t="str">
        <f>IF($C$277=0,"",IF('Calc (ex-animal)'!$F$58=1,"",IF(D277="","",VLOOKUP($C$277,'Calc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categories'!$C$107:$AC$116,26,FALSE)/24)*F277/100*VLOOKUP(D277,'DB technologies'!$N$138:$R$152,5,FALSE)/100)))</f>
        <v/>
      </c>
      <c r="AD277" s="259" t="str">
        <f>IF($C$277=0,"",IF('Calc (ex-animal)'!$F$58=1,"",IF(D277="","",VLOOKUP($C$277,'Calc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categories'!$C$107:$AC$116,26,FALSE)/24)*F277/100*VLOOKUP(D277,'DB technologies'!$N$138:$Y$152,6,FALSE)/100)))</f>
        <v/>
      </c>
      <c r="AE277" s="260" t="str">
        <f>IF($C$277=0,"",IF('Calc (ex-animal)'!$F$58=1,"",IF(D277="","",VLOOKUP($C$277,'Calc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categories'!$C$107:$AC$116,26,FALSE)/24)*F277/100*VLOOKUP(D277,'DB technologies'!$N$138:$Y$152,7,FALSE)/100)))</f>
        <v/>
      </c>
      <c r="AI277" s="179" t="str">
        <f>IF(D277="","",VLOOKUP(D277,'DB technologies'!$N$138:$Y$152,10,FALSE))</f>
        <v/>
      </c>
      <c r="AJ277" s="482" t="e">
        <f>VLOOKUP($C$277,'DB animal categories'!$C$107:$AN$116,27,FALSE)-VLOOKUP($C$277,'DB animal categories'!$C$107:$AN$116,26,FALSE)*VLOOKUP($C$277,'DB animal categories'!$C$107:$AN$116,25,FALSE)/24</f>
        <v>#N/A</v>
      </c>
      <c r="AK277" s="453" t="str">
        <f>IF(AI277="","",AL277+AM277)</f>
        <v/>
      </c>
      <c r="AL277" s="453" t="str">
        <f>IF(D277="","",IF(AI277=2,(('Calc (ex-animal)'!$G$58*'DB additional information '!$K$15/100*(1-VLOOKUP(D277,'DB technologies'!$N$138:$Y$152,9,FALSE)/100)*'Calc (ex-housing, ex-storage)'!F277/100+'Calc (ex-animal)'!$H$58*'DB additional information '!$L$15/100*(1-VLOOKUP(D277,'DB technologies'!$N$138:$Y$152,9,FALSE)/100)*'Calc (ex-housing, ex-storage)'!F277/100))/VLOOKUP($C$277,'DB animal categories'!$C$107:$AC$116,27,FALSE)*AJ277+I277+J277+K277,IF(AI277=1,('Calc (ex-animal)'!$H$58*'DB additional information '!$L$15/100*(1-VLOOKUP(D277,'DB technologies'!$N$138:$Y$152,9,FALSE)/100)*'Calc (ex-housing, ex-storage)'!F277/100)/VLOOKUP($C$277,'DB animal categories'!$C$107:$AC$116,27,FALSE)*AJ277,IF(AI277=4,('Calc (ex-animal)'!$G$58*'DB additional information '!$K$15/100+'Calc (ex-animal)'!$H$58*'DB additional information '!$L$15/100)*(1-VLOOKUP(D277,'DB technologies'!$N$138:$Y$152,9,FALSE)/100)*'Calc (ex-housing, ex-storage)'!F277/100*VLOOKUP(D277,'DB technologies'!$N$138:$Y$152,11,FALSE)/100/VLOOKUP($C$277,'DB animal categories'!$C$107:$AC$116,27,FALSE)*AJ277,0))))</f>
        <v/>
      </c>
      <c r="AM277" s="453" t="str">
        <f>IF(D277="","",IF(AI277=2,(('Calc (ex-animal)'!$G$58*(1-'DB additional information '!$K$15/100)*(1-VLOOKUP(D277,'DB technologies'!$N$138:$Y$152,8,FALSE)/100)*'Calc (ex-housing, ex-storage)'!F277/100+'Calc (ex-animal)'!$H$58*(1-'DB additional information '!$L$15/100)*(1-VLOOKUP(D277,'DB technologies'!$N$138:$Y$152,8,FALSE)/100)*'Calc (ex-housing, ex-storage)'!F277/100))/VLOOKUP($C$277,'DB animal categories'!$C$107:$AC$116,27,FALSE)*AJ277+M277+N277+O277,IF(AI277=1,('Calc (ex-animal)'!$H$58*(1-'DB additional information '!$L$15/100)*(1-VLOOKUP(D277,'DB technologies'!$N$138:$Y$152,8,FALSE)/100)*'Calc (ex-housing, ex-storage)'!F277/100)/VLOOKUP($C$277,'DB animal categories'!$C$107:$AC$116,27,FALSE)*AJ277,IF(AI277=4,('Calc (ex-animal)'!$G$58*(1-'DB additional information '!$K$15/100)+'Calc (ex-animal)'!$H$58*(1-'DB additional information '!$L$15/100))*(1-VLOOKUP(D277,'DB technologies'!$N$138:$Y$152,8,FALSE)/100)*'Calc (ex-housing, ex-storage)'!F277/100*VLOOKUP(D277,'DB technologies'!$N$138:$Y$152,11,FALSE)/100/VLOOKUP($C$277,'DB animal categories'!$C$107:$AC$116,27,FALSE)*AJ277,0))))</f>
        <v/>
      </c>
      <c r="AN277" s="453" t="str">
        <f>IF(AI277="","",IF(AL277=0,0,AL277/AK277*100))</f>
        <v/>
      </c>
      <c r="AO277" s="180" t="str">
        <f>IF(D277="","",IF(AI277=2,(('Calc (ex-animal)'!$L$58*'Calc (ex-housing, ex-storage)'!F277/100+'Calc (ex-animal)'!$K$58*'Calc (ex-housing, ex-storage)'!F277/100))/VLOOKUP($C$277,'DB animal categories'!$C$107:$AC$116,27,FALSE)*AJ277+Q277+R277+S277-AC277,IF(AI277=1,('Calc (ex-animal)'!$L$58*'Calc (ex-housing, ex-storage)'!F277/100)/VLOOKUP($C$277,'DB animal categories'!$C$107:$AC$116,27,FALSE)*AJ277-'Calc (ex-housing, ex-storage)'!AC277,IF(AI277=4,('Calc (ex-animal)'!$L$58+'Calc (ex-animal)'!$K$58)*'Calc (ex-housing, ex-storage)'!F277/100*VLOOKUP(D277,'DB technologies'!$N$138:$Y$152,11,FALSE)/100/VLOOKUP($C$277,'DB animal categories'!$C$107:$AC$116,27,FALSE)*AJ277-AC277*VLOOKUP(D277,'DB technologies'!$N$138:$Y$152,11,FALSE)/100,0))))</f>
        <v/>
      </c>
      <c r="AP277" s="180" t="str">
        <f>IF(D277="","",IF(AO277&lt;-0.01,0,IF(AI277=2,(('Calc (ex-animal)'!$L$58*'Calc (ex-housing, ex-storage)'!F277/100+'Calc (ex-animal)'!$K$58*'Calc (ex-housing, ex-storage)'!F277/100))/VLOOKUP($C$277,'DB animal categories'!$C$107:$AC$116,27,FALSE)*AJ277+Q277+R277+S277-AC277,IF(AI277=1,('Calc (ex-animal)'!$L$58*'Calc (ex-housing, ex-storage)'!F277/100)/VLOOKUP($C$277,'DB animal categories'!$C$107:$AC$116,27,FALSE)*AJ277-'Calc (ex-housing, ex-storage)'!AC277,IF(AI277=4,('Calc (ex-animal)'!$L$58+'Calc (ex-animal)'!$K$58)*'Calc (ex-housing, ex-storage)'!F277/100*VLOOKUP(D277,'DB technologies'!$N$138:$Y$152,11,FALSE)/100/VLOOKUP($C$277,'DB animal categories'!$C$107:$AC$116,27,FALSE)*AJ277-AC277*VLOOKUP(D277,'DB technologies'!$N$138:$Y$152,11,FALSE)/100,0)))))</f>
        <v/>
      </c>
      <c r="AQ277" s="180" t="str">
        <f>IF(D277="","",IF(AI277=2,('Calc (ex-animal)'!$O$58*'Calc (ex-housing, ex-storage)'!F277/100+'Calc (ex-animal)'!$N$58*'Calc (ex-housing, ex-storage)'!F277/100)/VLOOKUP($C$277,'DB animal categories'!$C$107:$AC$116,27,FALSE)*AJ277+U277+V277+W277,IF(AI277=1,'Calc (ex-animal)'!$O$58*'Calc (ex-housing, ex-storage)'!F277/100/VLOOKUP($C$277,'DB animal categories'!$C$107:$AC$116,27,FALSE)*AJ277,IF(AI277=4,('Calc (ex-animal)'!$O$58+'Calc (ex-animal)'!$N$58)*'Calc (ex-housing, ex-storage)'!F277/100*VLOOKUP(D277,'DB technologies'!$N$138:$Y$152,11,FALSE)/100/VLOOKUP($C$277,'DB animal categories'!$C$107:$AC$116,27,FALSE)*AJ277,0))))</f>
        <v/>
      </c>
      <c r="AR277" s="180" t="str">
        <f>IF(D277="","",IF(AI277=2,('Calc (ex-animal)'!$R$58*'Calc (ex-housing, ex-storage)'!F277/100+'Calc (ex-animal)'!$Q$58*'Calc (ex-housing, ex-storage)'!F277/100)/VLOOKUP($C$277,'DB animal categories'!$C$107:$AC$116,27,FALSE)*AJ277+Y277+Z277+AA277,IF(AI277=1,'Calc (ex-animal)'!$R$58*'Calc (ex-housing, ex-storage)'!F277/100/VLOOKUP($C$277,'DB animal categories'!$C$107:$AC$116,27,FALSE)*AJ277,IF(AI277=4,('Calc (ex-animal)'!$R$58+'Calc (ex-animal)'!$Q$58)*'Calc (ex-housing, ex-storage)'!F277/100*VLOOKUP(D277,'DB technologies'!$N$138:$Y$152,11,FALSE)/100/VLOOKUP($C$277,'DB animal categories'!$C$107:$AC$116,27,FALSE)*AJ277,0))))</f>
        <v/>
      </c>
      <c r="AS277" s="179" t="str">
        <f>IF(D277="","",VLOOKUP(D277,'DB technologies'!$N$138:$Y$152,10,FALSE))</f>
        <v/>
      </c>
      <c r="AT277" s="453" t="str">
        <f>IF(AS277="","",AU277+AV277)</f>
        <v/>
      </c>
      <c r="AU277" s="453" t="str">
        <f>IF(D277="","",IF(AS277=2,0,IF(AS277=1,'Calc (ex-animal)'!$G$58*'DB additional information '!$K$15/100*(1-VLOOKUP(D277,'DB technologies'!$N$138:$Y$152,8,FALSE)/100)*'Calc (ex-housing, ex-storage)'!F277/100/VLOOKUP($C$277,'DB animal categories'!$C$107:$AC$116,27,FALSE)*AJ277+I277+J277+K277,IF(AS277=5,(('Calc (ex-animal)'!$G$58*'DB additional information '!$K$15/100+'Calc (ex-animal)'!$H$58*'DB additional information '!$L$15/100))*(1-VLOOKUP(D277,'DB technologies'!$N$138:$Y$152,9,FALSE)/100)*'Calc (ex-housing, ex-storage)'!F277/100/VLOOKUP($C$277,'DB animal categories'!$C$107:$AC$116,27,FALSE)*AJ277+I277+J277+K277,IF(AS277=3,('Calc (ex-animal)'!$G$58*'DB additional information '!$K$15/100+'Calc (ex-animal)'!$H$58*'DB additional information '!$L$15/100)*(1-VLOOKUP(D277,'DB technologies'!$N$138:$Y$152,9,FALSE)/100)*'Calc (ex-housing, ex-storage)'!F277/100/VLOOKUP($C$277,'DB animal categories'!$C$107:$AC$116,27,FALSE)*AJ277+I277+J277+K277,IF(AS277=4,('Calc (ex-animal)'!$G$58*'DB additional information '!$K$15/100+'Calc (ex-animal)'!$H$58*'DB additional information '!$L$15/100)*(1-VLOOKUP(D277,'DB technologies'!$N$138:$Y$152,9,FALSE)/100)*'Calc (ex-housing, ex-storage)'!F277/100*VLOOKUP(D277,'DB technologies'!$N$138:$Y$152,12,FALSE)/100/VLOOKUP($C$277,'DB animal categories'!$C$107:$AC$116,27,FALSE)*AJ277+I277+J277+K277,0))))))</f>
        <v/>
      </c>
      <c r="AV277" s="453" t="str">
        <f>IF(D277="","",IF(AS277=2,0,IF(AS277=1,'Calc (ex-animal)'!$G$58*(1-'DB additional information '!$K$15/100)*(1-VLOOKUP(D277,'DB technologies'!$N$138:$Y$152,8,FALSE)/100)*'Calc (ex-housing, ex-storage)'!F277/100/VLOOKUP($C$277,'DB animal categories'!$C$107:$AC$116,27,FALSE)*AJ277+M277+N277+O277,IF(AS277=5,('Calc (ex-animal)'!$G$58*(1-'DB additional information '!$K$15/100)+'Calc (ex-animal)'!$H$58*(1-'DB additional information '!$L$15/100))*(1-VLOOKUP(D277,'DB technologies'!$N$138:$Y$152,8,FALSE)/100)*'Calc (ex-housing, ex-storage)'!F277/100/VLOOKUP($C$277,'DB animal categories'!$C$107:$AC$116,27,FALSE)*AJ277+M277+N277+O277,IF(AS277=3,('Calc (ex-animal)'!$G$58*(1-'DB additional information '!$K$15/100)+'Calc (ex-animal)'!$H$58*(1-'DB additional information '!$L$15/100))*(1-VLOOKUP(D277,'DB technologies'!$N$138:$Y$152,8,FALSE)/100)*'Calc (ex-housing, ex-storage)'!F277/100/VLOOKUP($C$277,'DB animal categories'!$C$107:$AC$116,27,FALSE)*AJ277+M277+N277+O277,IF(AS277=4,('Calc (ex-animal)'!$G$58*(1-'DB additional information '!$K$15/100)+'Calc (ex-animal)'!$H$58*(1-'DB additional information '!$L$15/100))*(1-VLOOKUP(D277,'DB technologies'!$N$138:$Y$152,8,FALSE)/100)*'Calc (ex-housing, ex-storage)'!F277/100*VLOOKUP(D277,'DB technologies'!$N$138:$Y$152,12,FALSE)/100/VLOOKUP($C$277,'DB animal categories'!$C$107:$AC$116,27,FALSE)*AJ277+M277+N277+O277,0))))))</f>
        <v/>
      </c>
      <c r="AW277" s="453" t="str">
        <f>IF(AS277="","",IF(AU277=0,0,AU277/AT277*100))</f>
        <v/>
      </c>
      <c r="AX277" s="180" t="str">
        <f>IF(D277="","",IF(AS277=2,0,IF(AS277=1,'Calc (ex-animal)'!$K$58*'Calc (ex-housing, ex-storage)'!F277/100/VLOOKUP($C$277,'DB animal categories'!$C$107:$AC$116,27,FALSE)*AJ277+Q277+R277+S277,IF(AS277=5,('Calc (ex-animal)'!$K$58+'Calc (ex-animal)'!$L$58)*'Calc (ex-housing, ex-storage)'!F277/100/VLOOKUP($C$277,'DB animal categories'!$C$107:$AC$116,27,FALSE)*AJ277+Q277+R277+S277-'Calc (ex-housing, ex-storage)'!AC277,IF(AS277=3,('Calc (ex-animal)'!$K$58+'Calc (ex-animal)'!$L$58)*'Calc (ex-housing, ex-storage)'!F277/100/VLOOKUP($C$277,'DB animal categories'!$C$107:$AC$116,27,FALSE)*AJ277+Q277+R277+S277-'Calc (ex-housing, ex-storage)'!AC277-AD277-AE277,IF(AI277=4,('Calc (ex-animal)'!$K$58+'Calc (ex-animal)'!$L$58)*'Calc (ex-housing, ex-storage)'!F277/100*VLOOKUP(D277,'DB technologies'!$N$138:$Y$152,12,FALSE)/100/VLOOKUP($C$277,'DB animal categories'!$C$107:$AC$116,27,FALSE)*AJ277+Q277+R277+S277-(VLOOKUP(D277,'DB technologies'!$N$138:$Y$152,12,FALSE)/100*AC277)-AD277-AE277,0))))))</f>
        <v/>
      </c>
      <c r="AY277" s="180" t="str">
        <f>IF(D277="","",IF(AS277=2,0,IF(AS277=1,'Calc (ex-animal)'!$N$58*'Calc (ex-housing, ex-storage)'!F277/100/VLOOKUP($C$277,'DB animal categories'!$C$107:$AC$116,27,FALSE)*AJ277+U277+V277+W277,IF(AS277=5,('Calc (ex-animal)'!$N$58+'Calc (ex-animal)'!$O$58)*'Calc (ex-housing, ex-storage)'!F277/100/VLOOKUP($C$277,'DB animal categories'!$C$107:$AC$116,27,FALSE)*AJ277+U277+V277+W277,IF(AS277=3,('Calc (ex-animal)'!$N$58+'Calc (ex-animal)'!$O$58)*'Calc (ex-housing, ex-storage)'!F277/100/VLOOKUP($C$277,'DB animal categories'!$C$107:$AC$116,27,FALSE)*AJ277+U277+V277+W277,IF(AS277=4,('Calc (ex-animal)'!$N$58+'Calc (ex-animal)'!$O$58)*'Calc (ex-housing, ex-storage)'!F277/100*VLOOKUP(D277,'DB technologies'!$N$138:$Y$152,12,FALSE)/100/VLOOKUP($C$277,'DB animal categories'!$C$107:$AC$116,27,FALSE)*AJ277+U277+V277+W277,0))))))</f>
        <v/>
      </c>
      <c r="AZ277" s="180" t="str">
        <f>IF(D277="","",IF(AS277=2,0,IF(AS277=1,'Calc (ex-animal)'!$Q$58*'Calc (ex-housing, ex-storage)'!F277/100/VLOOKUP($C$277,'DB animal categories'!$C$107:$AC$116,27,FALSE)*AJ277+Y277+Z277+AA277,IF(AS277=5,('Calc (ex-animal)'!$Q$58+'Calc (ex-animal)'!$R$58)*'Calc (ex-housing, ex-storage)'!F277/100/VLOOKUP($C$277,'DB animal categories'!$C$107:$AC$116,27,FALSE)*AJ277+Y277+Z277+AA277,IF(AS277=3,('Calc (ex-animal)'!$Q$58+'Calc (ex-animal)'!$R$58)*'Calc (ex-housing, ex-storage)'!F277/100/VLOOKUP($C$277,'DB animal categories'!$C$107:$AC$116,27,FALSE)*AJ277+Y277+Z277+AA277,IF(AS277=4,('Calc (ex-animal)'!$Q$58+'Calc (ex-animal)'!$R$58)*'Calc (ex-housing, ex-storage)'!F277/100*VLOOKUP(D277,'DB technologies'!$N$138:$Y$152,12,FALSE)/100/VLOOKUP($C$277,'DB animal categories'!$C$107:$AC$116,27,FALSE)*AJ277+Y277+Z277+AA277,0))))))</f>
        <v/>
      </c>
      <c r="BA277" s="506"/>
      <c r="BB277" s="506"/>
      <c r="BC277" s="506"/>
    </row>
    <row r="278" spans="1:55" x14ac:dyDescent="0.2">
      <c r="A278" s="695"/>
      <c r="B278" s="695"/>
      <c r="C278" s="255"/>
      <c r="D278" s="1357"/>
      <c r="E278" s="1358"/>
      <c r="F278" s="480" t="str">
        <f>IF('Calc (ex-animal)'!$F$58=1,"",IF($C$277=0,"",IF(D278="","",E278/'Calc (ex-animal)'!$E$58*100)))</f>
        <v/>
      </c>
      <c r="G278" s="485" t="str">
        <f>IF($C$277=0,"",IF('Calc (ex-animal)'!$F$58=1,"",IF(D278="","",SUM(H278:O278))))</f>
        <v/>
      </c>
      <c r="H278" s="423" t="str">
        <f>IF('Calc (ex-animal)'!$F$58=1,"",IF(D278="","",(((VLOOKUP($C$277,'Calc (ex-animal)'!$D$58:$Y$62,6,FALSE)-VLOOKUP($C$277,'Calc (ex-animal)'!$D$58:$Y$62,17,FALSE))*F278/100))*VLOOKUP($C$277,'Calc (ex-animal)'!$D$58:$Y$62,7,FALSE)/100*(1-VLOOKUP(D278,'DB technologies'!$N$138:$Y$152,9,FALSE)/100)))</f>
        <v/>
      </c>
      <c r="I278" s="423" t="str">
        <f>IF(D278="","",((VLOOKUP(D278,'DB technologies'!$N$138:$Y$152,2,FALSE)*VLOOKUP($C$277,'DB animal categories'!$C$107:$AC$116,27,FALSE)*E278/1000)/VLOOKUP($C$277,'DB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'!$S$6/100*(1-VLOOKUP(D278,'DB technologies'!$N$138:$Y$152,9,FALSE)/100)))</f>
        <v/>
      </c>
      <c r="J278" s="434" t="str">
        <f>IF(D278="","",((VLOOKUP(D278,'DB technologies'!$N$138:$Y$152,3,FALSE)*VLOOKUP($C$277,'DB animal categories'!$C$107:$AC$116,27,FALSE)*E278/1000)/VLOOKUP($C$277,'DB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'!$S$7/100*(1-VLOOKUP(D278,'DB technologies'!$N$138:$Y$152,9,FALSE)/100)))</f>
        <v/>
      </c>
      <c r="K278" s="434" t="str">
        <f>IF(D278="","",((VLOOKUP(D278,'DB technologies'!$N$138:$Y$152,4,FALSE)*E278*'DB additional information '!$S$8/100*(1-VLOOKUP(D278,'DB technologies'!$N$138:$Y$152,9,FALSE)/100))/VLOOKUP($C$277,'DB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L278" s="423" t="str">
        <f>IF('Calc (ex-animal)'!$F$58=1,"",IF(D278="","",(((VLOOKUP($C$277,'Calc (ex-animal)'!$D$58:$Y$62,6,FALSE)-VLOOKUP($C$277,'Calc (ex-animal)'!$D$58:$Y$62,17,FALSE))*F278/100))*(1-VLOOKUP($C$277,'Calc (ex-animal)'!$D$58:$Y$62,7,FALSE)/100)*(1-VLOOKUP(D278,'DB technologies'!$N$138:$V$152,8,FALSE)/100)))</f>
        <v/>
      </c>
      <c r="M278" s="434" t="str">
        <f>IF(D278="","",((VLOOKUP(D278,'DB technologies'!$N$138:$Y$152,2,FALSE)*VLOOKUP($C$277,'DB animal categories'!$C$107:$AC$116,27,FALSE)*E278/1000)/VLOOKUP($C$277,'DB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'!$S$6/100)*(1-VLOOKUP(D278,'DB technologies'!$N$138:$Y$152,9,FALSE)/100))</f>
        <v/>
      </c>
      <c r="N278" s="434" t="str">
        <f>IF(D278="","",((VLOOKUP(D278,'DB technologies'!$N$138:$Y$152,3,FALSE)*VLOOKUP($C$277,'DB animal categories'!$C$107:$AC$116,27,FALSE)*E278/1000)/VLOOKUP($C$277,'DB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'!$S$7/100)*(1-VLOOKUP(D278,'DB technologies'!$N$138:$Y$152,9,FALSE)/100))</f>
        <v/>
      </c>
      <c r="O278" s="423" t="str">
        <f>IF(D278="","",((VLOOKUP(D278,'DB technologies'!$N$138:$Y$152,4,FALSE)*E278*(1-'DB additional information '!$S$8/100)*(1-VLOOKUP(D278,'DB technologies'!$N$138:$Y$152,8,FALSE)/100))/VLOOKUP($C$277,'DB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P278" s="438" t="str">
        <f>IF(G278=0,0,IF(E278="","",IF(F278="","",IF($C$277=0,"",IF(D278="","",SUM(H278:K278)/G278*100)))))</f>
        <v/>
      </c>
      <c r="Q278" s="416" t="str">
        <f>IF(D278="","",(VLOOKUP(D278,'DB technologies'!$N$138:$Y$152,2,FALSE)*'DB additional information '!$S$6/100*'DB additional information '!$T$6*VLOOKUP($C$277,'DB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R278" s="416" t="str">
        <f>IF(D278="","",(VLOOKUP(D278,'DB technologies'!$N$138:$Y$152,3,FALSE)*'DB additional information '!$S$7/100*'DB additional information '!$T$7*VLOOKUP($C$277,'DB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S278" s="491" t="str">
        <f>IF(D278="","",(VLOOKUP(D278,'DB technologies'!$N$138:$Y$152,4,FALSE)*('DB additional information '!$S$8/100*'DB additional information '!$T$8*E278/1000/1000)))</f>
        <v/>
      </c>
      <c r="T278" s="264" t="str">
        <f>IF($C$277=0,"",IF('Calc (ex-animal)'!$F$58=1,"",IF(D278="","",((VLOOKUP($C$277,'Calc (ex-animal)'!$D$58:$Y$62,10,FALSE)-VLOOKUP($C$277,'Calc (ex-animal)'!$D$58:$Y$62,18,FALSE))*F278/100+Q278+R278+S278)-AC278-AD278-AE278)))</f>
        <v/>
      </c>
      <c r="U278" s="422" t="str">
        <f>IF(D278="","",(VLOOKUP(D278,'DB technologies'!$N$138:$Y$152,2,FALSE)*'DB additional information '!$S$6/100*'DB additional information '!$U$6*VLOOKUP($C$277,'DB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V278" s="418" t="str">
        <f>IF(D278="","",(VLOOKUP(D278,'DB technologies'!$N$138:$Y$152,3,FALSE)*'DB additional information '!$S$7/100*'DB additional information '!$U$7*VLOOKUP($C$277,'DB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W278" s="417" t="str">
        <f>IF(D278="","",(VLOOKUP(D278,'DB technologies'!$N$138:$Y$152,4,FALSE)*('DB additional information '!$S$8/100*'DB additional information '!$U$8*E278/1000/1000)))</f>
        <v/>
      </c>
      <c r="X278" s="261" t="str">
        <f>IF($C$277=0,"",IF('Calc (ex-animal)'!$F$58=1,"",IF(D278="","",((VLOOKUP($C$277,'Calc (ex-animal)'!$D$58:$Y$62,13,FALSE)-VLOOKUP($C$277,'Calc (ex-animal)'!$D$58:$Y$62,19,FALSE))*F278/100+U278+V278+W278))))</f>
        <v/>
      </c>
      <c r="Y278" s="418" t="str">
        <f>IF(D278="","",(VLOOKUP(D278,'DB technologies'!$N$138:$Y$152,2,FALSE)*'DB additional information '!$S$6/100*'DB additional information '!$V$6*VLOOKUP($C$277,'DB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Z278" s="418" t="str">
        <f>IF(D278="","",(VLOOKUP(D278,'DB technologies'!$N$138:$Y$152,3,FALSE)*'DB additional information '!$S$7/100*'DB additional information '!$V$7*VLOOKUP($C$277,'DB animal categories'!$C$107:$AC$116,27,FALSE)*E278/1000/1000)/VLOOKUP($C$277,'DB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AA278" s="418" t="str">
        <f>IF(D278="","",(VLOOKUP(D278,'DB technologies'!$N$138:$Y$152,4,FALSE)*('DB additional information '!$S$8/100*'DB additional information '!$V$8*E278/1000/1000)))</f>
        <v/>
      </c>
      <c r="AB278" s="261" t="str">
        <f>IF($C$277=0,"",IF('Calc (ex-animal)'!$F$58=1,"",IF(D278="","",((VLOOKUP($C$277,'Calc (ex-animal)'!$D$58:$Y$62,16,FALSE)-VLOOKUP($C$277,'Calc (ex-animal)'!$D$58:$Y$62,20,FALSE))*F278/100+Y278+Z278+AA278))))</f>
        <v/>
      </c>
      <c r="AC278" s="261" t="str">
        <f>IF($C$277=0,"",IF('Calc (ex-animal)'!$F$58=1,"",IF(D278="","",VLOOKUP($C$277,'Calc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categories'!$C$107:$AC$116,26,FALSE)/24)*F278/100*VLOOKUP(D278,'DB technologies'!$N$138:$R$152,5,FALSE)/100)))</f>
        <v/>
      </c>
      <c r="AD278" s="261" t="str">
        <f>IF($C$277=0,"",IF('Calc (ex-animal)'!$F$58=1,"",IF(D278="","",VLOOKUP($C$277,'Calc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categories'!$C$107:$AC$116,26,FALSE)/24)*F278/100*VLOOKUP(D278,'DB technologies'!$N$138:$Y$152,6,FALSE)/100)))</f>
        <v/>
      </c>
      <c r="AE278" s="262" t="str">
        <f>IF($C$277=0,"",IF('Calc (ex-animal)'!$F$58=1,"",IF(D278="","",VLOOKUP($C$277,'Calc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categories'!$C$107:$AC$116,26,FALSE)/24)*F278/100*VLOOKUP(D278,'DB technologies'!$N$138:$Y$152,7,FALSE)/100)))</f>
        <v/>
      </c>
      <c r="AI278" s="181" t="str">
        <f>IF(D278="","",VLOOKUP(D278,'DB technologies'!$N$138:$Y$152,10,FALSE))</f>
        <v/>
      </c>
      <c r="AJ278" s="449" t="e">
        <f>VLOOKUP($C$277,'DB animal categories'!$C$107:$AN$116,27,FALSE)-VLOOKUP($C$277,'DB animal categories'!$C$107:$AN$116,26,FALSE)*VLOOKUP($C$277,'DB animal categories'!$C$107:$AN$116,25,FALSE)/24</f>
        <v>#N/A</v>
      </c>
      <c r="AK278" s="442" t="str">
        <f>IF(AI278="","",AL278+AM278)</f>
        <v/>
      </c>
      <c r="AL278" s="442" t="str">
        <f>IF(D278="","",IF(AI278=2,(('Calc (ex-animal)'!$G$58*'DB additional information '!$K$15/100*(1-VLOOKUP(D278,'DB technologies'!$N$138:$Y$152,9,FALSE)/100)*'Calc (ex-housing, ex-storage)'!F278/100+'Calc (ex-animal)'!$H$58*'DB additional information '!$L$15/100*(1-VLOOKUP(D278,'DB technologies'!$N$138:$Y$152,9,FALSE)/100)*'Calc (ex-housing, ex-storage)'!F278/100))/VLOOKUP($C$277,'DB animal categories'!$C$107:$AC$116,27,FALSE)*AJ278+I278+J278+K278,IF(AI278=1,('Calc (ex-animal)'!$H$58*'DB additional information '!$L$15/100*(1-VLOOKUP(D278,'DB technologies'!$N$138:$Y$152,9,FALSE)/100)*'Calc (ex-housing, ex-storage)'!F278/100)/VLOOKUP($C$277,'DB animal categories'!$C$107:$AC$116,27,FALSE)*AJ278,IF(AI278=4,('Calc (ex-animal)'!$G$58*'DB additional information '!$K$15/100+'Calc (ex-animal)'!$H$58*'DB additional information '!$L$15/100)*(1-VLOOKUP(D278,'DB technologies'!$N$138:$Y$152,9,FALSE)/100)*'Calc (ex-housing, ex-storage)'!F278/100*VLOOKUP(D278,'DB technologies'!$N$138:$Y$152,11,FALSE)/100/VLOOKUP($C$277,'DB animal categories'!$C$107:$AC$116,27,FALSE)*AJ278,0))))</f>
        <v/>
      </c>
      <c r="AM278" s="442" t="str">
        <f>IF(D278="","",IF(AI278=2,(('Calc (ex-animal)'!$G$58*(1-'DB additional information '!$K$15/100)*(1-VLOOKUP(D278,'DB technologies'!$N$138:$Y$152,8,FALSE)/100)*'Calc (ex-housing, ex-storage)'!F278/100+'Calc (ex-animal)'!$H$58*(1-'DB additional information '!$L$15/100)*(1-VLOOKUP(D278,'DB technologies'!$N$138:$Y$152,8,FALSE)/100)*'Calc (ex-housing, ex-storage)'!F278/100))/VLOOKUP($C$277,'DB animal categories'!$C$107:$AC$116,27,FALSE)*AJ278+M278+N278+O278,IF(AI278=1,('Calc (ex-animal)'!$H$58*(1-'DB additional information '!$L$15/100)*(1-VLOOKUP(D278,'DB technologies'!$N$138:$Y$152,8,FALSE)/100)*'Calc (ex-housing, ex-storage)'!F278/100)/VLOOKUP($C$277,'DB animal categories'!$C$107:$AC$116,27,FALSE)*AJ278,IF(AI278=4,('Calc (ex-animal)'!$G$58*(1-'DB additional information '!$K$15/100)+'Calc (ex-animal)'!$H$58*(1-'DB additional information '!$L$15/100))*(1-VLOOKUP(D278,'DB technologies'!$N$138:$Y$152,8,FALSE)/100)*'Calc (ex-housing, ex-storage)'!F278/100*VLOOKUP(D278,'DB technologies'!$N$138:$Y$152,11,FALSE)/100/VLOOKUP($C$277,'DB animal categories'!$C$107:$AC$116,27,FALSE)*AJ278,0))))</f>
        <v/>
      </c>
      <c r="AN278" s="442" t="str">
        <f>IF(AI278="","",IF(AL278=0,0,AL278/AK278*100))</f>
        <v/>
      </c>
      <c r="AO278" s="182" t="str">
        <f>IF(D278="","",IF(AI278=2,(('Calc (ex-animal)'!$L$58*'Calc (ex-housing, ex-storage)'!F278/100+'Calc (ex-animal)'!$K$58*'Calc (ex-housing, ex-storage)'!F278/100))/VLOOKUP($C$277,'DB animal categories'!$C$107:$AC$116,27,FALSE)*AJ278+Q278+R278+S278-AC278,IF(AI278=1,('Calc (ex-animal)'!$L$58*'Calc (ex-housing, ex-storage)'!F278/100)/VLOOKUP($C$277,'DB animal categories'!$C$107:$AC$116,27,FALSE)*AJ278-'Calc (ex-housing, ex-storage)'!AC278,IF(AI278=4,('Calc (ex-animal)'!$L$58+'Calc (ex-animal)'!$K$58)*'Calc (ex-housing, ex-storage)'!F278/100*VLOOKUP(D278,'DB technologies'!$N$138:$Y$152,11,FALSE)/100/VLOOKUP($C$277,'DB animal categories'!$C$107:$AC$116,27,FALSE)*AJ278-AC278*VLOOKUP(D278,'DB technologies'!$N$138:$Y$152,11,FALSE)/100,0))))</f>
        <v/>
      </c>
      <c r="AP278" s="182" t="str">
        <f>IF(D278="","",IF(AO278&lt;-0.01,0,IF(AI278=2,(('Calc (ex-animal)'!$L$58*'Calc (ex-housing, ex-storage)'!F278/100+'Calc (ex-animal)'!$K$58*'Calc (ex-housing, ex-storage)'!F278/100))/VLOOKUP($C$277,'DB animal categories'!$C$107:$AC$116,27,FALSE)*AJ278+Q278+R278+S278-AC278,IF(AI278=1,('Calc (ex-animal)'!$L$58*'Calc (ex-housing, ex-storage)'!F278/100)/VLOOKUP($C$277,'DB animal categories'!$C$107:$AC$116,27,FALSE)*AJ278-'Calc (ex-housing, ex-storage)'!AC278,IF(AI278=4,('Calc (ex-animal)'!$L$58+'Calc (ex-animal)'!$K$58)*'Calc (ex-housing, ex-storage)'!F278/100*VLOOKUP(D278,'DB technologies'!$N$138:$Y$152,11,FALSE)/100/VLOOKUP($C$277,'DB animal categories'!$C$107:$AC$116,27,FALSE)*AJ278-AC278*VLOOKUP(D278,'DB technologies'!$N$138:$Y$152,11,FALSE)/100,0)))))</f>
        <v/>
      </c>
      <c r="AQ278" s="182" t="str">
        <f>IF(D278="","",IF(AI278=2,('Calc (ex-animal)'!$O$58*'Calc (ex-housing, ex-storage)'!F278/100+'Calc (ex-animal)'!$N$58*'Calc (ex-housing, ex-storage)'!F278/100)/VLOOKUP($C$277,'DB animal categories'!$C$107:$AC$116,27,FALSE)*AJ278+U278+V278+W278,IF(AI278=1,'Calc (ex-animal)'!$O$58*'Calc (ex-housing, ex-storage)'!F278/100/VLOOKUP($C$277,'DB animal categories'!$C$107:$AC$116,27,FALSE)*AJ278,IF(AI278=4,('Calc (ex-animal)'!$O$58+'Calc (ex-animal)'!$N$58)*'Calc (ex-housing, ex-storage)'!F278/100*VLOOKUP(D278,'DB technologies'!$N$138:$Y$152,11,FALSE)/100/VLOOKUP($C$277,'DB animal categories'!$C$107:$AC$116,27,FALSE)*AJ278,0))))</f>
        <v/>
      </c>
      <c r="AR278" s="182" t="str">
        <f>IF(D278="","",IF(AI278=2,('Calc (ex-animal)'!$R$58*'Calc (ex-housing, ex-storage)'!F278/100+'Calc (ex-animal)'!$Q$58*'Calc (ex-housing, ex-storage)'!F278/100)/VLOOKUP($C$277,'DB animal categories'!$C$107:$AC$116,27,FALSE)*AJ278+Y278+Z278+AA278,IF(AI278=1,'Calc (ex-animal)'!$R$58*'Calc (ex-housing, ex-storage)'!F278/100/VLOOKUP($C$277,'DB animal categories'!$C$107:$AC$116,27,FALSE)*AJ278,IF(AI278=4,('Calc (ex-animal)'!$R$58+'Calc (ex-animal)'!$Q$58)*'Calc (ex-housing, ex-storage)'!F278/100*VLOOKUP(D278,'DB technologies'!$N$138:$Y$152,11,FALSE)/100/VLOOKUP($C$277,'DB animal categories'!$C$107:$AC$116,27,FALSE)*AJ278,0))))</f>
        <v/>
      </c>
      <c r="AS278" s="181" t="str">
        <f>IF(D278="","",VLOOKUP(D278,'DB technologies'!$N$138:$Y$152,10,FALSE))</f>
        <v/>
      </c>
      <c r="AT278" s="442" t="str">
        <f>IF(AS278="","",AU278+AV278)</f>
        <v/>
      </c>
      <c r="AU278" s="442" t="str">
        <f>IF(D278="","",IF(AS278=2,0,IF(AS278=1,'Calc (ex-animal)'!$G$58*'DB additional information '!$K$15/100*(1-VLOOKUP(D278,'DB technologies'!$N$138:$Y$152,8,FALSE)/100)*'Calc (ex-housing, ex-storage)'!F278/100/VLOOKUP($C$277,'DB animal categories'!$C$107:$AC$116,27,FALSE)*AJ278+I278+J278+K278,IF(AS278=5,(('Calc (ex-animal)'!$G$58*'DB additional information '!$K$15/100+'Calc (ex-animal)'!$H$58*'DB additional information '!$L$15/100))*(1-VLOOKUP(D278,'DB technologies'!$N$138:$Y$152,9,FALSE)/100)*'Calc (ex-housing, ex-storage)'!F278/100/VLOOKUP($C$277,'DB animal categories'!$C$107:$AC$116,27,FALSE)*AJ278+I278+J278+K278,IF(AS278=3,('Calc (ex-animal)'!$G$58*'DB additional information '!$K$15/100+'Calc (ex-animal)'!$H$58*'DB additional information '!$L$15/100)*(1-VLOOKUP(D278,'DB technologies'!$N$138:$Y$152,9,FALSE)/100)*'Calc (ex-housing, ex-storage)'!F278/100/VLOOKUP($C$277,'DB animal categories'!$C$107:$AC$116,27,FALSE)*AJ278+I278+J278+K278,IF(AS278=4,('Calc (ex-animal)'!$G$58*'DB additional information '!$K$15/100+'Calc (ex-animal)'!$H$58*'DB additional information '!$L$15/100)*(1-VLOOKUP(D278,'DB technologies'!$N$138:$Y$152,9,FALSE)/100)*'Calc (ex-housing, ex-storage)'!F278/100*VLOOKUP(D278,'DB technologies'!$N$138:$Y$152,12,FALSE)/100/VLOOKUP($C$277,'DB animal categories'!$C$107:$AC$116,27,FALSE)*AJ278+I278+J278+K278,0))))))</f>
        <v/>
      </c>
      <c r="AV278" s="442" t="str">
        <f>IF(D278="","",IF(AS278=2,0,IF(AS278=1,'Calc (ex-animal)'!$G$58*(1-'DB additional information '!$K$15/100)*(1-VLOOKUP(D278,'DB technologies'!$N$138:$Y$152,8,FALSE)/100)*'Calc (ex-housing, ex-storage)'!F278/100/VLOOKUP($C$277,'DB animal categories'!$C$107:$AC$116,27,FALSE)*AJ278+M278+N278+O278,IF(AS278=5,('Calc (ex-animal)'!$G$58*(1-'DB additional information '!$K$15/100)+'Calc (ex-animal)'!$H$58*(1-'DB additional information '!$L$15/100))*(1-VLOOKUP(D278,'DB technologies'!$N$138:$Y$152,8,FALSE)/100)*'Calc (ex-housing, ex-storage)'!F278/100/VLOOKUP($C$277,'DB animal categories'!$C$107:$AC$116,27,FALSE)*AJ278+M278+N278+O278,IF(AS278=3,('Calc (ex-animal)'!$G$58*(1-'DB additional information '!$K$15/100)+'Calc (ex-animal)'!$H$58*(1-'DB additional information '!$L$15/100))*(1-VLOOKUP(D278,'DB technologies'!$N$138:$Y$152,8,FALSE)/100)*'Calc (ex-housing, ex-storage)'!F278/100/VLOOKUP($C$277,'DB animal categories'!$C$107:$AC$116,27,FALSE)*AJ278+M278+N278+O278,IF(AS278=4,('Calc (ex-animal)'!$G$58*(1-'DB additional information '!$K$15/100)+'Calc (ex-animal)'!$H$58*(1-'DB additional information '!$L$15/100))*(1-VLOOKUP(D278,'DB technologies'!$N$138:$Y$152,8,FALSE)/100)*'Calc (ex-housing, ex-storage)'!F278/100*VLOOKUP(D278,'DB technologies'!$N$138:$Y$152,12,FALSE)/100/VLOOKUP($C$277,'DB animal categories'!$C$107:$AC$116,27,FALSE)*AJ278+M278+N278+O278,0))))))</f>
        <v/>
      </c>
      <c r="AW278" s="442" t="str">
        <f>IF(AS278="","",IF(AU278=0,0,AU278/AT278*100))</f>
        <v/>
      </c>
      <c r="AX278" s="182" t="str">
        <f>IF(D278="","",IF(AS278=2,0,IF(AS278=1,'Calc (ex-animal)'!$K$58*'Calc (ex-housing, ex-storage)'!F278/100/VLOOKUP($C$277,'DB animal categories'!$C$107:$AC$116,27,FALSE)*AJ278+Q278+R278+S278,IF(AS278=5,('Calc (ex-animal)'!$K$58+'Calc (ex-animal)'!$L$58)*'Calc (ex-housing, ex-storage)'!F278/100/VLOOKUP($C$277,'DB animal categories'!$C$107:$AC$116,27,FALSE)*AJ278+Q278+R278+S278-'Calc (ex-housing, ex-storage)'!AC278,IF(AS278=3,('Calc (ex-animal)'!$K$58+'Calc (ex-animal)'!$L$58)*'Calc (ex-housing, ex-storage)'!F278/100/VLOOKUP($C$277,'DB animal categories'!$C$107:$AC$116,27,FALSE)*AJ278+Q278+R278+S278-'Calc (ex-housing, ex-storage)'!AC278-AD278-AE278,IF(AI278=4,('Calc (ex-animal)'!$K$58+'Calc (ex-animal)'!$L$58)*'Calc (ex-housing, ex-storage)'!F278/100*VLOOKUP(D278,'DB technologies'!$N$138:$Y$152,12,FALSE)/100/VLOOKUP($C$277,'DB animal categories'!$C$107:$AC$116,27,FALSE)*AJ278+Q278+R278+S278-(VLOOKUP(D278,'DB technologies'!$N$138:$Y$152,12,FALSE)/100*AC278)-AD278-AE278,0))))))</f>
        <v/>
      </c>
      <c r="AY278" s="182" t="str">
        <f>IF(D278="","",IF(AS278=2,0,IF(AS278=1,'Calc (ex-animal)'!$N$58*'Calc (ex-housing, ex-storage)'!F278/100/VLOOKUP($C$277,'DB animal categories'!$C$107:$AC$116,27,FALSE)*AJ278+U278+V278+W278,IF(AS278=5,('Calc (ex-animal)'!$N$58+'Calc (ex-animal)'!$O$58)*'Calc (ex-housing, ex-storage)'!F278/100/VLOOKUP($C$277,'DB animal categories'!$C$107:$AC$116,27,FALSE)*AJ278+U278+V278+W278,IF(AS278=3,('Calc (ex-animal)'!$N$58+'Calc (ex-animal)'!$O$58)*'Calc (ex-housing, ex-storage)'!F278/100/VLOOKUP($C$277,'DB animal categories'!$C$107:$AC$116,27,FALSE)*AJ278+U278+V278+W278,IF(AS278=4,('Calc (ex-animal)'!$N$58+'Calc (ex-animal)'!$O$58)*'Calc (ex-housing, ex-storage)'!F278/100*VLOOKUP(D278,'DB technologies'!$N$138:$Y$152,12,FALSE)/100/VLOOKUP($C$277,'DB animal categories'!$C$107:$AC$116,27,FALSE)*AJ278+U278+V278+W278,0))))))</f>
        <v/>
      </c>
      <c r="AZ278" s="182" t="str">
        <f>IF(D278="","",IF(AS278=2,0,IF(AS278=1,'Calc (ex-animal)'!$Q$58*'Calc (ex-housing, ex-storage)'!F278/100/VLOOKUP($C$277,'DB animal categories'!$C$107:$AC$116,27,FALSE)*AJ278+Y278+Z278+AA278,IF(AS278=5,('Calc (ex-animal)'!$Q$58+'Calc (ex-animal)'!$R$58)*'Calc (ex-housing, ex-storage)'!F278/100/VLOOKUP($C$277,'DB animal categories'!$C$107:$AC$116,27,FALSE)*AJ278+Y278+Z278+AA278,IF(AS278=3,('Calc (ex-animal)'!$Q$58+'Calc (ex-animal)'!$R$58)*'Calc (ex-housing, ex-storage)'!F278/100/VLOOKUP($C$277,'DB animal categories'!$C$107:$AC$116,27,FALSE)*AJ278+Y278+Z278+AA278,IF(AS278=4,('Calc (ex-animal)'!$Q$58+'Calc (ex-animal)'!$R$58)*'Calc (ex-housing, ex-storage)'!F278/100*VLOOKUP(D278,'DB technologies'!$N$138:$Y$152,12,FALSE)/100/VLOOKUP($C$277,'DB animal categories'!$C$107:$AC$116,27,FALSE)*AJ278+Y278+Z278+AA278,0))))))</f>
        <v/>
      </c>
      <c r="BA278" s="506"/>
      <c r="BB278" s="506"/>
      <c r="BC278" s="506"/>
    </row>
    <row r="279" spans="1:55" x14ac:dyDescent="0.2">
      <c r="A279" s="695"/>
      <c r="B279" s="695"/>
      <c r="C279" s="255"/>
      <c r="D279" s="1357"/>
      <c r="E279" s="1358"/>
      <c r="F279" s="480" t="str">
        <f>IF('Calc (ex-animal)'!$F$58=1,"",IF($C$277=0,"",IF(D279="","",E279/'Calc (ex-animal)'!$E$58*100)))</f>
        <v/>
      </c>
      <c r="G279" s="485" t="str">
        <f>IF($C$277=0,"",IF('Calc (ex-animal)'!$F$58=1,"",IF(D279="","",SUM(H279:O279))))</f>
        <v/>
      </c>
      <c r="H279" s="423" t="str">
        <f>IF('Calc (ex-animal)'!$F$58=1,"",IF(D279="","",(((VLOOKUP($C$277,'Calc (ex-animal)'!$D$58:$Y$62,6,FALSE)-VLOOKUP($C$277,'Calc (ex-animal)'!$D$58:$Y$62,17,FALSE))*F279/100))*VLOOKUP($C$277,'Calc (ex-animal)'!$D$58:$Y$62,7,FALSE)/100*(1-VLOOKUP(D279,'DB technologies'!$N$138:$Y$152,9,FALSE)/100)))</f>
        <v/>
      </c>
      <c r="I279" s="423" t="str">
        <f>IF(D279="","",((VLOOKUP(D279,'DB technologies'!$N$138:$Y$152,2,FALSE)*VLOOKUP($C$277,'DB animal categories'!$C$107:$AC$116,27,FALSE)*E279/1000)/VLOOKUP($C$277,'DB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'!$S$6/100*(1-VLOOKUP(D279,'DB technologies'!$N$138:$Y$152,9,FALSE)/100)))</f>
        <v/>
      </c>
      <c r="J279" s="434" t="str">
        <f>IF(D279="","",((VLOOKUP(D279,'DB technologies'!$N$138:$Y$152,3,FALSE)*VLOOKUP($C$277,'DB animal categories'!$C$107:$AC$116,27,FALSE)*E279/1000)/VLOOKUP($C$277,'DB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'!$S$7/100*(1-VLOOKUP(D279,'DB technologies'!$N$138:$Y$152,9,FALSE)/100)))</f>
        <v/>
      </c>
      <c r="K279" s="434" t="str">
        <f>IF(D279="","",((VLOOKUP(D279,'DB technologies'!$N$138:$Y$152,4,FALSE)*E279*'DB additional information '!$S$8/100*(1-VLOOKUP(D279,'DB technologies'!$N$138:$Y$152,9,FALSE)/100))/VLOOKUP($C$277,'DB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L279" s="423" t="str">
        <f>IF('Calc (ex-animal)'!$F$58=1,"",IF(D279="","",(((VLOOKUP($C$277,'Calc (ex-animal)'!$D$58:$Y$62,6,FALSE)-VLOOKUP($C$277,'Calc (ex-animal)'!$D$58:$Y$62,17,FALSE))*F279/100))*(1-VLOOKUP($C$277,'Calc (ex-animal)'!$D$58:$Y$62,7,FALSE)/100)*(1-VLOOKUP(D279,'DB technologies'!$N$138:$V$152,8,FALSE)/100)))</f>
        <v/>
      </c>
      <c r="M279" s="434" t="str">
        <f>IF(D279="","",((VLOOKUP(D279,'DB technologies'!$N$138:$Y$152,2,FALSE)*VLOOKUP($C$277,'DB animal categories'!$C$107:$AC$116,27,FALSE)*E279/1000)/VLOOKUP($C$277,'DB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'!$S$6/100)*(1-VLOOKUP(D279,'DB technologies'!$N$138:$Y$152,9,FALSE)/100))</f>
        <v/>
      </c>
      <c r="N279" s="434" t="str">
        <f>IF(D279="","",((VLOOKUP(D279,'DB technologies'!$N$138:$Y$152,3,FALSE)*VLOOKUP($C$277,'DB animal categories'!$C$107:$AC$116,27,FALSE)*E279/1000)/VLOOKUP($C$277,'DB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'!$S$7/100)*(1-VLOOKUP(D279,'DB technologies'!$N$138:$Y$152,9,FALSE)/100))</f>
        <v/>
      </c>
      <c r="O279" s="423" t="str">
        <f>IF(D279="","",((VLOOKUP(D279,'DB technologies'!$N$138:$Y$152,4,FALSE)*E279*(1-'DB additional information '!$S$8/100)*(1-VLOOKUP(D279,'DB technologies'!$N$138:$Y$152,8,FALSE)/100))/VLOOKUP($C$277,'DB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P279" s="438" t="str">
        <f>IF(G279=0,0,IF(E279="","",IF(F279="","",IF($C$277=0,"",IF(D279="","",SUM(H279:K279)/G279*100)))))</f>
        <v/>
      </c>
      <c r="Q279" s="416" t="str">
        <f>IF(D279="","",(VLOOKUP(D279,'DB technologies'!$N$138:$Y$152,2,FALSE)*'DB additional information '!$S$6/100*'DB additional information '!$T$6*VLOOKUP($C$277,'DB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R279" s="416" t="str">
        <f>IF(D279="","",(VLOOKUP(D279,'DB technologies'!$N$138:$Y$152,3,FALSE)*'DB additional information '!$S$7/100*'DB additional information '!$T$7*VLOOKUP($C$277,'DB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S279" s="491" t="str">
        <f>IF(D279="","",(VLOOKUP(D279,'DB technologies'!$N$138:$Y$152,4,FALSE)*('DB additional information '!$S$8/100*'DB additional information '!$T$8*E279/1000/1000)))</f>
        <v/>
      </c>
      <c r="T279" s="264" t="str">
        <f>IF($C$277=0,"",IF('Calc (ex-animal)'!$F$58=1,"",IF(D279="","",((VLOOKUP($C$277,'Calc (ex-animal)'!$D$58:$Y$62,10,FALSE)-VLOOKUP($C$277,'Calc (ex-animal)'!$D$58:$Y$62,18,FALSE))*F279/100+Q279+R279+S279)-AC279-AD279-AE279)))</f>
        <v/>
      </c>
      <c r="U279" s="422" t="str">
        <f>IF(D279="","",(VLOOKUP(D279,'DB technologies'!$N$138:$Y$152,2,FALSE)*'DB additional information '!$S$6/100*'DB additional information '!$U$6*VLOOKUP($C$277,'DB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V279" s="418" t="str">
        <f>IF(D279="","",(VLOOKUP(D279,'DB technologies'!$N$138:$Y$152,3,FALSE)*'DB additional information '!$S$7/100*'DB additional information '!$U$7*VLOOKUP($C$277,'DB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W279" s="417" t="str">
        <f>IF(D279="","",(VLOOKUP(D279,'DB technologies'!$N$138:$Y$152,4,FALSE)*('DB additional information '!$S$8/100*'DB additional information '!$U$8*E279/1000/1000)))</f>
        <v/>
      </c>
      <c r="X279" s="261" t="str">
        <f>IF($C$277=0,"",IF('Calc (ex-animal)'!$F$58=1,"",IF(D279="","",((VLOOKUP($C$277,'Calc (ex-animal)'!$D$58:$Y$62,13,FALSE)-VLOOKUP($C$277,'Calc (ex-animal)'!$D$58:$Y$62,19,FALSE))*F279/100+U279+V279+W279))))</f>
        <v/>
      </c>
      <c r="Y279" s="418" t="str">
        <f>IF(D279="","",(VLOOKUP(D279,'DB technologies'!$N$138:$Y$152,2,FALSE)*'DB additional information '!$S$6/100*'DB additional information '!$V$6*VLOOKUP($C$277,'DB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Z279" s="418" t="str">
        <f>IF(D279="","",(VLOOKUP(D279,'DB technologies'!$N$138:$Y$152,3,FALSE)*'DB additional information '!$S$7/100*'DB additional information '!$V$7*VLOOKUP($C$277,'DB animal categories'!$C$107:$AC$116,27,FALSE)*E279/1000/1000)/VLOOKUP($C$277,'DB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AA279" s="418" t="str">
        <f>IF(D279="","",(VLOOKUP(D279,'DB technologies'!$N$138:$Y$152,4,FALSE)*('DB additional information '!$S$8/100*'DB additional information '!$V$8*E279/1000/1000)))</f>
        <v/>
      </c>
      <c r="AB279" s="261" t="str">
        <f>IF($C$277=0,"",IF('Calc (ex-animal)'!$F$58=1,"",IF(D279="","",((VLOOKUP($C$277,'Calc (ex-animal)'!$D$58:$Y$62,16,FALSE)-VLOOKUP($C$277,'Calc (ex-animal)'!$D$58:$Y$62,20,FALSE))*F279/100+Y279+Z279+AA279))))</f>
        <v/>
      </c>
      <c r="AC279" s="261" t="str">
        <f>IF($C$277=0,"",IF('Calc (ex-animal)'!$F$58=1,"",IF(D279="","",VLOOKUP($C$277,'Calc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categories'!$C$107:$AC$116,26,FALSE)/24)*F279/100*VLOOKUP(D279,'DB technologies'!$N$138:$R$152,5,FALSE)/100)))</f>
        <v/>
      </c>
      <c r="AD279" s="261" t="str">
        <f>IF($C$277=0,"",IF('Calc (ex-animal)'!$F$58=1,"",IF(D279="","",VLOOKUP($C$277,'Calc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categories'!$C$107:$AC$116,26,FALSE)/24)*F279/100*VLOOKUP(D279,'DB technologies'!$N$138:$Y$152,6,FALSE)/100)))</f>
        <v/>
      </c>
      <c r="AE279" s="262" t="str">
        <f>IF($C$277=0,"",IF('Calc (ex-animal)'!$F$58=1,"",IF(D279="","",VLOOKUP($C$277,'Calc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categories'!$C$107:$AC$116,26,FALSE)/24)*F279/100*VLOOKUP(D279,'DB technologies'!$N$138:$Y$152,7,FALSE)/100)))</f>
        <v/>
      </c>
      <c r="AI279" s="181" t="str">
        <f>IF(D279="","",VLOOKUP(D279,'DB technologies'!$N$138:$Y$152,10,FALSE))</f>
        <v/>
      </c>
      <c r="AJ279" s="449" t="e">
        <f>VLOOKUP($C$277,'DB animal categories'!$C$107:$AN$116,27,FALSE)-VLOOKUP($C$277,'DB animal categories'!$C$107:$AN$116,26,FALSE)*VLOOKUP($C$277,'DB animal categories'!$C$107:$AN$116,25,FALSE)/24</f>
        <v>#N/A</v>
      </c>
      <c r="AK279" s="442" t="str">
        <f>IF(AI279="","",AL279+AM279)</f>
        <v/>
      </c>
      <c r="AL279" s="442" t="str">
        <f>IF(D279="","",IF(AI279=2,(('Calc (ex-animal)'!$G$58*'DB additional information '!$K$15/100*(1-VLOOKUP(D279,'DB technologies'!$N$138:$Y$152,9,FALSE)/100)*'Calc (ex-housing, ex-storage)'!F279/100+'Calc (ex-animal)'!$H$58*'DB additional information '!$L$15/100*(1-VLOOKUP(D279,'DB technologies'!$N$138:$Y$152,9,FALSE)/100)*'Calc (ex-housing, ex-storage)'!F279/100))/VLOOKUP($C$277,'DB animal categories'!$C$107:$AC$116,27,FALSE)*AJ279+I279+J279+K279,IF(AI279=1,('Calc (ex-animal)'!$H$58*'DB additional information '!$L$15/100*(1-VLOOKUP(D279,'DB technologies'!$N$138:$Y$152,9,FALSE)/100)*'Calc (ex-housing, ex-storage)'!F279/100)/VLOOKUP($C$277,'DB animal categories'!$C$107:$AC$116,27,FALSE)*AJ279,IF(AI279=4,('Calc (ex-animal)'!$G$58*'DB additional information '!$K$15/100+'Calc (ex-animal)'!$H$58*'DB additional information '!$L$15/100)*(1-VLOOKUP(D279,'DB technologies'!$N$138:$Y$152,9,FALSE)/100)*'Calc (ex-housing, ex-storage)'!F279/100*VLOOKUP(D279,'DB technologies'!$N$138:$Y$152,11,FALSE)/100/VLOOKUP($C$277,'DB animal categories'!$C$107:$AC$116,27,FALSE)*AJ279,0))))</f>
        <v/>
      </c>
      <c r="AM279" s="442" t="str">
        <f>IF(D279="","",IF(AI279=2,(('Calc (ex-animal)'!$G$58*(1-'DB additional information '!$K$15/100)*(1-VLOOKUP(D279,'DB technologies'!$N$138:$Y$152,8,FALSE)/100)*'Calc (ex-housing, ex-storage)'!F279/100+'Calc (ex-animal)'!$H$58*(1-'DB additional information '!$L$15/100)*(1-VLOOKUP(D279,'DB technologies'!$N$138:$Y$152,8,FALSE)/100)*'Calc (ex-housing, ex-storage)'!F279/100))/VLOOKUP($C$277,'DB animal categories'!$C$107:$AC$116,27,FALSE)*AJ279+M279+N279+O279,IF(AI279=1,('Calc (ex-animal)'!$H$58*(1-'DB additional information '!$L$15/100)*(1-VLOOKUP(D279,'DB technologies'!$N$138:$Y$152,8,FALSE)/100)*'Calc (ex-housing, ex-storage)'!F279/100)/VLOOKUP($C$277,'DB animal categories'!$C$107:$AC$116,27,FALSE)*AJ279,IF(AI279=4,('Calc (ex-animal)'!$G$58*(1-'DB additional information '!$K$15/100)+'Calc (ex-animal)'!$H$58*(1-'DB additional information '!$L$15/100))*(1-VLOOKUP(D279,'DB technologies'!$N$138:$Y$152,8,FALSE)/100)*'Calc (ex-housing, ex-storage)'!F279/100*VLOOKUP(D279,'DB technologies'!$N$138:$Y$152,11,FALSE)/100/VLOOKUP($C$277,'DB animal categories'!$C$107:$AC$116,27,FALSE)*AJ279,0))))</f>
        <v/>
      </c>
      <c r="AN279" s="442" t="str">
        <f>IF(AI279="","",IF(AL279=0,0,AL279/AK279*100))</f>
        <v/>
      </c>
      <c r="AO279" s="182" t="str">
        <f>IF(D279="","",IF(AI279=2,(('Calc (ex-animal)'!$L$58*'Calc (ex-housing, ex-storage)'!F279/100+'Calc (ex-animal)'!$K$58*'Calc (ex-housing, ex-storage)'!F279/100))/VLOOKUP($C$277,'DB animal categories'!$C$107:$AC$116,27,FALSE)*AJ279+Q279+R279+S279-AC279,IF(AI279=1,('Calc (ex-animal)'!$L$58*'Calc (ex-housing, ex-storage)'!F279/100)/VLOOKUP($C$277,'DB animal categories'!$C$107:$AC$116,27,FALSE)*AJ279-'Calc (ex-housing, ex-storage)'!AC279,IF(AI279=4,('Calc (ex-animal)'!$L$58+'Calc (ex-animal)'!$K$58)*'Calc (ex-housing, ex-storage)'!F279/100*VLOOKUP(D279,'DB technologies'!$N$138:$Y$152,11,FALSE)/100/VLOOKUP($C$277,'DB animal categories'!$C$107:$AC$116,27,FALSE)*AJ279-AC279*VLOOKUP(D279,'DB technologies'!$N$138:$Y$152,11,FALSE)/100,0))))</f>
        <v/>
      </c>
      <c r="AP279" s="182" t="str">
        <f>IF(D279="","",IF(AO279&lt;-0.01,0,IF(AI279=2,(('Calc (ex-animal)'!$L$58*'Calc (ex-housing, ex-storage)'!F279/100+'Calc (ex-animal)'!$K$58*'Calc (ex-housing, ex-storage)'!F279/100))/VLOOKUP($C$277,'DB animal categories'!$C$107:$AC$116,27,FALSE)*AJ279+Q279+R279+S279-AC279,IF(AI279=1,('Calc (ex-animal)'!$L$58*'Calc (ex-housing, ex-storage)'!F279/100)/VLOOKUP($C$277,'DB animal categories'!$C$107:$AC$116,27,FALSE)*AJ279-'Calc (ex-housing, ex-storage)'!AC279,IF(AI279=4,('Calc (ex-animal)'!$L$58+'Calc (ex-animal)'!$K$58)*'Calc (ex-housing, ex-storage)'!F279/100*VLOOKUP(D279,'DB technologies'!$N$138:$Y$152,11,FALSE)/100/VLOOKUP($C$277,'DB animal categories'!$C$107:$AC$116,27,FALSE)*AJ279-AC279*VLOOKUP(D279,'DB technologies'!$N$138:$Y$152,11,FALSE)/100,0)))))</f>
        <v/>
      </c>
      <c r="AQ279" s="182" t="str">
        <f>IF(D279="","",IF(AI279=2,('Calc (ex-animal)'!$O$58*'Calc (ex-housing, ex-storage)'!F279/100+'Calc (ex-animal)'!$N$58*'Calc (ex-housing, ex-storage)'!F279/100)/VLOOKUP($C$277,'DB animal categories'!$C$107:$AC$116,27,FALSE)*AJ279+U279+V279+W279,IF(AI279=1,'Calc (ex-animal)'!$O$58*'Calc (ex-housing, ex-storage)'!F279/100/VLOOKUP($C$277,'DB animal categories'!$C$107:$AC$116,27,FALSE)*AJ279,IF(AI279=4,('Calc (ex-animal)'!$O$58+'Calc (ex-animal)'!$N$58)*'Calc (ex-housing, ex-storage)'!F279/100*VLOOKUP(D279,'DB technologies'!$N$138:$Y$152,11,FALSE)/100/VLOOKUP($C$277,'DB animal categories'!$C$107:$AC$116,27,FALSE)*AJ279,0))))</f>
        <v/>
      </c>
      <c r="AR279" s="182" t="str">
        <f>IF(D279="","",IF(AI279=2,('Calc (ex-animal)'!$R$58*'Calc (ex-housing, ex-storage)'!F279/100+'Calc (ex-animal)'!$Q$58*'Calc (ex-housing, ex-storage)'!F279/100)/VLOOKUP($C$277,'DB animal categories'!$C$107:$AC$116,27,FALSE)*AJ279+Y279+Z279+AA279,IF(AI279=1,'Calc (ex-animal)'!$R$58*'Calc (ex-housing, ex-storage)'!F279/100/VLOOKUP($C$277,'DB animal categories'!$C$107:$AC$116,27,FALSE)*AJ279,IF(AI279=4,('Calc (ex-animal)'!$R$58+'Calc (ex-animal)'!$Q$58)*'Calc (ex-housing, ex-storage)'!F279/100*VLOOKUP(D279,'DB technologies'!$N$138:$Y$152,11,FALSE)/100/VLOOKUP($C$277,'DB animal categories'!$C$107:$AC$116,27,FALSE)*AJ279,0))))</f>
        <v/>
      </c>
      <c r="AS279" s="181" t="str">
        <f>IF(D279="","",VLOOKUP(D279,'DB technologies'!$N$138:$Y$152,10,FALSE))</f>
        <v/>
      </c>
      <c r="AT279" s="442" t="str">
        <f>IF(AS279="","",AU279+AV279)</f>
        <v/>
      </c>
      <c r="AU279" s="442" t="str">
        <f>IF(D279="","",IF(AS279=2,0,IF(AS279=1,'Calc (ex-animal)'!$G$58*'DB additional information '!$K$15/100*(1-VLOOKUP(D279,'DB technologies'!$N$138:$Y$152,8,FALSE)/100)*'Calc (ex-housing, ex-storage)'!F279/100/VLOOKUP($C$277,'DB animal categories'!$C$107:$AC$116,27,FALSE)*AJ279+I279+J279+K279,IF(AS279=5,(('Calc (ex-animal)'!$G$58*'DB additional information '!$K$15/100+'Calc (ex-animal)'!$H$58*'DB additional information '!$L$15/100))*(1-VLOOKUP(D279,'DB technologies'!$N$138:$Y$152,9,FALSE)/100)*'Calc (ex-housing, ex-storage)'!F279/100/VLOOKUP($C$277,'DB animal categories'!$C$107:$AC$116,27,FALSE)*AJ279+I279+J279+K279,IF(AS279=3,('Calc (ex-animal)'!$G$58*'DB additional information '!$K$15/100+'Calc (ex-animal)'!$H$58*'DB additional information '!$L$15/100)*(1-VLOOKUP(D279,'DB technologies'!$N$138:$Y$152,9,FALSE)/100)*'Calc (ex-housing, ex-storage)'!F279/100/VLOOKUP($C$277,'DB animal categories'!$C$107:$AC$116,27,FALSE)*AJ279+I279+J279+K279,IF(AS279=4,('Calc (ex-animal)'!$G$58*'DB additional information '!$K$15/100+'Calc (ex-animal)'!$H$58*'DB additional information '!$L$15/100)*(1-VLOOKUP(D279,'DB technologies'!$N$138:$Y$152,9,FALSE)/100)*'Calc (ex-housing, ex-storage)'!F279/100*VLOOKUP(D279,'DB technologies'!$N$138:$Y$152,12,FALSE)/100/VLOOKUP($C$277,'DB animal categories'!$C$107:$AC$116,27,FALSE)*AJ279+I279+J279+K279,0))))))</f>
        <v/>
      </c>
      <c r="AV279" s="442" t="str">
        <f>IF(D279="","",IF(AS279=2,0,IF(AS279=1,'Calc (ex-animal)'!$G$58*(1-'DB additional information '!$K$15/100)*(1-VLOOKUP(D279,'DB technologies'!$N$138:$Y$152,8,FALSE)/100)*'Calc (ex-housing, ex-storage)'!F279/100/VLOOKUP($C$277,'DB animal categories'!$C$107:$AC$116,27,FALSE)*AJ279+M279+N279+O279,IF(AS279=5,('Calc (ex-animal)'!$G$58*(1-'DB additional information '!$K$15/100)+'Calc (ex-animal)'!$H$58*(1-'DB additional information '!$L$15/100))*(1-VLOOKUP(D279,'DB technologies'!$N$138:$Y$152,8,FALSE)/100)*'Calc (ex-housing, ex-storage)'!F279/100/VLOOKUP($C$277,'DB animal categories'!$C$107:$AC$116,27,FALSE)*AJ279+M279+N279+O279,IF(AS279=3,('Calc (ex-animal)'!$G$58*(1-'DB additional information '!$K$15/100)+'Calc (ex-animal)'!$H$58*(1-'DB additional information '!$L$15/100))*(1-VLOOKUP(D279,'DB technologies'!$N$138:$Y$152,8,FALSE)/100)*'Calc (ex-housing, ex-storage)'!F279/100/VLOOKUP($C$277,'DB animal categories'!$C$107:$AC$116,27,FALSE)*AJ279+M279+N279+O279,IF(AS279=4,('Calc (ex-animal)'!$G$58*(1-'DB additional information '!$K$15/100)+'Calc (ex-animal)'!$H$58*(1-'DB additional information '!$L$15/100))*(1-VLOOKUP(D279,'DB technologies'!$N$138:$Y$152,8,FALSE)/100)*'Calc (ex-housing, ex-storage)'!F279/100*VLOOKUP(D279,'DB technologies'!$N$138:$Y$152,12,FALSE)/100/VLOOKUP($C$277,'DB animal categories'!$C$107:$AC$116,27,FALSE)*AJ279+M279+N279+O279,0))))))</f>
        <v/>
      </c>
      <c r="AW279" s="442" t="str">
        <f>IF(AS279="","",IF(AU279=0,0,AU279/AT279*100))</f>
        <v/>
      </c>
      <c r="AX279" s="182" t="str">
        <f>IF(D279="","",IF(AS279=2,0,IF(AS279=1,'Calc (ex-animal)'!$K$58*'Calc (ex-housing, ex-storage)'!F279/100/VLOOKUP($C$277,'DB animal categories'!$C$107:$AC$116,27,FALSE)*AJ279+Q279+R279+S279,IF(AS279=5,('Calc (ex-animal)'!$K$58+'Calc (ex-animal)'!$L$58)*'Calc (ex-housing, ex-storage)'!F279/100/VLOOKUP($C$277,'DB animal categories'!$C$107:$AC$116,27,FALSE)*AJ279+Q279+R279+S279-'Calc (ex-housing, ex-storage)'!AC279,IF(AS279=3,('Calc (ex-animal)'!$K$58+'Calc (ex-animal)'!$L$58)*'Calc (ex-housing, ex-storage)'!F279/100/VLOOKUP($C$277,'DB animal categories'!$C$107:$AC$116,27,FALSE)*AJ279+Q279+R279+S279-'Calc (ex-housing, ex-storage)'!AC279-AD279-AE279,IF(AI279=4,('Calc (ex-animal)'!$K$58+'Calc (ex-animal)'!$L$58)*'Calc (ex-housing, ex-storage)'!F279/100*VLOOKUP(D279,'DB technologies'!$N$138:$Y$152,12,FALSE)/100/VLOOKUP($C$277,'DB animal categories'!$C$107:$AC$116,27,FALSE)*AJ279+Q279+R279+S279-(VLOOKUP(D279,'DB technologies'!$N$138:$Y$152,12,FALSE)/100*AC279)-AD279-AE279,0))))))</f>
        <v/>
      </c>
      <c r="AY279" s="182" t="str">
        <f>IF(D279="","",IF(AS279=2,0,IF(AS279=1,'Calc (ex-animal)'!$N$58*'Calc (ex-housing, ex-storage)'!F279/100/VLOOKUP($C$277,'DB animal categories'!$C$107:$AC$116,27,FALSE)*AJ279+U279+V279+W279,IF(AS279=5,('Calc (ex-animal)'!$N$58+'Calc (ex-animal)'!$O$58)*'Calc (ex-housing, ex-storage)'!F279/100/VLOOKUP($C$277,'DB animal categories'!$C$107:$AC$116,27,FALSE)*AJ279+U279+V279+W279,IF(AS279=3,('Calc (ex-animal)'!$N$58+'Calc (ex-animal)'!$O$58)*'Calc (ex-housing, ex-storage)'!F279/100/VLOOKUP($C$277,'DB animal categories'!$C$107:$AC$116,27,FALSE)*AJ279+U279+V279+W279,IF(AS279=4,('Calc (ex-animal)'!$N$58+'Calc (ex-animal)'!$O$58)*'Calc (ex-housing, ex-storage)'!F279/100*VLOOKUP(D279,'DB technologies'!$N$138:$Y$152,12,FALSE)/100/VLOOKUP($C$277,'DB animal categories'!$C$107:$AC$116,27,FALSE)*AJ279+U279+V279+W279,0))))))</f>
        <v/>
      </c>
      <c r="AZ279" s="182" t="str">
        <f>IF(D279="","",IF(AS279=2,0,IF(AS279=1,'Calc (ex-animal)'!$Q$58*'Calc (ex-housing, ex-storage)'!F279/100/VLOOKUP($C$277,'DB animal categories'!$C$107:$AC$116,27,FALSE)*AJ279+Y279+Z279+AA279,IF(AS279=5,('Calc (ex-animal)'!$Q$58+'Calc (ex-animal)'!$R$58)*'Calc (ex-housing, ex-storage)'!F279/100/VLOOKUP($C$277,'DB animal categories'!$C$107:$AC$116,27,FALSE)*AJ279+Y279+Z279+AA279,IF(AS279=3,('Calc (ex-animal)'!$Q$58+'Calc (ex-animal)'!$R$58)*'Calc (ex-housing, ex-storage)'!F279/100/VLOOKUP($C$277,'DB animal categories'!$C$107:$AC$116,27,FALSE)*AJ279+Y279+Z279+AA279,IF(AS279=4,('Calc (ex-animal)'!$Q$58+'Calc (ex-animal)'!$R$58)*'Calc (ex-housing, ex-storage)'!F279/100*VLOOKUP(D279,'DB technologies'!$N$138:$Y$152,12,FALSE)/100/VLOOKUP($C$277,'DB animal categories'!$C$107:$AC$116,27,FALSE)*AJ279+Y279+Z279+AA279,0))))))</f>
        <v/>
      </c>
      <c r="BA279" s="506"/>
      <c r="BB279" s="506"/>
      <c r="BC279" s="506"/>
    </row>
    <row r="280" spans="1:55" x14ac:dyDescent="0.2">
      <c r="A280" s="695"/>
      <c r="B280" s="695"/>
      <c r="C280" s="255"/>
      <c r="D280" s="1357"/>
      <c r="E280" s="1358"/>
      <c r="F280" s="480" t="str">
        <f>IF('Calc (ex-animal)'!$F$58=1,"",IF($C$277=0,"",IF(D280="","",E280/'Calc (ex-animal)'!$E$58*100)))</f>
        <v/>
      </c>
      <c r="G280" s="485" t="str">
        <f>IF($C$277=0,"",IF('Calc (ex-animal)'!$F$58=1,"",IF(D280="","",SUM(H280:O280))))</f>
        <v/>
      </c>
      <c r="H280" s="423" t="str">
        <f>IF('Calc (ex-animal)'!$F$58=1,"",IF(D280="","",(((VLOOKUP($C$277,'Calc (ex-animal)'!$D$58:$Y$62,6,FALSE)-VLOOKUP($C$277,'Calc (ex-animal)'!$D$58:$Y$62,17,FALSE))*F280/100))*VLOOKUP($C$277,'Calc (ex-animal)'!$D$58:$Y$62,7,FALSE)/100*(1-VLOOKUP(D280,'DB technologies'!$N$138:$Y$152,9,FALSE)/100)))</f>
        <v/>
      </c>
      <c r="I280" s="423" t="str">
        <f>IF(D280="","",((VLOOKUP(D280,'DB technologies'!$N$138:$Y$152,2,FALSE)*VLOOKUP($C$277,'DB animal categories'!$C$107:$AC$116,27,FALSE)*E280/1000)/VLOOKUP($C$277,'DB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'!$S$6/100*(1-VLOOKUP(D280,'DB technologies'!$N$138:$Y$152,9,FALSE)/100)))</f>
        <v/>
      </c>
      <c r="J280" s="434" t="str">
        <f>IF(D280="","",((VLOOKUP(D280,'DB technologies'!$N$138:$Y$152,3,FALSE)*VLOOKUP($C$277,'DB animal categories'!$C$107:$AC$116,27,FALSE)*E280/1000)/VLOOKUP($C$277,'DB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'!$S$7/100*(1-VLOOKUP(D280,'DB technologies'!$N$138:$Y$152,9,FALSE)/100)))</f>
        <v/>
      </c>
      <c r="K280" s="434" t="str">
        <f>IF(D280="","",((VLOOKUP(D280,'DB technologies'!$N$138:$Y$152,4,FALSE)*E280*'DB additional information '!$S$8/100*(1-VLOOKUP(D280,'DB technologies'!$N$138:$Y$152,9,FALSE)/100))/VLOOKUP($C$277,'DB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L280" s="423" t="str">
        <f>IF('Calc (ex-animal)'!$F$58=1,"",IF(D280="","",(((VLOOKUP($C$277,'Calc (ex-animal)'!$D$58:$Y$62,6,FALSE)-VLOOKUP($C$277,'Calc (ex-animal)'!$D$58:$Y$62,17,FALSE))*F280/100))*(1-VLOOKUP($C$277,'Calc (ex-animal)'!$D$58:$Y$62,7,FALSE)/100)*(1-VLOOKUP(D280,'DB technologies'!$N$138:$V$152,8,FALSE)/100)))</f>
        <v/>
      </c>
      <c r="M280" s="434" t="str">
        <f>IF(D280="","",((VLOOKUP(D280,'DB technologies'!$N$138:$Y$152,2,FALSE)*VLOOKUP($C$277,'DB animal categories'!$C$107:$AC$116,27,FALSE)*E280/1000)/VLOOKUP($C$277,'DB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'!$S$6/100)*(1-VLOOKUP(D280,'DB technologies'!$N$138:$Y$152,9,FALSE)/100))</f>
        <v/>
      </c>
      <c r="N280" s="434" t="str">
        <f>IF(D280="","",((VLOOKUP(D280,'DB technologies'!$N$138:$Y$152,3,FALSE)*VLOOKUP($C$277,'DB animal categories'!$C$107:$AC$116,27,FALSE)*E280/1000)/VLOOKUP($C$277,'DB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'!$S$7/100)*(1-VLOOKUP(D280,'DB technologies'!$N$138:$Y$152,9,FALSE)/100))</f>
        <v/>
      </c>
      <c r="O280" s="423" t="str">
        <f>IF(D280="","",((VLOOKUP(D280,'DB technologies'!$N$138:$Y$152,4,FALSE)*E280*(1-'DB additional information '!$S$8/100)*(1-VLOOKUP(D280,'DB technologies'!$N$138:$Y$152,8,FALSE)/100))/VLOOKUP($C$277,'DB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P280" s="438" t="str">
        <f>IF(G280=0,0,IF(E280="","",IF(F280="","",IF($C$277=0,"",IF(D280="","",SUM(H280:K280)/G280*100)))))</f>
        <v/>
      </c>
      <c r="Q280" s="416" t="str">
        <f>IF(D280="","",(VLOOKUP(D280,'DB technologies'!$N$138:$Y$152,2,FALSE)*'DB additional information '!$S$6/100*'DB additional information '!$T$6*VLOOKUP($C$277,'DB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R280" s="416" t="str">
        <f>IF(D280="","",(VLOOKUP(D280,'DB technologies'!$N$138:$Y$152,3,FALSE)*'DB additional information '!$S$7/100*'DB additional information '!$T$7*VLOOKUP($C$277,'DB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S280" s="491" t="str">
        <f>IF(D280="","",(VLOOKUP(D280,'DB technologies'!$N$138:$Y$152,4,FALSE)*('DB additional information '!$S$8/100*'DB additional information '!$T$8*E280/1000/1000)))</f>
        <v/>
      </c>
      <c r="T280" s="264" t="str">
        <f>IF($C$277=0,"",IF('Calc (ex-animal)'!$F$58=1,"",IF(D280="","",((VLOOKUP($C$277,'Calc (ex-animal)'!$D$58:$Y$62,10,FALSE)-VLOOKUP($C$277,'Calc (ex-animal)'!$D$58:$Y$62,18,FALSE))*F280/100+Q280+R280+S280)-AC280-AD280-AE280)))</f>
        <v/>
      </c>
      <c r="U280" s="422" t="str">
        <f>IF(D280="","",(VLOOKUP(D280,'DB technologies'!$N$138:$Y$152,2,FALSE)*'DB additional information '!$S$6/100*'DB additional information '!$U$6*VLOOKUP($C$277,'DB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V280" s="418" t="str">
        <f>IF(D280="","",(VLOOKUP(D280,'DB technologies'!$N$138:$Y$152,3,FALSE)*'DB additional information '!$S$7/100*'DB additional information '!$U$7*VLOOKUP($C$277,'DB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W280" s="417" t="str">
        <f>IF(D280="","",(VLOOKUP(D280,'DB technologies'!$N$138:$Y$152,4,FALSE)*('DB additional information '!$S$8/100*'DB additional information '!$U$8*E280/1000/1000)))</f>
        <v/>
      </c>
      <c r="X280" s="261" t="str">
        <f>IF($C$277=0,"",IF('Calc (ex-animal)'!$F$58=1,"",IF(D280="","",((VLOOKUP($C$277,'Calc (ex-animal)'!$D$58:$Y$62,13,FALSE)-VLOOKUP($C$277,'Calc (ex-animal)'!$D$58:$Y$62,19,FALSE))*F280/100+U280+V280+W280))))</f>
        <v/>
      </c>
      <c r="Y280" s="418" t="str">
        <f>IF(D280="","",(VLOOKUP(D280,'DB technologies'!$N$138:$Y$152,2,FALSE)*'DB additional information '!$S$6/100*'DB additional information '!$V$6*VLOOKUP($C$277,'DB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Z280" s="418" t="str">
        <f>IF(D280="","",(VLOOKUP(D280,'DB technologies'!$N$138:$Y$152,3,FALSE)*'DB additional information '!$S$7/100*'DB additional information '!$V$7*VLOOKUP($C$277,'DB animal categories'!$C$107:$AC$116,27,FALSE)*E280/1000/1000)/VLOOKUP($C$277,'DB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AA280" s="418" t="str">
        <f>IF(D280="","",(VLOOKUP(D280,'DB technologies'!$N$138:$Y$152,4,FALSE)*('DB additional information '!$S$8/100*'DB additional information '!$V$8*E280/1000/1000)))</f>
        <v/>
      </c>
      <c r="AB280" s="261" t="str">
        <f>IF($C$277=0,"",IF('Calc (ex-animal)'!$F$58=1,"",IF(D280="","",((VLOOKUP($C$277,'Calc (ex-animal)'!$D$58:$Y$62,16,FALSE)-VLOOKUP($C$277,'Calc (ex-animal)'!$D$58:$Y$62,20,FALSE))*F280/100+Y280+Z280+AA280))))</f>
        <v/>
      </c>
      <c r="AC280" s="261" t="str">
        <f>IF($C$277=0,"",IF('Calc (ex-animal)'!$F$58=1,"",IF(D280="","",VLOOKUP($C$277,'Calc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categories'!$C$107:$AC$116,26,FALSE)/24)*F280/100*VLOOKUP(D280,'DB technologies'!$N$138:$R$152,5,FALSE)/100)))</f>
        <v/>
      </c>
      <c r="AD280" s="261" t="str">
        <f>IF($C$277=0,"",IF('Calc (ex-animal)'!$F$58=1,"",IF(D280="","",VLOOKUP($C$277,'Calc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categories'!$C$107:$AC$116,26,FALSE)/24)*F280/100*VLOOKUP(D280,'DB technologies'!$N$138:$Y$152,6,FALSE)/100)))</f>
        <v/>
      </c>
      <c r="AE280" s="262" t="str">
        <f>IF($C$277=0,"",IF('Calc (ex-animal)'!$F$58=1,"",IF(D280="","",VLOOKUP($C$277,'Calc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categories'!$C$107:$AC$116,26,FALSE)/24)*F280/100*VLOOKUP(D280,'DB technologies'!$N$138:$Y$152,7,FALSE)/100)))</f>
        <v/>
      </c>
      <c r="AI280" s="181" t="str">
        <f>IF(D280="","",VLOOKUP(D280,'DB technologies'!$N$138:$Y$152,10,FALSE))</f>
        <v/>
      </c>
      <c r="AJ280" s="449" t="e">
        <f>VLOOKUP($C$277,'DB animal categories'!$C$107:$AN$116,27,FALSE)-VLOOKUP($C$277,'DB animal categories'!$C$107:$AN$116,26,FALSE)*VLOOKUP($C$277,'DB animal categories'!$C$107:$AN$116,25,FALSE)/24</f>
        <v>#N/A</v>
      </c>
      <c r="AK280" s="442" t="str">
        <f>IF(AI280="","",AL280+AM280)</f>
        <v/>
      </c>
      <c r="AL280" s="442" t="str">
        <f>IF(D280="","",IF(AI280=2,(('Calc (ex-animal)'!$G$58*'DB additional information '!$K$15/100*(1-VLOOKUP(D280,'DB technologies'!$N$138:$Y$152,9,FALSE)/100)*'Calc (ex-housing, ex-storage)'!F280/100+'Calc (ex-animal)'!$H$58*'DB additional information '!$L$15/100*(1-VLOOKUP(D280,'DB technologies'!$N$138:$Y$152,9,FALSE)/100)*'Calc (ex-housing, ex-storage)'!F280/100))/VLOOKUP($C$277,'DB animal categories'!$C$107:$AC$116,27,FALSE)*AJ280+I280+J280+K280,IF(AI280=1,('Calc (ex-animal)'!$H$58*'DB additional information '!$L$15/100*(1-VLOOKUP(D280,'DB technologies'!$N$138:$Y$152,9,FALSE)/100)*'Calc (ex-housing, ex-storage)'!F280/100)/VLOOKUP($C$277,'DB animal categories'!$C$107:$AC$116,27,FALSE)*AJ280,IF(AI280=4,('Calc (ex-animal)'!$G$58*'DB additional information '!$K$15/100+'Calc (ex-animal)'!$H$58*'DB additional information '!$L$15/100)*(1-VLOOKUP(D280,'DB technologies'!$N$138:$Y$152,9,FALSE)/100)*'Calc (ex-housing, ex-storage)'!F280/100*VLOOKUP(D280,'DB technologies'!$N$138:$Y$152,11,FALSE)/100/VLOOKUP($C$277,'DB animal categories'!$C$107:$AC$116,27,FALSE)*AJ280,0))))</f>
        <v/>
      </c>
      <c r="AM280" s="442" t="str">
        <f>IF(D280="","",IF(AI280=2,(('Calc (ex-animal)'!$G$58*(1-'DB additional information '!$K$15/100)*(1-VLOOKUP(D280,'DB technologies'!$N$138:$Y$152,8,FALSE)/100)*'Calc (ex-housing, ex-storage)'!F280/100+'Calc (ex-animal)'!$H$58*(1-'DB additional information '!$L$15/100)*(1-VLOOKUP(D280,'DB technologies'!$N$138:$Y$152,8,FALSE)/100)*'Calc (ex-housing, ex-storage)'!F280/100))/VLOOKUP($C$277,'DB animal categories'!$C$107:$AC$116,27,FALSE)*AJ280+M280+N280+O280,IF(AI280=1,('Calc (ex-animal)'!$H$58*(1-'DB additional information '!$L$15/100)*(1-VLOOKUP(D280,'DB technologies'!$N$138:$Y$152,8,FALSE)/100)*'Calc (ex-housing, ex-storage)'!F280/100)/VLOOKUP($C$277,'DB animal categories'!$C$107:$AC$116,27,FALSE)*AJ280,IF(AI280=4,('Calc (ex-animal)'!$G$58*(1-'DB additional information '!$K$15/100)+'Calc (ex-animal)'!$H$58*(1-'DB additional information '!$L$15/100))*(1-VLOOKUP(D280,'DB technologies'!$N$138:$Y$152,8,FALSE)/100)*'Calc (ex-housing, ex-storage)'!F280/100*VLOOKUP(D280,'DB technologies'!$N$138:$Y$152,11,FALSE)/100/VLOOKUP($C$277,'DB animal categories'!$C$107:$AC$116,27,FALSE)*AJ280,0))))</f>
        <v/>
      </c>
      <c r="AN280" s="442" t="str">
        <f>IF(AI280="","",IF(AL280=0,0,AL280/AK280*100))</f>
        <v/>
      </c>
      <c r="AO280" s="182" t="str">
        <f>IF(D280="","",IF(AI280=2,(('Calc (ex-animal)'!$L$58*'Calc (ex-housing, ex-storage)'!F280/100+'Calc (ex-animal)'!$K$58*'Calc (ex-housing, ex-storage)'!F280/100))/VLOOKUP($C$277,'DB animal categories'!$C$107:$AC$116,27,FALSE)*AJ280+Q280+R280+S280-AC280,IF(AI280=1,('Calc (ex-animal)'!$L$58*'Calc (ex-housing, ex-storage)'!F280/100)/VLOOKUP($C$277,'DB animal categories'!$C$107:$AC$116,27,FALSE)*AJ280-'Calc (ex-housing, ex-storage)'!AC280,IF(AI280=4,('Calc (ex-animal)'!$L$58+'Calc (ex-animal)'!$K$58)*'Calc (ex-housing, ex-storage)'!F280/100*VLOOKUP(D280,'DB technologies'!$N$138:$Y$152,11,FALSE)/100/VLOOKUP($C$277,'DB animal categories'!$C$107:$AC$116,27,FALSE)*AJ280-AC280*VLOOKUP(D280,'DB technologies'!$N$138:$Y$152,11,FALSE)/100,0))))</f>
        <v/>
      </c>
      <c r="AP280" s="182" t="str">
        <f>IF(D280="","",IF(AO280&lt;-0.01,0,IF(AI280=2,(('Calc (ex-animal)'!$L$58*'Calc (ex-housing, ex-storage)'!F280/100+'Calc (ex-animal)'!$K$58*'Calc (ex-housing, ex-storage)'!F280/100))/VLOOKUP($C$277,'DB animal categories'!$C$107:$AC$116,27,FALSE)*AJ280+Q280+R280+S280-AC280,IF(AI280=1,('Calc (ex-animal)'!$L$58*'Calc (ex-housing, ex-storage)'!F280/100)/VLOOKUP($C$277,'DB animal categories'!$C$107:$AC$116,27,FALSE)*AJ280-'Calc (ex-housing, ex-storage)'!AC280,IF(AI280=4,('Calc (ex-animal)'!$L$58+'Calc (ex-animal)'!$K$58)*'Calc (ex-housing, ex-storage)'!F280/100*VLOOKUP(D280,'DB technologies'!$N$138:$Y$152,11,FALSE)/100/VLOOKUP($C$277,'DB animal categories'!$C$107:$AC$116,27,FALSE)*AJ280-AC280*VLOOKUP(D280,'DB technologies'!$N$138:$Y$152,11,FALSE)/100,0)))))</f>
        <v/>
      </c>
      <c r="AQ280" s="182" t="str">
        <f>IF(D280="","",IF(AI280=2,('Calc (ex-animal)'!$O$58*'Calc (ex-housing, ex-storage)'!F280/100+'Calc (ex-animal)'!$N$58*'Calc (ex-housing, ex-storage)'!F280/100)/VLOOKUP($C$277,'DB animal categories'!$C$107:$AC$116,27,FALSE)*AJ280+U280+V280+W280,IF(AI280=1,'Calc (ex-animal)'!$O$58*'Calc (ex-housing, ex-storage)'!F280/100/VLOOKUP($C$277,'DB animal categories'!$C$107:$AC$116,27,FALSE)*AJ280,IF(AI280=4,('Calc (ex-animal)'!$O$58+'Calc (ex-animal)'!$N$58)*'Calc (ex-housing, ex-storage)'!F280/100*VLOOKUP(D280,'DB technologies'!$N$138:$Y$152,11,FALSE)/100/VLOOKUP($C$277,'DB animal categories'!$C$107:$AC$116,27,FALSE)*AJ280,0))))</f>
        <v/>
      </c>
      <c r="AR280" s="182" t="str">
        <f>IF(D280="","",IF(AI280=2,('Calc (ex-animal)'!$R$58*'Calc (ex-housing, ex-storage)'!F280/100+'Calc (ex-animal)'!$Q$58*'Calc (ex-housing, ex-storage)'!F280/100)/VLOOKUP($C$277,'DB animal categories'!$C$107:$AC$116,27,FALSE)*AJ280+Y280+Z280+AA280,IF(AI280=1,'Calc (ex-animal)'!$R$58*'Calc (ex-housing, ex-storage)'!F280/100/VLOOKUP($C$277,'DB animal categories'!$C$107:$AC$116,27,FALSE)*AJ280,IF(AI280=4,('Calc (ex-animal)'!$R$58+'Calc (ex-animal)'!$Q$58)*'Calc (ex-housing, ex-storage)'!F280/100*VLOOKUP(D280,'DB technologies'!$N$138:$Y$152,11,FALSE)/100/VLOOKUP($C$277,'DB animal categories'!$C$107:$AC$116,27,FALSE)*AJ280,0))))</f>
        <v/>
      </c>
      <c r="AS280" s="181" t="str">
        <f>IF(D280="","",VLOOKUP(D280,'DB technologies'!$N$138:$Y$152,10,FALSE))</f>
        <v/>
      </c>
      <c r="AT280" s="442" t="str">
        <f>IF(AS280="","",AU280+AV280)</f>
        <v/>
      </c>
      <c r="AU280" s="442" t="str">
        <f>IF(D280="","",IF(AS280=2,0,IF(AS280=1,'Calc (ex-animal)'!$G$58*'DB additional information '!$K$15/100*(1-VLOOKUP(D280,'DB technologies'!$N$138:$Y$152,8,FALSE)/100)*'Calc (ex-housing, ex-storage)'!F280/100/VLOOKUP($C$277,'DB animal categories'!$C$107:$AC$116,27,FALSE)*AJ280+I280+J280+K280,IF(AS280=5,(('Calc (ex-animal)'!$G$58*'DB additional information '!$K$15/100+'Calc (ex-animal)'!$H$58*'DB additional information '!$L$15/100))*(1-VLOOKUP(D280,'DB technologies'!$N$138:$Y$152,9,FALSE)/100)*'Calc (ex-housing, ex-storage)'!F280/100/VLOOKUP($C$277,'DB animal categories'!$C$107:$AC$116,27,FALSE)*AJ280+I280+J280+K280,IF(AS280=3,('Calc (ex-animal)'!$G$58*'DB additional information '!$K$15/100+'Calc (ex-animal)'!$H$58*'DB additional information '!$L$15/100)*(1-VLOOKUP(D280,'DB technologies'!$N$138:$Y$152,9,FALSE)/100)*'Calc (ex-housing, ex-storage)'!F280/100/VLOOKUP($C$277,'DB animal categories'!$C$107:$AC$116,27,FALSE)*AJ280+I280+J280+K280,IF(AS280=4,('Calc (ex-animal)'!$G$58*'DB additional information '!$K$15/100+'Calc (ex-animal)'!$H$58*'DB additional information '!$L$15/100)*(1-VLOOKUP(D280,'DB technologies'!$N$138:$Y$152,9,FALSE)/100)*'Calc (ex-housing, ex-storage)'!F280/100*VLOOKUP(D280,'DB technologies'!$N$138:$Y$152,12,FALSE)/100/VLOOKUP($C$277,'DB animal categories'!$C$107:$AC$116,27,FALSE)*AJ280+I280+J280+K280,0))))))</f>
        <v/>
      </c>
      <c r="AV280" s="442" t="str">
        <f>IF(D280="","",IF(AS280=2,0,IF(AS280=1,'Calc (ex-animal)'!$G$58*(1-'DB additional information '!$K$15/100)*(1-VLOOKUP(D280,'DB technologies'!$N$138:$Y$152,8,FALSE)/100)*'Calc (ex-housing, ex-storage)'!F280/100/VLOOKUP($C$277,'DB animal categories'!$C$107:$AC$116,27,FALSE)*AJ280+M280+N280+O280,IF(AS280=5,('Calc (ex-animal)'!$G$58*(1-'DB additional information '!$K$15/100)+'Calc (ex-animal)'!$H$58*(1-'DB additional information '!$L$15/100))*(1-VLOOKUP(D280,'DB technologies'!$N$138:$Y$152,8,FALSE)/100)*'Calc (ex-housing, ex-storage)'!F280/100/VLOOKUP($C$277,'DB animal categories'!$C$107:$AC$116,27,FALSE)*AJ280+M280+N280+O280,IF(AS280=3,('Calc (ex-animal)'!$G$58*(1-'DB additional information '!$K$15/100)+'Calc (ex-animal)'!$H$58*(1-'DB additional information '!$L$15/100))*(1-VLOOKUP(D280,'DB technologies'!$N$138:$Y$152,8,FALSE)/100)*'Calc (ex-housing, ex-storage)'!F280/100/VLOOKUP($C$277,'DB animal categories'!$C$107:$AC$116,27,FALSE)*AJ280+M280+N280+O280,IF(AS280=4,('Calc (ex-animal)'!$G$58*(1-'DB additional information '!$K$15/100)+'Calc (ex-animal)'!$H$58*(1-'DB additional information '!$L$15/100))*(1-VLOOKUP(D280,'DB technologies'!$N$138:$Y$152,8,FALSE)/100)*'Calc (ex-housing, ex-storage)'!F280/100*VLOOKUP(D280,'DB technologies'!$N$138:$Y$152,12,FALSE)/100/VLOOKUP($C$277,'DB animal categories'!$C$107:$AC$116,27,FALSE)*AJ280+M280+N280+O280,0))))))</f>
        <v/>
      </c>
      <c r="AW280" s="442" t="str">
        <f>IF(AS280="","",IF(AU280=0,0,AU280/AT280*100))</f>
        <v/>
      </c>
      <c r="AX280" s="182" t="str">
        <f>IF(D280="","",IF(AS280=2,0,IF(AS280=1,'Calc (ex-animal)'!$K$58*'Calc (ex-housing, ex-storage)'!F280/100/VLOOKUP($C$277,'DB animal categories'!$C$107:$AC$116,27,FALSE)*AJ280+Q280+R280+S280,IF(AS280=5,('Calc (ex-animal)'!$K$58+'Calc (ex-animal)'!$L$58)*'Calc (ex-housing, ex-storage)'!F280/100/VLOOKUP($C$277,'DB animal categories'!$C$107:$AC$116,27,FALSE)*AJ280+Q280+R280+S280-'Calc (ex-housing, ex-storage)'!AC280,IF(AS280=3,('Calc (ex-animal)'!$K$58+'Calc (ex-animal)'!$L$58)*'Calc (ex-housing, ex-storage)'!F280/100/VLOOKUP($C$277,'DB animal categories'!$C$107:$AC$116,27,FALSE)*AJ280+Q280+R280+S280-'Calc (ex-housing, ex-storage)'!AC280-AD280-AE280,IF(AI280=4,('Calc (ex-animal)'!$K$58+'Calc (ex-animal)'!$L$58)*'Calc (ex-housing, ex-storage)'!F280/100*VLOOKUP(D280,'DB technologies'!$N$138:$Y$152,12,FALSE)/100/VLOOKUP($C$277,'DB animal categories'!$C$107:$AC$116,27,FALSE)*AJ280+Q280+R280+S280-(VLOOKUP(D280,'DB technologies'!$N$138:$Y$152,12,FALSE)/100*AC280)-AD280-AE280,0))))))</f>
        <v/>
      </c>
      <c r="AY280" s="182" t="str">
        <f>IF(D280="","",IF(AS280=2,0,IF(AS280=1,'Calc (ex-animal)'!$N$58*'Calc (ex-housing, ex-storage)'!F280/100/VLOOKUP($C$277,'DB animal categories'!$C$107:$AC$116,27,FALSE)*AJ280+U280+V280+W280,IF(AS280=5,('Calc (ex-animal)'!$N$58+'Calc (ex-animal)'!$O$58)*'Calc (ex-housing, ex-storage)'!F280/100/VLOOKUP($C$277,'DB animal categories'!$C$107:$AC$116,27,FALSE)*AJ280+U280+V280+W280,IF(AS280=3,('Calc (ex-animal)'!$N$58+'Calc (ex-animal)'!$O$58)*'Calc (ex-housing, ex-storage)'!F280/100/VLOOKUP($C$277,'DB animal categories'!$C$107:$AC$116,27,FALSE)*AJ280+U280+V280+W280,IF(AS280=4,('Calc (ex-animal)'!$N$58+'Calc (ex-animal)'!$O$58)*'Calc (ex-housing, ex-storage)'!F280/100*VLOOKUP(D280,'DB technologies'!$N$138:$Y$152,12,FALSE)/100/VLOOKUP($C$277,'DB animal categories'!$C$107:$AC$116,27,FALSE)*AJ280+U280+V280+W280,0))))))</f>
        <v/>
      </c>
      <c r="AZ280" s="182" t="str">
        <f>IF(D280="","",IF(AS280=2,0,IF(AS280=1,'Calc (ex-animal)'!$Q$58*'Calc (ex-housing, ex-storage)'!F280/100/VLOOKUP($C$277,'DB animal categories'!$C$107:$AC$116,27,FALSE)*AJ280+Y280+Z280+AA280,IF(AS280=5,('Calc (ex-animal)'!$Q$58+'Calc (ex-animal)'!$R$58)*'Calc (ex-housing, ex-storage)'!F280/100/VLOOKUP($C$277,'DB animal categories'!$C$107:$AC$116,27,FALSE)*AJ280+Y280+Z280+AA280,IF(AS280=3,('Calc (ex-animal)'!$Q$58+'Calc (ex-animal)'!$R$58)*'Calc (ex-housing, ex-storage)'!F280/100/VLOOKUP($C$277,'DB animal categories'!$C$107:$AC$116,27,FALSE)*AJ280+Y280+Z280+AA280,IF(AS280=4,('Calc (ex-animal)'!$Q$58+'Calc (ex-animal)'!$R$58)*'Calc (ex-housing, ex-storage)'!F280/100*VLOOKUP(D280,'DB technologies'!$N$138:$Y$152,12,FALSE)/100/VLOOKUP($C$277,'DB animal categories'!$C$107:$AC$116,27,FALSE)*AJ280+Y280+Z280+AA280,0))))))</f>
        <v/>
      </c>
      <c r="BA280" s="506"/>
      <c r="BB280" s="506"/>
      <c r="BC280" s="506"/>
    </row>
    <row r="281" spans="1:55" ht="12" thickBot="1" x14ac:dyDescent="0.25">
      <c r="A281" s="695"/>
      <c r="B281" s="695"/>
      <c r="C281" s="255"/>
      <c r="D281" s="1359"/>
      <c r="E281" s="1360"/>
      <c r="F281" s="481" t="str">
        <f>IF('Calc (ex-animal)'!$F$58=1,"",IF($C$277=0,"",IF(D281="","",E281/'Calc (ex-animal)'!$E$58*100)))</f>
        <v/>
      </c>
      <c r="G281" s="483" t="str">
        <f>IF($C$277=0,"",IF('Calc (ex-animal)'!$F$58=1,"",IF(D281="","",SUM(H281:O281))))</f>
        <v/>
      </c>
      <c r="H281" s="445" t="str">
        <f>IF('Calc (ex-animal)'!$F$58=1,"",IF(D281="","",(((VLOOKUP($C$277,'Calc (ex-animal)'!$D$58:$Y$62,6,FALSE)-VLOOKUP($C$277,'Calc (ex-animal)'!$D$58:$Y$62,17,FALSE))*F281/100))*VLOOKUP($C$277,'Calc (ex-animal)'!$D$58:$Y$62,7,FALSE)/100*(1-VLOOKUP(D281,'DB technologies'!$N$138:$Y$152,9,FALSE)/100)))</f>
        <v/>
      </c>
      <c r="I281" s="445" t="str">
        <f>IF(D281="","",((VLOOKUP(D281,'DB technologies'!$N$138:$Y$152,2,FALSE)*VLOOKUP($C$277,'DB animal categories'!$C$107:$AC$116,27,FALSE)*E281/1000)/VLOOKUP($C$277,'DB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'!$S$6/100*(1-VLOOKUP(D281,'DB technologies'!$N$138:$Y$152,9,FALSE)/100)))</f>
        <v/>
      </c>
      <c r="J281" s="446" t="str">
        <f>IF(D281="","",((VLOOKUP(D281,'DB technologies'!$N$138:$Y$152,3,FALSE)*VLOOKUP($C$277,'DB animal categories'!$C$107:$AC$116,27,FALSE)*E281/1000)/VLOOKUP($C$277,'DB animal categories'!$C$107:$AC$116,27,FALSE)*(VLOOKUP($C$277,'DB animal categories'!$C$107:$AC$116,27,FALSE)-(VLOOKUP($C$277,'DB animal categories'!$C$107:$AC$116,25,FALSE)*VLOOKUP($C$277,'DB animal categories'!$C$107:$AC$116,26,FALSE)/24))*'DB additional information '!$S$7/100*(1-VLOOKUP(D281,'DB technologies'!$N$138:$Y$152,9,FALSE)/100)))</f>
        <v/>
      </c>
      <c r="K281" s="446" t="str">
        <f>IF(D281="","",((VLOOKUP(D281,'DB technologies'!$N$138:$Y$152,4,FALSE)*E281*'DB additional information '!$S$8/100*(1-VLOOKUP(D281,'DB technologies'!$N$138:$Y$152,9,FALSE)/100))/VLOOKUP($C$277,'DB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L281" s="445" t="str">
        <f>IF('Calc (ex-animal)'!$F$58=1,"",IF(D281="","",(((VLOOKUP($C$277,'Calc (ex-animal)'!$D$58:$Y$62,6,FALSE)-VLOOKUP($C$277,'Calc (ex-animal)'!$D$58:$Y$62,17,FALSE))*F281/100))*(1-VLOOKUP($C$277,'Calc (ex-animal)'!$D$58:$Y$62,7,FALSE)/100)*(1-VLOOKUP(D281,'DB technologies'!$N$138:$V$152,8,FALSE)/100)))</f>
        <v/>
      </c>
      <c r="M281" s="446" t="str">
        <f>IF(D281="","",((VLOOKUP(D281,'DB technologies'!$N$138:$Y$152,2,FALSE)*VLOOKUP($C$277,'DB animal categories'!$C$107:$AC$116,27,FALSE)*E281/1000)/VLOOKUP($C$277,'DB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'!$S$6/100)*(1-VLOOKUP(D281,'DB technologies'!$N$138:$Y$152,9,FALSE)/100))</f>
        <v/>
      </c>
      <c r="N281" s="446" t="str">
        <f>IF(D281="","",((VLOOKUP(D281,'DB technologies'!$N$138:$Y$152,3,FALSE)*VLOOKUP($C$277,'DB animal categories'!$C$107:$AC$116,27,FALSE)*E281/1000)/VLOOKUP($C$277,'DB animal categories'!$C$107:$AC$116,27,FALSE)*(VLOOKUP($C$277,'DB animal categories'!$C$107:$AC$116,27,FALSE)-VLOOKUP($C$277,'DB animal categories'!$C$107:$AC$116,25,FALSE)*VLOOKUP($C$277,'DB animal categories'!$C$107:$AC$116,26,FALSE)/24))*(1-'DB additional information '!$S$7/100)*(1-VLOOKUP(D281,'DB technologies'!$N$138:$Y$152,9,FALSE)/100))</f>
        <v/>
      </c>
      <c r="O281" s="445" t="str">
        <f>IF(D281="","",((VLOOKUP(D281,'DB technologies'!$N$138:$Y$152,4,FALSE)*E281*(1-'DB additional information '!$S$8/100)*(1-VLOOKUP(D281,'DB technologies'!$N$138:$Y$152,8,FALSE)/100))/VLOOKUP($C$277,'DB animal categories'!$C$107:$AC$116,27,FALSE)*(VLOOKUP($C$277,'DB animal categories'!$C$107:$AC$116,27,FALSE)-VLOOKUP($C$277,'DB animal categories'!$C$107:$AC$116,25,FALSE)*VLOOKUP($C$277,'DB animal categories'!$C$107:$AC$116,26,FALSE)/24)))</f>
        <v/>
      </c>
      <c r="P281" s="444" t="str">
        <f>IF(G281=0,0,IF(E281="","",IF(F281="","",IF($C$277=0,"",IF(D281="","",SUM(H281:K281)/G281*100)))))</f>
        <v/>
      </c>
      <c r="Q281" s="476" t="str">
        <f>IF(D281="","",(VLOOKUP(D281,'DB technologies'!$N$138:$Y$152,2,FALSE)*'DB additional information '!$S$6/100*'DB additional information '!$T$6*VLOOKUP($C$277,'DB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R281" s="476" t="str">
        <f>IF(D281="","",(VLOOKUP(D281,'DB technologies'!$N$138:$Y$152,3,FALSE)*'DB additional information '!$S$7/100*'DB additional information '!$T$7*VLOOKUP($C$277,'DB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S281" s="494" t="str">
        <f>IF(D281="","",(VLOOKUP(D281,'DB technologies'!$N$138:$Y$152,4,FALSE)*('DB additional information '!$S$8/100*'DB additional information '!$T$8*E281/1000/1000)))</f>
        <v/>
      </c>
      <c r="T281" s="266" t="str">
        <f>IF($C$277=0,"",IF('Calc (ex-animal)'!$F$58=1,"",IF(D281="","",((VLOOKUP($C$277,'Calc (ex-animal)'!$D$58:$Y$62,10,FALSE)-VLOOKUP($C$277,'Calc (ex-animal)'!$D$58:$Y$62,18,FALSE))*F281/100+Q281+R281+S281)-AC281-AD281-AE281)))</f>
        <v/>
      </c>
      <c r="U281" s="477" t="str">
        <f>IF(D281="","",(VLOOKUP(D281,'DB technologies'!$N$138:$Y$152,2,FALSE)*'DB additional information '!$S$6/100*'DB additional information '!$U$6*VLOOKUP($C$277,'DB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V281" s="433" t="str">
        <f>IF(D281="","",(VLOOKUP(D281,'DB technologies'!$N$138:$Y$152,3,FALSE)*'DB additional information '!$S$7/100*'DB additional information '!$U$7*VLOOKUP($C$277,'DB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W281" s="475" t="str">
        <f>IF(D281="","",(VLOOKUP(D281,'DB technologies'!$N$138:$Y$152,4,FALSE)*('DB additional information '!$S$8/100*'DB additional information '!$U$8*E281/1000/1000)))</f>
        <v/>
      </c>
      <c r="X281" s="267" t="str">
        <f>IF($C$277=0,"",IF('Calc (ex-animal)'!$F$58=1,"",IF(D281="","",((VLOOKUP($C$277,'Calc (ex-animal)'!$D$58:$Y$62,13,FALSE)-VLOOKUP($C$277,'Calc (ex-animal)'!$D$58:$Y$62,19,FALSE))*F281/100+U281+V281+W281))))</f>
        <v/>
      </c>
      <c r="Y281" s="433" t="str">
        <f>IF(D281="","",(VLOOKUP(D281,'DB technologies'!$N$138:$Y$152,2,FALSE)*'DB additional information '!$S$6/100*'DB additional information '!$V$6*VLOOKUP($C$277,'DB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Z281" s="433" t="str">
        <f>IF(D281="","",(VLOOKUP(D281,'DB technologies'!$N$138:$Y$152,3,FALSE)*'DB additional information '!$S$7/100*'DB additional information '!$V$7*VLOOKUP($C$277,'DB animal categories'!$C$107:$AC$116,27,FALSE)*E281/1000/1000)/VLOOKUP($C$277,'DB animal categories'!$C$107:$AC$116,27,FALSE)*(VLOOKUP($C$277,'DB animal categories'!$C$107:$AC$116,27,FALSE)-VLOOKUP($C$277,'DB animal categories'!$C$107:$AC$116,25,FALSE)*VLOOKUP($C$277,'DB animal categories'!$C$107:$AC$116,26,FALSE)/24))</f>
        <v/>
      </c>
      <c r="AA281" s="433" t="str">
        <f>IF(D281="","",(VLOOKUP(D281,'DB technologies'!$N$138:$Y$152,4,FALSE)*('DB additional information '!$S$8/100*'DB additional information '!$V$8*E281/1000/1000)))</f>
        <v/>
      </c>
      <c r="AB281" s="267" t="str">
        <f>IF($C$277=0,"",IF('Calc (ex-animal)'!$F$58=1,"",IF(D281="","",((VLOOKUP($C$277,'Calc (ex-animal)'!$D$58:$Y$62,16,FALSE)-VLOOKUP($C$277,'Calc (ex-animal)'!$D$58:$Y$62,20,FALSE))*F281/100+Y281+Z281+AA281))))</f>
        <v/>
      </c>
      <c r="AC281" s="267" t="str">
        <f>IF($C$277=0,"",IF('Calc (ex-animal)'!$F$58=1,"",IF(D281="","",VLOOKUP($C$277,'Calc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categories'!$C$107:$AC$116,26,FALSE)/24)*F281/100*VLOOKUP(D281,'DB technologies'!$N$138:$R$152,5,FALSE)/100)))</f>
        <v/>
      </c>
      <c r="AD281" s="267" t="str">
        <f>IF($C$277=0,"",IF('Calc (ex-animal)'!$F$58=1,"",IF(D281="","",VLOOKUP($C$277,'Calc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categories'!$C$107:$AC$116,26,FALSE)/24)*F281/100*VLOOKUP(D281,'DB technologies'!$N$138:$Y$152,6,FALSE)/100)))</f>
        <v/>
      </c>
      <c r="AE281" s="268" t="str">
        <f>IF($C$277=0,"",IF('Calc (ex-animal)'!$F$58=1,"",IF(D281="","",VLOOKUP($C$277,'Calc (ex-animal)'!$D$58:$Y$62,10,FALSE)/VLOOKUP($C$277,'DB animal categories'!$C$107:$AC$116,27,FALSE)*(VLOOKUP($C$277,'DB animal categories'!$C$107:$AC$116,27,FALSE)-VLOOKUP($C$277,'DB animal categories'!$C$107:$AC$116,25,FALSE)*VLOOKUP($C$277,'DB animal categories'!$C$107:$AC$116,26,FALSE)/24)*F281/100*VLOOKUP(D281,'DB technologies'!$N$138:$Y$152,7,FALSE)/100)))</f>
        <v/>
      </c>
      <c r="AI281" s="183" t="str">
        <f>IF(D281="","",VLOOKUP(D281,'DB technologies'!$N$138:$Y$152,10,FALSE))</f>
        <v/>
      </c>
      <c r="AJ281" s="451" t="e">
        <f>VLOOKUP($C$277,'DB animal categories'!$C$107:$AN$116,27,FALSE)-VLOOKUP($C$277,'DB animal categories'!$C$107:$AN$116,26,FALSE)*VLOOKUP($C$277,'DB animal categories'!$C$107:$AN$116,25,FALSE)/24</f>
        <v>#N/A</v>
      </c>
      <c r="AK281" s="452" t="str">
        <f>IF(AI281="","",AL281+AM281)</f>
        <v/>
      </c>
      <c r="AL281" s="452" t="str">
        <f>IF(D281="","",IF(AI281=2,(('Calc (ex-animal)'!$G$58*'DB additional information '!$K$15/100*(1-VLOOKUP(D281,'DB technologies'!$N$138:$Y$152,9,FALSE)/100)*'Calc (ex-housing, ex-storage)'!F281/100+'Calc (ex-animal)'!$H$58*'DB additional information '!$L$15/100*(1-VLOOKUP(D281,'DB technologies'!$N$138:$Y$152,9,FALSE)/100)*'Calc (ex-housing, ex-storage)'!F281/100))/VLOOKUP($C$277,'DB animal categories'!$C$107:$AC$116,27,FALSE)*AJ281+I281+J281+K281,IF(AI281=1,('Calc (ex-animal)'!$H$58*'DB additional information '!$L$15/100*(1-VLOOKUP(D281,'DB technologies'!$N$138:$Y$152,9,FALSE)/100)*'Calc (ex-housing, ex-storage)'!F281/100)/VLOOKUP($C$277,'DB animal categories'!$C$107:$AC$116,27,FALSE)*AJ281,IF(AI281=4,('Calc (ex-animal)'!$G$58*'DB additional information '!$K$15/100+'Calc (ex-animal)'!$H$58*'DB additional information '!$L$15/100)*(1-VLOOKUP(D281,'DB technologies'!$N$138:$Y$152,9,FALSE)/100)*'Calc (ex-housing, ex-storage)'!F281/100*VLOOKUP(D281,'DB technologies'!$N$138:$Y$152,11,FALSE)/100/VLOOKUP($C$277,'DB animal categories'!$C$107:$AC$116,27,FALSE)*AJ281,0))))</f>
        <v/>
      </c>
      <c r="AM281" s="452" t="str">
        <f>IF(D281="","",IF(AI281=2,(('Calc (ex-animal)'!$G$58*(1-'DB additional information '!$K$15/100)*(1-VLOOKUP(D281,'DB technologies'!$N$138:$Y$152,8,FALSE)/100)*'Calc (ex-housing, ex-storage)'!F281/100+'Calc (ex-animal)'!$H$58*(1-'DB additional information '!$L$15/100)*(1-VLOOKUP(D281,'DB technologies'!$N$138:$Y$152,8,FALSE)/100)*'Calc (ex-housing, ex-storage)'!F281/100))/VLOOKUP($C$277,'DB animal categories'!$C$107:$AC$116,27,FALSE)*AJ281+M281+N281+O281,IF(AI281=1,('Calc (ex-animal)'!$H$58*(1-'DB additional information '!$L$15/100)*(1-VLOOKUP(D281,'DB technologies'!$N$138:$Y$152,8,FALSE)/100)*'Calc (ex-housing, ex-storage)'!F281/100)/VLOOKUP($C$277,'DB animal categories'!$C$107:$AC$116,27,FALSE)*AJ281,IF(AI281=4,('Calc (ex-animal)'!$G$58*(1-'DB additional information '!$K$15/100)+'Calc (ex-animal)'!$H$58*(1-'DB additional information '!$L$15/100))*(1-VLOOKUP(D281,'DB technologies'!$N$138:$Y$152,8,FALSE)/100)*'Calc (ex-housing, ex-storage)'!F281/100*VLOOKUP(D281,'DB technologies'!$N$138:$Y$152,11,FALSE)/100/VLOOKUP($C$277,'DB animal categories'!$C$107:$AC$116,27,FALSE)*AJ281,0))))</f>
        <v/>
      </c>
      <c r="AN281" s="452" t="str">
        <f>IF(AI281="","",IF(AL281=0,0,AL281/AK281*100))</f>
        <v/>
      </c>
      <c r="AO281" s="184" t="str">
        <f>IF(D281="","",IF(AI281=2,(('Calc (ex-animal)'!$L$58*'Calc (ex-housing, ex-storage)'!F281/100+'Calc (ex-animal)'!$K$58*'Calc (ex-housing, ex-storage)'!F281/100))/VLOOKUP($C$277,'DB animal categories'!$C$107:$AC$116,27,FALSE)*AJ281+Q281+R281+S281-AC281,IF(AI281=1,('Calc (ex-animal)'!$L$58*'Calc (ex-housing, ex-storage)'!F281/100)/VLOOKUP($C$277,'DB animal categories'!$C$107:$AC$116,27,FALSE)*AJ281-'Calc (ex-housing, ex-storage)'!AC281,IF(AI281=4,('Calc (ex-animal)'!$L$58+'Calc (ex-animal)'!$K$58)*'Calc (ex-housing, ex-storage)'!F281/100*VLOOKUP(D281,'DB technologies'!$N$138:$Y$152,11,FALSE)/100/VLOOKUP($C$277,'DB animal categories'!$C$107:$AC$116,27,FALSE)*AJ281-AC281*VLOOKUP(D281,'DB technologies'!$N$138:$Y$152,11,FALSE)/100,0))))</f>
        <v/>
      </c>
      <c r="AP281" s="184" t="str">
        <f>IF(D281="","",IF(AO281&lt;-0.01,0,IF(AI281=2,(('Calc (ex-animal)'!$L$58*'Calc (ex-housing, ex-storage)'!F281/100+'Calc (ex-animal)'!$K$58*'Calc (ex-housing, ex-storage)'!F281/100))/VLOOKUP($C$277,'DB animal categories'!$C$107:$AC$116,27,FALSE)*AJ281+Q281+R281+S281-AC281,IF(AI281=1,('Calc (ex-animal)'!$L$58*'Calc (ex-housing, ex-storage)'!F281/100)/VLOOKUP($C$277,'DB animal categories'!$C$107:$AC$116,27,FALSE)*AJ281-'Calc (ex-housing, ex-storage)'!AC281,IF(AI281=4,('Calc (ex-animal)'!$L$58+'Calc (ex-animal)'!$K$58)*'Calc (ex-housing, ex-storage)'!F281/100*VLOOKUP(D281,'DB technologies'!$N$138:$Y$152,11,FALSE)/100/VLOOKUP($C$277,'DB animal categories'!$C$107:$AC$116,27,FALSE)*AJ281-AC281*VLOOKUP(D281,'DB technologies'!$N$138:$Y$152,11,FALSE)/100,0)))))</f>
        <v/>
      </c>
      <c r="AQ281" s="184" t="str">
        <f>IF(D281="","",IF(AI281=2,('Calc (ex-animal)'!$O$58*'Calc (ex-housing, ex-storage)'!F281/100+'Calc (ex-animal)'!$N$58*'Calc (ex-housing, ex-storage)'!F281/100)/VLOOKUP($C$277,'DB animal categories'!$C$107:$AC$116,27,FALSE)*AJ281+U281+V281+W281,IF(AI281=1,'Calc (ex-animal)'!$O$58*'Calc (ex-housing, ex-storage)'!F281/100/VLOOKUP($C$277,'DB animal categories'!$C$107:$AC$116,27,FALSE)*AJ281,IF(AI281=4,('Calc (ex-animal)'!$O$58+'Calc (ex-animal)'!$N$58)*'Calc (ex-housing, ex-storage)'!F281/100*VLOOKUP(D281,'DB technologies'!$N$138:$Y$152,11,FALSE)/100/VLOOKUP($C$277,'DB animal categories'!$C$107:$AC$116,27,FALSE)*AJ281,0))))</f>
        <v/>
      </c>
      <c r="AR281" s="184" t="str">
        <f>IF(D281="","",IF(AI281=2,('Calc (ex-animal)'!$R$58*'Calc (ex-housing, ex-storage)'!F281/100+'Calc (ex-animal)'!$Q$58*'Calc (ex-housing, ex-storage)'!F281/100)/VLOOKUP($C$277,'DB animal categories'!$C$107:$AC$116,27,FALSE)*AJ281+Y281+Z281+AA281,IF(AI281=1,'Calc (ex-animal)'!$R$58*'Calc (ex-housing, ex-storage)'!F281/100/VLOOKUP($C$277,'DB animal categories'!$C$107:$AC$116,27,FALSE)*AJ281,IF(AI281=4,('Calc (ex-animal)'!$R$58+'Calc (ex-animal)'!$Q$58)*'Calc (ex-housing, ex-storage)'!F281/100*VLOOKUP(D281,'DB technologies'!$N$138:$Y$152,11,FALSE)/100/VLOOKUP($C$277,'DB animal categories'!$C$107:$AC$116,27,FALSE)*AJ281,0))))</f>
        <v/>
      </c>
      <c r="AS281" s="183" t="str">
        <f>IF(D281="","",VLOOKUP(D281,'DB technologies'!$N$138:$Y$152,10,FALSE))</f>
        <v/>
      </c>
      <c r="AT281" s="452" t="str">
        <f>IF(AS281="","",AU281+AV281)</f>
        <v/>
      </c>
      <c r="AU281" s="452" t="str">
        <f>IF(D281="","",IF(AS281=2,0,IF(AS281=1,'Calc (ex-animal)'!$G$58*'DB additional information '!$K$15/100*(1-VLOOKUP(D281,'DB technologies'!$N$138:$Y$152,8,FALSE)/100)*'Calc (ex-housing, ex-storage)'!F281/100/VLOOKUP($C$277,'DB animal categories'!$C$107:$AC$116,27,FALSE)*AJ281+I281+J281+K281,IF(AS281=5,(('Calc (ex-animal)'!$G$58*'DB additional information '!$K$15/100+'Calc (ex-animal)'!$H$58*'DB additional information '!$L$15/100))*(1-VLOOKUP(D281,'DB technologies'!$N$138:$Y$152,9,FALSE)/100)*'Calc (ex-housing, ex-storage)'!F281/100/VLOOKUP($C$277,'DB animal categories'!$C$107:$AC$116,27,FALSE)*AJ281+I281+J281+K281,IF(AS281=3,('Calc (ex-animal)'!$G$58*'DB additional information '!$K$15/100+'Calc (ex-animal)'!$H$58*'DB additional information '!$L$15/100)*(1-VLOOKUP(D281,'DB technologies'!$N$138:$Y$152,9,FALSE)/100)*'Calc (ex-housing, ex-storage)'!F281/100/VLOOKUP($C$277,'DB animal categories'!$C$107:$AC$116,27,FALSE)*AJ281+I281+J281+K281,IF(AS281=4,('Calc (ex-animal)'!$G$58*'DB additional information '!$K$15/100+'Calc (ex-animal)'!$H$58*'DB additional information '!$L$15/100)*(1-VLOOKUP(D281,'DB technologies'!$N$138:$Y$152,9,FALSE)/100)*'Calc (ex-housing, ex-storage)'!F281/100*VLOOKUP(D281,'DB technologies'!$N$138:$Y$152,12,FALSE)/100/VLOOKUP($C$277,'DB animal categories'!$C$107:$AC$116,27,FALSE)*AJ281+I281+J281+K281,0))))))</f>
        <v/>
      </c>
      <c r="AV281" s="452" t="str">
        <f>IF(D281="","",IF(AS281=2,0,IF(AS281=1,'Calc (ex-animal)'!$G$58*(1-'DB additional information '!$K$15/100)*(1-VLOOKUP(D281,'DB technologies'!$N$138:$Y$152,8,FALSE)/100)*'Calc (ex-housing, ex-storage)'!F281/100/VLOOKUP($C$277,'DB animal categories'!$C$107:$AC$116,27,FALSE)*AJ281+M281+N281+O281,IF(AS281=5,('Calc (ex-animal)'!$G$58*(1-'DB additional information '!$K$15/100)+'Calc (ex-animal)'!$H$58*(1-'DB additional information '!$L$15/100))*(1-VLOOKUP(D281,'DB technologies'!$N$138:$Y$152,8,FALSE)/100)*'Calc (ex-housing, ex-storage)'!F281/100/VLOOKUP($C$277,'DB animal categories'!$C$107:$AC$116,27,FALSE)*AJ281+M281+N281+O281,IF(AS281=3,('Calc (ex-animal)'!$G$58*(1-'DB additional information '!$K$15/100)+'Calc (ex-animal)'!$H$58*(1-'DB additional information '!$L$15/100))*(1-VLOOKUP(D281,'DB technologies'!$N$138:$Y$152,8,FALSE)/100)*'Calc (ex-housing, ex-storage)'!F281/100/VLOOKUP($C$277,'DB animal categories'!$C$107:$AC$116,27,FALSE)*AJ281+M281+N281+O281,IF(AS281=4,('Calc (ex-animal)'!$G$58*(1-'DB additional information '!$K$15/100)+'Calc (ex-animal)'!$H$58*(1-'DB additional information '!$L$15/100))*(1-VLOOKUP(D281,'DB technologies'!$N$138:$Y$152,8,FALSE)/100)*'Calc (ex-housing, ex-storage)'!F281/100*VLOOKUP(D281,'DB technologies'!$N$138:$Y$152,12,FALSE)/100/VLOOKUP($C$277,'DB animal categories'!$C$107:$AC$116,27,FALSE)*AJ281+M281+N281+O281,0))))))</f>
        <v/>
      </c>
      <c r="AW281" s="452" t="str">
        <f>IF(AS281="","",IF(AU281=0,0,AU281/AT281*100))</f>
        <v/>
      </c>
      <c r="AX281" s="184" t="str">
        <f>IF(D281="","",IF(AS281=2,0,IF(AS281=1,'Calc (ex-animal)'!$K$58*'Calc (ex-housing, ex-storage)'!F281/100/VLOOKUP($C$277,'DB animal categories'!$C$107:$AC$116,27,FALSE)*AJ281+Q281+R281+S281,IF(AS281=5,('Calc (ex-animal)'!$K$58+'Calc (ex-animal)'!$L$58)*'Calc (ex-housing, ex-storage)'!F281/100/VLOOKUP($C$277,'DB animal categories'!$C$107:$AC$116,27,FALSE)*AJ281+Q281+R281+S281-'Calc (ex-housing, ex-storage)'!AC281,IF(AS281=3,('Calc (ex-animal)'!$K$58+'Calc (ex-animal)'!$L$58)*'Calc (ex-housing, ex-storage)'!F281/100/VLOOKUP($C$277,'DB animal categories'!$C$107:$AC$116,27,FALSE)*AJ281+Q281+R281+S281-'Calc (ex-housing, ex-storage)'!AC281-AD281-AE281,IF(AI281=4,('Calc (ex-animal)'!$K$58+'Calc (ex-animal)'!$L$58)*'Calc (ex-housing, ex-storage)'!F281/100*VLOOKUP(D281,'DB technologies'!$N$138:$Y$152,12,FALSE)/100/VLOOKUP($C$277,'DB animal categories'!$C$107:$AC$116,27,FALSE)*AJ281+Q281+R281+S281-(VLOOKUP(D281,'DB technologies'!$N$138:$Y$152,12,FALSE)/100*AC281)-AD281-AE281,0))))))</f>
        <v/>
      </c>
      <c r="AY281" s="184" t="str">
        <f>IF(D281="","",IF(AS281=2,0,IF(AS281=1,'Calc (ex-animal)'!$N$58*'Calc (ex-housing, ex-storage)'!F281/100/VLOOKUP($C$277,'DB animal categories'!$C$107:$AC$116,27,FALSE)*AJ281+U281+V281+W281,IF(AS281=5,('Calc (ex-animal)'!$N$58+'Calc (ex-animal)'!$O$58)*'Calc (ex-housing, ex-storage)'!F281/100/VLOOKUP($C$277,'DB animal categories'!$C$107:$AC$116,27,FALSE)*AJ281+U281+V281+W281,IF(AS281=3,('Calc (ex-animal)'!$N$58+'Calc (ex-animal)'!$O$58)*'Calc (ex-housing, ex-storage)'!F281/100/VLOOKUP($C$277,'DB animal categories'!$C$107:$AC$116,27,FALSE)*AJ281+U281+V281+W281,IF(AS281=4,('Calc (ex-animal)'!$N$58+'Calc (ex-animal)'!$O$58)*'Calc (ex-housing, ex-storage)'!F281/100*VLOOKUP(D281,'DB technologies'!$N$138:$Y$152,12,FALSE)/100/VLOOKUP($C$277,'DB animal categories'!$C$107:$AC$116,27,FALSE)*AJ281+U281+V281+W281,0))))))</f>
        <v/>
      </c>
      <c r="AZ281" s="184" t="str">
        <f>IF(D281="","",IF(AS281=2,0,IF(AS281=1,'Calc (ex-animal)'!$Q$58*'Calc (ex-housing, ex-storage)'!F281/100/VLOOKUP($C$277,'DB animal categories'!$C$107:$AC$116,27,FALSE)*AJ281+Y281+Z281+AA281,IF(AS281=5,('Calc (ex-animal)'!$Q$58+'Calc (ex-animal)'!$R$58)*'Calc (ex-housing, ex-storage)'!F281/100/VLOOKUP($C$277,'DB animal categories'!$C$107:$AC$116,27,FALSE)*AJ281+Y281+Z281+AA281,IF(AS281=3,('Calc (ex-animal)'!$Q$58+'Calc (ex-animal)'!$R$58)*'Calc (ex-housing, ex-storage)'!F281/100/VLOOKUP($C$277,'DB animal categories'!$C$107:$AC$116,27,FALSE)*AJ281+Y281+Z281+AA281,IF(AS281=4,('Calc (ex-animal)'!$Q$58+'Calc (ex-animal)'!$R$58)*'Calc (ex-housing, ex-storage)'!F281/100*VLOOKUP(D281,'DB technologies'!$N$138:$Y$152,12,FALSE)/100/VLOOKUP($C$277,'DB animal categories'!$C$107:$AC$116,27,FALSE)*AJ281+Y281+Z281+AA281,0))))))</f>
        <v/>
      </c>
      <c r="BA281" s="506"/>
      <c r="BB281" s="506"/>
      <c r="BC281" s="506"/>
    </row>
    <row r="282" spans="1:55" ht="12" thickBot="1" x14ac:dyDescent="0.25">
      <c r="A282" s="695"/>
      <c r="B282" s="695"/>
      <c r="C282" s="252"/>
      <c r="D282" s="269" t="s">
        <v>58</v>
      </c>
      <c r="E282" s="270">
        <f>IF('Calc (ex-animal)'!F58=1,'Calc (ex-animal)'!E58,IF(F282&lt;=100,SUM(E277:E281),"ERROR"))</f>
        <v>0</v>
      </c>
      <c r="F282" s="284">
        <f>IF('Calc (ex-animal)'!F58=1,100,IF(SUM(F277:F281) &lt;=100,SUM(F277:F281),"ERROR, SUM&gt;100%"))</f>
        <v>0</v>
      </c>
      <c r="G282" s="550">
        <f>IF('Calc (ex-animal)'!$F$58=1,"",SUM(G277:G281))</f>
        <v>0</v>
      </c>
      <c r="H282" s="418">
        <f>IF('Calc (ex-animal)'!$F$8=1,"",SUM(H277:H281))</f>
        <v>0</v>
      </c>
      <c r="I282" s="418">
        <f>IF('Calc (ex-animal)'!$F$8=1,"",SUM(I277:I281))</f>
        <v>0</v>
      </c>
      <c r="J282" s="418">
        <f>IF('Calc (ex-animal)'!$F$8=1,"",SUM(J277:J281))</f>
        <v>0</v>
      </c>
      <c r="K282" s="418">
        <f>IF('Calc (ex-animal)'!$F$8=1,"",SUM(K277:K281))</f>
        <v>0</v>
      </c>
      <c r="L282" s="418">
        <f>IF('Calc (ex-animal)'!$F$8=1,"",SUM(L277:L281))</f>
        <v>0</v>
      </c>
      <c r="M282" s="551"/>
      <c r="N282" s="551"/>
      <c r="O282" s="551"/>
      <c r="P282" s="552">
        <f>IF(G282=0,0,IF('Calc (ex-animal)'!$F$58=1,"",IF(D282="","",SUM(H282:K282)/G282*100)))</f>
        <v>0</v>
      </c>
      <c r="Q282" s="394"/>
      <c r="R282" s="394"/>
      <c r="S282" s="394"/>
      <c r="T282" s="278">
        <f>IF('Calc (ex-animal)'!$F$58=1,"",SUM(T277:T281))</f>
        <v>0</v>
      </c>
      <c r="U282" s="279"/>
      <c r="V282" s="279"/>
      <c r="W282" s="279"/>
      <c r="X282" s="279">
        <f>IF('Calc (ex-animal)'!$F$58=1,"",SUM(X277:X281))</f>
        <v>0</v>
      </c>
      <c r="Y282" s="279"/>
      <c r="Z282" s="279"/>
      <c r="AA282" s="279"/>
      <c r="AB282" s="279">
        <f>IF('Calc (ex-animal)'!$F$58=1,"",SUM(AB277:AB281))</f>
        <v>0</v>
      </c>
      <c r="AC282" s="279">
        <f>IF('Calc (ex-animal)'!$F$58=1,"",SUM(AC277:AC281))</f>
        <v>0</v>
      </c>
      <c r="AD282" s="279">
        <f>IF('Calc (ex-animal)'!$F$58=1,"",SUM(AD277:AD281))</f>
        <v>0</v>
      </c>
      <c r="AE282" s="280">
        <f>IF('Calc (ex-animal)'!$F$58=1,"",SUM(AE277:AE281))</f>
        <v>0</v>
      </c>
    </row>
    <row r="283" spans="1:55" x14ac:dyDescent="0.2">
      <c r="A283" s="695"/>
      <c r="B283" s="695"/>
      <c r="C283" s="250">
        <f>'Calc (ex-animal)'!D59</f>
        <v>0</v>
      </c>
      <c r="D283" s="1355"/>
      <c r="E283" s="1356"/>
      <c r="F283" s="479" t="str">
        <f>IF('Calc (ex-animal)'!$F$58=1,"",IF($C$283=0,"",IF(D283="","",E283/'Calc (ex-animal)'!$E$59*100)))</f>
        <v/>
      </c>
      <c r="G283" s="484" t="str">
        <f>IF($C$283=0,"",IF('Calc (ex-animal)'!$F$58=1,"",IF(D283="","",SUM(H283:O283))))</f>
        <v/>
      </c>
      <c r="H283" s="471" t="str">
        <f>IF('Calc (ex-animal)'!$F$58=1,"",IF(D283="","",(((VLOOKUP($C$283,'Calc (ex-animal)'!$D$58:$Y$62,6,FALSE)-VLOOKUP($C$283,'Calc (ex-animal)'!$D$58:$Y$62,17,FALSE))*F283/100))*VLOOKUP($C$283,'Calc (ex-animal)'!$D$58:$Y$62,7,FALSE)/100*(1-VLOOKUP(D283,'DB technologies'!$N$138:$Y$152,9,FALSE)/100)))</f>
        <v/>
      </c>
      <c r="I283" s="471" t="str">
        <f>IF(D283="","",((VLOOKUP(D283,'DB technologies'!$N$138:$Y$152,2,FALSE)*VLOOKUP($C$283,'DB animal categories'!$C$107:$AC$116,27,FALSE)*E283/1000)/VLOOKUP($C$283,'DB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'!$S$6/100*(1-VLOOKUP(D283,'DB technologies'!$N$138:$Y$152,9,FALSE)/100)))</f>
        <v/>
      </c>
      <c r="J283" s="472" t="str">
        <f>IF(D283="","",((VLOOKUP(D283,'DB technologies'!$N$138:$Y$152,3,FALSE)*VLOOKUP($C$283,'DB animal categories'!$C$107:$AC$116,27,FALSE)*E283/1000)/VLOOKUP($C$283,'DB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'!$S$7/100*(1-VLOOKUP(D283,'DB technologies'!$N$138:$Y$152,9,FALSE)/100)))</f>
        <v/>
      </c>
      <c r="K283" s="472" t="str">
        <f>IF(D283="","",((VLOOKUP(D283,'DB technologies'!$N$138:$Y$152,4,FALSE)*E283*'DB additional information '!$S$8/100*(1-VLOOKUP(D283,'DB technologies'!$N$138:$Y$152,9,FALSE)/100))/VLOOKUP($C$283,'DB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L283" s="471" t="str">
        <f>IF('Calc (ex-animal)'!$F$58=1,"",IF(D283="","",(((VLOOKUP($C$283,'Calc (ex-animal)'!$D$58:$Y$62,6,FALSE)-VLOOKUP($C$283,'Calc (ex-animal)'!$D$58:$Y$62,17,FALSE))*F283/100))*(1-VLOOKUP($C$283,'Calc (ex-animal)'!$D$58:$Y$62,7,FALSE)/100)*(1-VLOOKUP(D283,'DB technologies'!$N$138:$V$152,8,FALSE)/100)))</f>
        <v/>
      </c>
      <c r="M283" s="472" t="str">
        <f>IF(D283="","",((VLOOKUP(D283,'DB technologies'!$N$138:$Y$152,2,FALSE)*VLOOKUP($C$283,'DB animal categories'!$C$107:$AC$116,27,FALSE)*E283/1000)/VLOOKUP($C$283,'DB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'!$S$6/100)*(1-VLOOKUP(D283,'DB technologies'!$N$138:$Y$152,9,FALSE)/100))</f>
        <v/>
      </c>
      <c r="N283" s="472" t="str">
        <f>IF(D283="","",((VLOOKUP(D283,'DB technologies'!$N$138:$Y$152,3,FALSE)*VLOOKUP($C$283,'DB animal categories'!$C$107:$AC$116,27,FALSE)*E283/1000)/VLOOKUP($C$283,'DB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'!$S$7/100)*(1-VLOOKUP(D283,'DB technologies'!$N$138:$Y$152,9,FALSE)/100))</f>
        <v/>
      </c>
      <c r="O283" s="471" t="str">
        <f>IF(D283="","",((VLOOKUP(D283,'DB technologies'!$N$138:$Y$152,4,FALSE)*E283*(1-'DB additional information '!$S$8/100)*(1-VLOOKUP(D283,'DB technologies'!$N$138:$Y$152,8,FALSE)/100))/VLOOKUP($C$283,'DB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P283" s="443" t="str">
        <f>IF(G283=0,0,IF(E283="","",IF(F283="","",IF($C$283=0,"",IF(D283="","",SUM(H283:K283)/G283*100)))))</f>
        <v/>
      </c>
      <c r="Q283" s="473" t="str">
        <f>IF(D283="","",(VLOOKUP(D283,'DB technologies'!$N$138:$Y$152,2,FALSE)*'DB additional information '!$S$6/100*'DB additional information '!$T$6*VLOOKUP($C$283,'DB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R283" s="473" t="str">
        <f>IF(D283="","",(VLOOKUP(D283,'DB technologies'!$N$138:$Y$152,3,FALSE)*'DB additional information '!$S$7/100*'DB additional information '!$T$7*VLOOKUP($C$283,'DB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S283" s="490" t="str">
        <f>IF(D283="","",(VLOOKUP(D283,'DB technologies'!$N$138:$Y$152,4,FALSE)*('DB additional information '!$S$8/100*'DB additional information '!$T$8*E283/1000/1000)))</f>
        <v/>
      </c>
      <c r="T283" s="263" t="str">
        <f>IF($C$283=0,"",IF('Calc (ex-animal)'!$F$58=1,"",IF(D283="","",((VLOOKUP($C$283,'Calc (ex-animal)'!$D$58:$Y$62,10,FALSE)-VLOOKUP($C$283,'Calc (ex-animal)'!$D$58:$Y$62,18,FALSE))*F283/100+Q283+R283+S283)-AC283-AD283-AE283)))</f>
        <v/>
      </c>
      <c r="U283" s="474" t="str">
        <f>IF(D283="","",(VLOOKUP(D283,'DB technologies'!$N$138:$Y$152,2,FALSE)*'DB additional information '!$S$6/100*'DB additional information '!$U$6*VLOOKUP($C$283,'DB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V283" s="420" t="str">
        <f>IF(D283="","",(VLOOKUP(D283,'DB technologies'!$N$138:$Y$152,3,FALSE)*'DB additional information '!$S$7/100*'DB additional information '!$U$7*VLOOKUP($C$283,'DB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W283" s="415" t="str">
        <f>IF(D283="","",(VLOOKUP(D283,'DB technologies'!$N$138:$Y$152,4,FALSE)*('DB additional information '!$S$8/100*'DB additional information '!$U$8*E283/1000/1000)))</f>
        <v/>
      </c>
      <c r="X283" s="259" t="str">
        <f>IF($C$283=0,"",IF('Calc (ex-animal)'!$F$58=1,"",IF(D283="","",((VLOOKUP($C$283,'Calc (ex-animal)'!$D$58:$Y$62,13,FALSE)-VLOOKUP($C$283,'Calc (ex-animal)'!$D$58:$Y$62,19,FALSE))*F283/100+U283+V283+W283))))</f>
        <v/>
      </c>
      <c r="Y283" s="420" t="str">
        <f>IF(D283="","",(VLOOKUP(D283,'DB technologies'!$N$138:$Y$152,2,FALSE)*'DB additional information '!$S$6/100*'DB additional information '!$V$6*VLOOKUP($C$283,'DB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Z283" s="420" t="str">
        <f>IF(D283="","",(VLOOKUP(D283,'DB technologies'!$N$138:$Y$152,3,FALSE)*'DB additional information '!$S$7/100*'DB additional information '!$V$7*VLOOKUP($C$283,'DB animal categories'!$C$107:$AC$116,27,FALSE)*E283/1000/1000)/VLOOKUP($C$283,'DB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AA283" s="420" t="str">
        <f>IF(D283="","",(VLOOKUP(D283,'DB technologies'!$N$138:$Y$152,4,FALSE)*('DB additional information '!$S$8/100*'DB additional information '!$V$8*E283/1000/1000)))</f>
        <v/>
      </c>
      <c r="AB283" s="259" t="str">
        <f>IF($C$283=0,"",IF('Calc (ex-animal)'!$F$58=1,"",IF(D283="","",((VLOOKUP($C$283,'Calc (ex-animal)'!$D$58:$Y$62,16,FALSE)-VLOOKUP($C$283,'Calc (ex-animal)'!$D$58:$Y$62,20,FALSE))*F283/100+Y283+Z283+AA283))))</f>
        <v/>
      </c>
      <c r="AC283" s="259" t="str">
        <f>IF($C$283=0,"",IF('Calc (ex-animal)'!$F$58=1,"",IF(D283="","",VLOOKUP($C$283,'Calc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categories'!$C$107:$AC$116,26,FALSE)/24)*F283/100*VLOOKUP(D283,'DB technologies'!$N$138:$R$152,5,FALSE)/100)))</f>
        <v/>
      </c>
      <c r="AD283" s="259" t="str">
        <f>IF($C$283=0,"",IF('Calc (ex-animal)'!$F$58=1,"",IF(D283="","",VLOOKUP($C$283,'Calc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categories'!$C$107:$AC$116,26,FALSE)/24)*F283/100*VLOOKUP(D283,'DB technologies'!$N$138:$Y$152,6,FALSE)/100)))</f>
        <v/>
      </c>
      <c r="AE283" s="260" t="str">
        <f>IF($C$283=0,"",IF('Calc (ex-animal)'!$F$58=1,"",IF(D283="","",VLOOKUP($C$283,'Calc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categories'!$C$107:$AC$116,26,FALSE)/24)*F283/100*VLOOKUP(D283,'DB technologies'!$N$138:$Y$152,7,FALSE)/100)))</f>
        <v/>
      </c>
      <c r="AI283" s="179" t="str">
        <f>IF(D283="","",VLOOKUP(D283,'DB technologies'!$N$138:$Y$152,10,FALSE))</f>
        <v/>
      </c>
      <c r="AJ283" s="482" t="e">
        <f>VLOOKUP($C$283,'DB animal categories'!$C$107:$AN$116,27,FALSE)-VLOOKUP($C$283,'DB animal categories'!$C$107:$AN$116,26,FALSE)*VLOOKUP($C$283,'DB animal categories'!$C$107:$AN$116,25,FALSE)/24</f>
        <v>#N/A</v>
      </c>
      <c r="AK283" s="453" t="str">
        <f>IF(AI283="","",AL283+AM283)</f>
        <v/>
      </c>
      <c r="AL283" s="453" t="str">
        <f>IF(D283="","",IF(AI283=2,(('Calc (ex-animal)'!$G$59*'DB additional information '!$K$15/100*(1-VLOOKUP(D283,'DB technologies'!$N$138:$Y$152,9,FALSE)/100)*'Calc (ex-housing, ex-storage)'!F283/100+'Calc (ex-animal)'!$H$59*'DB additional information '!$L$15/100*(1-VLOOKUP(D283,'DB technologies'!$N$138:$Y$152,9,FALSE)/100)*'Calc (ex-housing, ex-storage)'!F283/100))/VLOOKUP($C$283,'DB animal categories'!$C$107:$AC$116,27,FALSE)*AJ283+I283+J283+K283,IF(AI283=1,('Calc (ex-animal)'!$H$59*'DB additional information '!$L$15/100*(1-VLOOKUP(D283,'DB technologies'!$N$138:$Y$152,9,FALSE)/100)*'Calc (ex-housing, ex-storage)'!F283/100)/VLOOKUP($C$283,'DB animal categories'!$C$107:$AC$116,27,FALSE)*AJ283,IF(AI283=4,('Calc (ex-animal)'!$G$59*'DB additional information '!$K$15/100+'Calc (ex-animal)'!$H$59*'DB additional information '!$L$15/100)*(1-VLOOKUP(D283,'DB technologies'!$N$138:$Y$152,9,FALSE)/100)*'Calc (ex-housing, ex-storage)'!F283/100*VLOOKUP(D283,'DB technologies'!$N$138:$Y$152,11,FALSE)/100/VLOOKUP($C$283,'DB animal categories'!$C$107:$AC$116,27,FALSE)*AJ283,0))))</f>
        <v/>
      </c>
      <c r="AM283" s="453" t="str">
        <f>IF(D283="","",IF(AI283=2,(('Calc (ex-animal)'!$G$59*(1-'DB additional information '!$K$15/100)*(1-VLOOKUP(D283,'DB technologies'!$N$138:$Y$152,8,FALSE)/100)*'Calc (ex-housing, ex-storage)'!F283/100+'Calc (ex-animal)'!$H$59*(1-'DB additional information '!$L$15/100)*(1-VLOOKUP(D283,'DB technologies'!$N$138:$Y$152,8,FALSE)/100)*'Calc (ex-housing, ex-storage)'!F283/100))/VLOOKUP($C$283,'DB animal categories'!$C$107:$AC$116,27,FALSE)*AJ283+M283+N283+O283,IF(AI283=1,('Calc (ex-animal)'!$H$59*(1-'DB additional information '!$L$15/100)*(1-VLOOKUP(D283,'DB technologies'!$N$138:$Y$152,8,FALSE)/100)*'Calc (ex-housing, ex-storage)'!F283/100)/VLOOKUP($C$283,'DB animal categories'!$C$107:$AC$116,27,FALSE)*AJ283,IF(AI283=4,('Calc (ex-animal)'!$G$59*(1-'DB additional information '!$K$15/100)+'Calc (ex-animal)'!$H$59*(1-'DB additional information '!$L$15/100))*(1-VLOOKUP(D283,'DB technologies'!$N$138:$Y$152,8,FALSE)/100)*'Calc (ex-housing, ex-storage)'!F283/100*VLOOKUP(D283,'DB technologies'!$N$138:$Y$152,11,FALSE)/100/VLOOKUP($C$283,'DB animal categories'!$C$107:$AC$116,27,FALSE)*AJ283,0))))</f>
        <v/>
      </c>
      <c r="AN283" s="453" t="str">
        <f>IF(AI283="","",IF(AL283=0,0,AL283/AK283*100))</f>
        <v/>
      </c>
      <c r="AO283" s="180" t="str">
        <f>IF(D283="","",IF(AI283=2,(('Calc (ex-animal)'!$L$59*'Calc (ex-housing, ex-storage)'!F283/100+'Calc (ex-animal)'!$K$59*'Calc (ex-housing, ex-storage)'!F283/100))/VLOOKUP($C$283,'DB animal categories'!$C$107:$AC$116,27,FALSE)*AJ283+Q283+R283+S283-AC283,IF(AI283=1,('Calc (ex-animal)'!$L$59*'Calc (ex-housing, ex-storage)'!F283/100)/VLOOKUP($C$283,'DB animal categories'!$C$107:$AC$116,27,FALSE)*AJ283-'Calc (ex-housing, ex-storage)'!AC283,IF(AI283=4,('Calc (ex-animal)'!$L$59+'Calc (ex-animal)'!$K$59)*'Calc (ex-housing, ex-storage)'!F283/100*VLOOKUP(D283,'DB technologies'!$N$138:$Y$152,11,FALSE)/100/VLOOKUP($C$283,'DB animal categories'!$C$107:$AC$116,27,FALSE)*AJ283-AC283*VLOOKUP(D283,'DB technologies'!$N$138:$Y$152,11,FALSE)/100,0))))</f>
        <v/>
      </c>
      <c r="AP283" s="180" t="str">
        <f>IF(D283="","",IF(AO283&lt;-0.01,0,IF(AI283=2,(('Calc (ex-animal)'!$L$59*'Calc (ex-housing, ex-storage)'!F283/100+'Calc (ex-animal)'!$K$59*'Calc (ex-housing, ex-storage)'!F283/100))/VLOOKUP($C$283,'DB animal categories'!$C$107:$AC$116,27,FALSE)*AJ283+Q283+R283+S283-AC283,IF(AI283=1,('Calc (ex-animal)'!$L$59*'Calc (ex-housing, ex-storage)'!F283/100)/VLOOKUP($C$283,'DB animal categories'!$C$107:$AC$116,27,FALSE)*AJ283-'Calc (ex-housing, ex-storage)'!AC283,IF(AI283=4,('Calc (ex-animal)'!$L$59+'Calc (ex-animal)'!$K$59)*'Calc (ex-housing, ex-storage)'!F283/100*VLOOKUP(D283,'DB technologies'!$N$138:$Y$152,11,FALSE)/100/VLOOKUP($C$283,'DB animal categories'!$C$107:$AC$116,27,FALSE)*AJ283-AC283*VLOOKUP(D283,'DB technologies'!$N$138:$Y$152,11,FALSE)/100,0)))))</f>
        <v/>
      </c>
      <c r="AQ283" s="180" t="str">
        <f>IF(D283="","",IF(AI283=2,('Calc (ex-animal)'!$O$59*'Calc (ex-housing, ex-storage)'!F283/100+'Calc (ex-animal)'!$N$59*'Calc (ex-housing, ex-storage)'!F283/100)/VLOOKUP($C$283,'DB animal categories'!$C$107:$AC$116,27,FALSE)*AJ283+U283+V283+W283,IF(AI283=1,'Calc (ex-animal)'!$O$59*'Calc (ex-housing, ex-storage)'!F283/100/VLOOKUP($C$283,'DB animal categories'!$C$107:$AC$116,27,FALSE)*AJ283,IF(AI283=4,('Calc (ex-animal)'!$O$59+'Calc (ex-animal)'!$N$59)*'Calc (ex-housing, ex-storage)'!F283/100*VLOOKUP(D283,'DB technologies'!$N$138:$Y$152,11,FALSE)/100/VLOOKUP($C$283,'DB animal categories'!$C$107:$AC$116,27,FALSE)*AJ283,0))))</f>
        <v/>
      </c>
      <c r="AR283" s="180" t="str">
        <f>IF(D283="","",IF(AI283=2,('Calc (ex-animal)'!$R$59*'Calc (ex-housing, ex-storage)'!F283/100+'Calc (ex-animal)'!$Q$59*'Calc (ex-housing, ex-storage)'!F283/100)/VLOOKUP($C$283,'DB animal categories'!$C$107:$AC$116,27,FALSE)*AJ283+Y283+Z283+AA283,IF(AI283=1,'Calc (ex-animal)'!$R$59*'Calc (ex-housing, ex-storage)'!F283/100/VLOOKUP($C$283,'DB animal categories'!$C$107:$AC$116,27,FALSE)*AJ283,IF(AI283=4,('Calc (ex-animal)'!$R$59+'Calc (ex-animal)'!$Q$59)*'Calc (ex-housing, ex-storage)'!F283/100*VLOOKUP(D283,'DB technologies'!$N$138:$Y$152,11,FALSE)/100/VLOOKUP($C$283,'DB animal categories'!$C$107:$AC$116,27,FALSE)*AJ283,0))))</f>
        <v/>
      </c>
      <c r="AS283" s="179" t="str">
        <f>IF(D283="","",VLOOKUP(D283,'DB technologies'!$N$138:$Y$152,10,FALSE))</f>
        <v/>
      </c>
      <c r="AT283" s="453" t="str">
        <f>IF(AS283="","",AU283+AV283)</f>
        <v/>
      </c>
      <c r="AU283" s="453" t="str">
        <f>IF(D283="","",IF(AS283=2,0,IF(AS283=1,'Calc (ex-animal)'!$G$59*'DB additional information '!$K$15/100*(1-VLOOKUP(D283,'DB technologies'!$N$138:$Y$152,8,FALSE)/100)*'Calc (ex-housing, ex-storage)'!F283/100/VLOOKUP($C$283,'DB animal categories'!$C$107:$AC$116,27,FALSE)*AJ283+I283+J283+K283,IF(AS283=5,(('Calc (ex-animal)'!$G$59*'DB additional information '!$K$15/100+'Calc (ex-animal)'!$H$59*'DB additional information '!$L$15/100))*(1-VLOOKUP(D283,'DB technologies'!$N$138:$Y$152,9,FALSE)/100)*'Calc (ex-housing, ex-storage)'!F283/100/VLOOKUP($C$283,'DB animal categories'!$C$107:$AC$116,27,FALSE)*AJ283+I283+J283+K283,IF(AS283=3,('Calc (ex-animal)'!$G$59*'DB additional information '!$K$15/100+'Calc (ex-animal)'!$H$59*'DB additional information '!$L$15/100)*(1-VLOOKUP(D283,'DB technologies'!$N$138:$Y$152,9,FALSE)/100)*'Calc (ex-housing, ex-storage)'!F283/100/VLOOKUP($C$283,'DB animal categories'!$C$107:$AC$116,27,FALSE)*AJ283+I283+J283+K283,IF(AS283=4,('Calc (ex-animal)'!$G$59*'DB additional information '!$K$15/100+'Calc (ex-animal)'!$H$59*'DB additional information '!$L$15/100)*(1-VLOOKUP(D283,'DB technologies'!$N$138:$Y$152,9,FALSE)/100)*'Calc (ex-housing, ex-storage)'!F283/100*VLOOKUP(D283,'DB technologies'!$N$138:$Y$152,12,FALSE)/100/VLOOKUP($C$283,'DB animal categories'!$C$107:$AC$116,27,FALSE)*AJ283+I283+J283+K283,0))))))</f>
        <v/>
      </c>
      <c r="AV283" s="453" t="str">
        <f>IF(D283="","",IF(AS283=2,0,IF(AS283=1,'Calc (ex-animal)'!$G$59*(1-'DB additional information '!$K$15/100)*(1-VLOOKUP(D283,'DB technologies'!$N$138:$Y$152,8,FALSE)/100)*'Calc (ex-housing, ex-storage)'!F283/100/VLOOKUP($C$283,'DB animal categories'!$C$107:$AC$116,27,FALSE)*AJ283+M283+N283+O283,IF(AS283=5,('Calc (ex-animal)'!$G$59*(1-'DB additional information '!$K$15/100)+'Calc (ex-animal)'!$H$59*(1-'DB additional information '!$L$15/100))*(1-VLOOKUP(D283,'DB technologies'!$N$138:$Y$152,8,FALSE)/100)*'Calc (ex-housing, ex-storage)'!F283/100/VLOOKUP($C$283,'DB animal categories'!$C$107:$AC$116,27,FALSE)*AJ283+M283+N283+O283,IF(AS283=3,('Calc (ex-animal)'!$G$59*(1-'DB additional information '!$K$15/100)+'Calc (ex-animal)'!$H$59*(1-'DB additional information '!$L$15/100))*(1-VLOOKUP(D283,'DB technologies'!$N$138:$Y$152,8,FALSE)/100)*'Calc (ex-housing, ex-storage)'!F283/100/VLOOKUP($C$283,'DB animal categories'!$C$107:$AC$116,27,FALSE)*AJ283+M283+N283+O283,IF(AS283=4,('Calc (ex-animal)'!$G$59*(1-'DB additional information '!$K$15/100)+'Calc (ex-animal)'!$H$59*(1-'DB additional information '!$L$15/100))*(1-VLOOKUP(D283,'DB technologies'!$N$138:$Y$152,8,FALSE)/100)*'Calc (ex-housing, ex-storage)'!F283/100*VLOOKUP(D283,'DB technologies'!$N$138:$Y$152,12,FALSE)/100/VLOOKUP($C$283,'DB animal categories'!$C$107:$AC$116,27,FALSE)*AJ283+M283+N283+O283,0))))))</f>
        <v/>
      </c>
      <c r="AW283" s="453" t="str">
        <f>IF(AS283="","",IF(AU283=0,0,AU283/AT283*100))</f>
        <v/>
      </c>
      <c r="AX283" s="180" t="str">
        <f>IF(D283="","",IF(AS283=2,0,IF(AS283=1,'Calc (ex-animal)'!$K$59*'Calc (ex-housing, ex-storage)'!F283/100/VLOOKUP($C$283,'DB animal categories'!$C$107:$AC$116,27,FALSE)*AJ283+Q283+R283+S283,IF(AS283=5,('Calc (ex-animal)'!$K$59+'Calc (ex-animal)'!$L$59)*'Calc (ex-housing, ex-storage)'!F283/100/VLOOKUP($C$283,'DB animal categories'!$C$107:$AC$116,27,FALSE)*AJ283+Q283+R283+S283-'Calc (ex-housing, ex-storage)'!AC283,IF(AS283=3,('Calc (ex-animal)'!$K$59+'Calc (ex-animal)'!$L$59)*'Calc (ex-housing, ex-storage)'!F283/100/VLOOKUP($C$283,'DB animal categories'!$C$107:$AC$116,27,FALSE)*AJ283+Q283+R283+S283-'Calc (ex-housing, ex-storage)'!AC283-AD283-AE283,IF(AI283=4,('Calc (ex-animal)'!$K$59+'Calc (ex-animal)'!$L$59)*'Calc (ex-housing, ex-storage)'!F283/100*VLOOKUP(D283,'DB technologies'!$N$138:$Y$152,12,FALSE)/100/VLOOKUP($C$283,'DB animal categories'!$C$107:$AC$116,27,FALSE)*AJ283+Q283+R283+S283-(VLOOKUP(D283,'DB technologies'!$N$138:$Y$152,12,FALSE)/100*AC283)-AD283-AE283,0))))))</f>
        <v/>
      </c>
      <c r="AY283" s="180" t="str">
        <f>IF(D283="","",IF(AS283=2,0,IF(AS283=1,'Calc (ex-animal)'!$N$59*'Calc (ex-housing, ex-storage)'!F283/100/VLOOKUP($C$283,'DB animal categories'!$C$107:$AC$116,27,FALSE)*AJ283+U283+V283+W283,IF(AS283=5,('Calc (ex-animal)'!$N$59+'Calc (ex-animal)'!$O$59)*'Calc (ex-housing, ex-storage)'!F283/100/VLOOKUP($C$283,'DB animal categories'!$C$107:$AC$116,27,FALSE)*AJ283+U283+V283+W283,IF(AS283=3,('Calc (ex-animal)'!$N$59+'Calc (ex-animal)'!$O$59)*'Calc (ex-housing, ex-storage)'!F283/100/VLOOKUP($C$283,'DB animal categories'!$C$107:$AC$116,27,FALSE)*AJ283+U283+V283+W283,IF(AS283=4,('Calc (ex-animal)'!$N$59+'Calc (ex-animal)'!$O$59)*'Calc (ex-housing, ex-storage)'!F283/100*VLOOKUP(D283,'DB technologies'!$N$138:$Y$152,12,FALSE)/100/VLOOKUP($C$283,'DB animal categories'!$C$107:$AC$116,27,FALSE)*AJ283+U283+V283+W283,0))))))</f>
        <v/>
      </c>
      <c r="AZ283" s="180" t="str">
        <f>IF(D283="","",IF(AS283=2,0,IF(AS283=1,'Calc (ex-animal)'!$Q$59*'Calc (ex-housing, ex-storage)'!F283/100/VLOOKUP($C$283,'DB animal categories'!$C$107:$AC$116,27,FALSE)*AJ283+Y283+Z283+AA283,IF(AS283=5,('Calc (ex-animal)'!$Q$59+'Calc (ex-animal)'!$R$59)*'Calc (ex-housing, ex-storage)'!F283/100/VLOOKUP($C$283,'DB animal categories'!$C$107:$AC$116,27,FALSE)*AJ283+Y283+Z283+AA283,IF(AS283=3,('Calc (ex-animal)'!$Q$59+'Calc (ex-animal)'!$R$59)*'Calc (ex-housing, ex-storage)'!F283/100/VLOOKUP($C$283,'DB animal categories'!$C$107:$AC$116,27,FALSE)*AJ283+Y283+Z283+AA283,IF(AS283=4,('Calc (ex-animal)'!$Q$59+'Calc (ex-animal)'!$R$59)*'Calc (ex-housing, ex-storage)'!F283/100*VLOOKUP(D283,'DB technologies'!$N$138:$Y$152,12,FALSE)/100/VLOOKUP($C$283,'DB animal categories'!$C$107:$AC$116,27,FALSE)*AJ283+Y283+Z283+AA283,0))))))</f>
        <v/>
      </c>
      <c r="BA283" s="506"/>
      <c r="BB283" s="506"/>
      <c r="BC283" s="506"/>
    </row>
    <row r="284" spans="1:55" x14ac:dyDescent="0.2">
      <c r="A284" s="695"/>
      <c r="B284" s="695"/>
      <c r="C284" s="251"/>
      <c r="D284" s="1357"/>
      <c r="E284" s="1358"/>
      <c r="F284" s="480" t="str">
        <f>IF('Calc (ex-animal)'!$F$58=1,"",IF($C$283=0,"",IF(D284="","",E284/'Calc (ex-animal)'!$E$59*100)))</f>
        <v/>
      </c>
      <c r="G284" s="485" t="str">
        <f>IF($C$283=0,"",IF('Calc (ex-animal)'!$F$58=1,"",IF(D284="","",SUM(H284:O284))))</f>
        <v/>
      </c>
      <c r="H284" s="423" t="str">
        <f>IF('Calc (ex-animal)'!$F$58=1,"",IF(D284="","",(((VLOOKUP($C$283,'Calc (ex-animal)'!$D$58:$Y$62,6,FALSE)-VLOOKUP($C$283,'Calc (ex-animal)'!$D$58:$Y$62,17,FALSE))*F284/100))*VLOOKUP($C$283,'Calc (ex-animal)'!$D$58:$Y$62,7,FALSE)/100*(1-VLOOKUP(D284,'DB technologies'!$N$138:$Y$152,9,FALSE)/100)))</f>
        <v/>
      </c>
      <c r="I284" s="423" t="str">
        <f>IF(D284="","",((VLOOKUP(D284,'DB technologies'!$N$138:$Y$152,2,FALSE)*VLOOKUP($C$283,'DB animal categories'!$C$107:$AC$116,27,FALSE)*E284/1000)/VLOOKUP($C$283,'DB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'!$S$6/100*(1-VLOOKUP(D284,'DB technologies'!$N$138:$Y$152,9,FALSE)/100)))</f>
        <v/>
      </c>
      <c r="J284" s="434" t="str">
        <f>IF(D284="","",((VLOOKUP(D284,'DB technologies'!$N$138:$Y$152,3,FALSE)*VLOOKUP($C$283,'DB animal categories'!$C$107:$AC$116,27,FALSE)*E284/1000)/VLOOKUP($C$283,'DB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'!$S$7/100*(1-VLOOKUP(D284,'DB technologies'!$N$138:$Y$152,9,FALSE)/100)))</f>
        <v/>
      </c>
      <c r="K284" s="434" t="str">
        <f>IF(D284="","",((VLOOKUP(D284,'DB technologies'!$N$138:$Y$152,4,FALSE)*E284*'DB additional information '!$S$8/100*(1-VLOOKUP(D284,'DB technologies'!$N$138:$Y$152,9,FALSE)/100))/VLOOKUP($C$283,'DB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L284" s="423" t="str">
        <f>IF('Calc (ex-animal)'!$F$58=1,"",IF(D284="","",(((VLOOKUP($C$283,'Calc (ex-animal)'!$D$58:$Y$62,6,FALSE)-VLOOKUP($C$283,'Calc (ex-animal)'!$D$58:$Y$62,17,FALSE))*F284/100))*(1-VLOOKUP($C$283,'Calc (ex-animal)'!$D$58:$Y$62,7,FALSE)/100)*(1-VLOOKUP(D284,'DB technologies'!$N$138:$V$152,8,FALSE)/100)))</f>
        <v/>
      </c>
      <c r="M284" s="434" t="str">
        <f>IF(D284="","",((VLOOKUP(D284,'DB technologies'!$N$138:$Y$152,2,FALSE)*VLOOKUP($C$283,'DB animal categories'!$C$107:$AC$116,27,FALSE)*E284/1000)/VLOOKUP($C$283,'DB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'!$S$6/100)*(1-VLOOKUP(D284,'DB technologies'!$N$138:$Y$152,9,FALSE)/100))</f>
        <v/>
      </c>
      <c r="N284" s="434" t="str">
        <f>IF(D284="","",((VLOOKUP(D284,'DB technologies'!$N$138:$Y$152,3,FALSE)*VLOOKUP($C$283,'DB animal categories'!$C$107:$AC$116,27,FALSE)*E284/1000)/VLOOKUP($C$283,'DB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'!$S$7/100)*(1-VLOOKUP(D284,'DB technologies'!$N$138:$Y$152,9,FALSE)/100))</f>
        <v/>
      </c>
      <c r="O284" s="423" t="str">
        <f>IF(D284="","",((VLOOKUP(D284,'DB technologies'!$N$138:$Y$152,4,FALSE)*E284*(1-'DB additional information '!$S$8/100)*(1-VLOOKUP(D284,'DB technologies'!$N$138:$Y$152,8,FALSE)/100))/VLOOKUP($C$283,'DB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P284" s="438" t="str">
        <f>IF(G284=0,0,IF(E284="","",IF(F284="","",IF($C$283=0,"",IF(D284="","",SUM(H284:K284)/G284*100)))))</f>
        <v/>
      </c>
      <c r="Q284" s="416" t="str">
        <f>IF(D284="","",(VLOOKUP(D284,'DB technologies'!$N$138:$Y$152,2,FALSE)*'DB additional information '!$S$6/100*'DB additional information '!$T$6*VLOOKUP($C$283,'DB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R284" s="416" t="str">
        <f>IF(D284="","",(VLOOKUP(D284,'DB technologies'!$N$138:$Y$152,3,FALSE)*'DB additional information '!$S$7/100*'DB additional information '!$T$7*VLOOKUP($C$283,'DB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S284" s="491" t="str">
        <f>IF(D284="","",(VLOOKUP(D284,'DB technologies'!$N$138:$Y$152,4,FALSE)*('DB additional information '!$S$8/100*'DB additional information '!$T$8*E284/1000/1000)))</f>
        <v/>
      </c>
      <c r="T284" s="264" t="str">
        <f>IF($C$283=0,"",IF('Calc (ex-animal)'!$F$58=1,"",IF(D284="","",((VLOOKUP($C$283,'Calc (ex-animal)'!$D$58:$Y$62,10,FALSE)-VLOOKUP($C$283,'Calc (ex-animal)'!$D$58:$Y$62,18,FALSE))*F284/100+Q284+R284+S284)-AC284-AD284-AE284)))</f>
        <v/>
      </c>
      <c r="U284" s="422" t="str">
        <f>IF(D284="","",(VLOOKUP(D284,'DB technologies'!$N$138:$Y$152,2,FALSE)*'DB additional information '!$S$6/100*'DB additional information '!$U$6*VLOOKUP($C$283,'DB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V284" s="418" t="str">
        <f>IF(D284="","",(VLOOKUP(D284,'DB technologies'!$N$138:$Y$152,3,FALSE)*'DB additional information '!$S$7/100*'DB additional information '!$U$7*VLOOKUP($C$283,'DB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W284" s="417" t="str">
        <f>IF(D284="","",(VLOOKUP(D284,'DB technologies'!$N$138:$Y$152,4,FALSE)*('DB additional information '!$S$8/100*'DB additional information '!$U$8*E284/1000/1000)))</f>
        <v/>
      </c>
      <c r="X284" s="261" t="str">
        <f>IF($C$283=0,"",IF('Calc (ex-animal)'!$F$58=1,"",IF(D284="","",((VLOOKUP($C$283,'Calc (ex-animal)'!$D$58:$Y$62,13,FALSE)-VLOOKUP($C$283,'Calc (ex-animal)'!$D$58:$Y$62,19,FALSE))*F284/100+U284+V284+W284))))</f>
        <v/>
      </c>
      <c r="Y284" s="418" t="str">
        <f>IF(D284="","",(VLOOKUP(D284,'DB technologies'!$N$138:$Y$152,2,FALSE)*'DB additional information '!$S$6/100*'DB additional information '!$V$6*VLOOKUP($C$283,'DB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Z284" s="418" t="str">
        <f>IF(D284="","",(VLOOKUP(D284,'DB technologies'!$N$138:$Y$152,3,FALSE)*'DB additional information '!$S$7/100*'DB additional information '!$V$7*VLOOKUP($C$283,'DB animal categories'!$C$107:$AC$116,27,FALSE)*E284/1000/1000)/VLOOKUP($C$283,'DB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AA284" s="418" t="str">
        <f>IF(D284="","",(VLOOKUP(D284,'DB technologies'!$N$138:$Y$152,4,FALSE)*('DB additional information '!$S$8/100*'DB additional information '!$V$8*E284/1000/1000)))</f>
        <v/>
      </c>
      <c r="AB284" s="261" t="str">
        <f>IF($C$283=0,"",IF('Calc (ex-animal)'!$F$58=1,"",IF(D284="","",((VLOOKUP($C$283,'Calc (ex-animal)'!$D$58:$Y$62,16,FALSE)-VLOOKUP($C$283,'Calc (ex-animal)'!$D$58:$Y$62,20,FALSE))*F284/100+Y284+Z284+AA284))))</f>
        <v/>
      </c>
      <c r="AC284" s="261" t="str">
        <f>IF($C$283=0,"",IF('Calc (ex-animal)'!$F$58=1,"",IF(D284="","",VLOOKUP($C$283,'Calc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categories'!$C$107:$AC$116,26,FALSE)/24)*F284/100*VLOOKUP(D284,'DB technologies'!$N$138:$R$152,5,FALSE)/100)))</f>
        <v/>
      </c>
      <c r="AD284" s="261" t="str">
        <f>IF($C$283=0,"",IF('Calc (ex-animal)'!$F$58=1,"",IF(D284="","",VLOOKUP($C$283,'Calc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categories'!$C$107:$AC$116,26,FALSE)/24)*F284/100*VLOOKUP(D284,'DB technologies'!$N$138:$Y$152,6,FALSE)/100)))</f>
        <v/>
      </c>
      <c r="AE284" s="262" t="str">
        <f>IF($C$283=0,"",IF('Calc (ex-animal)'!$F$58=1,"",IF(D284="","",VLOOKUP($C$283,'Calc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categories'!$C$107:$AC$116,26,FALSE)/24)*F284/100*VLOOKUP(D284,'DB technologies'!$N$138:$Y$152,7,FALSE)/100)))</f>
        <v/>
      </c>
      <c r="AI284" s="181" t="str">
        <f>IF(D284="","",VLOOKUP(D284,'DB technologies'!$N$138:$Y$152,10,FALSE))</f>
        <v/>
      </c>
      <c r="AJ284" s="449" t="e">
        <f>VLOOKUP($C$283,'DB animal categories'!$C$107:$AN$116,27,FALSE)-VLOOKUP($C$283,'DB animal categories'!$C$107:$AN$116,26,FALSE)*VLOOKUP($C$283,'DB animal categories'!$C$107:$AN$116,25,FALSE)/24</f>
        <v>#N/A</v>
      </c>
      <c r="AK284" s="442" t="str">
        <f>IF(AI284="","",AL284+AM284)</f>
        <v/>
      </c>
      <c r="AL284" s="442" t="str">
        <f>IF(D284="","",IF(AI284=2,(('Calc (ex-animal)'!$G$59*'DB additional information '!$K$15/100*(1-VLOOKUP(D284,'DB technologies'!$N$138:$Y$152,9,FALSE)/100)*'Calc (ex-housing, ex-storage)'!F284/100+'Calc (ex-animal)'!$H$59*'DB additional information '!$L$15/100*(1-VLOOKUP(D284,'DB technologies'!$N$138:$Y$152,9,FALSE)/100)*'Calc (ex-housing, ex-storage)'!F284/100))/VLOOKUP($C$283,'DB animal categories'!$C$107:$AC$116,27,FALSE)*AJ284+I284+J284+K284,IF(AI284=1,('Calc (ex-animal)'!$H$59*'DB additional information '!$L$15/100*(1-VLOOKUP(D284,'DB technologies'!$N$138:$Y$152,9,FALSE)/100)*'Calc (ex-housing, ex-storage)'!F284/100)/VLOOKUP($C$283,'DB animal categories'!$C$107:$AC$116,27,FALSE)*AJ284,IF(AI284=4,('Calc (ex-animal)'!$G$59*'DB additional information '!$K$15/100+'Calc (ex-animal)'!$H$59*'DB additional information '!$L$15/100)*(1-VLOOKUP(D284,'DB technologies'!$N$138:$Y$152,9,FALSE)/100)*'Calc (ex-housing, ex-storage)'!F284/100*VLOOKUP(D284,'DB technologies'!$N$138:$Y$152,11,FALSE)/100/VLOOKUP($C$283,'DB animal categories'!$C$107:$AC$116,27,FALSE)*AJ284,0))))</f>
        <v/>
      </c>
      <c r="AM284" s="442" t="str">
        <f>IF(D284="","",IF(AI284=2,(('Calc (ex-animal)'!$G$59*(1-'DB additional information '!$K$15/100)*(1-VLOOKUP(D284,'DB technologies'!$N$138:$Y$152,8,FALSE)/100)*'Calc (ex-housing, ex-storage)'!F284/100+'Calc (ex-animal)'!$H$59*(1-'DB additional information '!$L$15/100)*(1-VLOOKUP(D284,'DB technologies'!$N$138:$Y$152,8,FALSE)/100)*'Calc (ex-housing, ex-storage)'!F284/100))/VLOOKUP($C$283,'DB animal categories'!$C$107:$AC$116,27,FALSE)*AJ284+M284+N284+O284,IF(AI284=1,('Calc (ex-animal)'!$H$59*(1-'DB additional information '!$L$15/100)*(1-VLOOKUP(D284,'DB technologies'!$N$138:$Y$152,8,FALSE)/100)*'Calc (ex-housing, ex-storage)'!F284/100)/VLOOKUP($C$283,'DB animal categories'!$C$107:$AC$116,27,FALSE)*AJ284,IF(AI284=4,('Calc (ex-animal)'!$G$59*(1-'DB additional information '!$K$15/100)+'Calc (ex-animal)'!$H$59*(1-'DB additional information '!$L$15/100))*(1-VLOOKUP(D284,'DB technologies'!$N$138:$Y$152,8,FALSE)/100)*'Calc (ex-housing, ex-storage)'!F284/100*VLOOKUP(D284,'DB technologies'!$N$138:$Y$152,11,FALSE)/100/VLOOKUP($C$283,'DB animal categories'!$C$107:$AC$116,27,FALSE)*AJ284,0))))</f>
        <v/>
      </c>
      <c r="AN284" s="442" t="str">
        <f>IF(AI284="","",IF(AL284=0,0,AL284/AK284*100))</f>
        <v/>
      </c>
      <c r="AO284" s="182" t="str">
        <f>IF(D284="","",IF(AI284=2,(('Calc (ex-animal)'!$L$59*'Calc (ex-housing, ex-storage)'!F284/100+'Calc (ex-animal)'!$K$59*'Calc (ex-housing, ex-storage)'!F284/100))/VLOOKUP($C$283,'DB animal categories'!$C$107:$AC$116,27,FALSE)*AJ284+Q284+R284+S284-AC284,IF(AI284=1,('Calc (ex-animal)'!$L$59*'Calc (ex-housing, ex-storage)'!F284/100)/VLOOKUP($C$283,'DB animal categories'!$C$107:$AC$116,27,FALSE)*AJ284-'Calc (ex-housing, ex-storage)'!AC284,IF(AI284=4,('Calc (ex-animal)'!$L$59+'Calc (ex-animal)'!$K$59)*'Calc (ex-housing, ex-storage)'!F284/100*VLOOKUP(D284,'DB technologies'!$N$138:$Y$152,11,FALSE)/100/VLOOKUP($C$283,'DB animal categories'!$C$107:$AC$116,27,FALSE)*AJ284-AC284*VLOOKUP(D284,'DB technologies'!$N$138:$Y$152,11,FALSE)/100,0))))</f>
        <v/>
      </c>
      <c r="AP284" s="182" t="str">
        <f>IF(D284="","",IF(AO284&lt;-0.01,0,IF(AI284=2,(('Calc (ex-animal)'!$L$59*'Calc (ex-housing, ex-storage)'!F284/100+'Calc (ex-animal)'!$K$59*'Calc (ex-housing, ex-storage)'!F284/100))/VLOOKUP($C$283,'DB animal categories'!$C$107:$AC$116,27,FALSE)*AJ284+Q284+R284+S284-AC284,IF(AI284=1,('Calc (ex-animal)'!$L$59*'Calc (ex-housing, ex-storage)'!F284/100)/VLOOKUP($C$283,'DB animal categories'!$C$107:$AC$116,27,FALSE)*AJ284-'Calc (ex-housing, ex-storage)'!AC284,IF(AI284=4,('Calc (ex-animal)'!$L$59+'Calc (ex-animal)'!$K$59)*'Calc (ex-housing, ex-storage)'!F284/100*VLOOKUP(D284,'DB technologies'!$N$138:$Y$152,11,FALSE)/100/VLOOKUP($C$283,'DB animal categories'!$C$107:$AC$116,27,FALSE)*AJ284-AC284*VLOOKUP(D284,'DB technologies'!$N$138:$Y$152,11,FALSE)/100,0)))))</f>
        <v/>
      </c>
      <c r="AQ284" s="182" t="str">
        <f>IF(D284="","",IF(AI284=2,('Calc (ex-animal)'!$O$59*'Calc (ex-housing, ex-storage)'!F284/100+'Calc (ex-animal)'!$N$59*'Calc (ex-housing, ex-storage)'!F284/100)/VLOOKUP($C$283,'DB animal categories'!$C$107:$AC$116,27,FALSE)*AJ284+U284+V284+W284,IF(AI284=1,'Calc (ex-animal)'!$O$59*'Calc (ex-housing, ex-storage)'!F284/100/VLOOKUP($C$283,'DB animal categories'!$C$107:$AC$116,27,FALSE)*AJ284,IF(AI284=4,('Calc (ex-animal)'!$O$59+'Calc (ex-animal)'!$N$59)*'Calc (ex-housing, ex-storage)'!F284/100*VLOOKUP(D284,'DB technologies'!$N$138:$Y$152,11,FALSE)/100/VLOOKUP($C$283,'DB animal categories'!$C$107:$AC$116,27,FALSE)*AJ284,0))))</f>
        <v/>
      </c>
      <c r="AR284" s="182" t="str">
        <f>IF(D284="","",IF(AI284=2,('Calc (ex-animal)'!$R$59*'Calc (ex-housing, ex-storage)'!F284/100+'Calc (ex-animal)'!$Q$59*'Calc (ex-housing, ex-storage)'!F284/100)/VLOOKUP($C$283,'DB animal categories'!$C$107:$AC$116,27,FALSE)*AJ284+Y284+Z284+AA284,IF(AI284=1,'Calc (ex-animal)'!$R$59*'Calc (ex-housing, ex-storage)'!F284/100/VLOOKUP($C$283,'DB animal categories'!$C$107:$AC$116,27,FALSE)*AJ284,IF(AI284=4,('Calc (ex-animal)'!$R$59+'Calc (ex-animal)'!$Q$59)*'Calc (ex-housing, ex-storage)'!F284/100*VLOOKUP(D284,'DB technologies'!$N$138:$Y$152,11,FALSE)/100/VLOOKUP($C$283,'DB animal categories'!$C$107:$AC$116,27,FALSE)*AJ284,0))))</f>
        <v/>
      </c>
      <c r="AS284" s="181" t="str">
        <f>IF(D284="","",VLOOKUP(D284,'DB technologies'!$N$138:$Y$152,10,FALSE))</f>
        <v/>
      </c>
      <c r="AT284" s="442" t="str">
        <f>IF(AS284="","",AU284+AV284)</f>
        <v/>
      </c>
      <c r="AU284" s="442" t="str">
        <f>IF(D284="","",IF(AS284=2,0,IF(AS284=1,'Calc (ex-animal)'!$G$59*'DB additional information '!$K$15/100*(1-VLOOKUP(D284,'DB technologies'!$N$138:$Y$152,8,FALSE)/100)*'Calc (ex-housing, ex-storage)'!F284/100/VLOOKUP($C$283,'DB animal categories'!$C$107:$AC$116,27,FALSE)*AJ284+I284+J284+K284,IF(AS284=5,(('Calc (ex-animal)'!$G$59*'DB additional information '!$K$15/100+'Calc (ex-animal)'!$H$59*'DB additional information '!$L$15/100))*(1-VLOOKUP(D284,'DB technologies'!$N$138:$Y$152,9,FALSE)/100)*'Calc (ex-housing, ex-storage)'!F284/100/VLOOKUP($C$283,'DB animal categories'!$C$107:$AC$116,27,FALSE)*AJ284+I284+J284+K284,IF(AS284=3,('Calc (ex-animal)'!$G$59*'DB additional information '!$K$15/100+'Calc (ex-animal)'!$H$59*'DB additional information '!$L$15/100)*(1-VLOOKUP(D284,'DB technologies'!$N$138:$Y$152,9,FALSE)/100)*'Calc (ex-housing, ex-storage)'!F284/100/VLOOKUP($C$283,'DB animal categories'!$C$107:$AC$116,27,FALSE)*AJ284+I284+J284+K284,IF(AS284=4,('Calc (ex-animal)'!$G$59*'DB additional information '!$K$15/100+'Calc (ex-animal)'!$H$59*'DB additional information '!$L$15/100)*(1-VLOOKUP(D284,'DB technologies'!$N$138:$Y$152,9,FALSE)/100)*'Calc (ex-housing, ex-storage)'!F284/100*VLOOKUP(D284,'DB technologies'!$N$138:$Y$152,12,FALSE)/100/VLOOKUP($C$283,'DB animal categories'!$C$107:$AC$116,27,FALSE)*AJ284+I284+J284+K284,0))))))</f>
        <v/>
      </c>
      <c r="AV284" s="442" t="str">
        <f>IF(D284="","",IF(AS284=2,0,IF(AS284=1,'Calc (ex-animal)'!$G$59*(1-'DB additional information '!$K$15/100)*(1-VLOOKUP(D284,'DB technologies'!$N$138:$Y$152,8,FALSE)/100)*'Calc (ex-housing, ex-storage)'!F284/100/VLOOKUP($C$283,'DB animal categories'!$C$107:$AC$116,27,FALSE)*AJ284+M284+N284+O284,IF(AS284=5,('Calc (ex-animal)'!$G$59*(1-'DB additional information '!$K$15/100)+'Calc (ex-animal)'!$H$59*(1-'DB additional information '!$L$15/100))*(1-VLOOKUP(D284,'DB technologies'!$N$138:$Y$152,8,FALSE)/100)*'Calc (ex-housing, ex-storage)'!F284/100/VLOOKUP($C$283,'DB animal categories'!$C$107:$AC$116,27,FALSE)*AJ284+M284+N284+O284,IF(AS284=3,('Calc (ex-animal)'!$G$59*(1-'DB additional information '!$K$15/100)+'Calc (ex-animal)'!$H$59*(1-'DB additional information '!$L$15/100))*(1-VLOOKUP(D284,'DB technologies'!$N$138:$Y$152,8,FALSE)/100)*'Calc (ex-housing, ex-storage)'!F284/100/VLOOKUP($C$283,'DB animal categories'!$C$107:$AC$116,27,FALSE)*AJ284+M284+N284+O284,IF(AS284=4,('Calc (ex-animal)'!$G$59*(1-'DB additional information '!$K$15/100)+'Calc (ex-animal)'!$H$59*(1-'DB additional information '!$L$15/100))*(1-VLOOKUP(D284,'DB technologies'!$N$138:$Y$152,8,FALSE)/100)*'Calc (ex-housing, ex-storage)'!F284/100*VLOOKUP(D284,'DB technologies'!$N$138:$Y$152,12,FALSE)/100/VLOOKUP($C$283,'DB animal categories'!$C$107:$AC$116,27,FALSE)*AJ284+M284+N284+O284,0))))))</f>
        <v/>
      </c>
      <c r="AW284" s="442" t="str">
        <f>IF(AS284="","",IF(AU284=0,0,AU284/AT284*100))</f>
        <v/>
      </c>
      <c r="AX284" s="182" t="str">
        <f>IF(D284="","",IF(AS284=2,0,IF(AS284=1,'Calc (ex-animal)'!$K$59*'Calc (ex-housing, ex-storage)'!F284/100/VLOOKUP($C$283,'DB animal categories'!$C$107:$AC$116,27,FALSE)*AJ284+Q284+R284+S284,IF(AS284=5,('Calc (ex-animal)'!$K$59+'Calc (ex-animal)'!$L$59)*'Calc (ex-housing, ex-storage)'!F284/100/VLOOKUP($C$283,'DB animal categories'!$C$107:$AC$116,27,FALSE)*AJ284+Q284+R284+S284-'Calc (ex-housing, ex-storage)'!AC284,IF(AS284=3,('Calc (ex-animal)'!$K$59+'Calc (ex-animal)'!$L$59)*'Calc (ex-housing, ex-storage)'!F284/100/VLOOKUP($C$283,'DB animal categories'!$C$107:$AC$116,27,FALSE)*AJ284+Q284+R284+S284-'Calc (ex-housing, ex-storage)'!AC284-AD284-AE284,IF(AI284=4,('Calc (ex-animal)'!$K$59+'Calc (ex-animal)'!$L$59)*'Calc (ex-housing, ex-storage)'!F284/100*VLOOKUP(D284,'DB technologies'!$N$138:$Y$152,12,FALSE)/100/VLOOKUP($C$283,'DB animal categories'!$C$107:$AC$116,27,FALSE)*AJ284+Q284+R284+S284-(VLOOKUP(D284,'DB technologies'!$N$138:$Y$152,12,FALSE)/100*AC284)-AD284-AE284,0))))))</f>
        <v/>
      </c>
      <c r="AY284" s="182" t="str">
        <f>IF(D284="","",IF(AS284=2,0,IF(AS284=1,'Calc (ex-animal)'!$N$59*'Calc (ex-housing, ex-storage)'!F284/100/VLOOKUP($C$283,'DB animal categories'!$C$107:$AC$116,27,FALSE)*AJ284+U284+V284+W284,IF(AS284=5,('Calc (ex-animal)'!$N$59+'Calc (ex-animal)'!$O$59)*'Calc (ex-housing, ex-storage)'!F284/100/VLOOKUP($C$283,'DB animal categories'!$C$107:$AC$116,27,FALSE)*AJ284+U284+V284+W284,IF(AS284=3,('Calc (ex-animal)'!$N$59+'Calc (ex-animal)'!$O$59)*'Calc (ex-housing, ex-storage)'!F284/100/VLOOKUP($C$283,'DB animal categories'!$C$107:$AC$116,27,FALSE)*AJ284+U284+V284+W284,IF(AS284=4,('Calc (ex-animal)'!$N$59+'Calc (ex-animal)'!$O$59)*'Calc (ex-housing, ex-storage)'!F284/100*VLOOKUP(D284,'DB technologies'!$N$138:$Y$152,12,FALSE)/100/VLOOKUP($C$283,'DB animal categories'!$C$107:$AC$116,27,FALSE)*AJ284+U284+V284+W284,0))))))</f>
        <v/>
      </c>
      <c r="AZ284" s="182" t="str">
        <f>IF(D284="","",IF(AS284=2,0,IF(AS284=1,'Calc (ex-animal)'!$Q$59*'Calc (ex-housing, ex-storage)'!F284/100/VLOOKUP($C$283,'DB animal categories'!$C$107:$AC$116,27,FALSE)*AJ284+Y284+Z284+AA284,IF(AS284=5,('Calc (ex-animal)'!$Q$59+'Calc (ex-animal)'!$R$59)*'Calc (ex-housing, ex-storage)'!F284/100/VLOOKUP($C$283,'DB animal categories'!$C$107:$AC$116,27,FALSE)*AJ284+Y284+Z284+AA284,IF(AS284=3,('Calc (ex-animal)'!$Q$59+'Calc (ex-animal)'!$R$59)*'Calc (ex-housing, ex-storage)'!F284/100/VLOOKUP($C$283,'DB animal categories'!$C$107:$AC$116,27,FALSE)*AJ284+Y284+Z284+AA284,IF(AS284=4,('Calc (ex-animal)'!$Q$59+'Calc (ex-animal)'!$R$59)*'Calc (ex-housing, ex-storage)'!F284/100*VLOOKUP(D284,'DB technologies'!$N$138:$Y$152,12,FALSE)/100/VLOOKUP($C$283,'DB animal categories'!$C$107:$AC$116,27,FALSE)*AJ284+Y284+Z284+AA284,0))))))</f>
        <v/>
      </c>
      <c r="BA284" s="506"/>
      <c r="BB284" s="506"/>
      <c r="BC284" s="506"/>
    </row>
    <row r="285" spans="1:55" x14ac:dyDescent="0.2">
      <c r="A285" s="695"/>
      <c r="B285" s="695"/>
      <c r="C285" s="251"/>
      <c r="D285" s="1357"/>
      <c r="E285" s="1358"/>
      <c r="F285" s="480" t="str">
        <f>IF('Calc (ex-animal)'!$F$58=1,"",IF($C$283=0,"",IF(D285="","",E285/'Calc (ex-animal)'!$E$59*100)))</f>
        <v/>
      </c>
      <c r="G285" s="485" t="str">
        <f>IF($C$283=0,"",IF('Calc (ex-animal)'!$F$58=1,"",IF(D285="","",SUM(H285:O285))))</f>
        <v/>
      </c>
      <c r="H285" s="423" t="str">
        <f>IF('Calc (ex-animal)'!$F$58=1,"",IF(D285="","",(((VLOOKUP($C$283,'Calc (ex-animal)'!$D$58:$Y$62,6,FALSE)-VLOOKUP($C$283,'Calc (ex-animal)'!$D$58:$Y$62,17,FALSE))*F285/100))*VLOOKUP($C$283,'Calc (ex-animal)'!$D$58:$Y$62,7,FALSE)/100*(1-VLOOKUP(D285,'DB technologies'!$N$138:$Y$152,9,FALSE)/100)))</f>
        <v/>
      </c>
      <c r="I285" s="423" t="str">
        <f>IF(D285="","",((VLOOKUP(D285,'DB technologies'!$N$138:$Y$152,2,FALSE)*VLOOKUP($C$283,'DB animal categories'!$C$107:$AC$116,27,FALSE)*E285/1000)/VLOOKUP($C$283,'DB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'!$S$6/100*(1-VLOOKUP(D285,'DB technologies'!$N$138:$Y$152,9,FALSE)/100)))</f>
        <v/>
      </c>
      <c r="J285" s="434" t="str">
        <f>IF(D285="","",((VLOOKUP(D285,'DB technologies'!$N$138:$Y$152,3,FALSE)*VLOOKUP($C$283,'DB animal categories'!$C$107:$AC$116,27,FALSE)*E285/1000)/VLOOKUP($C$283,'DB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'!$S$7/100*(1-VLOOKUP(D285,'DB technologies'!$N$138:$Y$152,9,FALSE)/100)))</f>
        <v/>
      </c>
      <c r="K285" s="434" t="str">
        <f>IF(D285="","",((VLOOKUP(D285,'DB technologies'!$N$138:$Y$152,4,FALSE)*E285*'DB additional information '!$S$8/100*(1-VLOOKUP(D285,'DB technologies'!$N$138:$Y$152,9,FALSE)/100))/VLOOKUP($C$283,'DB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L285" s="423" t="str">
        <f>IF('Calc (ex-animal)'!$F$58=1,"",IF(D285="","",(((VLOOKUP($C$283,'Calc (ex-animal)'!$D$58:$Y$62,6,FALSE)-VLOOKUP($C$283,'Calc (ex-animal)'!$D$58:$Y$62,17,FALSE))*F285/100))*(1-VLOOKUP($C$283,'Calc (ex-animal)'!$D$58:$Y$62,7,FALSE)/100)*(1-VLOOKUP(D285,'DB technologies'!$N$138:$V$152,8,FALSE)/100)))</f>
        <v/>
      </c>
      <c r="M285" s="434" t="str">
        <f>IF(D285="","",((VLOOKUP(D285,'DB technologies'!$N$138:$Y$152,2,FALSE)*VLOOKUP($C$283,'DB animal categories'!$C$107:$AC$116,27,FALSE)*E285/1000)/VLOOKUP($C$283,'DB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'!$S$6/100)*(1-VLOOKUP(D285,'DB technologies'!$N$138:$Y$152,9,FALSE)/100))</f>
        <v/>
      </c>
      <c r="N285" s="434" t="str">
        <f>IF(D285="","",((VLOOKUP(D285,'DB technologies'!$N$138:$Y$152,3,FALSE)*VLOOKUP($C$283,'DB animal categories'!$C$107:$AC$116,27,FALSE)*E285/1000)/VLOOKUP($C$283,'DB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'!$S$7/100)*(1-VLOOKUP(D285,'DB technologies'!$N$138:$Y$152,9,FALSE)/100))</f>
        <v/>
      </c>
      <c r="O285" s="423" t="str">
        <f>IF(D285="","",((VLOOKUP(D285,'DB technologies'!$N$138:$Y$152,4,FALSE)*E285*(1-'DB additional information '!$S$8/100)*(1-VLOOKUP(D285,'DB technologies'!$N$138:$Y$152,8,FALSE)/100))/VLOOKUP($C$283,'DB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P285" s="438" t="str">
        <f>IF(G285=0,0,IF(E285="","",IF(F285="","",IF($C$283=0,"",IF(D285="","",SUM(H285:K285)/G285*100)))))</f>
        <v/>
      </c>
      <c r="Q285" s="416" t="str">
        <f>IF(D285="","",(VLOOKUP(D285,'DB technologies'!$N$138:$Y$152,2,FALSE)*'DB additional information '!$S$6/100*'DB additional information '!$T$6*VLOOKUP($C$283,'DB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R285" s="416" t="str">
        <f>IF(D285="","",(VLOOKUP(D285,'DB technologies'!$N$138:$Y$152,3,FALSE)*'DB additional information '!$S$7/100*'DB additional information '!$T$7*VLOOKUP($C$283,'DB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S285" s="491" t="str">
        <f>IF(D285="","",(VLOOKUP(D285,'DB technologies'!$N$138:$Y$152,4,FALSE)*('DB additional information '!$S$8/100*'DB additional information '!$T$8*E285/1000/1000)))</f>
        <v/>
      </c>
      <c r="T285" s="264" t="str">
        <f>IF($C$283=0,"",IF('Calc (ex-animal)'!$F$58=1,"",IF(D285="","",((VLOOKUP($C$283,'Calc (ex-animal)'!$D$58:$Y$62,10,FALSE)-VLOOKUP($C$283,'Calc (ex-animal)'!$D$58:$Y$62,18,FALSE))*F285/100+Q285+R285+S285)-AC285-AD285-AE285)))</f>
        <v/>
      </c>
      <c r="U285" s="422" t="str">
        <f>IF(D285="","",(VLOOKUP(D285,'DB technologies'!$N$138:$Y$152,2,FALSE)*'DB additional information '!$S$6/100*'DB additional information '!$U$6*VLOOKUP($C$283,'DB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V285" s="418" t="str">
        <f>IF(D285="","",(VLOOKUP(D285,'DB technologies'!$N$138:$Y$152,3,FALSE)*'DB additional information '!$S$7/100*'DB additional information '!$U$7*VLOOKUP($C$283,'DB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W285" s="417" t="str">
        <f>IF(D285="","",(VLOOKUP(D285,'DB technologies'!$N$138:$Y$152,4,FALSE)*('DB additional information '!$S$8/100*'DB additional information '!$U$8*E285/1000/1000)))</f>
        <v/>
      </c>
      <c r="X285" s="261" t="str">
        <f>IF($C$283=0,"",IF('Calc (ex-animal)'!$F$58=1,"",IF(D285="","",((VLOOKUP($C$283,'Calc (ex-animal)'!$D$58:$Y$62,13,FALSE)-VLOOKUP($C$283,'Calc (ex-animal)'!$D$58:$Y$62,19,FALSE))*F285/100+U285+V285+W285))))</f>
        <v/>
      </c>
      <c r="Y285" s="418" t="str">
        <f>IF(D285="","",(VLOOKUP(D285,'DB technologies'!$N$138:$Y$152,2,FALSE)*'DB additional information '!$S$6/100*'DB additional information '!$V$6*VLOOKUP($C$283,'DB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Z285" s="418" t="str">
        <f>IF(D285="","",(VLOOKUP(D285,'DB technologies'!$N$138:$Y$152,3,FALSE)*'DB additional information '!$S$7/100*'DB additional information '!$V$7*VLOOKUP($C$283,'DB animal categories'!$C$107:$AC$116,27,FALSE)*E285/1000/1000)/VLOOKUP($C$283,'DB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AA285" s="418" t="str">
        <f>IF(D285="","",(VLOOKUP(D285,'DB technologies'!$N$138:$Y$152,4,FALSE)*('DB additional information '!$S$8/100*'DB additional information '!$V$8*E285/1000/1000)))</f>
        <v/>
      </c>
      <c r="AB285" s="261" t="str">
        <f>IF($C$283=0,"",IF('Calc (ex-animal)'!$F$58=1,"",IF(D285="","",((VLOOKUP($C$283,'Calc (ex-animal)'!$D$58:$Y$62,16,FALSE)-VLOOKUP($C$283,'Calc (ex-animal)'!$D$58:$Y$62,20,FALSE))*F285/100+Y285+Z285+AA285))))</f>
        <v/>
      </c>
      <c r="AC285" s="261" t="str">
        <f>IF($C$283=0,"",IF('Calc (ex-animal)'!$F$58=1,"",IF(D285="","",VLOOKUP($C$283,'Calc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categories'!$C$107:$AC$116,26,FALSE)/24)*F285/100*VLOOKUP(D285,'DB technologies'!$N$138:$R$152,5,FALSE)/100)))</f>
        <v/>
      </c>
      <c r="AD285" s="261" t="str">
        <f>IF($C$283=0,"",IF('Calc (ex-animal)'!$F$58=1,"",IF(D285="","",VLOOKUP($C$283,'Calc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categories'!$C$107:$AC$116,26,FALSE)/24)*F285/100*VLOOKUP(D285,'DB technologies'!$N$138:$Y$152,6,FALSE)/100)))</f>
        <v/>
      </c>
      <c r="AE285" s="262" t="str">
        <f>IF($C$283=0,"",IF('Calc (ex-animal)'!$F$58=1,"",IF(D285="","",VLOOKUP($C$283,'Calc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categories'!$C$107:$AC$116,26,FALSE)/24)*F285/100*VLOOKUP(D285,'DB technologies'!$N$138:$Y$152,7,FALSE)/100)))</f>
        <v/>
      </c>
      <c r="AI285" s="181" t="str">
        <f>IF(D285="","",VLOOKUP(D285,'DB technologies'!$N$138:$Y$152,10,FALSE))</f>
        <v/>
      </c>
      <c r="AJ285" s="449" t="e">
        <f>VLOOKUP($C$283,'DB animal categories'!$C$107:$AN$116,27,FALSE)-VLOOKUP($C$283,'DB animal categories'!$C$107:$AN$116,26,FALSE)*VLOOKUP($C$283,'DB animal categories'!$C$107:$AN$116,25,FALSE)/24</f>
        <v>#N/A</v>
      </c>
      <c r="AK285" s="442" t="str">
        <f>IF(AI285="","",AL285+AM285)</f>
        <v/>
      </c>
      <c r="AL285" s="442" t="str">
        <f>IF(D285="","",IF(AI285=2,(('Calc (ex-animal)'!$G$59*'DB additional information '!$K$15/100*(1-VLOOKUP(D285,'DB technologies'!$N$138:$Y$152,9,FALSE)/100)*'Calc (ex-housing, ex-storage)'!F285/100+'Calc (ex-animal)'!$H$59*'DB additional information '!$L$15/100*(1-VLOOKUP(D285,'DB technologies'!$N$138:$Y$152,9,FALSE)/100)*'Calc (ex-housing, ex-storage)'!F285/100))/VLOOKUP($C$283,'DB animal categories'!$C$107:$AC$116,27,FALSE)*AJ285+I285+J285+K285,IF(AI285=1,('Calc (ex-animal)'!$H$59*'DB additional information '!$L$15/100*(1-VLOOKUP(D285,'DB technologies'!$N$138:$Y$152,9,FALSE)/100)*'Calc (ex-housing, ex-storage)'!F285/100)/VLOOKUP($C$283,'DB animal categories'!$C$107:$AC$116,27,FALSE)*AJ285,IF(AI285=4,('Calc (ex-animal)'!$G$59*'DB additional information '!$K$15/100+'Calc (ex-animal)'!$H$59*'DB additional information '!$L$15/100)*(1-VLOOKUP(D285,'DB technologies'!$N$138:$Y$152,9,FALSE)/100)*'Calc (ex-housing, ex-storage)'!F285/100*VLOOKUP(D285,'DB technologies'!$N$138:$Y$152,11,FALSE)/100/VLOOKUP($C$283,'DB animal categories'!$C$107:$AC$116,27,FALSE)*AJ285,0))))</f>
        <v/>
      </c>
      <c r="AM285" s="442" t="str">
        <f>IF(D285="","",IF(AI285=2,(('Calc (ex-animal)'!$G$59*(1-'DB additional information '!$K$15/100)*(1-VLOOKUP(D285,'DB technologies'!$N$138:$Y$152,8,FALSE)/100)*'Calc (ex-housing, ex-storage)'!F285/100+'Calc (ex-animal)'!$H$59*(1-'DB additional information '!$L$15/100)*(1-VLOOKUP(D285,'DB technologies'!$N$138:$Y$152,8,FALSE)/100)*'Calc (ex-housing, ex-storage)'!F285/100))/VLOOKUP($C$283,'DB animal categories'!$C$107:$AC$116,27,FALSE)*AJ285+M285+N285+O285,IF(AI285=1,('Calc (ex-animal)'!$H$59*(1-'DB additional information '!$L$15/100)*(1-VLOOKUP(D285,'DB technologies'!$N$138:$Y$152,8,FALSE)/100)*'Calc (ex-housing, ex-storage)'!F285/100)/VLOOKUP($C$283,'DB animal categories'!$C$107:$AC$116,27,FALSE)*AJ285,IF(AI285=4,('Calc (ex-animal)'!$G$59*(1-'DB additional information '!$K$15/100)+'Calc (ex-animal)'!$H$59*(1-'DB additional information '!$L$15/100))*(1-VLOOKUP(D285,'DB technologies'!$N$138:$Y$152,8,FALSE)/100)*'Calc (ex-housing, ex-storage)'!F285/100*VLOOKUP(D285,'DB technologies'!$N$138:$Y$152,11,FALSE)/100/VLOOKUP($C$283,'DB animal categories'!$C$107:$AC$116,27,FALSE)*AJ285,0))))</f>
        <v/>
      </c>
      <c r="AN285" s="442" t="str">
        <f>IF(AI285="","",IF(AL285=0,0,AL285/AK285*100))</f>
        <v/>
      </c>
      <c r="AO285" s="182" t="str">
        <f>IF(D285="","",IF(AI285=2,(('Calc (ex-animal)'!$L$59*'Calc (ex-housing, ex-storage)'!F285/100+'Calc (ex-animal)'!$K$59*'Calc (ex-housing, ex-storage)'!F285/100))/VLOOKUP($C$283,'DB animal categories'!$C$107:$AC$116,27,FALSE)*AJ285+Q285+R285+S285-AC285,IF(AI285=1,('Calc (ex-animal)'!$L$59*'Calc (ex-housing, ex-storage)'!F285/100)/VLOOKUP($C$283,'DB animal categories'!$C$107:$AC$116,27,FALSE)*AJ285-'Calc (ex-housing, ex-storage)'!AC285,IF(AI285=4,('Calc (ex-animal)'!$L$59+'Calc (ex-animal)'!$K$59)*'Calc (ex-housing, ex-storage)'!F285/100*VLOOKUP(D285,'DB technologies'!$N$138:$Y$152,11,FALSE)/100/VLOOKUP($C$283,'DB animal categories'!$C$107:$AC$116,27,FALSE)*AJ285-AC285*VLOOKUP(D285,'DB technologies'!$N$138:$Y$152,11,FALSE)/100,0))))</f>
        <v/>
      </c>
      <c r="AP285" s="182" t="str">
        <f>IF(D285="","",IF(AO285&lt;-0.01,0,IF(AI285=2,(('Calc (ex-animal)'!$L$59*'Calc (ex-housing, ex-storage)'!F285/100+'Calc (ex-animal)'!$K$59*'Calc (ex-housing, ex-storage)'!F285/100))/VLOOKUP($C$283,'DB animal categories'!$C$107:$AC$116,27,FALSE)*AJ285+Q285+R285+S285-AC285,IF(AI285=1,('Calc (ex-animal)'!$L$59*'Calc (ex-housing, ex-storage)'!F285/100)/VLOOKUP($C$283,'DB animal categories'!$C$107:$AC$116,27,FALSE)*AJ285-'Calc (ex-housing, ex-storage)'!AC285,IF(AI285=4,('Calc (ex-animal)'!$L$59+'Calc (ex-animal)'!$K$59)*'Calc (ex-housing, ex-storage)'!F285/100*VLOOKUP(D285,'DB technologies'!$N$138:$Y$152,11,FALSE)/100/VLOOKUP($C$283,'DB animal categories'!$C$107:$AC$116,27,FALSE)*AJ285-AC285*VLOOKUP(D285,'DB technologies'!$N$138:$Y$152,11,FALSE)/100,0)))))</f>
        <v/>
      </c>
      <c r="AQ285" s="182" t="str">
        <f>IF(D285="","",IF(AI285=2,('Calc (ex-animal)'!$O$59*'Calc (ex-housing, ex-storage)'!F285/100+'Calc (ex-animal)'!$N$59*'Calc (ex-housing, ex-storage)'!F285/100)/VLOOKUP($C$283,'DB animal categories'!$C$107:$AC$116,27,FALSE)*AJ285+U285+V285+W285,IF(AI285=1,'Calc (ex-animal)'!$O$59*'Calc (ex-housing, ex-storage)'!F285/100/VLOOKUP($C$283,'DB animal categories'!$C$107:$AC$116,27,FALSE)*AJ285,IF(AI285=4,('Calc (ex-animal)'!$O$59+'Calc (ex-animal)'!$N$59)*'Calc (ex-housing, ex-storage)'!F285/100*VLOOKUP(D285,'DB technologies'!$N$138:$Y$152,11,FALSE)/100/VLOOKUP($C$283,'DB animal categories'!$C$107:$AC$116,27,FALSE)*AJ285,0))))</f>
        <v/>
      </c>
      <c r="AR285" s="182" t="str">
        <f>IF(D285="","",IF(AI285=2,('Calc (ex-animal)'!$R$59*'Calc (ex-housing, ex-storage)'!F285/100+'Calc (ex-animal)'!$Q$59*'Calc (ex-housing, ex-storage)'!F285/100)/VLOOKUP($C$283,'DB animal categories'!$C$107:$AC$116,27,FALSE)*AJ285+Y285+Z285+AA285,IF(AI285=1,'Calc (ex-animal)'!$R$59*'Calc (ex-housing, ex-storage)'!F285/100/VLOOKUP($C$283,'DB animal categories'!$C$107:$AC$116,27,FALSE)*AJ285,IF(AI285=4,('Calc (ex-animal)'!$R$59+'Calc (ex-animal)'!$Q$59)*'Calc (ex-housing, ex-storage)'!F285/100*VLOOKUP(D285,'DB technologies'!$N$138:$Y$152,11,FALSE)/100/VLOOKUP($C$283,'DB animal categories'!$C$107:$AC$116,27,FALSE)*AJ285,0))))</f>
        <v/>
      </c>
      <c r="AS285" s="181" t="str">
        <f>IF(D285="","",VLOOKUP(D285,'DB technologies'!$N$138:$Y$152,10,FALSE))</f>
        <v/>
      </c>
      <c r="AT285" s="442" t="str">
        <f>IF(AS285="","",AU285+AV285)</f>
        <v/>
      </c>
      <c r="AU285" s="442" t="str">
        <f>IF(D285="","",IF(AS285=2,0,IF(AS285=1,'Calc (ex-animal)'!$G$59*'DB additional information '!$K$15/100*(1-VLOOKUP(D285,'DB technologies'!$N$138:$Y$152,8,FALSE)/100)*'Calc (ex-housing, ex-storage)'!F285/100/VLOOKUP($C$283,'DB animal categories'!$C$107:$AC$116,27,FALSE)*AJ285+I285+J285+K285,IF(AS285=5,(('Calc (ex-animal)'!$G$59*'DB additional information '!$K$15/100+'Calc (ex-animal)'!$H$59*'DB additional information '!$L$15/100))*(1-VLOOKUP(D285,'DB technologies'!$N$138:$Y$152,9,FALSE)/100)*'Calc (ex-housing, ex-storage)'!F285/100/VLOOKUP($C$283,'DB animal categories'!$C$107:$AC$116,27,FALSE)*AJ285+I285+J285+K285,IF(AS285=3,('Calc (ex-animal)'!$G$59*'DB additional information '!$K$15/100+'Calc (ex-animal)'!$H$59*'DB additional information '!$L$15/100)*(1-VLOOKUP(D285,'DB technologies'!$N$138:$Y$152,9,FALSE)/100)*'Calc (ex-housing, ex-storage)'!F285/100/VLOOKUP($C$283,'DB animal categories'!$C$107:$AC$116,27,FALSE)*AJ285+I285+J285+K285,IF(AS285=4,('Calc (ex-animal)'!$G$59*'DB additional information '!$K$15/100+'Calc (ex-animal)'!$H$59*'DB additional information '!$L$15/100)*(1-VLOOKUP(D285,'DB technologies'!$N$138:$Y$152,9,FALSE)/100)*'Calc (ex-housing, ex-storage)'!F285/100*VLOOKUP(D285,'DB technologies'!$N$138:$Y$152,12,FALSE)/100/VLOOKUP($C$283,'DB animal categories'!$C$107:$AC$116,27,FALSE)*AJ285+I285+J285+K285,0))))))</f>
        <v/>
      </c>
      <c r="AV285" s="442" t="str">
        <f>IF(D285="","",IF(AS285=2,0,IF(AS285=1,'Calc (ex-animal)'!$G$59*(1-'DB additional information '!$K$15/100)*(1-VLOOKUP(D285,'DB technologies'!$N$138:$Y$152,8,FALSE)/100)*'Calc (ex-housing, ex-storage)'!F285/100/VLOOKUP($C$283,'DB animal categories'!$C$107:$AC$116,27,FALSE)*AJ285+M285+N285+O285,IF(AS285=5,('Calc (ex-animal)'!$G$59*(1-'DB additional information '!$K$15/100)+'Calc (ex-animal)'!$H$59*(1-'DB additional information '!$L$15/100))*(1-VLOOKUP(D285,'DB technologies'!$N$138:$Y$152,8,FALSE)/100)*'Calc (ex-housing, ex-storage)'!F285/100/VLOOKUP($C$283,'DB animal categories'!$C$107:$AC$116,27,FALSE)*AJ285+M285+N285+O285,IF(AS285=3,('Calc (ex-animal)'!$G$59*(1-'DB additional information '!$K$15/100)+'Calc (ex-animal)'!$H$59*(1-'DB additional information '!$L$15/100))*(1-VLOOKUP(D285,'DB technologies'!$N$138:$Y$152,8,FALSE)/100)*'Calc (ex-housing, ex-storage)'!F285/100/VLOOKUP($C$283,'DB animal categories'!$C$107:$AC$116,27,FALSE)*AJ285+M285+N285+O285,IF(AS285=4,('Calc (ex-animal)'!$G$59*(1-'DB additional information '!$K$15/100)+'Calc (ex-animal)'!$H$59*(1-'DB additional information '!$L$15/100))*(1-VLOOKUP(D285,'DB technologies'!$N$138:$Y$152,8,FALSE)/100)*'Calc (ex-housing, ex-storage)'!F285/100*VLOOKUP(D285,'DB technologies'!$N$138:$Y$152,12,FALSE)/100/VLOOKUP($C$283,'DB animal categories'!$C$107:$AC$116,27,FALSE)*AJ285+M285+N285+O285,0))))))</f>
        <v/>
      </c>
      <c r="AW285" s="442" t="str">
        <f>IF(AS285="","",IF(AU285=0,0,AU285/AT285*100))</f>
        <v/>
      </c>
      <c r="AX285" s="182" t="str">
        <f>IF(D285="","",IF(AS285=2,0,IF(AS285=1,'Calc (ex-animal)'!$K$59*'Calc (ex-housing, ex-storage)'!F285/100/VLOOKUP($C$283,'DB animal categories'!$C$107:$AC$116,27,FALSE)*AJ285+Q285+R285+S285,IF(AS285=5,('Calc (ex-animal)'!$K$59+'Calc (ex-animal)'!$L$59)*'Calc (ex-housing, ex-storage)'!F285/100/VLOOKUP($C$283,'DB animal categories'!$C$107:$AC$116,27,FALSE)*AJ285+Q285+R285+S285-'Calc (ex-housing, ex-storage)'!AC285,IF(AS285=3,('Calc (ex-animal)'!$K$59+'Calc (ex-animal)'!$L$59)*'Calc (ex-housing, ex-storage)'!F285/100/VLOOKUP($C$283,'DB animal categories'!$C$107:$AC$116,27,FALSE)*AJ285+Q285+R285+S285-'Calc (ex-housing, ex-storage)'!AC285-AD285-AE285,IF(AI285=4,('Calc (ex-animal)'!$K$59+'Calc (ex-animal)'!$L$59)*'Calc (ex-housing, ex-storage)'!F285/100*VLOOKUP(D285,'DB technologies'!$N$138:$Y$152,12,FALSE)/100/VLOOKUP($C$283,'DB animal categories'!$C$107:$AC$116,27,FALSE)*AJ285+Q285+R285+S285-(VLOOKUP(D285,'DB technologies'!$N$138:$Y$152,12,FALSE)/100*AC285)-AD285-AE285,0))))))</f>
        <v/>
      </c>
      <c r="AY285" s="182" t="str">
        <f>IF(D285="","",IF(AS285=2,0,IF(AS285=1,'Calc (ex-animal)'!$N$59*'Calc (ex-housing, ex-storage)'!F285/100/VLOOKUP($C$283,'DB animal categories'!$C$107:$AC$116,27,FALSE)*AJ285+U285+V285+W285,IF(AS285=5,('Calc (ex-animal)'!$N$59+'Calc (ex-animal)'!$O$59)*'Calc (ex-housing, ex-storage)'!F285/100/VLOOKUP($C$283,'DB animal categories'!$C$107:$AC$116,27,FALSE)*AJ285+U285+V285+W285,IF(AS285=3,('Calc (ex-animal)'!$N$59+'Calc (ex-animal)'!$O$59)*'Calc (ex-housing, ex-storage)'!F285/100/VLOOKUP($C$283,'DB animal categories'!$C$107:$AC$116,27,FALSE)*AJ285+U285+V285+W285,IF(AS285=4,('Calc (ex-animal)'!$N$59+'Calc (ex-animal)'!$O$59)*'Calc (ex-housing, ex-storage)'!F285/100*VLOOKUP(D285,'DB technologies'!$N$138:$Y$152,12,FALSE)/100/VLOOKUP($C$283,'DB animal categories'!$C$107:$AC$116,27,FALSE)*AJ285+U285+V285+W285,0))))))</f>
        <v/>
      </c>
      <c r="AZ285" s="182" t="str">
        <f>IF(D285="","",IF(AS285=2,0,IF(AS285=1,'Calc (ex-animal)'!$Q$59*'Calc (ex-housing, ex-storage)'!F285/100/VLOOKUP($C$283,'DB animal categories'!$C$107:$AC$116,27,FALSE)*AJ285+Y285+Z285+AA285,IF(AS285=5,('Calc (ex-animal)'!$Q$59+'Calc (ex-animal)'!$R$59)*'Calc (ex-housing, ex-storage)'!F285/100/VLOOKUP($C$283,'DB animal categories'!$C$107:$AC$116,27,FALSE)*AJ285+Y285+Z285+AA285,IF(AS285=3,('Calc (ex-animal)'!$Q$59+'Calc (ex-animal)'!$R$59)*'Calc (ex-housing, ex-storage)'!F285/100/VLOOKUP($C$283,'DB animal categories'!$C$107:$AC$116,27,FALSE)*AJ285+Y285+Z285+AA285,IF(AS285=4,('Calc (ex-animal)'!$Q$59+'Calc (ex-animal)'!$R$59)*'Calc (ex-housing, ex-storage)'!F285/100*VLOOKUP(D285,'DB technologies'!$N$138:$Y$152,12,FALSE)/100/VLOOKUP($C$283,'DB animal categories'!$C$107:$AC$116,27,FALSE)*AJ285+Y285+Z285+AA285,0))))))</f>
        <v/>
      </c>
      <c r="BA285" s="506"/>
      <c r="BB285" s="506"/>
      <c r="BC285" s="506"/>
    </row>
    <row r="286" spans="1:55" x14ac:dyDescent="0.2">
      <c r="A286" s="695"/>
      <c r="B286" s="695"/>
      <c r="C286" s="251"/>
      <c r="D286" s="1357"/>
      <c r="E286" s="1358"/>
      <c r="F286" s="480" t="str">
        <f>IF('Calc (ex-animal)'!$F$58=1,"",IF($C$283=0,"",IF(D286="","",E286/'Calc (ex-animal)'!$E$59*100)))</f>
        <v/>
      </c>
      <c r="G286" s="485" t="str">
        <f>IF($C$283=0,"",IF('Calc (ex-animal)'!$F$58=1,"",IF(D286="","",SUM(H286:O286))))</f>
        <v/>
      </c>
      <c r="H286" s="423" t="str">
        <f>IF('Calc (ex-animal)'!$F$58=1,"",IF(D286="","",(((VLOOKUP($C$283,'Calc (ex-animal)'!$D$58:$Y$62,6,FALSE)-VLOOKUP($C$283,'Calc (ex-animal)'!$D$58:$Y$62,17,FALSE))*F286/100))*VLOOKUP($C$283,'Calc (ex-animal)'!$D$58:$Y$62,7,FALSE)/100*(1-VLOOKUP(D286,'DB technologies'!$N$138:$Y$152,9,FALSE)/100)))</f>
        <v/>
      </c>
      <c r="I286" s="423" t="str">
        <f>IF(D286="","",((VLOOKUP(D286,'DB technologies'!$N$138:$Y$152,2,FALSE)*VLOOKUP($C$283,'DB animal categories'!$C$107:$AC$116,27,FALSE)*E286/1000)/VLOOKUP($C$283,'DB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'!$S$6/100*(1-VLOOKUP(D286,'DB technologies'!$N$138:$Y$152,9,FALSE)/100)))</f>
        <v/>
      </c>
      <c r="J286" s="434" t="str">
        <f>IF(D286="","",((VLOOKUP(D286,'DB technologies'!$N$138:$Y$152,3,FALSE)*VLOOKUP($C$283,'DB animal categories'!$C$107:$AC$116,27,FALSE)*E286/1000)/VLOOKUP($C$283,'DB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'!$S$7/100*(1-VLOOKUP(D286,'DB technologies'!$N$138:$Y$152,9,FALSE)/100)))</f>
        <v/>
      </c>
      <c r="K286" s="434" t="str">
        <f>IF(D286="","",((VLOOKUP(D286,'DB technologies'!$N$138:$Y$152,4,FALSE)*E286*'DB additional information '!$S$8/100*(1-VLOOKUP(D286,'DB technologies'!$N$138:$Y$152,9,FALSE)/100))/VLOOKUP($C$283,'DB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L286" s="423" t="str">
        <f>IF('Calc (ex-animal)'!$F$58=1,"",IF(D286="","",(((VLOOKUP($C$283,'Calc (ex-animal)'!$D$58:$Y$62,6,FALSE)-VLOOKUP($C$283,'Calc (ex-animal)'!$D$58:$Y$62,17,FALSE))*F286/100))*(1-VLOOKUP($C$283,'Calc (ex-animal)'!$D$58:$Y$62,7,FALSE)/100)*(1-VLOOKUP(D286,'DB technologies'!$N$138:$V$152,8,FALSE)/100)))</f>
        <v/>
      </c>
      <c r="M286" s="434" t="str">
        <f>IF(D286="","",((VLOOKUP(D286,'DB technologies'!$N$138:$Y$152,2,FALSE)*VLOOKUP($C$283,'DB animal categories'!$C$107:$AC$116,27,FALSE)*E286/1000)/VLOOKUP($C$283,'DB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'!$S$6/100)*(1-VLOOKUP(D286,'DB technologies'!$N$138:$Y$152,9,FALSE)/100))</f>
        <v/>
      </c>
      <c r="N286" s="434" t="str">
        <f>IF(D286="","",((VLOOKUP(D286,'DB technologies'!$N$138:$Y$152,3,FALSE)*VLOOKUP($C$283,'DB animal categories'!$C$107:$AC$116,27,FALSE)*E286/1000)/VLOOKUP($C$283,'DB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'!$S$7/100)*(1-VLOOKUP(D286,'DB technologies'!$N$138:$Y$152,9,FALSE)/100))</f>
        <v/>
      </c>
      <c r="O286" s="423" t="str">
        <f>IF(D286="","",((VLOOKUP(D286,'DB technologies'!$N$138:$Y$152,4,FALSE)*E286*(1-'DB additional information '!$S$8/100)*(1-VLOOKUP(D286,'DB technologies'!$N$138:$Y$152,8,FALSE)/100))/VLOOKUP($C$283,'DB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P286" s="438" t="str">
        <f>IF(G286=0,0,IF(E286="","",IF(F286="","",IF($C$283=0,"",IF(D286="","",SUM(H286:K286)/G286*100)))))</f>
        <v/>
      </c>
      <c r="Q286" s="416" t="str">
        <f>IF(D286="","",(VLOOKUP(D286,'DB technologies'!$N$138:$Y$152,2,FALSE)*'DB additional information '!$S$6/100*'DB additional information '!$T$6*VLOOKUP($C$283,'DB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R286" s="416" t="str">
        <f>IF(D286="","",(VLOOKUP(D286,'DB technologies'!$N$138:$Y$152,3,FALSE)*'DB additional information '!$S$7/100*'DB additional information '!$T$7*VLOOKUP($C$283,'DB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S286" s="491" t="str">
        <f>IF(D286="","",(VLOOKUP(D286,'DB technologies'!$N$138:$Y$152,4,FALSE)*('DB additional information '!$S$8/100*'DB additional information '!$T$8*E286/1000/1000)))</f>
        <v/>
      </c>
      <c r="T286" s="264" t="str">
        <f>IF($C$283=0,"",IF('Calc (ex-animal)'!$F$58=1,"",IF(D286="","",((VLOOKUP($C$283,'Calc (ex-animal)'!$D$58:$Y$62,10,FALSE)-VLOOKUP($C$283,'Calc (ex-animal)'!$D$58:$Y$62,18,FALSE))*F286/100+Q286+R286+S286)-AC286-AD286-AE286)))</f>
        <v/>
      </c>
      <c r="U286" s="422" t="str">
        <f>IF(D286="","",(VLOOKUP(D286,'DB technologies'!$N$138:$Y$152,2,FALSE)*'DB additional information '!$S$6/100*'DB additional information '!$U$6*VLOOKUP($C$283,'DB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V286" s="418" t="str">
        <f>IF(D286="","",(VLOOKUP(D286,'DB technologies'!$N$138:$Y$152,3,FALSE)*'DB additional information '!$S$7/100*'DB additional information '!$U$7*VLOOKUP($C$283,'DB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W286" s="417" t="str">
        <f>IF(D286="","",(VLOOKUP(D286,'DB technologies'!$N$138:$Y$152,4,FALSE)*('DB additional information '!$S$8/100*'DB additional information '!$U$8*E286/1000/1000)))</f>
        <v/>
      </c>
      <c r="X286" s="261" t="str">
        <f>IF($C$283=0,"",IF('Calc (ex-animal)'!$F$58=1,"",IF(D286="","",((VLOOKUP($C$283,'Calc (ex-animal)'!$D$58:$Y$62,13,FALSE)-VLOOKUP($C$283,'Calc (ex-animal)'!$D$58:$Y$62,19,FALSE))*F286/100+U286+V286+W286))))</f>
        <v/>
      </c>
      <c r="Y286" s="418" t="str">
        <f>IF(D286="","",(VLOOKUP(D286,'DB technologies'!$N$138:$Y$152,2,FALSE)*'DB additional information '!$S$6/100*'DB additional information '!$V$6*VLOOKUP($C$283,'DB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Z286" s="418" t="str">
        <f>IF(D286="","",(VLOOKUP(D286,'DB technologies'!$N$138:$Y$152,3,FALSE)*'DB additional information '!$S$7/100*'DB additional information '!$V$7*VLOOKUP($C$283,'DB animal categories'!$C$107:$AC$116,27,FALSE)*E286/1000/1000)/VLOOKUP($C$283,'DB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AA286" s="418" t="str">
        <f>IF(D286="","",(VLOOKUP(D286,'DB technologies'!$N$138:$Y$152,4,FALSE)*('DB additional information '!$S$8/100*'DB additional information '!$V$8*E286/1000/1000)))</f>
        <v/>
      </c>
      <c r="AB286" s="261" t="str">
        <f>IF($C$283=0,"",IF('Calc (ex-animal)'!$F$58=1,"",IF(D286="","",((VLOOKUP($C$283,'Calc (ex-animal)'!$D$58:$Y$62,16,FALSE)-VLOOKUP($C$283,'Calc (ex-animal)'!$D$58:$Y$62,20,FALSE))*F286/100+Y286+Z286+AA286))))</f>
        <v/>
      </c>
      <c r="AC286" s="261" t="str">
        <f>IF($C$283=0,"",IF('Calc (ex-animal)'!$F$58=1,"",IF(D286="","",VLOOKUP($C$283,'Calc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categories'!$C$107:$AC$116,26,FALSE)/24)*F286/100*VLOOKUP(D286,'DB technologies'!$N$138:$R$152,5,FALSE)/100)))</f>
        <v/>
      </c>
      <c r="AD286" s="261" t="str">
        <f>IF($C$283=0,"",IF('Calc (ex-animal)'!$F$58=1,"",IF(D286="","",VLOOKUP($C$283,'Calc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categories'!$C$107:$AC$116,26,FALSE)/24)*F286/100*VLOOKUP(D286,'DB technologies'!$N$138:$Y$152,6,FALSE)/100)))</f>
        <v/>
      </c>
      <c r="AE286" s="262" t="str">
        <f>IF($C$283=0,"",IF('Calc (ex-animal)'!$F$58=1,"",IF(D286="","",VLOOKUP($C$283,'Calc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categories'!$C$107:$AC$116,26,FALSE)/24)*F286/100*VLOOKUP(D286,'DB technologies'!$N$138:$Y$152,7,FALSE)/100)))</f>
        <v/>
      </c>
      <c r="AI286" s="181" t="str">
        <f>IF(D286="","",VLOOKUP(D286,'DB technologies'!$N$138:$Y$152,10,FALSE))</f>
        <v/>
      </c>
      <c r="AJ286" s="449" t="e">
        <f>VLOOKUP($C$283,'DB animal categories'!$C$107:$AN$116,27,FALSE)-VLOOKUP($C$283,'DB animal categories'!$C$107:$AN$116,26,FALSE)*VLOOKUP($C$283,'DB animal categories'!$C$107:$AN$116,25,FALSE)/24</f>
        <v>#N/A</v>
      </c>
      <c r="AK286" s="442" t="str">
        <f>IF(AI286="","",AL286+AM286)</f>
        <v/>
      </c>
      <c r="AL286" s="442" t="str">
        <f>IF(D286="","",IF(AI286=2,(('Calc (ex-animal)'!$G$59*'DB additional information '!$K$15/100*(1-VLOOKUP(D286,'DB technologies'!$N$138:$Y$152,9,FALSE)/100)*'Calc (ex-housing, ex-storage)'!F286/100+'Calc (ex-animal)'!$H$59*'DB additional information '!$L$15/100*(1-VLOOKUP(D286,'DB technologies'!$N$138:$Y$152,9,FALSE)/100)*'Calc (ex-housing, ex-storage)'!F286/100))/VLOOKUP($C$283,'DB animal categories'!$C$107:$AC$116,27,FALSE)*AJ286+I286+J286+K286,IF(AI286=1,('Calc (ex-animal)'!$H$59*'DB additional information '!$L$15/100*(1-VLOOKUP(D286,'DB technologies'!$N$138:$Y$152,9,FALSE)/100)*'Calc (ex-housing, ex-storage)'!F286/100)/VLOOKUP($C$283,'DB animal categories'!$C$107:$AC$116,27,FALSE)*AJ286,IF(AI286=4,('Calc (ex-animal)'!$G$59*'DB additional information '!$K$15/100+'Calc (ex-animal)'!$H$59*'DB additional information '!$L$15/100)*(1-VLOOKUP(D286,'DB technologies'!$N$138:$Y$152,9,FALSE)/100)*'Calc (ex-housing, ex-storage)'!F286/100*VLOOKUP(D286,'DB technologies'!$N$138:$Y$152,11,FALSE)/100/VLOOKUP($C$283,'DB animal categories'!$C$107:$AC$116,27,FALSE)*AJ286,0))))</f>
        <v/>
      </c>
      <c r="AM286" s="442" t="str">
        <f>IF(D286="","",IF(AI286=2,(('Calc (ex-animal)'!$G$59*(1-'DB additional information '!$K$15/100)*(1-VLOOKUP(D286,'DB technologies'!$N$138:$Y$152,8,FALSE)/100)*'Calc (ex-housing, ex-storage)'!F286/100+'Calc (ex-animal)'!$H$59*(1-'DB additional information '!$L$15/100)*(1-VLOOKUP(D286,'DB technologies'!$N$138:$Y$152,8,FALSE)/100)*'Calc (ex-housing, ex-storage)'!F286/100))/VLOOKUP($C$283,'DB animal categories'!$C$107:$AC$116,27,FALSE)*AJ286+M286+N286+O286,IF(AI286=1,('Calc (ex-animal)'!$H$59*(1-'DB additional information '!$L$15/100)*(1-VLOOKUP(D286,'DB technologies'!$N$138:$Y$152,8,FALSE)/100)*'Calc (ex-housing, ex-storage)'!F286/100)/VLOOKUP($C$283,'DB animal categories'!$C$107:$AC$116,27,FALSE)*AJ286,IF(AI286=4,('Calc (ex-animal)'!$G$59*(1-'DB additional information '!$K$15/100)+'Calc (ex-animal)'!$H$59*(1-'DB additional information '!$L$15/100))*(1-VLOOKUP(D286,'DB technologies'!$N$138:$Y$152,8,FALSE)/100)*'Calc (ex-housing, ex-storage)'!F286/100*VLOOKUP(D286,'DB technologies'!$N$138:$Y$152,11,FALSE)/100/VLOOKUP($C$283,'DB animal categories'!$C$107:$AC$116,27,FALSE)*AJ286,0))))</f>
        <v/>
      </c>
      <c r="AN286" s="442" t="str">
        <f>IF(AI286="","",IF(AL286=0,0,AL286/AK286*100))</f>
        <v/>
      </c>
      <c r="AO286" s="182" t="str">
        <f>IF(D286="","",IF(AI286=2,(('Calc (ex-animal)'!$L$59*'Calc (ex-housing, ex-storage)'!F286/100+'Calc (ex-animal)'!$K$59*'Calc (ex-housing, ex-storage)'!F286/100))/VLOOKUP($C$283,'DB animal categories'!$C$107:$AC$116,27,FALSE)*AJ286+Q286+R286+S286-AC286,IF(AI286=1,('Calc (ex-animal)'!$L$59*'Calc (ex-housing, ex-storage)'!F286/100)/VLOOKUP($C$283,'DB animal categories'!$C$107:$AC$116,27,FALSE)*AJ286-'Calc (ex-housing, ex-storage)'!AC286,IF(AI286=4,('Calc (ex-animal)'!$L$59+'Calc (ex-animal)'!$K$59)*'Calc (ex-housing, ex-storage)'!F286/100*VLOOKUP(D286,'DB technologies'!$N$138:$Y$152,11,FALSE)/100/VLOOKUP($C$283,'DB animal categories'!$C$107:$AC$116,27,FALSE)*AJ286-AC286*VLOOKUP(D286,'DB technologies'!$N$138:$Y$152,11,FALSE)/100,0))))</f>
        <v/>
      </c>
      <c r="AP286" s="182" t="str">
        <f>IF(D286="","",IF(AO286&lt;-0.01,0,IF(AI286=2,(('Calc (ex-animal)'!$L$59*'Calc (ex-housing, ex-storage)'!F286/100+'Calc (ex-animal)'!$K$59*'Calc (ex-housing, ex-storage)'!F286/100))/VLOOKUP($C$283,'DB animal categories'!$C$107:$AC$116,27,FALSE)*AJ286+Q286+R286+S286-AC286,IF(AI286=1,('Calc (ex-animal)'!$L$59*'Calc (ex-housing, ex-storage)'!F286/100)/VLOOKUP($C$283,'DB animal categories'!$C$107:$AC$116,27,FALSE)*AJ286-'Calc (ex-housing, ex-storage)'!AC286,IF(AI286=4,('Calc (ex-animal)'!$L$59+'Calc (ex-animal)'!$K$59)*'Calc (ex-housing, ex-storage)'!F286/100*VLOOKUP(D286,'DB technologies'!$N$138:$Y$152,11,FALSE)/100/VLOOKUP($C$283,'DB animal categories'!$C$107:$AC$116,27,FALSE)*AJ286-AC286*VLOOKUP(D286,'DB technologies'!$N$138:$Y$152,11,FALSE)/100,0)))))</f>
        <v/>
      </c>
      <c r="AQ286" s="182" t="str">
        <f>IF(D286="","",IF(AI286=2,('Calc (ex-animal)'!$O$59*'Calc (ex-housing, ex-storage)'!F286/100+'Calc (ex-animal)'!$N$59*'Calc (ex-housing, ex-storage)'!F286/100)/VLOOKUP($C$283,'DB animal categories'!$C$107:$AC$116,27,FALSE)*AJ286+U286+V286+W286,IF(AI286=1,'Calc (ex-animal)'!$O$59*'Calc (ex-housing, ex-storage)'!F286/100/VLOOKUP($C$283,'DB animal categories'!$C$107:$AC$116,27,FALSE)*AJ286,IF(AI286=4,('Calc (ex-animal)'!$O$59+'Calc (ex-animal)'!$N$59)*'Calc (ex-housing, ex-storage)'!F286/100*VLOOKUP(D286,'DB technologies'!$N$138:$Y$152,11,FALSE)/100/VLOOKUP($C$283,'DB animal categories'!$C$107:$AC$116,27,FALSE)*AJ286,0))))</f>
        <v/>
      </c>
      <c r="AR286" s="182" t="str">
        <f>IF(D286="","",IF(AI286=2,('Calc (ex-animal)'!$R$59*'Calc (ex-housing, ex-storage)'!F286/100+'Calc (ex-animal)'!$Q$59*'Calc (ex-housing, ex-storage)'!F286/100)/VLOOKUP($C$283,'DB animal categories'!$C$107:$AC$116,27,FALSE)*AJ286+Y286+Z286+AA286,IF(AI286=1,'Calc (ex-animal)'!$R$59*'Calc (ex-housing, ex-storage)'!F286/100/VLOOKUP($C$283,'DB animal categories'!$C$107:$AC$116,27,FALSE)*AJ286,IF(AI286=4,('Calc (ex-animal)'!$R$59+'Calc (ex-animal)'!$Q$59)*'Calc (ex-housing, ex-storage)'!F286/100*VLOOKUP(D286,'DB technologies'!$N$138:$Y$152,11,FALSE)/100/VLOOKUP($C$283,'DB animal categories'!$C$107:$AC$116,27,FALSE)*AJ286,0))))</f>
        <v/>
      </c>
      <c r="AS286" s="181" t="str">
        <f>IF(D286="","",VLOOKUP(D286,'DB technologies'!$N$138:$Y$152,10,FALSE))</f>
        <v/>
      </c>
      <c r="AT286" s="442" t="str">
        <f>IF(AS286="","",AU286+AV286)</f>
        <v/>
      </c>
      <c r="AU286" s="442" t="str">
        <f>IF(D286="","",IF(AS286=2,0,IF(AS286=1,'Calc (ex-animal)'!$G$59*'DB additional information '!$K$15/100*(1-VLOOKUP(D286,'DB technologies'!$N$138:$Y$152,8,FALSE)/100)*'Calc (ex-housing, ex-storage)'!F286/100/VLOOKUP($C$283,'DB animal categories'!$C$107:$AC$116,27,FALSE)*AJ286+I286+J286+K286,IF(AS286=5,(('Calc (ex-animal)'!$G$59*'DB additional information '!$K$15/100+'Calc (ex-animal)'!$H$59*'DB additional information '!$L$15/100))*(1-VLOOKUP(D286,'DB technologies'!$N$138:$Y$152,9,FALSE)/100)*'Calc (ex-housing, ex-storage)'!F286/100/VLOOKUP($C$283,'DB animal categories'!$C$107:$AC$116,27,FALSE)*AJ286+I286+J286+K286,IF(AS286=3,('Calc (ex-animal)'!$G$59*'DB additional information '!$K$15/100+'Calc (ex-animal)'!$H$59*'DB additional information '!$L$15/100)*(1-VLOOKUP(D286,'DB technologies'!$N$138:$Y$152,9,FALSE)/100)*'Calc (ex-housing, ex-storage)'!F286/100/VLOOKUP($C$283,'DB animal categories'!$C$107:$AC$116,27,FALSE)*AJ286+I286+J286+K286,IF(AS286=4,('Calc (ex-animal)'!$G$59*'DB additional information '!$K$15/100+'Calc (ex-animal)'!$H$59*'DB additional information '!$L$15/100)*(1-VLOOKUP(D286,'DB technologies'!$N$138:$Y$152,9,FALSE)/100)*'Calc (ex-housing, ex-storage)'!F286/100*VLOOKUP(D286,'DB technologies'!$N$138:$Y$152,12,FALSE)/100/VLOOKUP($C$283,'DB animal categories'!$C$107:$AC$116,27,FALSE)*AJ286+I286+J286+K286,0))))))</f>
        <v/>
      </c>
      <c r="AV286" s="442" t="str">
        <f>IF(D286="","",IF(AS286=2,0,IF(AS286=1,'Calc (ex-animal)'!$G$59*(1-'DB additional information '!$K$15/100)*(1-VLOOKUP(D286,'DB technologies'!$N$138:$Y$152,8,FALSE)/100)*'Calc (ex-housing, ex-storage)'!F286/100/VLOOKUP($C$283,'DB animal categories'!$C$107:$AC$116,27,FALSE)*AJ286+M286+N286+O286,IF(AS286=5,('Calc (ex-animal)'!$G$59*(1-'DB additional information '!$K$15/100)+'Calc (ex-animal)'!$H$59*(1-'DB additional information '!$L$15/100))*(1-VLOOKUP(D286,'DB technologies'!$N$138:$Y$152,8,FALSE)/100)*'Calc (ex-housing, ex-storage)'!F286/100/VLOOKUP($C$283,'DB animal categories'!$C$107:$AC$116,27,FALSE)*AJ286+M286+N286+O286,IF(AS286=3,('Calc (ex-animal)'!$G$59*(1-'DB additional information '!$K$15/100)+'Calc (ex-animal)'!$H$59*(1-'DB additional information '!$L$15/100))*(1-VLOOKUP(D286,'DB technologies'!$N$138:$Y$152,8,FALSE)/100)*'Calc (ex-housing, ex-storage)'!F286/100/VLOOKUP($C$283,'DB animal categories'!$C$107:$AC$116,27,FALSE)*AJ286+M286+N286+O286,IF(AS286=4,('Calc (ex-animal)'!$G$59*(1-'DB additional information '!$K$15/100)+'Calc (ex-animal)'!$H$59*(1-'DB additional information '!$L$15/100))*(1-VLOOKUP(D286,'DB technologies'!$N$138:$Y$152,8,FALSE)/100)*'Calc (ex-housing, ex-storage)'!F286/100*VLOOKUP(D286,'DB technologies'!$N$138:$Y$152,12,FALSE)/100/VLOOKUP($C$283,'DB animal categories'!$C$107:$AC$116,27,FALSE)*AJ286+M286+N286+O286,0))))))</f>
        <v/>
      </c>
      <c r="AW286" s="442" t="str">
        <f>IF(AS286="","",IF(AU286=0,0,AU286/AT286*100))</f>
        <v/>
      </c>
      <c r="AX286" s="182" t="str">
        <f>IF(D286="","",IF(AS286=2,0,IF(AS286=1,'Calc (ex-animal)'!$K$59*'Calc (ex-housing, ex-storage)'!F286/100/VLOOKUP($C$283,'DB animal categories'!$C$107:$AC$116,27,FALSE)*AJ286+Q286+R286+S286,IF(AS286=5,('Calc (ex-animal)'!$K$59+'Calc (ex-animal)'!$L$59)*'Calc (ex-housing, ex-storage)'!F286/100/VLOOKUP($C$283,'DB animal categories'!$C$107:$AC$116,27,FALSE)*AJ286+Q286+R286+S286-'Calc (ex-housing, ex-storage)'!AC286,IF(AS286=3,('Calc (ex-animal)'!$K$59+'Calc (ex-animal)'!$L$59)*'Calc (ex-housing, ex-storage)'!F286/100/VLOOKUP($C$283,'DB animal categories'!$C$107:$AC$116,27,FALSE)*AJ286+Q286+R286+S286-'Calc (ex-housing, ex-storage)'!AC286-AD286-AE286,IF(AI286=4,('Calc (ex-animal)'!$K$59+'Calc (ex-animal)'!$L$59)*'Calc (ex-housing, ex-storage)'!F286/100*VLOOKUP(D286,'DB technologies'!$N$138:$Y$152,12,FALSE)/100/VLOOKUP($C$283,'DB animal categories'!$C$107:$AC$116,27,FALSE)*AJ286+Q286+R286+S286-(VLOOKUP(D286,'DB technologies'!$N$138:$Y$152,12,FALSE)/100*AC286)-AD286-AE286,0))))))</f>
        <v/>
      </c>
      <c r="AY286" s="182" t="str">
        <f>IF(D286="","",IF(AS286=2,0,IF(AS286=1,'Calc (ex-animal)'!$N$59*'Calc (ex-housing, ex-storage)'!F286/100/VLOOKUP($C$283,'DB animal categories'!$C$107:$AC$116,27,FALSE)*AJ286+U286+V286+W286,IF(AS286=5,('Calc (ex-animal)'!$N$59+'Calc (ex-animal)'!$O$59)*'Calc (ex-housing, ex-storage)'!F286/100/VLOOKUP($C$283,'DB animal categories'!$C$107:$AC$116,27,FALSE)*AJ286+U286+V286+W286,IF(AS286=3,('Calc (ex-animal)'!$N$59+'Calc (ex-animal)'!$O$59)*'Calc (ex-housing, ex-storage)'!F286/100/VLOOKUP($C$283,'DB animal categories'!$C$107:$AC$116,27,FALSE)*AJ286+U286+V286+W286,IF(AS286=4,('Calc (ex-animal)'!$N$59+'Calc (ex-animal)'!$O$59)*'Calc (ex-housing, ex-storage)'!F286/100*VLOOKUP(D286,'DB technologies'!$N$138:$Y$152,12,FALSE)/100/VLOOKUP($C$283,'DB animal categories'!$C$107:$AC$116,27,FALSE)*AJ286+U286+V286+W286,0))))))</f>
        <v/>
      </c>
      <c r="AZ286" s="182" t="str">
        <f>IF(D286="","",IF(AS286=2,0,IF(AS286=1,'Calc (ex-animal)'!$Q$59*'Calc (ex-housing, ex-storage)'!F286/100/VLOOKUP($C$283,'DB animal categories'!$C$107:$AC$116,27,FALSE)*AJ286+Y286+Z286+AA286,IF(AS286=5,('Calc (ex-animal)'!$Q$59+'Calc (ex-animal)'!$R$59)*'Calc (ex-housing, ex-storage)'!F286/100/VLOOKUP($C$283,'DB animal categories'!$C$107:$AC$116,27,FALSE)*AJ286+Y286+Z286+AA286,IF(AS286=3,('Calc (ex-animal)'!$Q$59+'Calc (ex-animal)'!$R$59)*'Calc (ex-housing, ex-storage)'!F286/100/VLOOKUP($C$283,'DB animal categories'!$C$107:$AC$116,27,FALSE)*AJ286+Y286+Z286+AA286,IF(AS286=4,('Calc (ex-animal)'!$Q$59+'Calc (ex-animal)'!$R$59)*'Calc (ex-housing, ex-storage)'!F286/100*VLOOKUP(D286,'DB technologies'!$N$138:$Y$152,12,FALSE)/100/VLOOKUP($C$283,'DB animal categories'!$C$107:$AC$116,27,FALSE)*AJ286+Y286+Z286+AA286,0))))))</f>
        <v/>
      </c>
      <c r="BA286" s="506"/>
      <c r="BB286" s="506"/>
      <c r="BC286" s="506"/>
    </row>
    <row r="287" spans="1:55" ht="12" thickBot="1" x14ac:dyDescent="0.25">
      <c r="A287" s="695"/>
      <c r="B287" s="695"/>
      <c r="C287" s="251"/>
      <c r="D287" s="1359"/>
      <c r="E287" s="1360"/>
      <c r="F287" s="481" t="str">
        <f>IF('Calc (ex-animal)'!$F$58=1,"",IF($C$283=0,"",IF(D287="","",E287/'Calc (ex-animal)'!$E$59*100)))</f>
        <v/>
      </c>
      <c r="G287" s="483" t="str">
        <f>IF($C$283=0,"",IF('Calc (ex-animal)'!$F$58=1,"",IF(D287="","",SUM(H287:O287))))</f>
        <v/>
      </c>
      <c r="H287" s="445" t="str">
        <f>IF('Calc (ex-animal)'!$F$58=1,"",IF(D287="","",(((VLOOKUP($C$283,'Calc (ex-animal)'!$D$58:$Y$62,6,FALSE)-VLOOKUP($C$283,'Calc (ex-animal)'!$D$58:$Y$62,17,FALSE))*F287/100))*VLOOKUP($C$283,'Calc (ex-animal)'!$D$58:$Y$62,7,FALSE)/100*(1-VLOOKUP(D287,'DB technologies'!$N$138:$Y$152,9,FALSE)/100)))</f>
        <v/>
      </c>
      <c r="I287" s="445" t="str">
        <f>IF(D287="","",((VLOOKUP(D287,'DB technologies'!$N$138:$Y$152,2,FALSE)*VLOOKUP($C$283,'DB animal categories'!$C$107:$AC$116,27,FALSE)*E287/1000)/VLOOKUP($C$283,'DB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'!$S$6/100*(1-VLOOKUP(D287,'DB technologies'!$N$138:$Y$152,9,FALSE)/100)))</f>
        <v/>
      </c>
      <c r="J287" s="446" t="str">
        <f>IF(D287="","",((VLOOKUP(D287,'DB technologies'!$N$138:$Y$152,3,FALSE)*VLOOKUP($C$283,'DB animal categories'!$C$107:$AC$116,27,FALSE)*E287/1000)/VLOOKUP($C$283,'DB animal categories'!$C$107:$AC$116,27,FALSE)*(VLOOKUP($C$283,'DB animal categories'!$C$107:$AC$116,27,FALSE)-(VLOOKUP($C$283,'DB animal categories'!$C$107:$AC$116,25,FALSE)*VLOOKUP($C$283,'DB animal categories'!$C$107:$AC$116,26,FALSE)/24))*'DB additional information '!$S$7/100*(1-VLOOKUP(D287,'DB technologies'!$N$138:$Y$152,9,FALSE)/100)))</f>
        <v/>
      </c>
      <c r="K287" s="446" t="str">
        <f>IF(D287="","",((VLOOKUP(D287,'DB technologies'!$N$138:$Y$152,4,FALSE)*E287*'DB additional information '!$S$8/100*(1-VLOOKUP(D287,'DB technologies'!$N$138:$Y$152,9,FALSE)/100))/VLOOKUP($C$283,'DB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L287" s="445" t="str">
        <f>IF('Calc (ex-animal)'!$F$58=1,"",IF(D287="","",(((VLOOKUP($C$283,'Calc (ex-animal)'!$D$58:$Y$62,6,FALSE)-VLOOKUP($C$283,'Calc (ex-animal)'!$D$58:$Y$62,17,FALSE))*F287/100))*(1-VLOOKUP($C$283,'Calc (ex-animal)'!$D$58:$Y$62,7,FALSE)/100)*(1-VLOOKUP(D287,'DB technologies'!$N$138:$V$152,8,FALSE)/100)))</f>
        <v/>
      </c>
      <c r="M287" s="446" t="str">
        <f>IF(D287="","",((VLOOKUP(D287,'DB technologies'!$N$138:$Y$152,2,FALSE)*VLOOKUP($C$283,'DB animal categories'!$C$107:$AC$116,27,FALSE)*E287/1000)/VLOOKUP($C$283,'DB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'!$S$6/100)*(1-VLOOKUP(D287,'DB technologies'!$N$138:$Y$152,9,FALSE)/100))</f>
        <v/>
      </c>
      <c r="N287" s="446" t="str">
        <f>IF(D287="","",((VLOOKUP(D287,'DB technologies'!$N$138:$Y$152,3,FALSE)*VLOOKUP($C$283,'DB animal categories'!$C$107:$AC$116,27,FALSE)*E287/1000)/VLOOKUP($C$283,'DB animal categories'!$C$107:$AC$116,27,FALSE)*(VLOOKUP($C$283,'DB animal categories'!$C$107:$AC$116,27,FALSE)-VLOOKUP($C$283,'DB animal categories'!$C$107:$AC$116,25,FALSE)*VLOOKUP($C$283,'DB animal categories'!$C$107:$AC$116,26,FALSE)/24))*(1-'DB additional information '!$S$7/100)*(1-VLOOKUP(D287,'DB technologies'!$N$138:$Y$152,9,FALSE)/100))</f>
        <v/>
      </c>
      <c r="O287" s="445" t="str">
        <f>IF(D287="","",((VLOOKUP(D287,'DB technologies'!$N$138:$Y$152,4,FALSE)*E287*(1-'DB additional information '!$S$8/100)*(1-VLOOKUP(D287,'DB technologies'!$N$138:$Y$152,8,FALSE)/100))/VLOOKUP($C$283,'DB animal categories'!$C$107:$AC$116,27,FALSE)*(VLOOKUP($C$283,'DB animal categories'!$C$107:$AC$116,27,FALSE)-VLOOKUP($C$283,'DB animal categories'!$C$107:$AC$116,25,FALSE)*VLOOKUP($C$283,'DB animal categories'!$C$107:$AC$116,26,FALSE)/24)))</f>
        <v/>
      </c>
      <c r="P287" s="444" t="str">
        <f>IF(G287=0,0,IF(E287="","",IF(F287="","",IF($C$283=0,"",IF(D287="","",SUM(H287:K287)/G287*100)))))</f>
        <v/>
      </c>
      <c r="Q287" s="476" t="str">
        <f>IF(D287="","",(VLOOKUP(D287,'DB technologies'!$N$138:$Y$152,2,FALSE)*'DB additional information '!$S$6/100*'DB additional information '!$T$6*VLOOKUP($C$283,'DB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R287" s="476" t="str">
        <f>IF(D287="","",(VLOOKUP(D287,'DB technologies'!$N$138:$Y$152,3,FALSE)*'DB additional information '!$S$7/100*'DB additional information '!$T$7*VLOOKUP($C$283,'DB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S287" s="494" t="str">
        <f>IF(D287="","",(VLOOKUP(D287,'DB technologies'!$N$138:$Y$152,4,FALSE)*('DB additional information '!$S$8/100*'DB additional information '!$T$8*E287/1000/1000)))</f>
        <v/>
      </c>
      <c r="T287" s="266" t="str">
        <f>IF($C$283=0,"",IF('Calc (ex-animal)'!$F$58=1,"",IF(D287="","",((VLOOKUP($C$283,'Calc (ex-animal)'!$D$58:$Y$62,10,FALSE)-VLOOKUP($C$283,'Calc (ex-animal)'!$D$58:$Y$62,18,FALSE))*F287/100+Q287+R287+S287)-AC287-AD287-AE287)))</f>
        <v/>
      </c>
      <c r="U287" s="477" t="str">
        <f>IF(D287="","",(VLOOKUP(D287,'DB technologies'!$N$138:$Y$152,2,FALSE)*'DB additional information '!$S$6/100*'DB additional information '!$U$6*VLOOKUP($C$283,'DB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V287" s="433" t="str">
        <f>IF(D287="","",(VLOOKUP(D287,'DB technologies'!$N$138:$Y$152,3,FALSE)*'DB additional information '!$S$7/100*'DB additional information '!$U$7*VLOOKUP($C$283,'DB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W287" s="475" t="str">
        <f>IF(D287="","",(VLOOKUP(D287,'DB technologies'!$N$138:$Y$152,4,FALSE)*('DB additional information '!$S$8/100*'DB additional information '!$U$8*E287/1000/1000)))</f>
        <v/>
      </c>
      <c r="X287" s="267" t="str">
        <f>IF($C$283=0,"",IF('Calc (ex-animal)'!$F$58=1,"",IF(D287="","",((VLOOKUP($C$283,'Calc (ex-animal)'!$D$58:$Y$62,13,FALSE)-VLOOKUP($C$283,'Calc (ex-animal)'!$D$58:$Y$62,19,FALSE))*F287/100+U287+V287+W287))))</f>
        <v/>
      </c>
      <c r="Y287" s="433" t="str">
        <f>IF(D287="","",(VLOOKUP(D287,'DB technologies'!$N$138:$Y$152,2,FALSE)*'DB additional information '!$S$6/100*'DB additional information '!$V$6*VLOOKUP($C$283,'DB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Z287" s="433" t="str">
        <f>IF(D287="","",(VLOOKUP(D287,'DB technologies'!$N$138:$Y$152,3,FALSE)*'DB additional information '!$S$7/100*'DB additional information '!$V$7*VLOOKUP($C$283,'DB animal categories'!$C$107:$AC$116,27,FALSE)*E287/1000/1000)/VLOOKUP($C$283,'DB animal categories'!$C$107:$AC$116,27,FALSE)*(VLOOKUP($C$283,'DB animal categories'!$C$107:$AC$116,27,FALSE)-VLOOKUP($C$283,'DB animal categories'!$C$107:$AC$116,25,FALSE)*VLOOKUP($C$283,'DB animal categories'!$C$107:$AC$116,26,FALSE)/24))</f>
        <v/>
      </c>
      <c r="AA287" s="433" t="str">
        <f>IF(D287="","",(VLOOKUP(D287,'DB technologies'!$N$138:$Y$152,4,FALSE)*('DB additional information '!$S$8/100*'DB additional information '!$V$8*E287/1000/1000)))</f>
        <v/>
      </c>
      <c r="AB287" s="267" t="str">
        <f>IF($C$283=0,"",IF('Calc (ex-animal)'!$F$58=1,"",IF(D287="","",((VLOOKUP($C$283,'Calc (ex-animal)'!$D$58:$Y$62,16,FALSE)-VLOOKUP($C$283,'Calc (ex-animal)'!$D$58:$Y$62,20,FALSE))*F287/100+Y287+Z287+AA287))))</f>
        <v/>
      </c>
      <c r="AC287" s="267" t="str">
        <f>IF($C$283=0,"",IF('Calc (ex-animal)'!$F$58=1,"",IF(D287="","",VLOOKUP($C$283,'Calc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categories'!$C$107:$AC$116,26,FALSE)/24)*F287/100*VLOOKUP(D287,'DB technologies'!$N$138:$R$152,5,FALSE)/100)))</f>
        <v/>
      </c>
      <c r="AD287" s="267" t="str">
        <f>IF($C$283=0,"",IF('Calc (ex-animal)'!$F$58=1,"",IF(D287="","",VLOOKUP($C$283,'Calc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categories'!$C$107:$AC$116,26,FALSE)/24)*F287/100*VLOOKUP(D287,'DB technologies'!$N$138:$Y$152,6,FALSE)/100)))</f>
        <v/>
      </c>
      <c r="AE287" s="268" t="str">
        <f>IF($C$283=0,"",IF('Calc (ex-animal)'!$F$58=1,"",IF(D287="","",VLOOKUP($C$283,'Calc (ex-animal)'!$D$58:$Y$62,10,FALSE)/VLOOKUP($C$283,'DB animal categories'!$C$107:$AC$116,27,FALSE)*(VLOOKUP($C$283,'DB animal categories'!$C$107:$AC$116,27,FALSE)-VLOOKUP($C$283,'DB animal categories'!$C$107:$AC$116,25,FALSE)*VLOOKUP($C$283,'DB animal categories'!$C$107:$AC$116,26,FALSE)/24)*F287/100*VLOOKUP(D287,'DB technologies'!$N$138:$Y$152,7,FALSE)/100)))</f>
        <v/>
      </c>
      <c r="AI287" s="183" t="str">
        <f>IF(D287="","",VLOOKUP(D287,'DB technologies'!$N$138:$Y$152,10,FALSE))</f>
        <v/>
      </c>
      <c r="AJ287" s="451" t="e">
        <f>VLOOKUP($C$283,'DB animal categories'!$C$107:$AN$116,27,FALSE)-VLOOKUP($C$283,'DB animal categories'!$C$107:$AN$116,26,FALSE)*VLOOKUP($C$283,'DB animal categories'!$C$107:$AN$116,25,FALSE)/24</f>
        <v>#N/A</v>
      </c>
      <c r="AK287" s="452" t="str">
        <f>IF(AI287="","",AL287+AM287)</f>
        <v/>
      </c>
      <c r="AL287" s="452" t="str">
        <f>IF(D287="","",IF(AI287=2,(('Calc (ex-animal)'!$G$59*'DB additional information '!$K$15/100*(1-VLOOKUP(D287,'DB technologies'!$N$138:$Y$152,9,FALSE)/100)*'Calc (ex-housing, ex-storage)'!F287/100+'Calc (ex-animal)'!$H$59*'DB additional information '!$L$15/100*(1-VLOOKUP(D287,'DB technologies'!$N$138:$Y$152,9,FALSE)/100)*'Calc (ex-housing, ex-storage)'!F287/100))/VLOOKUP($C$283,'DB animal categories'!$C$107:$AC$116,27,FALSE)*AJ287+I287+J287+K287,IF(AI287=1,('Calc (ex-animal)'!$H$59*'DB additional information '!$L$15/100*(1-VLOOKUP(D287,'DB technologies'!$N$138:$Y$152,9,FALSE)/100)*'Calc (ex-housing, ex-storage)'!F287/100)/VLOOKUP($C$283,'DB animal categories'!$C$107:$AC$116,27,FALSE)*AJ287,IF(AI287=4,('Calc (ex-animal)'!$G$59*'DB additional information '!$K$15/100+'Calc (ex-animal)'!$H$59*'DB additional information '!$L$15/100)*(1-VLOOKUP(D287,'DB technologies'!$N$138:$Y$152,9,FALSE)/100)*'Calc (ex-housing, ex-storage)'!F287/100*VLOOKUP(D287,'DB technologies'!$N$138:$Y$152,11,FALSE)/100/VLOOKUP($C$283,'DB animal categories'!$C$107:$AC$116,27,FALSE)*AJ287,0))))</f>
        <v/>
      </c>
      <c r="AM287" s="452" t="str">
        <f>IF(D287="","",IF(AI287=2,(('Calc (ex-animal)'!$G$59*(1-'DB additional information '!$K$15/100)*(1-VLOOKUP(D287,'DB technologies'!$N$138:$Y$152,8,FALSE)/100)*'Calc (ex-housing, ex-storage)'!F287/100+'Calc (ex-animal)'!$H$59*(1-'DB additional information '!$L$15/100)*(1-VLOOKUP(D287,'DB technologies'!$N$138:$Y$152,8,FALSE)/100)*'Calc (ex-housing, ex-storage)'!F287/100))/VLOOKUP($C$283,'DB animal categories'!$C$107:$AC$116,27,FALSE)*AJ287+M287+N287+O287,IF(AI287=1,('Calc (ex-animal)'!$H$59*(1-'DB additional information '!$L$15/100)*(1-VLOOKUP(D287,'DB technologies'!$N$138:$Y$152,8,FALSE)/100)*'Calc (ex-housing, ex-storage)'!F287/100)/VLOOKUP($C$283,'DB animal categories'!$C$107:$AC$116,27,FALSE)*AJ287,IF(AI287=4,('Calc (ex-animal)'!$G$59*(1-'DB additional information '!$K$15/100)+'Calc (ex-animal)'!$H$59*(1-'DB additional information '!$L$15/100))*(1-VLOOKUP(D287,'DB technologies'!$N$138:$Y$152,8,FALSE)/100)*'Calc (ex-housing, ex-storage)'!F287/100*VLOOKUP(D287,'DB technologies'!$N$138:$Y$152,11,FALSE)/100/VLOOKUP($C$283,'DB animal categories'!$C$107:$AC$116,27,FALSE)*AJ287,0))))</f>
        <v/>
      </c>
      <c r="AN287" s="452" t="str">
        <f>IF(AI287="","",IF(AL287=0,0,AL287/AK287*100))</f>
        <v/>
      </c>
      <c r="AO287" s="184" t="str">
        <f>IF(D287="","",IF(AI287=2,(('Calc (ex-animal)'!$L$59*'Calc (ex-housing, ex-storage)'!F287/100+'Calc (ex-animal)'!$K$59*'Calc (ex-housing, ex-storage)'!F287/100))/VLOOKUP($C$283,'DB animal categories'!$C$107:$AC$116,27,FALSE)*AJ287+Q287+R287+S287-AC287,IF(AI287=1,('Calc (ex-animal)'!$L$59*'Calc (ex-housing, ex-storage)'!F287/100)/VLOOKUP($C$283,'DB animal categories'!$C$107:$AC$116,27,FALSE)*AJ287-'Calc (ex-housing, ex-storage)'!AC287,IF(AI287=4,('Calc (ex-animal)'!$L$59+'Calc (ex-animal)'!$K$59)*'Calc (ex-housing, ex-storage)'!F287/100*VLOOKUP(D287,'DB technologies'!$N$138:$Y$152,11,FALSE)/100/VLOOKUP($C$283,'DB animal categories'!$C$107:$AC$116,27,FALSE)*AJ287-AC287*VLOOKUP(D287,'DB technologies'!$N$138:$Y$152,11,FALSE)/100,0))))</f>
        <v/>
      </c>
      <c r="AP287" s="184" t="str">
        <f>IF(D287="","",IF(AO287&lt;-0.01,0,IF(AI287=2,(('Calc (ex-animal)'!$L$59*'Calc (ex-housing, ex-storage)'!F287/100+'Calc (ex-animal)'!$K$59*'Calc (ex-housing, ex-storage)'!F287/100))/VLOOKUP($C$283,'DB animal categories'!$C$107:$AC$116,27,FALSE)*AJ287+Q287+R287+S287-AC287,IF(AI287=1,('Calc (ex-animal)'!$L$59*'Calc (ex-housing, ex-storage)'!F287/100)/VLOOKUP($C$283,'DB animal categories'!$C$107:$AC$116,27,FALSE)*AJ287-'Calc (ex-housing, ex-storage)'!AC287,IF(AI287=4,('Calc (ex-animal)'!$L$59+'Calc (ex-animal)'!$K$59)*'Calc (ex-housing, ex-storage)'!F287/100*VLOOKUP(D287,'DB technologies'!$N$138:$Y$152,11,FALSE)/100/VLOOKUP($C$283,'DB animal categories'!$C$107:$AC$116,27,FALSE)*AJ287-AC287*VLOOKUP(D287,'DB technologies'!$N$138:$Y$152,11,FALSE)/100,0)))))</f>
        <v/>
      </c>
      <c r="AQ287" s="184" t="str">
        <f>IF(D287="","",IF(AI287=2,('Calc (ex-animal)'!$O$59*'Calc (ex-housing, ex-storage)'!F287/100+'Calc (ex-animal)'!$N$59*'Calc (ex-housing, ex-storage)'!F287/100)/VLOOKUP($C$283,'DB animal categories'!$C$107:$AC$116,27,FALSE)*AJ287+U287+V287+W287,IF(AI287=1,'Calc (ex-animal)'!$O$59*'Calc (ex-housing, ex-storage)'!F287/100/VLOOKUP($C$283,'DB animal categories'!$C$107:$AC$116,27,FALSE)*AJ287,IF(AI287=4,('Calc (ex-animal)'!$O$59+'Calc (ex-animal)'!$N$59)*'Calc (ex-housing, ex-storage)'!F287/100*VLOOKUP(D287,'DB technologies'!$N$138:$Y$152,11,FALSE)/100/VLOOKUP($C$283,'DB animal categories'!$C$107:$AC$116,27,FALSE)*AJ287,0))))</f>
        <v/>
      </c>
      <c r="AR287" s="184" t="str">
        <f>IF(D287="","",IF(AI287=2,('Calc (ex-animal)'!$R$59*'Calc (ex-housing, ex-storage)'!F287/100+'Calc (ex-animal)'!$Q$59*'Calc (ex-housing, ex-storage)'!F287/100)/VLOOKUP($C$283,'DB animal categories'!$C$107:$AC$116,27,FALSE)*AJ287+Y287+Z287+AA287,IF(AI287=1,'Calc (ex-animal)'!$R$59*'Calc (ex-housing, ex-storage)'!F287/100/VLOOKUP($C$283,'DB animal categories'!$C$107:$AC$116,27,FALSE)*AJ287,IF(AI287=4,('Calc (ex-animal)'!$R$59+'Calc (ex-animal)'!$Q$59)*'Calc (ex-housing, ex-storage)'!F287/100*VLOOKUP(D287,'DB technologies'!$N$138:$Y$152,11,FALSE)/100/VLOOKUP($C$283,'DB animal categories'!$C$107:$AC$116,27,FALSE)*AJ287,0))))</f>
        <v/>
      </c>
      <c r="AS287" s="183" t="str">
        <f>IF(D287="","",VLOOKUP(D287,'DB technologies'!$N$138:$Y$152,10,FALSE))</f>
        <v/>
      </c>
      <c r="AT287" s="452" t="str">
        <f>IF(AS287="","",AU287+AV287)</f>
        <v/>
      </c>
      <c r="AU287" s="452" t="str">
        <f>IF(D287="","",IF(AS287=2,0,IF(AS287=1,'Calc (ex-animal)'!$G$59*'DB additional information '!$K$15/100*(1-VLOOKUP(D287,'DB technologies'!$N$138:$Y$152,8,FALSE)/100)*'Calc (ex-housing, ex-storage)'!F287/100/VLOOKUP($C$283,'DB animal categories'!$C$107:$AC$116,27,FALSE)*AJ287+I287+J287+K287,IF(AS287=5,(('Calc (ex-animal)'!$G$59*'DB additional information '!$K$15/100+'Calc (ex-animal)'!$H$59*'DB additional information '!$L$15/100))*(1-VLOOKUP(D287,'DB technologies'!$N$138:$Y$152,9,FALSE)/100)*'Calc (ex-housing, ex-storage)'!F287/100/VLOOKUP($C$283,'DB animal categories'!$C$107:$AC$116,27,FALSE)*AJ287+I287+J287+K287,IF(AS287=3,('Calc (ex-animal)'!$G$59*'DB additional information '!$K$15/100+'Calc (ex-animal)'!$H$59*'DB additional information '!$L$15/100)*(1-VLOOKUP(D287,'DB technologies'!$N$138:$Y$152,9,FALSE)/100)*'Calc (ex-housing, ex-storage)'!F287/100/VLOOKUP($C$283,'DB animal categories'!$C$107:$AC$116,27,FALSE)*AJ287+I287+J287+K287,IF(AS287=4,('Calc (ex-animal)'!$G$59*'DB additional information '!$K$15/100+'Calc (ex-animal)'!$H$59*'DB additional information '!$L$15/100)*(1-VLOOKUP(D287,'DB technologies'!$N$138:$Y$152,9,FALSE)/100)*'Calc (ex-housing, ex-storage)'!F287/100*VLOOKUP(D287,'DB technologies'!$N$138:$Y$152,12,FALSE)/100/VLOOKUP($C$283,'DB animal categories'!$C$107:$AC$116,27,FALSE)*AJ287+I287+J287+K287,0))))))</f>
        <v/>
      </c>
      <c r="AV287" s="452" t="str">
        <f>IF(D287="","",IF(AS287=2,0,IF(AS287=1,'Calc (ex-animal)'!$G$59*(1-'DB additional information '!$K$15/100)*(1-VLOOKUP(D287,'DB technologies'!$N$138:$Y$152,8,FALSE)/100)*'Calc (ex-housing, ex-storage)'!F287/100/VLOOKUP($C$283,'DB animal categories'!$C$107:$AC$116,27,FALSE)*AJ287+M287+N287+O287,IF(AS287=5,('Calc (ex-animal)'!$G$59*(1-'DB additional information '!$K$15/100)+'Calc (ex-animal)'!$H$59*(1-'DB additional information '!$L$15/100))*(1-VLOOKUP(D287,'DB technologies'!$N$138:$Y$152,8,FALSE)/100)*'Calc (ex-housing, ex-storage)'!F287/100/VLOOKUP($C$283,'DB animal categories'!$C$107:$AC$116,27,FALSE)*AJ287+M287+N287+O287,IF(AS287=3,('Calc (ex-animal)'!$G$59*(1-'DB additional information '!$K$15/100)+'Calc (ex-animal)'!$H$59*(1-'DB additional information '!$L$15/100))*(1-VLOOKUP(D287,'DB technologies'!$N$138:$Y$152,8,FALSE)/100)*'Calc (ex-housing, ex-storage)'!F287/100/VLOOKUP($C$283,'DB animal categories'!$C$107:$AC$116,27,FALSE)*AJ287+M287+N287+O287,IF(AS287=4,('Calc (ex-animal)'!$G$59*(1-'DB additional information '!$K$15/100)+'Calc (ex-animal)'!$H$59*(1-'DB additional information '!$L$15/100))*(1-VLOOKUP(D287,'DB technologies'!$N$138:$Y$152,8,FALSE)/100)*'Calc (ex-housing, ex-storage)'!F287/100*VLOOKUP(D287,'DB technologies'!$N$138:$Y$152,12,FALSE)/100/VLOOKUP($C$283,'DB animal categories'!$C$107:$AC$116,27,FALSE)*AJ287+M287+N287+O287,0))))))</f>
        <v/>
      </c>
      <c r="AW287" s="452" t="str">
        <f>IF(AS287="","",IF(AU287=0,0,AU287/AT287*100))</f>
        <v/>
      </c>
      <c r="AX287" s="184" t="str">
        <f>IF(D287="","",IF(AS287=2,0,IF(AS287=1,'Calc (ex-animal)'!$K$59*'Calc (ex-housing, ex-storage)'!F287/100/VLOOKUP($C$283,'DB animal categories'!$C$107:$AC$116,27,FALSE)*AJ287+Q287+R287+S287,IF(AS287=5,('Calc (ex-animal)'!$K$59+'Calc (ex-animal)'!$L$59)*'Calc (ex-housing, ex-storage)'!F287/100/VLOOKUP($C$283,'DB animal categories'!$C$107:$AC$116,27,FALSE)*AJ287+Q287+R287+S287-'Calc (ex-housing, ex-storage)'!AC287,IF(AS287=3,('Calc (ex-animal)'!$K$59+'Calc (ex-animal)'!$L$59)*'Calc (ex-housing, ex-storage)'!F287/100/VLOOKUP($C$283,'DB animal categories'!$C$107:$AC$116,27,FALSE)*AJ287+Q287+R287+S287-'Calc (ex-housing, ex-storage)'!AC287-AD287-AE287,IF(AI287=4,('Calc (ex-animal)'!$K$59+'Calc (ex-animal)'!$L$59)*'Calc (ex-housing, ex-storage)'!F287/100*VLOOKUP(D287,'DB technologies'!$N$138:$Y$152,12,FALSE)/100/VLOOKUP($C$283,'DB animal categories'!$C$107:$AC$116,27,FALSE)*AJ287+Q287+R287+S287-(VLOOKUP(D287,'DB technologies'!$N$138:$Y$152,12,FALSE)/100*AC287)-AD287-AE287,0))))))</f>
        <v/>
      </c>
      <c r="AY287" s="184" t="str">
        <f>IF(D287="","",IF(AS287=2,0,IF(AS287=1,'Calc (ex-animal)'!$N$59*'Calc (ex-housing, ex-storage)'!F287/100/VLOOKUP($C$283,'DB animal categories'!$C$107:$AC$116,27,FALSE)*AJ287+U287+V287+W287,IF(AS287=5,('Calc (ex-animal)'!$N$59+'Calc (ex-animal)'!$O$59)*'Calc (ex-housing, ex-storage)'!F287/100/VLOOKUP($C$283,'DB animal categories'!$C$107:$AC$116,27,FALSE)*AJ287+U287+V287+W287,IF(AS287=3,('Calc (ex-animal)'!$N$59+'Calc (ex-animal)'!$O$59)*'Calc (ex-housing, ex-storage)'!F287/100/VLOOKUP($C$283,'DB animal categories'!$C$107:$AC$116,27,FALSE)*AJ287+U287+V287+W287,IF(AS287=4,('Calc (ex-animal)'!$N$59+'Calc (ex-animal)'!$O$59)*'Calc (ex-housing, ex-storage)'!F287/100*VLOOKUP(D287,'DB technologies'!$N$138:$Y$152,12,FALSE)/100/VLOOKUP($C$283,'DB animal categories'!$C$107:$AC$116,27,FALSE)*AJ287+U287+V287+W287,0))))))</f>
        <v/>
      </c>
      <c r="AZ287" s="184" t="str">
        <f>IF(D287="","",IF(AS287=2,0,IF(AS287=1,'Calc (ex-animal)'!$Q$59*'Calc (ex-housing, ex-storage)'!F287/100/VLOOKUP($C$283,'DB animal categories'!$C$107:$AC$116,27,FALSE)*AJ287+Y287+Z287+AA287,IF(AS287=5,('Calc (ex-animal)'!$Q$59+'Calc (ex-animal)'!$R$59)*'Calc (ex-housing, ex-storage)'!F287/100/VLOOKUP($C$283,'DB animal categories'!$C$107:$AC$116,27,FALSE)*AJ287+Y287+Z287+AA287,IF(AS287=3,('Calc (ex-animal)'!$Q$59+'Calc (ex-animal)'!$R$59)*'Calc (ex-housing, ex-storage)'!F287/100/VLOOKUP($C$283,'DB animal categories'!$C$107:$AC$116,27,FALSE)*AJ287+Y287+Z287+AA287,IF(AS287=4,('Calc (ex-animal)'!$Q$59+'Calc (ex-animal)'!$R$59)*'Calc (ex-housing, ex-storage)'!F287/100*VLOOKUP(D287,'DB technologies'!$N$138:$Y$152,12,FALSE)/100/VLOOKUP($C$283,'DB animal categories'!$C$107:$AC$116,27,FALSE)*AJ287+Y287+Z287+AA287,0))))))</f>
        <v/>
      </c>
      <c r="BA287" s="506"/>
      <c r="BB287" s="506"/>
      <c r="BC287" s="506"/>
    </row>
    <row r="288" spans="1:55" ht="12" thickBot="1" x14ac:dyDescent="0.25">
      <c r="A288" s="695"/>
      <c r="B288" s="695"/>
      <c r="C288" s="252"/>
      <c r="D288" s="269" t="s">
        <v>58</v>
      </c>
      <c r="E288" s="270">
        <f>IF('Calc (ex-animal)'!F59=1,'Calc (ex-animal)'!E59,IF(F288&lt;=100,SUM(E283:E287),"ERROR"))</f>
        <v>0</v>
      </c>
      <c r="F288" s="284">
        <f>IF('Calc (ex-animal)'!F59=1,100,IF(SUM(F283:F287) &lt;=100,SUM(F283:F287),"ERROR, SUM&gt;100%"))</f>
        <v>0</v>
      </c>
      <c r="G288" s="550">
        <f>IF('Calc (ex-animal)'!$F$58=1,"",SUM(G283:G287))</f>
        <v>0</v>
      </c>
      <c r="H288" s="418">
        <f>IF('Calc (ex-animal)'!$F$8=1,"",SUM(H283:H287))</f>
        <v>0</v>
      </c>
      <c r="I288" s="418">
        <f>IF('Calc (ex-animal)'!$F$8=1,"",SUM(I283:I287))</f>
        <v>0</v>
      </c>
      <c r="J288" s="418">
        <f>IF('Calc (ex-animal)'!$F$8=1,"",SUM(J283:J287))</f>
        <v>0</v>
      </c>
      <c r="K288" s="418">
        <f>IF('Calc (ex-animal)'!$F$8=1,"",SUM(K283:K287))</f>
        <v>0</v>
      </c>
      <c r="L288" s="418">
        <f>IF('Calc (ex-animal)'!$F$8=1,"",SUM(L283:L287))</f>
        <v>0</v>
      </c>
      <c r="M288" s="551"/>
      <c r="N288" s="551"/>
      <c r="O288" s="551"/>
      <c r="P288" s="552">
        <f>IF(G288=0,0,IF('Calc (ex-animal)'!$F$58=1,"",IF(D288="","",SUM(H288:K288)/G288*100)))</f>
        <v>0</v>
      </c>
      <c r="Q288" s="394"/>
      <c r="R288" s="394"/>
      <c r="S288" s="394"/>
      <c r="T288" s="278">
        <f>IF('Calc (ex-animal)'!$F$59=1,"",SUM(T283:T287))</f>
        <v>0</v>
      </c>
      <c r="U288" s="279"/>
      <c r="V288" s="279"/>
      <c r="W288" s="279"/>
      <c r="X288" s="279">
        <f>IF('Calc (ex-animal)'!$F$59=1,"",SUM(X283:X287))</f>
        <v>0</v>
      </c>
      <c r="Y288" s="279"/>
      <c r="Z288" s="279"/>
      <c r="AA288" s="279"/>
      <c r="AB288" s="279">
        <f>IF('Calc (ex-animal)'!$F$59=1,"",SUM(AB283:AB287))</f>
        <v>0</v>
      </c>
      <c r="AC288" s="279">
        <f>IF('Calc (ex-animal)'!$F$59=1,"",SUM(AC283:AC287))</f>
        <v>0</v>
      </c>
      <c r="AD288" s="279">
        <f>IF('Calc (ex-animal)'!$F$59=1,"",SUM(AD283:AD287))</f>
        <v>0</v>
      </c>
      <c r="AE288" s="280">
        <f>IF('Calc (ex-animal)'!$F$59=1,"",SUM(AE283:AE287))</f>
        <v>0</v>
      </c>
    </row>
    <row r="289" spans="1:55" x14ac:dyDescent="0.2">
      <c r="A289" s="695"/>
      <c r="B289" s="695"/>
      <c r="C289" s="250">
        <f>'Calc (ex-animal)'!D60</f>
        <v>0</v>
      </c>
      <c r="D289" s="1355"/>
      <c r="E289" s="1356"/>
      <c r="F289" s="479" t="str">
        <f>IF('Calc (ex-animal)'!$F$58=1,"",IF($C$289=0,"",IF(D289="","",E289/'Calc (ex-animal)'!$E$60*100)))</f>
        <v/>
      </c>
      <c r="G289" s="484" t="str">
        <f>IF($C$289=0,"",IF('Calc (ex-animal)'!$F$58=1,"",IF(D289="","",SUM(H289:O289))))</f>
        <v/>
      </c>
      <c r="H289" s="471" t="str">
        <f>IF('Calc (ex-animal)'!$F$58=1,"",IF(D289="","",(((VLOOKUP($C$289,'Calc (ex-animal)'!$D$58:$Y$62,6,FALSE)-VLOOKUP($C$289,'Calc (ex-animal)'!$D$58:$Y$62,17,FALSE))*F289/100))*VLOOKUP($C$289,'Calc (ex-animal)'!$D$58:$Y$62,7,FALSE)/100*(1-VLOOKUP(D289,'DB technologies'!$N$138:$Y$152,9,FALSE)/100)))</f>
        <v/>
      </c>
      <c r="I289" s="471" t="str">
        <f>IF(D289="","",((VLOOKUP(D289,'DB technologies'!$N$138:$Y$152,2,FALSE)*VLOOKUP($C$289,'DB animal categories'!$C$107:$AC$116,27,FALSE)*E289/1000)/VLOOKUP($C$289,'DB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'!$S$6/100*(1-VLOOKUP(D289,'DB technologies'!$N$138:$Y$152,9,FALSE)/100)))</f>
        <v/>
      </c>
      <c r="J289" s="472" t="str">
        <f>IF(D289="","",((VLOOKUP(D289,'DB technologies'!$N$138:$Y$152,3,FALSE)*VLOOKUP($C$289,'DB animal categories'!$C$107:$AC$116,27,FALSE)*E289/1000)/VLOOKUP($C$289,'DB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'!$S$7/100*(1-VLOOKUP(D289,'DB technologies'!$N$138:$Y$152,9,FALSE)/100)))</f>
        <v/>
      </c>
      <c r="K289" s="472" t="str">
        <f>IF(D289="","",((VLOOKUP(D289,'DB technologies'!$N$138:$Y$152,4,FALSE)*E289*'DB additional information '!$S$8/100*(1-VLOOKUP(D289,'DB technologies'!$N$138:$Y$152,9,FALSE)/100))/VLOOKUP($C$289,'DB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L289" s="471" t="str">
        <f>IF('Calc (ex-animal)'!$F$58=1,"",IF(D289="","",(((VLOOKUP($C$289,'Calc (ex-animal)'!$D$58:$Y$62,6,FALSE)-VLOOKUP($C$289,'Calc (ex-animal)'!$D$58:$Y$62,17,FALSE))*F289/100))*(1-VLOOKUP($C$289,'Calc (ex-animal)'!$D$58:$Y$62,7,FALSE)/100)*(1-VLOOKUP(D289,'DB technologies'!$N$138:$V$152,8,FALSE)/100)))</f>
        <v/>
      </c>
      <c r="M289" s="472" t="str">
        <f>IF(D289="","",((VLOOKUP(D289,'DB technologies'!$N$138:$Y$152,2,FALSE)*VLOOKUP($C$289,'DB animal categories'!$C$107:$AC$116,27,FALSE)*E289/1000)/VLOOKUP($C$289,'DB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'!$S$6/100)*(1-VLOOKUP(D289,'DB technologies'!$N$138:$Y$152,9,FALSE)/100))</f>
        <v/>
      </c>
      <c r="N289" s="472" t="str">
        <f>IF(D289="","",((VLOOKUP(D289,'DB technologies'!$N$138:$Y$152,3,FALSE)*VLOOKUP($C$289,'DB animal categories'!$C$107:$AC$116,27,FALSE)*E289/1000)/VLOOKUP($C$289,'DB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'!$S$7/100)*(1-VLOOKUP(D289,'DB technologies'!$N$138:$Y$152,9,FALSE)/100))</f>
        <v/>
      </c>
      <c r="O289" s="471" t="str">
        <f>IF(D289="","",((VLOOKUP(D289,'DB technologies'!$N$138:$Y$152,4,FALSE)*E289*(1-'DB additional information '!$S$8/100)*(1-VLOOKUP(D289,'DB technologies'!$N$138:$Y$152,8,FALSE)/100))/VLOOKUP($C$289,'DB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P289" s="443" t="str">
        <f>IF(G289=0,0,IF(E289="","",IF(F289="","",IF($C$289=0,"",IF(D289="","",SUM(H289:K289)/G289*100)))))</f>
        <v/>
      </c>
      <c r="Q289" s="473" t="str">
        <f>IF(D289="","",(VLOOKUP(D289,'DB technologies'!$N$138:$Y$152,2,FALSE)*'DB additional information '!$S$6/100*'DB additional information '!$T$6*VLOOKUP($C$289,'DB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R289" s="473" t="str">
        <f>IF(D289="","",(VLOOKUP(D289,'DB technologies'!$N$138:$Y$152,3,FALSE)*'DB additional information '!$S$7/100*'DB additional information '!$T$7*VLOOKUP($C$289,'DB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S289" s="490" t="str">
        <f>IF(D289="","",(VLOOKUP(D289,'DB technologies'!$N$138:$Y$152,4,FALSE)*('DB additional information '!$S$8/100*'DB additional information '!$T$8*E289/1000/1000)))</f>
        <v/>
      </c>
      <c r="T289" s="263" t="str">
        <f>IF($C$289=0,"",IF('Calc (ex-animal)'!$F$58=1,"",IF(D289="","",((VLOOKUP($C$289,'Calc (ex-animal)'!$D$58:$Y$62,10,FALSE)-VLOOKUP($C$289,'Calc (ex-animal)'!$D$58:$Y$62,18,FALSE))*F289/100+Q289+R289+S289)-AC289-AD289-AE289)))</f>
        <v/>
      </c>
      <c r="U289" s="474" t="str">
        <f>IF(D289="","",(VLOOKUP(D289,'DB technologies'!$N$138:$Y$152,2,FALSE)*'DB additional information '!$S$6/100*'DB additional information '!$U$6*VLOOKUP($C$289,'DB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V289" s="420" t="str">
        <f>IF(D289="","",(VLOOKUP(D289,'DB technologies'!$N$138:$Y$152,3,FALSE)*'DB additional information '!$S$7/100*'DB additional information '!$U$7*VLOOKUP($C$289,'DB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W289" s="415" t="str">
        <f>IF(D289="","",(VLOOKUP(D289,'DB technologies'!$N$138:$Y$152,4,FALSE)*('DB additional information '!$S$8/100*'DB additional information '!$U$8*E289/1000/1000)))</f>
        <v/>
      </c>
      <c r="X289" s="259" t="str">
        <f>IF($C$289=0,"",IF('Calc (ex-animal)'!$F$58=1,"",IF(D289="","",((VLOOKUP($C$289,'Calc (ex-animal)'!$D$58:$Y$62,13,FALSE)-VLOOKUP($C$289,'Calc (ex-animal)'!$D$58:$Y$62,19,FALSE))*F289/100+U289+V289+W289))))</f>
        <v/>
      </c>
      <c r="Y289" s="420" t="str">
        <f>IF(D289="","",(VLOOKUP(D289,'DB technologies'!$N$138:$Y$152,2,FALSE)*'DB additional information '!$S$6/100*'DB additional information '!$V$6*VLOOKUP($C$289,'DB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Z289" s="420" t="str">
        <f>IF(D289="","",(VLOOKUP(D289,'DB technologies'!$N$138:$Y$152,3,FALSE)*'DB additional information '!$S$7/100*'DB additional information '!$V$7*VLOOKUP($C$289,'DB animal categories'!$C$107:$AC$116,27,FALSE)*E289/1000/1000)/VLOOKUP($C$289,'DB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AA289" s="420" t="str">
        <f>IF(D289="","",(VLOOKUP(D289,'DB technologies'!$N$138:$Y$152,4,FALSE)*('DB additional information '!$S$8/100*'DB additional information '!$V$8*E289/1000/1000)))</f>
        <v/>
      </c>
      <c r="AB289" s="259" t="str">
        <f>IF($C$289=0,"",IF('Calc (ex-animal)'!$F$58=1,"",IF(D289="","",((VLOOKUP($C$289,'Calc (ex-animal)'!$D$58:$Y$62,16,FALSE)-VLOOKUP($C$289,'Calc (ex-animal)'!$D$58:$Y$62,20,FALSE))*F289/100+Y289+Z289+AA289))))</f>
        <v/>
      </c>
      <c r="AC289" s="259" t="str">
        <f>IF($C$289=0,"",IF('Calc (ex-animal)'!$F$58=1,"",IF(D289="","",VLOOKUP($C$289,'Calc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categories'!$C$107:$AC$116,26,FALSE)/24)*F289/100*VLOOKUP(D289,'DB technologies'!$N$138:$R$152,5,FALSE)/100)))</f>
        <v/>
      </c>
      <c r="AD289" s="259" t="str">
        <f>IF($C$289=0,"",IF('Calc (ex-animal)'!$F$58=1,"",IF(D289="","",VLOOKUP($C$289,'Calc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categories'!$C$107:$AC$116,26,FALSE)/24)*F289/100*VLOOKUP(D289,'DB technologies'!$N$138:$Y$152,6,FALSE)/100)))</f>
        <v/>
      </c>
      <c r="AE289" s="260" t="str">
        <f>IF($C$289=0,"",IF('Calc (ex-animal)'!$F$58=1,"",IF(D289="","",VLOOKUP($C$289,'Calc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categories'!$C$107:$AC$116,26,FALSE)/24)*F289/100*VLOOKUP(D289,'DB technologies'!$N$138:$Y$152,7,FALSE)/100)))</f>
        <v/>
      </c>
      <c r="AI289" s="179" t="str">
        <f>IF(D289="","",VLOOKUP(D289,'DB technologies'!$N$138:$Y$152,10,FALSE))</f>
        <v/>
      </c>
      <c r="AJ289" s="482" t="e">
        <f>VLOOKUP($C$289,'DB animal categories'!$C$107:$AN$116,27,FALSE)-VLOOKUP($C$289,'DB animal categories'!$C$107:$AN$116,26,FALSE)*VLOOKUP($C$289,'DB animal categories'!$C$107:$AN$116,25,FALSE)/24</f>
        <v>#N/A</v>
      </c>
      <c r="AK289" s="453" t="str">
        <f>IF(AI289="","",AL289+AM289)</f>
        <v/>
      </c>
      <c r="AL289" s="453" t="str">
        <f>IF(D289="","",IF(AI289=2,(('Calc (ex-animal)'!$G$60*'DB additional information '!$K$15/100*(1-VLOOKUP(D289,'DB technologies'!$N$138:$Y$152,9,FALSE)/100)*'Calc (ex-housing, ex-storage)'!F289/100+'Calc (ex-animal)'!$H$60*'DB additional information '!$L$15/100*(1-VLOOKUP(D289,'DB technologies'!$N$138:$Y$152,9,FALSE)/100)*'Calc (ex-housing, ex-storage)'!F289/100))/VLOOKUP($C$289,'DB animal categories'!$C$107:$AC$116,27,FALSE)*AJ289+I289+J289+K289,IF(AI289=1,('Calc (ex-animal)'!$H$60*'DB additional information '!$L$15/100*(1-VLOOKUP(D289,'DB technologies'!$N$138:$Y$152,9,FALSE)/100)*'Calc (ex-housing, ex-storage)'!F289/100)/VLOOKUP($C$289,'DB animal categories'!$C$107:$AC$116,27,FALSE)*AJ289,IF(AI289=4,('Calc (ex-animal)'!$G$60*'DB additional information '!$K$15/100+'Calc (ex-animal)'!$H$60*'DB additional information '!$L$15/100)*(1-VLOOKUP(D289,'DB technologies'!$N$138:$Y$152,9,FALSE)/100)*'Calc (ex-housing, ex-storage)'!F289/100*VLOOKUP(D289,'DB technologies'!$N$138:$Y$152,11,FALSE)/100/VLOOKUP($C$289,'DB animal categories'!$C$107:$AC$116,27,FALSE)*AJ289,0))))</f>
        <v/>
      </c>
      <c r="AM289" s="453" t="str">
        <f>IF(D289="","",IF(AI289=2,(('Calc (ex-animal)'!$G$60*(1-'DB additional information '!$K$15/100)*(1-VLOOKUP(D289,'DB technologies'!$N$138:$Y$152,8,FALSE)/100)*'Calc (ex-housing, ex-storage)'!F289/100+'Calc (ex-animal)'!$H$60*(1-'DB additional information '!$L$15/100)*(1-VLOOKUP(D289,'DB technologies'!$N$138:$Y$152,8,FALSE)/100)*'Calc (ex-housing, ex-storage)'!F289/100))/VLOOKUP($C$289,'DB animal categories'!$C$107:$AC$116,27,FALSE)*AJ289+M289+N289+O289,IF(AI289=1,('Calc (ex-animal)'!$H$60*(1-'DB additional information '!$L$15/100)*(1-VLOOKUP(D289,'DB technologies'!$N$138:$Y$152,8,FALSE)/100)*'Calc (ex-housing, ex-storage)'!F289/100)/VLOOKUP($C$289,'DB animal categories'!$C$107:$AC$116,27,FALSE)*AJ289,IF(AI289=4,('Calc (ex-animal)'!$G$60*(1-'DB additional information '!$K$15/100)+'Calc (ex-animal)'!$H$60*(1-'DB additional information '!$L$15/100))*(1-VLOOKUP(D289,'DB technologies'!$N$138:$Y$152,8,FALSE)/100)*'Calc (ex-housing, ex-storage)'!F289/100*VLOOKUP(D289,'DB technologies'!$N$138:$Y$152,11,FALSE)/100/VLOOKUP($C$289,'DB animal categories'!$C$107:$AC$116,27,FALSE)*AJ289,0))))</f>
        <v/>
      </c>
      <c r="AN289" s="453" t="str">
        <f>IF(AI289="","",IF(AL289=0,0,AL289/AK289*100))</f>
        <v/>
      </c>
      <c r="AO289" s="180" t="str">
        <f>IF(D289="","",IF(AI289=2,(('Calc (ex-animal)'!$L$60*'Calc (ex-housing, ex-storage)'!F289/100+'Calc (ex-animal)'!$K$60*'Calc (ex-housing, ex-storage)'!F289/100))/VLOOKUP($C$289,'DB animal categories'!$C$107:$AC$116,27,FALSE)*AJ289+Q289+R289+S289-AC289,IF(AI289=1,('Calc (ex-animal)'!$L$60*'Calc (ex-housing, ex-storage)'!F289/100)/VLOOKUP($C$289,'DB animal categories'!$C$107:$AC$116,27,FALSE)*AJ289-'Calc (ex-housing, ex-storage)'!AC289,IF(AI289=4,('Calc (ex-animal)'!$L$60+'Calc (ex-animal)'!$K$60)*'Calc (ex-housing, ex-storage)'!F289/100*VLOOKUP(D289,'DB technologies'!$N$138:$Y$152,11,FALSE)/100/VLOOKUP($C$289,'DB animal categories'!$C$107:$AC$116,27,FALSE)*AJ289-AC289*VLOOKUP(D289,'DB technologies'!$N$138:$Y$152,11,FALSE)/100,0))))</f>
        <v/>
      </c>
      <c r="AP289" s="180" t="str">
        <f>IF(D289="","",IF(AO289&lt;-0.01,0,IF(AI289=2,(('Calc (ex-animal)'!$L$60*'Calc (ex-housing, ex-storage)'!F289/100+'Calc (ex-animal)'!$K$60*'Calc (ex-housing, ex-storage)'!F289/100))/VLOOKUP($C$289,'DB animal categories'!$C$107:$AC$116,27,FALSE)*AJ289+Q289+R289+S289-AC289,IF(AI289=1,('Calc (ex-animal)'!$L$60*'Calc (ex-housing, ex-storage)'!F289/100)/VLOOKUP($C$289,'DB animal categories'!$C$107:$AC$116,27,FALSE)*AJ289-'Calc (ex-housing, ex-storage)'!AC289,IF(AI289=4,('Calc (ex-animal)'!$L$60+'Calc (ex-animal)'!$K$60)*'Calc (ex-housing, ex-storage)'!F289/100*VLOOKUP(D289,'DB technologies'!$N$138:$Y$152,11,FALSE)/100/VLOOKUP($C$289,'DB animal categories'!$C$107:$AC$116,27,FALSE)*AJ289-AC289*VLOOKUP(D289,'DB technologies'!$N$138:$Y$152,11,FALSE)/100,0)))))</f>
        <v/>
      </c>
      <c r="AQ289" s="180" t="str">
        <f>IF(D289="","",IF(AI289=2,('Calc (ex-animal)'!$O$60*'Calc (ex-housing, ex-storage)'!F289/100+'Calc (ex-animal)'!$N$60*'Calc (ex-housing, ex-storage)'!F289/100)/VLOOKUP($C$289,'DB animal categories'!$C$107:$AC$116,27,FALSE)*AJ289+U289+V289+W289,IF(AI289=1,'Calc (ex-animal)'!$O$60*'Calc (ex-housing, ex-storage)'!F289/100/VLOOKUP($C$289,'DB animal categories'!$C$107:$AC$116,27,FALSE)*AJ289,IF(AI289=4,('Calc (ex-animal)'!$O$60+'Calc (ex-animal)'!$N$60)*'Calc (ex-housing, ex-storage)'!F289/100*VLOOKUP(D289,'DB technologies'!$N$138:$Y$152,11,FALSE)/100/VLOOKUP($C$289,'DB animal categories'!$C$107:$AC$116,27,FALSE)*AJ289,0))))</f>
        <v/>
      </c>
      <c r="AR289" s="180" t="str">
        <f>IF(D289="","",IF(AI289=2,('Calc (ex-animal)'!$R$60*'Calc (ex-housing, ex-storage)'!F289/100+'Calc (ex-animal)'!$Q$60*'Calc (ex-housing, ex-storage)'!F289/100)/VLOOKUP($C$289,'DB animal categories'!$C$107:$AC$116,27,FALSE)*AJ289+Y289+Z289+AA289,IF(AI289=1,'Calc (ex-animal)'!$R$60*'Calc (ex-housing, ex-storage)'!F289/100/VLOOKUP($C$289,'DB animal categories'!$C$107:$AC$116,27,FALSE)*AJ289,IF(AI289=4,('Calc (ex-animal)'!$R$60+'Calc (ex-animal)'!$Q$60)*'Calc (ex-housing, ex-storage)'!F289/100*VLOOKUP(D289,'DB technologies'!$N$138:$Y$152,11,FALSE)/100/VLOOKUP($C$289,'DB animal categories'!$C$107:$AC$116,27,FALSE)*AJ289,0))))</f>
        <v/>
      </c>
      <c r="AS289" s="179" t="str">
        <f>IF(D289="","",VLOOKUP(D289,'DB technologies'!$N$138:$Y$152,10,FALSE))</f>
        <v/>
      </c>
      <c r="AT289" s="453" t="str">
        <f>IF(AS289="","",AU289+AV289)</f>
        <v/>
      </c>
      <c r="AU289" s="453" t="str">
        <f>IF(D289="","",IF(AS289=2,0,IF(AS289=1,'Calc (ex-animal)'!$G$60*'DB additional information '!$K$15/100*(1-VLOOKUP(D289,'DB technologies'!$N$138:$Y$152,8,FALSE)/100)*'Calc (ex-housing, ex-storage)'!F289/100/VLOOKUP($C$289,'DB animal categories'!$C$107:$AC$116,27,FALSE)*AJ289+I289+J289+K289,IF(AS289=5,(('Calc (ex-animal)'!$G$60*'DB additional information '!$K$15/100+'Calc (ex-animal)'!$H$60*'DB additional information '!$L$15/100))*(1-VLOOKUP(D289,'DB technologies'!$N$138:$Y$152,9,FALSE)/100)*'Calc (ex-housing, ex-storage)'!F289/100/VLOOKUP($C$289,'DB animal categories'!$C$107:$AC$116,27,FALSE)*AJ289+I289+J289+K289,IF(AS289=3,('Calc (ex-animal)'!$G$60*'DB additional information '!$K$15/100+'Calc (ex-animal)'!$H$60*'DB additional information '!$L$15/100)*(1-VLOOKUP(D289,'DB technologies'!$N$138:$Y$152,9,FALSE)/100)*'Calc (ex-housing, ex-storage)'!F289/100/VLOOKUP($C$289,'DB animal categories'!$C$107:$AC$116,27,FALSE)*AJ289+I289+J289+K289,IF(AS289=4,('Calc (ex-animal)'!$G$60*'DB additional information '!$K$15/100+'Calc (ex-animal)'!$H$60*'DB additional information '!$L$15/100)*(1-VLOOKUP(D289,'DB technologies'!$N$138:$Y$152,9,FALSE)/100)*'Calc (ex-housing, ex-storage)'!F289/100*VLOOKUP(D289,'DB technologies'!$N$138:$Y$152,12,FALSE)/100/VLOOKUP($C$289,'DB animal categories'!$C$107:$AC$116,27,FALSE)*AJ289+I289+J289+K289,0))))))</f>
        <v/>
      </c>
      <c r="AV289" s="453" t="str">
        <f>IF(D289="","",IF(AS289=2,0,IF(AS289=1,'Calc (ex-animal)'!$G$60*(1-'DB additional information '!$K$15/100)*(1-VLOOKUP(D289,'DB technologies'!$N$138:$Y$152,8,FALSE)/100)*'Calc (ex-housing, ex-storage)'!F289/100/VLOOKUP($C$289,'DB animal categories'!$C$107:$AC$116,27,FALSE)*AJ289+M289+N289+O289,IF(AS289=5,('Calc (ex-animal)'!$G$60*(1-'DB additional information '!$K$15/100)+'Calc (ex-animal)'!$H$60*(1-'DB additional information '!$L$15/100))*(1-VLOOKUP(D289,'DB technologies'!$N$138:$Y$152,8,FALSE)/100)*'Calc (ex-housing, ex-storage)'!F289/100/VLOOKUP($C$289,'DB animal categories'!$C$107:$AC$116,27,FALSE)*AJ289+M289+N289+O289,IF(AS289=3,('Calc (ex-animal)'!$G$60*(1-'DB additional information '!$K$15/100)+'Calc (ex-animal)'!$H$60*(1-'DB additional information '!$L$15/100))*(1-VLOOKUP(D289,'DB technologies'!$N$138:$Y$152,8,FALSE)/100)*'Calc (ex-housing, ex-storage)'!F289/100/VLOOKUP($C$289,'DB animal categories'!$C$107:$AC$116,27,FALSE)*AJ289+M289+N289+O289,IF(AS289=4,('Calc (ex-animal)'!$G$60*(1-'DB additional information '!$K$15/100)+'Calc (ex-animal)'!$H$60*(1-'DB additional information '!$L$15/100))*(1-VLOOKUP(D289,'DB technologies'!$N$138:$Y$152,8,FALSE)/100)*'Calc (ex-housing, ex-storage)'!F289/100*VLOOKUP(D289,'DB technologies'!$N$138:$Y$152,12,FALSE)/100/VLOOKUP($C$289,'DB animal categories'!$C$107:$AC$116,27,FALSE)*AJ289+M289+N289+O289,0))))))</f>
        <v/>
      </c>
      <c r="AW289" s="453" t="str">
        <f>IF(AS289="","",IF(AU289=0,0,AU289/AT289*100))</f>
        <v/>
      </c>
      <c r="AX289" s="180" t="str">
        <f>IF(D289="","",IF(AS289=2,0,IF(AS289=1,'Calc (ex-animal)'!$K$60*'Calc (ex-housing, ex-storage)'!F289/100/VLOOKUP($C$289,'DB animal categories'!$C$107:$AC$116,27,FALSE)*AJ289+Q289+R289+S289,IF(AS289=5,('Calc (ex-animal)'!$K$60+'Calc (ex-animal)'!$L$60)*'Calc (ex-housing, ex-storage)'!F289/100/VLOOKUP($C$289,'DB animal categories'!$C$107:$AC$116,27,FALSE)*AJ289+Q289+R289+S289-'Calc (ex-housing, ex-storage)'!AC289,IF(AS289=3,('Calc (ex-animal)'!$K$60+'Calc (ex-animal)'!$L$60)*'Calc (ex-housing, ex-storage)'!F289/100/VLOOKUP($C$289,'DB animal categories'!$C$107:$AC$116,27,FALSE)*AJ289+Q289+R289+S289-'Calc (ex-housing, ex-storage)'!AC289-AD289-AE289,IF(AI289=4,('Calc (ex-animal)'!$K$60+'Calc (ex-animal)'!$L$60)*'Calc (ex-housing, ex-storage)'!F289/100*VLOOKUP(D289,'DB technologies'!$N$138:$Y$152,12,FALSE)/100/VLOOKUP($C$289,'DB animal categories'!$C$107:$AC$116,27,FALSE)*AJ289+Q289+R289+S289-(VLOOKUP(D289,'DB technologies'!$N$138:$Y$152,12,FALSE)/100*AC289)-AD289-AE289,0))))))</f>
        <v/>
      </c>
      <c r="AY289" s="180" t="str">
        <f>IF(D289="","",IF(AS289=2,0,IF(AS289=1,'Calc (ex-animal)'!$N$60*'Calc (ex-housing, ex-storage)'!F289/100/VLOOKUP($C$289,'DB animal categories'!$C$107:$AC$116,27,FALSE)*AJ289+U289+V289+W289,IF(AS289=5,('Calc (ex-animal)'!$N$60+'Calc (ex-animal)'!$O$60)*'Calc (ex-housing, ex-storage)'!F289/100/VLOOKUP($C$289,'DB animal categories'!$C$107:$AC$116,27,FALSE)*AJ289+U289+V289+W289,IF(AS289=3,('Calc (ex-animal)'!$N$60+'Calc (ex-animal)'!$O$60)*'Calc (ex-housing, ex-storage)'!F289/100/VLOOKUP($C$289,'DB animal categories'!$C$107:$AC$116,27,FALSE)*AJ289+U289+V289+W289,IF(AS289=4,('Calc (ex-animal)'!$N$60+'Calc (ex-animal)'!$O$60)*'Calc (ex-housing, ex-storage)'!F289/100*VLOOKUP(D289,'DB technologies'!$N$138:$Y$152,12,FALSE)/100/VLOOKUP($C$289,'DB animal categories'!$C$107:$AC$116,27,FALSE)*AJ289+U289+V289+W289,0))))))</f>
        <v/>
      </c>
      <c r="AZ289" s="180" t="str">
        <f>IF(D289="","",IF(AS289=2,0,IF(AS289=1,'Calc (ex-animal)'!$Q$60*'Calc (ex-housing, ex-storage)'!F289/100/VLOOKUP($C$289,'DB animal categories'!$C$107:$AC$116,27,FALSE)*AJ289+Y289+Z289+AA289,IF(AS289=5,('Calc (ex-animal)'!$Q$60+'Calc (ex-animal)'!$R$60)*'Calc (ex-housing, ex-storage)'!F289/100/VLOOKUP($C$289,'DB animal categories'!$C$107:$AC$116,27,FALSE)*AJ289+Y289+Z289+AA289,IF(AS289=3,('Calc (ex-animal)'!$Q$60+'Calc (ex-animal)'!$R$60)*'Calc (ex-housing, ex-storage)'!F289/100/VLOOKUP($C$289,'DB animal categories'!$C$107:$AC$116,27,FALSE)*AJ289+Y289+Z289+AA289,IF(AS289=4,('Calc (ex-animal)'!$Q$60+'Calc (ex-animal)'!$R$60)*'Calc (ex-housing, ex-storage)'!F289/100*VLOOKUP(D289,'DB technologies'!$N$138:$Y$152,12,FALSE)/100/VLOOKUP($C$289,'DB animal categories'!$C$107:$AC$116,27,FALSE)*AJ289+Y289+Z289+AA289,0))))))</f>
        <v/>
      </c>
      <c r="BA289" s="506"/>
      <c r="BB289" s="506"/>
      <c r="BC289" s="506"/>
    </row>
    <row r="290" spans="1:55" x14ac:dyDescent="0.2">
      <c r="A290" s="695"/>
      <c r="B290" s="695"/>
      <c r="C290" s="251"/>
      <c r="D290" s="1357"/>
      <c r="E290" s="1358"/>
      <c r="F290" s="480" t="str">
        <f>IF('Calc (ex-animal)'!$F$58=1,"",IF($C$289=0,"",IF(D290="","",E290/'Calc (ex-animal)'!$E$60*100)))</f>
        <v/>
      </c>
      <c r="G290" s="485" t="str">
        <f>IF($C$289=0,"",IF('Calc (ex-animal)'!$F$58=1,"",IF(D290="","",SUM(H290:O290))))</f>
        <v/>
      </c>
      <c r="H290" s="423" t="str">
        <f>IF('Calc (ex-animal)'!$F$58=1,"",IF(D290="","",(((VLOOKUP($C$289,'Calc (ex-animal)'!$D$58:$Y$62,6,FALSE)-VLOOKUP($C$289,'Calc (ex-animal)'!$D$58:$Y$62,17,FALSE))*F290/100))*VLOOKUP($C$289,'Calc (ex-animal)'!$D$58:$Y$62,7,FALSE)/100*(1-VLOOKUP(D290,'DB technologies'!$N$138:$Y$152,9,FALSE)/100)))</f>
        <v/>
      </c>
      <c r="I290" s="423" t="str">
        <f>IF(D290="","",((VLOOKUP(D290,'DB technologies'!$N$138:$Y$152,2,FALSE)*VLOOKUP($C$289,'DB animal categories'!$C$107:$AC$116,27,FALSE)*E290/1000)/VLOOKUP($C$289,'DB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'!$S$6/100*(1-VLOOKUP(D290,'DB technologies'!$N$138:$Y$152,9,FALSE)/100)))</f>
        <v/>
      </c>
      <c r="J290" s="434" t="str">
        <f>IF(D290="","",((VLOOKUP(D290,'DB technologies'!$N$138:$Y$152,3,FALSE)*VLOOKUP($C$289,'DB animal categories'!$C$107:$AC$116,27,FALSE)*E290/1000)/VLOOKUP($C$289,'DB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'!$S$7/100*(1-VLOOKUP(D290,'DB technologies'!$N$138:$Y$152,9,FALSE)/100)))</f>
        <v/>
      </c>
      <c r="K290" s="434" t="str">
        <f>IF(D290="","",((VLOOKUP(D290,'DB technologies'!$N$138:$Y$152,4,FALSE)*E290*'DB additional information '!$S$8/100*(1-VLOOKUP(D290,'DB technologies'!$N$138:$Y$152,9,FALSE)/100))/VLOOKUP($C$289,'DB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L290" s="423" t="str">
        <f>IF('Calc (ex-animal)'!$F$58=1,"",IF(D290="","",(((VLOOKUP($C$289,'Calc (ex-animal)'!$D$58:$Y$62,6,FALSE)-VLOOKUP($C$289,'Calc (ex-animal)'!$D$58:$Y$62,17,FALSE))*F290/100))*(1-VLOOKUP($C$289,'Calc (ex-animal)'!$D$58:$Y$62,7,FALSE)/100)*(1-VLOOKUP(D290,'DB technologies'!$N$138:$V$152,8,FALSE)/100)))</f>
        <v/>
      </c>
      <c r="M290" s="434" t="str">
        <f>IF(D290="","",((VLOOKUP(D290,'DB technologies'!$N$138:$Y$152,2,FALSE)*VLOOKUP($C$289,'DB animal categories'!$C$107:$AC$116,27,FALSE)*E290/1000)/VLOOKUP($C$289,'DB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'!$S$6/100)*(1-VLOOKUP(D290,'DB technologies'!$N$138:$Y$152,9,FALSE)/100))</f>
        <v/>
      </c>
      <c r="N290" s="434" t="str">
        <f>IF(D290="","",((VLOOKUP(D290,'DB technologies'!$N$138:$Y$152,3,FALSE)*VLOOKUP($C$289,'DB animal categories'!$C$107:$AC$116,27,FALSE)*E290/1000)/VLOOKUP($C$289,'DB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'!$S$7/100)*(1-VLOOKUP(D290,'DB technologies'!$N$138:$Y$152,9,FALSE)/100))</f>
        <v/>
      </c>
      <c r="O290" s="423" t="str">
        <f>IF(D290="","",((VLOOKUP(D290,'DB technologies'!$N$138:$Y$152,4,FALSE)*E290*(1-'DB additional information '!$S$8/100)*(1-VLOOKUP(D290,'DB technologies'!$N$138:$Y$152,8,FALSE)/100))/VLOOKUP($C$289,'DB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P290" s="438" t="str">
        <f>IF(G290=0,0,IF(E290="","",IF(F290="","",IF($C$289=0,"",IF(D290="","",SUM(H290:K290)/G290*100)))))</f>
        <v/>
      </c>
      <c r="Q290" s="416" t="str">
        <f>IF(D290="","",(VLOOKUP(D290,'DB technologies'!$N$138:$Y$152,2,FALSE)*'DB additional information '!$S$6/100*'DB additional information '!$T$6*VLOOKUP($C$289,'DB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R290" s="416" t="str">
        <f>IF(D290="","",(VLOOKUP(D290,'DB technologies'!$N$138:$Y$152,3,FALSE)*'DB additional information '!$S$7/100*'DB additional information '!$T$7*VLOOKUP($C$289,'DB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S290" s="491" t="str">
        <f>IF(D290="","",(VLOOKUP(D290,'DB technologies'!$N$138:$Y$152,4,FALSE)*('DB additional information '!$S$8/100*'DB additional information '!$T$8*E290/1000/1000)))</f>
        <v/>
      </c>
      <c r="T290" s="264" t="str">
        <f>IF($C$289=0,"",IF('Calc (ex-animal)'!$F$58=1,"",IF(D290="","",((VLOOKUP($C$289,'Calc (ex-animal)'!$D$58:$Y$62,10,FALSE)-VLOOKUP($C$289,'Calc (ex-animal)'!$D$58:$Y$62,18,FALSE))*F290/100+Q290+R290+S290)-AC290-AD290-AE290)))</f>
        <v/>
      </c>
      <c r="U290" s="422" t="str">
        <f>IF(D290="","",(VLOOKUP(D290,'DB technologies'!$N$138:$Y$152,2,FALSE)*'DB additional information '!$S$6/100*'DB additional information '!$U$6*VLOOKUP($C$289,'DB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V290" s="418" t="str">
        <f>IF(D290="","",(VLOOKUP(D290,'DB technologies'!$N$138:$Y$152,3,FALSE)*'DB additional information '!$S$7/100*'DB additional information '!$U$7*VLOOKUP($C$289,'DB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W290" s="417" t="str">
        <f>IF(D290="","",(VLOOKUP(D290,'DB technologies'!$N$138:$Y$152,4,FALSE)*('DB additional information '!$S$8/100*'DB additional information '!$U$8*E290/1000/1000)))</f>
        <v/>
      </c>
      <c r="X290" s="261" t="str">
        <f>IF($C$289=0,"",IF('Calc (ex-animal)'!$F$58=1,"",IF(D290="","",((VLOOKUP($C$289,'Calc (ex-animal)'!$D$58:$Y$62,13,FALSE)-VLOOKUP($C$289,'Calc (ex-animal)'!$D$58:$Y$62,19,FALSE))*F290/100+U290+V290+W290))))</f>
        <v/>
      </c>
      <c r="Y290" s="418" t="str">
        <f>IF(D290="","",(VLOOKUP(D290,'DB technologies'!$N$138:$Y$152,2,FALSE)*'DB additional information '!$S$6/100*'DB additional information '!$V$6*VLOOKUP($C$289,'DB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Z290" s="418" t="str">
        <f>IF(D290="","",(VLOOKUP(D290,'DB technologies'!$N$138:$Y$152,3,FALSE)*'DB additional information '!$S$7/100*'DB additional information '!$V$7*VLOOKUP($C$289,'DB animal categories'!$C$107:$AC$116,27,FALSE)*E290/1000/1000)/VLOOKUP($C$289,'DB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AA290" s="418" t="str">
        <f>IF(D290="","",(VLOOKUP(D290,'DB technologies'!$N$138:$Y$152,4,FALSE)*('DB additional information '!$S$8/100*'DB additional information '!$V$8*E290/1000/1000)))</f>
        <v/>
      </c>
      <c r="AB290" s="261" t="str">
        <f>IF($C$289=0,"",IF('Calc (ex-animal)'!$F$58=1,"",IF(D290="","",((VLOOKUP($C$289,'Calc (ex-animal)'!$D$58:$Y$62,16,FALSE)-VLOOKUP($C$289,'Calc (ex-animal)'!$D$58:$Y$62,20,FALSE))*F290/100+Y290+Z290+AA290))))</f>
        <v/>
      </c>
      <c r="AC290" s="261" t="str">
        <f>IF($C$289=0,"",IF('Calc (ex-animal)'!$F$58=1,"",IF(D290="","",VLOOKUP($C$289,'Calc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categories'!$C$107:$AC$116,26,FALSE)/24)*F290/100*VLOOKUP(D290,'DB technologies'!$N$138:$R$152,5,FALSE)/100)))</f>
        <v/>
      </c>
      <c r="AD290" s="261" t="str">
        <f>IF($C$289=0,"",IF('Calc (ex-animal)'!$F$58=1,"",IF(D290="","",VLOOKUP($C$289,'Calc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categories'!$C$107:$AC$116,26,FALSE)/24)*F290/100*VLOOKUP(D290,'DB technologies'!$N$138:$Y$152,6,FALSE)/100)))</f>
        <v/>
      </c>
      <c r="AE290" s="262" t="str">
        <f>IF($C$289=0,"",IF('Calc (ex-animal)'!$F$58=1,"",IF(D290="","",VLOOKUP($C$289,'Calc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categories'!$C$107:$AC$116,26,FALSE)/24)*F290/100*VLOOKUP(D290,'DB technologies'!$N$138:$Y$152,7,FALSE)/100)))</f>
        <v/>
      </c>
      <c r="AI290" s="181" t="str">
        <f>IF(D290="","",VLOOKUP(D290,'DB technologies'!$N$138:$Y$152,10,FALSE))</f>
        <v/>
      </c>
      <c r="AJ290" s="449" t="e">
        <f>VLOOKUP($C$289,'DB animal categories'!$C$107:$AN$116,27,FALSE)-VLOOKUP($C$289,'DB animal categories'!$C$107:$AN$116,26,FALSE)*VLOOKUP($C$289,'DB animal categories'!$C$107:$AN$116,25,FALSE)/24</f>
        <v>#N/A</v>
      </c>
      <c r="AK290" s="442" t="str">
        <f>IF(AI290="","",AL290+AM290)</f>
        <v/>
      </c>
      <c r="AL290" s="442" t="str">
        <f>IF(D290="","",IF(AI290=2,(('Calc (ex-animal)'!$G$60*'DB additional information '!$K$15/100*(1-VLOOKUP(D290,'DB technologies'!$N$138:$Y$152,9,FALSE)/100)*'Calc (ex-housing, ex-storage)'!F290/100+'Calc (ex-animal)'!$H$60*'DB additional information '!$L$15/100*(1-VLOOKUP(D290,'DB technologies'!$N$138:$Y$152,9,FALSE)/100)*'Calc (ex-housing, ex-storage)'!F290/100))/VLOOKUP($C$289,'DB animal categories'!$C$107:$AC$116,27,FALSE)*AJ290+I290+J290+K290,IF(AI290=1,('Calc (ex-animal)'!$H$60*'DB additional information '!$L$15/100*(1-VLOOKUP(D290,'DB technologies'!$N$138:$Y$152,9,FALSE)/100)*'Calc (ex-housing, ex-storage)'!F290/100)/VLOOKUP($C$289,'DB animal categories'!$C$107:$AC$116,27,FALSE)*AJ290,IF(AI290=4,('Calc (ex-animal)'!$G$60*'DB additional information '!$K$15/100+'Calc (ex-animal)'!$H$60*'DB additional information '!$L$15/100)*(1-VLOOKUP(D290,'DB technologies'!$N$138:$Y$152,9,FALSE)/100)*'Calc (ex-housing, ex-storage)'!F290/100*VLOOKUP(D290,'DB technologies'!$N$138:$Y$152,11,FALSE)/100/VLOOKUP($C$289,'DB animal categories'!$C$107:$AC$116,27,FALSE)*AJ290,0))))</f>
        <v/>
      </c>
      <c r="AM290" s="442" t="str">
        <f>IF(D290="","",IF(AI290=2,(('Calc (ex-animal)'!$G$60*(1-'DB additional information '!$K$15/100)*(1-VLOOKUP(D290,'DB technologies'!$N$138:$Y$152,8,FALSE)/100)*'Calc (ex-housing, ex-storage)'!F290/100+'Calc (ex-animal)'!$H$60*(1-'DB additional information '!$L$15/100)*(1-VLOOKUP(D290,'DB technologies'!$N$138:$Y$152,8,FALSE)/100)*'Calc (ex-housing, ex-storage)'!F290/100))/VLOOKUP($C$289,'DB animal categories'!$C$107:$AC$116,27,FALSE)*AJ290+M290+N290+O290,IF(AI290=1,('Calc (ex-animal)'!$H$60*(1-'DB additional information '!$L$15/100)*(1-VLOOKUP(D290,'DB technologies'!$N$138:$Y$152,8,FALSE)/100)*'Calc (ex-housing, ex-storage)'!F290/100)/VLOOKUP($C$289,'DB animal categories'!$C$107:$AC$116,27,FALSE)*AJ290,IF(AI290=4,('Calc (ex-animal)'!$G$60*(1-'DB additional information '!$K$15/100)+'Calc (ex-animal)'!$H$60*(1-'DB additional information '!$L$15/100))*(1-VLOOKUP(D290,'DB technologies'!$N$138:$Y$152,8,FALSE)/100)*'Calc (ex-housing, ex-storage)'!F290/100*VLOOKUP(D290,'DB technologies'!$N$138:$Y$152,11,FALSE)/100/VLOOKUP($C$289,'DB animal categories'!$C$107:$AC$116,27,FALSE)*AJ290,0))))</f>
        <v/>
      </c>
      <c r="AN290" s="442" t="str">
        <f>IF(AI290="","",IF(AL290=0,0,AL290/AK290*100))</f>
        <v/>
      </c>
      <c r="AO290" s="182" t="str">
        <f>IF(D290="","",IF(AI290=2,(('Calc (ex-animal)'!$L$60*'Calc (ex-housing, ex-storage)'!F290/100+'Calc (ex-animal)'!$K$60*'Calc (ex-housing, ex-storage)'!F290/100))/VLOOKUP($C$289,'DB animal categories'!$C$107:$AC$116,27,FALSE)*AJ290+Q290+R290+S290-AC290,IF(AI290=1,('Calc (ex-animal)'!$L$60*'Calc (ex-housing, ex-storage)'!F290/100)/VLOOKUP($C$289,'DB animal categories'!$C$107:$AC$116,27,FALSE)*AJ290-'Calc (ex-housing, ex-storage)'!AC290,IF(AI290=4,('Calc (ex-animal)'!$L$60+'Calc (ex-animal)'!$K$60)*'Calc (ex-housing, ex-storage)'!F290/100*VLOOKUP(D290,'DB technologies'!$N$138:$Y$152,11,FALSE)/100/VLOOKUP($C$289,'DB animal categories'!$C$107:$AC$116,27,FALSE)*AJ290-AC290*VLOOKUP(D290,'DB technologies'!$N$138:$Y$152,11,FALSE)/100,0))))</f>
        <v/>
      </c>
      <c r="AP290" s="182" t="str">
        <f>IF(D290="","",IF(AO290&lt;-0.01,0,IF(AI290=2,(('Calc (ex-animal)'!$L$60*'Calc (ex-housing, ex-storage)'!F290/100+'Calc (ex-animal)'!$K$60*'Calc (ex-housing, ex-storage)'!F290/100))/VLOOKUP($C$289,'DB animal categories'!$C$107:$AC$116,27,FALSE)*AJ290+Q290+R290+S290-AC290,IF(AI290=1,('Calc (ex-animal)'!$L$60*'Calc (ex-housing, ex-storage)'!F290/100)/VLOOKUP($C$289,'DB animal categories'!$C$107:$AC$116,27,FALSE)*AJ290-'Calc (ex-housing, ex-storage)'!AC290,IF(AI290=4,('Calc (ex-animal)'!$L$60+'Calc (ex-animal)'!$K$60)*'Calc (ex-housing, ex-storage)'!F290/100*VLOOKUP(D290,'DB technologies'!$N$138:$Y$152,11,FALSE)/100/VLOOKUP($C$289,'DB animal categories'!$C$107:$AC$116,27,FALSE)*AJ290-AC290*VLOOKUP(D290,'DB technologies'!$N$138:$Y$152,11,FALSE)/100,0)))))</f>
        <v/>
      </c>
      <c r="AQ290" s="182" t="str">
        <f>IF(D290="","",IF(AI290=2,('Calc (ex-animal)'!$O$60*'Calc (ex-housing, ex-storage)'!F290/100+'Calc (ex-animal)'!$N$60*'Calc (ex-housing, ex-storage)'!F290/100)/VLOOKUP($C$289,'DB animal categories'!$C$107:$AC$116,27,FALSE)*AJ290+U290+V290+W290,IF(AI290=1,'Calc (ex-animal)'!$O$60*'Calc (ex-housing, ex-storage)'!F290/100/VLOOKUP($C$289,'DB animal categories'!$C$107:$AC$116,27,FALSE)*AJ290,IF(AI290=4,('Calc (ex-animal)'!$O$60+'Calc (ex-animal)'!$N$60)*'Calc (ex-housing, ex-storage)'!F290/100*VLOOKUP(D290,'DB technologies'!$N$138:$Y$152,11,FALSE)/100/VLOOKUP($C$289,'DB animal categories'!$C$107:$AC$116,27,FALSE)*AJ290,0))))</f>
        <v/>
      </c>
      <c r="AR290" s="182" t="str">
        <f>IF(D290="","",IF(AI290=2,('Calc (ex-animal)'!$R$60*'Calc (ex-housing, ex-storage)'!F290/100+'Calc (ex-animal)'!$Q$60*'Calc (ex-housing, ex-storage)'!F290/100)/VLOOKUP($C$289,'DB animal categories'!$C$107:$AC$116,27,FALSE)*AJ290+Y290+Z290+AA290,IF(AI290=1,'Calc (ex-animal)'!$R$60*'Calc (ex-housing, ex-storage)'!F290/100/VLOOKUP($C$289,'DB animal categories'!$C$107:$AC$116,27,FALSE)*AJ290,IF(AI290=4,('Calc (ex-animal)'!$R$60+'Calc (ex-animal)'!$Q$60)*'Calc (ex-housing, ex-storage)'!F290/100*VLOOKUP(D290,'DB technologies'!$N$138:$Y$152,11,FALSE)/100/VLOOKUP($C$289,'DB animal categories'!$C$107:$AC$116,27,FALSE)*AJ290,0))))</f>
        <v/>
      </c>
      <c r="AS290" s="181" t="str">
        <f>IF(D290="","",VLOOKUP(D290,'DB technologies'!$N$138:$Y$152,10,FALSE))</f>
        <v/>
      </c>
      <c r="AT290" s="442" t="str">
        <f>IF(AS290="","",AU290+AV290)</f>
        <v/>
      </c>
      <c r="AU290" s="442" t="str">
        <f>IF(D290="","",IF(AS290=2,0,IF(AS290=1,'Calc (ex-animal)'!$G$60*'DB additional information '!$K$15/100*(1-VLOOKUP(D290,'DB technologies'!$N$138:$Y$152,8,FALSE)/100)*'Calc (ex-housing, ex-storage)'!F290/100/VLOOKUP($C$289,'DB animal categories'!$C$107:$AC$116,27,FALSE)*AJ290+I290+J290+K290,IF(AS290=5,(('Calc (ex-animal)'!$G$60*'DB additional information '!$K$15/100+'Calc (ex-animal)'!$H$60*'DB additional information '!$L$15/100))*(1-VLOOKUP(D290,'DB technologies'!$N$138:$Y$152,9,FALSE)/100)*'Calc (ex-housing, ex-storage)'!F290/100/VLOOKUP($C$289,'DB animal categories'!$C$107:$AC$116,27,FALSE)*AJ290+I290+J290+K290,IF(AS290=3,('Calc (ex-animal)'!$G$60*'DB additional information '!$K$15/100+'Calc (ex-animal)'!$H$60*'DB additional information '!$L$15/100)*(1-VLOOKUP(D290,'DB technologies'!$N$138:$Y$152,9,FALSE)/100)*'Calc (ex-housing, ex-storage)'!F290/100/VLOOKUP($C$289,'DB animal categories'!$C$107:$AC$116,27,FALSE)*AJ290+I290+J290+K290,IF(AS290=4,('Calc (ex-animal)'!$G$60*'DB additional information '!$K$15/100+'Calc (ex-animal)'!$H$60*'DB additional information '!$L$15/100)*(1-VLOOKUP(D290,'DB technologies'!$N$138:$Y$152,9,FALSE)/100)*'Calc (ex-housing, ex-storage)'!F290/100*VLOOKUP(D290,'DB technologies'!$N$138:$Y$152,12,FALSE)/100/VLOOKUP($C$289,'DB animal categories'!$C$107:$AC$116,27,FALSE)*AJ290+I290+J290+K290,0))))))</f>
        <v/>
      </c>
      <c r="AV290" s="442" t="str">
        <f>IF(D290="","",IF(AS290=2,0,IF(AS290=1,'Calc (ex-animal)'!$G$60*(1-'DB additional information '!$K$15/100)*(1-VLOOKUP(D290,'DB technologies'!$N$138:$Y$152,8,FALSE)/100)*'Calc (ex-housing, ex-storage)'!F290/100/VLOOKUP($C$289,'DB animal categories'!$C$107:$AC$116,27,FALSE)*AJ290+M290+N290+O290,IF(AS290=5,('Calc (ex-animal)'!$G$60*(1-'DB additional information '!$K$15/100)+'Calc (ex-animal)'!$H$60*(1-'DB additional information '!$L$15/100))*(1-VLOOKUP(D290,'DB technologies'!$N$138:$Y$152,8,FALSE)/100)*'Calc (ex-housing, ex-storage)'!F290/100/VLOOKUP($C$289,'DB animal categories'!$C$107:$AC$116,27,FALSE)*AJ290+M290+N290+O290,IF(AS290=3,('Calc (ex-animal)'!$G$60*(1-'DB additional information '!$K$15/100)+'Calc (ex-animal)'!$H$60*(1-'DB additional information '!$L$15/100))*(1-VLOOKUP(D290,'DB technologies'!$N$138:$Y$152,8,FALSE)/100)*'Calc (ex-housing, ex-storage)'!F290/100/VLOOKUP($C$289,'DB animal categories'!$C$107:$AC$116,27,FALSE)*AJ290+M290+N290+O290,IF(AS290=4,('Calc (ex-animal)'!$G$60*(1-'DB additional information '!$K$15/100)+'Calc (ex-animal)'!$H$60*(1-'DB additional information '!$L$15/100))*(1-VLOOKUP(D290,'DB technologies'!$N$138:$Y$152,8,FALSE)/100)*'Calc (ex-housing, ex-storage)'!F290/100*VLOOKUP(D290,'DB technologies'!$N$138:$Y$152,12,FALSE)/100/VLOOKUP($C$289,'DB animal categories'!$C$107:$AC$116,27,FALSE)*AJ290+M290+N290+O290,0))))))</f>
        <v/>
      </c>
      <c r="AW290" s="442" t="str">
        <f>IF(AS290="","",IF(AU290=0,0,AU290/AT290*100))</f>
        <v/>
      </c>
      <c r="AX290" s="182" t="str">
        <f>IF(D290="","",IF(AS290=2,0,IF(AS290=1,'Calc (ex-animal)'!$K$60*'Calc (ex-housing, ex-storage)'!F290/100/VLOOKUP($C$289,'DB animal categories'!$C$107:$AC$116,27,FALSE)*AJ290+Q290+R290+S290,IF(AS290=5,('Calc (ex-animal)'!$K$60+'Calc (ex-animal)'!$L$60)*'Calc (ex-housing, ex-storage)'!F290/100/VLOOKUP($C$289,'DB animal categories'!$C$107:$AC$116,27,FALSE)*AJ290+Q290+R290+S290-'Calc (ex-housing, ex-storage)'!AC290,IF(AS290=3,('Calc (ex-animal)'!$K$60+'Calc (ex-animal)'!$L$60)*'Calc (ex-housing, ex-storage)'!F290/100/VLOOKUP($C$289,'DB animal categories'!$C$107:$AC$116,27,FALSE)*AJ290+Q290+R290+S290-'Calc (ex-housing, ex-storage)'!AC290-AD290-AE290,IF(AI290=4,('Calc (ex-animal)'!$K$60+'Calc (ex-animal)'!$L$60)*'Calc (ex-housing, ex-storage)'!F290/100*VLOOKUP(D290,'DB technologies'!$N$138:$Y$152,12,FALSE)/100/VLOOKUP($C$289,'DB animal categories'!$C$107:$AC$116,27,FALSE)*AJ290+Q290+R290+S290-(VLOOKUP(D290,'DB technologies'!$N$138:$Y$152,12,FALSE)/100*AC290)-AD290-AE290,0))))))</f>
        <v/>
      </c>
      <c r="AY290" s="182" t="str">
        <f>IF(D290="","",IF(AS290=2,0,IF(AS290=1,'Calc (ex-animal)'!$N$60*'Calc (ex-housing, ex-storage)'!F290/100/VLOOKUP($C$289,'DB animal categories'!$C$107:$AC$116,27,FALSE)*AJ290+U290+V290+W290,IF(AS290=5,('Calc (ex-animal)'!$N$60+'Calc (ex-animal)'!$O$60)*'Calc (ex-housing, ex-storage)'!F290/100/VLOOKUP($C$289,'DB animal categories'!$C$107:$AC$116,27,FALSE)*AJ290+U290+V290+W290,IF(AS290=3,('Calc (ex-animal)'!$N$60+'Calc (ex-animal)'!$O$60)*'Calc (ex-housing, ex-storage)'!F290/100/VLOOKUP($C$289,'DB animal categories'!$C$107:$AC$116,27,FALSE)*AJ290+U290+V290+W290,IF(AS290=4,('Calc (ex-animal)'!$N$60+'Calc (ex-animal)'!$O$60)*'Calc (ex-housing, ex-storage)'!F290/100*VLOOKUP(D290,'DB technologies'!$N$138:$Y$152,12,FALSE)/100/VLOOKUP($C$289,'DB animal categories'!$C$107:$AC$116,27,FALSE)*AJ290+U290+V290+W290,0))))))</f>
        <v/>
      </c>
      <c r="AZ290" s="182" t="str">
        <f>IF(D290="","",IF(AS290=2,0,IF(AS290=1,'Calc (ex-animal)'!$Q$60*'Calc (ex-housing, ex-storage)'!F290/100/VLOOKUP($C$289,'DB animal categories'!$C$107:$AC$116,27,FALSE)*AJ290+Y290+Z290+AA290,IF(AS290=5,('Calc (ex-animal)'!$Q$60+'Calc (ex-animal)'!$R$60)*'Calc (ex-housing, ex-storage)'!F290/100/VLOOKUP($C$289,'DB animal categories'!$C$107:$AC$116,27,FALSE)*AJ290+Y290+Z290+AA290,IF(AS290=3,('Calc (ex-animal)'!$Q$60+'Calc (ex-animal)'!$R$60)*'Calc (ex-housing, ex-storage)'!F290/100/VLOOKUP($C$289,'DB animal categories'!$C$107:$AC$116,27,FALSE)*AJ290+Y290+Z290+AA290,IF(AS290=4,('Calc (ex-animal)'!$Q$60+'Calc (ex-animal)'!$R$60)*'Calc (ex-housing, ex-storage)'!F290/100*VLOOKUP(D290,'DB technologies'!$N$138:$Y$152,12,FALSE)/100/VLOOKUP($C$289,'DB animal categories'!$C$107:$AC$116,27,FALSE)*AJ290+Y290+Z290+AA290,0))))))</f>
        <v/>
      </c>
      <c r="BA290" s="506"/>
      <c r="BB290" s="506"/>
      <c r="BC290" s="506"/>
    </row>
    <row r="291" spans="1:55" x14ac:dyDescent="0.2">
      <c r="A291" s="695"/>
      <c r="B291" s="695"/>
      <c r="C291" s="251"/>
      <c r="D291" s="1357"/>
      <c r="E291" s="1358"/>
      <c r="F291" s="480" t="str">
        <f>IF('Calc (ex-animal)'!$F$58=1,"",IF($C$289=0,"",IF(D291="","",E291/'Calc (ex-animal)'!$E$60*100)))</f>
        <v/>
      </c>
      <c r="G291" s="485" t="str">
        <f>IF($C$289=0,"",IF('Calc (ex-animal)'!$F$58=1,"",IF(D291="","",SUM(H291:O291))))</f>
        <v/>
      </c>
      <c r="H291" s="423" t="str">
        <f>IF('Calc (ex-animal)'!$F$58=1,"",IF(D291="","",(((VLOOKUP($C$289,'Calc (ex-animal)'!$D$58:$Y$62,6,FALSE)-VLOOKUP($C$289,'Calc (ex-animal)'!$D$58:$Y$62,17,FALSE))*F291/100))*VLOOKUP($C$289,'Calc (ex-animal)'!$D$58:$Y$62,7,FALSE)/100*(1-VLOOKUP(D291,'DB technologies'!$N$138:$Y$152,9,FALSE)/100)))</f>
        <v/>
      </c>
      <c r="I291" s="423" t="str">
        <f>IF(D291="","",((VLOOKUP(D291,'DB technologies'!$N$138:$Y$152,2,FALSE)*VLOOKUP($C$289,'DB animal categories'!$C$107:$AC$116,27,FALSE)*E291/1000)/VLOOKUP($C$289,'DB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'!$S$6/100*(1-VLOOKUP(D291,'DB technologies'!$N$138:$Y$152,9,FALSE)/100)))</f>
        <v/>
      </c>
      <c r="J291" s="434" t="str">
        <f>IF(D291="","",((VLOOKUP(D291,'DB technologies'!$N$138:$Y$152,3,FALSE)*VLOOKUP($C$289,'DB animal categories'!$C$107:$AC$116,27,FALSE)*E291/1000)/VLOOKUP($C$289,'DB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'!$S$7/100*(1-VLOOKUP(D291,'DB technologies'!$N$138:$Y$152,9,FALSE)/100)))</f>
        <v/>
      </c>
      <c r="K291" s="434" t="str">
        <f>IF(D291="","",((VLOOKUP(D291,'DB technologies'!$N$138:$Y$152,4,FALSE)*E291*'DB additional information '!$S$8/100*(1-VLOOKUP(D291,'DB technologies'!$N$138:$Y$152,9,FALSE)/100))/VLOOKUP($C$289,'DB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L291" s="423" t="str">
        <f>IF('Calc (ex-animal)'!$F$58=1,"",IF(D291="","",(((VLOOKUP($C$289,'Calc (ex-animal)'!$D$58:$Y$62,6,FALSE)-VLOOKUP($C$289,'Calc (ex-animal)'!$D$58:$Y$62,17,FALSE))*F291/100))*(1-VLOOKUP($C$289,'Calc (ex-animal)'!$D$58:$Y$62,7,FALSE)/100)*(1-VLOOKUP(D291,'DB technologies'!$N$138:$V$152,8,FALSE)/100)))</f>
        <v/>
      </c>
      <c r="M291" s="434" t="str">
        <f>IF(D291="","",((VLOOKUP(D291,'DB technologies'!$N$138:$Y$152,2,FALSE)*VLOOKUP($C$289,'DB animal categories'!$C$107:$AC$116,27,FALSE)*E291/1000)/VLOOKUP($C$289,'DB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'!$S$6/100)*(1-VLOOKUP(D291,'DB technologies'!$N$138:$Y$152,9,FALSE)/100))</f>
        <v/>
      </c>
      <c r="N291" s="434" t="str">
        <f>IF(D291="","",((VLOOKUP(D291,'DB technologies'!$N$138:$Y$152,3,FALSE)*VLOOKUP($C$289,'DB animal categories'!$C$107:$AC$116,27,FALSE)*E291/1000)/VLOOKUP($C$289,'DB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'!$S$7/100)*(1-VLOOKUP(D291,'DB technologies'!$N$138:$Y$152,9,FALSE)/100))</f>
        <v/>
      </c>
      <c r="O291" s="423" t="str">
        <f>IF(D291="","",((VLOOKUP(D291,'DB technologies'!$N$138:$Y$152,4,FALSE)*E291*(1-'DB additional information '!$S$8/100)*(1-VLOOKUP(D291,'DB technologies'!$N$138:$Y$152,8,FALSE)/100))/VLOOKUP($C$289,'DB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P291" s="438" t="str">
        <f>IF(G291=0,0,IF(E291="","",IF(F291="","",IF($C$289=0,"",IF(D291="","",SUM(H291:K291)/G291*100)))))</f>
        <v/>
      </c>
      <c r="Q291" s="416" t="str">
        <f>IF(D291="","",(VLOOKUP(D291,'DB technologies'!$N$138:$Y$152,2,FALSE)*'DB additional information '!$S$6/100*'DB additional information '!$T$6*VLOOKUP($C$289,'DB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R291" s="416" t="str">
        <f>IF(D291="","",(VLOOKUP(D291,'DB technologies'!$N$138:$Y$152,3,FALSE)*'DB additional information '!$S$7/100*'DB additional information '!$T$7*VLOOKUP($C$289,'DB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S291" s="491" t="str">
        <f>IF(D291="","",(VLOOKUP(D291,'DB technologies'!$N$138:$Y$152,4,FALSE)*('DB additional information '!$S$8/100*'DB additional information '!$T$8*E291/1000/1000)))</f>
        <v/>
      </c>
      <c r="T291" s="264" t="str">
        <f>IF($C$289=0,"",IF('Calc (ex-animal)'!$F$58=1,"",IF(D291="","",((VLOOKUP($C$289,'Calc (ex-animal)'!$D$58:$Y$62,10,FALSE)-VLOOKUP($C$289,'Calc (ex-animal)'!$D$58:$Y$62,18,FALSE))*F291/100+Q291+R291+S291)-AC291-AD291-AE291)))</f>
        <v/>
      </c>
      <c r="U291" s="422" t="str">
        <f>IF(D291="","",(VLOOKUP(D291,'DB technologies'!$N$138:$Y$152,2,FALSE)*'DB additional information '!$S$6/100*'DB additional information '!$U$6*VLOOKUP($C$289,'DB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V291" s="418" t="str">
        <f>IF(D291="","",(VLOOKUP(D291,'DB technologies'!$N$138:$Y$152,3,FALSE)*'DB additional information '!$S$7/100*'DB additional information '!$U$7*VLOOKUP($C$289,'DB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W291" s="417" t="str">
        <f>IF(D291="","",(VLOOKUP(D291,'DB technologies'!$N$138:$Y$152,4,FALSE)*('DB additional information '!$S$8/100*'DB additional information '!$U$8*E291/1000/1000)))</f>
        <v/>
      </c>
      <c r="X291" s="261" t="str">
        <f>IF($C$289=0,"",IF('Calc (ex-animal)'!$F$58=1,"",IF(D291="","",((VLOOKUP($C$289,'Calc (ex-animal)'!$D$58:$Y$62,13,FALSE)-VLOOKUP($C$289,'Calc (ex-animal)'!$D$58:$Y$62,19,FALSE))*F291/100+U291+V291+W291))))</f>
        <v/>
      </c>
      <c r="Y291" s="418" t="str">
        <f>IF(D291="","",(VLOOKUP(D291,'DB technologies'!$N$138:$Y$152,2,FALSE)*'DB additional information '!$S$6/100*'DB additional information '!$V$6*VLOOKUP($C$289,'DB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Z291" s="418" t="str">
        <f>IF(D291="","",(VLOOKUP(D291,'DB technologies'!$N$138:$Y$152,3,FALSE)*'DB additional information '!$S$7/100*'DB additional information '!$V$7*VLOOKUP($C$289,'DB animal categories'!$C$107:$AC$116,27,FALSE)*E291/1000/1000)/VLOOKUP($C$289,'DB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AA291" s="418" t="str">
        <f>IF(D291="","",(VLOOKUP(D291,'DB technologies'!$N$138:$Y$152,4,FALSE)*('DB additional information '!$S$8/100*'DB additional information '!$V$8*E291/1000/1000)))</f>
        <v/>
      </c>
      <c r="AB291" s="261" t="str">
        <f>IF($C$289=0,"",IF('Calc (ex-animal)'!$F$58=1,"",IF(D291="","",((VLOOKUP($C$289,'Calc (ex-animal)'!$D$58:$Y$62,16,FALSE)-VLOOKUP($C$289,'Calc (ex-animal)'!$D$58:$Y$62,20,FALSE))*F291/100+Y291+Z291+AA291))))</f>
        <v/>
      </c>
      <c r="AC291" s="261" t="str">
        <f>IF($C$289=0,"",IF('Calc (ex-animal)'!$F$58=1,"",IF(D291="","",VLOOKUP($C$289,'Calc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categories'!$C$107:$AC$116,26,FALSE)/24)*F291/100*VLOOKUP(D291,'DB technologies'!$N$138:$R$152,5,FALSE)/100)))</f>
        <v/>
      </c>
      <c r="AD291" s="261" t="str">
        <f>IF($C$289=0,"",IF('Calc (ex-animal)'!$F$58=1,"",IF(D291="","",VLOOKUP($C$289,'Calc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categories'!$C$107:$AC$116,26,FALSE)/24)*F291/100*VLOOKUP(D291,'DB technologies'!$N$138:$Y$152,6,FALSE)/100)))</f>
        <v/>
      </c>
      <c r="AE291" s="262" t="str">
        <f>IF($C$289=0,"",IF('Calc (ex-animal)'!$F$58=1,"",IF(D291="","",VLOOKUP($C$289,'Calc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categories'!$C$107:$AC$116,26,FALSE)/24)*F291/100*VLOOKUP(D291,'DB technologies'!$N$138:$Y$152,7,FALSE)/100)))</f>
        <v/>
      </c>
      <c r="AI291" s="181" t="str">
        <f>IF(D291="","",VLOOKUP(D291,'DB technologies'!$N$138:$Y$152,10,FALSE))</f>
        <v/>
      </c>
      <c r="AJ291" s="449" t="e">
        <f>VLOOKUP($C$289,'DB animal categories'!$C$107:$AN$116,27,FALSE)-VLOOKUP($C$289,'DB animal categories'!$C$107:$AN$116,26,FALSE)*VLOOKUP($C$289,'DB animal categories'!$C$107:$AN$116,25,FALSE)/24</f>
        <v>#N/A</v>
      </c>
      <c r="AK291" s="442" t="str">
        <f>IF(AI291="","",AL291+AM291)</f>
        <v/>
      </c>
      <c r="AL291" s="442" t="str">
        <f>IF(D291="","",IF(AI291=2,(('Calc (ex-animal)'!$G$60*'DB additional information '!$K$15/100*(1-VLOOKUP(D291,'DB technologies'!$N$138:$Y$152,9,FALSE)/100)*'Calc (ex-housing, ex-storage)'!F291/100+'Calc (ex-animal)'!$H$60*'DB additional information '!$L$15/100*(1-VLOOKUP(D291,'DB technologies'!$N$138:$Y$152,9,FALSE)/100)*'Calc (ex-housing, ex-storage)'!F291/100))/VLOOKUP($C$289,'DB animal categories'!$C$107:$AC$116,27,FALSE)*AJ291+I291+J291+K291,IF(AI291=1,('Calc (ex-animal)'!$H$60*'DB additional information '!$L$15/100*(1-VLOOKUP(D291,'DB technologies'!$N$138:$Y$152,9,FALSE)/100)*'Calc (ex-housing, ex-storage)'!F291/100)/VLOOKUP($C$289,'DB animal categories'!$C$107:$AC$116,27,FALSE)*AJ291,IF(AI291=4,('Calc (ex-animal)'!$G$60*'DB additional information '!$K$15/100+'Calc (ex-animal)'!$H$60*'DB additional information '!$L$15/100)*(1-VLOOKUP(D291,'DB technologies'!$N$138:$Y$152,9,FALSE)/100)*'Calc (ex-housing, ex-storage)'!F291/100*VLOOKUP(D291,'DB technologies'!$N$138:$Y$152,11,FALSE)/100/VLOOKUP($C$289,'DB animal categories'!$C$107:$AC$116,27,FALSE)*AJ291,0))))</f>
        <v/>
      </c>
      <c r="AM291" s="442" t="str">
        <f>IF(D291="","",IF(AI291=2,(('Calc (ex-animal)'!$G$60*(1-'DB additional information '!$K$15/100)*(1-VLOOKUP(D291,'DB technologies'!$N$138:$Y$152,8,FALSE)/100)*'Calc (ex-housing, ex-storage)'!F291/100+'Calc (ex-animal)'!$H$60*(1-'DB additional information '!$L$15/100)*(1-VLOOKUP(D291,'DB technologies'!$N$138:$Y$152,8,FALSE)/100)*'Calc (ex-housing, ex-storage)'!F291/100))/VLOOKUP($C$289,'DB animal categories'!$C$107:$AC$116,27,FALSE)*AJ291+M291+N291+O291,IF(AI291=1,('Calc (ex-animal)'!$H$60*(1-'DB additional information '!$L$15/100)*(1-VLOOKUP(D291,'DB technologies'!$N$138:$Y$152,8,FALSE)/100)*'Calc (ex-housing, ex-storage)'!F291/100)/VLOOKUP($C$289,'DB animal categories'!$C$107:$AC$116,27,FALSE)*AJ291,IF(AI291=4,('Calc (ex-animal)'!$G$60*(1-'DB additional information '!$K$15/100)+'Calc (ex-animal)'!$H$60*(1-'DB additional information '!$L$15/100))*(1-VLOOKUP(D291,'DB technologies'!$N$138:$Y$152,8,FALSE)/100)*'Calc (ex-housing, ex-storage)'!F291/100*VLOOKUP(D291,'DB technologies'!$N$138:$Y$152,11,FALSE)/100/VLOOKUP($C$289,'DB animal categories'!$C$107:$AC$116,27,FALSE)*AJ291,0))))</f>
        <v/>
      </c>
      <c r="AN291" s="442" t="str">
        <f>IF(AI291="","",IF(AL291=0,0,AL291/AK291*100))</f>
        <v/>
      </c>
      <c r="AO291" s="182" t="str">
        <f>IF(D291="","",IF(AI291=2,(('Calc (ex-animal)'!$L$60*'Calc (ex-housing, ex-storage)'!F291/100+'Calc (ex-animal)'!$K$60*'Calc (ex-housing, ex-storage)'!F291/100))/VLOOKUP($C$289,'DB animal categories'!$C$107:$AC$116,27,FALSE)*AJ291+Q291+R291+S291-AC291,IF(AI291=1,('Calc (ex-animal)'!$L$60*'Calc (ex-housing, ex-storage)'!F291/100)/VLOOKUP($C$289,'DB animal categories'!$C$107:$AC$116,27,FALSE)*AJ291-'Calc (ex-housing, ex-storage)'!AC291,IF(AI291=4,('Calc (ex-animal)'!$L$60+'Calc (ex-animal)'!$K$60)*'Calc (ex-housing, ex-storage)'!F291/100*VLOOKUP(D291,'DB technologies'!$N$138:$Y$152,11,FALSE)/100/VLOOKUP($C$289,'DB animal categories'!$C$107:$AC$116,27,FALSE)*AJ291-AC291*VLOOKUP(D291,'DB technologies'!$N$138:$Y$152,11,FALSE)/100,0))))</f>
        <v/>
      </c>
      <c r="AP291" s="182" t="str">
        <f>IF(D291="","",IF(AO291&lt;-0.01,0,IF(AI291=2,(('Calc (ex-animal)'!$L$60*'Calc (ex-housing, ex-storage)'!F291/100+'Calc (ex-animal)'!$K$60*'Calc (ex-housing, ex-storage)'!F291/100))/VLOOKUP($C$289,'DB animal categories'!$C$107:$AC$116,27,FALSE)*AJ291+Q291+R291+S291-AC291,IF(AI291=1,('Calc (ex-animal)'!$L$60*'Calc (ex-housing, ex-storage)'!F291/100)/VLOOKUP($C$289,'DB animal categories'!$C$107:$AC$116,27,FALSE)*AJ291-'Calc (ex-housing, ex-storage)'!AC291,IF(AI291=4,('Calc (ex-animal)'!$L$60+'Calc (ex-animal)'!$K$60)*'Calc (ex-housing, ex-storage)'!F291/100*VLOOKUP(D291,'DB technologies'!$N$138:$Y$152,11,FALSE)/100/VLOOKUP($C$289,'DB animal categories'!$C$107:$AC$116,27,FALSE)*AJ291-AC291*VLOOKUP(D291,'DB technologies'!$N$138:$Y$152,11,FALSE)/100,0)))))</f>
        <v/>
      </c>
      <c r="AQ291" s="182" t="str">
        <f>IF(D291="","",IF(AI291=2,('Calc (ex-animal)'!$O$60*'Calc (ex-housing, ex-storage)'!F291/100+'Calc (ex-animal)'!$N$60*'Calc (ex-housing, ex-storage)'!F291/100)/VLOOKUP($C$289,'DB animal categories'!$C$107:$AC$116,27,FALSE)*AJ291+U291+V291+W291,IF(AI291=1,'Calc (ex-animal)'!$O$60*'Calc (ex-housing, ex-storage)'!F291/100/VLOOKUP($C$289,'DB animal categories'!$C$107:$AC$116,27,FALSE)*AJ291,IF(AI291=4,('Calc (ex-animal)'!$O$60+'Calc (ex-animal)'!$N$60)*'Calc (ex-housing, ex-storage)'!F291/100*VLOOKUP(D291,'DB technologies'!$N$138:$Y$152,11,FALSE)/100/VLOOKUP($C$289,'DB animal categories'!$C$107:$AC$116,27,FALSE)*AJ291,0))))</f>
        <v/>
      </c>
      <c r="AR291" s="182" t="str">
        <f>IF(D291="","",IF(AI291=2,('Calc (ex-animal)'!$R$60*'Calc (ex-housing, ex-storage)'!F291/100+'Calc (ex-animal)'!$Q$60*'Calc (ex-housing, ex-storage)'!F291/100)/VLOOKUP($C$289,'DB animal categories'!$C$107:$AC$116,27,FALSE)*AJ291+Y291+Z291+AA291,IF(AI291=1,'Calc (ex-animal)'!$R$60*'Calc (ex-housing, ex-storage)'!F291/100/VLOOKUP($C$289,'DB animal categories'!$C$107:$AC$116,27,FALSE)*AJ291,IF(AI291=4,('Calc (ex-animal)'!$R$60+'Calc (ex-animal)'!$Q$60)*'Calc (ex-housing, ex-storage)'!F291/100*VLOOKUP(D291,'DB technologies'!$N$138:$Y$152,11,FALSE)/100/VLOOKUP($C$289,'DB animal categories'!$C$107:$AC$116,27,FALSE)*AJ291,0))))</f>
        <v/>
      </c>
      <c r="AS291" s="181" t="str">
        <f>IF(D291="","",VLOOKUP(D291,'DB technologies'!$N$138:$Y$152,10,FALSE))</f>
        <v/>
      </c>
      <c r="AT291" s="442" t="str">
        <f>IF(AS291="","",AU291+AV291)</f>
        <v/>
      </c>
      <c r="AU291" s="442" t="str">
        <f>IF(D291="","",IF(AS291=2,0,IF(AS291=1,'Calc (ex-animal)'!$G$60*'DB additional information '!$K$15/100*(1-VLOOKUP(D291,'DB technologies'!$N$138:$Y$152,8,FALSE)/100)*'Calc (ex-housing, ex-storage)'!F291/100/VLOOKUP($C$289,'DB animal categories'!$C$107:$AC$116,27,FALSE)*AJ291+I291+J291+K291,IF(AS291=5,(('Calc (ex-animal)'!$G$60*'DB additional information '!$K$15/100+'Calc (ex-animal)'!$H$60*'DB additional information '!$L$15/100))*(1-VLOOKUP(D291,'DB technologies'!$N$138:$Y$152,9,FALSE)/100)*'Calc (ex-housing, ex-storage)'!F291/100/VLOOKUP($C$289,'DB animal categories'!$C$107:$AC$116,27,FALSE)*AJ291+I291+J291+K291,IF(AS291=3,('Calc (ex-animal)'!$G$60*'DB additional information '!$K$15/100+'Calc (ex-animal)'!$H$60*'DB additional information '!$L$15/100)*(1-VLOOKUP(D291,'DB technologies'!$N$138:$Y$152,9,FALSE)/100)*'Calc (ex-housing, ex-storage)'!F291/100/VLOOKUP($C$289,'DB animal categories'!$C$107:$AC$116,27,FALSE)*AJ291+I291+J291+K291,IF(AS291=4,('Calc (ex-animal)'!$G$60*'DB additional information '!$K$15/100+'Calc (ex-animal)'!$H$60*'DB additional information '!$L$15/100)*(1-VLOOKUP(D291,'DB technologies'!$N$138:$Y$152,9,FALSE)/100)*'Calc (ex-housing, ex-storage)'!F291/100*VLOOKUP(D291,'DB technologies'!$N$138:$Y$152,12,FALSE)/100/VLOOKUP($C$289,'DB animal categories'!$C$107:$AC$116,27,FALSE)*AJ291+I291+J291+K291,0))))))</f>
        <v/>
      </c>
      <c r="AV291" s="442" t="str">
        <f>IF(D291="","",IF(AS291=2,0,IF(AS291=1,'Calc (ex-animal)'!$G$60*(1-'DB additional information '!$K$15/100)*(1-VLOOKUP(D291,'DB technologies'!$N$138:$Y$152,8,FALSE)/100)*'Calc (ex-housing, ex-storage)'!F291/100/VLOOKUP($C$289,'DB animal categories'!$C$107:$AC$116,27,FALSE)*AJ291+M291+N291+O291,IF(AS291=5,('Calc (ex-animal)'!$G$60*(1-'DB additional information '!$K$15/100)+'Calc (ex-animal)'!$H$60*(1-'DB additional information '!$L$15/100))*(1-VLOOKUP(D291,'DB technologies'!$N$138:$Y$152,8,FALSE)/100)*'Calc (ex-housing, ex-storage)'!F291/100/VLOOKUP($C$289,'DB animal categories'!$C$107:$AC$116,27,FALSE)*AJ291+M291+N291+O291,IF(AS291=3,('Calc (ex-animal)'!$G$60*(1-'DB additional information '!$K$15/100)+'Calc (ex-animal)'!$H$60*(1-'DB additional information '!$L$15/100))*(1-VLOOKUP(D291,'DB technologies'!$N$138:$Y$152,8,FALSE)/100)*'Calc (ex-housing, ex-storage)'!F291/100/VLOOKUP($C$289,'DB animal categories'!$C$107:$AC$116,27,FALSE)*AJ291+M291+N291+O291,IF(AS291=4,('Calc (ex-animal)'!$G$60*(1-'DB additional information '!$K$15/100)+'Calc (ex-animal)'!$H$60*(1-'DB additional information '!$L$15/100))*(1-VLOOKUP(D291,'DB technologies'!$N$138:$Y$152,8,FALSE)/100)*'Calc (ex-housing, ex-storage)'!F291/100*VLOOKUP(D291,'DB technologies'!$N$138:$Y$152,12,FALSE)/100/VLOOKUP($C$289,'DB animal categories'!$C$107:$AC$116,27,FALSE)*AJ291+M291+N291+O291,0))))))</f>
        <v/>
      </c>
      <c r="AW291" s="442" t="str">
        <f>IF(AS291="","",IF(AU291=0,0,AU291/AT291*100))</f>
        <v/>
      </c>
      <c r="AX291" s="182" t="str">
        <f>IF(D291="","",IF(AS291=2,0,IF(AS291=1,'Calc (ex-animal)'!$K$60*'Calc (ex-housing, ex-storage)'!F291/100/VLOOKUP($C$289,'DB animal categories'!$C$107:$AC$116,27,FALSE)*AJ291+Q291+R291+S291,IF(AS291=5,('Calc (ex-animal)'!$K$60+'Calc (ex-animal)'!$L$60)*'Calc (ex-housing, ex-storage)'!F291/100/VLOOKUP($C$289,'DB animal categories'!$C$107:$AC$116,27,FALSE)*AJ291+Q291+R291+S291-'Calc (ex-housing, ex-storage)'!AC291,IF(AS291=3,('Calc (ex-animal)'!$K$60+'Calc (ex-animal)'!$L$60)*'Calc (ex-housing, ex-storage)'!F291/100/VLOOKUP($C$289,'DB animal categories'!$C$107:$AC$116,27,FALSE)*AJ291+Q291+R291+S291-'Calc (ex-housing, ex-storage)'!AC291-AD291-AE291,IF(AI291=4,('Calc (ex-animal)'!$K$60+'Calc (ex-animal)'!$L$60)*'Calc (ex-housing, ex-storage)'!F291/100*VLOOKUP(D291,'DB technologies'!$N$138:$Y$152,12,FALSE)/100/VLOOKUP($C$289,'DB animal categories'!$C$107:$AC$116,27,FALSE)*AJ291+Q291+R291+S291-(VLOOKUP(D291,'DB technologies'!$N$138:$Y$152,12,FALSE)/100*AC291)-AD291-AE291,0))))))</f>
        <v/>
      </c>
      <c r="AY291" s="182" t="str">
        <f>IF(D291="","",IF(AS291=2,0,IF(AS291=1,'Calc (ex-animal)'!$N$60*'Calc (ex-housing, ex-storage)'!F291/100/VLOOKUP($C$289,'DB animal categories'!$C$107:$AC$116,27,FALSE)*AJ291+U291+V291+W291,IF(AS291=5,('Calc (ex-animal)'!$N$60+'Calc (ex-animal)'!$O$60)*'Calc (ex-housing, ex-storage)'!F291/100/VLOOKUP($C$289,'DB animal categories'!$C$107:$AC$116,27,FALSE)*AJ291+U291+V291+W291,IF(AS291=3,('Calc (ex-animal)'!$N$60+'Calc (ex-animal)'!$O$60)*'Calc (ex-housing, ex-storage)'!F291/100/VLOOKUP($C$289,'DB animal categories'!$C$107:$AC$116,27,FALSE)*AJ291+U291+V291+W291,IF(AS291=4,('Calc (ex-animal)'!$N$60+'Calc (ex-animal)'!$O$60)*'Calc (ex-housing, ex-storage)'!F291/100*VLOOKUP(D291,'DB technologies'!$N$138:$Y$152,12,FALSE)/100/VLOOKUP($C$289,'DB animal categories'!$C$107:$AC$116,27,FALSE)*AJ291+U291+V291+W291,0))))))</f>
        <v/>
      </c>
      <c r="AZ291" s="182" t="str">
        <f>IF(D291="","",IF(AS291=2,0,IF(AS291=1,'Calc (ex-animal)'!$Q$60*'Calc (ex-housing, ex-storage)'!F291/100/VLOOKUP($C$289,'DB animal categories'!$C$107:$AC$116,27,FALSE)*AJ291+Y291+Z291+AA291,IF(AS291=5,('Calc (ex-animal)'!$Q$60+'Calc (ex-animal)'!$R$60)*'Calc (ex-housing, ex-storage)'!F291/100/VLOOKUP($C$289,'DB animal categories'!$C$107:$AC$116,27,FALSE)*AJ291+Y291+Z291+AA291,IF(AS291=3,('Calc (ex-animal)'!$Q$60+'Calc (ex-animal)'!$R$60)*'Calc (ex-housing, ex-storage)'!F291/100/VLOOKUP($C$289,'DB animal categories'!$C$107:$AC$116,27,FALSE)*AJ291+Y291+Z291+AA291,IF(AS291=4,('Calc (ex-animal)'!$Q$60+'Calc (ex-animal)'!$R$60)*'Calc (ex-housing, ex-storage)'!F291/100*VLOOKUP(D291,'DB technologies'!$N$138:$Y$152,12,FALSE)/100/VLOOKUP($C$289,'DB animal categories'!$C$107:$AC$116,27,FALSE)*AJ291+Y291+Z291+AA291,0))))))</f>
        <v/>
      </c>
      <c r="BA291" s="506"/>
      <c r="BB291" s="506"/>
      <c r="BC291" s="506"/>
    </row>
    <row r="292" spans="1:55" x14ac:dyDescent="0.2">
      <c r="A292" s="695"/>
      <c r="B292" s="695"/>
      <c r="C292" s="251"/>
      <c r="D292" s="1357"/>
      <c r="E292" s="1358"/>
      <c r="F292" s="480" t="str">
        <f>IF('Calc (ex-animal)'!$F$58=1,"",IF($C$289=0,"",IF(D292="","",E292/'Calc (ex-animal)'!$E$60*100)))</f>
        <v/>
      </c>
      <c r="G292" s="485" t="str">
        <f>IF($C$289=0,"",IF('Calc (ex-animal)'!$F$58=1,"",IF(D292="","",SUM(H292:O292))))</f>
        <v/>
      </c>
      <c r="H292" s="423" t="str">
        <f>IF('Calc (ex-animal)'!$F$58=1,"",IF(D292="","",(((VLOOKUP($C$289,'Calc (ex-animal)'!$D$58:$Y$62,6,FALSE)-VLOOKUP($C$289,'Calc (ex-animal)'!$D$58:$Y$62,17,FALSE))*F292/100))*VLOOKUP($C$289,'Calc (ex-animal)'!$D$58:$Y$62,7,FALSE)/100*(1-VLOOKUP(D292,'DB technologies'!$N$138:$Y$152,9,FALSE)/100)))</f>
        <v/>
      </c>
      <c r="I292" s="423" t="str">
        <f>IF(D292="","",((VLOOKUP(D292,'DB technologies'!$N$138:$Y$152,2,FALSE)*VLOOKUP($C$289,'DB animal categories'!$C$107:$AC$116,27,FALSE)*E292/1000)/VLOOKUP($C$289,'DB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'!$S$6/100*(1-VLOOKUP(D292,'DB technologies'!$N$138:$Y$152,9,FALSE)/100)))</f>
        <v/>
      </c>
      <c r="J292" s="434" t="str">
        <f>IF(D292="","",((VLOOKUP(D292,'DB technologies'!$N$138:$Y$152,3,FALSE)*VLOOKUP($C$289,'DB animal categories'!$C$107:$AC$116,27,FALSE)*E292/1000)/VLOOKUP($C$289,'DB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'!$S$7/100*(1-VLOOKUP(D292,'DB technologies'!$N$138:$Y$152,9,FALSE)/100)))</f>
        <v/>
      </c>
      <c r="K292" s="434" t="str">
        <f>IF(D292="","",((VLOOKUP(D292,'DB technologies'!$N$138:$Y$152,4,FALSE)*E292*'DB additional information '!$S$8/100*(1-VLOOKUP(D292,'DB technologies'!$N$138:$Y$152,9,FALSE)/100))/VLOOKUP($C$289,'DB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L292" s="423" t="str">
        <f>IF('Calc (ex-animal)'!$F$58=1,"",IF(D292="","",(((VLOOKUP($C$289,'Calc (ex-animal)'!$D$58:$Y$62,6,FALSE)-VLOOKUP($C$289,'Calc (ex-animal)'!$D$58:$Y$62,17,FALSE))*F292/100))*(1-VLOOKUP($C$289,'Calc (ex-animal)'!$D$58:$Y$62,7,FALSE)/100)*(1-VLOOKUP(D292,'DB technologies'!$N$138:$V$152,8,FALSE)/100)))</f>
        <v/>
      </c>
      <c r="M292" s="434" t="str">
        <f>IF(D292="","",((VLOOKUP(D292,'DB technologies'!$N$138:$Y$152,2,FALSE)*VLOOKUP($C$289,'DB animal categories'!$C$107:$AC$116,27,FALSE)*E292/1000)/VLOOKUP($C$289,'DB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'!$S$6/100)*(1-VLOOKUP(D292,'DB technologies'!$N$138:$Y$152,9,FALSE)/100))</f>
        <v/>
      </c>
      <c r="N292" s="434" t="str">
        <f>IF(D292="","",((VLOOKUP(D292,'DB technologies'!$N$138:$Y$152,3,FALSE)*VLOOKUP($C$289,'DB animal categories'!$C$107:$AC$116,27,FALSE)*E292/1000)/VLOOKUP($C$289,'DB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'!$S$7/100)*(1-VLOOKUP(D292,'DB technologies'!$N$138:$Y$152,9,FALSE)/100))</f>
        <v/>
      </c>
      <c r="O292" s="423" t="str">
        <f>IF(D292="","",((VLOOKUP(D292,'DB technologies'!$N$138:$Y$152,4,FALSE)*E292*(1-'DB additional information '!$S$8/100)*(1-VLOOKUP(D292,'DB technologies'!$N$138:$Y$152,8,FALSE)/100))/VLOOKUP($C$289,'DB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P292" s="438" t="str">
        <f>IF(G292=0,0,IF(E292="","",IF(F292="","",IF($C$289=0,"",IF(D292="","",SUM(H292:K292)/G292*100)))))</f>
        <v/>
      </c>
      <c r="Q292" s="416" t="str">
        <f>IF(D292="","",(VLOOKUP(D292,'DB technologies'!$N$138:$Y$152,2,FALSE)*'DB additional information '!$S$6/100*'DB additional information '!$T$6*VLOOKUP($C$289,'DB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R292" s="416" t="str">
        <f>IF(D292="","",(VLOOKUP(D292,'DB technologies'!$N$138:$Y$152,3,FALSE)*'DB additional information '!$S$7/100*'DB additional information '!$T$7*VLOOKUP($C$289,'DB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S292" s="491" t="str">
        <f>IF(D292="","",(VLOOKUP(D292,'DB technologies'!$N$138:$Y$152,4,FALSE)*('DB additional information '!$S$8/100*'DB additional information '!$T$8*E292/1000/1000)))</f>
        <v/>
      </c>
      <c r="T292" s="264" t="str">
        <f>IF($C$289=0,"",IF('Calc (ex-animal)'!$F$58=1,"",IF(D292="","",((VLOOKUP($C$289,'Calc (ex-animal)'!$D$58:$Y$62,10,FALSE)-VLOOKUP($C$289,'Calc (ex-animal)'!$D$58:$Y$62,18,FALSE))*F292/100+Q292+R292+S292)-AC292-AD292-AE292)))</f>
        <v/>
      </c>
      <c r="U292" s="422" t="str">
        <f>IF(D292="","",(VLOOKUP(D292,'DB technologies'!$N$138:$Y$152,2,FALSE)*'DB additional information '!$S$6/100*'DB additional information '!$U$6*VLOOKUP($C$289,'DB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V292" s="418" t="str">
        <f>IF(D292="","",(VLOOKUP(D292,'DB technologies'!$N$138:$Y$152,3,FALSE)*'DB additional information '!$S$7/100*'DB additional information '!$U$7*VLOOKUP($C$289,'DB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W292" s="417" t="str">
        <f>IF(D292="","",(VLOOKUP(D292,'DB technologies'!$N$138:$Y$152,4,FALSE)*('DB additional information '!$S$8/100*'DB additional information '!$U$8*E292/1000/1000)))</f>
        <v/>
      </c>
      <c r="X292" s="261" t="str">
        <f>IF($C$289=0,"",IF('Calc (ex-animal)'!$F$58=1,"",IF(D292="","",((VLOOKUP($C$289,'Calc (ex-animal)'!$D$58:$Y$62,13,FALSE)-VLOOKUP($C$289,'Calc (ex-animal)'!$D$58:$Y$62,19,FALSE))*F292/100+U292+V292+W292))))</f>
        <v/>
      </c>
      <c r="Y292" s="418" t="str">
        <f>IF(D292="","",(VLOOKUP(D292,'DB technologies'!$N$138:$Y$152,2,FALSE)*'DB additional information '!$S$6/100*'DB additional information '!$V$6*VLOOKUP($C$289,'DB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Z292" s="418" t="str">
        <f>IF(D292="","",(VLOOKUP(D292,'DB technologies'!$N$138:$Y$152,3,FALSE)*'DB additional information '!$S$7/100*'DB additional information '!$V$7*VLOOKUP($C$289,'DB animal categories'!$C$107:$AC$116,27,FALSE)*E292/1000/1000)/VLOOKUP($C$289,'DB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AA292" s="418" t="str">
        <f>IF(D292="","",(VLOOKUP(D292,'DB technologies'!$N$138:$Y$152,4,FALSE)*('DB additional information '!$S$8/100*'DB additional information '!$V$8*E292/1000/1000)))</f>
        <v/>
      </c>
      <c r="AB292" s="261" t="str">
        <f>IF($C$289=0,"",IF('Calc (ex-animal)'!$F$58=1,"",IF(D292="","",((VLOOKUP($C$289,'Calc (ex-animal)'!$D$58:$Y$62,16,FALSE)-VLOOKUP($C$289,'Calc (ex-animal)'!$D$58:$Y$62,20,FALSE))*F292/100+Y292+Z292+AA292))))</f>
        <v/>
      </c>
      <c r="AC292" s="261" t="str">
        <f>IF($C$289=0,"",IF('Calc (ex-animal)'!$F$58=1,"",IF(D292="","",VLOOKUP($C$289,'Calc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categories'!$C$107:$AC$116,26,FALSE)/24)*F292/100*VLOOKUP(D292,'DB technologies'!$N$138:$R$152,5,FALSE)/100)))</f>
        <v/>
      </c>
      <c r="AD292" s="261" t="str">
        <f>IF($C$289=0,"",IF('Calc (ex-animal)'!$F$58=1,"",IF(D292="","",VLOOKUP($C$289,'Calc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categories'!$C$107:$AC$116,26,FALSE)/24)*F292/100*VLOOKUP(D292,'DB technologies'!$N$138:$Y$152,6,FALSE)/100)))</f>
        <v/>
      </c>
      <c r="AE292" s="262" t="str">
        <f>IF($C$289=0,"",IF('Calc (ex-animal)'!$F$58=1,"",IF(D292="","",VLOOKUP($C$289,'Calc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categories'!$C$107:$AC$116,26,FALSE)/24)*F292/100*VLOOKUP(D292,'DB technologies'!$N$138:$Y$152,7,FALSE)/100)))</f>
        <v/>
      </c>
      <c r="AI292" s="181" t="str">
        <f>IF(D292="","",VLOOKUP(D292,'DB technologies'!$N$138:$Y$152,10,FALSE))</f>
        <v/>
      </c>
      <c r="AJ292" s="449" t="e">
        <f>VLOOKUP($C$289,'DB animal categories'!$C$107:$AN$116,27,FALSE)-VLOOKUP($C$289,'DB animal categories'!$C$107:$AN$116,26,FALSE)*VLOOKUP($C$289,'DB animal categories'!$C$107:$AN$116,25,FALSE)/24</f>
        <v>#N/A</v>
      </c>
      <c r="AK292" s="442" t="str">
        <f>IF(AI292="","",AL292+AM292)</f>
        <v/>
      </c>
      <c r="AL292" s="442" t="str">
        <f>IF(D292="","",IF(AI292=2,(('Calc (ex-animal)'!$G$60*'DB additional information '!$K$15/100*(1-VLOOKUP(D292,'DB technologies'!$N$138:$Y$152,9,FALSE)/100)*'Calc (ex-housing, ex-storage)'!F292/100+'Calc (ex-animal)'!$H$60*'DB additional information '!$L$15/100*(1-VLOOKUP(D292,'DB technologies'!$N$138:$Y$152,9,FALSE)/100)*'Calc (ex-housing, ex-storage)'!F292/100))/VLOOKUP($C$289,'DB animal categories'!$C$107:$AC$116,27,FALSE)*AJ292+I292+J292+K292,IF(AI292=1,('Calc (ex-animal)'!$H$60*'DB additional information '!$L$15/100*(1-VLOOKUP(D292,'DB technologies'!$N$138:$Y$152,9,FALSE)/100)*'Calc (ex-housing, ex-storage)'!F292/100)/VLOOKUP($C$289,'DB animal categories'!$C$107:$AC$116,27,FALSE)*AJ292,IF(AI292=4,('Calc (ex-animal)'!$G$60*'DB additional information '!$K$15/100+'Calc (ex-animal)'!$H$60*'DB additional information '!$L$15/100)*(1-VLOOKUP(D292,'DB technologies'!$N$138:$Y$152,9,FALSE)/100)*'Calc (ex-housing, ex-storage)'!F292/100*VLOOKUP(D292,'DB technologies'!$N$138:$Y$152,11,FALSE)/100/VLOOKUP($C$289,'DB animal categories'!$C$107:$AC$116,27,FALSE)*AJ292,0))))</f>
        <v/>
      </c>
      <c r="AM292" s="442" t="str">
        <f>IF(D292="","",IF(AI292=2,(('Calc (ex-animal)'!$G$60*(1-'DB additional information '!$K$15/100)*(1-VLOOKUP(D292,'DB technologies'!$N$138:$Y$152,8,FALSE)/100)*'Calc (ex-housing, ex-storage)'!F292/100+'Calc (ex-animal)'!$H$60*(1-'DB additional information '!$L$15/100)*(1-VLOOKUP(D292,'DB technologies'!$N$138:$Y$152,8,FALSE)/100)*'Calc (ex-housing, ex-storage)'!F292/100))/VLOOKUP($C$289,'DB animal categories'!$C$107:$AC$116,27,FALSE)*AJ292+M292+N292+O292,IF(AI292=1,('Calc (ex-animal)'!$H$60*(1-'DB additional information '!$L$15/100)*(1-VLOOKUP(D292,'DB technologies'!$N$138:$Y$152,8,FALSE)/100)*'Calc (ex-housing, ex-storage)'!F292/100)/VLOOKUP($C$289,'DB animal categories'!$C$107:$AC$116,27,FALSE)*AJ292,IF(AI292=4,('Calc (ex-animal)'!$G$60*(1-'DB additional information '!$K$15/100)+'Calc (ex-animal)'!$H$60*(1-'DB additional information '!$L$15/100))*(1-VLOOKUP(D292,'DB technologies'!$N$138:$Y$152,8,FALSE)/100)*'Calc (ex-housing, ex-storage)'!F292/100*VLOOKUP(D292,'DB technologies'!$N$138:$Y$152,11,FALSE)/100/VLOOKUP($C$289,'DB animal categories'!$C$107:$AC$116,27,FALSE)*AJ292,0))))</f>
        <v/>
      </c>
      <c r="AN292" s="442" t="str">
        <f>IF(AI292="","",IF(AL292=0,0,AL292/AK292*100))</f>
        <v/>
      </c>
      <c r="AO292" s="182" t="str">
        <f>IF(D292="","",IF(AI292=2,(('Calc (ex-animal)'!$L$60*'Calc (ex-housing, ex-storage)'!F292/100+'Calc (ex-animal)'!$K$60*'Calc (ex-housing, ex-storage)'!F292/100))/VLOOKUP($C$289,'DB animal categories'!$C$107:$AC$116,27,FALSE)*AJ292+Q292+R292+S292-AC292,IF(AI292=1,('Calc (ex-animal)'!$L$60*'Calc (ex-housing, ex-storage)'!F292/100)/VLOOKUP($C$289,'DB animal categories'!$C$107:$AC$116,27,FALSE)*AJ292-'Calc (ex-housing, ex-storage)'!AC292,IF(AI292=4,('Calc (ex-animal)'!$L$60+'Calc (ex-animal)'!$K$60)*'Calc (ex-housing, ex-storage)'!F292/100*VLOOKUP(D292,'DB technologies'!$N$138:$Y$152,11,FALSE)/100/VLOOKUP($C$289,'DB animal categories'!$C$107:$AC$116,27,FALSE)*AJ292-AC292*VLOOKUP(D292,'DB technologies'!$N$138:$Y$152,11,FALSE)/100,0))))</f>
        <v/>
      </c>
      <c r="AP292" s="182" t="str">
        <f>IF(D292="","",IF(AO292&lt;-0.01,0,IF(AI292=2,(('Calc (ex-animal)'!$L$60*'Calc (ex-housing, ex-storage)'!F292/100+'Calc (ex-animal)'!$K$60*'Calc (ex-housing, ex-storage)'!F292/100))/VLOOKUP($C$289,'DB animal categories'!$C$107:$AC$116,27,FALSE)*AJ292+Q292+R292+S292-AC292,IF(AI292=1,('Calc (ex-animal)'!$L$60*'Calc (ex-housing, ex-storage)'!F292/100)/VLOOKUP($C$289,'DB animal categories'!$C$107:$AC$116,27,FALSE)*AJ292-'Calc (ex-housing, ex-storage)'!AC292,IF(AI292=4,('Calc (ex-animal)'!$L$60+'Calc (ex-animal)'!$K$60)*'Calc (ex-housing, ex-storage)'!F292/100*VLOOKUP(D292,'DB technologies'!$N$138:$Y$152,11,FALSE)/100/VLOOKUP($C$289,'DB animal categories'!$C$107:$AC$116,27,FALSE)*AJ292-AC292*VLOOKUP(D292,'DB technologies'!$N$138:$Y$152,11,FALSE)/100,0)))))</f>
        <v/>
      </c>
      <c r="AQ292" s="182" t="str">
        <f>IF(D292="","",IF(AI292=2,('Calc (ex-animal)'!$O$60*'Calc (ex-housing, ex-storage)'!F292/100+'Calc (ex-animal)'!$N$60*'Calc (ex-housing, ex-storage)'!F292/100)/VLOOKUP($C$289,'DB animal categories'!$C$107:$AC$116,27,FALSE)*AJ292+U292+V292+W292,IF(AI292=1,'Calc (ex-animal)'!$O$60*'Calc (ex-housing, ex-storage)'!F292/100/VLOOKUP($C$289,'DB animal categories'!$C$107:$AC$116,27,FALSE)*AJ292,IF(AI292=4,('Calc (ex-animal)'!$O$60+'Calc (ex-animal)'!$N$60)*'Calc (ex-housing, ex-storage)'!F292/100*VLOOKUP(D292,'DB technologies'!$N$138:$Y$152,11,FALSE)/100/VLOOKUP($C$289,'DB animal categories'!$C$107:$AC$116,27,FALSE)*AJ292,0))))</f>
        <v/>
      </c>
      <c r="AR292" s="182" t="str">
        <f>IF(D292="","",IF(AI292=2,('Calc (ex-animal)'!$R$60*'Calc (ex-housing, ex-storage)'!F292/100+'Calc (ex-animal)'!$Q$60*'Calc (ex-housing, ex-storage)'!F292/100)/VLOOKUP($C$289,'DB animal categories'!$C$107:$AC$116,27,FALSE)*AJ292+Y292+Z292+AA292,IF(AI292=1,'Calc (ex-animal)'!$R$60*'Calc (ex-housing, ex-storage)'!F292/100/VLOOKUP($C$289,'DB animal categories'!$C$107:$AC$116,27,FALSE)*AJ292,IF(AI292=4,('Calc (ex-animal)'!$R$60+'Calc (ex-animal)'!$Q$60)*'Calc (ex-housing, ex-storage)'!F292/100*VLOOKUP(D292,'DB technologies'!$N$138:$Y$152,11,FALSE)/100/VLOOKUP($C$289,'DB animal categories'!$C$107:$AC$116,27,FALSE)*AJ292,0))))</f>
        <v/>
      </c>
      <c r="AS292" s="181" t="str">
        <f>IF(D292="","",VLOOKUP(D292,'DB technologies'!$N$138:$Y$152,10,FALSE))</f>
        <v/>
      </c>
      <c r="AT292" s="442" t="str">
        <f>IF(AS292="","",AU292+AV292)</f>
        <v/>
      </c>
      <c r="AU292" s="442" t="str">
        <f>IF(D292="","",IF(AS292=2,0,IF(AS292=1,'Calc (ex-animal)'!$G$60*'DB additional information '!$K$15/100*(1-VLOOKUP(D292,'DB technologies'!$N$138:$Y$152,8,FALSE)/100)*'Calc (ex-housing, ex-storage)'!F292/100/VLOOKUP($C$289,'DB animal categories'!$C$107:$AC$116,27,FALSE)*AJ292+I292+J292+K292,IF(AS292=5,(('Calc (ex-animal)'!$G$60*'DB additional information '!$K$15/100+'Calc (ex-animal)'!$H$60*'DB additional information '!$L$15/100))*(1-VLOOKUP(D292,'DB technologies'!$N$138:$Y$152,9,FALSE)/100)*'Calc (ex-housing, ex-storage)'!F292/100/VLOOKUP($C$289,'DB animal categories'!$C$107:$AC$116,27,FALSE)*AJ292+I292+J292+K292,IF(AS292=3,('Calc (ex-animal)'!$G$60*'DB additional information '!$K$15/100+'Calc (ex-animal)'!$H$60*'DB additional information '!$L$15/100)*(1-VLOOKUP(D292,'DB technologies'!$N$138:$Y$152,9,FALSE)/100)*'Calc (ex-housing, ex-storage)'!F292/100/VLOOKUP($C$289,'DB animal categories'!$C$107:$AC$116,27,FALSE)*AJ292+I292+J292+K292,IF(AS292=4,('Calc (ex-animal)'!$G$60*'DB additional information '!$K$15/100+'Calc (ex-animal)'!$H$60*'DB additional information '!$L$15/100)*(1-VLOOKUP(D292,'DB technologies'!$N$138:$Y$152,9,FALSE)/100)*'Calc (ex-housing, ex-storage)'!F292/100*VLOOKUP(D292,'DB technologies'!$N$138:$Y$152,12,FALSE)/100/VLOOKUP($C$289,'DB animal categories'!$C$107:$AC$116,27,FALSE)*AJ292+I292+J292+K292,0))))))</f>
        <v/>
      </c>
      <c r="AV292" s="442" t="str">
        <f>IF(D292="","",IF(AS292=2,0,IF(AS292=1,'Calc (ex-animal)'!$G$60*(1-'DB additional information '!$K$15/100)*(1-VLOOKUP(D292,'DB technologies'!$N$138:$Y$152,8,FALSE)/100)*'Calc (ex-housing, ex-storage)'!F292/100/VLOOKUP($C$289,'DB animal categories'!$C$107:$AC$116,27,FALSE)*AJ292+M292+N292+O292,IF(AS292=5,('Calc (ex-animal)'!$G$60*(1-'DB additional information '!$K$15/100)+'Calc (ex-animal)'!$H$60*(1-'DB additional information '!$L$15/100))*(1-VLOOKUP(D292,'DB technologies'!$N$138:$Y$152,8,FALSE)/100)*'Calc (ex-housing, ex-storage)'!F292/100/VLOOKUP($C$289,'DB animal categories'!$C$107:$AC$116,27,FALSE)*AJ292+M292+N292+O292,IF(AS292=3,('Calc (ex-animal)'!$G$60*(1-'DB additional information '!$K$15/100)+'Calc (ex-animal)'!$H$60*(1-'DB additional information '!$L$15/100))*(1-VLOOKUP(D292,'DB technologies'!$N$138:$Y$152,8,FALSE)/100)*'Calc (ex-housing, ex-storage)'!F292/100/VLOOKUP($C$289,'DB animal categories'!$C$107:$AC$116,27,FALSE)*AJ292+M292+N292+O292,IF(AS292=4,('Calc (ex-animal)'!$G$60*(1-'DB additional information '!$K$15/100)+'Calc (ex-animal)'!$H$60*(1-'DB additional information '!$L$15/100))*(1-VLOOKUP(D292,'DB technologies'!$N$138:$Y$152,8,FALSE)/100)*'Calc (ex-housing, ex-storage)'!F292/100*VLOOKUP(D292,'DB technologies'!$N$138:$Y$152,12,FALSE)/100/VLOOKUP($C$289,'DB animal categories'!$C$107:$AC$116,27,FALSE)*AJ292+M292+N292+O292,0))))))</f>
        <v/>
      </c>
      <c r="AW292" s="442" t="str">
        <f>IF(AS292="","",IF(AU292=0,0,AU292/AT292*100))</f>
        <v/>
      </c>
      <c r="AX292" s="182" t="str">
        <f>IF(D292="","",IF(AS292=2,0,IF(AS292=1,'Calc (ex-animal)'!$K$60*'Calc (ex-housing, ex-storage)'!F292/100/VLOOKUP($C$289,'DB animal categories'!$C$107:$AC$116,27,FALSE)*AJ292+Q292+R292+S292,IF(AS292=5,('Calc (ex-animal)'!$K$60+'Calc (ex-animal)'!$L$60)*'Calc (ex-housing, ex-storage)'!F292/100/VLOOKUP($C$289,'DB animal categories'!$C$107:$AC$116,27,FALSE)*AJ292+Q292+R292+S292-'Calc (ex-housing, ex-storage)'!AC292,IF(AS292=3,('Calc (ex-animal)'!$K$60+'Calc (ex-animal)'!$L$60)*'Calc (ex-housing, ex-storage)'!F292/100/VLOOKUP($C$289,'DB animal categories'!$C$107:$AC$116,27,FALSE)*AJ292+Q292+R292+S292-'Calc (ex-housing, ex-storage)'!AC292-AD292-AE292,IF(AI292=4,('Calc (ex-animal)'!$K$60+'Calc (ex-animal)'!$L$60)*'Calc (ex-housing, ex-storage)'!F292/100*VLOOKUP(D292,'DB technologies'!$N$138:$Y$152,12,FALSE)/100/VLOOKUP($C$289,'DB animal categories'!$C$107:$AC$116,27,FALSE)*AJ292+Q292+R292+S292-(VLOOKUP(D292,'DB technologies'!$N$138:$Y$152,12,FALSE)/100*AC292)-AD292-AE292,0))))))</f>
        <v/>
      </c>
      <c r="AY292" s="182" t="str">
        <f>IF(D292="","",IF(AS292=2,0,IF(AS292=1,'Calc (ex-animal)'!$N$60*'Calc (ex-housing, ex-storage)'!F292/100/VLOOKUP($C$289,'DB animal categories'!$C$107:$AC$116,27,FALSE)*AJ292+U292+V292+W292,IF(AS292=5,('Calc (ex-animal)'!$N$60+'Calc (ex-animal)'!$O$60)*'Calc (ex-housing, ex-storage)'!F292/100/VLOOKUP($C$289,'DB animal categories'!$C$107:$AC$116,27,FALSE)*AJ292+U292+V292+W292,IF(AS292=3,('Calc (ex-animal)'!$N$60+'Calc (ex-animal)'!$O$60)*'Calc (ex-housing, ex-storage)'!F292/100/VLOOKUP($C$289,'DB animal categories'!$C$107:$AC$116,27,FALSE)*AJ292+U292+V292+W292,IF(AS292=4,('Calc (ex-animal)'!$N$60+'Calc (ex-animal)'!$O$60)*'Calc (ex-housing, ex-storage)'!F292/100*VLOOKUP(D292,'DB technologies'!$N$138:$Y$152,12,FALSE)/100/VLOOKUP($C$289,'DB animal categories'!$C$107:$AC$116,27,FALSE)*AJ292+U292+V292+W292,0))))))</f>
        <v/>
      </c>
      <c r="AZ292" s="182" t="str">
        <f>IF(D292="","",IF(AS292=2,0,IF(AS292=1,'Calc (ex-animal)'!$Q$60*'Calc (ex-housing, ex-storage)'!F292/100/VLOOKUP($C$289,'DB animal categories'!$C$107:$AC$116,27,FALSE)*AJ292+Y292+Z292+AA292,IF(AS292=5,('Calc (ex-animal)'!$Q$60+'Calc (ex-animal)'!$R$60)*'Calc (ex-housing, ex-storage)'!F292/100/VLOOKUP($C$289,'DB animal categories'!$C$107:$AC$116,27,FALSE)*AJ292+Y292+Z292+AA292,IF(AS292=3,('Calc (ex-animal)'!$Q$60+'Calc (ex-animal)'!$R$60)*'Calc (ex-housing, ex-storage)'!F292/100/VLOOKUP($C$289,'DB animal categories'!$C$107:$AC$116,27,FALSE)*AJ292+Y292+Z292+AA292,IF(AS292=4,('Calc (ex-animal)'!$Q$60+'Calc (ex-animal)'!$R$60)*'Calc (ex-housing, ex-storage)'!F292/100*VLOOKUP(D292,'DB technologies'!$N$138:$Y$152,12,FALSE)/100/VLOOKUP($C$289,'DB animal categories'!$C$107:$AC$116,27,FALSE)*AJ292+Y292+Z292+AA292,0))))))</f>
        <v/>
      </c>
      <c r="BA292" s="506"/>
      <c r="BB292" s="506"/>
      <c r="BC292" s="506"/>
    </row>
    <row r="293" spans="1:55" ht="12" thickBot="1" x14ac:dyDescent="0.25">
      <c r="A293" s="695"/>
      <c r="B293" s="695"/>
      <c r="C293" s="251"/>
      <c r="D293" s="1359"/>
      <c r="E293" s="1360"/>
      <c r="F293" s="481" t="str">
        <f>IF('Calc (ex-animal)'!$F$58=1,"",IF($C$289=0,"",IF(D293="","",E293/'Calc (ex-animal)'!$E$60*100)))</f>
        <v/>
      </c>
      <c r="G293" s="483" t="str">
        <f>IF($C$289=0,"",IF('Calc (ex-animal)'!$F$58=1,"",IF(D293="","",SUM(H293:O293))))</f>
        <v/>
      </c>
      <c r="H293" s="445" t="str">
        <f>IF('Calc (ex-animal)'!$F$58=1,"",IF(D293="","",(((VLOOKUP($C$289,'Calc (ex-animal)'!$D$58:$Y$62,6,FALSE)-VLOOKUP($C$289,'Calc (ex-animal)'!$D$58:$Y$62,17,FALSE))*F293/100))*VLOOKUP($C$289,'Calc (ex-animal)'!$D$58:$Y$62,7,FALSE)/100*(1-VLOOKUP(D293,'DB technologies'!$N$138:$Y$152,9,FALSE)/100)))</f>
        <v/>
      </c>
      <c r="I293" s="445" t="str">
        <f>IF(D293="","",((VLOOKUP(D293,'DB technologies'!$N$138:$Y$152,2,FALSE)*VLOOKUP($C$289,'DB animal categories'!$C$107:$AC$116,27,FALSE)*E293/1000)/VLOOKUP($C$289,'DB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'!$S$6/100*(1-VLOOKUP(D293,'DB technologies'!$N$138:$Y$152,9,FALSE)/100)))</f>
        <v/>
      </c>
      <c r="J293" s="446" t="str">
        <f>IF(D293="","",((VLOOKUP(D293,'DB technologies'!$N$138:$Y$152,3,FALSE)*VLOOKUP($C$289,'DB animal categories'!$C$107:$AC$116,27,FALSE)*E293/1000)/VLOOKUP($C$289,'DB animal categories'!$C$107:$AC$116,27,FALSE)*(VLOOKUP($C$289,'DB animal categories'!$C$107:$AC$116,27,FALSE)-(VLOOKUP($C$289,'DB animal categories'!$C$107:$AC$116,25,FALSE)*VLOOKUP($C$289,'DB animal categories'!$C$107:$AC$116,26,FALSE)/24))*'DB additional information '!$S$7/100*(1-VLOOKUP(D293,'DB technologies'!$N$138:$Y$152,9,FALSE)/100)))</f>
        <v/>
      </c>
      <c r="K293" s="446" t="str">
        <f>IF(D293="","",((VLOOKUP(D293,'DB technologies'!$N$138:$Y$152,4,FALSE)*E293*'DB additional information '!$S$8/100*(1-VLOOKUP(D293,'DB technologies'!$N$138:$Y$152,9,FALSE)/100))/VLOOKUP($C$289,'DB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L293" s="445" t="str">
        <f>IF('Calc (ex-animal)'!$F$58=1,"",IF(D293="","",(((VLOOKUP($C$289,'Calc (ex-animal)'!$D$58:$Y$62,6,FALSE)-VLOOKUP($C$289,'Calc (ex-animal)'!$D$58:$Y$62,17,FALSE))*F293/100))*(1-VLOOKUP($C$289,'Calc (ex-animal)'!$D$58:$Y$62,7,FALSE)/100)*(1-VLOOKUP(D293,'DB technologies'!$N$138:$V$152,8,FALSE)/100)))</f>
        <v/>
      </c>
      <c r="M293" s="446" t="str">
        <f>IF(D293="","",((VLOOKUP(D293,'DB technologies'!$N$138:$Y$152,2,FALSE)*VLOOKUP($C$289,'DB animal categories'!$C$107:$AC$116,27,FALSE)*E293/1000)/VLOOKUP($C$289,'DB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'!$S$6/100)*(1-VLOOKUP(D293,'DB technologies'!$N$138:$Y$152,9,FALSE)/100))</f>
        <v/>
      </c>
      <c r="N293" s="446" t="str">
        <f>IF(D293="","",((VLOOKUP(D293,'DB technologies'!$N$138:$Y$152,3,FALSE)*VLOOKUP($C$289,'DB animal categories'!$C$107:$AC$116,27,FALSE)*E293/1000)/VLOOKUP($C$289,'DB animal categories'!$C$107:$AC$116,27,FALSE)*(VLOOKUP($C$289,'DB animal categories'!$C$107:$AC$116,27,FALSE)-VLOOKUP($C$289,'DB animal categories'!$C$107:$AC$116,25,FALSE)*VLOOKUP($C$289,'DB animal categories'!$C$107:$AC$116,26,FALSE)/24))*(1-'DB additional information '!$S$7/100)*(1-VLOOKUP(D293,'DB technologies'!$N$138:$Y$152,9,FALSE)/100))</f>
        <v/>
      </c>
      <c r="O293" s="445" t="str">
        <f>IF(D293="","",((VLOOKUP(D293,'DB technologies'!$N$138:$Y$152,4,FALSE)*E293*(1-'DB additional information '!$S$8/100)*(1-VLOOKUP(D293,'DB technologies'!$N$138:$Y$152,8,FALSE)/100))/VLOOKUP($C$289,'DB animal categories'!$C$107:$AC$116,27,FALSE)*(VLOOKUP($C$289,'DB animal categories'!$C$107:$AC$116,27,FALSE)-VLOOKUP($C$289,'DB animal categories'!$C$107:$AC$116,25,FALSE)*VLOOKUP($C$289,'DB animal categories'!$C$107:$AC$116,26,FALSE)/24)))</f>
        <v/>
      </c>
      <c r="P293" s="444" t="str">
        <f>IF(G293=0,0,IF(E293="","",IF(F293="","",IF($C$289=0,"",IF(D293="","",SUM(H293:K293)/G293*100)))))</f>
        <v/>
      </c>
      <c r="Q293" s="476" t="str">
        <f>IF(D293="","",(VLOOKUP(D293,'DB technologies'!$N$138:$Y$152,2,FALSE)*'DB additional information '!$S$6/100*'DB additional information '!$T$6*VLOOKUP($C$289,'DB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R293" s="476" t="str">
        <f>IF(D293="","",(VLOOKUP(D293,'DB technologies'!$N$138:$Y$152,3,FALSE)*'DB additional information '!$S$7/100*'DB additional information '!$T$7*VLOOKUP($C$289,'DB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S293" s="494" t="str">
        <f>IF(D293="","",(VLOOKUP(D293,'DB technologies'!$N$138:$Y$152,4,FALSE)*('DB additional information '!$S$8/100*'DB additional information '!$T$8*E293/1000/1000)))</f>
        <v/>
      </c>
      <c r="T293" s="266" t="str">
        <f>IF($C$289=0,"",IF('Calc (ex-animal)'!$F$58=1,"",IF(D293="","",((VLOOKUP($C$289,'Calc (ex-animal)'!$D$58:$Y$62,10,FALSE)-VLOOKUP($C$289,'Calc (ex-animal)'!$D$58:$Y$62,18,FALSE))*F293/100+Q293+R293+S293)-AC293-AD293-AE293)))</f>
        <v/>
      </c>
      <c r="U293" s="477" t="str">
        <f>IF(D293="","",(VLOOKUP(D293,'DB technologies'!$N$138:$Y$152,2,FALSE)*'DB additional information '!$S$6/100*'DB additional information '!$U$6*VLOOKUP($C$289,'DB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V293" s="433" t="str">
        <f>IF(D293="","",(VLOOKUP(D293,'DB technologies'!$N$138:$Y$152,3,FALSE)*'DB additional information '!$S$7/100*'DB additional information '!$U$7*VLOOKUP($C$289,'DB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W293" s="475" t="str">
        <f>IF(D293="","",(VLOOKUP(D293,'DB technologies'!$N$138:$Y$152,4,FALSE)*('DB additional information '!$S$8/100*'DB additional information '!$U$8*E293/1000/1000)))</f>
        <v/>
      </c>
      <c r="X293" s="267" t="str">
        <f>IF($C$289=0,"",IF('Calc (ex-animal)'!$F$58=1,"",IF(D293="","",((VLOOKUP($C$289,'Calc (ex-animal)'!$D$58:$Y$62,13,FALSE)-VLOOKUP($C$289,'Calc (ex-animal)'!$D$58:$Y$62,19,FALSE))*F293/100+U293+V293+W293))))</f>
        <v/>
      </c>
      <c r="Y293" s="433" t="str">
        <f>IF(D293="","",(VLOOKUP(D293,'DB technologies'!$N$138:$Y$152,2,FALSE)*'DB additional information '!$S$6/100*'DB additional information '!$V$6*VLOOKUP($C$289,'DB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Z293" s="433" t="str">
        <f>IF(D293="","",(VLOOKUP(D293,'DB technologies'!$N$138:$Y$152,3,FALSE)*'DB additional information '!$S$7/100*'DB additional information '!$V$7*VLOOKUP($C$289,'DB animal categories'!$C$107:$AC$116,27,FALSE)*E293/1000/1000)/VLOOKUP($C$289,'DB animal categories'!$C$107:$AC$116,27,FALSE)*(VLOOKUP($C$289,'DB animal categories'!$C$107:$AC$116,27,FALSE)-VLOOKUP($C$289,'DB animal categories'!$C$107:$AC$116,25,FALSE)*VLOOKUP($C$289,'DB animal categories'!$C$107:$AC$116,26,FALSE)/24))</f>
        <v/>
      </c>
      <c r="AA293" s="433" t="str">
        <f>IF(D293="","",(VLOOKUP(D293,'DB technologies'!$N$138:$Y$152,4,FALSE)*('DB additional information '!$S$8/100*'DB additional information '!$V$8*E293/1000/1000)))</f>
        <v/>
      </c>
      <c r="AB293" s="267" t="str">
        <f>IF($C$289=0,"",IF('Calc (ex-animal)'!$F$58=1,"",IF(D293="","",((VLOOKUP($C$289,'Calc (ex-animal)'!$D$58:$Y$62,16,FALSE)-VLOOKUP($C$289,'Calc (ex-animal)'!$D$58:$Y$62,20,FALSE))*F293/100+Y293+Z293+AA293))))</f>
        <v/>
      </c>
      <c r="AC293" s="267" t="str">
        <f>IF($C$289=0,"",IF('Calc (ex-animal)'!$F$58=1,"",IF(D293="","",VLOOKUP($C$289,'Calc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categories'!$C$107:$AC$116,26,FALSE)/24)*F293/100*VLOOKUP(D293,'DB technologies'!$N$138:$R$152,5,FALSE)/100)))</f>
        <v/>
      </c>
      <c r="AD293" s="267" t="str">
        <f>IF($C$289=0,"",IF('Calc (ex-animal)'!$F$58=1,"",IF(D293="","",VLOOKUP($C$289,'Calc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categories'!$C$107:$AC$116,26,FALSE)/24)*F293/100*VLOOKUP(D293,'DB technologies'!$N$138:$Y$152,6,FALSE)/100)))</f>
        <v/>
      </c>
      <c r="AE293" s="268" t="str">
        <f>IF($C$289=0,"",IF('Calc (ex-animal)'!$F$58=1,"",IF(D293="","",VLOOKUP($C$289,'Calc (ex-animal)'!$D$58:$Y$62,10,FALSE)/VLOOKUP($C$289,'DB animal categories'!$C$107:$AC$116,27,FALSE)*(VLOOKUP($C$289,'DB animal categories'!$C$107:$AC$116,27,FALSE)-VLOOKUP($C$289,'DB animal categories'!$C$107:$AC$116,25,FALSE)*VLOOKUP($C$289,'DB animal categories'!$C$107:$AC$116,26,FALSE)/24)*F293/100*VLOOKUP(D293,'DB technologies'!$N$138:$Y$152,7,FALSE)/100)))</f>
        <v/>
      </c>
      <c r="AI293" s="183" t="str">
        <f>IF(D293="","",VLOOKUP(D293,'DB technologies'!$N$138:$Y$152,10,FALSE))</f>
        <v/>
      </c>
      <c r="AJ293" s="451" t="e">
        <f>VLOOKUP($C$289,'DB animal categories'!$C$107:$AN$116,27,FALSE)-VLOOKUP($C$289,'DB animal categories'!$C$107:$AN$116,26,FALSE)*VLOOKUP($C$289,'DB animal categories'!$C$107:$AN$116,25,FALSE)/24</f>
        <v>#N/A</v>
      </c>
      <c r="AK293" s="452" t="str">
        <f>IF(AI293="","",AL293+AM293)</f>
        <v/>
      </c>
      <c r="AL293" s="452" t="str">
        <f>IF(D293="","",IF(AI293=2,(('Calc (ex-animal)'!$G$60*'DB additional information '!$K$15/100*(1-VLOOKUP(D293,'DB technologies'!$N$138:$Y$152,9,FALSE)/100)*'Calc (ex-housing, ex-storage)'!F293/100+'Calc (ex-animal)'!$H$60*'DB additional information '!$L$15/100*(1-VLOOKUP(D293,'DB technologies'!$N$138:$Y$152,9,FALSE)/100)*'Calc (ex-housing, ex-storage)'!F293/100))/VLOOKUP($C$289,'DB animal categories'!$C$107:$AC$116,27,FALSE)*AJ293+I293+J293+K293,IF(AI293=1,('Calc (ex-animal)'!$H$60*'DB additional information '!$L$15/100*(1-VLOOKUP(D293,'DB technologies'!$N$138:$Y$152,9,FALSE)/100)*'Calc (ex-housing, ex-storage)'!F293/100)/VLOOKUP($C$289,'DB animal categories'!$C$107:$AC$116,27,FALSE)*AJ293,IF(AI293=4,('Calc (ex-animal)'!$G$60*'DB additional information '!$K$15/100+'Calc (ex-animal)'!$H$60*'DB additional information '!$L$15/100)*(1-VLOOKUP(D293,'DB technologies'!$N$138:$Y$152,9,FALSE)/100)*'Calc (ex-housing, ex-storage)'!F293/100*VLOOKUP(D293,'DB technologies'!$N$138:$Y$152,11,FALSE)/100/VLOOKUP($C$289,'DB animal categories'!$C$107:$AC$116,27,FALSE)*AJ293,0))))</f>
        <v/>
      </c>
      <c r="AM293" s="452" t="str">
        <f>IF(D293="","",IF(AI293=2,(('Calc (ex-animal)'!$G$60*(1-'DB additional information '!$K$15/100)*(1-VLOOKUP(D293,'DB technologies'!$N$138:$Y$152,8,FALSE)/100)*'Calc (ex-housing, ex-storage)'!F293/100+'Calc (ex-animal)'!$H$60*(1-'DB additional information '!$L$15/100)*(1-VLOOKUP(D293,'DB technologies'!$N$138:$Y$152,8,FALSE)/100)*'Calc (ex-housing, ex-storage)'!F293/100))/VLOOKUP($C$289,'DB animal categories'!$C$107:$AC$116,27,FALSE)*AJ293+M293+N293+O293,IF(AI293=1,('Calc (ex-animal)'!$H$60*(1-'DB additional information '!$L$15/100)*(1-VLOOKUP(D293,'DB technologies'!$N$138:$Y$152,8,FALSE)/100)*'Calc (ex-housing, ex-storage)'!F293/100)/VLOOKUP($C$289,'DB animal categories'!$C$107:$AC$116,27,FALSE)*AJ293,IF(AI293=4,('Calc (ex-animal)'!$G$60*(1-'DB additional information '!$K$15/100)+'Calc (ex-animal)'!$H$60*(1-'DB additional information '!$L$15/100))*(1-VLOOKUP(D293,'DB technologies'!$N$138:$Y$152,8,FALSE)/100)*'Calc (ex-housing, ex-storage)'!F293/100*VLOOKUP(D293,'DB technologies'!$N$138:$Y$152,11,FALSE)/100/VLOOKUP($C$289,'DB animal categories'!$C$107:$AC$116,27,FALSE)*AJ293,0))))</f>
        <v/>
      </c>
      <c r="AN293" s="452" t="str">
        <f>IF(AI293="","",IF(AL293=0,0,AL293/AK293*100))</f>
        <v/>
      </c>
      <c r="AO293" s="184" t="str">
        <f>IF(D293="","",IF(AI293=2,(('Calc (ex-animal)'!$L$60*'Calc (ex-housing, ex-storage)'!F293/100+'Calc (ex-animal)'!$K$60*'Calc (ex-housing, ex-storage)'!F293/100))/VLOOKUP($C$289,'DB animal categories'!$C$107:$AC$116,27,FALSE)*AJ293+Q293+R293+S293-AC293,IF(AI293=1,('Calc (ex-animal)'!$L$60*'Calc (ex-housing, ex-storage)'!F293/100)/VLOOKUP($C$289,'DB animal categories'!$C$107:$AC$116,27,FALSE)*AJ293-'Calc (ex-housing, ex-storage)'!AC293,IF(AI293=4,('Calc (ex-animal)'!$L$60+'Calc (ex-animal)'!$K$60)*'Calc (ex-housing, ex-storage)'!F293/100*VLOOKUP(D293,'DB technologies'!$N$138:$Y$152,11,FALSE)/100/VLOOKUP($C$289,'DB animal categories'!$C$107:$AC$116,27,FALSE)*AJ293-AC293*VLOOKUP(D293,'DB technologies'!$N$138:$Y$152,11,FALSE)/100,0))))</f>
        <v/>
      </c>
      <c r="AP293" s="184" t="str">
        <f>IF(D293="","",IF(AO293&lt;-0.01,0,IF(AI293=2,(('Calc (ex-animal)'!$L$60*'Calc (ex-housing, ex-storage)'!F293/100+'Calc (ex-animal)'!$K$60*'Calc (ex-housing, ex-storage)'!F293/100))/VLOOKUP($C$289,'DB animal categories'!$C$107:$AC$116,27,FALSE)*AJ293+Q293+R293+S293-AC293,IF(AI293=1,('Calc (ex-animal)'!$L$60*'Calc (ex-housing, ex-storage)'!F293/100)/VLOOKUP($C$289,'DB animal categories'!$C$107:$AC$116,27,FALSE)*AJ293-'Calc (ex-housing, ex-storage)'!AC293,IF(AI293=4,('Calc (ex-animal)'!$L$60+'Calc (ex-animal)'!$K$60)*'Calc (ex-housing, ex-storage)'!F293/100*VLOOKUP(D293,'DB technologies'!$N$138:$Y$152,11,FALSE)/100/VLOOKUP($C$289,'DB animal categories'!$C$107:$AC$116,27,FALSE)*AJ293-AC293*VLOOKUP(D293,'DB technologies'!$N$138:$Y$152,11,FALSE)/100,0)))))</f>
        <v/>
      </c>
      <c r="AQ293" s="184" t="str">
        <f>IF(D293="","",IF(AI293=2,('Calc (ex-animal)'!$O$60*'Calc (ex-housing, ex-storage)'!F293/100+'Calc (ex-animal)'!$N$60*'Calc (ex-housing, ex-storage)'!F293/100)/VLOOKUP($C$289,'DB animal categories'!$C$107:$AC$116,27,FALSE)*AJ293+U293+V293+W293,IF(AI293=1,'Calc (ex-animal)'!$O$60*'Calc (ex-housing, ex-storage)'!F293/100/VLOOKUP($C$289,'DB animal categories'!$C$107:$AC$116,27,FALSE)*AJ293,IF(AI293=4,('Calc (ex-animal)'!$O$60+'Calc (ex-animal)'!$N$60)*'Calc (ex-housing, ex-storage)'!F293/100*VLOOKUP(D293,'DB technologies'!$N$138:$Y$152,11,FALSE)/100/VLOOKUP($C$289,'DB animal categories'!$C$107:$AC$116,27,FALSE)*AJ293,0))))</f>
        <v/>
      </c>
      <c r="AR293" s="184" t="str">
        <f>IF(D293="","",IF(AI293=2,('Calc (ex-animal)'!$R$60*'Calc (ex-housing, ex-storage)'!F293/100+'Calc (ex-animal)'!$Q$60*'Calc (ex-housing, ex-storage)'!F293/100)/VLOOKUP($C$289,'DB animal categories'!$C$107:$AC$116,27,FALSE)*AJ293+Y293+Z293+AA293,IF(AI293=1,'Calc (ex-animal)'!$R$60*'Calc (ex-housing, ex-storage)'!F293/100/VLOOKUP($C$289,'DB animal categories'!$C$107:$AC$116,27,FALSE)*AJ293,IF(AI293=4,('Calc (ex-animal)'!$R$60+'Calc (ex-animal)'!$Q$60)*'Calc (ex-housing, ex-storage)'!F293/100*VLOOKUP(D293,'DB technologies'!$N$138:$Y$152,11,FALSE)/100/VLOOKUP($C$289,'DB animal categories'!$C$107:$AC$116,27,FALSE)*AJ293,0))))</f>
        <v/>
      </c>
      <c r="AS293" s="183" t="str">
        <f>IF(D293="","",VLOOKUP(D293,'DB technologies'!$N$138:$Y$152,10,FALSE))</f>
        <v/>
      </c>
      <c r="AT293" s="452" t="str">
        <f>IF(AS293="","",AU293+AV293)</f>
        <v/>
      </c>
      <c r="AU293" s="452" t="str">
        <f>IF(D293="","",IF(AS293=2,0,IF(AS293=1,'Calc (ex-animal)'!$G$60*'DB additional information '!$K$15/100*(1-VLOOKUP(D293,'DB technologies'!$N$138:$Y$152,8,FALSE)/100)*'Calc (ex-housing, ex-storage)'!F293/100/VLOOKUP($C$289,'DB animal categories'!$C$107:$AC$116,27,FALSE)*AJ293+I293+J293+K293,IF(AS293=5,(('Calc (ex-animal)'!$G$60*'DB additional information '!$K$15/100+'Calc (ex-animal)'!$H$60*'DB additional information '!$L$15/100))*(1-VLOOKUP(D293,'DB technologies'!$N$138:$Y$152,9,FALSE)/100)*'Calc (ex-housing, ex-storage)'!F293/100/VLOOKUP($C$289,'DB animal categories'!$C$107:$AC$116,27,FALSE)*AJ293+I293+J293+K293,IF(AS293=3,('Calc (ex-animal)'!$G$60*'DB additional information '!$K$15/100+'Calc (ex-animal)'!$H$60*'DB additional information '!$L$15/100)*(1-VLOOKUP(D293,'DB technologies'!$N$138:$Y$152,9,FALSE)/100)*'Calc (ex-housing, ex-storage)'!F293/100/VLOOKUP($C$289,'DB animal categories'!$C$107:$AC$116,27,FALSE)*AJ293+I293+J293+K293,IF(AS293=4,('Calc (ex-animal)'!$G$60*'DB additional information '!$K$15/100+'Calc (ex-animal)'!$H$60*'DB additional information '!$L$15/100)*(1-VLOOKUP(D293,'DB technologies'!$N$138:$Y$152,9,FALSE)/100)*'Calc (ex-housing, ex-storage)'!F293/100*VLOOKUP(D293,'DB technologies'!$N$138:$Y$152,12,FALSE)/100/VLOOKUP($C$289,'DB animal categories'!$C$107:$AC$116,27,FALSE)*AJ293+I293+J293+K293,0))))))</f>
        <v/>
      </c>
      <c r="AV293" s="452" t="str">
        <f>IF(D293="","",IF(AS293=2,0,IF(AS293=1,'Calc (ex-animal)'!$G$60*(1-'DB additional information '!$K$15/100)*(1-VLOOKUP(D293,'DB technologies'!$N$138:$Y$152,8,FALSE)/100)*'Calc (ex-housing, ex-storage)'!F293/100/VLOOKUP($C$289,'DB animal categories'!$C$107:$AC$116,27,FALSE)*AJ293+M293+N293+O293,IF(AS293=5,('Calc (ex-animal)'!$G$60*(1-'DB additional information '!$K$15/100)+'Calc (ex-animal)'!$H$60*(1-'DB additional information '!$L$15/100))*(1-VLOOKUP(D293,'DB technologies'!$N$138:$Y$152,8,FALSE)/100)*'Calc (ex-housing, ex-storage)'!F293/100/VLOOKUP($C$289,'DB animal categories'!$C$107:$AC$116,27,FALSE)*AJ293+M293+N293+O293,IF(AS293=3,('Calc (ex-animal)'!$G$60*(1-'DB additional information '!$K$15/100)+'Calc (ex-animal)'!$H$60*(1-'DB additional information '!$L$15/100))*(1-VLOOKUP(D293,'DB technologies'!$N$138:$Y$152,8,FALSE)/100)*'Calc (ex-housing, ex-storage)'!F293/100/VLOOKUP($C$289,'DB animal categories'!$C$107:$AC$116,27,FALSE)*AJ293+M293+N293+O293,IF(AS293=4,('Calc (ex-animal)'!$G$60*(1-'DB additional information '!$K$15/100)+'Calc (ex-animal)'!$H$60*(1-'DB additional information '!$L$15/100))*(1-VLOOKUP(D293,'DB technologies'!$N$138:$Y$152,8,FALSE)/100)*'Calc (ex-housing, ex-storage)'!F293/100*VLOOKUP(D293,'DB technologies'!$N$138:$Y$152,12,FALSE)/100/VLOOKUP($C$289,'DB animal categories'!$C$107:$AC$116,27,FALSE)*AJ293+M293+N293+O293,0))))))</f>
        <v/>
      </c>
      <c r="AW293" s="452" t="str">
        <f>IF(AS293="","",IF(AU293=0,0,AU293/AT293*100))</f>
        <v/>
      </c>
      <c r="AX293" s="184" t="str">
        <f>IF(D293="","",IF(AS293=2,0,IF(AS293=1,'Calc (ex-animal)'!$K$60*'Calc (ex-housing, ex-storage)'!F293/100/VLOOKUP($C$289,'DB animal categories'!$C$107:$AC$116,27,FALSE)*AJ293+Q293+R293+S293,IF(AS293=5,('Calc (ex-animal)'!$K$60+'Calc (ex-animal)'!$L$60)*'Calc (ex-housing, ex-storage)'!F293/100/VLOOKUP($C$289,'DB animal categories'!$C$107:$AC$116,27,FALSE)*AJ293+Q293+R293+S293-'Calc (ex-housing, ex-storage)'!AC293,IF(AS293=3,('Calc (ex-animal)'!$K$60+'Calc (ex-animal)'!$L$60)*'Calc (ex-housing, ex-storage)'!F293/100/VLOOKUP($C$289,'DB animal categories'!$C$107:$AC$116,27,FALSE)*AJ293+Q293+R293+S293-'Calc (ex-housing, ex-storage)'!AC293-AD293-AE293,IF(AI293=4,('Calc (ex-animal)'!$K$60+'Calc (ex-animal)'!$L$60)*'Calc (ex-housing, ex-storage)'!F293/100*VLOOKUP(D293,'DB technologies'!$N$138:$Y$152,12,FALSE)/100/VLOOKUP($C$289,'DB animal categories'!$C$107:$AC$116,27,FALSE)*AJ293+Q293+R293+S293-(VLOOKUP(D293,'DB technologies'!$N$138:$Y$152,12,FALSE)/100*AC293)-AD293-AE293,0))))))</f>
        <v/>
      </c>
      <c r="AY293" s="184" t="str">
        <f>IF(D293="","",IF(AS293=2,0,IF(AS293=1,'Calc (ex-animal)'!$N$60*'Calc (ex-housing, ex-storage)'!F293/100/VLOOKUP($C$289,'DB animal categories'!$C$107:$AC$116,27,FALSE)*AJ293+U293+V293+W293,IF(AS293=5,('Calc (ex-animal)'!$N$60+'Calc (ex-animal)'!$O$60)*'Calc (ex-housing, ex-storage)'!F293/100/VLOOKUP($C$289,'DB animal categories'!$C$107:$AC$116,27,FALSE)*AJ293+U293+V293+W293,IF(AS293=3,('Calc (ex-animal)'!$N$60+'Calc (ex-animal)'!$O$60)*'Calc (ex-housing, ex-storage)'!F293/100/VLOOKUP($C$289,'DB animal categories'!$C$107:$AC$116,27,FALSE)*AJ293+U293+V293+W293,IF(AS293=4,('Calc (ex-animal)'!$N$60+'Calc (ex-animal)'!$O$60)*'Calc (ex-housing, ex-storage)'!F293/100*VLOOKUP(D293,'DB technologies'!$N$138:$Y$152,12,FALSE)/100/VLOOKUP($C$289,'DB animal categories'!$C$107:$AC$116,27,FALSE)*AJ293+U293+V293+W293,0))))))</f>
        <v/>
      </c>
      <c r="AZ293" s="184" t="str">
        <f>IF(D293="","",IF(AS293=2,0,IF(AS293=1,'Calc (ex-animal)'!$Q$60*'Calc (ex-housing, ex-storage)'!F293/100/VLOOKUP($C$289,'DB animal categories'!$C$107:$AC$116,27,FALSE)*AJ293+Y293+Z293+AA293,IF(AS293=5,('Calc (ex-animal)'!$Q$60+'Calc (ex-animal)'!$R$60)*'Calc (ex-housing, ex-storage)'!F293/100/VLOOKUP($C$289,'DB animal categories'!$C$107:$AC$116,27,FALSE)*AJ293+Y293+Z293+AA293,IF(AS293=3,('Calc (ex-animal)'!$Q$60+'Calc (ex-animal)'!$R$60)*'Calc (ex-housing, ex-storage)'!F293/100/VLOOKUP($C$289,'DB animal categories'!$C$107:$AC$116,27,FALSE)*AJ293+Y293+Z293+AA293,IF(AS293=4,('Calc (ex-animal)'!$Q$60+'Calc (ex-animal)'!$R$60)*'Calc (ex-housing, ex-storage)'!F293/100*VLOOKUP(D293,'DB technologies'!$N$138:$Y$152,12,FALSE)/100/VLOOKUP($C$289,'DB animal categories'!$C$107:$AC$116,27,FALSE)*AJ293+Y293+Z293+AA293,0))))))</f>
        <v/>
      </c>
      <c r="BA293" s="506"/>
      <c r="BB293" s="506"/>
      <c r="BC293" s="506"/>
    </row>
    <row r="294" spans="1:55" ht="12" thickBot="1" x14ac:dyDescent="0.25">
      <c r="A294" s="695"/>
      <c r="B294" s="695"/>
      <c r="C294" s="252"/>
      <c r="D294" s="269" t="s">
        <v>58</v>
      </c>
      <c r="E294" s="270">
        <f>IF(F294&lt;=100,SUM(E289:E293),"ERROR")</f>
        <v>0</v>
      </c>
      <c r="F294" s="284">
        <f>IF(SUM(F289:F293) &lt;=100,SUM(F289:F293),"ERROR, SUM&gt;100%")</f>
        <v>0</v>
      </c>
      <c r="G294" s="550">
        <f>IF('Calc (ex-animal)'!$F$58=1,"",SUM(G289:G293))</f>
        <v>0</v>
      </c>
      <c r="H294" s="418">
        <f>IF('Calc (ex-animal)'!$F$8=1,"",SUM(H289:H293))</f>
        <v>0</v>
      </c>
      <c r="I294" s="418">
        <f>IF('Calc (ex-animal)'!$F$8=1,"",SUM(I289:I293))</f>
        <v>0</v>
      </c>
      <c r="J294" s="418">
        <f>IF('Calc (ex-animal)'!$F$8=1,"",SUM(J289:J293))</f>
        <v>0</v>
      </c>
      <c r="K294" s="418">
        <f>IF('Calc (ex-animal)'!$F$8=1,"",SUM(K289:K293))</f>
        <v>0</v>
      </c>
      <c r="L294" s="418">
        <f>IF('Calc (ex-animal)'!$F$8=1,"",SUM(L289:L293))</f>
        <v>0</v>
      </c>
      <c r="M294" s="551"/>
      <c r="N294" s="551"/>
      <c r="O294" s="551"/>
      <c r="P294" s="552">
        <f>IF(G294=0,0,IF('Calc (ex-animal)'!$F$58=1,"",IF(D294="","",SUM(H294:K294)/G294*100)))</f>
        <v>0</v>
      </c>
      <c r="Q294" s="394"/>
      <c r="R294" s="394"/>
      <c r="S294" s="394"/>
      <c r="T294" s="285">
        <f>IF('Calc (ex-animal)'!$F$60=1,"",SUM(T289:T293))</f>
        <v>0</v>
      </c>
      <c r="U294" s="286"/>
      <c r="V294" s="286"/>
      <c r="W294" s="286"/>
      <c r="X294" s="286">
        <f>IF('Calc (ex-animal)'!$F$60=1,"",SUM(X289:X293))</f>
        <v>0</v>
      </c>
      <c r="Y294" s="286"/>
      <c r="Z294" s="286"/>
      <c r="AA294" s="286"/>
      <c r="AB294" s="286">
        <f>IF('Calc (ex-animal)'!$F$60=1,"",SUM(AB289:AB293))</f>
        <v>0</v>
      </c>
      <c r="AC294" s="286">
        <f>IF('Calc (ex-animal)'!$F$60=1,"",SUM(AC289:AC293))</f>
        <v>0</v>
      </c>
      <c r="AD294" s="286">
        <f>IF('Calc (ex-animal)'!$F$60=1,"",SUM(AD289:AD293))</f>
        <v>0</v>
      </c>
      <c r="AE294" s="287">
        <f>IF('Calc (ex-animal)'!$F$60=1,"",SUM(AE289:AE293))</f>
        <v>0</v>
      </c>
    </row>
    <row r="295" spans="1:55" x14ac:dyDescent="0.2">
      <c r="A295" s="695"/>
      <c r="B295" s="695"/>
      <c r="C295" s="250">
        <f>'Calc (ex-animal)'!D61</f>
        <v>0</v>
      </c>
      <c r="D295" s="1355"/>
      <c r="E295" s="1356"/>
      <c r="F295" s="479" t="str">
        <f>IF('Calc (ex-animal)'!$F$58=1,"",IF($C$295=0,"",IF(D295="","",E295/'Calc (ex-animal)'!$E$61*100)))</f>
        <v/>
      </c>
      <c r="G295" s="484" t="str">
        <f>IF($C$295=0,"",IF('Calc (ex-animal)'!$F$58=1,"",IF(D295="","",SUM(H295:O295))))</f>
        <v/>
      </c>
      <c r="H295" s="471" t="str">
        <f>IF('Calc (ex-animal)'!$F$58=1,"",IF(D295="","",(((VLOOKUP($C$295,'Calc (ex-animal)'!$D$58:$Y$62,6,FALSE)-VLOOKUP($C$295,'Calc (ex-animal)'!$D$58:$Y$62,17,FALSE))*F295/100))*VLOOKUP($C$295,'Calc (ex-animal)'!$D$58:$Y$62,7,FALSE)/100*(1-VLOOKUP(D295,'DB technologies'!$N$138:$Y$152,9,FALSE)/100)))</f>
        <v/>
      </c>
      <c r="I295" s="471" t="str">
        <f>IF(D295="","",((VLOOKUP(D295,'DB technologies'!$N$138:$Y$152,2,FALSE)*VLOOKUP($C$295,'DB animal categories'!$C$107:$AC$116,27,FALSE)*E295/1000)/VLOOKUP($C$295,'DB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'!$S$6/100*(1-VLOOKUP(D295,'DB technologies'!$N$138:$Y$152,9,FALSE)/100)))</f>
        <v/>
      </c>
      <c r="J295" s="472" t="str">
        <f>IF(D295="","",((VLOOKUP(D295,'DB technologies'!$N$138:$Y$152,3,FALSE)*VLOOKUP($C$295,'DB animal categories'!$C$107:$AC$116,27,FALSE)*E295/1000)/VLOOKUP($C$295,'DB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'!$S$7/100*(1-VLOOKUP(D295,'DB technologies'!$N$138:$Y$152,9,FALSE)/100)))</f>
        <v/>
      </c>
      <c r="K295" s="472" t="str">
        <f>IF(D295="","",((VLOOKUP(D295,'DB technologies'!$N$138:$Y$152,4,FALSE)*E295*'DB additional information '!$S$8/100*(1-VLOOKUP(D295,'DB technologies'!$N$138:$Y$152,9,FALSE)/100))/VLOOKUP($C$295,'DB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L295" s="471" t="str">
        <f>IF('Calc (ex-animal)'!$F$58=1,"",IF(D295="","",(((VLOOKUP($C$295,'Calc (ex-animal)'!$D$58:$Y$62,6,FALSE)-VLOOKUP($C$295,'Calc (ex-animal)'!$D$58:$Y$62,17,FALSE))*F295/100))*(1-VLOOKUP($C$295,'Calc (ex-animal)'!$D$58:$Y$62,7,FALSE)/100)*(1-VLOOKUP(D295,'DB technologies'!$N$138:$V$152,8,FALSE)/100)))</f>
        <v/>
      </c>
      <c r="M295" s="472" t="str">
        <f>IF(D295="","",((VLOOKUP(D295,'DB technologies'!$N$138:$Y$152,2,FALSE)*VLOOKUP($C$295,'DB animal categories'!$C$107:$AC$116,27,FALSE)*E295/1000)/VLOOKUP($C$295,'DB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'!$S$6/100)*(1-VLOOKUP(D295,'DB technologies'!$N$138:$Y$152,9,FALSE)/100))</f>
        <v/>
      </c>
      <c r="N295" s="472" t="str">
        <f>IF(D295="","",((VLOOKUP(D295,'DB technologies'!$N$138:$Y$152,3,FALSE)*VLOOKUP($C$295,'DB animal categories'!$C$107:$AC$116,27,FALSE)*E295/1000)/VLOOKUP($C$295,'DB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'!$S$7/100)*(1-VLOOKUP(D295,'DB technologies'!$N$138:$Y$152,9,FALSE)/100))</f>
        <v/>
      </c>
      <c r="O295" s="471" t="str">
        <f>IF(D295="","",((VLOOKUP(D295,'DB technologies'!$N$138:$Y$152,4,FALSE)*E295*(1-'DB additional information '!$S$8/100)*(1-VLOOKUP(D295,'DB technologies'!$N$138:$Y$152,8,FALSE)/100))/VLOOKUP($C$295,'DB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P295" s="443" t="str">
        <f>IF(G295=0,0,IF(E295="","",IF(F295="","",IF($C$295=0,"",IF(D295="","",SUM(H295:K295)/G295*100)))))</f>
        <v/>
      </c>
      <c r="Q295" s="473" t="str">
        <f>IF(D295="","",(VLOOKUP(D295,'DB technologies'!$N$138:$Y$152,2,FALSE)*'DB additional information '!$S$6/100*'DB additional information '!$T$6*VLOOKUP($C$295,'DB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R295" s="473" t="str">
        <f>IF(D295="","",(VLOOKUP(D295,'DB technologies'!$N$138:$Y$152,3,FALSE)*'DB additional information '!$S$7/100*'DB additional information '!$T$7*VLOOKUP($C$295,'DB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S295" s="490" t="str">
        <f>IF(D295="","",(VLOOKUP(D295,'DB technologies'!$N$138:$Y$152,4,FALSE)*('DB additional information '!$S$8/100*'DB additional information '!$T$8*E295/1000/1000)))</f>
        <v/>
      </c>
      <c r="T295" s="263" t="str">
        <f>IF($C$295=0,"",IF('Calc (ex-animal)'!$F$58=1,"",IF(D295="","",((VLOOKUP($C$295,'Calc (ex-animal)'!$D$58:$Y$62,10,FALSE)-VLOOKUP($C$295,'Calc (ex-animal)'!$D$58:$Y$62,18,FALSE))*F295/100+Q295+R295+S295)-AC295-AD295-AE295)))</f>
        <v/>
      </c>
      <c r="U295" s="474" t="str">
        <f>IF(D295="","",(VLOOKUP(D295,'DB technologies'!$N$138:$Y$152,2,FALSE)*'DB additional information '!$S$6/100*'DB additional information '!$U$6*VLOOKUP($C$295,'DB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V295" s="420" t="str">
        <f>IF(D295="","",(VLOOKUP(D295,'DB technologies'!$N$138:$Y$152,3,FALSE)*'DB additional information '!$S$7/100*'DB additional information '!$U$7*VLOOKUP($C$295,'DB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W295" s="415" t="str">
        <f>IF(D295="","",(VLOOKUP(D295,'DB technologies'!$N$138:$Y$152,4,FALSE)*('DB additional information '!$S$8/100*'DB additional information '!$U$8*E295/1000/1000)))</f>
        <v/>
      </c>
      <c r="X295" s="259" t="str">
        <f>IF($C$295=0,"",IF('Calc (ex-animal)'!$F$58=1,"",IF(D295="","",((VLOOKUP($C$295,'Calc (ex-animal)'!$D$58:$Y$62,13,FALSE)-VLOOKUP($C$295,'Calc (ex-animal)'!$D$58:$Y$62,19,FALSE))*F295/100+U295+V295+W295))))</f>
        <v/>
      </c>
      <c r="Y295" s="420" t="str">
        <f>IF(D295="","",(VLOOKUP(D295,'DB technologies'!$N$138:$Y$152,2,FALSE)*'DB additional information '!$S$6/100*'DB additional information '!$V$6*VLOOKUP($C$295,'DB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Z295" s="420" t="str">
        <f>IF(D295="","",(VLOOKUP(D295,'DB technologies'!$N$138:$Y$152,3,FALSE)*'DB additional information '!$S$7/100*'DB additional information '!$V$7*VLOOKUP($C$295,'DB animal categories'!$C$107:$AC$116,27,FALSE)*E295/1000/1000)/VLOOKUP($C$295,'DB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AA295" s="420" t="str">
        <f>IF(D295="","",(VLOOKUP(D295,'DB technologies'!$N$138:$Y$152,4,FALSE)*('DB additional information '!$S$8/100*'DB additional information '!$V$8*E295/1000/1000)))</f>
        <v/>
      </c>
      <c r="AB295" s="259" t="str">
        <f>IF($C$295=0,"",IF('Calc (ex-animal)'!$F$58=1,"",IF(D295="","",((VLOOKUP($C$295,'Calc (ex-animal)'!$D$58:$Y$62,16,FALSE)-VLOOKUP($C$295,'Calc (ex-animal)'!$D$58:$Y$62,20,FALSE))*F295/100+Y295+Z295+AA295))))</f>
        <v/>
      </c>
      <c r="AC295" s="259" t="str">
        <f>IF($C$295=0,"",IF('Calc (ex-animal)'!$F$58=1,"",IF(D295="","",VLOOKUP($C$295,'Calc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categories'!$C$107:$AC$116,26,FALSE)/24)*F295/100*VLOOKUP(D295,'DB technologies'!$N$138:$R$152,5,FALSE)/100)))</f>
        <v/>
      </c>
      <c r="AD295" s="259" t="str">
        <f>IF($C$295=0,"",IF('Calc (ex-animal)'!$F$58=1,"",IF(D295="","",VLOOKUP($C$295,'Calc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categories'!$C$107:$AC$116,26,FALSE)/24)*F295/100*VLOOKUP(D295,'DB technologies'!$N$138:$Y$152,6,FALSE)/100)))</f>
        <v/>
      </c>
      <c r="AE295" s="260" t="str">
        <f>IF($C$295=0,"",IF('Calc (ex-animal)'!$F$58=1,"",IF(D295="","",VLOOKUP($C$295,'Calc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categories'!$C$107:$AC$116,26,FALSE)/24)*F295/100*VLOOKUP(D295,'DB technologies'!$N$138:$Y$152,7,FALSE)/100)))</f>
        <v/>
      </c>
      <c r="AI295" s="179" t="str">
        <f>IF(D295="","",VLOOKUP(D295,'DB technologies'!$N$138:$Y$152,10,FALSE))</f>
        <v/>
      </c>
      <c r="AJ295" s="482" t="e">
        <f>VLOOKUP($C$295,'DB animal categories'!$C$107:$AN$116,27,FALSE)-VLOOKUP($C$295,'DB animal categories'!$C$107:$AN$116,26,FALSE)*VLOOKUP($C$295,'DB animal categories'!$C$107:$AN$116,25,FALSE)/24</f>
        <v>#N/A</v>
      </c>
      <c r="AK295" s="453" t="str">
        <f>IF(AI295="","",AL295+AM295)</f>
        <v/>
      </c>
      <c r="AL295" s="453" t="str">
        <f>IF(D295="","",IF(AI295=2,(('Calc (ex-animal)'!$G$61*'DB additional information '!$K$15/100*(1-VLOOKUP(D295,'DB technologies'!$N$138:$Y$152,9,FALSE)/100)*'Calc (ex-housing, ex-storage)'!F295/100+'Calc (ex-animal)'!$H$61*'DB additional information '!$L$15/100*(1-VLOOKUP(D295,'DB technologies'!$N$138:$Y$152,9,FALSE)/100)*'Calc (ex-housing, ex-storage)'!F295/100))/VLOOKUP($C$295,'DB animal categories'!$C$107:$AC$116,27,FALSE)*AJ295+I295+J295+K295,IF(AI295=1,('Calc (ex-animal)'!$H$61*'DB additional information '!$L$15/100*(1-VLOOKUP(D295,'DB technologies'!$N$138:$Y$152,9,FALSE)/100)*'Calc (ex-housing, ex-storage)'!F295/100)/VLOOKUP($C$295,'DB animal categories'!$C$107:$AC$116,27,FALSE)*AJ295,IF(AI295=4,('Calc (ex-animal)'!$G$61*'DB additional information '!$K$15/100+'Calc (ex-animal)'!$H$61*'DB additional information '!$L$15/100)*(1-VLOOKUP(D295,'DB technologies'!$N$138:$Y$152,9,FALSE)/100)*'Calc (ex-housing, ex-storage)'!F295/100*VLOOKUP(D295,'DB technologies'!$N$138:$Y$152,11,FALSE)/100/VLOOKUP($C$295,'DB animal categories'!$C$107:$AC$116,27,FALSE)*AJ295,0))))</f>
        <v/>
      </c>
      <c r="AM295" s="453" t="str">
        <f>IF(D295="","",IF(AI295=2,(('Calc (ex-animal)'!$G$61*(1-'DB additional information '!$K$15/100)*(1-VLOOKUP(D295,'DB technologies'!$N$138:$Y$152,8,FALSE)/100)*'Calc (ex-housing, ex-storage)'!F295/100+'Calc (ex-animal)'!$H$61*(1-'DB additional information '!$L$15/100)*(1-VLOOKUP(D295,'DB technologies'!$N$138:$Y$152,8,FALSE)/100)*'Calc (ex-housing, ex-storage)'!F295/100))/VLOOKUP($C$295,'DB animal categories'!$C$107:$AC$116,27,FALSE)*AJ295+M295+N295+O295,IF(AI295=1,('Calc (ex-animal)'!$H$61*(1-'DB additional information '!$L$15/100)*(1-VLOOKUP(D295,'DB technologies'!$N$138:$Y$152,8,FALSE)/100)*'Calc (ex-housing, ex-storage)'!F295/100)/VLOOKUP($C$295,'DB animal categories'!$C$107:$AC$116,27,FALSE)*AJ295,IF(AI295=4,('Calc (ex-animal)'!$G$61*(1-'DB additional information '!$K$15/100)+'Calc (ex-animal)'!$H$61*(1-'DB additional information '!$L$15/100))*(1-VLOOKUP(D295,'DB technologies'!$N$138:$Y$152,8,FALSE)/100)*'Calc (ex-housing, ex-storage)'!F295/100*VLOOKUP(D295,'DB technologies'!$N$138:$Y$152,11,FALSE)/100/VLOOKUP($C$295,'DB animal categories'!$C$107:$AC$116,27,FALSE)*AJ295,0))))</f>
        <v/>
      </c>
      <c r="AN295" s="453" t="str">
        <f>IF(AI295="","",IF(AL295=0,0,AL295/AK295*100))</f>
        <v/>
      </c>
      <c r="AO295" s="180" t="str">
        <f>IF(D295="","",IF(AI295=2,(('Calc (ex-animal)'!$L$61*'Calc (ex-housing, ex-storage)'!F295/100+'Calc (ex-animal)'!$K$61*'Calc (ex-housing, ex-storage)'!F295/100))/VLOOKUP($C$295,'DB animal categories'!$C$107:$AC$116,27,FALSE)*AJ295+Q295+R295+S295-AC295,IF(AI295=1,('Calc (ex-animal)'!$L$61*'Calc (ex-housing, ex-storage)'!F295/100)/VLOOKUP($C$295,'DB animal categories'!$C$107:$AC$116,27,FALSE)*AJ295-'Calc (ex-housing, ex-storage)'!AC295,IF(AI295=4,('Calc (ex-animal)'!$L$61+'Calc (ex-animal)'!$K$61)*'Calc (ex-housing, ex-storage)'!F295/100*VLOOKUP(D295,'DB technologies'!$N$138:$Y$152,11,FALSE)/100/VLOOKUP($C$295,'DB animal categories'!$C$107:$AC$116,27,FALSE)*AJ295-AC295*VLOOKUP(D295,'DB technologies'!$N$138:$Y$152,11,FALSE)/100,0))))</f>
        <v/>
      </c>
      <c r="AP295" s="180" t="str">
        <f>IF(D295="","",IF(AO295&lt;-0.01,0,IF(AI295=2,(('Calc (ex-animal)'!$L$61*'Calc (ex-housing, ex-storage)'!F295/100+'Calc (ex-animal)'!$K$61*'Calc (ex-housing, ex-storage)'!F295/100))/VLOOKUP($C$295,'DB animal categories'!$C$107:$AC$116,27,FALSE)*AJ295+Q295+R295+S295-AC295,IF(AI295=1,('Calc (ex-animal)'!$L$61*'Calc (ex-housing, ex-storage)'!F295/100)/VLOOKUP($C$295,'DB animal categories'!$C$107:$AC$116,27,FALSE)*AJ295-'Calc (ex-housing, ex-storage)'!AC295,IF(AI295=4,('Calc (ex-animal)'!$L$61+'Calc (ex-animal)'!$K$61)*'Calc (ex-housing, ex-storage)'!F295/100*VLOOKUP(D295,'DB technologies'!$N$138:$Y$152,11,FALSE)/100/VLOOKUP($C$295,'DB animal categories'!$C$107:$AC$116,27,FALSE)*AJ295-AC295*VLOOKUP(D295,'DB technologies'!$N$138:$Y$152,11,FALSE)/100,0)))))</f>
        <v/>
      </c>
      <c r="AQ295" s="180" t="str">
        <f>IF(D295="","",IF(AI295=2,('Calc (ex-animal)'!$O$61*'Calc (ex-housing, ex-storage)'!F295/100+'Calc (ex-animal)'!$N$61*'Calc (ex-housing, ex-storage)'!F295/100)/VLOOKUP($C$295,'DB animal categories'!$C$107:$AC$116,27,FALSE)*AJ295+U295+V295+W295,IF(AI295=1,'Calc (ex-animal)'!$O$61*'Calc (ex-housing, ex-storage)'!F295/100/VLOOKUP($C$295,'DB animal categories'!$C$107:$AC$116,27,FALSE)*AJ295,IF(AI295=4,('Calc (ex-animal)'!$O$61+'Calc (ex-animal)'!$N$61)*'Calc (ex-housing, ex-storage)'!F295/100*VLOOKUP(D295,'DB technologies'!$N$138:$Y$152,11,FALSE)/100/VLOOKUP($C$295,'DB animal categories'!$C$107:$AC$116,27,FALSE)*AJ295,0))))</f>
        <v/>
      </c>
      <c r="AR295" s="180" t="str">
        <f>IF(D295="","",IF(AI295=2,('Calc (ex-animal)'!$R$61*'Calc (ex-housing, ex-storage)'!F295/100+'Calc (ex-animal)'!$Q$61*'Calc (ex-housing, ex-storage)'!F295/100)/VLOOKUP($C$295,'DB animal categories'!$C$107:$AC$116,27,FALSE)*AJ295+Y295+Z295+AA295,IF(AI295=1,'Calc (ex-animal)'!$R$61*'Calc (ex-housing, ex-storage)'!F295/100/VLOOKUP($C$295,'DB animal categories'!$C$107:$AC$116,27,FALSE)*AJ295,IF(AI295=4,('Calc (ex-animal)'!$R$61+'Calc (ex-animal)'!$Q$61)*'Calc (ex-housing, ex-storage)'!F295/100*VLOOKUP(D295,'DB technologies'!$N$138:$Y$152,11,FALSE)/100/VLOOKUP($C$295,'DB animal categories'!$C$107:$AC$116,27,FALSE)*AJ295,0))))</f>
        <v/>
      </c>
      <c r="AS295" s="179" t="str">
        <f>IF(D295="","",VLOOKUP(D295,'DB technologies'!$N$138:$Y$152,10,FALSE))</f>
        <v/>
      </c>
      <c r="AT295" s="453" t="str">
        <f>IF(AS295="","",AU295+AV295)</f>
        <v/>
      </c>
      <c r="AU295" s="453" t="str">
        <f>IF(D295="","",IF(AS295=2,0,IF(AS295=1,'Calc (ex-animal)'!$G$61*'DB additional information '!$K$15/100*(1-VLOOKUP(D295,'DB technologies'!$N$138:$Y$152,8,FALSE)/100)*'Calc (ex-housing, ex-storage)'!F295/100/VLOOKUP($C$295,'DB animal categories'!$C$107:$AC$116,27,FALSE)*AJ295+I295+J295+K295,IF(AS295=5,(('Calc (ex-animal)'!$G$61*'DB additional information '!$K$15/100+'Calc (ex-animal)'!$H$61*'DB additional information '!$L$15/100))*(1-VLOOKUP(D295,'DB technologies'!$N$138:$Y$152,9,FALSE)/100)*'Calc (ex-housing, ex-storage)'!F295/100/VLOOKUP($C$295,'DB animal categories'!$C$107:$AC$116,27,FALSE)*AJ295+I295+J295+K295,IF(AS295=3,('Calc (ex-animal)'!$G$61*'DB additional information '!$K$15/100+'Calc (ex-animal)'!$H$61*'DB additional information '!$L$15/100)*(1-VLOOKUP(D295,'DB technologies'!$N$138:$Y$152,9,FALSE)/100)*'Calc (ex-housing, ex-storage)'!F295/100/VLOOKUP($C$295,'DB animal categories'!$C$107:$AC$116,27,FALSE)*AJ295+I295+J295+K295,IF(AS295=4,('Calc (ex-animal)'!$G$61*'DB additional information '!$K$15/100+'Calc (ex-animal)'!$H$61*'DB additional information '!$L$15/100)*(1-VLOOKUP(D295,'DB technologies'!$N$138:$Y$152,9,FALSE)/100)*'Calc (ex-housing, ex-storage)'!F295/100*VLOOKUP(D295,'DB technologies'!$N$138:$Y$152,12,FALSE)/100/VLOOKUP($C$295,'DB animal categories'!$C$107:$AC$116,27,FALSE)*AJ295+I295+J295+K295,0))))))</f>
        <v/>
      </c>
      <c r="AV295" s="453" t="str">
        <f>IF(D295="","",IF(AS295=2,0,IF(AS295=1,'Calc (ex-animal)'!$G$61*(1-'DB additional information '!$K$15/100)*(1-VLOOKUP(D295,'DB technologies'!$N$138:$Y$152,8,FALSE)/100)*'Calc (ex-housing, ex-storage)'!F295/100/VLOOKUP($C$295,'DB animal categories'!$C$107:$AC$116,27,FALSE)*AJ295+M295+N295+O295,IF(AS295=5,('Calc (ex-animal)'!$G$61*(1-'DB additional information '!$K$15/100)+'Calc (ex-animal)'!$H$61*(1-'DB additional information '!$L$15/100))*(1-VLOOKUP(D295,'DB technologies'!$N$138:$Y$152,8,FALSE)/100)*'Calc (ex-housing, ex-storage)'!F295/100/VLOOKUP($C$295,'DB animal categories'!$C$107:$AC$116,27,FALSE)*AJ295+M295+N295+O295,IF(AS295=3,('Calc (ex-animal)'!$G$61*(1-'DB additional information '!$K$15/100)+'Calc (ex-animal)'!$H$61*(1-'DB additional information '!$L$15/100))*(1-VLOOKUP(D295,'DB technologies'!$N$138:$Y$152,8,FALSE)/100)*'Calc (ex-housing, ex-storage)'!F295/100/VLOOKUP($C$295,'DB animal categories'!$C$107:$AC$116,27,FALSE)*AJ295+M295+N295+O295,IF(AS295=4,('Calc (ex-animal)'!$G$61*(1-'DB additional information '!$K$15/100)+'Calc (ex-animal)'!$H$61*(1-'DB additional information '!$L$15/100))*(1-VLOOKUP(D295,'DB technologies'!$N$138:$Y$152,8,FALSE)/100)*'Calc (ex-housing, ex-storage)'!F295/100*VLOOKUP(D295,'DB technologies'!$N$138:$Y$152,12,FALSE)/100/VLOOKUP($C$295,'DB animal categories'!$C$107:$AC$116,27,FALSE)*AJ295+M295+N295+O295,0))))))</f>
        <v/>
      </c>
      <c r="AW295" s="453" t="str">
        <f>IF(AS295="","",IF(AU295=0,0,AU295/AT295*100))</f>
        <v/>
      </c>
      <c r="AX295" s="180" t="str">
        <f>IF(D295="","",IF(AS295=2,0,IF(AS295=1,'Calc (ex-animal)'!$K$61*'Calc (ex-housing, ex-storage)'!F295/100/VLOOKUP($C$295,'DB animal categories'!$C$107:$AC$116,27,FALSE)*AJ295+Q295+R295+S295,IF(AS295=5,('Calc (ex-animal)'!$K$61+'Calc (ex-animal)'!$L$61)*'Calc (ex-housing, ex-storage)'!F295/100/VLOOKUP($C$295,'DB animal categories'!$C$107:$AC$116,27,FALSE)*AJ295+Q295+R295+S295-'Calc (ex-housing, ex-storage)'!AC295,IF(AS295=3,('Calc (ex-animal)'!$K$61+'Calc (ex-animal)'!$L$61)*'Calc (ex-housing, ex-storage)'!F295/100/VLOOKUP($C$295,'DB animal categories'!$C$107:$AC$116,27,FALSE)*AJ295+Q295+R295+S295-'Calc (ex-housing, ex-storage)'!AC295-AD295-AE295,IF(AI295=4,('Calc (ex-animal)'!$K$61+'Calc (ex-animal)'!$L$61)*'Calc (ex-housing, ex-storage)'!F295/100*VLOOKUP(D295,'DB technologies'!$N$138:$Y$152,12,FALSE)/100/VLOOKUP($C$295,'DB animal categories'!$C$107:$AC$116,27,FALSE)*AJ295+Q295+R295+S295-(VLOOKUP(D295,'DB technologies'!$N$138:$Y$152,12,FALSE)/100*AC295)-AD295-AE295,0))))))</f>
        <v/>
      </c>
      <c r="AY295" s="180" t="str">
        <f>IF(D295="","",IF(AS295=2,0,IF(AS295=1,'Calc (ex-animal)'!$N$61*'Calc (ex-housing, ex-storage)'!F295/100/VLOOKUP($C$295,'DB animal categories'!$C$107:$AC$116,27,FALSE)*AJ295+U295+V295+W295,IF(AS295=5,('Calc (ex-animal)'!$N$61+'Calc (ex-animal)'!$O$61)*'Calc (ex-housing, ex-storage)'!F295/100/VLOOKUP($C$295,'DB animal categories'!$C$107:$AC$116,27,FALSE)*AJ295+U295+V295+W295,IF(AS295=3,('Calc (ex-animal)'!$N$61+'Calc (ex-animal)'!$O$61)*'Calc (ex-housing, ex-storage)'!F295/100/VLOOKUP($C$295,'DB animal categories'!$C$107:$AC$116,27,FALSE)*AJ295+U295+V295+W295,IF(AS295=4,('Calc (ex-animal)'!$N$61+'Calc (ex-animal)'!$O$61)*'Calc (ex-housing, ex-storage)'!F295/100*VLOOKUP(D295,'DB technologies'!$N$138:$Y$152,12,FALSE)/100/VLOOKUP($C$295,'DB animal categories'!$C$107:$AC$116,27,FALSE)*AJ295+U295+V295+W295,0))))))</f>
        <v/>
      </c>
      <c r="AZ295" s="180" t="str">
        <f>IF(D295="","",IF(AS295=2,0,IF(AS295=1,'Calc (ex-animal)'!$Q$61*'Calc (ex-housing, ex-storage)'!F295/100/VLOOKUP($C$295,'DB animal categories'!$C$107:$AC$116,27,FALSE)*AJ295+Y295+Z295+AA295,IF(AS295=5,('Calc (ex-animal)'!$Q$61+'Calc (ex-animal)'!$R$61)*'Calc (ex-housing, ex-storage)'!F295/100/VLOOKUP($C$295,'DB animal categories'!$C$107:$AC$116,27,FALSE)*AJ295+Y295+Z295+AA295,IF(AS295=3,('Calc (ex-animal)'!$Q$61+'Calc (ex-animal)'!$R$61)*'Calc (ex-housing, ex-storage)'!F295/100/VLOOKUP($C$295,'DB animal categories'!$C$107:$AC$116,27,FALSE)*AJ295+Y295+Z295+AA295,IF(AS295=4,('Calc (ex-animal)'!$Q$61+'Calc (ex-animal)'!$R$61)*'Calc (ex-housing, ex-storage)'!F295/100*VLOOKUP(D295,'DB technologies'!$N$138:$Y$152,12,FALSE)/100/VLOOKUP($C$295,'DB animal categories'!$C$107:$AC$116,27,FALSE)*AJ295+Y295+Z295+AA295,0))))))</f>
        <v/>
      </c>
      <c r="BA295" s="506"/>
      <c r="BB295" s="506"/>
      <c r="BC295" s="506"/>
    </row>
    <row r="296" spans="1:55" x14ac:dyDescent="0.2">
      <c r="A296" s="695"/>
      <c r="B296" s="695"/>
      <c r="C296" s="251"/>
      <c r="D296" s="1357"/>
      <c r="E296" s="1358"/>
      <c r="F296" s="480" t="str">
        <f>IF('Calc (ex-animal)'!$F$58=1,"",IF($C$295=0,"",IF(D296="","",E296/'Calc (ex-animal)'!$E$61*100)))</f>
        <v/>
      </c>
      <c r="G296" s="485" t="str">
        <f>IF($C$295=0,"",IF('Calc (ex-animal)'!$F$58=1,"",IF(D296="","",SUM(H296:O296))))</f>
        <v/>
      </c>
      <c r="H296" s="423" t="str">
        <f>IF('Calc (ex-animal)'!$F$58=1,"",IF(D296="","",(((VLOOKUP($C$295,'Calc (ex-animal)'!$D$58:$Y$62,6,FALSE)-VLOOKUP($C$295,'Calc (ex-animal)'!$D$58:$Y$62,17,FALSE))*F296/100))*VLOOKUP($C$295,'Calc (ex-animal)'!$D$58:$Y$62,7,FALSE)/100*(1-VLOOKUP(D296,'DB technologies'!$N$138:$Y$152,9,FALSE)/100)))</f>
        <v/>
      </c>
      <c r="I296" s="423" t="str">
        <f>IF(D296="","",((VLOOKUP(D296,'DB technologies'!$N$138:$Y$152,2,FALSE)*VLOOKUP($C$295,'DB animal categories'!$C$107:$AC$116,27,FALSE)*E296/1000)/VLOOKUP($C$295,'DB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'!$S$6/100*(1-VLOOKUP(D296,'DB technologies'!$N$138:$Y$152,9,FALSE)/100)))</f>
        <v/>
      </c>
      <c r="J296" s="434" t="str">
        <f>IF(D296="","",((VLOOKUP(D296,'DB technologies'!$N$138:$Y$152,3,FALSE)*VLOOKUP($C$295,'DB animal categories'!$C$107:$AC$116,27,FALSE)*E296/1000)/VLOOKUP($C$295,'DB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'!$S$7/100*(1-VLOOKUP(D296,'DB technologies'!$N$138:$Y$152,9,FALSE)/100)))</f>
        <v/>
      </c>
      <c r="K296" s="434" t="str">
        <f>IF(D296="","",((VLOOKUP(D296,'DB technologies'!$N$138:$Y$152,4,FALSE)*E296*'DB additional information '!$S$8/100*(1-VLOOKUP(D296,'DB technologies'!$N$138:$Y$152,9,FALSE)/100))/VLOOKUP($C$295,'DB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L296" s="423" t="str">
        <f>IF('Calc (ex-animal)'!$F$58=1,"",IF(D296="","",(((VLOOKUP($C$295,'Calc (ex-animal)'!$D$58:$Y$62,6,FALSE)-VLOOKUP($C$295,'Calc (ex-animal)'!$D$58:$Y$62,17,FALSE))*F296/100))*(1-VLOOKUP($C$295,'Calc (ex-animal)'!$D$58:$Y$62,7,FALSE)/100)*(1-VLOOKUP(D296,'DB technologies'!$N$138:$V$152,8,FALSE)/100)))</f>
        <v/>
      </c>
      <c r="M296" s="434" t="str">
        <f>IF(D296="","",((VLOOKUP(D296,'DB technologies'!$N$138:$Y$152,2,FALSE)*VLOOKUP($C$295,'DB animal categories'!$C$107:$AC$116,27,FALSE)*E296/1000)/VLOOKUP($C$295,'DB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'!$S$6/100)*(1-VLOOKUP(D296,'DB technologies'!$N$138:$Y$152,9,FALSE)/100))</f>
        <v/>
      </c>
      <c r="N296" s="434" t="str">
        <f>IF(D296="","",((VLOOKUP(D296,'DB technologies'!$N$138:$Y$152,3,FALSE)*VLOOKUP($C$295,'DB animal categories'!$C$107:$AC$116,27,FALSE)*E296/1000)/VLOOKUP($C$295,'DB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'!$S$7/100)*(1-VLOOKUP(D296,'DB technologies'!$N$138:$Y$152,9,FALSE)/100))</f>
        <v/>
      </c>
      <c r="O296" s="423" t="str">
        <f>IF(D296="","",((VLOOKUP(D296,'DB technologies'!$N$138:$Y$152,4,FALSE)*E296*(1-'DB additional information '!$S$8/100)*(1-VLOOKUP(D296,'DB technologies'!$N$138:$Y$152,8,FALSE)/100))/VLOOKUP($C$295,'DB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P296" s="438" t="str">
        <f>IF(G296=0,0,IF(E296="","",IF(F296="","",IF($C$295=0,"",IF(D296="","",SUM(H296:K296)/G296*100)))))</f>
        <v/>
      </c>
      <c r="Q296" s="416" t="str">
        <f>IF(D296="","",(VLOOKUP(D296,'DB technologies'!$N$138:$Y$152,2,FALSE)*'DB additional information '!$S$6/100*'DB additional information '!$T$6*VLOOKUP($C$295,'DB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R296" s="416" t="str">
        <f>IF(D296="","",(VLOOKUP(D296,'DB technologies'!$N$138:$Y$152,3,FALSE)*'DB additional information '!$S$7/100*'DB additional information '!$T$7*VLOOKUP($C$295,'DB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S296" s="491" t="str">
        <f>IF(D296="","",(VLOOKUP(D296,'DB technologies'!$N$138:$Y$152,4,FALSE)*('DB additional information '!$S$8/100*'DB additional information '!$T$8*E296/1000/1000)))</f>
        <v/>
      </c>
      <c r="T296" s="264" t="str">
        <f>IF($C$295=0,"",IF('Calc (ex-animal)'!$F$58=1,"",IF(D296="","",((VLOOKUP($C$295,'Calc (ex-animal)'!$D$58:$Y$62,10,FALSE)-VLOOKUP($C$295,'Calc (ex-animal)'!$D$58:$Y$62,18,FALSE))*F296/100+Q296+R296+S296)-AC296-AD296-AE296)))</f>
        <v/>
      </c>
      <c r="U296" s="422" t="str">
        <f>IF(D296="","",(VLOOKUP(D296,'DB technologies'!$N$138:$Y$152,2,FALSE)*'DB additional information '!$S$6/100*'DB additional information '!$U$6*VLOOKUP($C$295,'DB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V296" s="418" t="str">
        <f>IF(D296="","",(VLOOKUP(D296,'DB technologies'!$N$138:$Y$152,3,FALSE)*'DB additional information '!$S$7/100*'DB additional information '!$U$7*VLOOKUP($C$295,'DB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W296" s="417" t="str">
        <f>IF(D296="","",(VLOOKUP(D296,'DB technologies'!$N$138:$Y$152,4,FALSE)*('DB additional information '!$S$8/100*'DB additional information '!$U$8*E296/1000/1000)))</f>
        <v/>
      </c>
      <c r="X296" s="261" t="str">
        <f>IF($C$295=0,"",IF('Calc (ex-animal)'!$F$58=1,"",IF(D296="","",((VLOOKUP($C$295,'Calc (ex-animal)'!$D$58:$Y$62,13,FALSE)-VLOOKUP($C$295,'Calc (ex-animal)'!$D$58:$Y$62,19,FALSE))*F296/100+U296+V296+W296))))</f>
        <v/>
      </c>
      <c r="Y296" s="418" t="str">
        <f>IF(D296="","",(VLOOKUP(D296,'DB technologies'!$N$138:$Y$152,2,FALSE)*'DB additional information '!$S$6/100*'DB additional information '!$V$6*VLOOKUP($C$295,'DB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Z296" s="418" t="str">
        <f>IF(D296="","",(VLOOKUP(D296,'DB technologies'!$N$138:$Y$152,3,FALSE)*'DB additional information '!$S$7/100*'DB additional information '!$V$7*VLOOKUP($C$295,'DB animal categories'!$C$107:$AC$116,27,FALSE)*E296/1000/1000)/VLOOKUP($C$295,'DB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AA296" s="418" t="str">
        <f>IF(D296="","",(VLOOKUP(D296,'DB technologies'!$N$138:$Y$152,4,FALSE)*('DB additional information '!$S$8/100*'DB additional information '!$V$8*E296/1000/1000)))</f>
        <v/>
      </c>
      <c r="AB296" s="261" t="str">
        <f>IF($C$295=0,"",IF('Calc (ex-animal)'!$F$58=1,"",IF(D296="","",((VLOOKUP($C$295,'Calc (ex-animal)'!$D$58:$Y$62,16,FALSE)-VLOOKUP($C$295,'Calc (ex-animal)'!$D$58:$Y$62,20,FALSE))*F296/100+Y296+Z296+AA296))))</f>
        <v/>
      </c>
      <c r="AC296" s="261" t="str">
        <f>IF($C$295=0,"",IF('Calc (ex-animal)'!$F$58=1,"",IF(D296="","",VLOOKUP($C$295,'Calc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categories'!$C$107:$AC$116,26,FALSE)/24)*F296/100*VLOOKUP(D296,'DB technologies'!$N$138:$R$152,5,FALSE)/100)))</f>
        <v/>
      </c>
      <c r="AD296" s="261" t="str">
        <f>IF($C$295=0,"",IF('Calc (ex-animal)'!$F$58=1,"",IF(D296="","",VLOOKUP($C$295,'Calc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categories'!$C$107:$AC$116,26,FALSE)/24)*F296/100*VLOOKUP(D296,'DB technologies'!$N$138:$Y$152,6,FALSE)/100)))</f>
        <v/>
      </c>
      <c r="AE296" s="262" t="str">
        <f>IF($C$295=0,"",IF('Calc (ex-animal)'!$F$58=1,"",IF(D296="","",VLOOKUP($C$295,'Calc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categories'!$C$107:$AC$116,26,FALSE)/24)*F296/100*VLOOKUP(D296,'DB technologies'!$N$138:$Y$152,7,FALSE)/100)))</f>
        <v/>
      </c>
      <c r="AI296" s="181" t="str">
        <f>IF(D296="","",VLOOKUP(D296,'DB technologies'!$N$138:$Y$152,10,FALSE))</f>
        <v/>
      </c>
      <c r="AJ296" s="449" t="e">
        <f>VLOOKUP($C$295,'DB animal categories'!$C$107:$AN$116,27,FALSE)-VLOOKUP($C$295,'DB animal categories'!$C$107:$AN$116,26,FALSE)*VLOOKUP($C$295,'DB animal categories'!$C$107:$AN$116,25,FALSE)/24</f>
        <v>#N/A</v>
      </c>
      <c r="AK296" s="442" t="str">
        <f>IF(AI296="","",AL296+AM296)</f>
        <v/>
      </c>
      <c r="AL296" s="442" t="str">
        <f>IF(D296="","",IF(AI296=2,(('Calc (ex-animal)'!$G$61*'DB additional information '!$K$15/100*(1-VLOOKUP(D296,'DB technologies'!$N$138:$Y$152,9,FALSE)/100)*'Calc (ex-housing, ex-storage)'!F296/100+'Calc (ex-animal)'!$H$61*'DB additional information '!$L$15/100*(1-VLOOKUP(D296,'DB technologies'!$N$138:$Y$152,9,FALSE)/100)*'Calc (ex-housing, ex-storage)'!F296/100))/VLOOKUP($C$295,'DB animal categories'!$C$107:$AC$116,27,FALSE)*AJ296+I296+J296+K296,IF(AI296=1,('Calc (ex-animal)'!$H$61*'DB additional information '!$L$15/100*(1-VLOOKUP(D296,'DB technologies'!$N$138:$Y$152,9,FALSE)/100)*'Calc (ex-housing, ex-storage)'!F296/100)/VLOOKUP($C$295,'DB animal categories'!$C$107:$AC$116,27,FALSE)*AJ296,IF(AI296=4,('Calc (ex-animal)'!$G$61*'DB additional information '!$K$15/100+'Calc (ex-animal)'!$H$61*'DB additional information '!$L$15/100)*(1-VLOOKUP(D296,'DB technologies'!$N$138:$Y$152,9,FALSE)/100)*'Calc (ex-housing, ex-storage)'!F296/100*VLOOKUP(D296,'DB technologies'!$N$138:$Y$152,11,FALSE)/100/VLOOKUP($C$295,'DB animal categories'!$C$107:$AC$116,27,FALSE)*AJ296,0))))</f>
        <v/>
      </c>
      <c r="AM296" s="442" t="str">
        <f>IF(D296="","",IF(AI296=2,(('Calc (ex-animal)'!$G$61*(1-'DB additional information '!$K$15/100)*(1-VLOOKUP(D296,'DB technologies'!$N$138:$Y$152,8,FALSE)/100)*'Calc (ex-housing, ex-storage)'!F296/100+'Calc (ex-animal)'!$H$61*(1-'DB additional information '!$L$15/100)*(1-VLOOKUP(D296,'DB technologies'!$N$138:$Y$152,8,FALSE)/100)*'Calc (ex-housing, ex-storage)'!F296/100))/VLOOKUP($C$295,'DB animal categories'!$C$107:$AC$116,27,FALSE)*AJ296+M296+N296+O296,IF(AI296=1,('Calc (ex-animal)'!$H$61*(1-'DB additional information '!$L$15/100)*(1-VLOOKUP(D296,'DB technologies'!$N$138:$Y$152,8,FALSE)/100)*'Calc (ex-housing, ex-storage)'!F296/100)/VLOOKUP($C$295,'DB animal categories'!$C$107:$AC$116,27,FALSE)*AJ296,IF(AI296=4,('Calc (ex-animal)'!$G$61*(1-'DB additional information '!$K$15/100)+'Calc (ex-animal)'!$H$61*(1-'DB additional information '!$L$15/100))*(1-VLOOKUP(D296,'DB technologies'!$N$138:$Y$152,8,FALSE)/100)*'Calc (ex-housing, ex-storage)'!F296/100*VLOOKUP(D296,'DB technologies'!$N$138:$Y$152,11,FALSE)/100/VLOOKUP($C$295,'DB animal categories'!$C$107:$AC$116,27,FALSE)*AJ296,0))))</f>
        <v/>
      </c>
      <c r="AN296" s="442" t="str">
        <f>IF(AI296="","",IF(AL296=0,0,AL296/AK296*100))</f>
        <v/>
      </c>
      <c r="AO296" s="182" t="str">
        <f>IF(D296="","",IF(AI296=2,(('Calc (ex-animal)'!$L$61*'Calc (ex-housing, ex-storage)'!F296/100+'Calc (ex-animal)'!$K$61*'Calc (ex-housing, ex-storage)'!F296/100))/VLOOKUP($C$295,'DB animal categories'!$C$107:$AC$116,27,FALSE)*AJ296+Q296+R296+S296-AC296,IF(AI296=1,('Calc (ex-animal)'!$L$61*'Calc (ex-housing, ex-storage)'!F296/100)/VLOOKUP($C$295,'DB animal categories'!$C$107:$AC$116,27,FALSE)*AJ296-'Calc (ex-housing, ex-storage)'!AC296,IF(AI296=4,('Calc (ex-animal)'!$L$61+'Calc (ex-animal)'!$K$61)*'Calc (ex-housing, ex-storage)'!F296/100*VLOOKUP(D296,'DB technologies'!$N$138:$Y$152,11,FALSE)/100/VLOOKUP($C$295,'DB animal categories'!$C$107:$AC$116,27,FALSE)*AJ296-AC296*VLOOKUP(D296,'DB technologies'!$N$138:$Y$152,11,FALSE)/100,0))))</f>
        <v/>
      </c>
      <c r="AP296" s="182" t="str">
        <f>IF(D296="","",IF(AO296&lt;-0.01,0,IF(AI296=2,(('Calc (ex-animal)'!$L$61*'Calc (ex-housing, ex-storage)'!F296/100+'Calc (ex-animal)'!$K$61*'Calc (ex-housing, ex-storage)'!F296/100))/VLOOKUP($C$295,'DB animal categories'!$C$107:$AC$116,27,FALSE)*AJ296+Q296+R296+S296-AC296,IF(AI296=1,('Calc (ex-animal)'!$L$61*'Calc (ex-housing, ex-storage)'!F296/100)/VLOOKUP($C$295,'DB animal categories'!$C$107:$AC$116,27,FALSE)*AJ296-'Calc (ex-housing, ex-storage)'!AC296,IF(AI296=4,('Calc (ex-animal)'!$L$61+'Calc (ex-animal)'!$K$61)*'Calc (ex-housing, ex-storage)'!F296/100*VLOOKUP(D296,'DB technologies'!$N$138:$Y$152,11,FALSE)/100/VLOOKUP($C$295,'DB animal categories'!$C$107:$AC$116,27,FALSE)*AJ296-AC296*VLOOKUP(D296,'DB technologies'!$N$138:$Y$152,11,FALSE)/100,0)))))</f>
        <v/>
      </c>
      <c r="AQ296" s="182" t="str">
        <f>IF(D296="","",IF(AI296=2,('Calc (ex-animal)'!$O$61*'Calc (ex-housing, ex-storage)'!F296/100+'Calc (ex-animal)'!$N$61*'Calc (ex-housing, ex-storage)'!F296/100)/VLOOKUP($C$295,'DB animal categories'!$C$107:$AC$116,27,FALSE)*AJ296+U296+V296+W296,IF(AI296=1,'Calc (ex-animal)'!$O$61*'Calc (ex-housing, ex-storage)'!F296/100/VLOOKUP($C$295,'DB animal categories'!$C$107:$AC$116,27,FALSE)*AJ296,IF(AI296=4,('Calc (ex-animal)'!$O$61+'Calc (ex-animal)'!$N$61)*'Calc (ex-housing, ex-storage)'!F296/100*VLOOKUP(D296,'DB technologies'!$N$138:$Y$152,11,FALSE)/100/VLOOKUP($C$295,'DB animal categories'!$C$107:$AC$116,27,FALSE)*AJ296,0))))</f>
        <v/>
      </c>
      <c r="AR296" s="182" t="str">
        <f>IF(D296="","",IF(AI296=2,('Calc (ex-animal)'!$R$61*'Calc (ex-housing, ex-storage)'!F296/100+'Calc (ex-animal)'!$Q$61*'Calc (ex-housing, ex-storage)'!F296/100)/VLOOKUP($C$295,'DB animal categories'!$C$107:$AC$116,27,FALSE)*AJ296+Y296+Z296+AA296,IF(AI296=1,'Calc (ex-animal)'!$R$61*'Calc (ex-housing, ex-storage)'!F296/100/VLOOKUP($C$295,'DB animal categories'!$C$107:$AC$116,27,FALSE)*AJ296,IF(AI296=4,('Calc (ex-animal)'!$R$61+'Calc (ex-animal)'!$Q$61)*'Calc (ex-housing, ex-storage)'!F296/100*VLOOKUP(D296,'DB technologies'!$N$138:$Y$152,11,FALSE)/100/VLOOKUP($C$295,'DB animal categories'!$C$107:$AC$116,27,FALSE)*AJ296,0))))</f>
        <v/>
      </c>
      <c r="AS296" s="181" t="str">
        <f>IF(D296="","",VLOOKUP(D296,'DB technologies'!$N$138:$Y$152,10,FALSE))</f>
        <v/>
      </c>
      <c r="AT296" s="442" t="str">
        <f>IF(AS296="","",AU296+AV296)</f>
        <v/>
      </c>
      <c r="AU296" s="442" t="str">
        <f>IF(D296="","",IF(AS296=2,0,IF(AS296=1,'Calc (ex-animal)'!$G$61*'DB additional information '!$K$15/100*(1-VLOOKUP(D296,'DB technologies'!$N$138:$Y$152,8,FALSE)/100)*'Calc (ex-housing, ex-storage)'!F296/100/VLOOKUP($C$295,'DB animal categories'!$C$107:$AC$116,27,FALSE)*AJ296+I296+J296+K296,IF(AS296=5,(('Calc (ex-animal)'!$G$61*'DB additional information '!$K$15/100+'Calc (ex-animal)'!$H$61*'DB additional information '!$L$15/100))*(1-VLOOKUP(D296,'DB technologies'!$N$138:$Y$152,9,FALSE)/100)*'Calc (ex-housing, ex-storage)'!F296/100/VLOOKUP($C$295,'DB animal categories'!$C$107:$AC$116,27,FALSE)*AJ296+I296+J296+K296,IF(AS296=3,('Calc (ex-animal)'!$G$61*'DB additional information '!$K$15/100+'Calc (ex-animal)'!$H$61*'DB additional information '!$L$15/100)*(1-VLOOKUP(D296,'DB technologies'!$N$138:$Y$152,9,FALSE)/100)*'Calc (ex-housing, ex-storage)'!F296/100/VLOOKUP($C$295,'DB animal categories'!$C$107:$AC$116,27,FALSE)*AJ296+I296+J296+K296,IF(AS296=4,('Calc (ex-animal)'!$G$61*'DB additional information '!$K$15/100+'Calc (ex-animal)'!$H$61*'DB additional information '!$L$15/100)*(1-VLOOKUP(D296,'DB technologies'!$N$138:$Y$152,9,FALSE)/100)*'Calc (ex-housing, ex-storage)'!F296/100*VLOOKUP(D296,'DB technologies'!$N$138:$Y$152,12,FALSE)/100/VLOOKUP($C$295,'DB animal categories'!$C$107:$AC$116,27,FALSE)*AJ296+I296+J296+K296,0))))))</f>
        <v/>
      </c>
      <c r="AV296" s="442" t="str">
        <f>IF(D296="","",IF(AS296=2,0,IF(AS296=1,'Calc (ex-animal)'!$G$61*(1-'DB additional information '!$K$15/100)*(1-VLOOKUP(D296,'DB technologies'!$N$138:$Y$152,8,FALSE)/100)*'Calc (ex-housing, ex-storage)'!F296/100/VLOOKUP($C$295,'DB animal categories'!$C$107:$AC$116,27,FALSE)*AJ296+M296+N296+O296,IF(AS296=5,('Calc (ex-animal)'!$G$61*(1-'DB additional information '!$K$15/100)+'Calc (ex-animal)'!$H$61*(1-'DB additional information '!$L$15/100))*(1-VLOOKUP(D296,'DB technologies'!$N$138:$Y$152,8,FALSE)/100)*'Calc (ex-housing, ex-storage)'!F296/100/VLOOKUP($C$295,'DB animal categories'!$C$107:$AC$116,27,FALSE)*AJ296+M296+N296+O296,IF(AS296=3,('Calc (ex-animal)'!$G$61*(1-'DB additional information '!$K$15/100)+'Calc (ex-animal)'!$H$61*(1-'DB additional information '!$L$15/100))*(1-VLOOKUP(D296,'DB technologies'!$N$138:$Y$152,8,FALSE)/100)*'Calc (ex-housing, ex-storage)'!F296/100/VLOOKUP($C$295,'DB animal categories'!$C$107:$AC$116,27,FALSE)*AJ296+M296+N296+O296,IF(AS296=4,('Calc (ex-animal)'!$G$61*(1-'DB additional information '!$K$15/100)+'Calc (ex-animal)'!$H$61*(1-'DB additional information '!$L$15/100))*(1-VLOOKUP(D296,'DB technologies'!$N$138:$Y$152,8,FALSE)/100)*'Calc (ex-housing, ex-storage)'!F296/100*VLOOKUP(D296,'DB technologies'!$N$138:$Y$152,12,FALSE)/100/VLOOKUP($C$295,'DB animal categories'!$C$107:$AC$116,27,FALSE)*AJ296+M296+N296+O296,0))))))</f>
        <v/>
      </c>
      <c r="AW296" s="442" t="str">
        <f>IF(AS296="","",IF(AU296=0,0,AU296/AT296*100))</f>
        <v/>
      </c>
      <c r="AX296" s="182" t="str">
        <f>IF(D296="","",IF(AS296=2,0,IF(AS296=1,'Calc (ex-animal)'!$K$61*'Calc (ex-housing, ex-storage)'!F296/100/VLOOKUP($C$295,'DB animal categories'!$C$107:$AC$116,27,FALSE)*AJ296+Q296+R296+S296,IF(AS296=5,('Calc (ex-animal)'!$K$61+'Calc (ex-animal)'!$L$61)*'Calc (ex-housing, ex-storage)'!F296/100/VLOOKUP($C$295,'DB animal categories'!$C$107:$AC$116,27,FALSE)*AJ296+Q296+R296+S296-'Calc (ex-housing, ex-storage)'!AC296,IF(AS296=3,('Calc (ex-animal)'!$K$61+'Calc (ex-animal)'!$L$61)*'Calc (ex-housing, ex-storage)'!F296/100/VLOOKUP($C$295,'DB animal categories'!$C$107:$AC$116,27,FALSE)*AJ296+Q296+R296+S296-'Calc (ex-housing, ex-storage)'!AC296-AD296-AE296,IF(AI296=4,('Calc (ex-animal)'!$K$61+'Calc (ex-animal)'!$L$61)*'Calc (ex-housing, ex-storage)'!F296/100*VLOOKUP(D296,'DB technologies'!$N$138:$Y$152,12,FALSE)/100/VLOOKUP($C$295,'DB animal categories'!$C$107:$AC$116,27,FALSE)*AJ296+Q296+R296+S296-(VLOOKUP(D296,'DB technologies'!$N$138:$Y$152,12,FALSE)/100*AC296)-AD296-AE296,0))))))</f>
        <v/>
      </c>
      <c r="AY296" s="182" t="str">
        <f>IF(D296="","",IF(AS296=2,0,IF(AS296=1,'Calc (ex-animal)'!$N$61*'Calc (ex-housing, ex-storage)'!F296/100/VLOOKUP($C$295,'DB animal categories'!$C$107:$AC$116,27,FALSE)*AJ296+U296+V296+W296,IF(AS296=5,('Calc (ex-animal)'!$N$61+'Calc (ex-animal)'!$O$61)*'Calc (ex-housing, ex-storage)'!F296/100/VLOOKUP($C$295,'DB animal categories'!$C$107:$AC$116,27,FALSE)*AJ296+U296+V296+W296,IF(AS296=3,('Calc (ex-animal)'!$N$61+'Calc (ex-animal)'!$O$61)*'Calc (ex-housing, ex-storage)'!F296/100/VLOOKUP($C$295,'DB animal categories'!$C$107:$AC$116,27,FALSE)*AJ296+U296+V296+W296,IF(AS296=4,('Calc (ex-animal)'!$N$61+'Calc (ex-animal)'!$O$61)*'Calc (ex-housing, ex-storage)'!F296/100*VLOOKUP(D296,'DB technologies'!$N$138:$Y$152,12,FALSE)/100/VLOOKUP($C$295,'DB animal categories'!$C$107:$AC$116,27,FALSE)*AJ296+U296+V296+W296,0))))))</f>
        <v/>
      </c>
      <c r="AZ296" s="182" t="str">
        <f>IF(D296="","",IF(AS296=2,0,IF(AS296=1,'Calc (ex-animal)'!$Q$61*'Calc (ex-housing, ex-storage)'!F296/100/VLOOKUP($C$295,'DB animal categories'!$C$107:$AC$116,27,FALSE)*AJ296+Y296+Z296+AA296,IF(AS296=5,('Calc (ex-animal)'!$Q$61+'Calc (ex-animal)'!$R$61)*'Calc (ex-housing, ex-storage)'!F296/100/VLOOKUP($C$295,'DB animal categories'!$C$107:$AC$116,27,FALSE)*AJ296+Y296+Z296+AA296,IF(AS296=3,('Calc (ex-animal)'!$Q$61+'Calc (ex-animal)'!$R$61)*'Calc (ex-housing, ex-storage)'!F296/100/VLOOKUP($C$295,'DB animal categories'!$C$107:$AC$116,27,FALSE)*AJ296+Y296+Z296+AA296,IF(AS296=4,('Calc (ex-animal)'!$Q$61+'Calc (ex-animal)'!$R$61)*'Calc (ex-housing, ex-storage)'!F296/100*VLOOKUP(D296,'DB technologies'!$N$138:$Y$152,12,FALSE)/100/VLOOKUP($C$295,'DB animal categories'!$C$107:$AC$116,27,FALSE)*AJ296+Y296+Z296+AA296,0))))))</f>
        <v/>
      </c>
      <c r="BA296" s="506"/>
      <c r="BB296" s="506"/>
      <c r="BC296" s="506"/>
    </row>
    <row r="297" spans="1:55" x14ac:dyDescent="0.2">
      <c r="A297" s="695"/>
      <c r="B297" s="695"/>
      <c r="C297" s="251"/>
      <c r="D297" s="1357"/>
      <c r="E297" s="1358"/>
      <c r="F297" s="480" t="str">
        <f>IF('Calc (ex-animal)'!$F$58=1,"",IF($C$295=0,"",IF(D297="","",E297/'Calc (ex-animal)'!$E$61*100)))</f>
        <v/>
      </c>
      <c r="G297" s="485" t="str">
        <f>IF($C$295=0,"",IF('Calc (ex-animal)'!$F$58=1,"",IF(D297="","",SUM(H297:O297))))</f>
        <v/>
      </c>
      <c r="H297" s="423" t="str">
        <f>IF('Calc (ex-animal)'!$F$58=1,"",IF(D297="","",(((VLOOKUP($C$295,'Calc (ex-animal)'!$D$58:$Y$62,6,FALSE)-VLOOKUP($C$295,'Calc (ex-animal)'!$D$58:$Y$62,17,FALSE))*F297/100))*VLOOKUP($C$295,'Calc (ex-animal)'!$D$58:$Y$62,7,FALSE)/100*(1-VLOOKUP(D297,'DB technologies'!$N$138:$Y$152,9,FALSE)/100)))</f>
        <v/>
      </c>
      <c r="I297" s="423" t="str">
        <f>IF(D297="","",((VLOOKUP(D297,'DB technologies'!$N$138:$Y$152,2,FALSE)*VLOOKUP($C$295,'DB animal categories'!$C$107:$AC$116,27,FALSE)*E297/1000)/VLOOKUP($C$295,'DB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'!$S$6/100*(1-VLOOKUP(D297,'DB technologies'!$N$138:$Y$152,9,FALSE)/100)))</f>
        <v/>
      </c>
      <c r="J297" s="434" t="str">
        <f>IF(D297="","",((VLOOKUP(D297,'DB technologies'!$N$138:$Y$152,3,FALSE)*VLOOKUP($C$295,'DB animal categories'!$C$107:$AC$116,27,FALSE)*E297/1000)/VLOOKUP($C$295,'DB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'!$S$7/100*(1-VLOOKUP(D297,'DB technologies'!$N$138:$Y$152,9,FALSE)/100)))</f>
        <v/>
      </c>
      <c r="K297" s="434" t="str">
        <f>IF(D297="","",((VLOOKUP(D297,'DB technologies'!$N$138:$Y$152,4,FALSE)*E297*'DB additional information '!$S$8/100*(1-VLOOKUP(D297,'DB technologies'!$N$138:$Y$152,9,FALSE)/100))/VLOOKUP($C$295,'DB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L297" s="423" t="str">
        <f>IF('Calc (ex-animal)'!$F$58=1,"",IF(D297="","",(((VLOOKUP($C$295,'Calc (ex-animal)'!$D$58:$Y$62,6,FALSE)-VLOOKUP($C$295,'Calc (ex-animal)'!$D$58:$Y$62,17,FALSE))*F297/100))*(1-VLOOKUP($C$295,'Calc (ex-animal)'!$D$58:$Y$62,7,FALSE)/100)*(1-VLOOKUP(D297,'DB technologies'!$N$138:$V$152,8,FALSE)/100)))</f>
        <v/>
      </c>
      <c r="M297" s="434" t="str">
        <f>IF(D297="","",((VLOOKUP(D297,'DB technologies'!$N$138:$Y$152,2,FALSE)*VLOOKUP($C$295,'DB animal categories'!$C$107:$AC$116,27,FALSE)*E297/1000)/VLOOKUP($C$295,'DB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'!$S$6/100)*(1-VLOOKUP(D297,'DB technologies'!$N$138:$Y$152,9,FALSE)/100))</f>
        <v/>
      </c>
      <c r="N297" s="434" t="str">
        <f>IF(D297="","",((VLOOKUP(D297,'DB technologies'!$N$138:$Y$152,3,FALSE)*VLOOKUP($C$295,'DB animal categories'!$C$107:$AC$116,27,FALSE)*E297/1000)/VLOOKUP($C$295,'DB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'!$S$7/100)*(1-VLOOKUP(D297,'DB technologies'!$N$138:$Y$152,9,FALSE)/100))</f>
        <v/>
      </c>
      <c r="O297" s="423" t="str">
        <f>IF(D297="","",((VLOOKUP(D297,'DB technologies'!$N$138:$Y$152,4,FALSE)*E297*(1-'DB additional information '!$S$8/100)*(1-VLOOKUP(D297,'DB technologies'!$N$138:$Y$152,8,FALSE)/100))/VLOOKUP($C$295,'DB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P297" s="438" t="str">
        <f>IF(G297=0,0,IF(E297="","",IF(F297="","",IF($C$295=0,"",IF(D297="","",SUM(H297:K297)/G297*100)))))</f>
        <v/>
      </c>
      <c r="Q297" s="416" t="str">
        <f>IF(D297="","",(VLOOKUP(D297,'DB technologies'!$N$138:$Y$152,2,FALSE)*'DB additional information '!$S$6/100*'DB additional information '!$T$6*VLOOKUP($C$295,'DB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R297" s="416" t="str">
        <f>IF(D297="","",(VLOOKUP(D297,'DB technologies'!$N$138:$Y$152,3,FALSE)*'DB additional information '!$S$7/100*'DB additional information '!$T$7*VLOOKUP($C$295,'DB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S297" s="491" t="str">
        <f>IF(D297="","",(VLOOKUP(D297,'DB technologies'!$N$138:$Y$152,4,FALSE)*('DB additional information '!$S$8/100*'DB additional information '!$T$8*E297/1000/1000)))</f>
        <v/>
      </c>
      <c r="T297" s="264" t="str">
        <f>IF($C$295=0,"",IF('Calc (ex-animal)'!$F$58=1,"",IF(D297="","",((VLOOKUP($C$295,'Calc (ex-animal)'!$D$58:$Y$62,10,FALSE)-VLOOKUP($C$295,'Calc (ex-animal)'!$D$58:$Y$62,18,FALSE))*F297/100+Q297+R297+S297)-AC297-AD297-AE297)))</f>
        <v/>
      </c>
      <c r="U297" s="422" t="str">
        <f>IF(D297="","",(VLOOKUP(D297,'DB technologies'!$N$138:$Y$152,2,FALSE)*'DB additional information '!$S$6/100*'DB additional information '!$U$6*VLOOKUP($C$295,'DB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V297" s="418" t="str">
        <f>IF(D297="","",(VLOOKUP(D297,'DB technologies'!$N$138:$Y$152,3,FALSE)*'DB additional information '!$S$7/100*'DB additional information '!$U$7*VLOOKUP($C$295,'DB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W297" s="417" t="str">
        <f>IF(D297="","",(VLOOKUP(D297,'DB technologies'!$N$138:$Y$152,4,FALSE)*('DB additional information '!$S$8/100*'DB additional information '!$U$8*E297/1000/1000)))</f>
        <v/>
      </c>
      <c r="X297" s="261" t="str">
        <f>IF($C$295=0,"",IF('Calc (ex-animal)'!$F$58=1,"",IF(D297="","",((VLOOKUP($C$295,'Calc (ex-animal)'!$D$58:$Y$62,13,FALSE)-VLOOKUP($C$295,'Calc (ex-animal)'!$D$58:$Y$62,19,FALSE))*F297/100+U297+V297+W297))))</f>
        <v/>
      </c>
      <c r="Y297" s="418" t="str">
        <f>IF(D297="","",(VLOOKUP(D297,'DB technologies'!$N$138:$Y$152,2,FALSE)*'DB additional information '!$S$6/100*'DB additional information '!$V$6*VLOOKUP($C$295,'DB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Z297" s="418" t="str">
        <f>IF(D297="","",(VLOOKUP(D297,'DB technologies'!$N$138:$Y$152,3,FALSE)*'DB additional information '!$S$7/100*'DB additional information '!$V$7*VLOOKUP($C$295,'DB animal categories'!$C$107:$AC$116,27,FALSE)*E297/1000/1000)/VLOOKUP($C$295,'DB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AA297" s="418" t="str">
        <f>IF(D297="","",(VLOOKUP(D297,'DB technologies'!$N$138:$Y$152,4,FALSE)*('DB additional information '!$S$8/100*'DB additional information '!$V$8*E297/1000/1000)))</f>
        <v/>
      </c>
      <c r="AB297" s="261" t="str">
        <f>IF($C$295=0,"",IF('Calc (ex-animal)'!$F$58=1,"",IF(D297="","",((VLOOKUP($C$295,'Calc (ex-animal)'!$D$58:$Y$62,16,FALSE)-VLOOKUP($C$295,'Calc (ex-animal)'!$D$58:$Y$62,20,FALSE))*F297/100+Y297+Z297+AA297))))</f>
        <v/>
      </c>
      <c r="AC297" s="261" t="str">
        <f>IF($C$295=0,"",IF('Calc (ex-animal)'!$F$58=1,"",IF(D297="","",VLOOKUP($C$295,'Calc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categories'!$C$107:$AC$116,26,FALSE)/24)*F297/100*VLOOKUP(D297,'DB technologies'!$N$138:$R$152,5,FALSE)/100)))</f>
        <v/>
      </c>
      <c r="AD297" s="261" t="str">
        <f>IF($C$295=0,"",IF('Calc (ex-animal)'!$F$58=1,"",IF(D297="","",VLOOKUP($C$295,'Calc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categories'!$C$107:$AC$116,26,FALSE)/24)*F297/100*VLOOKUP(D297,'DB technologies'!$N$138:$Y$152,6,FALSE)/100)))</f>
        <v/>
      </c>
      <c r="AE297" s="262" t="str">
        <f>IF($C$295=0,"",IF('Calc (ex-animal)'!$F$58=1,"",IF(D297="","",VLOOKUP($C$295,'Calc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categories'!$C$107:$AC$116,26,FALSE)/24)*F297/100*VLOOKUP(D297,'DB technologies'!$N$138:$Y$152,7,FALSE)/100)))</f>
        <v/>
      </c>
      <c r="AI297" s="181" t="str">
        <f>IF(D297="","",VLOOKUP(D297,'DB technologies'!$N$138:$Y$152,10,FALSE))</f>
        <v/>
      </c>
      <c r="AJ297" s="449" t="e">
        <f>VLOOKUP($C$295,'DB animal categories'!$C$107:$AN$116,27,FALSE)-VLOOKUP($C$295,'DB animal categories'!$C$107:$AN$116,26,FALSE)*VLOOKUP($C$295,'DB animal categories'!$C$107:$AN$116,25,FALSE)/24</f>
        <v>#N/A</v>
      </c>
      <c r="AK297" s="442" t="str">
        <f>IF(AI297="","",AL297+AM297)</f>
        <v/>
      </c>
      <c r="AL297" s="442" t="str">
        <f>IF(D297="","",IF(AI297=2,(('Calc (ex-animal)'!$G$61*'DB additional information '!$K$15/100*(1-VLOOKUP(D297,'DB technologies'!$N$138:$Y$152,9,FALSE)/100)*'Calc (ex-housing, ex-storage)'!F297/100+'Calc (ex-animal)'!$H$61*'DB additional information '!$L$15/100*(1-VLOOKUP(D297,'DB technologies'!$N$138:$Y$152,9,FALSE)/100)*'Calc (ex-housing, ex-storage)'!F297/100))/VLOOKUP($C$295,'DB animal categories'!$C$107:$AC$116,27,FALSE)*AJ297+I297+J297+K297,IF(AI297=1,('Calc (ex-animal)'!$H$61*'DB additional information '!$L$15/100*(1-VLOOKUP(D297,'DB technologies'!$N$138:$Y$152,9,FALSE)/100)*'Calc (ex-housing, ex-storage)'!F297/100)/VLOOKUP($C$295,'DB animal categories'!$C$107:$AC$116,27,FALSE)*AJ297,IF(AI297=4,('Calc (ex-animal)'!$G$61*'DB additional information '!$K$15/100+'Calc (ex-animal)'!$H$61*'DB additional information '!$L$15/100)*(1-VLOOKUP(D297,'DB technologies'!$N$138:$Y$152,9,FALSE)/100)*'Calc (ex-housing, ex-storage)'!F297/100*VLOOKUP(D297,'DB technologies'!$N$138:$Y$152,11,FALSE)/100/VLOOKUP($C$295,'DB animal categories'!$C$107:$AC$116,27,FALSE)*AJ297,0))))</f>
        <v/>
      </c>
      <c r="AM297" s="442" t="str">
        <f>IF(D297="","",IF(AI297=2,(('Calc (ex-animal)'!$G$61*(1-'DB additional information '!$K$15/100)*(1-VLOOKUP(D297,'DB technologies'!$N$138:$Y$152,8,FALSE)/100)*'Calc (ex-housing, ex-storage)'!F297/100+'Calc (ex-animal)'!$H$61*(1-'DB additional information '!$L$15/100)*(1-VLOOKUP(D297,'DB technologies'!$N$138:$Y$152,8,FALSE)/100)*'Calc (ex-housing, ex-storage)'!F297/100))/VLOOKUP($C$295,'DB animal categories'!$C$107:$AC$116,27,FALSE)*AJ297+M297+N297+O297,IF(AI297=1,('Calc (ex-animal)'!$H$61*(1-'DB additional information '!$L$15/100)*(1-VLOOKUP(D297,'DB technologies'!$N$138:$Y$152,8,FALSE)/100)*'Calc (ex-housing, ex-storage)'!F297/100)/VLOOKUP($C$295,'DB animal categories'!$C$107:$AC$116,27,FALSE)*AJ297,IF(AI297=4,('Calc (ex-animal)'!$G$61*(1-'DB additional information '!$K$15/100)+'Calc (ex-animal)'!$H$61*(1-'DB additional information '!$L$15/100))*(1-VLOOKUP(D297,'DB technologies'!$N$138:$Y$152,8,FALSE)/100)*'Calc (ex-housing, ex-storage)'!F297/100*VLOOKUP(D297,'DB technologies'!$N$138:$Y$152,11,FALSE)/100/VLOOKUP($C$295,'DB animal categories'!$C$107:$AC$116,27,FALSE)*AJ297,0))))</f>
        <v/>
      </c>
      <c r="AN297" s="442" t="str">
        <f>IF(AI297="","",IF(AL297=0,0,AL297/AK297*100))</f>
        <v/>
      </c>
      <c r="AO297" s="182" t="str">
        <f>IF(D297="","",IF(AI297=2,(('Calc (ex-animal)'!$L$61*'Calc (ex-housing, ex-storage)'!F297/100+'Calc (ex-animal)'!$K$61*'Calc (ex-housing, ex-storage)'!F297/100))/VLOOKUP($C$295,'DB animal categories'!$C$107:$AC$116,27,FALSE)*AJ297+Q297+R297+S297-AC297,IF(AI297=1,('Calc (ex-animal)'!$L$61*'Calc (ex-housing, ex-storage)'!F297/100)/VLOOKUP($C$295,'DB animal categories'!$C$107:$AC$116,27,FALSE)*AJ297-'Calc (ex-housing, ex-storage)'!AC297,IF(AI297=4,('Calc (ex-animal)'!$L$61+'Calc (ex-animal)'!$K$61)*'Calc (ex-housing, ex-storage)'!F297/100*VLOOKUP(D297,'DB technologies'!$N$138:$Y$152,11,FALSE)/100/VLOOKUP($C$295,'DB animal categories'!$C$107:$AC$116,27,FALSE)*AJ297-AC297*VLOOKUP(D297,'DB technologies'!$N$138:$Y$152,11,FALSE)/100,0))))</f>
        <v/>
      </c>
      <c r="AP297" s="182" t="str">
        <f>IF(D297="","",IF(AO297&lt;-0.01,0,IF(AI297=2,(('Calc (ex-animal)'!$L$61*'Calc (ex-housing, ex-storage)'!F297/100+'Calc (ex-animal)'!$K$61*'Calc (ex-housing, ex-storage)'!F297/100))/VLOOKUP($C$295,'DB animal categories'!$C$107:$AC$116,27,FALSE)*AJ297+Q297+R297+S297-AC297,IF(AI297=1,('Calc (ex-animal)'!$L$61*'Calc (ex-housing, ex-storage)'!F297/100)/VLOOKUP($C$295,'DB animal categories'!$C$107:$AC$116,27,FALSE)*AJ297-'Calc (ex-housing, ex-storage)'!AC297,IF(AI297=4,('Calc (ex-animal)'!$L$61+'Calc (ex-animal)'!$K$61)*'Calc (ex-housing, ex-storage)'!F297/100*VLOOKUP(D297,'DB technologies'!$N$138:$Y$152,11,FALSE)/100/VLOOKUP($C$295,'DB animal categories'!$C$107:$AC$116,27,FALSE)*AJ297-AC297*VLOOKUP(D297,'DB technologies'!$N$138:$Y$152,11,FALSE)/100,0)))))</f>
        <v/>
      </c>
      <c r="AQ297" s="182" t="str">
        <f>IF(D297="","",IF(AI297=2,('Calc (ex-animal)'!$O$61*'Calc (ex-housing, ex-storage)'!F297/100+'Calc (ex-animal)'!$N$61*'Calc (ex-housing, ex-storage)'!F297/100)/VLOOKUP($C$295,'DB animal categories'!$C$107:$AC$116,27,FALSE)*AJ297+U297+V297+W297,IF(AI297=1,'Calc (ex-animal)'!$O$61*'Calc (ex-housing, ex-storage)'!F297/100/VLOOKUP($C$295,'DB animal categories'!$C$107:$AC$116,27,FALSE)*AJ297,IF(AI297=4,('Calc (ex-animal)'!$O$61+'Calc (ex-animal)'!$N$61)*'Calc (ex-housing, ex-storage)'!F297/100*VLOOKUP(D297,'DB technologies'!$N$138:$Y$152,11,FALSE)/100/VLOOKUP($C$295,'DB animal categories'!$C$107:$AC$116,27,FALSE)*AJ297,0))))</f>
        <v/>
      </c>
      <c r="AR297" s="182" t="str">
        <f>IF(D297="","",IF(AI297=2,('Calc (ex-animal)'!$R$61*'Calc (ex-housing, ex-storage)'!F297/100+'Calc (ex-animal)'!$Q$61*'Calc (ex-housing, ex-storage)'!F297/100)/VLOOKUP($C$295,'DB animal categories'!$C$107:$AC$116,27,FALSE)*AJ297+Y297+Z297+AA297,IF(AI297=1,'Calc (ex-animal)'!$R$61*'Calc (ex-housing, ex-storage)'!F297/100/VLOOKUP($C$295,'DB animal categories'!$C$107:$AC$116,27,FALSE)*AJ297,IF(AI297=4,('Calc (ex-animal)'!$R$61+'Calc (ex-animal)'!$Q$61)*'Calc (ex-housing, ex-storage)'!F297/100*VLOOKUP(D297,'DB technologies'!$N$138:$Y$152,11,FALSE)/100/VLOOKUP($C$295,'DB animal categories'!$C$107:$AC$116,27,FALSE)*AJ297,0))))</f>
        <v/>
      </c>
      <c r="AS297" s="181" t="str">
        <f>IF(D297="","",VLOOKUP(D297,'DB technologies'!$N$138:$Y$152,10,FALSE))</f>
        <v/>
      </c>
      <c r="AT297" s="442" t="str">
        <f>IF(AS297="","",AU297+AV297)</f>
        <v/>
      </c>
      <c r="AU297" s="442" t="str">
        <f>IF(D297="","",IF(AS297=2,0,IF(AS297=1,'Calc (ex-animal)'!$G$61*'DB additional information '!$K$15/100*(1-VLOOKUP(D297,'DB technologies'!$N$138:$Y$152,8,FALSE)/100)*'Calc (ex-housing, ex-storage)'!F297/100/VLOOKUP($C$295,'DB animal categories'!$C$107:$AC$116,27,FALSE)*AJ297+I297+J297+K297,IF(AS297=5,(('Calc (ex-animal)'!$G$61*'DB additional information '!$K$15/100+'Calc (ex-animal)'!$H$61*'DB additional information '!$L$15/100))*(1-VLOOKUP(D297,'DB technologies'!$N$138:$Y$152,9,FALSE)/100)*'Calc (ex-housing, ex-storage)'!F297/100/VLOOKUP($C$295,'DB animal categories'!$C$107:$AC$116,27,FALSE)*AJ297+I297+J297+K297,IF(AS297=3,('Calc (ex-animal)'!$G$61*'DB additional information '!$K$15/100+'Calc (ex-animal)'!$H$61*'DB additional information '!$L$15/100)*(1-VLOOKUP(D297,'DB technologies'!$N$138:$Y$152,9,FALSE)/100)*'Calc (ex-housing, ex-storage)'!F297/100/VLOOKUP($C$295,'DB animal categories'!$C$107:$AC$116,27,FALSE)*AJ297+I297+J297+K297,IF(AS297=4,('Calc (ex-animal)'!$G$61*'DB additional information '!$K$15/100+'Calc (ex-animal)'!$H$61*'DB additional information '!$L$15/100)*(1-VLOOKUP(D297,'DB technologies'!$N$138:$Y$152,9,FALSE)/100)*'Calc (ex-housing, ex-storage)'!F297/100*VLOOKUP(D297,'DB technologies'!$N$138:$Y$152,12,FALSE)/100/VLOOKUP($C$295,'DB animal categories'!$C$107:$AC$116,27,FALSE)*AJ297+I297+J297+K297,0))))))</f>
        <v/>
      </c>
      <c r="AV297" s="442" t="str">
        <f>IF(D297="","",IF(AS297=2,0,IF(AS297=1,'Calc (ex-animal)'!$G$61*(1-'DB additional information '!$K$15/100)*(1-VLOOKUP(D297,'DB technologies'!$N$138:$Y$152,8,FALSE)/100)*'Calc (ex-housing, ex-storage)'!F297/100/VLOOKUP($C$295,'DB animal categories'!$C$107:$AC$116,27,FALSE)*AJ297+M297+N297+O297,IF(AS297=5,('Calc (ex-animal)'!$G$61*(1-'DB additional information '!$K$15/100)+'Calc (ex-animal)'!$H$61*(1-'DB additional information '!$L$15/100))*(1-VLOOKUP(D297,'DB technologies'!$N$138:$Y$152,8,FALSE)/100)*'Calc (ex-housing, ex-storage)'!F297/100/VLOOKUP($C$295,'DB animal categories'!$C$107:$AC$116,27,FALSE)*AJ297+M297+N297+O297,IF(AS297=3,('Calc (ex-animal)'!$G$61*(1-'DB additional information '!$K$15/100)+'Calc (ex-animal)'!$H$61*(1-'DB additional information '!$L$15/100))*(1-VLOOKUP(D297,'DB technologies'!$N$138:$Y$152,8,FALSE)/100)*'Calc (ex-housing, ex-storage)'!F297/100/VLOOKUP($C$295,'DB animal categories'!$C$107:$AC$116,27,FALSE)*AJ297+M297+N297+O297,IF(AS297=4,('Calc (ex-animal)'!$G$61*(1-'DB additional information '!$K$15/100)+'Calc (ex-animal)'!$H$61*(1-'DB additional information '!$L$15/100))*(1-VLOOKUP(D297,'DB technologies'!$N$138:$Y$152,8,FALSE)/100)*'Calc (ex-housing, ex-storage)'!F297/100*VLOOKUP(D297,'DB technologies'!$N$138:$Y$152,12,FALSE)/100/VLOOKUP($C$295,'DB animal categories'!$C$107:$AC$116,27,FALSE)*AJ297+M297+N297+O297,0))))))</f>
        <v/>
      </c>
      <c r="AW297" s="442" t="str">
        <f>IF(AS297="","",IF(AU297=0,0,AU297/AT297*100))</f>
        <v/>
      </c>
      <c r="AX297" s="182" t="str">
        <f>IF(D297="","",IF(AS297=2,0,IF(AS297=1,'Calc (ex-animal)'!$K$61*'Calc (ex-housing, ex-storage)'!F297/100/VLOOKUP($C$295,'DB animal categories'!$C$107:$AC$116,27,FALSE)*AJ297+Q297+R297+S297,IF(AS297=5,('Calc (ex-animal)'!$K$61+'Calc (ex-animal)'!$L$61)*'Calc (ex-housing, ex-storage)'!F297/100/VLOOKUP($C$295,'DB animal categories'!$C$107:$AC$116,27,FALSE)*AJ297+Q297+R297+S297-'Calc (ex-housing, ex-storage)'!AC297,IF(AS297=3,('Calc (ex-animal)'!$K$61+'Calc (ex-animal)'!$L$61)*'Calc (ex-housing, ex-storage)'!F297/100/VLOOKUP($C$295,'DB animal categories'!$C$107:$AC$116,27,FALSE)*AJ297+Q297+R297+S297-'Calc (ex-housing, ex-storage)'!AC297-AD297-AE297,IF(AI297=4,('Calc (ex-animal)'!$K$61+'Calc (ex-animal)'!$L$61)*'Calc (ex-housing, ex-storage)'!F297/100*VLOOKUP(D297,'DB technologies'!$N$138:$Y$152,12,FALSE)/100/VLOOKUP($C$295,'DB animal categories'!$C$107:$AC$116,27,FALSE)*AJ297+Q297+R297+S297-(VLOOKUP(D297,'DB technologies'!$N$138:$Y$152,12,FALSE)/100*AC297)-AD297-AE297,0))))))</f>
        <v/>
      </c>
      <c r="AY297" s="182" t="str">
        <f>IF(D297="","",IF(AS297=2,0,IF(AS297=1,'Calc (ex-animal)'!$N$61*'Calc (ex-housing, ex-storage)'!F297/100/VLOOKUP($C$295,'DB animal categories'!$C$107:$AC$116,27,FALSE)*AJ297+U297+V297+W297,IF(AS297=5,('Calc (ex-animal)'!$N$61+'Calc (ex-animal)'!$O$61)*'Calc (ex-housing, ex-storage)'!F297/100/VLOOKUP($C$295,'DB animal categories'!$C$107:$AC$116,27,FALSE)*AJ297+U297+V297+W297,IF(AS297=3,('Calc (ex-animal)'!$N$61+'Calc (ex-animal)'!$O$61)*'Calc (ex-housing, ex-storage)'!F297/100/VLOOKUP($C$295,'DB animal categories'!$C$107:$AC$116,27,FALSE)*AJ297+U297+V297+W297,IF(AS297=4,('Calc (ex-animal)'!$N$61+'Calc (ex-animal)'!$O$61)*'Calc (ex-housing, ex-storage)'!F297/100*VLOOKUP(D297,'DB technologies'!$N$138:$Y$152,12,FALSE)/100/VLOOKUP($C$295,'DB animal categories'!$C$107:$AC$116,27,FALSE)*AJ297+U297+V297+W297,0))))))</f>
        <v/>
      </c>
      <c r="AZ297" s="182" t="str">
        <f>IF(D297="","",IF(AS297=2,0,IF(AS297=1,'Calc (ex-animal)'!$Q$61*'Calc (ex-housing, ex-storage)'!F297/100/VLOOKUP($C$295,'DB animal categories'!$C$107:$AC$116,27,FALSE)*AJ297+Y297+Z297+AA297,IF(AS297=5,('Calc (ex-animal)'!$Q$61+'Calc (ex-animal)'!$R$61)*'Calc (ex-housing, ex-storage)'!F297/100/VLOOKUP($C$295,'DB animal categories'!$C$107:$AC$116,27,FALSE)*AJ297+Y297+Z297+AA297,IF(AS297=3,('Calc (ex-animal)'!$Q$61+'Calc (ex-animal)'!$R$61)*'Calc (ex-housing, ex-storage)'!F297/100/VLOOKUP($C$295,'DB animal categories'!$C$107:$AC$116,27,FALSE)*AJ297+Y297+Z297+AA297,IF(AS297=4,('Calc (ex-animal)'!$Q$61+'Calc (ex-animal)'!$R$61)*'Calc (ex-housing, ex-storage)'!F297/100*VLOOKUP(D297,'DB technologies'!$N$138:$Y$152,12,FALSE)/100/VLOOKUP($C$295,'DB animal categories'!$C$107:$AC$116,27,FALSE)*AJ297+Y297+Z297+AA297,0))))))</f>
        <v/>
      </c>
      <c r="BA297" s="506"/>
      <c r="BB297" s="506"/>
      <c r="BC297" s="506"/>
    </row>
    <row r="298" spans="1:55" x14ac:dyDescent="0.2">
      <c r="A298" s="695"/>
      <c r="B298" s="695"/>
      <c r="C298" s="251"/>
      <c r="D298" s="1357"/>
      <c r="E298" s="1358"/>
      <c r="F298" s="480" t="str">
        <f>IF('Calc (ex-animal)'!$F$58=1,"",IF($C$295=0,"",IF(D298="","",E298/'Calc (ex-animal)'!$E$61*100)))</f>
        <v/>
      </c>
      <c r="G298" s="485" t="str">
        <f>IF($C$295=0,"",IF('Calc (ex-animal)'!$F$58=1,"",IF(D298="","",SUM(H298:O298))))</f>
        <v/>
      </c>
      <c r="H298" s="423" t="str">
        <f>IF('Calc (ex-animal)'!$F$58=1,"",IF(D298="","",(((VLOOKUP($C$295,'Calc (ex-animal)'!$D$58:$Y$62,6,FALSE)-VLOOKUP($C$295,'Calc (ex-animal)'!$D$58:$Y$62,17,FALSE))*F298/100))*VLOOKUP($C$295,'Calc (ex-animal)'!$D$58:$Y$62,7,FALSE)/100*(1-VLOOKUP(D298,'DB technologies'!$N$138:$Y$152,9,FALSE)/100)))</f>
        <v/>
      </c>
      <c r="I298" s="423" t="str">
        <f>IF(D298="","",((VLOOKUP(D298,'DB technologies'!$N$138:$Y$152,2,FALSE)*VLOOKUP($C$295,'DB animal categories'!$C$107:$AC$116,27,FALSE)*E298/1000)/VLOOKUP($C$295,'DB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'!$S$6/100*(1-VLOOKUP(D298,'DB technologies'!$N$138:$Y$152,9,FALSE)/100)))</f>
        <v/>
      </c>
      <c r="J298" s="434" t="str">
        <f>IF(D298="","",((VLOOKUP(D298,'DB technologies'!$N$138:$Y$152,3,FALSE)*VLOOKUP($C$295,'DB animal categories'!$C$107:$AC$116,27,FALSE)*E298/1000)/VLOOKUP($C$295,'DB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'!$S$7/100*(1-VLOOKUP(D298,'DB technologies'!$N$138:$Y$152,9,FALSE)/100)))</f>
        <v/>
      </c>
      <c r="K298" s="434" t="str">
        <f>IF(D298="","",((VLOOKUP(D298,'DB technologies'!$N$138:$Y$152,4,FALSE)*E298*'DB additional information '!$S$8/100*(1-VLOOKUP(D298,'DB technologies'!$N$138:$Y$152,9,FALSE)/100))/VLOOKUP($C$295,'DB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L298" s="423" t="str">
        <f>IF('Calc (ex-animal)'!$F$58=1,"",IF(D298="","",(((VLOOKUP($C$295,'Calc (ex-animal)'!$D$58:$Y$62,6,FALSE)-VLOOKUP($C$295,'Calc (ex-animal)'!$D$58:$Y$62,17,FALSE))*F298/100))*(1-VLOOKUP($C$295,'Calc (ex-animal)'!$D$58:$Y$62,7,FALSE)/100)*(1-VLOOKUP(D298,'DB technologies'!$N$138:$V$152,8,FALSE)/100)))</f>
        <v/>
      </c>
      <c r="M298" s="434" t="str">
        <f>IF(D298="","",((VLOOKUP(D298,'DB technologies'!$N$138:$Y$152,2,FALSE)*VLOOKUP($C$295,'DB animal categories'!$C$107:$AC$116,27,FALSE)*E298/1000)/VLOOKUP($C$295,'DB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'!$S$6/100)*(1-VLOOKUP(D298,'DB technologies'!$N$138:$Y$152,9,FALSE)/100))</f>
        <v/>
      </c>
      <c r="N298" s="434" t="str">
        <f>IF(D298="","",((VLOOKUP(D298,'DB technologies'!$N$138:$Y$152,3,FALSE)*VLOOKUP($C$295,'DB animal categories'!$C$107:$AC$116,27,FALSE)*E298/1000)/VLOOKUP($C$295,'DB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'!$S$7/100)*(1-VLOOKUP(D298,'DB technologies'!$N$138:$Y$152,9,FALSE)/100))</f>
        <v/>
      </c>
      <c r="O298" s="423" t="str">
        <f>IF(D298="","",((VLOOKUP(D298,'DB technologies'!$N$138:$Y$152,4,FALSE)*E298*(1-'DB additional information '!$S$8/100)*(1-VLOOKUP(D298,'DB technologies'!$N$138:$Y$152,8,FALSE)/100))/VLOOKUP($C$295,'DB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P298" s="438" t="str">
        <f>IF(G298=0,0,IF(E298="","",IF(F298="","",IF($C$295=0,"",IF(D298="","",SUM(H298:K298)/G298*100)))))</f>
        <v/>
      </c>
      <c r="Q298" s="416" t="str">
        <f>IF(D298="","",(VLOOKUP(D298,'DB technologies'!$N$138:$Y$152,2,FALSE)*'DB additional information '!$S$6/100*'DB additional information '!$T$6*VLOOKUP($C$295,'DB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R298" s="416" t="str">
        <f>IF(D298="","",(VLOOKUP(D298,'DB technologies'!$N$138:$Y$152,3,FALSE)*'DB additional information '!$S$7/100*'DB additional information '!$T$7*VLOOKUP($C$295,'DB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S298" s="491" t="str">
        <f>IF(D298="","",(VLOOKUP(D298,'DB technologies'!$N$138:$Y$152,4,FALSE)*('DB additional information '!$S$8/100*'DB additional information '!$T$8*E298/1000/1000)))</f>
        <v/>
      </c>
      <c r="T298" s="264" t="str">
        <f>IF($C$295=0,"",IF('Calc (ex-animal)'!$F$58=1,"",IF(D298="","",((VLOOKUP($C$295,'Calc (ex-animal)'!$D$58:$Y$62,10,FALSE)-VLOOKUP($C$295,'Calc (ex-animal)'!$D$58:$Y$62,18,FALSE))*F298/100+Q298+R298+S298)-AC298-AD298-AE298)))</f>
        <v/>
      </c>
      <c r="U298" s="422" t="str">
        <f>IF(D298="","",(VLOOKUP(D298,'DB technologies'!$N$138:$Y$152,2,FALSE)*'DB additional information '!$S$6/100*'DB additional information '!$U$6*VLOOKUP($C$295,'DB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V298" s="418" t="str">
        <f>IF(D298="","",(VLOOKUP(D298,'DB technologies'!$N$138:$Y$152,3,FALSE)*'DB additional information '!$S$7/100*'DB additional information '!$U$7*VLOOKUP($C$295,'DB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W298" s="417" t="str">
        <f>IF(D298="","",(VLOOKUP(D298,'DB technologies'!$N$138:$Y$152,4,FALSE)*('DB additional information '!$S$8/100*'DB additional information '!$U$8*E298/1000/1000)))</f>
        <v/>
      </c>
      <c r="X298" s="261" t="str">
        <f>IF($C$295=0,"",IF('Calc (ex-animal)'!$F$58=1,"",IF(D298="","",((VLOOKUP($C$295,'Calc (ex-animal)'!$D$58:$Y$62,13,FALSE)-VLOOKUP($C$295,'Calc (ex-animal)'!$D$58:$Y$62,19,FALSE))*F298/100+U298+V298+W298))))</f>
        <v/>
      </c>
      <c r="Y298" s="418" t="str">
        <f>IF(D298="","",(VLOOKUP(D298,'DB technologies'!$N$138:$Y$152,2,FALSE)*'DB additional information '!$S$6/100*'DB additional information '!$V$6*VLOOKUP($C$295,'DB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Z298" s="418" t="str">
        <f>IF(D298="","",(VLOOKUP(D298,'DB technologies'!$N$138:$Y$152,3,FALSE)*'DB additional information '!$S$7/100*'DB additional information '!$V$7*VLOOKUP($C$295,'DB animal categories'!$C$107:$AC$116,27,FALSE)*E298/1000/1000)/VLOOKUP($C$295,'DB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AA298" s="418" t="str">
        <f>IF(D298="","",(VLOOKUP(D298,'DB technologies'!$N$138:$Y$152,4,FALSE)*('DB additional information '!$S$8/100*'DB additional information '!$V$8*E298/1000/1000)))</f>
        <v/>
      </c>
      <c r="AB298" s="261" t="str">
        <f>IF($C$295=0,"",IF('Calc (ex-animal)'!$F$58=1,"",IF(D298="","",((VLOOKUP($C$295,'Calc (ex-animal)'!$D$58:$Y$62,16,FALSE)-VLOOKUP($C$295,'Calc (ex-animal)'!$D$58:$Y$62,20,FALSE))*F298/100+Y298+Z298+AA298))))</f>
        <v/>
      </c>
      <c r="AC298" s="261" t="str">
        <f>IF($C$295=0,"",IF('Calc (ex-animal)'!$F$58=1,"",IF(D298="","",VLOOKUP($C$295,'Calc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categories'!$C$107:$AC$116,26,FALSE)/24)*F298/100*VLOOKUP(D298,'DB technologies'!$N$138:$R$152,5,FALSE)/100)))</f>
        <v/>
      </c>
      <c r="AD298" s="261" t="str">
        <f>IF($C$295=0,"",IF('Calc (ex-animal)'!$F$58=1,"",IF(D298="","",VLOOKUP($C$295,'Calc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categories'!$C$107:$AC$116,26,FALSE)/24)*F298/100*VLOOKUP(D298,'DB technologies'!$N$138:$Y$152,6,FALSE)/100)))</f>
        <v/>
      </c>
      <c r="AE298" s="262" t="str">
        <f>IF($C$295=0,"",IF('Calc (ex-animal)'!$F$58=1,"",IF(D298="","",VLOOKUP($C$295,'Calc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categories'!$C$107:$AC$116,26,FALSE)/24)*F298/100*VLOOKUP(D298,'DB technologies'!$N$138:$Y$152,7,FALSE)/100)))</f>
        <v/>
      </c>
      <c r="AI298" s="181" t="str">
        <f>IF(D298="","",VLOOKUP(D298,'DB technologies'!$N$138:$Y$152,10,FALSE))</f>
        <v/>
      </c>
      <c r="AJ298" s="449" t="e">
        <f>VLOOKUP($C$295,'DB animal categories'!$C$107:$AN$116,27,FALSE)-VLOOKUP($C$295,'DB animal categories'!$C$107:$AN$116,26,FALSE)*VLOOKUP($C$295,'DB animal categories'!$C$107:$AN$116,25,FALSE)/24</f>
        <v>#N/A</v>
      </c>
      <c r="AK298" s="442" t="str">
        <f>IF(AI298="","",AL298+AM298)</f>
        <v/>
      </c>
      <c r="AL298" s="442" t="str">
        <f>IF(D298="","",IF(AI298=2,(('Calc (ex-animal)'!$G$61*'DB additional information '!$K$15/100*(1-VLOOKUP(D298,'DB technologies'!$N$138:$Y$152,9,FALSE)/100)*'Calc (ex-housing, ex-storage)'!F298/100+'Calc (ex-animal)'!$H$61*'DB additional information '!$L$15/100*(1-VLOOKUP(D298,'DB technologies'!$N$138:$Y$152,9,FALSE)/100)*'Calc (ex-housing, ex-storage)'!F298/100))/VLOOKUP($C$295,'DB animal categories'!$C$107:$AC$116,27,FALSE)*AJ298+I298+J298+K298,IF(AI298=1,('Calc (ex-animal)'!$H$61*'DB additional information '!$L$15/100*(1-VLOOKUP(D298,'DB technologies'!$N$138:$Y$152,9,FALSE)/100)*'Calc (ex-housing, ex-storage)'!F298/100)/VLOOKUP($C$295,'DB animal categories'!$C$107:$AC$116,27,FALSE)*AJ298,IF(AI298=4,('Calc (ex-animal)'!$G$61*'DB additional information '!$K$15/100+'Calc (ex-animal)'!$H$61*'DB additional information '!$L$15/100)*(1-VLOOKUP(D298,'DB technologies'!$N$138:$Y$152,9,FALSE)/100)*'Calc (ex-housing, ex-storage)'!F298/100*VLOOKUP(D298,'DB technologies'!$N$138:$Y$152,11,FALSE)/100/VLOOKUP($C$295,'DB animal categories'!$C$107:$AC$116,27,FALSE)*AJ298,0))))</f>
        <v/>
      </c>
      <c r="AM298" s="442" t="str">
        <f>IF(D298="","",IF(AI298=2,(('Calc (ex-animal)'!$G$61*(1-'DB additional information '!$K$15/100)*(1-VLOOKUP(D298,'DB technologies'!$N$138:$Y$152,8,FALSE)/100)*'Calc (ex-housing, ex-storage)'!F298/100+'Calc (ex-animal)'!$H$61*(1-'DB additional information '!$L$15/100)*(1-VLOOKUP(D298,'DB technologies'!$N$138:$Y$152,8,FALSE)/100)*'Calc (ex-housing, ex-storage)'!F298/100))/VLOOKUP($C$295,'DB animal categories'!$C$107:$AC$116,27,FALSE)*AJ298+M298+N298+O298,IF(AI298=1,('Calc (ex-animal)'!$H$61*(1-'DB additional information '!$L$15/100)*(1-VLOOKUP(D298,'DB technologies'!$N$138:$Y$152,8,FALSE)/100)*'Calc (ex-housing, ex-storage)'!F298/100)/VLOOKUP($C$295,'DB animal categories'!$C$107:$AC$116,27,FALSE)*AJ298,IF(AI298=4,('Calc (ex-animal)'!$G$61*(1-'DB additional information '!$K$15/100)+'Calc (ex-animal)'!$H$61*(1-'DB additional information '!$L$15/100))*(1-VLOOKUP(D298,'DB technologies'!$N$138:$Y$152,8,FALSE)/100)*'Calc (ex-housing, ex-storage)'!F298/100*VLOOKUP(D298,'DB technologies'!$N$138:$Y$152,11,FALSE)/100/VLOOKUP($C$295,'DB animal categories'!$C$107:$AC$116,27,FALSE)*AJ298,0))))</f>
        <v/>
      </c>
      <c r="AN298" s="442" t="str">
        <f>IF(AI298="","",IF(AL298=0,0,AL298/AK298*100))</f>
        <v/>
      </c>
      <c r="AO298" s="182" t="str">
        <f>IF(D298="","",IF(AI298=2,(('Calc (ex-animal)'!$L$61*'Calc (ex-housing, ex-storage)'!F298/100+'Calc (ex-animal)'!$K$61*'Calc (ex-housing, ex-storage)'!F298/100))/VLOOKUP($C$295,'DB animal categories'!$C$107:$AC$116,27,FALSE)*AJ298+Q298+R298+S298-AC298,IF(AI298=1,('Calc (ex-animal)'!$L$61*'Calc (ex-housing, ex-storage)'!F298/100)/VLOOKUP($C$295,'DB animal categories'!$C$107:$AC$116,27,FALSE)*AJ298-'Calc (ex-housing, ex-storage)'!AC298,IF(AI298=4,('Calc (ex-animal)'!$L$61+'Calc (ex-animal)'!$K$61)*'Calc (ex-housing, ex-storage)'!F298/100*VLOOKUP(D298,'DB technologies'!$N$138:$Y$152,11,FALSE)/100/VLOOKUP($C$295,'DB animal categories'!$C$107:$AC$116,27,FALSE)*AJ298-AC298*VLOOKUP(D298,'DB technologies'!$N$138:$Y$152,11,FALSE)/100,0))))</f>
        <v/>
      </c>
      <c r="AP298" s="182" t="str">
        <f>IF(D298="","",IF(AO298&lt;-0.01,0,IF(AI298=2,(('Calc (ex-animal)'!$L$61*'Calc (ex-housing, ex-storage)'!F298/100+'Calc (ex-animal)'!$K$61*'Calc (ex-housing, ex-storage)'!F298/100))/VLOOKUP($C$295,'DB animal categories'!$C$107:$AC$116,27,FALSE)*AJ298+Q298+R298+S298-AC298,IF(AI298=1,('Calc (ex-animal)'!$L$61*'Calc (ex-housing, ex-storage)'!F298/100)/VLOOKUP($C$295,'DB animal categories'!$C$107:$AC$116,27,FALSE)*AJ298-'Calc (ex-housing, ex-storage)'!AC298,IF(AI298=4,('Calc (ex-animal)'!$L$61+'Calc (ex-animal)'!$K$61)*'Calc (ex-housing, ex-storage)'!F298/100*VLOOKUP(D298,'DB technologies'!$N$138:$Y$152,11,FALSE)/100/VLOOKUP($C$295,'DB animal categories'!$C$107:$AC$116,27,FALSE)*AJ298-AC298*VLOOKUP(D298,'DB technologies'!$N$138:$Y$152,11,FALSE)/100,0)))))</f>
        <v/>
      </c>
      <c r="AQ298" s="182" t="str">
        <f>IF(D298="","",IF(AI298=2,('Calc (ex-animal)'!$O$61*'Calc (ex-housing, ex-storage)'!F298/100+'Calc (ex-animal)'!$N$61*'Calc (ex-housing, ex-storage)'!F298/100)/VLOOKUP($C$295,'DB animal categories'!$C$107:$AC$116,27,FALSE)*AJ298+U298+V298+W298,IF(AI298=1,'Calc (ex-animal)'!$O$61*'Calc (ex-housing, ex-storage)'!F298/100/VLOOKUP($C$295,'DB animal categories'!$C$107:$AC$116,27,FALSE)*AJ298,IF(AI298=4,('Calc (ex-animal)'!$O$61+'Calc (ex-animal)'!$N$61)*'Calc (ex-housing, ex-storage)'!F298/100*VLOOKUP(D298,'DB technologies'!$N$138:$Y$152,11,FALSE)/100/VLOOKUP($C$295,'DB animal categories'!$C$107:$AC$116,27,FALSE)*AJ298,0))))</f>
        <v/>
      </c>
      <c r="AR298" s="182" t="str">
        <f>IF(D298="","",IF(AI298=2,('Calc (ex-animal)'!$R$61*'Calc (ex-housing, ex-storage)'!F298/100+'Calc (ex-animal)'!$Q$61*'Calc (ex-housing, ex-storage)'!F298/100)/VLOOKUP($C$295,'DB animal categories'!$C$107:$AC$116,27,FALSE)*AJ298+Y298+Z298+AA298,IF(AI298=1,'Calc (ex-animal)'!$R$61*'Calc (ex-housing, ex-storage)'!F298/100/VLOOKUP($C$295,'DB animal categories'!$C$107:$AC$116,27,FALSE)*AJ298,IF(AI298=4,('Calc (ex-animal)'!$R$61+'Calc (ex-animal)'!$Q$61)*'Calc (ex-housing, ex-storage)'!F298/100*VLOOKUP(D298,'DB technologies'!$N$138:$Y$152,11,FALSE)/100/VLOOKUP($C$295,'DB animal categories'!$C$107:$AC$116,27,FALSE)*AJ298,0))))</f>
        <v/>
      </c>
      <c r="AS298" s="181" t="str">
        <f>IF(D298="","",VLOOKUP(D298,'DB technologies'!$N$138:$Y$152,10,FALSE))</f>
        <v/>
      </c>
      <c r="AT298" s="442" t="str">
        <f>IF(AS298="","",AU298+AV298)</f>
        <v/>
      </c>
      <c r="AU298" s="442" t="str">
        <f>IF(D298="","",IF(AS298=2,0,IF(AS298=1,'Calc (ex-animal)'!$G$61*'DB additional information '!$K$15/100*(1-VLOOKUP(D298,'DB technologies'!$N$138:$Y$152,8,FALSE)/100)*'Calc (ex-housing, ex-storage)'!F298/100/VLOOKUP($C$295,'DB animal categories'!$C$107:$AC$116,27,FALSE)*AJ298+I298+J298+K298,IF(AS298=5,(('Calc (ex-animal)'!$G$61*'DB additional information '!$K$15/100+'Calc (ex-animal)'!$H$61*'DB additional information '!$L$15/100))*(1-VLOOKUP(D298,'DB technologies'!$N$138:$Y$152,9,FALSE)/100)*'Calc (ex-housing, ex-storage)'!F298/100/VLOOKUP($C$295,'DB animal categories'!$C$107:$AC$116,27,FALSE)*AJ298+I298+J298+K298,IF(AS298=3,('Calc (ex-animal)'!$G$61*'DB additional information '!$K$15/100+'Calc (ex-animal)'!$H$61*'DB additional information '!$L$15/100)*(1-VLOOKUP(D298,'DB technologies'!$N$138:$Y$152,9,FALSE)/100)*'Calc (ex-housing, ex-storage)'!F298/100/VLOOKUP($C$295,'DB animal categories'!$C$107:$AC$116,27,FALSE)*AJ298+I298+J298+K298,IF(AS298=4,('Calc (ex-animal)'!$G$61*'DB additional information '!$K$15/100+'Calc (ex-animal)'!$H$61*'DB additional information '!$L$15/100)*(1-VLOOKUP(D298,'DB technologies'!$N$138:$Y$152,9,FALSE)/100)*'Calc (ex-housing, ex-storage)'!F298/100*VLOOKUP(D298,'DB technologies'!$N$138:$Y$152,12,FALSE)/100/VLOOKUP($C$295,'DB animal categories'!$C$107:$AC$116,27,FALSE)*AJ298+I298+J298+K298,0))))))</f>
        <v/>
      </c>
      <c r="AV298" s="442" t="str">
        <f>IF(D298="","",IF(AS298=2,0,IF(AS298=1,'Calc (ex-animal)'!$G$61*(1-'DB additional information '!$K$15/100)*(1-VLOOKUP(D298,'DB technologies'!$N$138:$Y$152,8,FALSE)/100)*'Calc (ex-housing, ex-storage)'!F298/100/VLOOKUP($C$295,'DB animal categories'!$C$107:$AC$116,27,FALSE)*AJ298+M298+N298+O298,IF(AS298=5,('Calc (ex-animal)'!$G$61*(1-'DB additional information '!$K$15/100)+'Calc (ex-animal)'!$H$61*(1-'DB additional information '!$L$15/100))*(1-VLOOKUP(D298,'DB technologies'!$N$138:$Y$152,8,FALSE)/100)*'Calc (ex-housing, ex-storage)'!F298/100/VLOOKUP($C$295,'DB animal categories'!$C$107:$AC$116,27,FALSE)*AJ298+M298+N298+O298,IF(AS298=3,('Calc (ex-animal)'!$G$61*(1-'DB additional information '!$K$15/100)+'Calc (ex-animal)'!$H$61*(1-'DB additional information '!$L$15/100))*(1-VLOOKUP(D298,'DB technologies'!$N$138:$Y$152,8,FALSE)/100)*'Calc (ex-housing, ex-storage)'!F298/100/VLOOKUP($C$295,'DB animal categories'!$C$107:$AC$116,27,FALSE)*AJ298+M298+N298+O298,IF(AS298=4,('Calc (ex-animal)'!$G$61*(1-'DB additional information '!$K$15/100)+'Calc (ex-animal)'!$H$61*(1-'DB additional information '!$L$15/100))*(1-VLOOKUP(D298,'DB technologies'!$N$138:$Y$152,8,FALSE)/100)*'Calc (ex-housing, ex-storage)'!F298/100*VLOOKUP(D298,'DB technologies'!$N$138:$Y$152,12,FALSE)/100/VLOOKUP($C$295,'DB animal categories'!$C$107:$AC$116,27,FALSE)*AJ298+M298+N298+O298,0))))))</f>
        <v/>
      </c>
      <c r="AW298" s="442" t="str">
        <f>IF(AS298="","",IF(AU298=0,0,AU298/AT298*100))</f>
        <v/>
      </c>
      <c r="AX298" s="182" t="str">
        <f>IF(D298="","",IF(AS298=2,0,IF(AS298=1,'Calc (ex-animal)'!$K$61*'Calc (ex-housing, ex-storage)'!F298/100/VLOOKUP($C$295,'DB animal categories'!$C$107:$AC$116,27,FALSE)*AJ298+Q298+R298+S298,IF(AS298=5,('Calc (ex-animal)'!$K$61+'Calc (ex-animal)'!$L$61)*'Calc (ex-housing, ex-storage)'!F298/100/VLOOKUP($C$295,'DB animal categories'!$C$107:$AC$116,27,FALSE)*AJ298+Q298+R298+S298-'Calc (ex-housing, ex-storage)'!AC298,IF(AS298=3,('Calc (ex-animal)'!$K$61+'Calc (ex-animal)'!$L$61)*'Calc (ex-housing, ex-storage)'!F298/100/VLOOKUP($C$295,'DB animal categories'!$C$107:$AC$116,27,FALSE)*AJ298+Q298+R298+S298-'Calc (ex-housing, ex-storage)'!AC298-AD298-AE298,IF(AI298=4,('Calc (ex-animal)'!$K$61+'Calc (ex-animal)'!$L$61)*'Calc (ex-housing, ex-storage)'!F298/100*VLOOKUP(D298,'DB technologies'!$N$138:$Y$152,12,FALSE)/100/VLOOKUP($C$295,'DB animal categories'!$C$107:$AC$116,27,FALSE)*AJ298+Q298+R298+S298-(VLOOKUP(D298,'DB technologies'!$N$138:$Y$152,12,FALSE)/100*AC298)-AD298-AE298,0))))))</f>
        <v/>
      </c>
      <c r="AY298" s="182" t="str">
        <f>IF(D298="","",IF(AS298=2,0,IF(AS298=1,'Calc (ex-animal)'!$N$61*'Calc (ex-housing, ex-storage)'!F298/100/VLOOKUP($C$295,'DB animal categories'!$C$107:$AC$116,27,FALSE)*AJ298+U298+V298+W298,IF(AS298=5,('Calc (ex-animal)'!$N$61+'Calc (ex-animal)'!$O$61)*'Calc (ex-housing, ex-storage)'!F298/100/VLOOKUP($C$295,'DB animal categories'!$C$107:$AC$116,27,FALSE)*AJ298+U298+V298+W298,IF(AS298=3,('Calc (ex-animal)'!$N$61+'Calc (ex-animal)'!$O$61)*'Calc (ex-housing, ex-storage)'!F298/100/VLOOKUP($C$295,'DB animal categories'!$C$107:$AC$116,27,FALSE)*AJ298+U298+V298+W298,IF(AS298=4,('Calc (ex-animal)'!$N$61+'Calc (ex-animal)'!$O$61)*'Calc (ex-housing, ex-storage)'!F298/100*VLOOKUP(D298,'DB technologies'!$N$138:$Y$152,12,FALSE)/100/VLOOKUP($C$295,'DB animal categories'!$C$107:$AC$116,27,FALSE)*AJ298+U298+V298+W298,0))))))</f>
        <v/>
      </c>
      <c r="AZ298" s="182" t="str">
        <f>IF(D298="","",IF(AS298=2,0,IF(AS298=1,'Calc (ex-animal)'!$Q$61*'Calc (ex-housing, ex-storage)'!F298/100/VLOOKUP($C$295,'DB animal categories'!$C$107:$AC$116,27,FALSE)*AJ298+Y298+Z298+AA298,IF(AS298=5,('Calc (ex-animal)'!$Q$61+'Calc (ex-animal)'!$R$61)*'Calc (ex-housing, ex-storage)'!F298/100/VLOOKUP($C$295,'DB animal categories'!$C$107:$AC$116,27,FALSE)*AJ298+Y298+Z298+AA298,IF(AS298=3,('Calc (ex-animal)'!$Q$61+'Calc (ex-animal)'!$R$61)*'Calc (ex-housing, ex-storage)'!F298/100/VLOOKUP($C$295,'DB animal categories'!$C$107:$AC$116,27,FALSE)*AJ298+Y298+Z298+AA298,IF(AS298=4,('Calc (ex-animal)'!$Q$61+'Calc (ex-animal)'!$R$61)*'Calc (ex-housing, ex-storage)'!F298/100*VLOOKUP(D298,'DB technologies'!$N$138:$Y$152,12,FALSE)/100/VLOOKUP($C$295,'DB animal categories'!$C$107:$AC$116,27,FALSE)*AJ298+Y298+Z298+AA298,0))))))</f>
        <v/>
      </c>
      <c r="BA298" s="506"/>
      <c r="BB298" s="506"/>
      <c r="BC298" s="506"/>
    </row>
    <row r="299" spans="1:55" ht="12" thickBot="1" x14ac:dyDescent="0.25">
      <c r="A299" s="695"/>
      <c r="B299" s="695"/>
      <c r="C299" s="251"/>
      <c r="D299" s="1359"/>
      <c r="E299" s="1360"/>
      <c r="F299" s="481" t="str">
        <f>IF('Calc (ex-animal)'!$F$58=1,"",IF($C$295=0,"",IF(D299="","",E299/'Calc (ex-animal)'!$E$61*100)))</f>
        <v/>
      </c>
      <c r="G299" s="483" t="str">
        <f>IF($C$295=0,"",IF('Calc (ex-animal)'!$F$58=1,"",IF(D299="","",SUM(H299:O299))))</f>
        <v/>
      </c>
      <c r="H299" s="445" t="str">
        <f>IF('Calc (ex-animal)'!$F$58=1,"",IF(D299="","",(((VLOOKUP($C$295,'Calc (ex-animal)'!$D$58:$Y$62,6,FALSE)-VLOOKUP($C$295,'Calc (ex-animal)'!$D$58:$Y$62,17,FALSE))*F299/100))*VLOOKUP($C$295,'Calc (ex-animal)'!$D$58:$Y$62,7,FALSE)/100*(1-VLOOKUP(D299,'DB technologies'!$N$138:$Y$152,9,FALSE)/100)))</f>
        <v/>
      </c>
      <c r="I299" s="445" t="str">
        <f>IF(D299="","",((VLOOKUP(D299,'DB technologies'!$N$138:$Y$152,2,FALSE)*VLOOKUP($C$295,'DB animal categories'!$C$107:$AC$116,27,FALSE)*E299/1000)/VLOOKUP($C$295,'DB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'!$S$6/100*(1-VLOOKUP(D299,'DB technologies'!$N$138:$Y$152,9,FALSE)/100)))</f>
        <v/>
      </c>
      <c r="J299" s="446" t="str">
        <f>IF(D299="","",((VLOOKUP(D299,'DB technologies'!$N$138:$Y$152,3,FALSE)*VLOOKUP($C$295,'DB animal categories'!$C$107:$AC$116,27,FALSE)*E299/1000)/VLOOKUP($C$295,'DB animal categories'!$C$107:$AC$116,27,FALSE)*(VLOOKUP($C$295,'DB animal categories'!$C$107:$AC$116,27,FALSE)-(VLOOKUP($C$295,'DB animal categories'!$C$107:$AC$116,25,FALSE)*VLOOKUP($C$295,'DB animal categories'!$C$107:$AC$116,26,FALSE)/24))*'DB additional information '!$S$7/100*(1-VLOOKUP(D299,'DB technologies'!$N$138:$Y$152,9,FALSE)/100)))</f>
        <v/>
      </c>
      <c r="K299" s="446" t="str">
        <f>IF(D299="","",((VLOOKUP(D299,'DB technologies'!$N$138:$Y$152,4,FALSE)*E299*'DB additional information '!$S$8/100*(1-VLOOKUP(D299,'DB technologies'!$N$138:$Y$152,9,FALSE)/100))/VLOOKUP($C$295,'DB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L299" s="445" t="str">
        <f>IF('Calc (ex-animal)'!$F$58=1,"",IF(D299="","",(((VLOOKUP($C$295,'Calc (ex-animal)'!$D$58:$Y$62,6,FALSE)-VLOOKUP($C$295,'Calc (ex-animal)'!$D$58:$Y$62,17,FALSE))*F299/100))*(1-VLOOKUP($C$295,'Calc (ex-animal)'!$D$58:$Y$62,7,FALSE)/100)*(1-VLOOKUP(D299,'DB technologies'!$N$138:$V$152,8,FALSE)/100)))</f>
        <v/>
      </c>
      <c r="M299" s="446" t="str">
        <f>IF(D299="","",((VLOOKUP(D299,'DB technologies'!$N$138:$Y$152,2,FALSE)*VLOOKUP($C$295,'DB animal categories'!$C$107:$AC$116,27,FALSE)*E299/1000)/VLOOKUP($C$295,'DB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'!$S$6/100)*(1-VLOOKUP(D299,'DB technologies'!$N$138:$Y$152,9,FALSE)/100))</f>
        <v/>
      </c>
      <c r="N299" s="446" t="str">
        <f>IF(D299="","",((VLOOKUP(D299,'DB technologies'!$N$138:$Y$152,3,FALSE)*VLOOKUP($C$295,'DB animal categories'!$C$107:$AC$116,27,FALSE)*E299/1000)/VLOOKUP($C$295,'DB animal categories'!$C$107:$AC$116,27,FALSE)*(VLOOKUP($C$295,'DB animal categories'!$C$107:$AC$116,27,FALSE)-VLOOKUP($C$295,'DB animal categories'!$C$107:$AC$116,25,FALSE)*VLOOKUP($C$295,'DB animal categories'!$C$107:$AC$116,26,FALSE)/24))*(1-'DB additional information '!$S$7/100)*(1-VLOOKUP(D299,'DB technologies'!$N$138:$Y$152,9,FALSE)/100))</f>
        <v/>
      </c>
      <c r="O299" s="445" t="str">
        <f>IF(D299="","",((VLOOKUP(D299,'DB technologies'!$N$138:$Y$152,4,FALSE)*E299*(1-'DB additional information '!$S$8/100)*(1-VLOOKUP(D299,'DB technologies'!$N$138:$Y$152,8,FALSE)/100))/VLOOKUP($C$295,'DB animal categories'!$C$107:$AC$116,27,FALSE)*(VLOOKUP($C$295,'DB animal categories'!$C$107:$AC$116,27,FALSE)-VLOOKUP($C$295,'DB animal categories'!$C$107:$AC$116,25,FALSE)*VLOOKUP($C$295,'DB animal categories'!$C$107:$AC$116,26,FALSE)/24)))</f>
        <v/>
      </c>
      <c r="P299" s="444" t="str">
        <f>IF(G299=0,0,IF(E299="","",IF(F299="","",IF($C$295=0,"",IF(D299="","",SUM(H299:K299)/G299*100)))))</f>
        <v/>
      </c>
      <c r="Q299" s="476" t="str">
        <f>IF(D299="","",(VLOOKUP(D299,'DB technologies'!$N$138:$Y$152,2,FALSE)*'DB additional information '!$S$6/100*'DB additional information '!$T$6*VLOOKUP($C$295,'DB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R299" s="476" t="str">
        <f>IF(D299="","",(VLOOKUP(D299,'DB technologies'!$N$138:$Y$152,3,FALSE)*'DB additional information '!$S$7/100*'DB additional information '!$T$7*VLOOKUP($C$295,'DB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S299" s="494" t="str">
        <f>IF(D299="","",(VLOOKUP(D299,'DB technologies'!$N$138:$Y$152,4,FALSE)*('DB additional information '!$S$8/100*'DB additional information '!$T$8*E299/1000/1000)))</f>
        <v/>
      </c>
      <c r="T299" s="266" t="str">
        <f>IF($C$295=0,"",IF('Calc (ex-animal)'!$F$58=1,"",IF(D299="","",((VLOOKUP($C$295,'Calc (ex-animal)'!$D$58:$Y$62,10,FALSE)-VLOOKUP($C$295,'Calc (ex-animal)'!$D$58:$Y$62,18,FALSE))*F299/100+Q299+R299+S299)-AC299-AD299-AE299)))</f>
        <v/>
      </c>
      <c r="U299" s="477" t="str">
        <f>IF(D299="","",(VLOOKUP(D299,'DB technologies'!$N$138:$Y$152,2,FALSE)*'DB additional information '!$S$6/100*'DB additional information '!$U$6*VLOOKUP($C$295,'DB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V299" s="433" t="str">
        <f>IF(D299="","",(VLOOKUP(D299,'DB technologies'!$N$138:$Y$152,3,FALSE)*'DB additional information '!$S$7/100*'DB additional information '!$U$7*VLOOKUP($C$295,'DB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W299" s="475" t="str">
        <f>IF(D299="","",(VLOOKUP(D299,'DB technologies'!$N$138:$Y$152,4,FALSE)*('DB additional information '!$S$8/100*'DB additional information '!$U$8*E299/1000/1000)))</f>
        <v/>
      </c>
      <c r="X299" s="267" t="str">
        <f>IF($C$295=0,"",IF('Calc (ex-animal)'!$F$58=1,"",IF(D299="","",((VLOOKUP($C$295,'Calc (ex-animal)'!$D$58:$Y$62,13,FALSE)-VLOOKUP($C$295,'Calc (ex-animal)'!$D$58:$Y$62,19,FALSE))*F299/100+U299+V299+W299))))</f>
        <v/>
      </c>
      <c r="Y299" s="433" t="str">
        <f>IF(D299="","",(VLOOKUP(D299,'DB technologies'!$N$138:$Y$152,2,FALSE)*'DB additional information '!$S$6/100*'DB additional information '!$V$6*VLOOKUP($C$295,'DB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Z299" s="433" t="str">
        <f>IF(D299="","",(VLOOKUP(D299,'DB technologies'!$N$138:$Y$152,3,FALSE)*'DB additional information '!$S$7/100*'DB additional information '!$V$7*VLOOKUP($C$295,'DB animal categories'!$C$107:$AC$116,27,FALSE)*E299/1000/1000)/VLOOKUP($C$295,'DB animal categories'!$C$107:$AC$116,27,FALSE)*(VLOOKUP($C$295,'DB animal categories'!$C$107:$AC$116,27,FALSE)-VLOOKUP($C$295,'DB animal categories'!$C$107:$AC$116,25,FALSE)*VLOOKUP($C$295,'DB animal categories'!$C$107:$AC$116,26,FALSE)/24))</f>
        <v/>
      </c>
      <c r="AA299" s="433" t="str">
        <f>IF(D299="","",(VLOOKUP(D299,'DB technologies'!$N$138:$Y$152,4,FALSE)*('DB additional information '!$S$8/100*'DB additional information '!$V$8*E299/1000/1000)))</f>
        <v/>
      </c>
      <c r="AB299" s="267" t="str">
        <f>IF($C$295=0,"",IF('Calc (ex-animal)'!$F$58=1,"",IF(D299="","",((VLOOKUP($C$295,'Calc (ex-animal)'!$D$58:$Y$62,16,FALSE)-VLOOKUP($C$295,'Calc (ex-animal)'!$D$58:$Y$62,20,FALSE))*F299/100+Y299+Z299+AA299))))</f>
        <v/>
      </c>
      <c r="AC299" s="267" t="str">
        <f>IF($C$295=0,"",IF('Calc (ex-animal)'!$F$58=1,"",IF(D299="","",VLOOKUP($C$295,'Calc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categories'!$C$107:$AC$116,26,FALSE)/24)*F299/100*VLOOKUP(D299,'DB technologies'!$N$138:$R$152,5,FALSE)/100)))</f>
        <v/>
      </c>
      <c r="AD299" s="267" t="str">
        <f>IF($C$295=0,"",IF('Calc (ex-animal)'!$F$58=1,"",IF(D299="","",VLOOKUP($C$295,'Calc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categories'!$C$107:$AC$116,26,FALSE)/24)*F299/100*VLOOKUP(D299,'DB technologies'!$N$138:$Y$152,6,FALSE)/100)))</f>
        <v/>
      </c>
      <c r="AE299" s="268" t="str">
        <f>IF($C$295=0,"",IF('Calc (ex-animal)'!$F$58=1,"",IF(D299="","",VLOOKUP($C$295,'Calc (ex-animal)'!$D$58:$Y$62,10,FALSE)/VLOOKUP($C$295,'DB animal categories'!$C$107:$AC$116,27,FALSE)*(VLOOKUP($C$295,'DB animal categories'!$C$107:$AC$116,27,FALSE)-VLOOKUP($C$295,'DB animal categories'!$C$107:$AC$116,25,FALSE)*VLOOKUP($C$295,'DB animal categories'!$C$107:$AC$116,26,FALSE)/24)*F299/100*VLOOKUP(D299,'DB technologies'!$N$138:$Y$152,7,FALSE)/100)))</f>
        <v/>
      </c>
      <c r="AI299" s="183" t="str">
        <f>IF(D299="","",VLOOKUP(D299,'DB technologies'!$N$138:$Y$152,10,FALSE))</f>
        <v/>
      </c>
      <c r="AJ299" s="451" t="e">
        <f>VLOOKUP($C$295,'DB animal categories'!$C$107:$AN$116,27,FALSE)-VLOOKUP($C$295,'DB animal categories'!$C$107:$AN$116,26,FALSE)*VLOOKUP($C$295,'DB animal categories'!$C$107:$AN$116,25,FALSE)/24</f>
        <v>#N/A</v>
      </c>
      <c r="AK299" s="452" t="str">
        <f>IF(AI299="","",AL299+AM299)</f>
        <v/>
      </c>
      <c r="AL299" s="452" t="str">
        <f>IF(D299="","",IF(AI299=2,(('Calc (ex-animal)'!$G$61*'DB additional information '!$K$15/100*(1-VLOOKUP(D299,'DB technologies'!$N$138:$Y$152,9,FALSE)/100)*'Calc (ex-housing, ex-storage)'!F299/100+'Calc (ex-animal)'!$H$61*'DB additional information '!$L$15/100*(1-VLOOKUP(D299,'DB technologies'!$N$138:$Y$152,9,FALSE)/100)*'Calc (ex-housing, ex-storage)'!F299/100))/VLOOKUP($C$295,'DB animal categories'!$C$107:$AC$116,27,FALSE)*AJ299+I299+J299+K299,IF(AI299=1,('Calc (ex-animal)'!$H$61*'DB additional information '!$L$15/100*(1-VLOOKUP(D299,'DB technologies'!$N$138:$Y$152,9,FALSE)/100)*'Calc (ex-housing, ex-storage)'!F299/100)/VLOOKUP($C$295,'DB animal categories'!$C$107:$AC$116,27,FALSE)*AJ299,IF(AI299=4,('Calc (ex-animal)'!$G$61*'DB additional information '!$K$15/100+'Calc (ex-animal)'!$H$61*'DB additional information '!$L$15/100)*(1-VLOOKUP(D299,'DB technologies'!$N$138:$Y$152,9,FALSE)/100)*'Calc (ex-housing, ex-storage)'!F299/100*VLOOKUP(D299,'DB technologies'!$N$138:$Y$152,11,FALSE)/100/VLOOKUP($C$295,'DB animal categories'!$C$107:$AC$116,27,FALSE)*AJ299,0))))</f>
        <v/>
      </c>
      <c r="AM299" s="452" t="str">
        <f>IF(D299="","",IF(AI299=2,(('Calc (ex-animal)'!$G$61*(1-'DB additional information '!$K$15/100)*(1-VLOOKUP(D299,'DB technologies'!$N$138:$Y$152,8,FALSE)/100)*'Calc (ex-housing, ex-storage)'!F299/100+'Calc (ex-animal)'!$H$61*(1-'DB additional information '!$L$15/100)*(1-VLOOKUP(D299,'DB technologies'!$N$138:$Y$152,8,FALSE)/100)*'Calc (ex-housing, ex-storage)'!F299/100))/VLOOKUP($C$295,'DB animal categories'!$C$107:$AC$116,27,FALSE)*AJ299+M299+N299+O299,IF(AI299=1,('Calc (ex-animal)'!$H$61*(1-'DB additional information '!$L$15/100)*(1-VLOOKUP(D299,'DB technologies'!$N$138:$Y$152,8,FALSE)/100)*'Calc (ex-housing, ex-storage)'!F299/100)/VLOOKUP($C$295,'DB animal categories'!$C$107:$AC$116,27,FALSE)*AJ299,IF(AI299=4,('Calc (ex-animal)'!$G$61*(1-'DB additional information '!$K$15/100)+'Calc (ex-animal)'!$H$61*(1-'DB additional information '!$L$15/100))*(1-VLOOKUP(D299,'DB technologies'!$N$138:$Y$152,8,FALSE)/100)*'Calc (ex-housing, ex-storage)'!F299/100*VLOOKUP(D299,'DB technologies'!$N$138:$Y$152,11,FALSE)/100/VLOOKUP($C$295,'DB animal categories'!$C$107:$AC$116,27,FALSE)*AJ299,0))))</f>
        <v/>
      </c>
      <c r="AN299" s="452" t="str">
        <f>IF(AI299="","",IF(AL299=0,0,AL299/AK299*100))</f>
        <v/>
      </c>
      <c r="AO299" s="184" t="str">
        <f>IF(D299="","",IF(AI299=2,(('Calc (ex-animal)'!$L$61*'Calc (ex-housing, ex-storage)'!F299/100+'Calc (ex-animal)'!$K$61*'Calc (ex-housing, ex-storage)'!F299/100))/VLOOKUP($C$295,'DB animal categories'!$C$107:$AC$116,27,FALSE)*AJ299+Q299+R299+S299-AC299,IF(AI299=1,('Calc (ex-animal)'!$L$61*'Calc (ex-housing, ex-storage)'!F299/100)/VLOOKUP($C$295,'DB animal categories'!$C$107:$AC$116,27,FALSE)*AJ299-'Calc (ex-housing, ex-storage)'!AC299,IF(AI299=4,('Calc (ex-animal)'!$L$61+'Calc (ex-animal)'!$K$61)*'Calc (ex-housing, ex-storage)'!F299/100*VLOOKUP(D299,'DB technologies'!$N$138:$Y$152,11,FALSE)/100/VLOOKUP($C$295,'DB animal categories'!$C$107:$AC$116,27,FALSE)*AJ299-AC299*VLOOKUP(D299,'DB technologies'!$N$138:$Y$152,11,FALSE)/100,0))))</f>
        <v/>
      </c>
      <c r="AP299" s="184" t="str">
        <f>IF(D299="","",IF(AO299&lt;-0.01,0,IF(AI299=2,(('Calc (ex-animal)'!$L$61*'Calc (ex-housing, ex-storage)'!F299/100+'Calc (ex-animal)'!$K$61*'Calc (ex-housing, ex-storage)'!F299/100))/VLOOKUP($C$295,'DB animal categories'!$C$107:$AC$116,27,FALSE)*AJ299+Q299+R299+S299-AC299,IF(AI299=1,('Calc (ex-animal)'!$L$61*'Calc (ex-housing, ex-storage)'!F299/100)/VLOOKUP($C$295,'DB animal categories'!$C$107:$AC$116,27,FALSE)*AJ299-'Calc (ex-housing, ex-storage)'!AC299,IF(AI299=4,('Calc (ex-animal)'!$L$61+'Calc (ex-animal)'!$K$61)*'Calc (ex-housing, ex-storage)'!F299/100*VLOOKUP(D299,'DB technologies'!$N$138:$Y$152,11,FALSE)/100/VLOOKUP($C$295,'DB animal categories'!$C$107:$AC$116,27,FALSE)*AJ299-AC299*VLOOKUP(D299,'DB technologies'!$N$138:$Y$152,11,FALSE)/100,0)))))</f>
        <v/>
      </c>
      <c r="AQ299" s="184" t="str">
        <f>IF(D299="","",IF(AI299=2,('Calc (ex-animal)'!$O$61*'Calc (ex-housing, ex-storage)'!F299/100+'Calc (ex-animal)'!$N$61*'Calc (ex-housing, ex-storage)'!F299/100)/VLOOKUP($C$295,'DB animal categories'!$C$107:$AC$116,27,FALSE)*AJ299+U299+V299+W299,IF(AI299=1,'Calc (ex-animal)'!$O$61*'Calc (ex-housing, ex-storage)'!F299/100/VLOOKUP($C$295,'DB animal categories'!$C$107:$AC$116,27,FALSE)*AJ299,IF(AI299=4,('Calc (ex-animal)'!$O$61+'Calc (ex-animal)'!$N$61)*'Calc (ex-housing, ex-storage)'!F299/100*VLOOKUP(D299,'DB technologies'!$N$138:$Y$152,11,FALSE)/100/VLOOKUP($C$295,'DB animal categories'!$C$107:$AC$116,27,FALSE)*AJ299,0))))</f>
        <v/>
      </c>
      <c r="AR299" s="184" t="str">
        <f>IF(D299="","",IF(AI299=2,('Calc (ex-animal)'!$R$61*'Calc (ex-housing, ex-storage)'!F299/100+'Calc (ex-animal)'!$Q$61*'Calc (ex-housing, ex-storage)'!F299/100)/VLOOKUP($C$295,'DB animal categories'!$C$107:$AC$116,27,FALSE)*AJ299+Y299+Z299+AA299,IF(AI299=1,'Calc (ex-animal)'!$R$61*'Calc (ex-housing, ex-storage)'!F299/100/VLOOKUP($C$295,'DB animal categories'!$C$107:$AC$116,27,FALSE)*AJ299,IF(AI299=4,('Calc (ex-animal)'!$R$61+'Calc (ex-animal)'!$Q$61)*'Calc (ex-housing, ex-storage)'!F299/100*VLOOKUP(D299,'DB technologies'!$N$138:$Y$152,11,FALSE)/100/VLOOKUP($C$295,'DB animal categories'!$C$107:$AC$116,27,FALSE)*AJ299,0))))</f>
        <v/>
      </c>
      <c r="AS299" s="183" t="str">
        <f>IF(D299="","",VLOOKUP(D299,'DB technologies'!$N$138:$Y$152,10,FALSE))</f>
        <v/>
      </c>
      <c r="AT299" s="452" t="str">
        <f>IF(AS299="","",AU299+AV299)</f>
        <v/>
      </c>
      <c r="AU299" s="452" t="str">
        <f>IF(D299="","",IF(AS299=2,0,IF(AS299=1,'Calc (ex-animal)'!$G$61*'DB additional information '!$K$15/100*(1-VLOOKUP(D299,'DB technologies'!$N$138:$Y$152,8,FALSE)/100)*'Calc (ex-housing, ex-storage)'!F299/100/VLOOKUP($C$295,'DB animal categories'!$C$107:$AC$116,27,FALSE)*AJ299+I299+J299+K299,IF(AS299=5,(('Calc (ex-animal)'!$G$61*'DB additional information '!$K$15/100+'Calc (ex-animal)'!$H$61*'DB additional information '!$L$15/100))*(1-VLOOKUP(D299,'DB technologies'!$N$138:$Y$152,9,FALSE)/100)*'Calc (ex-housing, ex-storage)'!F299/100/VLOOKUP($C$295,'DB animal categories'!$C$107:$AC$116,27,FALSE)*AJ299+I299+J299+K299,IF(AS299=3,('Calc (ex-animal)'!$G$61*'DB additional information '!$K$15/100+'Calc (ex-animal)'!$H$61*'DB additional information '!$L$15/100)*(1-VLOOKUP(D299,'DB technologies'!$N$138:$Y$152,9,FALSE)/100)*'Calc (ex-housing, ex-storage)'!F299/100/VLOOKUP($C$295,'DB animal categories'!$C$107:$AC$116,27,FALSE)*AJ299+I299+J299+K299,IF(AS299=4,('Calc (ex-animal)'!$G$61*'DB additional information '!$K$15/100+'Calc (ex-animal)'!$H$61*'DB additional information '!$L$15/100)*(1-VLOOKUP(D299,'DB technologies'!$N$138:$Y$152,9,FALSE)/100)*'Calc (ex-housing, ex-storage)'!F299/100*VLOOKUP(D299,'DB technologies'!$N$138:$Y$152,12,FALSE)/100/VLOOKUP($C$295,'DB animal categories'!$C$107:$AC$116,27,FALSE)*AJ299+I299+J299+K299,0))))))</f>
        <v/>
      </c>
      <c r="AV299" s="452" t="str">
        <f>IF(D299="","",IF(AS299=2,0,IF(AS299=1,'Calc (ex-animal)'!$G$61*(1-'DB additional information '!$K$15/100)*(1-VLOOKUP(D299,'DB technologies'!$N$138:$Y$152,8,FALSE)/100)*'Calc (ex-housing, ex-storage)'!F299/100/VLOOKUP($C$295,'DB animal categories'!$C$107:$AC$116,27,FALSE)*AJ299+M299+N299+O299,IF(AS299=5,('Calc (ex-animal)'!$G$61*(1-'DB additional information '!$K$15/100)+'Calc (ex-animal)'!$H$61*(1-'DB additional information '!$L$15/100))*(1-VLOOKUP(D299,'DB technologies'!$N$138:$Y$152,8,FALSE)/100)*'Calc (ex-housing, ex-storage)'!F299/100/VLOOKUP($C$295,'DB animal categories'!$C$107:$AC$116,27,FALSE)*AJ299+M299+N299+O299,IF(AS299=3,('Calc (ex-animal)'!$G$61*(1-'DB additional information '!$K$15/100)+'Calc (ex-animal)'!$H$61*(1-'DB additional information '!$L$15/100))*(1-VLOOKUP(D299,'DB technologies'!$N$138:$Y$152,8,FALSE)/100)*'Calc (ex-housing, ex-storage)'!F299/100/VLOOKUP($C$295,'DB animal categories'!$C$107:$AC$116,27,FALSE)*AJ299+M299+N299+O299,IF(AS299=4,('Calc (ex-animal)'!$G$61*(1-'DB additional information '!$K$15/100)+'Calc (ex-animal)'!$H$61*(1-'DB additional information '!$L$15/100))*(1-VLOOKUP(D299,'DB technologies'!$N$138:$Y$152,8,FALSE)/100)*'Calc (ex-housing, ex-storage)'!F299/100*VLOOKUP(D299,'DB technologies'!$N$138:$Y$152,12,FALSE)/100/VLOOKUP($C$295,'DB animal categories'!$C$107:$AC$116,27,FALSE)*AJ299+M299+N299+O299,0))))))</f>
        <v/>
      </c>
      <c r="AW299" s="452" t="str">
        <f>IF(AS299="","",IF(AU299=0,0,AU299/AT299*100))</f>
        <v/>
      </c>
      <c r="AX299" s="184" t="str">
        <f>IF(D299="","",IF(AS299=2,0,IF(AS299=1,'Calc (ex-animal)'!$K$61*'Calc (ex-housing, ex-storage)'!F299/100/VLOOKUP($C$295,'DB animal categories'!$C$107:$AC$116,27,FALSE)*AJ299+Q299+R299+S299,IF(AS299=5,('Calc (ex-animal)'!$K$61+'Calc (ex-animal)'!$L$61)*'Calc (ex-housing, ex-storage)'!F299/100/VLOOKUP($C$295,'DB animal categories'!$C$107:$AC$116,27,FALSE)*AJ299+Q299+R299+S299-'Calc (ex-housing, ex-storage)'!AC299,IF(AS299=3,('Calc (ex-animal)'!$K$61+'Calc (ex-animal)'!$L$61)*'Calc (ex-housing, ex-storage)'!F299/100/VLOOKUP($C$295,'DB animal categories'!$C$107:$AC$116,27,FALSE)*AJ299+Q299+R299+S299-'Calc (ex-housing, ex-storage)'!AC299-AD299-AE299,IF(AI299=4,('Calc (ex-animal)'!$K$61+'Calc (ex-animal)'!$L$61)*'Calc (ex-housing, ex-storage)'!F299/100*VLOOKUP(D299,'DB technologies'!$N$138:$Y$152,12,FALSE)/100/VLOOKUP($C$295,'DB animal categories'!$C$107:$AC$116,27,FALSE)*AJ299+Q299+R299+S299-(VLOOKUP(D299,'DB technologies'!$N$138:$Y$152,12,FALSE)/100*AC299)-AD299-AE299,0))))))</f>
        <v/>
      </c>
      <c r="AY299" s="184" t="str">
        <f>IF(D299="","",IF(AS299=2,0,IF(AS299=1,'Calc (ex-animal)'!$N$61*'Calc (ex-housing, ex-storage)'!F299/100/VLOOKUP($C$295,'DB animal categories'!$C$107:$AC$116,27,FALSE)*AJ299+U299+V299+W299,IF(AS299=5,('Calc (ex-animal)'!$N$61+'Calc (ex-animal)'!$O$61)*'Calc (ex-housing, ex-storage)'!F299/100/VLOOKUP($C$295,'DB animal categories'!$C$107:$AC$116,27,FALSE)*AJ299+U299+V299+W299,IF(AS299=3,('Calc (ex-animal)'!$N$61+'Calc (ex-animal)'!$O$61)*'Calc (ex-housing, ex-storage)'!F299/100/VLOOKUP($C$295,'DB animal categories'!$C$107:$AC$116,27,FALSE)*AJ299+U299+V299+W299,IF(AS299=4,('Calc (ex-animal)'!$N$61+'Calc (ex-animal)'!$O$61)*'Calc (ex-housing, ex-storage)'!F299/100*VLOOKUP(D299,'DB technologies'!$N$138:$Y$152,12,FALSE)/100/VLOOKUP($C$295,'DB animal categories'!$C$107:$AC$116,27,FALSE)*AJ299+U299+V299+W299,0))))))</f>
        <v/>
      </c>
      <c r="AZ299" s="184" t="str">
        <f>IF(D299="","",IF(AS299=2,0,IF(AS299=1,'Calc (ex-animal)'!$Q$61*'Calc (ex-housing, ex-storage)'!F299/100/VLOOKUP($C$295,'DB animal categories'!$C$107:$AC$116,27,FALSE)*AJ299+Y299+Z299+AA299,IF(AS299=5,('Calc (ex-animal)'!$Q$61+'Calc (ex-animal)'!$R$61)*'Calc (ex-housing, ex-storage)'!F299/100/VLOOKUP($C$295,'DB animal categories'!$C$107:$AC$116,27,FALSE)*AJ299+Y299+Z299+AA299,IF(AS299=3,('Calc (ex-animal)'!$Q$61+'Calc (ex-animal)'!$R$61)*'Calc (ex-housing, ex-storage)'!F299/100/VLOOKUP($C$295,'DB animal categories'!$C$107:$AC$116,27,FALSE)*AJ299+Y299+Z299+AA299,IF(AS299=4,('Calc (ex-animal)'!$Q$61+'Calc (ex-animal)'!$R$61)*'Calc (ex-housing, ex-storage)'!F299/100*VLOOKUP(D299,'DB technologies'!$N$138:$Y$152,12,FALSE)/100/VLOOKUP($C$295,'DB animal categories'!$C$107:$AC$116,27,FALSE)*AJ299+Y299+Z299+AA299,0))))))</f>
        <v/>
      </c>
      <c r="BA299" s="506"/>
      <c r="BB299" s="506"/>
      <c r="BC299" s="506"/>
    </row>
    <row r="300" spans="1:55" ht="12" thickBot="1" x14ac:dyDescent="0.25">
      <c r="A300" s="695"/>
      <c r="B300" s="695"/>
      <c r="C300" s="252"/>
      <c r="D300" s="275" t="s">
        <v>58</v>
      </c>
      <c r="E300" s="276">
        <f>IF(F300&lt;=100,SUM(E295:E299),"ERROR")</f>
        <v>0</v>
      </c>
      <c r="F300" s="288">
        <f>IF(SUM(F295:F299) &lt;=100,SUM(F295:F299),"ERROR, SUM&gt;100%")</f>
        <v>0</v>
      </c>
      <c r="G300" s="550">
        <f>IF('Calc (ex-animal)'!$F$58=1,"",SUM(G295:G299))</f>
        <v>0</v>
      </c>
      <c r="H300" s="418">
        <f>IF('Calc (ex-animal)'!$F$8=1,"",SUM(H295:H299))</f>
        <v>0</v>
      </c>
      <c r="I300" s="418">
        <f>IF('Calc (ex-animal)'!$F$8=1,"",SUM(I295:I299))</f>
        <v>0</v>
      </c>
      <c r="J300" s="418">
        <f>IF('Calc (ex-animal)'!$F$8=1,"",SUM(J295:J299))</f>
        <v>0</v>
      </c>
      <c r="K300" s="418">
        <f>IF('Calc (ex-animal)'!$F$8=1,"",SUM(K295:K299))</f>
        <v>0</v>
      </c>
      <c r="L300" s="418">
        <f>IF('Calc (ex-animal)'!$F$8=1,"",SUM(L295:L299))</f>
        <v>0</v>
      </c>
      <c r="M300" s="551"/>
      <c r="N300" s="551"/>
      <c r="O300" s="551"/>
      <c r="P300" s="552">
        <f>IF(G300=0,0,IF('Calc (ex-animal)'!$F$58=1,"",IF(D300="","",SUM(H300:K300)/G300*100)))</f>
        <v>0</v>
      </c>
      <c r="Q300" s="394"/>
      <c r="R300" s="394"/>
      <c r="S300" s="394"/>
      <c r="T300" s="285">
        <f>IF('Calc (ex-animal)'!$F$61=1,"",SUM(T295:T299))</f>
        <v>0</v>
      </c>
      <c r="U300" s="286"/>
      <c r="V300" s="286"/>
      <c r="W300" s="286"/>
      <c r="X300" s="286">
        <f>IF('Calc (ex-animal)'!$F$61=1,"",SUM(X295:X299))</f>
        <v>0</v>
      </c>
      <c r="Y300" s="286"/>
      <c r="Z300" s="286"/>
      <c r="AA300" s="286"/>
      <c r="AB300" s="286">
        <f>IF('Calc (ex-animal)'!$F$61=1,"",SUM(AB295:AB299))</f>
        <v>0</v>
      </c>
      <c r="AC300" s="286">
        <f>IF('Calc (ex-animal)'!$F$61=1,"",SUM(AC295:AC299))</f>
        <v>0</v>
      </c>
      <c r="AD300" s="286">
        <f>IF('Calc (ex-animal)'!$F$61=1,"",SUM(AD295:AD299))</f>
        <v>0</v>
      </c>
      <c r="AE300" s="287">
        <f>IF('Calc (ex-animal)'!$F$61=1,"",SUM(AE295:AE299))</f>
        <v>0</v>
      </c>
    </row>
    <row r="301" spans="1:55" x14ac:dyDescent="0.2">
      <c r="A301" s="695"/>
      <c r="B301" s="695"/>
      <c r="C301" s="250">
        <f>'Calc (ex-animal)'!D62</f>
        <v>0</v>
      </c>
      <c r="D301" s="1355"/>
      <c r="E301" s="1356"/>
      <c r="F301" s="479" t="str">
        <f>IF('Calc (ex-animal)'!$F$58=1,"",IF($C$301=0,"",IF(D301="","",E301/'Calc (ex-animal)'!$E$62*100)))</f>
        <v/>
      </c>
      <c r="G301" s="484" t="str">
        <f>IF($C$301=0,"",IF('Calc (ex-animal)'!$F$58=1,"",IF(D301="","",SUM(H301:O301))))</f>
        <v/>
      </c>
      <c r="H301" s="471" t="str">
        <f>IF('Calc (ex-animal)'!$F$58=1,"",IF(D301="","",(((VLOOKUP($C$301,'Calc (ex-animal)'!$D$58:$Y$62,6,FALSE)-VLOOKUP($C$301,'Calc (ex-animal)'!$D$58:$Y$62,17,FALSE))*F301/100))*VLOOKUP($C$301,'Calc (ex-animal)'!$D$58:$Y$62,7,FALSE)/100*(1-VLOOKUP(D301,'DB technologies'!$N$138:$Y$152,9,FALSE)/100)))</f>
        <v/>
      </c>
      <c r="I301" s="471" t="str">
        <f>IF(D301="","",((VLOOKUP(D301,'DB technologies'!$N$138:$Y$152,2,FALSE)*VLOOKUP($C$301,'DB animal categories'!$C$107:$AC$116,27,FALSE)*E301/1000)/VLOOKUP($C$301,'DB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'!$S$6/100*(1-VLOOKUP(D301,'DB technologies'!$N$138:$Y$152,9,FALSE)/100)))</f>
        <v/>
      </c>
      <c r="J301" s="472" t="str">
        <f>IF(D301="","",((VLOOKUP(D301,'DB technologies'!$N$138:$Y$152,3,FALSE)*VLOOKUP($C$301,'DB animal categories'!$C$107:$AC$116,27,FALSE)*E301/1000)/VLOOKUP($C$301,'DB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'!$S$7/100*(1-VLOOKUP(D301,'DB technologies'!$N$138:$Y$152,9,FALSE)/100)))</f>
        <v/>
      </c>
      <c r="K301" s="472" t="str">
        <f>IF(D301="","",((VLOOKUP(D301,'DB technologies'!$N$138:$Y$152,4,FALSE)*E301*'DB additional information '!$S$8/100*(1-VLOOKUP(D301,'DB technologies'!$N$138:$Y$152,9,FALSE)/100))/VLOOKUP($C$301,'DB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L301" s="471" t="str">
        <f>IF('Calc (ex-animal)'!$F$58=1,"",IF(D301="","",(((VLOOKUP($C$301,'Calc (ex-animal)'!$D$58:$Y$62,6,FALSE)-VLOOKUP($C$301,'Calc (ex-animal)'!$D$58:$Y$62,17,FALSE))*F301/100))*(1-VLOOKUP($C$301,'Calc (ex-animal)'!$D$58:$Y$62,7,FALSE)/100)*(1-VLOOKUP(D301,'DB technologies'!$N$138:$V$152,8,FALSE)/100)))</f>
        <v/>
      </c>
      <c r="M301" s="472" t="str">
        <f>IF(D301="","",((VLOOKUP(D301,'DB technologies'!$N$138:$Y$152,2,FALSE)*VLOOKUP($C$301,'DB animal categories'!$C$107:$AC$116,27,FALSE)*E301/1000)/VLOOKUP($C$301,'DB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'!$S$6/100)*(1-VLOOKUP(D301,'DB technologies'!$N$138:$Y$152,9,FALSE)/100))</f>
        <v/>
      </c>
      <c r="N301" s="472" t="str">
        <f>IF(D301="","",((VLOOKUP(D301,'DB technologies'!$N$138:$Y$152,3,FALSE)*VLOOKUP($C$301,'DB animal categories'!$C$107:$AC$116,27,FALSE)*E301/1000)/VLOOKUP($C$301,'DB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'!$S$7/100)*(1-VLOOKUP(D301,'DB technologies'!$N$138:$Y$152,9,FALSE)/100))</f>
        <v/>
      </c>
      <c r="O301" s="471" t="str">
        <f>IF(D301="","",((VLOOKUP(D301,'DB technologies'!$N$138:$Y$152,4,FALSE)*E301*(1-'DB additional information '!$S$8/100)*(1-VLOOKUP(D301,'DB technologies'!$N$138:$Y$152,8,FALSE)/100))/VLOOKUP($C$301,'DB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P301" s="443" t="str">
        <f>IF(G301=0,0,IF(E301="","",IF(F301="","",IF($C$301=0,"",IF(D301="","",SUM(H301:K301)/G301*100)))))</f>
        <v/>
      </c>
      <c r="Q301" s="473" t="str">
        <f>IF(D301="","",(VLOOKUP(D301,'DB technologies'!$N$138:$Y$152,2,FALSE)*'DB additional information '!$S$6/100*'DB additional information '!$T$6*VLOOKUP($C$301,'DB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R301" s="473" t="str">
        <f>IF(D301="","",(VLOOKUP(D301,'DB technologies'!$N$138:$Y$152,3,FALSE)*'DB additional information '!$S$7/100*'DB additional information '!$T$7*VLOOKUP($C$301,'DB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S301" s="490" t="str">
        <f>IF(D301="","",(VLOOKUP(D301,'DB technologies'!$N$138:$Y$152,4,FALSE)*('DB additional information '!$S$8/100*'DB additional information '!$T$8*E301/1000/1000)))</f>
        <v/>
      </c>
      <c r="T301" s="263" t="str">
        <f>IF($C$301=0,"",IF('Calc (ex-animal)'!$F$58=1,"",IF(D301="","",((VLOOKUP($C$301,'Calc (ex-animal)'!$D$58:$Y$62,10,FALSE)-VLOOKUP($C$301,'Calc (ex-animal)'!$D$58:$Y$62,18,FALSE))*F301/100+Q301+R301+S301)-AC301-AD301-AE301)))</f>
        <v/>
      </c>
      <c r="U301" s="474" t="str">
        <f>IF(D301="","",(VLOOKUP(D301,'DB technologies'!$N$138:$Y$152,2,FALSE)*'DB additional information '!$S$6/100*'DB additional information '!$U$6*VLOOKUP($C$301,'DB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V301" s="420" t="str">
        <f>IF(D301="","",(VLOOKUP(D301,'DB technologies'!$N$138:$Y$152,3,FALSE)*'DB additional information '!$S$7/100*'DB additional information '!$U$7*VLOOKUP($C$301,'DB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W301" s="415" t="str">
        <f>IF(D301="","",(VLOOKUP(D301,'DB technologies'!$N$138:$Y$152,4,FALSE)*('DB additional information '!$S$8/100*'DB additional information '!$U$8*E301/1000/1000)))</f>
        <v/>
      </c>
      <c r="X301" s="259" t="str">
        <f>IF($C$301=0,"",IF('Calc (ex-animal)'!$F$58=1,"",IF(D301="","",((VLOOKUP($C$301,'Calc (ex-animal)'!$D$58:$Y$62,13,FALSE)-VLOOKUP($C$301,'Calc (ex-animal)'!$D$58:$Y$62,19,FALSE))*F301/100+U301+V301+W301))))</f>
        <v/>
      </c>
      <c r="Y301" s="420" t="str">
        <f>IF(D301="","",(VLOOKUP(D301,'DB technologies'!$N$138:$Y$152,2,FALSE)*'DB additional information '!$S$6/100*'DB additional information '!$V$6*VLOOKUP($C$301,'DB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Z301" s="420" t="str">
        <f>IF(D301="","",(VLOOKUP(D301,'DB technologies'!$N$138:$Y$152,3,FALSE)*'DB additional information '!$S$7/100*'DB additional information '!$V$7*VLOOKUP($C$301,'DB animal categories'!$C$107:$AC$116,27,FALSE)*E301/1000/1000)/VLOOKUP($C$301,'DB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AA301" s="420" t="str">
        <f>IF(D301="","",(VLOOKUP(D301,'DB technologies'!$N$138:$Y$152,4,FALSE)*('DB additional information '!$S$8/100*'DB additional information '!$V$8*E301/1000/1000)))</f>
        <v/>
      </c>
      <c r="AB301" s="259" t="str">
        <f>IF($C$301=0,"",IF('Calc (ex-animal)'!$F$58=1,"",IF(D301="","",((VLOOKUP($C$301,'Calc (ex-animal)'!$D$58:$Y$62,16,FALSE)-VLOOKUP($C$301,'Calc (ex-animal)'!$D$58:$Y$62,20,FALSE))*F301/100+Y301+Z301+AA301))))</f>
        <v/>
      </c>
      <c r="AC301" s="259" t="str">
        <f>IF($C$301=0,"",IF('Calc (ex-animal)'!$F$58=1,"",IF(D301="","",VLOOKUP($C$301,'Calc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categories'!$C$107:$AC$116,26,FALSE)/24)*F301/100*VLOOKUP(D301,'DB technologies'!$N$138:$R$152,5,FALSE)/100)))</f>
        <v/>
      </c>
      <c r="AD301" s="259" t="str">
        <f>IF($C$301=0,"",IF('Calc (ex-animal)'!$F$58=1,"",IF(D301="","",VLOOKUP($C$301,'Calc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categories'!$C$107:$AC$116,26,FALSE)/24)*F301/100*VLOOKUP(D301,'DB technologies'!$N$138:$Y$152,6,FALSE)/100)))</f>
        <v/>
      </c>
      <c r="AE301" s="260" t="str">
        <f>IF($C$301=0,"",IF('Calc (ex-animal)'!$F$58=1,"",IF(D301="","",VLOOKUP($C$301,'Calc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categories'!$C$107:$AC$116,26,FALSE)/24)*F301/100*VLOOKUP(D301,'DB technologies'!$N$138:$Y$152,7,FALSE)/100)))</f>
        <v/>
      </c>
      <c r="AI301" s="179" t="str">
        <f>IF(D301="","",VLOOKUP(D301,'DB technologies'!$N$138:$Y$152,10,FALSE))</f>
        <v/>
      </c>
      <c r="AJ301" s="482" t="e">
        <f>VLOOKUP($C$301,'DB animal categories'!$C$107:$AN$116,27,FALSE)-VLOOKUP($C$301,'DB animal categories'!$C$107:$AN$116,26,FALSE)*VLOOKUP($C$301,'DB animal categories'!$C$107:$AN$116,25,FALSE)/24</f>
        <v>#N/A</v>
      </c>
      <c r="AK301" s="453" t="str">
        <f>IF(AI301="","",AL301+AM301)</f>
        <v/>
      </c>
      <c r="AL301" s="453" t="str">
        <f>IF(D301="","",IF(AI301=2,(('Calc (ex-animal)'!$G$62*'DB additional information '!$K$15/100*(1-VLOOKUP(D301,'DB technologies'!$N$138:$Y$152,9,FALSE)/100)*'Calc (ex-housing, ex-storage)'!F301/100+'Calc (ex-animal)'!$H$62*'DB additional information '!$L$15/100*(1-VLOOKUP(D301,'DB technologies'!$N$138:$Y$152,9,FALSE)/100)*'Calc (ex-housing, ex-storage)'!F301/100))/VLOOKUP($C$301,'DB animal categories'!$C$107:$AC$116,27,FALSE)*AJ301+I301+J301+K301,IF(AI301=1,('Calc (ex-animal)'!$H$62*'DB additional information '!$L$15/100*(1-VLOOKUP(D301,'DB technologies'!$N$138:$Y$152,9,FALSE)/100)*'Calc (ex-housing, ex-storage)'!F301/100)/VLOOKUP($C$301,'DB animal categories'!$C$107:$AC$116,27,FALSE)*AJ301,IF(AI301=4,('Calc (ex-animal)'!$G$62*'DB additional information '!$K$15/100+'Calc (ex-animal)'!$H$62*'DB additional information '!$L$15/100)*(1-VLOOKUP(D301,'DB technologies'!$N$138:$Y$152,9,FALSE)/100)*'Calc (ex-housing, ex-storage)'!F301/100*VLOOKUP(D301,'DB technologies'!$N$138:$Y$152,11,FALSE)/100/VLOOKUP($C$301,'DB animal categories'!$C$107:$AC$116,27,FALSE)*AJ301,0))))</f>
        <v/>
      </c>
      <c r="AM301" s="453" t="str">
        <f>IF(D301="","",IF(AI301=2,(('Calc (ex-animal)'!$G$62*(1-'DB additional information '!$K$15/100)*(1-VLOOKUP(D301,'DB technologies'!$N$138:$Y$152,8,FALSE)/100)*'Calc (ex-housing, ex-storage)'!F301/100+'Calc (ex-animal)'!$H$62*(1-'DB additional information '!$L$15/100)*(1-VLOOKUP(D301,'DB technologies'!$N$138:$Y$152,8,FALSE)/100)*'Calc (ex-housing, ex-storage)'!F301/100))/VLOOKUP($C$301,'DB animal categories'!$C$107:$AC$116,27,FALSE)*AJ301+M301+N301+O301,IF(AI301=1,('Calc (ex-animal)'!$H$62*(1-'DB additional information '!$L$15/100)*(1-VLOOKUP(D301,'DB technologies'!$N$138:$Y$152,8,FALSE)/100)*'Calc (ex-housing, ex-storage)'!F301/100)/VLOOKUP($C$301,'DB animal categories'!$C$107:$AC$116,27,FALSE)*AJ301,IF(AI301=4,('Calc (ex-animal)'!$G$62*(1-'DB additional information '!$K$15/100)+'Calc (ex-animal)'!$H$62*(1-'DB additional information '!$L$15/100))*(1-VLOOKUP(D301,'DB technologies'!$N$138:$Y$152,8,FALSE)/100)*'Calc (ex-housing, ex-storage)'!F301/100*VLOOKUP(D301,'DB technologies'!$N$138:$Y$152,11,FALSE)/100/VLOOKUP($C$301,'DB animal categories'!$C$107:$AC$116,27,FALSE)*AJ301,0))))</f>
        <v/>
      </c>
      <c r="AN301" s="453" t="str">
        <f>IF(AI301="","",IF(AL301=0,0,AL301/AK301*100))</f>
        <v/>
      </c>
      <c r="AO301" s="180" t="str">
        <f>IF(D301="","",IF(AI301=2,(('Calc (ex-animal)'!$L$62*'Calc (ex-housing, ex-storage)'!F301/100+'Calc (ex-animal)'!$K$62*'Calc (ex-housing, ex-storage)'!F301/100))/VLOOKUP($C$301,'DB animal categories'!$C$107:$AC$116,27,FALSE)*AJ301+Q301+R301+S301-AC301,IF(AI301=1,('Calc (ex-animal)'!$L$62*'Calc (ex-housing, ex-storage)'!F301/100)/VLOOKUP($C$301,'DB animal categories'!$C$107:$AC$116,27,FALSE)*AJ301-'Calc (ex-housing, ex-storage)'!AC301,IF(AI301=4,('Calc (ex-animal)'!$L$62+'Calc (ex-animal)'!$K$62)*'Calc (ex-housing, ex-storage)'!F301/100*VLOOKUP(D301,'DB technologies'!$N$138:$Y$152,11,FALSE)/100/VLOOKUP($C$301,'DB animal categories'!$C$107:$AC$116,27,FALSE)*AJ301-AC301*VLOOKUP(D301,'DB technologies'!$N$138:$Y$152,11,FALSE)/100,0))))</f>
        <v/>
      </c>
      <c r="AP301" s="180" t="str">
        <f>IF(D301="","",IF(AO301&lt;-0.01,0,IF(AI301=2,(('Calc (ex-animal)'!$L$62*'Calc (ex-housing, ex-storage)'!F301/100+'Calc (ex-animal)'!$K$62*'Calc (ex-housing, ex-storage)'!F301/100))/VLOOKUP($C$301,'DB animal categories'!$C$107:$AC$116,27,FALSE)*AJ301+Q301+R301+S301-AC301,IF(AI301=1,('Calc (ex-animal)'!$L$62*'Calc (ex-housing, ex-storage)'!F301/100)/VLOOKUP($C$301,'DB animal categories'!$C$107:$AC$116,27,FALSE)*AJ301-'Calc (ex-housing, ex-storage)'!AC301,IF(AI301=4,('Calc (ex-animal)'!$L$62+'Calc (ex-animal)'!$K$62)*'Calc (ex-housing, ex-storage)'!F301/100*VLOOKUP(D301,'DB technologies'!$N$138:$Y$152,11,FALSE)/100/VLOOKUP($C$301,'DB animal categories'!$C$107:$AC$116,27,FALSE)*AJ301-AC301*VLOOKUP(D301,'DB technologies'!$N$138:$Y$152,11,FALSE)/100,0)))))</f>
        <v/>
      </c>
      <c r="AQ301" s="180" t="str">
        <f>IF(D301="","",IF(AI301=2,('Calc (ex-animal)'!$O$62*'Calc (ex-housing, ex-storage)'!F301/100+'Calc (ex-animal)'!$N$62*'Calc (ex-housing, ex-storage)'!F301/100)/VLOOKUP($C$301,'DB animal categories'!$C$107:$AC$116,27,FALSE)*AJ301+U301+V301+W301,IF(AI301=1,'Calc (ex-animal)'!$O$62*'Calc (ex-housing, ex-storage)'!F301/100/VLOOKUP($C$301,'DB animal categories'!$C$107:$AC$116,27,FALSE)*AJ301,IF(AI301=4,('Calc (ex-animal)'!$O$62+'Calc (ex-animal)'!$N$62)*'Calc (ex-housing, ex-storage)'!F301/100*VLOOKUP(D301,'DB technologies'!$N$138:$Y$152,11,FALSE)/100/VLOOKUP($C$301,'DB animal categories'!$C$107:$AC$116,27,FALSE)*AJ301,0))))</f>
        <v/>
      </c>
      <c r="AR301" s="180" t="str">
        <f>IF(D301="","",IF(AI301=2,('Calc (ex-animal)'!$R$62*'Calc (ex-housing, ex-storage)'!F301/100+'Calc (ex-animal)'!$Q$62*'Calc (ex-housing, ex-storage)'!F301/100)/VLOOKUP($C$301,'DB animal categories'!$C$107:$AC$116,27,FALSE)*AJ301+Y301+Z301+AA301,IF(AI301=1,'Calc (ex-animal)'!$R$62*'Calc (ex-housing, ex-storage)'!F301/100/VLOOKUP($C$301,'DB animal categories'!$C$107:$AC$116,27,FALSE)*AJ301,IF(AI301=4,('Calc (ex-animal)'!$R$62+'Calc (ex-animal)'!$Q$62)*'Calc (ex-housing, ex-storage)'!F301/100*VLOOKUP(D301,'DB technologies'!$N$138:$Y$152,11,FALSE)/100/VLOOKUP($C$301,'DB animal categories'!$C$107:$AC$116,27,FALSE)*AJ301,0))))</f>
        <v/>
      </c>
      <c r="AS301" s="179" t="str">
        <f>IF(D301="","",VLOOKUP(D301,'DB technologies'!$N$138:$Y$152,10,FALSE))</f>
        <v/>
      </c>
      <c r="AT301" s="453" t="str">
        <f>IF(AS301="","",AU301+AV301)</f>
        <v/>
      </c>
      <c r="AU301" s="453" t="str">
        <f>IF(D301="","",IF(AS301=2,0,IF(AS301=1,'Calc (ex-animal)'!$G$62*'DB additional information '!$K$15/100*(1-VLOOKUP(D301,'DB technologies'!$N$138:$Y$152,8,FALSE)/100)*'Calc (ex-housing, ex-storage)'!F301/100/VLOOKUP($C$301,'DB animal categories'!$C$107:$AC$116,27,FALSE)*AJ301+I301+J301+K301,IF(AS301=5,(('Calc (ex-animal)'!$G$62*'DB additional information '!$K$15/100+'Calc (ex-animal)'!$H$62*'DB additional information '!$L$15/100))*(1-VLOOKUP(D301,'DB technologies'!$N$138:$Y$152,9,FALSE)/100)*'Calc (ex-housing, ex-storage)'!F301/100/VLOOKUP($C$301,'DB animal categories'!$C$107:$AC$116,27,FALSE)*AJ301+I301+J301+K301,IF(AS301=3,('Calc (ex-animal)'!$G$62*'DB additional information '!$K$15/100+'Calc (ex-animal)'!$H$62*'DB additional information '!$L$15/100)*(1-VLOOKUP(D301,'DB technologies'!$N$138:$Y$152,9,FALSE)/100)*'Calc (ex-housing, ex-storage)'!F301/100/VLOOKUP($C$301,'DB animal categories'!$C$107:$AC$116,27,FALSE)*AJ301+I301+J301+K301,IF(AS301=4,('Calc (ex-animal)'!$G$62*'DB additional information '!$K$15/100+'Calc (ex-animal)'!$H$62*'DB additional information '!$L$15/100)*(1-VLOOKUP(D301,'DB technologies'!$N$138:$Y$152,9,FALSE)/100)*'Calc (ex-housing, ex-storage)'!F301/100*VLOOKUP(D301,'DB technologies'!$N$138:$Y$152,12,FALSE)/100/VLOOKUP($C$301,'DB animal categories'!$C$107:$AC$116,27,FALSE)*AJ301+I301+J301+K301,0))))))</f>
        <v/>
      </c>
      <c r="AV301" s="453" t="str">
        <f>IF(D301="","",IF(AS301=2,0,IF(AS301=1,'Calc (ex-animal)'!$G$62*(1-'DB additional information '!$K$15/100)*(1-VLOOKUP(D301,'DB technologies'!$N$138:$Y$152,8,FALSE)/100)*'Calc (ex-housing, ex-storage)'!F301/100/VLOOKUP($C$301,'DB animal categories'!$C$107:$AC$116,27,FALSE)*AJ301+M301+N301+O301,IF(AS301=5,('Calc (ex-animal)'!$G$62*(1-'DB additional information '!$K$15/100)+'Calc (ex-animal)'!$H$62*(1-'DB additional information '!$L$15/100))*(1-VLOOKUP(D301,'DB technologies'!$N$138:$Y$152,8,FALSE)/100)*'Calc (ex-housing, ex-storage)'!F301/100/VLOOKUP($C$301,'DB animal categories'!$C$107:$AC$116,27,FALSE)*AJ301+M301+N301+O301,IF(AS301=3,('Calc (ex-animal)'!$G$62*(1-'DB additional information '!$K$15/100)+'Calc (ex-animal)'!$H$62*(1-'DB additional information '!$L$15/100))*(1-VLOOKUP(D301,'DB technologies'!$N$138:$Y$152,8,FALSE)/100)*'Calc (ex-housing, ex-storage)'!F301/100/VLOOKUP($C$301,'DB animal categories'!$C$107:$AC$116,27,FALSE)*AJ301+M301+N301+O301,IF(AS301=4,('Calc (ex-animal)'!$G$62*(1-'DB additional information '!$K$15/100)+'Calc (ex-animal)'!$H$62*(1-'DB additional information '!$L$15/100))*(1-VLOOKUP(D301,'DB technologies'!$N$138:$Y$152,8,FALSE)/100)*'Calc (ex-housing, ex-storage)'!F301/100*VLOOKUP(D301,'DB technologies'!$N$138:$Y$152,12,FALSE)/100/VLOOKUP($C$301,'DB animal categories'!$C$107:$AC$116,27,FALSE)*AJ301+M301+N301+O301,0))))))</f>
        <v/>
      </c>
      <c r="AW301" s="453" t="str">
        <f>IF(AS301="","",IF(AU301=0,0,AU301/AT301*100))</f>
        <v/>
      </c>
      <c r="AX301" s="180" t="str">
        <f>IF(D301="","",IF(AS301=2,0,IF(AS301=1,'Calc (ex-animal)'!$K$62*'Calc (ex-housing, ex-storage)'!F301/100/VLOOKUP($C$301,'DB animal categories'!$C$107:$AC$116,27,FALSE)*AJ301+Q301+R301+S301,IF(AS301=5,('Calc (ex-animal)'!$K$62+'Calc (ex-animal)'!$L$62)*'Calc (ex-housing, ex-storage)'!F301/100/VLOOKUP($C$301,'DB animal categories'!$C$107:$AC$116,27,FALSE)*AJ301+Q301+R301+S301-'Calc (ex-housing, ex-storage)'!AC301,IF(AS301=3,('Calc (ex-animal)'!$K$62+'Calc (ex-animal)'!$L$62)*'Calc (ex-housing, ex-storage)'!F301/100/VLOOKUP($C$301,'DB animal categories'!$C$107:$AC$116,27,FALSE)*AJ301+Q301+R301+S301-'Calc (ex-housing, ex-storage)'!AC301-AD301-AE301,IF(AI301=4,('Calc (ex-animal)'!$K$62+'Calc (ex-animal)'!$L$62)*'Calc (ex-housing, ex-storage)'!F301/100*VLOOKUP(D301,'DB technologies'!$N$138:$Y$152,12,FALSE)/100/VLOOKUP($C$301,'DB animal categories'!$C$107:$AC$116,27,FALSE)*AJ301+Q301+R301+S301-(VLOOKUP(D301,'DB technologies'!$N$138:$Y$152,12,FALSE)/100*AC301)-AD301-AE301,0))))))</f>
        <v/>
      </c>
      <c r="AY301" s="180" t="str">
        <f>IF(D301="","",IF(AS301=2,0,IF(AS301=1,'Calc (ex-animal)'!$N$62*'Calc (ex-housing, ex-storage)'!F301/100/VLOOKUP($C$301,'DB animal categories'!$C$107:$AC$116,27,FALSE)*AJ301+U301+V301+W301,IF(AS301=5,('Calc (ex-animal)'!$N$62+'Calc (ex-animal)'!$O$62)*'Calc (ex-housing, ex-storage)'!F301/100/VLOOKUP($C$301,'DB animal categories'!$C$107:$AC$116,27,FALSE)*AJ301+U301+V301+W301,IF(AS301=3,('Calc (ex-animal)'!$N$62+'Calc (ex-animal)'!$O$62)*'Calc (ex-housing, ex-storage)'!F301/100/VLOOKUP($C$301,'DB animal categories'!$C$107:$AC$116,27,FALSE)*AJ301+U301+V301+W301,IF(AS301=4,('Calc (ex-animal)'!$N$62+'Calc (ex-animal)'!$O$62)*'Calc (ex-housing, ex-storage)'!F301/100*VLOOKUP(D301,'DB technologies'!$N$138:$Y$152,12,FALSE)/100/VLOOKUP($C$301,'DB animal categories'!$C$107:$AC$116,27,FALSE)*AJ301+U301+V301+W301,0))))))</f>
        <v/>
      </c>
      <c r="AZ301" s="180" t="str">
        <f>IF(D301="","",IF(AS301=2,0,IF(AS301=1,'Calc (ex-animal)'!$Q$62*'Calc (ex-housing, ex-storage)'!F301/100/VLOOKUP($C$301,'DB animal categories'!$C$107:$AC$116,27,FALSE)*AJ301+Y301+Z301+AA301,IF(AS301=5,('Calc (ex-animal)'!$Q$62+'Calc (ex-animal)'!$R$62)*'Calc (ex-housing, ex-storage)'!F301/100/VLOOKUP($C$301,'DB animal categories'!$C$107:$AC$116,27,FALSE)*AJ301+Y301+Z301+AA301,IF(AS301=3,('Calc (ex-animal)'!$Q$62+'Calc (ex-animal)'!$R$62)*'Calc (ex-housing, ex-storage)'!F301/100/VLOOKUP($C$301,'DB animal categories'!$C$107:$AC$116,27,FALSE)*AJ301+Y301+Z301+AA301,IF(AS301=4,('Calc (ex-animal)'!$Q$62+'Calc (ex-animal)'!$R$62)*'Calc (ex-housing, ex-storage)'!F301/100*VLOOKUP(D301,'DB technologies'!$N$138:$Y$152,12,FALSE)/100/VLOOKUP($C$301,'DB animal categories'!$C$107:$AC$116,27,FALSE)*AJ301+Y301+Z301+AA301,0))))))</f>
        <v/>
      </c>
      <c r="BA301" s="506"/>
      <c r="BB301" s="506"/>
      <c r="BC301" s="506"/>
    </row>
    <row r="302" spans="1:55" x14ac:dyDescent="0.2">
      <c r="A302" s="695"/>
      <c r="B302" s="695"/>
      <c r="C302" s="251"/>
      <c r="D302" s="1357"/>
      <c r="E302" s="1358"/>
      <c r="F302" s="480" t="str">
        <f>IF('Calc (ex-animal)'!$F$58=1,"",IF($C$301=0,"",IF(D302="","",E302/'Calc (ex-animal)'!$E$62*100)))</f>
        <v/>
      </c>
      <c r="G302" s="485" t="str">
        <f>IF($C$301=0,"",IF('Calc (ex-animal)'!$F$58=1,"",IF(D302="","",SUM(H302:O302))))</f>
        <v/>
      </c>
      <c r="H302" s="423" t="str">
        <f>IF('Calc (ex-animal)'!$F$58=1,"",IF(D302="","",(((VLOOKUP($C$301,'Calc (ex-animal)'!$D$58:$Y$62,6,FALSE)-VLOOKUP($C$301,'Calc (ex-animal)'!$D$58:$Y$62,17,FALSE))*F302/100))*VLOOKUP($C$301,'Calc (ex-animal)'!$D$58:$Y$62,7,FALSE)/100*(1-VLOOKUP(D302,'DB technologies'!$N$138:$Y$152,9,FALSE)/100)))</f>
        <v/>
      </c>
      <c r="I302" s="423" t="str">
        <f>IF(D302="","",((VLOOKUP(D302,'DB technologies'!$N$138:$Y$152,2,FALSE)*VLOOKUP($C$301,'DB animal categories'!$C$107:$AC$116,27,FALSE)*E302/1000)/VLOOKUP($C$301,'DB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'!$S$6/100*(1-VLOOKUP(D302,'DB technologies'!$N$138:$Y$152,9,FALSE)/100)))</f>
        <v/>
      </c>
      <c r="J302" s="434" t="str">
        <f>IF(D302="","",((VLOOKUP(D302,'DB technologies'!$N$138:$Y$152,3,FALSE)*VLOOKUP($C$301,'DB animal categories'!$C$107:$AC$116,27,FALSE)*E302/1000)/VLOOKUP($C$301,'DB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'!$S$7/100*(1-VLOOKUP(D302,'DB technologies'!$N$138:$Y$152,9,FALSE)/100)))</f>
        <v/>
      </c>
      <c r="K302" s="434" t="str">
        <f>IF(D302="","",((VLOOKUP(D302,'DB technologies'!$N$138:$Y$152,4,FALSE)*E302*'DB additional information '!$S$8/100*(1-VLOOKUP(D302,'DB technologies'!$N$138:$Y$152,9,FALSE)/100))/VLOOKUP($C$301,'DB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L302" s="423" t="str">
        <f>IF('Calc (ex-animal)'!$F$58=1,"",IF(D302="","",(((VLOOKUP($C$301,'Calc (ex-animal)'!$D$58:$Y$62,6,FALSE)-VLOOKUP($C$301,'Calc (ex-animal)'!$D$58:$Y$62,17,FALSE))*F302/100))*(1-VLOOKUP($C$301,'Calc (ex-animal)'!$D$58:$Y$62,7,FALSE)/100)*(1-VLOOKUP(D302,'DB technologies'!$N$138:$V$152,8,FALSE)/100)))</f>
        <v/>
      </c>
      <c r="M302" s="434" t="str">
        <f>IF(D302="","",((VLOOKUP(D302,'DB technologies'!$N$138:$Y$152,2,FALSE)*VLOOKUP($C$301,'DB animal categories'!$C$107:$AC$116,27,FALSE)*E302/1000)/VLOOKUP($C$301,'DB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'!$S$6/100)*(1-VLOOKUP(D302,'DB technologies'!$N$138:$Y$152,9,FALSE)/100))</f>
        <v/>
      </c>
      <c r="N302" s="434" t="str">
        <f>IF(D302="","",((VLOOKUP(D302,'DB technologies'!$N$138:$Y$152,3,FALSE)*VLOOKUP($C$301,'DB animal categories'!$C$107:$AC$116,27,FALSE)*E302/1000)/VLOOKUP($C$301,'DB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'!$S$7/100)*(1-VLOOKUP(D302,'DB technologies'!$N$138:$Y$152,9,FALSE)/100))</f>
        <v/>
      </c>
      <c r="O302" s="423" t="str">
        <f>IF(D302="","",((VLOOKUP(D302,'DB technologies'!$N$138:$Y$152,4,FALSE)*E302*(1-'DB additional information '!$S$8/100)*(1-VLOOKUP(D302,'DB technologies'!$N$138:$Y$152,8,FALSE)/100))/VLOOKUP($C$301,'DB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P302" s="438" t="str">
        <f>IF(G302=0,0,IF(E302="","",IF(F302="","",IF($C$301=0,"",IF(D302="","",SUM(H302:K302)/G302*100)))))</f>
        <v/>
      </c>
      <c r="Q302" s="416" t="str">
        <f>IF(D302="","",(VLOOKUP(D302,'DB technologies'!$N$138:$Y$152,2,FALSE)*'DB additional information '!$S$6/100*'DB additional information '!$T$6*VLOOKUP($C$301,'DB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R302" s="416" t="str">
        <f>IF(D302="","",(VLOOKUP(D302,'DB technologies'!$N$138:$Y$152,3,FALSE)*'DB additional information '!$S$7/100*'DB additional information '!$T$7*VLOOKUP($C$301,'DB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S302" s="491" t="str">
        <f>IF(D302="","",(VLOOKUP(D302,'DB technologies'!$N$138:$Y$152,4,FALSE)*('DB additional information '!$S$8/100*'DB additional information '!$T$8*E302/1000/1000)))</f>
        <v/>
      </c>
      <c r="T302" s="264" t="str">
        <f>IF($C$301=0,"",IF('Calc (ex-animal)'!$F$58=1,"",IF(D302="","",((VLOOKUP($C$301,'Calc (ex-animal)'!$D$58:$Y$62,10,FALSE)-VLOOKUP($C$301,'Calc (ex-animal)'!$D$58:$Y$62,18,FALSE))*F302/100+Q302+R302+S302)-AC302-AD302-AE302)))</f>
        <v/>
      </c>
      <c r="U302" s="422" t="str">
        <f>IF(D302="","",(VLOOKUP(D302,'DB technologies'!$N$138:$Y$152,2,FALSE)*'DB additional information '!$S$6/100*'DB additional information '!$U$6*VLOOKUP($C$301,'DB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V302" s="418" t="str">
        <f>IF(D302="","",(VLOOKUP(D302,'DB technologies'!$N$138:$Y$152,3,FALSE)*'DB additional information '!$S$7/100*'DB additional information '!$U$7*VLOOKUP($C$301,'DB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W302" s="417" t="str">
        <f>IF(D302="","",(VLOOKUP(D302,'DB technologies'!$N$138:$Y$152,4,FALSE)*('DB additional information '!$S$8/100*'DB additional information '!$U$8*E302/1000/1000)))</f>
        <v/>
      </c>
      <c r="X302" s="261" t="str">
        <f>IF($C$301=0,"",IF('Calc (ex-animal)'!$F$58=1,"",IF(D302="","",((VLOOKUP($C$301,'Calc (ex-animal)'!$D$58:$Y$62,13,FALSE)-VLOOKUP($C$301,'Calc (ex-animal)'!$D$58:$Y$62,19,FALSE))*F302/100+U302+V302+W302))))</f>
        <v/>
      </c>
      <c r="Y302" s="418" t="str">
        <f>IF(D302="","",(VLOOKUP(D302,'DB technologies'!$N$138:$Y$152,2,FALSE)*'DB additional information '!$S$6/100*'DB additional information '!$V$6*VLOOKUP($C$301,'DB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Z302" s="418" t="str">
        <f>IF(D302="","",(VLOOKUP(D302,'DB technologies'!$N$138:$Y$152,3,FALSE)*'DB additional information '!$S$7/100*'DB additional information '!$V$7*VLOOKUP($C$301,'DB animal categories'!$C$107:$AC$116,27,FALSE)*E302/1000/1000)/VLOOKUP($C$301,'DB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AA302" s="418" t="str">
        <f>IF(D302="","",(VLOOKUP(D302,'DB technologies'!$N$138:$Y$152,4,FALSE)*('DB additional information '!$S$8/100*'DB additional information '!$V$8*E302/1000/1000)))</f>
        <v/>
      </c>
      <c r="AB302" s="261" t="str">
        <f>IF($C$301=0,"",IF('Calc (ex-animal)'!$F$58=1,"",IF(D302="","",((VLOOKUP($C$301,'Calc (ex-animal)'!$D$58:$Y$62,16,FALSE)-VLOOKUP($C$301,'Calc (ex-animal)'!$D$58:$Y$62,20,FALSE))*F302/100+Y302+Z302+AA302))))</f>
        <v/>
      </c>
      <c r="AC302" s="261" t="str">
        <f>IF($C$301=0,"",IF('Calc (ex-animal)'!$F$58=1,"",IF(D302="","",VLOOKUP($C$301,'Calc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categories'!$C$107:$AC$116,26,FALSE)/24)*F302/100*VLOOKUP(D302,'DB technologies'!$N$138:$R$152,5,FALSE)/100)))</f>
        <v/>
      </c>
      <c r="AD302" s="261" t="str">
        <f>IF($C$301=0,"",IF('Calc (ex-animal)'!$F$58=1,"",IF(D302="","",VLOOKUP($C$301,'Calc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categories'!$C$107:$AC$116,26,FALSE)/24)*F302/100*VLOOKUP(D302,'DB technologies'!$N$138:$Y$152,6,FALSE)/100)))</f>
        <v/>
      </c>
      <c r="AE302" s="262" t="str">
        <f>IF($C$301=0,"",IF('Calc (ex-animal)'!$F$58=1,"",IF(D302="","",VLOOKUP($C$301,'Calc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categories'!$C$107:$AC$116,26,FALSE)/24)*F302/100*VLOOKUP(D302,'DB technologies'!$N$138:$Y$152,7,FALSE)/100)))</f>
        <v/>
      </c>
      <c r="AI302" s="181" t="str">
        <f>IF(D302="","",VLOOKUP(D302,'DB technologies'!$N$138:$Y$152,10,FALSE))</f>
        <v/>
      </c>
      <c r="AJ302" s="449" t="e">
        <f>VLOOKUP($C$301,'DB animal categories'!$C$107:$AN$116,27,FALSE)-VLOOKUP($C$301,'DB animal categories'!$C$107:$AN$116,26,FALSE)*VLOOKUP($C$301,'DB animal categories'!$C$107:$AN$116,25,FALSE)/24</f>
        <v>#N/A</v>
      </c>
      <c r="AK302" s="442" t="str">
        <f>IF(AI302="","",AL302+AM302)</f>
        <v/>
      </c>
      <c r="AL302" s="442" t="str">
        <f>IF(D302="","",IF(AI302=2,(('Calc (ex-animal)'!$G$62*'DB additional information '!$K$15/100*(1-VLOOKUP(D302,'DB technologies'!$N$138:$Y$152,9,FALSE)/100)*'Calc (ex-housing, ex-storage)'!F302/100+'Calc (ex-animal)'!$H$62*'DB additional information '!$L$15/100*(1-VLOOKUP(D302,'DB technologies'!$N$138:$Y$152,9,FALSE)/100)*'Calc (ex-housing, ex-storage)'!F302/100))/VLOOKUP($C$301,'DB animal categories'!$C$107:$AC$116,27,FALSE)*AJ302+I302+J302+K302,IF(AI302=1,('Calc (ex-animal)'!$H$62*'DB additional information '!$L$15/100*(1-VLOOKUP(D302,'DB technologies'!$N$138:$Y$152,9,FALSE)/100)*'Calc (ex-housing, ex-storage)'!F302/100)/VLOOKUP($C$301,'DB animal categories'!$C$107:$AC$116,27,FALSE)*AJ302,IF(AI302=4,('Calc (ex-animal)'!$G$62*'DB additional information '!$K$15/100+'Calc (ex-animal)'!$H$62*'DB additional information '!$L$15/100)*(1-VLOOKUP(D302,'DB technologies'!$N$138:$Y$152,9,FALSE)/100)*'Calc (ex-housing, ex-storage)'!F302/100*VLOOKUP(D302,'DB technologies'!$N$138:$Y$152,11,FALSE)/100/VLOOKUP($C$301,'DB animal categories'!$C$107:$AC$116,27,FALSE)*AJ302,0))))</f>
        <v/>
      </c>
      <c r="AM302" s="442" t="str">
        <f>IF(D302="","",IF(AI302=2,(('Calc (ex-animal)'!$G$62*(1-'DB additional information '!$K$15/100)*(1-VLOOKUP(D302,'DB technologies'!$N$138:$Y$152,8,FALSE)/100)*'Calc (ex-housing, ex-storage)'!F302/100+'Calc (ex-animal)'!$H$62*(1-'DB additional information '!$L$15/100)*(1-VLOOKUP(D302,'DB technologies'!$N$138:$Y$152,8,FALSE)/100)*'Calc (ex-housing, ex-storage)'!F302/100))/VLOOKUP($C$301,'DB animal categories'!$C$107:$AC$116,27,FALSE)*AJ302+M302+N302+O302,IF(AI302=1,('Calc (ex-animal)'!$H$62*(1-'DB additional information '!$L$15/100)*(1-VLOOKUP(D302,'DB technologies'!$N$138:$Y$152,8,FALSE)/100)*'Calc (ex-housing, ex-storage)'!F302/100)/VLOOKUP($C$301,'DB animal categories'!$C$107:$AC$116,27,FALSE)*AJ302,IF(AI302=4,('Calc (ex-animal)'!$G$62*(1-'DB additional information '!$K$15/100)+'Calc (ex-animal)'!$H$62*(1-'DB additional information '!$L$15/100))*(1-VLOOKUP(D302,'DB technologies'!$N$138:$Y$152,8,FALSE)/100)*'Calc (ex-housing, ex-storage)'!F302/100*VLOOKUP(D302,'DB technologies'!$N$138:$Y$152,11,FALSE)/100/VLOOKUP($C$301,'DB animal categories'!$C$107:$AC$116,27,FALSE)*AJ302,0))))</f>
        <v/>
      </c>
      <c r="AN302" s="442" t="str">
        <f>IF(AI302="","",IF(AL302=0,0,AL302/AK302*100))</f>
        <v/>
      </c>
      <c r="AO302" s="182" t="str">
        <f>IF(D302="","",IF(AI302=2,(('Calc (ex-animal)'!$L$62*'Calc (ex-housing, ex-storage)'!F302/100+'Calc (ex-animal)'!$K$62*'Calc (ex-housing, ex-storage)'!F302/100))/VLOOKUP($C$301,'DB animal categories'!$C$107:$AC$116,27,FALSE)*AJ302+Q302+R302+S302-AC302,IF(AI302=1,('Calc (ex-animal)'!$L$62*'Calc (ex-housing, ex-storage)'!F302/100)/VLOOKUP($C$301,'DB animal categories'!$C$107:$AC$116,27,FALSE)*AJ302-'Calc (ex-housing, ex-storage)'!AC302,IF(AI302=4,('Calc (ex-animal)'!$L$62+'Calc (ex-animal)'!$K$62)*'Calc (ex-housing, ex-storage)'!F302/100*VLOOKUP(D302,'DB technologies'!$N$138:$Y$152,11,FALSE)/100/VLOOKUP($C$301,'DB animal categories'!$C$107:$AC$116,27,FALSE)*AJ302-AC302*VLOOKUP(D302,'DB technologies'!$N$138:$Y$152,11,FALSE)/100,0))))</f>
        <v/>
      </c>
      <c r="AP302" s="182" t="str">
        <f>IF(D302="","",IF(AO302&lt;-0.01,0,IF(AI302=2,(('Calc (ex-animal)'!$L$62*'Calc (ex-housing, ex-storage)'!F302/100+'Calc (ex-animal)'!$K$62*'Calc (ex-housing, ex-storage)'!F302/100))/VLOOKUP($C$301,'DB animal categories'!$C$107:$AC$116,27,FALSE)*AJ302+Q302+R302+S302-AC302,IF(AI302=1,('Calc (ex-animal)'!$L$62*'Calc (ex-housing, ex-storage)'!F302/100)/VLOOKUP($C$301,'DB animal categories'!$C$107:$AC$116,27,FALSE)*AJ302-'Calc (ex-housing, ex-storage)'!AC302,IF(AI302=4,('Calc (ex-animal)'!$L$62+'Calc (ex-animal)'!$K$62)*'Calc (ex-housing, ex-storage)'!F302/100*VLOOKUP(D302,'DB technologies'!$N$138:$Y$152,11,FALSE)/100/VLOOKUP($C$301,'DB animal categories'!$C$107:$AC$116,27,FALSE)*AJ302-AC302*VLOOKUP(D302,'DB technologies'!$N$138:$Y$152,11,FALSE)/100,0)))))</f>
        <v/>
      </c>
      <c r="AQ302" s="182" t="str">
        <f>IF(D302="","",IF(AI302=2,('Calc (ex-animal)'!$O$62*'Calc (ex-housing, ex-storage)'!F302/100+'Calc (ex-animal)'!$N$62*'Calc (ex-housing, ex-storage)'!F302/100)/VLOOKUP($C$301,'DB animal categories'!$C$107:$AC$116,27,FALSE)*AJ302+U302+V302+W302,IF(AI302=1,'Calc (ex-animal)'!$O$62*'Calc (ex-housing, ex-storage)'!F302/100/VLOOKUP($C$301,'DB animal categories'!$C$107:$AC$116,27,FALSE)*AJ302,IF(AI302=4,('Calc (ex-animal)'!$O$62+'Calc (ex-animal)'!$N$62)*'Calc (ex-housing, ex-storage)'!F302/100*VLOOKUP(D302,'DB technologies'!$N$138:$Y$152,11,FALSE)/100/VLOOKUP($C$301,'DB animal categories'!$C$107:$AC$116,27,FALSE)*AJ302,0))))</f>
        <v/>
      </c>
      <c r="AR302" s="182" t="str">
        <f>IF(D302="","",IF(AI302=2,('Calc (ex-animal)'!$R$62*'Calc (ex-housing, ex-storage)'!F302/100+'Calc (ex-animal)'!$Q$62*'Calc (ex-housing, ex-storage)'!F302/100)/VLOOKUP($C$301,'DB animal categories'!$C$107:$AC$116,27,FALSE)*AJ302+Y302+Z302+AA302,IF(AI302=1,'Calc (ex-animal)'!$R$62*'Calc (ex-housing, ex-storage)'!F302/100/VLOOKUP($C$301,'DB animal categories'!$C$107:$AC$116,27,FALSE)*AJ302,IF(AI302=4,('Calc (ex-animal)'!$R$62+'Calc (ex-animal)'!$Q$62)*'Calc (ex-housing, ex-storage)'!F302/100*VLOOKUP(D302,'DB technologies'!$N$138:$Y$152,11,FALSE)/100/VLOOKUP($C$301,'DB animal categories'!$C$107:$AC$116,27,FALSE)*AJ302,0))))</f>
        <v/>
      </c>
      <c r="AS302" s="181" t="str">
        <f>IF(D302="","",VLOOKUP(D302,'DB technologies'!$N$138:$Y$152,10,FALSE))</f>
        <v/>
      </c>
      <c r="AT302" s="442" t="str">
        <f>IF(AS302="","",AU302+AV302)</f>
        <v/>
      </c>
      <c r="AU302" s="442" t="str">
        <f>IF(D302="","",IF(AS302=2,0,IF(AS302=1,'Calc (ex-animal)'!$G$62*'DB additional information '!$K$15/100*(1-VLOOKUP(D302,'DB technologies'!$N$138:$Y$152,8,FALSE)/100)*'Calc (ex-housing, ex-storage)'!F302/100/VLOOKUP($C$301,'DB animal categories'!$C$107:$AC$116,27,FALSE)*AJ302+I302+J302+K302,IF(AS302=5,(('Calc (ex-animal)'!$G$62*'DB additional information '!$K$15/100+'Calc (ex-animal)'!$H$62*'DB additional information '!$L$15/100))*(1-VLOOKUP(D302,'DB technologies'!$N$138:$Y$152,9,FALSE)/100)*'Calc (ex-housing, ex-storage)'!F302/100/VLOOKUP($C$301,'DB animal categories'!$C$107:$AC$116,27,FALSE)*AJ302+I302+J302+K302,IF(AS302=3,('Calc (ex-animal)'!$G$62*'DB additional information '!$K$15/100+'Calc (ex-animal)'!$H$62*'DB additional information '!$L$15/100)*(1-VLOOKUP(D302,'DB technologies'!$N$138:$Y$152,9,FALSE)/100)*'Calc (ex-housing, ex-storage)'!F302/100/VLOOKUP($C$301,'DB animal categories'!$C$107:$AC$116,27,FALSE)*AJ302+I302+J302+K302,IF(AS302=4,('Calc (ex-animal)'!$G$62*'DB additional information '!$K$15/100+'Calc (ex-animal)'!$H$62*'DB additional information '!$L$15/100)*(1-VLOOKUP(D302,'DB technologies'!$N$138:$Y$152,9,FALSE)/100)*'Calc (ex-housing, ex-storage)'!F302/100*VLOOKUP(D302,'DB technologies'!$N$138:$Y$152,12,FALSE)/100/VLOOKUP($C$301,'DB animal categories'!$C$107:$AC$116,27,FALSE)*AJ302+I302+J302+K302,0))))))</f>
        <v/>
      </c>
      <c r="AV302" s="442" t="str">
        <f>IF(D302="","",IF(AS302=2,0,IF(AS302=1,'Calc (ex-animal)'!$G$62*(1-'DB additional information '!$K$15/100)*(1-VLOOKUP(D302,'DB technologies'!$N$138:$Y$152,8,FALSE)/100)*'Calc (ex-housing, ex-storage)'!F302/100/VLOOKUP($C$301,'DB animal categories'!$C$107:$AC$116,27,FALSE)*AJ302+M302+N302+O302,IF(AS302=5,('Calc (ex-animal)'!$G$62*(1-'DB additional information '!$K$15/100)+'Calc (ex-animal)'!$H$62*(1-'DB additional information '!$L$15/100))*(1-VLOOKUP(D302,'DB technologies'!$N$138:$Y$152,8,FALSE)/100)*'Calc (ex-housing, ex-storage)'!F302/100/VLOOKUP($C$301,'DB animal categories'!$C$107:$AC$116,27,FALSE)*AJ302+M302+N302+O302,IF(AS302=3,('Calc (ex-animal)'!$G$62*(1-'DB additional information '!$K$15/100)+'Calc (ex-animal)'!$H$62*(1-'DB additional information '!$L$15/100))*(1-VLOOKUP(D302,'DB technologies'!$N$138:$Y$152,8,FALSE)/100)*'Calc (ex-housing, ex-storage)'!F302/100/VLOOKUP($C$301,'DB animal categories'!$C$107:$AC$116,27,FALSE)*AJ302+M302+N302+O302,IF(AS302=4,('Calc (ex-animal)'!$G$62*(1-'DB additional information '!$K$15/100)+'Calc (ex-animal)'!$H$62*(1-'DB additional information '!$L$15/100))*(1-VLOOKUP(D302,'DB technologies'!$N$138:$Y$152,8,FALSE)/100)*'Calc (ex-housing, ex-storage)'!F302/100*VLOOKUP(D302,'DB technologies'!$N$138:$Y$152,12,FALSE)/100/VLOOKUP($C$301,'DB animal categories'!$C$107:$AC$116,27,FALSE)*AJ302+M302+N302+O302,0))))))</f>
        <v/>
      </c>
      <c r="AW302" s="442" t="str">
        <f>IF(AS302="","",IF(AU302=0,0,AU302/AT302*100))</f>
        <v/>
      </c>
      <c r="AX302" s="182" t="str">
        <f>IF(D302="","",IF(AS302=2,0,IF(AS302=1,'Calc (ex-animal)'!$K$62*'Calc (ex-housing, ex-storage)'!F302/100/VLOOKUP($C$301,'DB animal categories'!$C$107:$AC$116,27,FALSE)*AJ302+Q302+R302+S302,IF(AS302=5,('Calc (ex-animal)'!$K$62+'Calc (ex-animal)'!$L$62)*'Calc (ex-housing, ex-storage)'!F302/100/VLOOKUP($C$301,'DB animal categories'!$C$107:$AC$116,27,FALSE)*AJ302+Q302+R302+S302-'Calc (ex-housing, ex-storage)'!AC302,IF(AS302=3,('Calc (ex-animal)'!$K$62+'Calc (ex-animal)'!$L$62)*'Calc (ex-housing, ex-storage)'!F302/100/VLOOKUP($C$301,'DB animal categories'!$C$107:$AC$116,27,FALSE)*AJ302+Q302+R302+S302-'Calc (ex-housing, ex-storage)'!AC302-AD302-AE302,IF(AI302=4,('Calc (ex-animal)'!$K$62+'Calc (ex-animal)'!$L$62)*'Calc (ex-housing, ex-storage)'!F302/100*VLOOKUP(D302,'DB technologies'!$N$138:$Y$152,12,FALSE)/100/VLOOKUP($C$301,'DB animal categories'!$C$107:$AC$116,27,FALSE)*AJ302+Q302+R302+S302-(VLOOKUP(D302,'DB technologies'!$N$138:$Y$152,12,FALSE)/100*AC302)-AD302-AE302,0))))))</f>
        <v/>
      </c>
      <c r="AY302" s="182" t="str">
        <f>IF(D302="","",IF(AS302=2,0,IF(AS302=1,'Calc (ex-animal)'!$N$62*'Calc (ex-housing, ex-storage)'!F302/100/VLOOKUP($C$301,'DB animal categories'!$C$107:$AC$116,27,FALSE)*AJ302+U302+V302+W302,IF(AS302=5,('Calc (ex-animal)'!$N$62+'Calc (ex-animal)'!$O$62)*'Calc (ex-housing, ex-storage)'!F302/100/VLOOKUP($C$301,'DB animal categories'!$C$107:$AC$116,27,FALSE)*AJ302+U302+V302+W302,IF(AS302=3,('Calc (ex-animal)'!$N$62+'Calc (ex-animal)'!$O$62)*'Calc (ex-housing, ex-storage)'!F302/100/VLOOKUP($C$301,'DB animal categories'!$C$107:$AC$116,27,FALSE)*AJ302+U302+V302+W302,IF(AS302=4,('Calc (ex-animal)'!$N$62+'Calc (ex-animal)'!$O$62)*'Calc (ex-housing, ex-storage)'!F302/100*VLOOKUP(D302,'DB technologies'!$N$138:$Y$152,12,FALSE)/100/VLOOKUP($C$301,'DB animal categories'!$C$107:$AC$116,27,FALSE)*AJ302+U302+V302+W302,0))))))</f>
        <v/>
      </c>
      <c r="AZ302" s="182" t="str">
        <f>IF(D302="","",IF(AS302=2,0,IF(AS302=1,'Calc (ex-animal)'!$Q$62*'Calc (ex-housing, ex-storage)'!F302/100/VLOOKUP($C$301,'DB animal categories'!$C$107:$AC$116,27,FALSE)*AJ302+Y302+Z302+AA302,IF(AS302=5,('Calc (ex-animal)'!$Q$62+'Calc (ex-animal)'!$R$62)*'Calc (ex-housing, ex-storage)'!F302/100/VLOOKUP($C$301,'DB animal categories'!$C$107:$AC$116,27,FALSE)*AJ302+Y302+Z302+AA302,IF(AS302=3,('Calc (ex-animal)'!$Q$62+'Calc (ex-animal)'!$R$62)*'Calc (ex-housing, ex-storage)'!F302/100/VLOOKUP($C$301,'DB animal categories'!$C$107:$AC$116,27,FALSE)*AJ302+Y302+Z302+AA302,IF(AS302=4,('Calc (ex-animal)'!$Q$62+'Calc (ex-animal)'!$R$62)*'Calc (ex-housing, ex-storage)'!F302/100*VLOOKUP(D302,'DB technologies'!$N$138:$Y$152,12,FALSE)/100/VLOOKUP($C$301,'DB animal categories'!$C$107:$AC$116,27,FALSE)*AJ302+Y302+Z302+AA302,0))))))</f>
        <v/>
      </c>
      <c r="BA302" s="506"/>
      <c r="BB302" s="506"/>
      <c r="BC302" s="506"/>
    </row>
    <row r="303" spans="1:55" x14ac:dyDescent="0.2">
      <c r="A303" s="695"/>
      <c r="B303" s="695"/>
      <c r="C303" s="251"/>
      <c r="D303" s="1357"/>
      <c r="E303" s="1358"/>
      <c r="F303" s="480" t="str">
        <f>IF('Calc (ex-animal)'!$F$58=1,"",IF($C$301=0,"",IF(D303="","",E303/'Calc (ex-animal)'!$E$62*100)))</f>
        <v/>
      </c>
      <c r="G303" s="485" t="str">
        <f>IF($C$301=0,"",IF('Calc (ex-animal)'!$F$58=1,"",IF(D303="","",SUM(H303:O303))))</f>
        <v/>
      </c>
      <c r="H303" s="423" t="str">
        <f>IF('Calc (ex-animal)'!$F$58=1,"",IF(D303="","",(((VLOOKUP($C$301,'Calc (ex-animal)'!$D$58:$Y$62,6,FALSE)-VLOOKUP($C$301,'Calc (ex-animal)'!$D$58:$Y$62,17,FALSE))*F303/100))*VLOOKUP($C$301,'Calc (ex-animal)'!$D$58:$Y$62,7,FALSE)/100*(1-VLOOKUP(D303,'DB technologies'!$N$138:$Y$152,9,FALSE)/100)))</f>
        <v/>
      </c>
      <c r="I303" s="423" t="str">
        <f>IF(D303="","",((VLOOKUP(D303,'DB technologies'!$N$138:$Y$152,2,FALSE)*VLOOKUP($C$301,'DB animal categories'!$C$107:$AC$116,27,FALSE)*E303/1000)/VLOOKUP($C$301,'DB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'!$S$6/100*(1-VLOOKUP(D303,'DB technologies'!$N$138:$Y$152,9,FALSE)/100)))</f>
        <v/>
      </c>
      <c r="J303" s="434" t="str">
        <f>IF(D303="","",((VLOOKUP(D303,'DB technologies'!$N$138:$Y$152,3,FALSE)*VLOOKUP($C$301,'DB animal categories'!$C$107:$AC$116,27,FALSE)*E303/1000)/VLOOKUP($C$301,'DB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'!$S$7/100*(1-VLOOKUP(D303,'DB technologies'!$N$138:$Y$152,9,FALSE)/100)))</f>
        <v/>
      </c>
      <c r="K303" s="434" t="str">
        <f>IF(D303="","",((VLOOKUP(D303,'DB technologies'!$N$138:$Y$152,4,FALSE)*E303*'DB additional information '!$S$8/100*(1-VLOOKUP(D303,'DB technologies'!$N$138:$Y$152,9,FALSE)/100))/VLOOKUP($C$301,'DB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L303" s="423" t="str">
        <f>IF('Calc (ex-animal)'!$F$58=1,"",IF(D303="","",(((VLOOKUP($C$301,'Calc (ex-animal)'!$D$58:$Y$62,6,FALSE)-VLOOKUP($C$301,'Calc (ex-animal)'!$D$58:$Y$62,17,FALSE))*F303/100))*(1-VLOOKUP($C$301,'Calc (ex-animal)'!$D$58:$Y$62,7,FALSE)/100)*(1-VLOOKUP(D303,'DB technologies'!$N$138:$V$152,8,FALSE)/100)))</f>
        <v/>
      </c>
      <c r="M303" s="434" t="str">
        <f>IF(D303="","",((VLOOKUP(D303,'DB technologies'!$N$138:$Y$152,2,FALSE)*VLOOKUP($C$301,'DB animal categories'!$C$107:$AC$116,27,FALSE)*E303/1000)/VLOOKUP($C$301,'DB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'!$S$6/100)*(1-VLOOKUP(D303,'DB technologies'!$N$138:$Y$152,9,FALSE)/100))</f>
        <v/>
      </c>
      <c r="N303" s="434" t="str">
        <f>IF(D303="","",((VLOOKUP(D303,'DB technologies'!$N$138:$Y$152,3,FALSE)*VLOOKUP($C$301,'DB animal categories'!$C$107:$AC$116,27,FALSE)*E303/1000)/VLOOKUP($C$301,'DB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'!$S$7/100)*(1-VLOOKUP(D303,'DB technologies'!$N$138:$Y$152,9,FALSE)/100))</f>
        <v/>
      </c>
      <c r="O303" s="423" t="str">
        <f>IF(D303="","",((VLOOKUP(D303,'DB technologies'!$N$138:$Y$152,4,FALSE)*E303*(1-'DB additional information '!$S$8/100)*(1-VLOOKUP(D303,'DB technologies'!$N$138:$Y$152,8,FALSE)/100))/VLOOKUP($C$301,'DB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P303" s="438" t="str">
        <f>IF(G303=0,0,IF(E303="","",IF(F303="","",IF($C$301=0,"",IF(D303="","",SUM(H303:K303)/G303*100)))))</f>
        <v/>
      </c>
      <c r="Q303" s="416" t="str">
        <f>IF(D303="","",(VLOOKUP(D303,'DB technologies'!$N$138:$Y$152,2,FALSE)*'DB additional information '!$S$6/100*'DB additional information '!$T$6*VLOOKUP($C$301,'DB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R303" s="416" t="str">
        <f>IF(D303="","",(VLOOKUP(D303,'DB technologies'!$N$138:$Y$152,3,FALSE)*'DB additional information '!$S$7/100*'DB additional information '!$T$7*VLOOKUP($C$301,'DB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S303" s="491" t="str">
        <f>IF(D303="","",(VLOOKUP(D303,'DB technologies'!$N$138:$Y$152,4,FALSE)*('DB additional information '!$S$8/100*'DB additional information '!$T$8*E303/1000/1000)))</f>
        <v/>
      </c>
      <c r="T303" s="264" t="str">
        <f>IF($C$301=0,"",IF('Calc (ex-animal)'!$F$58=1,"",IF(D303="","",((VLOOKUP($C$301,'Calc (ex-animal)'!$D$58:$Y$62,10,FALSE)-VLOOKUP($C$301,'Calc (ex-animal)'!$D$58:$Y$62,18,FALSE))*F303/100+Q303+R303+S303)-AC303-AD303-AE303)))</f>
        <v/>
      </c>
      <c r="U303" s="422" t="str">
        <f>IF(D303="","",(VLOOKUP(D303,'DB technologies'!$N$138:$Y$152,2,FALSE)*'DB additional information '!$S$6/100*'DB additional information '!$U$6*VLOOKUP($C$301,'DB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V303" s="418" t="str">
        <f>IF(D303="","",(VLOOKUP(D303,'DB technologies'!$N$138:$Y$152,3,FALSE)*'DB additional information '!$S$7/100*'DB additional information '!$U$7*VLOOKUP($C$301,'DB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W303" s="417" t="str">
        <f>IF(D303="","",(VLOOKUP(D303,'DB technologies'!$N$138:$Y$152,4,FALSE)*('DB additional information '!$S$8/100*'DB additional information '!$U$8*E303/1000/1000)))</f>
        <v/>
      </c>
      <c r="X303" s="261" t="str">
        <f>IF($C$301=0,"",IF('Calc (ex-animal)'!$F$58=1,"",IF(D303="","",((VLOOKUP($C$301,'Calc (ex-animal)'!$D$58:$Y$62,13,FALSE)-VLOOKUP($C$301,'Calc (ex-animal)'!$D$58:$Y$62,19,FALSE))*F303/100+U303+V303+W303))))</f>
        <v/>
      </c>
      <c r="Y303" s="418" t="str">
        <f>IF(D303="","",(VLOOKUP(D303,'DB technologies'!$N$138:$Y$152,2,FALSE)*'DB additional information '!$S$6/100*'DB additional information '!$V$6*VLOOKUP($C$301,'DB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Z303" s="418" t="str">
        <f>IF(D303="","",(VLOOKUP(D303,'DB technologies'!$N$138:$Y$152,3,FALSE)*'DB additional information '!$S$7/100*'DB additional information '!$V$7*VLOOKUP($C$301,'DB animal categories'!$C$107:$AC$116,27,FALSE)*E303/1000/1000)/VLOOKUP($C$301,'DB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AA303" s="418" t="str">
        <f>IF(D303="","",(VLOOKUP(D303,'DB technologies'!$N$138:$Y$152,4,FALSE)*('DB additional information '!$S$8/100*'DB additional information '!$V$8*E303/1000/1000)))</f>
        <v/>
      </c>
      <c r="AB303" s="261" t="str">
        <f>IF($C$301=0,"",IF('Calc (ex-animal)'!$F$58=1,"",IF(D303="","",((VLOOKUP($C$301,'Calc (ex-animal)'!$D$58:$Y$62,16,FALSE)-VLOOKUP($C$301,'Calc (ex-animal)'!$D$58:$Y$62,20,FALSE))*F303/100+Y303+Z303+AA303))))</f>
        <v/>
      </c>
      <c r="AC303" s="261" t="str">
        <f>IF($C$301=0,"",IF('Calc (ex-animal)'!$F$58=1,"",IF(D303="","",VLOOKUP($C$301,'Calc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categories'!$C$107:$AC$116,26,FALSE)/24)*F303/100*VLOOKUP(D303,'DB technologies'!$N$138:$R$152,5,FALSE)/100)))</f>
        <v/>
      </c>
      <c r="AD303" s="261" t="str">
        <f>IF($C$301=0,"",IF('Calc (ex-animal)'!$F$58=1,"",IF(D303="","",VLOOKUP($C$301,'Calc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categories'!$C$107:$AC$116,26,FALSE)/24)*F303/100*VLOOKUP(D303,'DB technologies'!$N$138:$Y$152,6,FALSE)/100)))</f>
        <v/>
      </c>
      <c r="AE303" s="262" t="str">
        <f>IF($C$301=0,"",IF('Calc (ex-animal)'!$F$58=1,"",IF(D303="","",VLOOKUP($C$301,'Calc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categories'!$C$107:$AC$116,26,FALSE)/24)*F303/100*VLOOKUP(D303,'DB technologies'!$N$138:$Y$152,7,FALSE)/100)))</f>
        <v/>
      </c>
      <c r="AI303" s="181" t="str">
        <f>IF(D303="","",VLOOKUP(D303,'DB technologies'!$N$138:$Y$152,10,FALSE))</f>
        <v/>
      </c>
      <c r="AJ303" s="449" t="e">
        <f>VLOOKUP($C$301,'DB animal categories'!$C$107:$AN$116,27,FALSE)-VLOOKUP($C$301,'DB animal categories'!$C$107:$AN$116,26,FALSE)*VLOOKUP($C$301,'DB animal categories'!$C$107:$AN$116,25,FALSE)/24</f>
        <v>#N/A</v>
      </c>
      <c r="AK303" s="442" t="str">
        <f>IF(AI303="","",AL303+AM303)</f>
        <v/>
      </c>
      <c r="AL303" s="442" t="str">
        <f>IF(D303="","",IF(AI303=2,(('Calc (ex-animal)'!$G$62*'DB additional information '!$K$15/100*(1-VLOOKUP(D303,'DB technologies'!$N$138:$Y$152,9,FALSE)/100)*'Calc (ex-housing, ex-storage)'!F303/100+'Calc (ex-animal)'!$H$62*'DB additional information '!$L$15/100*(1-VLOOKUP(D303,'DB technologies'!$N$138:$Y$152,9,FALSE)/100)*'Calc (ex-housing, ex-storage)'!F303/100))/VLOOKUP($C$301,'DB animal categories'!$C$107:$AC$116,27,FALSE)*AJ303+I303+J303+K303,IF(AI303=1,('Calc (ex-animal)'!$H$62*'DB additional information '!$L$15/100*(1-VLOOKUP(D303,'DB technologies'!$N$138:$Y$152,9,FALSE)/100)*'Calc (ex-housing, ex-storage)'!F303/100)/VLOOKUP($C$301,'DB animal categories'!$C$107:$AC$116,27,FALSE)*AJ303,IF(AI303=4,('Calc (ex-animal)'!$G$62*'DB additional information '!$K$15/100+'Calc (ex-animal)'!$H$62*'DB additional information '!$L$15/100)*(1-VLOOKUP(D303,'DB technologies'!$N$138:$Y$152,9,FALSE)/100)*'Calc (ex-housing, ex-storage)'!F303/100*VLOOKUP(D303,'DB technologies'!$N$138:$Y$152,11,FALSE)/100/VLOOKUP($C$301,'DB animal categories'!$C$107:$AC$116,27,FALSE)*AJ303,0))))</f>
        <v/>
      </c>
      <c r="AM303" s="442" t="str">
        <f>IF(D303="","",IF(AI303=2,(('Calc (ex-animal)'!$G$62*(1-'DB additional information '!$K$15/100)*(1-VLOOKUP(D303,'DB technologies'!$N$138:$Y$152,8,FALSE)/100)*'Calc (ex-housing, ex-storage)'!F303/100+'Calc (ex-animal)'!$H$62*(1-'DB additional information '!$L$15/100)*(1-VLOOKUP(D303,'DB technologies'!$N$138:$Y$152,8,FALSE)/100)*'Calc (ex-housing, ex-storage)'!F303/100))/VLOOKUP($C$301,'DB animal categories'!$C$107:$AC$116,27,FALSE)*AJ303+M303+N303+O303,IF(AI303=1,('Calc (ex-animal)'!$H$62*(1-'DB additional information '!$L$15/100)*(1-VLOOKUP(D303,'DB technologies'!$N$138:$Y$152,8,FALSE)/100)*'Calc (ex-housing, ex-storage)'!F303/100)/VLOOKUP($C$301,'DB animal categories'!$C$107:$AC$116,27,FALSE)*AJ303,IF(AI303=4,('Calc (ex-animal)'!$G$62*(1-'DB additional information '!$K$15/100)+'Calc (ex-animal)'!$H$62*(1-'DB additional information '!$L$15/100))*(1-VLOOKUP(D303,'DB technologies'!$N$138:$Y$152,8,FALSE)/100)*'Calc (ex-housing, ex-storage)'!F303/100*VLOOKUP(D303,'DB technologies'!$N$138:$Y$152,11,FALSE)/100/VLOOKUP($C$301,'DB animal categories'!$C$107:$AC$116,27,FALSE)*AJ303,0))))</f>
        <v/>
      </c>
      <c r="AN303" s="442" t="str">
        <f>IF(AI303="","",IF(AL303=0,0,AL303/AK303*100))</f>
        <v/>
      </c>
      <c r="AO303" s="182" t="str">
        <f>IF(D303="","",IF(AI303=2,(('Calc (ex-animal)'!$L$62*'Calc (ex-housing, ex-storage)'!F303/100+'Calc (ex-animal)'!$K$62*'Calc (ex-housing, ex-storage)'!F303/100))/VLOOKUP($C$301,'DB animal categories'!$C$107:$AC$116,27,FALSE)*AJ303+Q303+R303+S303-AC303,IF(AI303=1,('Calc (ex-animal)'!$L$62*'Calc (ex-housing, ex-storage)'!F303/100)/VLOOKUP($C$301,'DB animal categories'!$C$107:$AC$116,27,FALSE)*AJ303-'Calc (ex-housing, ex-storage)'!AC303,IF(AI303=4,('Calc (ex-animal)'!$L$62+'Calc (ex-animal)'!$K$62)*'Calc (ex-housing, ex-storage)'!F303/100*VLOOKUP(D303,'DB technologies'!$N$138:$Y$152,11,FALSE)/100/VLOOKUP($C$301,'DB animal categories'!$C$107:$AC$116,27,FALSE)*AJ303-AC303*VLOOKUP(D303,'DB technologies'!$N$138:$Y$152,11,FALSE)/100,0))))</f>
        <v/>
      </c>
      <c r="AP303" s="182" t="str">
        <f>IF(D303="","",IF(AO303&lt;-0.01,0,IF(AI303=2,(('Calc (ex-animal)'!$L$62*'Calc (ex-housing, ex-storage)'!F303/100+'Calc (ex-animal)'!$K$62*'Calc (ex-housing, ex-storage)'!F303/100))/VLOOKUP($C$301,'DB animal categories'!$C$107:$AC$116,27,FALSE)*AJ303+Q303+R303+S303-AC303,IF(AI303=1,('Calc (ex-animal)'!$L$62*'Calc (ex-housing, ex-storage)'!F303/100)/VLOOKUP($C$301,'DB animal categories'!$C$107:$AC$116,27,FALSE)*AJ303-'Calc (ex-housing, ex-storage)'!AC303,IF(AI303=4,('Calc (ex-animal)'!$L$62+'Calc (ex-animal)'!$K$62)*'Calc (ex-housing, ex-storage)'!F303/100*VLOOKUP(D303,'DB technologies'!$N$138:$Y$152,11,FALSE)/100/VLOOKUP($C$301,'DB animal categories'!$C$107:$AC$116,27,FALSE)*AJ303-AC303*VLOOKUP(D303,'DB technologies'!$N$138:$Y$152,11,FALSE)/100,0)))))</f>
        <v/>
      </c>
      <c r="AQ303" s="182" t="str">
        <f>IF(D303="","",IF(AI303=2,('Calc (ex-animal)'!$O$62*'Calc (ex-housing, ex-storage)'!F303/100+'Calc (ex-animal)'!$N$62*'Calc (ex-housing, ex-storage)'!F303/100)/VLOOKUP($C$301,'DB animal categories'!$C$107:$AC$116,27,FALSE)*AJ303+U303+V303+W303,IF(AI303=1,'Calc (ex-animal)'!$O$62*'Calc (ex-housing, ex-storage)'!F303/100/VLOOKUP($C$301,'DB animal categories'!$C$107:$AC$116,27,FALSE)*AJ303,IF(AI303=4,('Calc (ex-animal)'!$O$62+'Calc (ex-animal)'!$N$62)*'Calc (ex-housing, ex-storage)'!F303/100*VLOOKUP(D303,'DB technologies'!$N$138:$Y$152,11,FALSE)/100/VLOOKUP($C$301,'DB animal categories'!$C$107:$AC$116,27,FALSE)*AJ303,0))))</f>
        <v/>
      </c>
      <c r="AR303" s="182" t="str">
        <f>IF(D303="","",IF(AI303=2,('Calc (ex-animal)'!$R$62*'Calc (ex-housing, ex-storage)'!F303/100+'Calc (ex-animal)'!$Q$62*'Calc (ex-housing, ex-storage)'!F303/100)/VLOOKUP($C$301,'DB animal categories'!$C$107:$AC$116,27,FALSE)*AJ303+Y303+Z303+AA303,IF(AI303=1,'Calc (ex-animal)'!$R$62*'Calc (ex-housing, ex-storage)'!F303/100/VLOOKUP($C$301,'DB animal categories'!$C$107:$AC$116,27,FALSE)*AJ303,IF(AI303=4,('Calc (ex-animal)'!$R$62+'Calc (ex-animal)'!$Q$62)*'Calc (ex-housing, ex-storage)'!F303/100*VLOOKUP(D303,'DB technologies'!$N$138:$Y$152,11,FALSE)/100/VLOOKUP($C$301,'DB animal categories'!$C$107:$AC$116,27,FALSE)*AJ303,0))))</f>
        <v/>
      </c>
      <c r="AS303" s="181" t="str">
        <f>IF(D303="","",VLOOKUP(D303,'DB technologies'!$N$138:$Y$152,10,FALSE))</f>
        <v/>
      </c>
      <c r="AT303" s="442" t="str">
        <f>IF(AS303="","",AU303+AV303)</f>
        <v/>
      </c>
      <c r="AU303" s="442" t="str">
        <f>IF(D303="","",IF(AS303=2,0,IF(AS303=1,'Calc (ex-animal)'!$G$62*'DB additional information '!$K$15/100*(1-VLOOKUP(D303,'DB technologies'!$N$138:$Y$152,8,FALSE)/100)*'Calc (ex-housing, ex-storage)'!F303/100/VLOOKUP($C$301,'DB animal categories'!$C$107:$AC$116,27,FALSE)*AJ303+I303+J303+K303,IF(AS303=5,(('Calc (ex-animal)'!$G$62*'DB additional information '!$K$15/100+'Calc (ex-animal)'!$H$62*'DB additional information '!$L$15/100))*(1-VLOOKUP(D303,'DB technologies'!$N$138:$Y$152,9,FALSE)/100)*'Calc (ex-housing, ex-storage)'!F303/100/VLOOKUP($C$301,'DB animal categories'!$C$107:$AC$116,27,FALSE)*AJ303+I303+J303+K303,IF(AS303=3,('Calc (ex-animal)'!$G$62*'DB additional information '!$K$15/100+'Calc (ex-animal)'!$H$62*'DB additional information '!$L$15/100)*(1-VLOOKUP(D303,'DB technologies'!$N$138:$Y$152,9,FALSE)/100)*'Calc (ex-housing, ex-storage)'!F303/100/VLOOKUP($C$301,'DB animal categories'!$C$107:$AC$116,27,FALSE)*AJ303+I303+J303+K303,IF(AS303=4,('Calc (ex-animal)'!$G$62*'DB additional information '!$K$15/100+'Calc (ex-animal)'!$H$62*'DB additional information '!$L$15/100)*(1-VLOOKUP(D303,'DB technologies'!$N$138:$Y$152,9,FALSE)/100)*'Calc (ex-housing, ex-storage)'!F303/100*VLOOKUP(D303,'DB technologies'!$N$138:$Y$152,12,FALSE)/100/VLOOKUP($C$301,'DB animal categories'!$C$107:$AC$116,27,FALSE)*AJ303+I303+J303+K303,0))))))</f>
        <v/>
      </c>
      <c r="AV303" s="442" t="str">
        <f>IF(D303="","",IF(AS303=2,0,IF(AS303=1,'Calc (ex-animal)'!$G$62*(1-'DB additional information '!$K$15/100)*(1-VLOOKUP(D303,'DB technologies'!$N$138:$Y$152,8,FALSE)/100)*'Calc (ex-housing, ex-storage)'!F303/100/VLOOKUP($C$301,'DB animal categories'!$C$107:$AC$116,27,FALSE)*AJ303+M303+N303+O303,IF(AS303=5,('Calc (ex-animal)'!$G$62*(1-'DB additional information '!$K$15/100)+'Calc (ex-animal)'!$H$62*(1-'DB additional information '!$L$15/100))*(1-VLOOKUP(D303,'DB technologies'!$N$138:$Y$152,8,FALSE)/100)*'Calc (ex-housing, ex-storage)'!F303/100/VLOOKUP($C$301,'DB animal categories'!$C$107:$AC$116,27,FALSE)*AJ303+M303+N303+O303,IF(AS303=3,('Calc (ex-animal)'!$G$62*(1-'DB additional information '!$K$15/100)+'Calc (ex-animal)'!$H$62*(1-'DB additional information '!$L$15/100))*(1-VLOOKUP(D303,'DB technologies'!$N$138:$Y$152,8,FALSE)/100)*'Calc (ex-housing, ex-storage)'!F303/100/VLOOKUP($C$301,'DB animal categories'!$C$107:$AC$116,27,FALSE)*AJ303+M303+N303+O303,IF(AS303=4,('Calc (ex-animal)'!$G$62*(1-'DB additional information '!$K$15/100)+'Calc (ex-animal)'!$H$62*(1-'DB additional information '!$L$15/100))*(1-VLOOKUP(D303,'DB technologies'!$N$138:$Y$152,8,FALSE)/100)*'Calc (ex-housing, ex-storage)'!F303/100*VLOOKUP(D303,'DB technologies'!$N$138:$Y$152,12,FALSE)/100/VLOOKUP($C$301,'DB animal categories'!$C$107:$AC$116,27,FALSE)*AJ303+M303+N303+O303,0))))))</f>
        <v/>
      </c>
      <c r="AW303" s="442" t="str">
        <f>IF(AS303="","",IF(AU303=0,0,AU303/AT303*100))</f>
        <v/>
      </c>
      <c r="AX303" s="182" t="str">
        <f>IF(D303="","",IF(AS303=2,0,IF(AS303=1,'Calc (ex-animal)'!$K$62*'Calc (ex-housing, ex-storage)'!F303/100/VLOOKUP($C$301,'DB animal categories'!$C$107:$AC$116,27,FALSE)*AJ303+Q303+R303+S303,IF(AS303=5,('Calc (ex-animal)'!$K$62+'Calc (ex-animal)'!$L$62)*'Calc (ex-housing, ex-storage)'!F303/100/VLOOKUP($C$301,'DB animal categories'!$C$107:$AC$116,27,FALSE)*AJ303+Q303+R303+S303-'Calc (ex-housing, ex-storage)'!AC303,IF(AS303=3,('Calc (ex-animal)'!$K$62+'Calc (ex-animal)'!$L$62)*'Calc (ex-housing, ex-storage)'!F303/100/VLOOKUP($C$301,'DB animal categories'!$C$107:$AC$116,27,FALSE)*AJ303+Q303+R303+S303-'Calc (ex-housing, ex-storage)'!AC303-AD303-AE303,IF(AI303=4,('Calc (ex-animal)'!$K$62+'Calc (ex-animal)'!$L$62)*'Calc (ex-housing, ex-storage)'!F303/100*VLOOKUP(D303,'DB technologies'!$N$138:$Y$152,12,FALSE)/100/VLOOKUP($C$301,'DB animal categories'!$C$107:$AC$116,27,FALSE)*AJ303+Q303+R303+S303-(VLOOKUP(D303,'DB technologies'!$N$138:$Y$152,12,FALSE)/100*AC303)-AD303-AE303,0))))))</f>
        <v/>
      </c>
      <c r="AY303" s="182" t="str">
        <f>IF(D303="","",IF(AS303=2,0,IF(AS303=1,'Calc (ex-animal)'!$N$62*'Calc (ex-housing, ex-storage)'!F303/100/VLOOKUP($C$301,'DB animal categories'!$C$107:$AC$116,27,FALSE)*AJ303+U303+V303+W303,IF(AS303=5,('Calc (ex-animal)'!$N$62+'Calc (ex-animal)'!$O$62)*'Calc (ex-housing, ex-storage)'!F303/100/VLOOKUP($C$301,'DB animal categories'!$C$107:$AC$116,27,FALSE)*AJ303+U303+V303+W303,IF(AS303=3,('Calc (ex-animal)'!$N$62+'Calc (ex-animal)'!$O$62)*'Calc (ex-housing, ex-storage)'!F303/100/VLOOKUP($C$301,'DB animal categories'!$C$107:$AC$116,27,FALSE)*AJ303+U303+V303+W303,IF(AS303=4,('Calc (ex-animal)'!$N$62+'Calc (ex-animal)'!$O$62)*'Calc (ex-housing, ex-storage)'!F303/100*VLOOKUP(D303,'DB technologies'!$N$138:$Y$152,12,FALSE)/100/VLOOKUP($C$301,'DB animal categories'!$C$107:$AC$116,27,FALSE)*AJ303+U303+V303+W303,0))))))</f>
        <v/>
      </c>
      <c r="AZ303" s="182" t="str">
        <f>IF(D303="","",IF(AS303=2,0,IF(AS303=1,'Calc (ex-animal)'!$Q$62*'Calc (ex-housing, ex-storage)'!F303/100/VLOOKUP($C$301,'DB animal categories'!$C$107:$AC$116,27,FALSE)*AJ303+Y303+Z303+AA303,IF(AS303=5,('Calc (ex-animal)'!$Q$62+'Calc (ex-animal)'!$R$62)*'Calc (ex-housing, ex-storage)'!F303/100/VLOOKUP($C$301,'DB animal categories'!$C$107:$AC$116,27,FALSE)*AJ303+Y303+Z303+AA303,IF(AS303=3,('Calc (ex-animal)'!$Q$62+'Calc (ex-animal)'!$R$62)*'Calc (ex-housing, ex-storage)'!F303/100/VLOOKUP($C$301,'DB animal categories'!$C$107:$AC$116,27,FALSE)*AJ303+Y303+Z303+AA303,IF(AS303=4,('Calc (ex-animal)'!$Q$62+'Calc (ex-animal)'!$R$62)*'Calc (ex-housing, ex-storage)'!F303/100*VLOOKUP(D303,'DB technologies'!$N$138:$Y$152,12,FALSE)/100/VLOOKUP($C$301,'DB animal categories'!$C$107:$AC$116,27,FALSE)*AJ303+Y303+Z303+AA303,0))))))</f>
        <v/>
      </c>
      <c r="BA303" s="506"/>
      <c r="BB303" s="506"/>
      <c r="BC303" s="506"/>
    </row>
    <row r="304" spans="1:55" x14ac:dyDescent="0.2">
      <c r="A304" s="695"/>
      <c r="B304" s="695"/>
      <c r="C304" s="251"/>
      <c r="D304" s="1357"/>
      <c r="E304" s="1358"/>
      <c r="F304" s="480" t="str">
        <f>IF('Calc (ex-animal)'!$F$58=1,"",IF($C$301=0,"",IF(D304="","",E304/'Calc (ex-animal)'!$E$62*100)))</f>
        <v/>
      </c>
      <c r="G304" s="485" t="str">
        <f>IF($C$301=0,"",IF('Calc (ex-animal)'!$F$58=1,"",IF(D304="","",SUM(H304:O304))))</f>
        <v/>
      </c>
      <c r="H304" s="423" t="str">
        <f>IF('Calc (ex-animal)'!$F$58=1,"",IF(D304="","",(((VLOOKUP($C$301,'Calc (ex-animal)'!$D$58:$Y$62,6,FALSE)-VLOOKUP($C$301,'Calc (ex-animal)'!$D$58:$Y$62,17,FALSE))*F304/100))*VLOOKUP($C$301,'Calc (ex-animal)'!$D$58:$Y$62,7,FALSE)/100*(1-VLOOKUP(D304,'DB technologies'!$N$138:$Y$152,9,FALSE)/100)))</f>
        <v/>
      </c>
      <c r="I304" s="423" t="str">
        <f>IF(D304="","",((VLOOKUP(D304,'DB technologies'!$N$138:$Y$152,2,FALSE)*VLOOKUP($C$301,'DB animal categories'!$C$107:$AC$116,27,FALSE)*E304/1000)/VLOOKUP($C$301,'DB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'!$S$6/100*(1-VLOOKUP(D304,'DB technologies'!$N$138:$Y$152,9,FALSE)/100)))</f>
        <v/>
      </c>
      <c r="J304" s="434" t="str">
        <f>IF(D304="","",((VLOOKUP(D304,'DB technologies'!$N$138:$Y$152,3,FALSE)*VLOOKUP($C$301,'DB animal categories'!$C$107:$AC$116,27,FALSE)*E304/1000)/VLOOKUP($C$301,'DB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'!$S$7/100*(1-VLOOKUP(D304,'DB technologies'!$N$138:$Y$152,9,FALSE)/100)))</f>
        <v/>
      </c>
      <c r="K304" s="434" t="str">
        <f>IF(D304="","",((VLOOKUP(D304,'DB technologies'!$N$138:$Y$152,4,FALSE)*E304*'DB additional information '!$S$8/100*(1-VLOOKUP(D304,'DB technologies'!$N$138:$Y$152,9,FALSE)/100))/VLOOKUP($C$301,'DB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L304" s="423" t="str">
        <f>IF('Calc (ex-animal)'!$F$58=1,"",IF(D304="","",(((VLOOKUP($C$301,'Calc (ex-animal)'!$D$58:$Y$62,6,FALSE)-VLOOKUP($C$301,'Calc (ex-animal)'!$D$58:$Y$62,17,FALSE))*F304/100))*(1-VLOOKUP($C$301,'Calc (ex-animal)'!$D$58:$Y$62,7,FALSE)/100)*(1-VLOOKUP(D304,'DB technologies'!$N$138:$V$152,8,FALSE)/100)))</f>
        <v/>
      </c>
      <c r="M304" s="434" t="str">
        <f>IF(D304="","",((VLOOKUP(D304,'DB technologies'!$N$138:$Y$152,2,FALSE)*VLOOKUP($C$301,'DB animal categories'!$C$107:$AC$116,27,FALSE)*E304/1000)/VLOOKUP($C$301,'DB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'!$S$6/100)*(1-VLOOKUP(D304,'DB technologies'!$N$138:$Y$152,9,FALSE)/100))</f>
        <v/>
      </c>
      <c r="N304" s="434" t="str">
        <f>IF(D304="","",((VLOOKUP(D304,'DB technologies'!$N$138:$Y$152,3,FALSE)*VLOOKUP($C$301,'DB animal categories'!$C$107:$AC$116,27,FALSE)*E304/1000)/VLOOKUP($C$301,'DB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'!$S$7/100)*(1-VLOOKUP(D304,'DB technologies'!$N$138:$Y$152,9,FALSE)/100))</f>
        <v/>
      </c>
      <c r="O304" s="423" t="str">
        <f>IF(D304="","",((VLOOKUP(D304,'DB technologies'!$N$138:$Y$152,4,FALSE)*E304*(1-'DB additional information '!$S$8/100)*(1-VLOOKUP(D304,'DB technologies'!$N$138:$Y$152,8,FALSE)/100))/VLOOKUP($C$301,'DB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P304" s="438" t="str">
        <f>IF(G304=0,0,IF(E304="","",IF(F304="","",IF($C$301=0,"",IF(D304="","",SUM(H304:K304)/G304*100)))))</f>
        <v/>
      </c>
      <c r="Q304" s="416" t="str">
        <f>IF(D304="","",(VLOOKUP(D304,'DB technologies'!$N$138:$Y$152,2,FALSE)*'DB additional information '!$S$6/100*'DB additional information '!$T$6*VLOOKUP($C$301,'DB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R304" s="416" t="str">
        <f>IF(D304="","",(VLOOKUP(D304,'DB technologies'!$N$138:$Y$152,3,FALSE)*'DB additional information '!$S$7/100*'DB additional information '!$T$7*VLOOKUP($C$301,'DB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S304" s="491" t="str">
        <f>IF(D304="","",(VLOOKUP(D304,'DB technologies'!$N$138:$Y$152,4,FALSE)*('DB additional information '!$S$8/100*'DB additional information '!$T$8*E304/1000/1000)))</f>
        <v/>
      </c>
      <c r="T304" s="264" t="str">
        <f>IF($C$301=0,"",IF('Calc (ex-animal)'!$F$58=1,"",IF(D304="","",((VLOOKUP($C$301,'Calc (ex-animal)'!$D$58:$Y$62,10,FALSE)-VLOOKUP($C$301,'Calc (ex-animal)'!$D$58:$Y$62,18,FALSE))*F304/100+Q304+R304+S304)-AC304-AD304-AE304)))</f>
        <v/>
      </c>
      <c r="U304" s="422" t="str">
        <f>IF(D304="","",(VLOOKUP(D304,'DB technologies'!$N$138:$Y$152,2,FALSE)*'DB additional information '!$S$6/100*'DB additional information '!$U$6*VLOOKUP($C$301,'DB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V304" s="418" t="str">
        <f>IF(D304="","",(VLOOKUP(D304,'DB technologies'!$N$138:$Y$152,3,FALSE)*'DB additional information '!$S$7/100*'DB additional information '!$U$7*VLOOKUP($C$301,'DB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W304" s="417" t="str">
        <f>IF(D304="","",(VLOOKUP(D304,'DB technologies'!$N$138:$Y$152,4,FALSE)*('DB additional information '!$S$8/100*'DB additional information '!$U$8*E304/1000/1000)))</f>
        <v/>
      </c>
      <c r="X304" s="261" t="str">
        <f>IF($C$301=0,"",IF('Calc (ex-animal)'!$F$58=1,"",IF(D304="","",((VLOOKUP($C$301,'Calc (ex-animal)'!$D$58:$Y$62,13,FALSE)-VLOOKUP($C$301,'Calc (ex-animal)'!$D$58:$Y$62,19,FALSE))*F304/100+U304+V304+W304))))</f>
        <v/>
      </c>
      <c r="Y304" s="418" t="str">
        <f>IF(D304="","",(VLOOKUP(D304,'DB technologies'!$N$138:$Y$152,2,FALSE)*'DB additional information '!$S$6/100*'DB additional information '!$V$6*VLOOKUP($C$301,'DB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Z304" s="418" t="str">
        <f>IF(D304="","",(VLOOKUP(D304,'DB technologies'!$N$138:$Y$152,3,FALSE)*'DB additional information '!$S$7/100*'DB additional information '!$V$7*VLOOKUP($C$301,'DB animal categories'!$C$107:$AC$116,27,FALSE)*E304/1000/1000)/VLOOKUP($C$301,'DB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AA304" s="418" t="str">
        <f>IF(D304="","",(VLOOKUP(D304,'DB technologies'!$N$138:$Y$152,4,FALSE)*('DB additional information '!$S$8/100*'DB additional information '!$V$8*E304/1000/1000)))</f>
        <v/>
      </c>
      <c r="AB304" s="261" t="str">
        <f>IF($C$301=0,"",IF('Calc (ex-animal)'!$F$58=1,"",IF(D304="","",((VLOOKUP($C$301,'Calc (ex-animal)'!$D$58:$Y$62,16,FALSE)-VLOOKUP($C$301,'Calc (ex-animal)'!$D$58:$Y$62,20,FALSE))*F304/100+Y304+Z304+AA304))))</f>
        <v/>
      </c>
      <c r="AC304" s="261" t="str">
        <f>IF($C$301=0,"",IF('Calc (ex-animal)'!$F$58=1,"",IF(D304="","",VLOOKUP($C$301,'Calc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categories'!$C$107:$AC$116,26,FALSE)/24)*F304/100*VLOOKUP(D304,'DB technologies'!$N$138:$R$152,5,FALSE)/100)))</f>
        <v/>
      </c>
      <c r="AD304" s="261" t="str">
        <f>IF($C$301=0,"",IF('Calc (ex-animal)'!$F$58=1,"",IF(D304="","",VLOOKUP($C$301,'Calc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categories'!$C$107:$AC$116,26,FALSE)/24)*F304/100*VLOOKUP(D304,'DB technologies'!$N$138:$Y$152,6,FALSE)/100)))</f>
        <v/>
      </c>
      <c r="AE304" s="262" t="str">
        <f>IF($C$301=0,"",IF('Calc (ex-animal)'!$F$58=1,"",IF(D304="","",VLOOKUP($C$301,'Calc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categories'!$C$107:$AC$116,26,FALSE)/24)*F304/100*VLOOKUP(D304,'DB technologies'!$N$138:$Y$152,7,FALSE)/100)))</f>
        <v/>
      </c>
      <c r="AI304" s="181" t="str">
        <f>IF(D304="","",VLOOKUP(D304,'DB technologies'!$N$138:$Y$152,10,FALSE))</f>
        <v/>
      </c>
      <c r="AJ304" s="449" t="e">
        <f>VLOOKUP($C$301,'DB animal categories'!$C$107:$AN$116,27,FALSE)-VLOOKUP($C$301,'DB animal categories'!$C$107:$AN$116,26,FALSE)*VLOOKUP($C$301,'DB animal categories'!$C$107:$AN$116,25,FALSE)/24</f>
        <v>#N/A</v>
      </c>
      <c r="AK304" s="442" t="str">
        <f>IF(AI304="","",AL304+AM304)</f>
        <v/>
      </c>
      <c r="AL304" s="442" t="str">
        <f>IF(D304="","",IF(AI304=2,(('Calc (ex-animal)'!$G$62*'DB additional information '!$K$15/100*(1-VLOOKUP(D304,'DB technologies'!$N$138:$Y$152,9,FALSE)/100)*'Calc (ex-housing, ex-storage)'!F304/100+'Calc (ex-animal)'!$H$62*'DB additional information '!$L$15/100*(1-VLOOKUP(D304,'DB technologies'!$N$138:$Y$152,9,FALSE)/100)*'Calc (ex-housing, ex-storage)'!F304/100))/VLOOKUP($C$301,'DB animal categories'!$C$107:$AC$116,27,FALSE)*AJ304+I304+J304+K304,IF(AI304=1,('Calc (ex-animal)'!$H$62*'DB additional information '!$L$15/100*(1-VLOOKUP(D304,'DB technologies'!$N$138:$Y$152,9,FALSE)/100)*'Calc (ex-housing, ex-storage)'!F304/100)/VLOOKUP($C$301,'DB animal categories'!$C$107:$AC$116,27,FALSE)*AJ304,IF(AI304=4,('Calc (ex-animal)'!$G$62*'DB additional information '!$K$15/100+'Calc (ex-animal)'!$H$62*'DB additional information '!$L$15/100)*(1-VLOOKUP(D304,'DB technologies'!$N$138:$Y$152,9,FALSE)/100)*'Calc (ex-housing, ex-storage)'!F304/100*VLOOKUP(D304,'DB technologies'!$N$138:$Y$152,11,FALSE)/100/VLOOKUP($C$301,'DB animal categories'!$C$107:$AC$116,27,FALSE)*AJ304,0))))</f>
        <v/>
      </c>
      <c r="AM304" s="442" t="str">
        <f>IF(D304="","",IF(AI304=2,(('Calc (ex-animal)'!$G$62*(1-'DB additional information '!$K$15/100)*(1-VLOOKUP(D304,'DB technologies'!$N$138:$Y$152,8,FALSE)/100)*'Calc (ex-housing, ex-storage)'!F304/100+'Calc (ex-animal)'!$H$62*(1-'DB additional information '!$L$15/100)*(1-VLOOKUP(D304,'DB technologies'!$N$138:$Y$152,8,FALSE)/100)*'Calc (ex-housing, ex-storage)'!F304/100))/VLOOKUP($C$301,'DB animal categories'!$C$107:$AC$116,27,FALSE)*AJ304+M304+N304+O304,IF(AI304=1,('Calc (ex-animal)'!$H$62*(1-'DB additional information '!$L$15/100)*(1-VLOOKUP(D304,'DB technologies'!$N$138:$Y$152,8,FALSE)/100)*'Calc (ex-housing, ex-storage)'!F304/100)/VLOOKUP($C$301,'DB animal categories'!$C$107:$AC$116,27,FALSE)*AJ304,IF(AI304=4,('Calc (ex-animal)'!$G$62*(1-'DB additional information '!$K$15/100)+'Calc (ex-animal)'!$H$62*(1-'DB additional information '!$L$15/100))*(1-VLOOKUP(D304,'DB technologies'!$N$138:$Y$152,8,FALSE)/100)*'Calc (ex-housing, ex-storage)'!F304/100*VLOOKUP(D304,'DB technologies'!$N$138:$Y$152,11,FALSE)/100/VLOOKUP($C$301,'DB animal categories'!$C$107:$AC$116,27,FALSE)*AJ304,0))))</f>
        <v/>
      </c>
      <c r="AN304" s="442" t="str">
        <f>IF(AI304="","",IF(AL304=0,0,AL304/AK304*100))</f>
        <v/>
      </c>
      <c r="AO304" s="182" t="str">
        <f>IF(D304="","",IF(AI304=2,(('Calc (ex-animal)'!$L$62*'Calc (ex-housing, ex-storage)'!F304/100+'Calc (ex-animal)'!$K$62*'Calc (ex-housing, ex-storage)'!F304/100))/VLOOKUP($C$301,'DB animal categories'!$C$107:$AC$116,27,FALSE)*AJ304+Q304+R304+S304-AC304,IF(AI304=1,('Calc (ex-animal)'!$L$62*'Calc (ex-housing, ex-storage)'!F304/100)/VLOOKUP($C$301,'DB animal categories'!$C$107:$AC$116,27,FALSE)*AJ304-'Calc (ex-housing, ex-storage)'!AC304,IF(AI304=4,('Calc (ex-animal)'!$L$62+'Calc (ex-animal)'!$K$62)*'Calc (ex-housing, ex-storage)'!F304/100*VLOOKUP(D304,'DB technologies'!$N$138:$Y$152,11,FALSE)/100/VLOOKUP($C$301,'DB animal categories'!$C$107:$AC$116,27,FALSE)*AJ304-AC304*VLOOKUP(D304,'DB technologies'!$N$138:$Y$152,11,FALSE)/100,0))))</f>
        <v/>
      </c>
      <c r="AP304" s="182" t="str">
        <f>IF(D304="","",IF(AO304&lt;-0.01,0,IF(AI304=2,(('Calc (ex-animal)'!$L$62*'Calc (ex-housing, ex-storage)'!F304/100+'Calc (ex-animal)'!$K$62*'Calc (ex-housing, ex-storage)'!F304/100))/VLOOKUP($C$301,'DB animal categories'!$C$107:$AC$116,27,FALSE)*AJ304+Q304+R304+S304-AC304,IF(AI304=1,('Calc (ex-animal)'!$L$62*'Calc (ex-housing, ex-storage)'!F304/100)/VLOOKUP($C$301,'DB animal categories'!$C$107:$AC$116,27,FALSE)*AJ304-'Calc (ex-housing, ex-storage)'!AC304,IF(AI304=4,('Calc (ex-animal)'!$L$62+'Calc (ex-animal)'!$K$62)*'Calc (ex-housing, ex-storage)'!F304/100*VLOOKUP(D304,'DB technologies'!$N$138:$Y$152,11,FALSE)/100/VLOOKUP($C$301,'DB animal categories'!$C$107:$AC$116,27,FALSE)*AJ304-AC304*VLOOKUP(D304,'DB technologies'!$N$138:$Y$152,11,FALSE)/100,0)))))</f>
        <v/>
      </c>
      <c r="AQ304" s="182" t="str">
        <f>IF(D304="","",IF(AI304=2,('Calc (ex-animal)'!$O$62*'Calc (ex-housing, ex-storage)'!F304/100+'Calc (ex-animal)'!$N$62*'Calc (ex-housing, ex-storage)'!F304/100)/VLOOKUP($C$301,'DB animal categories'!$C$107:$AC$116,27,FALSE)*AJ304+U304+V304+W304,IF(AI304=1,'Calc (ex-animal)'!$O$62*'Calc (ex-housing, ex-storage)'!F304/100/VLOOKUP($C$301,'DB animal categories'!$C$107:$AC$116,27,FALSE)*AJ304,IF(AI304=4,('Calc (ex-animal)'!$O$62+'Calc (ex-animal)'!$N$62)*'Calc (ex-housing, ex-storage)'!F304/100*VLOOKUP(D304,'DB technologies'!$N$138:$Y$152,11,FALSE)/100/VLOOKUP($C$301,'DB animal categories'!$C$107:$AC$116,27,FALSE)*AJ304,0))))</f>
        <v/>
      </c>
      <c r="AR304" s="182" t="str">
        <f>IF(D304="","",IF(AI304=2,('Calc (ex-animal)'!$R$62*'Calc (ex-housing, ex-storage)'!F304/100+'Calc (ex-animal)'!$Q$62*'Calc (ex-housing, ex-storage)'!F304/100)/VLOOKUP($C$301,'DB animal categories'!$C$107:$AC$116,27,FALSE)*AJ304+Y304+Z304+AA304,IF(AI304=1,'Calc (ex-animal)'!$R$62*'Calc (ex-housing, ex-storage)'!F304/100/VLOOKUP($C$301,'DB animal categories'!$C$107:$AC$116,27,FALSE)*AJ304,IF(AI304=4,('Calc (ex-animal)'!$R$62+'Calc (ex-animal)'!$Q$62)*'Calc (ex-housing, ex-storage)'!F304/100*VLOOKUP(D304,'DB technologies'!$N$138:$Y$152,11,FALSE)/100/VLOOKUP($C$301,'DB animal categories'!$C$107:$AC$116,27,FALSE)*AJ304,0))))</f>
        <v/>
      </c>
      <c r="AS304" s="181" t="str">
        <f>IF(D304="","",VLOOKUP(D304,'DB technologies'!$N$138:$Y$152,10,FALSE))</f>
        <v/>
      </c>
      <c r="AT304" s="442" t="str">
        <f>IF(AS304="","",AU304+AV304)</f>
        <v/>
      </c>
      <c r="AU304" s="442" t="str">
        <f>IF(D304="","",IF(AS304=2,0,IF(AS304=1,'Calc (ex-animal)'!$G$62*'DB additional information '!$K$15/100*(1-VLOOKUP(D304,'DB technologies'!$N$138:$Y$152,8,FALSE)/100)*'Calc (ex-housing, ex-storage)'!F304/100/VLOOKUP($C$301,'DB animal categories'!$C$107:$AC$116,27,FALSE)*AJ304+I304+J304+K304,IF(AS304=5,(('Calc (ex-animal)'!$G$62*'DB additional information '!$K$15/100+'Calc (ex-animal)'!$H$62*'DB additional information '!$L$15/100))*(1-VLOOKUP(D304,'DB technologies'!$N$138:$Y$152,9,FALSE)/100)*'Calc (ex-housing, ex-storage)'!F304/100/VLOOKUP($C$301,'DB animal categories'!$C$107:$AC$116,27,FALSE)*AJ304+I304+J304+K304,IF(AS304=3,('Calc (ex-animal)'!$G$62*'DB additional information '!$K$15/100+'Calc (ex-animal)'!$H$62*'DB additional information '!$L$15/100)*(1-VLOOKUP(D304,'DB technologies'!$N$138:$Y$152,9,FALSE)/100)*'Calc (ex-housing, ex-storage)'!F304/100/VLOOKUP($C$301,'DB animal categories'!$C$107:$AC$116,27,FALSE)*AJ304+I304+J304+K304,IF(AS304=4,('Calc (ex-animal)'!$G$62*'DB additional information '!$K$15/100+'Calc (ex-animal)'!$H$62*'DB additional information '!$L$15/100)*(1-VLOOKUP(D304,'DB technologies'!$N$138:$Y$152,9,FALSE)/100)*'Calc (ex-housing, ex-storage)'!F304/100*VLOOKUP(D304,'DB technologies'!$N$138:$Y$152,12,FALSE)/100/VLOOKUP($C$301,'DB animal categories'!$C$107:$AC$116,27,FALSE)*AJ304+I304+J304+K304,0))))))</f>
        <v/>
      </c>
      <c r="AV304" s="442" t="str">
        <f>IF(D304="","",IF(AS304=2,0,IF(AS304=1,'Calc (ex-animal)'!$G$62*(1-'DB additional information '!$K$15/100)*(1-VLOOKUP(D304,'DB technologies'!$N$138:$Y$152,8,FALSE)/100)*'Calc (ex-housing, ex-storage)'!F304/100/VLOOKUP($C$301,'DB animal categories'!$C$107:$AC$116,27,FALSE)*AJ304+M304+N304+O304,IF(AS304=5,('Calc (ex-animal)'!$G$62*(1-'DB additional information '!$K$15/100)+'Calc (ex-animal)'!$H$62*(1-'DB additional information '!$L$15/100))*(1-VLOOKUP(D304,'DB technologies'!$N$138:$Y$152,8,FALSE)/100)*'Calc (ex-housing, ex-storage)'!F304/100/VLOOKUP($C$301,'DB animal categories'!$C$107:$AC$116,27,FALSE)*AJ304+M304+N304+O304,IF(AS304=3,('Calc (ex-animal)'!$G$62*(1-'DB additional information '!$K$15/100)+'Calc (ex-animal)'!$H$62*(1-'DB additional information '!$L$15/100))*(1-VLOOKUP(D304,'DB technologies'!$N$138:$Y$152,8,FALSE)/100)*'Calc (ex-housing, ex-storage)'!F304/100/VLOOKUP($C$301,'DB animal categories'!$C$107:$AC$116,27,FALSE)*AJ304+M304+N304+O304,IF(AS304=4,('Calc (ex-animal)'!$G$62*(1-'DB additional information '!$K$15/100)+'Calc (ex-animal)'!$H$62*(1-'DB additional information '!$L$15/100))*(1-VLOOKUP(D304,'DB technologies'!$N$138:$Y$152,8,FALSE)/100)*'Calc (ex-housing, ex-storage)'!F304/100*VLOOKUP(D304,'DB technologies'!$N$138:$Y$152,12,FALSE)/100/VLOOKUP($C$301,'DB animal categories'!$C$107:$AC$116,27,FALSE)*AJ304+M304+N304+O304,0))))))</f>
        <v/>
      </c>
      <c r="AW304" s="442" t="str">
        <f>IF(AS304="","",IF(AU304=0,0,AU304/AT304*100))</f>
        <v/>
      </c>
      <c r="AX304" s="182" t="str">
        <f>IF(D304="","",IF(AS304=2,0,IF(AS304=1,'Calc (ex-animal)'!$K$62*'Calc (ex-housing, ex-storage)'!F304/100/VLOOKUP($C$301,'DB animal categories'!$C$107:$AC$116,27,FALSE)*AJ304+Q304+R304+S304,IF(AS304=5,('Calc (ex-animal)'!$K$62+'Calc (ex-animal)'!$L$62)*'Calc (ex-housing, ex-storage)'!F304/100/VLOOKUP($C$301,'DB animal categories'!$C$107:$AC$116,27,FALSE)*AJ304+Q304+R304+S304-'Calc (ex-housing, ex-storage)'!AC304,IF(AS304=3,('Calc (ex-animal)'!$K$62+'Calc (ex-animal)'!$L$62)*'Calc (ex-housing, ex-storage)'!F304/100/VLOOKUP($C$301,'DB animal categories'!$C$107:$AC$116,27,FALSE)*AJ304+Q304+R304+S304-'Calc (ex-housing, ex-storage)'!AC304-AD304-AE304,IF(AI304=4,('Calc (ex-animal)'!$K$62+'Calc (ex-animal)'!$L$62)*'Calc (ex-housing, ex-storage)'!F304/100*VLOOKUP(D304,'DB technologies'!$N$138:$Y$152,12,FALSE)/100/VLOOKUP($C$301,'DB animal categories'!$C$107:$AC$116,27,FALSE)*AJ304+Q304+R304+S304-(VLOOKUP(D304,'DB technologies'!$N$138:$Y$152,12,FALSE)/100*AC304)-AD304-AE304,0))))))</f>
        <v/>
      </c>
      <c r="AY304" s="182" t="str">
        <f>IF(D304="","",IF(AS304=2,0,IF(AS304=1,'Calc (ex-animal)'!$N$62*'Calc (ex-housing, ex-storage)'!F304/100/VLOOKUP($C$301,'DB animal categories'!$C$107:$AC$116,27,FALSE)*AJ304+U304+V304+W304,IF(AS304=5,('Calc (ex-animal)'!$N$62+'Calc (ex-animal)'!$O$62)*'Calc (ex-housing, ex-storage)'!F304/100/VLOOKUP($C$301,'DB animal categories'!$C$107:$AC$116,27,FALSE)*AJ304+U304+V304+W304,IF(AS304=3,('Calc (ex-animal)'!$N$62+'Calc (ex-animal)'!$O$62)*'Calc (ex-housing, ex-storage)'!F304/100/VLOOKUP($C$301,'DB animal categories'!$C$107:$AC$116,27,FALSE)*AJ304+U304+V304+W304,IF(AS304=4,('Calc (ex-animal)'!$N$62+'Calc (ex-animal)'!$O$62)*'Calc (ex-housing, ex-storage)'!F304/100*VLOOKUP(D304,'DB technologies'!$N$138:$Y$152,12,FALSE)/100/VLOOKUP($C$301,'DB animal categories'!$C$107:$AC$116,27,FALSE)*AJ304+U304+V304+W304,0))))))</f>
        <v/>
      </c>
      <c r="AZ304" s="182" t="str">
        <f>IF(D304="","",IF(AS304=2,0,IF(AS304=1,'Calc (ex-animal)'!$Q$62*'Calc (ex-housing, ex-storage)'!F304/100/VLOOKUP($C$301,'DB animal categories'!$C$107:$AC$116,27,FALSE)*AJ304+Y304+Z304+AA304,IF(AS304=5,('Calc (ex-animal)'!$Q$62+'Calc (ex-animal)'!$R$62)*'Calc (ex-housing, ex-storage)'!F304/100/VLOOKUP($C$301,'DB animal categories'!$C$107:$AC$116,27,FALSE)*AJ304+Y304+Z304+AA304,IF(AS304=3,('Calc (ex-animal)'!$Q$62+'Calc (ex-animal)'!$R$62)*'Calc (ex-housing, ex-storage)'!F304/100/VLOOKUP($C$301,'DB animal categories'!$C$107:$AC$116,27,FALSE)*AJ304+Y304+Z304+AA304,IF(AS304=4,('Calc (ex-animal)'!$Q$62+'Calc (ex-animal)'!$R$62)*'Calc (ex-housing, ex-storage)'!F304/100*VLOOKUP(D304,'DB technologies'!$N$138:$Y$152,12,FALSE)/100/VLOOKUP($C$301,'DB animal categories'!$C$107:$AC$116,27,FALSE)*AJ304+Y304+Z304+AA304,0))))))</f>
        <v/>
      </c>
      <c r="BA304" s="506"/>
      <c r="BB304" s="506"/>
      <c r="BC304" s="506"/>
    </row>
    <row r="305" spans="1:55" ht="12" thickBot="1" x14ac:dyDescent="0.25">
      <c r="A305" s="695"/>
      <c r="B305" s="695"/>
      <c r="C305" s="251"/>
      <c r="D305" s="1359"/>
      <c r="E305" s="1360"/>
      <c r="F305" s="481" t="str">
        <f>IF('Calc (ex-animal)'!$F$58=1,"",IF($C$301=0,"",IF(D305="","",E305/'Calc (ex-animal)'!$E$62*100)))</f>
        <v/>
      </c>
      <c r="G305" s="483" t="str">
        <f>IF($C$301=0,"",IF('Calc (ex-animal)'!$F$58=1,"",IF(D305="","",SUM(H305:O305))))</f>
        <v/>
      </c>
      <c r="H305" s="445" t="str">
        <f>IF('Calc (ex-animal)'!$F$58=1,"",IF(D305="","",(((VLOOKUP($C$301,'Calc (ex-animal)'!$D$58:$Y$62,6,FALSE)-VLOOKUP($C$301,'Calc (ex-animal)'!$D$58:$Y$62,17,FALSE))*F305/100))*VLOOKUP($C$301,'Calc (ex-animal)'!$D$58:$Y$62,7,FALSE)/100*(1-VLOOKUP(D305,'DB technologies'!$N$138:$Y$152,9,FALSE)/100)))</f>
        <v/>
      </c>
      <c r="I305" s="445" t="str">
        <f>IF(D305="","",((VLOOKUP(D305,'DB technologies'!$N$138:$Y$152,2,FALSE)*VLOOKUP($C$301,'DB animal categories'!$C$107:$AC$116,27,FALSE)*E305/1000)/VLOOKUP($C$301,'DB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'!$S$6/100*(1-VLOOKUP(D305,'DB technologies'!$N$138:$Y$152,9,FALSE)/100)))</f>
        <v/>
      </c>
      <c r="J305" s="446" t="str">
        <f>IF(D305="","",((VLOOKUP(D305,'DB technologies'!$N$138:$Y$152,3,FALSE)*VLOOKUP($C$301,'DB animal categories'!$C$107:$AC$116,27,FALSE)*E305/1000)/VLOOKUP($C$301,'DB animal categories'!$C$107:$AC$116,27,FALSE)*(VLOOKUP($C$301,'DB animal categories'!$C$107:$AC$116,27,FALSE)-(VLOOKUP($C$301,'DB animal categories'!$C$107:$AC$116,25,FALSE)*VLOOKUP($C$301,'DB animal categories'!$C$107:$AC$116,26,FALSE)/24))*'DB additional information '!$S$7/100*(1-VLOOKUP(D305,'DB technologies'!$N$138:$Y$152,9,FALSE)/100)))</f>
        <v/>
      </c>
      <c r="K305" s="446" t="str">
        <f>IF(D305="","",((VLOOKUP(D305,'DB technologies'!$N$138:$Y$152,4,FALSE)*E305*'DB additional information '!$S$8/100*(1-VLOOKUP(D305,'DB technologies'!$N$138:$Y$152,9,FALSE)/100))/VLOOKUP($C$301,'DB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L305" s="445" t="str">
        <f>IF('Calc (ex-animal)'!$F$58=1,"",IF(D305="","",(((VLOOKUP($C$301,'Calc (ex-animal)'!$D$58:$Y$62,6,FALSE)-VLOOKUP($C$301,'Calc (ex-animal)'!$D$58:$Y$62,17,FALSE))*F305/100))*(1-VLOOKUP($C$301,'Calc (ex-animal)'!$D$58:$Y$62,7,FALSE)/100)*(1-VLOOKUP(D305,'DB technologies'!$N$138:$V$152,8,FALSE)/100)))</f>
        <v/>
      </c>
      <c r="M305" s="446" t="str">
        <f>IF(D305="","",((VLOOKUP(D305,'DB technologies'!$N$138:$Y$152,2,FALSE)*VLOOKUP($C$301,'DB animal categories'!$C$107:$AC$116,27,FALSE)*E305/1000)/VLOOKUP($C$301,'DB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'!$S$6/100)*(1-VLOOKUP(D305,'DB technologies'!$N$138:$Y$152,9,FALSE)/100))</f>
        <v/>
      </c>
      <c r="N305" s="446" t="str">
        <f>IF(D305="","",((VLOOKUP(D305,'DB technologies'!$N$138:$Y$152,3,FALSE)*VLOOKUP($C$301,'DB animal categories'!$C$107:$AC$116,27,FALSE)*E305/1000)/VLOOKUP($C$301,'DB animal categories'!$C$107:$AC$116,27,FALSE)*(VLOOKUP($C$301,'DB animal categories'!$C$107:$AC$116,27,FALSE)-VLOOKUP($C$301,'DB animal categories'!$C$107:$AC$116,25,FALSE)*VLOOKUP($C$301,'DB animal categories'!$C$107:$AC$116,26,FALSE)/24))*(1-'DB additional information '!$S$7/100)*(1-VLOOKUP(D305,'DB technologies'!$N$138:$Y$152,9,FALSE)/100))</f>
        <v/>
      </c>
      <c r="O305" s="445" t="str">
        <f>IF(D305="","",((VLOOKUP(D305,'DB technologies'!$N$138:$Y$152,4,FALSE)*E305*(1-'DB additional information '!$S$8/100)*(1-VLOOKUP(D305,'DB technologies'!$N$138:$Y$152,8,FALSE)/100))/VLOOKUP($C$301,'DB animal categories'!$C$107:$AC$116,27,FALSE)*(VLOOKUP($C$301,'DB animal categories'!$C$107:$AC$116,27,FALSE)-VLOOKUP($C$301,'DB animal categories'!$C$107:$AC$116,25,FALSE)*VLOOKUP($C$301,'DB animal categories'!$C$107:$AC$116,26,FALSE)/24)))</f>
        <v/>
      </c>
      <c r="P305" s="444" t="str">
        <f>IF(G305=0,0,IF(E305="","",IF(F305="","",IF($C$301=0,"",IF(D305="","",SUM(H305:K305)/G305*100)))))</f>
        <v/>
      </c>
      <c r="Q305" s="476" t="str">
        <f>IF(D305="","",(VLOOKUP(D305,'DB technologies'!$N$138:$Y$152,2,FALSE)*'DB additional information '!$S$6/100*'DB additional information '!$T$6*VLOOKUP($C$301,'DB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R305" s="476" t="str">
        <f>IF(D305="","",(VLOOKUP(D305,'DB technologies'!$N$138:$Y$152,3,FALSE)*'DB additional information '!$S$7/100*'DB additional information '!$T$7*VLOOKUP($C$301,'DB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S305" s="494" t="str">
        <f>IF(D305="","",(VLOOKUP(D305,'DB technologies'!$N$138:$Y$152,4,FALSE)*('DB additional information '!$S$8/100*'DB additional information '!$T$8*E305/1000/1000)))</f>
        <v/>
      </c>
      <c r="T305" s="266" t="str">
        <f>IF($C$301=0,"",IF('Calc (ex-animal)'!$F$58=1,"",IF(D305="","",((VLOOKUP($C$301,'Calc (ex-animal)'!$D$58:$Y$62,10,FALSE)-VLOOKUP($C$301,'Calc (ex-animal)'!$D$58:$Y$62,18,FALSE))*F305/100+Q305+R305+S305)-AC305-AD305-AE305)))</f>
        <v/>
      </c>
      <c r="U305" s="477" t="str">
        <f>IF(D305="","",(VLOOKUP(D305,'DB technologies'!$N$138:$Y$152,2,FALSE)*'DB additional information '!$S$6/100*'DB additional information '!$U$6*VLOOKUP($C$301,'DB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V305" s="433" t="str">
        <f>IF(D305="","",(VLOOKUP(D305,'DB technologies'!$N$138:$Y$152,3,FALSE)*'DB additional information '!$S$7/100*'DB additional information '!$U$7*VLOOKUP($C$301,'DB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W305" s="475" t="str">
        <f>IF(D305="","",(VLOOKUP(D305,'DB technologies'!$N$138:$Y$152,4,FALSE)*('DB additional information '!$S$8/100*'DB additional information '!$U$8*E305/1000/1000)))</f>
        <v/>
      </c>
      <c r="X305" s="267" t="str">
        <f>IF($C$301=0,"",IF('Calc (ex-animal)'!$F$58=1,"",IF(D305="","",((VLOOKUP($C$301,'Calc (ex-animal)'!$D$58:$Y$62,13,FALSE)-VLOOKUP($C$301,'Calc (ex-animal)'!$D$58:$Y$62,19,FALSE))*F305/100+U305+V305+W305))))</f>
        <v/>
      </c>
      <c r="Y305" s="433" t="str">
        <f>IF(D305="","",(VLOOKUP(D305,'DB technologies'!$N$138:$Y$152,2,FALSE)*'DB additional information '!$S$6/100*'DB additional information '!$V$6*VLOOKUP($C$301,'DB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Z305" s="433" t="str">
        <f>IF(D305="","",(VLOOKUP(D305,'DB technologies'!$N$138:$Y$152,3,FALSE)*'DB additional information '!$S$7/100*'DB additional information '!$V$7*VLOOKUP($C$301,'DB animal categories'!$C$107:$AC$116,27,FALSE)*E305/1000/1000)/VLOOKUP($C$301,'DB animal categories'!$C$107:$AC$116,27,FALSE)*(VLOOKUP($C$301,'DB animal categories'!$C$107:$AC$116,27,FALSE)-VLOOKUP($C$301,'DB animal categories'!$C$107:$AC$116,25,FALSE)*VLOOKUP($C$301,'DB animal categories'!$C$107:$AC$116,26,FALSE)/24))</f>
        <v/>
      </c>
      <c r="AA305" s="433" t="str">
        <f>IF(D305="","",(VLOOKUP(D305,'DB technologies'!$N$138:$Y$152,4,FALSE)*('DB additional information '!$S$8/100*'DB additional information '!$V$8*E305/1000/1000)))</f>
        <v/>
      </c>
      <c r="AB305" s="267" t="str">
        <f>IF($C$301=0,"",IF('Calc (ex-animal)'!$F$58=1,"",IF(D305="","",((VLOOKUP($C$301,'Calc (ex-animal)'!$D$58:$Y$62,16,FALSE)-VLOOKUP($C$301,'Calc (ex-animal)'!$D$58:$Y$62,20,FALSE))*F305/100+Y305+Z305+AA305))))</f>
        <v/>
      </c>
      <c r="AC305" s="267" t="str">
        <f>IF($C$301=0,"",IF('Calc (ex-animal)'!$F$58=1,"",IF(D305="","",VLOOKUP($C$301,'Calc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categories'!$C$107:$AC$116,26,FALSE)/24)*F305/100*VLOOKUP(D305,'DB technologies'!$N$138:$R$152,5,FALSE)/100)))</f>
        <v/>
      </c>
      <c r="AD305" s="267" t="str">
        <f>IF($C$301=0,"",IF('Calc (ex-animal)'!$F$58=1,"",IF(D305="","",VLOOKUP($C$301,'Calc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categories'!$C$107:$AC$116,26,FALSE)/24)*F305/100*VLOOKUP(D305,'DB technologies'!$N$138:$Y$152,6,FALSE)/100)))</f>
        <v/>
      </c>
      <c r="AE305" s="268" t="str">
        <f>IF($C$301=0,"",IF('Calc (ex-animal)'!$F$58=1,"",IF(D305="","",VLOOKUP($C$301,'Calc (ex-animal)'!$D$58:$Y$62,10,FALSE)/VLOOKUP($C$301,'DB animal categories'!$C$107:$AC$116,27,FALSE)*(VLOOKUP($C$301,'DB animal categories'!$C$107:$AC$116,27,FALSE)-VLOOKUP($C$301,'DB animal categories'!$C$107:$AC$116,25,FALSE)*VLOOKUP($C$301,'DB animal categories'!$C$107:$AC$116,26,FALSE)/24)*F305/100*VLOOKUP(D305,'DB technologies'!$N$138:$Y$152,7,FALSE)/100)))</f>
        <v/>
      </c>
      <c r="AI305" s="183" t="str">
        <f>IF(D305="","",VLOOKUP(D305,'DB technologies'!$N$138:$Y$152,10,FALSE))</f>
        <v/>
      </c>
      <c r="AJ305" s="451" t="e">
        <f>VLOOKUP($C$301,'DB animal categories'!$C$107:$AN$116,27,FALSE)-VLOOKUP($C$301,'DB animal categories'!$C$107:$AN$116,26,FALSE)*VLOOKUP($C$301,'DB animal categories'!$C$107:$AN$116,25,FALSE)/24</f>
        <v>#N/A</v>
      </c>
      <c r="AK305" s="452" t="str">
        <f>IF(AI305="","",AL305+AM305)</f>
        <v/>
      </c>
      <c r="AL305" s="452" t="str">
        <f>IF(D305="","",IF(AI305=2,(('Calc (ex-animal)'!$G$62*'DB additional information '!$K$15/100*(1-VLOOKUP(D305,'DB technologies'!$N$138:$Y$152,9,FALSE)/100)*'Calc (ex-housing, ex-storage)'!F305/100+'Calc (ex-animal)'!$H$62*'DB additional information '!$L$15/100*(1-VLOOKUP(D305,'DB technologies'!$N$138:$Y$152,9,FALSE)/100)*'Calc (ex-housing, ex-storage)'!F305/100))/VLOOKUP($C$301,'DB animal categories'!$C$107:$AC$116,27,FALSE)*AJ305+I305+J305+K305,IF(AI305=1,('Calc (ex-animal)'!$H$62*'DB additional information '!$L$15/100*(1-VLOOKUP(D305,'DB technologies'!$N$138:$Y$152,9,FALSE)/100)*'Calc (ex-housing, ex-storage)'!F305/100)/VLOOKUP($C$301,'DB animal categories'!$C$107:$AC$116,27,FALSE)*AJ305,IF(AI305=4,('Calc (ex-animal)'!$G$62*'DB additional information '!$K$15/100+'Calc (ex-animal)'!$H$62*'DB additional information '!$L$15/100)*(1-VLOOKUP(D305,'DB technologies'!$N$138:$Y$152,9,FALSE)/100)*'Calc (ex-housing, ex-storage)'!F305/100*VLOOKUP(D305,'DB technologies'!$N$138:$Y$152,11,FALSE)/100/VLOOKUP($C$301,'DB animal categories'!$C$107:$AC$116,27,FALSE)*AJ305,0))))</f>
        <v/>
      </c>
      <c r="AM305" s="452" t="str">
        <f>IF(D305="","",IF(AI305=2,(('Calc (ex-animal)'!$G$62*(1-'DB additional information '!$K$15/100)*(1-VLOOKUP(D305,'DB technologies'!$N$138:$Y$152,8,FALSE)/100)*'Calc (ex-housing, ex-storage)'!F305/100+'Calc (ex-animal)'!$H$62*(1-'DB additional information '!$L$15/100)*(1-VLOOKUP(D305,'DB technologies'!$N$138:$Y$152,8,FALSE)/100)*'Calc (ex-housing, ex-storage)'!F305/100))/VLOOKUP($C$301,'DB animal categories'!$C$107:$AC$116,27,FALSE)*AJ305+M305+N305+O305,IF(AI305=1,('Calc (ex-animal)'!$H$62*(1-'DB additional information '!$L$15/100)*(1-VLOOKUP(D305,'DB technologies'!$N$138:$Y$152,8,FALSE)/100)*'Calc (ex-housing, ex-storage)'!F305/100)/VLOOKUP($C$301,'DB animal categories'!$C$107:$AC$116,27,FALSE)*AJ305,IF(AI305=4,('Calc (ex-animal)'!$G$62*(1-'DB additional information '!$K$15/100)+'Calc (ex-animal)'!$H$62*(1-'DB additional information '!$L$15/100))*(1-VLOOKUP(D305,'DB technologies'!$N$138:$Y$152,8,FALSE)/100)*'Calc (ex-housing, ex-storage)'!F305/100*VLOOKUP(D305,'DB technologies'!$N$138:$Y$152,11,FALSE)/100/VLOOKUP($C$301,'DB animal categories'!$C$107:$AC$116,27,FALSE)*AJ305,0))))</f>
        <v/>
      </c>
      <c r="AN305" s="452" t="str">
        <f>IF(AI305="","",IF(AL305=0,0,AL305/AK305*100))</f>
        <v/>
      </c>
      <c r="AO305" s="184" t="str">
        <f>IF(D305="","",IF(AI305=2,(('Calc (ex-animal)'!$L$62*'Calc (ex-housing, ex-storage)'!F305/100+'Calc (ex-animal)'!$K$62*'Calc (ex-housing, ex-storage)'!F305/100))/VLOOKUP($C$301,'DB animal categories'!$C$107:$AC$116,27,FALSE)*AJ305+Q305+R305+S305-AC305,IF(AI305=1,('Calc (ex-animal)'!$L$62*'Calc (ex-housing, ex-storage)'!F305/100)/VLOOKUP($C$301,'DB animal categories'!$C$107:$AC$116,27,FALSE)*AJ305-'Calc (ex-housing, ex-storage)'!AC305,IF(AI305=4,('Calc (ex-animal)'!$L$62+'Calc (ex-animal)'!$K$62)*'Calc (ex-housing, ex-storage)'!F305/100*VLOOKUP(D305,'DB technologies'!$N$138:$Y$152,11,FALSE)/100/VLOOKUP($C$301,'DB animal categories'!$C$107:$AC$116,27,FALSE)*AJ305-AC305*VLOOKUP(D305,'DB technologies'!$N$138:$Y$152,11,FALSE)/100,0))))</f>
        <v/>
      </c>
      <c r="AP305" s="184" t="str">
        <f>IF(D305="","",IF(AO305&lt;-0.01,0,IF(AI305=2,(('Calc (ex-animal)'!$L$62*'Calc (ex-housing, ex-storage)'!F305/100+'Calc (ex-animal)'!$K$62*'Calc (ex-housing, ex-storage)'!F305/100))/VLOOKUP($C$301,'DB animal categories'!$C$107:$AC$116,27,FALSE)*AJ305+Q305+R305+S305-AC305,IF(AI305=1,('Calc (ex-animal)'!$L$62*'Calc (ex-housing, ex-storage)'!F305/100)/VLOOKUP($C$301,'DB animal categories'!$C$107:$AC$116,27,FALSE)*AJ305-'Calc (ex-housing, ex-storage)'!AC305,IF(AI305=4,('Calc (ex-animal)'!$L$62+'Calc (ex-animal)'!$K$62)*'Calc (ex-housing, ex-storage)'!F305/100*VLOOKUP(D305,'DB technologies'!$N$138:$Y$152,11,FALSE)/100/VLOOKUP($C$301,'DB animal categories'!$C$107:$AC$116,27,FALSE)*AJ305-AC305*VLOOKUP(D305,'DB technologies'!$N$138:$Y$152,11,FALSE)/100,0)))))</f>
        <v/>
      </c>
      <c r="AQ305" s="184" t="str">
        <f>IF(D305="","",IF(AI305=2,('Calc (ex-animal)'!$O$62*'Calc (ex-housing, ex-storage)'!F305/100+'Calc (ex-animal)'!$N$62*'Calc (ex-housing, ex-storage)'!F305/100)/VLOOKUP($C$301,'DB animal categories'!$C$107:$AC$116,27,FALSE)*AJ305+U305+V305+W305,IF(AI305=1,'Calc (ex-animal)'!$O$62*'Calc (ex-housing, ex-storage)'!F305/100/VLOOKUP($C$301,'DB animal categories'!$C$107:$AC$116,27,FALSE)*AJ305,IF(AI305=4,('Calc (ex-animal)'!$O$62+'Calc (ex-animal)'!$N$62)*'Calc (ex-housing, ex-storage)'!F305/100*VLOOKUP(D305,'DB technologies'!$N$138:$Y$152,11,FALSE)/100/VLOOKUP($C$301,'DB animal categories'!$C$107:$AC$116,27,FALSE)*AJ305,0))))</f>
        <v/>
      </c>
      <c r="AR305" s="184" t="str">
        <f>IF(D305="","",IF(AI305=2,('Calc (ex-animal)'!$R$62*'Calc (ex-housing, ex-storage)'!F305/100+'Calc (ex-animal)'!$Q$62*'Calc (ex-housing, ex-storage)'!F305/100)/VLOOKUP($C$301,'DB animal categories'!$C$107:$AC$116,27,FALSE)*AJ305+Y305+Z305+AA305,IF(AI305=1,'Calc (ex-animal)'!$R$62*'Calc (ex-housing, ex-storage)'!F305/100/VLOOKUP($C$301,'DB animal categories'!$C$107:$AC$116,27,FALSE)*AJ305,IF(AI305=4,('Calc (ex-animal)'!$R$62+'Calc (ex-animal)'!$Q$62)*'Calc (ex-housing, ex-storage)'!F305/100*VLOOKUP(D305,'DB technologies'!$N$138:$Y$152,11,FALSE)/100/VLOOKUP($C$301,'DB animal categories'!$C$107:$AC$116,27,FALSE)*AJ305,0))))</f>
        <v/>
      </c>
      <c r="AS305" s="183" t="str">
        <f>IF(D305="","",VLOOKUP(D305,'DB technologies'!$N$138:$Y$152,10,FALSE))</f>
        <v/>
      </c>
      <c r="AT305" s="452" t="str">
        <f>IF(AS305="","",AU305+AV305)</f>
        <v/>
      </c>
      <c r="AU305" s="452" t="str">
        <f>IF(D305="","",IF(AS305=2,0,IF(AS305=1,'Calc (ex-animal)'!$G$62*'DB additional information '!$K$15/100*(1-VLOOKUP(D305,'DB technologies'!$N$138:$Y$152,8,FALSE)/100)*'Calc (ex-housing, ex-storage)'!F305/100/VLOOKUP($C$301,'DB animal categories'!$C$107:$AC$116,27,FALSE)*AJ305+I305+J305+K305,IF(AS305=5,(('Calc (ex-animal)'!$G$62*'DB additional information '!$K$15/100+'Calc (ex-animal)'!$H$62*'DB additional information '!$L$15/100))*(1-VLOOKUP(D305,'DB technologies'!$N$138:$Y$152,9,FALSE)/100)*'Calc (ex-housing, ex-storage)'!F305/100/VLOOKUP($C$301,'DB animal categories'!$C$107:$AC$116,27,FALSE)*AJ305+I305+J305+K305,IF(AS305=3,('Calc (ex-animal)'!$G$62*'DB additional information '!$K$15/100+'Calc (ex-animal)'!$H$62*'DB additional information '!$L$15/100)*(1-VLOOKUP(D305,'DB technologies'!$N$138:$Y$152,9,FALSE)/100)*'Calc (ex-housing, ex-storage)'!F305/100/VLOOKUP($C$301,'DB animal categories'!$C$107:$AC$116,27,FALSE)*AJ305+I305+J305+K305,IF(AS305=4,('Calc (ex-animal)'!$G$62*'DB additional information '!$K$15/100+'Calc (ex-animal)'!$H$62*'DB additional information '!$L$15/100)*(1-VLOOKUP(D305,'DB technologies'!$N$138:$Y$152,9,FALSE)/100)*'Calc (ex-housing, ex-storage)'!F305/100*VLOOKUP(D305,'DB technologies'!$N$138:$Y$152,12,FALSE)/100/VLOOKUP($C$301,'DB animal categories'!$C$107:$AC$116,27,FALSE)*AJ305+I305+J305+K305,0))))))</f>
        <v/>
      </c>
      <c r="AV305" s="452" t="str">
        <f>IF(D305="","",IF(AS305=2,0,IF(AS305=1,'Calc (ex-animal)'!$G$62*(1-'DB additional information '!$K$15/100)*(1-VLOOKUP(D305,'DB technologies'!$N$138:$Y$152,8,FALSE)/100)*'Calc (ex-housing, ex-storage)'!F305/100/VLOOKUP($C$301,'DB animal categories'!$C$107:$AC$116,27,FALSE)*AJ305+M305+N305+O305,IF(AS305=5,('Calc (ex-animal)'!$G$62*(1-'DB additional information '!$K$15/100)+'Calc (ex-animal)'!$H$62*(1-'DB additional information '!$L$15/100))*(1-VLOOKUP(D305,'DB technologies'!$N$138:$Y$152,8,FALSE)/100)*'Calc (ex-housing, ex-storage)'!F305/100/VLOOKUP($C$301,'DB animal categories'!$C$107:$AC$116,27,FALSE)*AJ305+M305+N305+O305,IF(AS305=3,('Calc (ex-animal)'!$G$62*(1-'DB additional information '!$K$15/100)+'Calc (ex-animal)'!$H$62*(1-'DB additional information '!$L$15/100))*(1-VLOOKUP(D305,'DB technologies'!$N$138:$Y$152,8,FALSE)/100)*'Calc (ex-housing, ex-storage)'!F305/100/VLOOKUP($C$301,'DB animal categories'!$C$107:$AC$116,27,FALSE)*AJ305+M305+N305+O305,IF(AS305=4,('Calc (ex-animal)'!$G$62*(1-'DB additional information '!$K$15/100)+'Calc (ex-animal)'!$H$62*(1-'DB additional information '!$L$15/100))*(1-VLOOKUP(D305,'DB technologies'!$N$138:$Y$152,8,FALSE)/100)*'Calc (ex-housing, ex-storage)'!F305/100*VLOOKUP(D305,'DB technologies'!$N$138:$Y$152,12,FALSE)/100/VLOOKUP($C$301,'DB animal categories'!$C$107:$AC$116,27,FALSE)*AJ305+M305+N305+O305,0))))))</f>
        <v/>
      </c>
      <c r="AW305" s="452" t="str">
        <f>IF(AS305="","",IF(AU305=0,0,AU305/AT305*100))</f>
        <v/>
      </c>
      <c r="AX305" s="184" t="str">
        <f>IF(D305="","",IF(AS305=2,0,IF(AS305=1,'Calc (ex-animal)'!$K$62*'Calc (ex-housing, ex-storage)'!F305/100/VLOOKUP($C$301,'DB animal categories'!$C$107:$AC$116,27,FALSE)*AJ305+Q305+R305+S305,IF(AS305=5,('Calc (ex-animal)'!$K$62+'Calc (ex-animal)'!$L$62)*'Calc (ex-housing, ex-storage)'!F305/100/VLOOKUP($C$301,'DB animal categories'!$C$107:$AC$116,27,FALSE)*AJ305+Q305+R305+S305-'Calc (ex-housing, ex-storage)'!AC305,IF(AS305=3,('Calc (ex-animal)'!$K$62+'Calc (ex-animal)'!$L$62)*'Calc (ex-housing, ex-storage)'!F305/100/VLOOKUP($C$301,'DB animal categories'!$C$107:$AC$116,27,FALSE)*AJ305+Q305+R305+S305-'Calc (ex-housing, ex-storage)'!AC305-AD305-AE305,IF(AI305=4,('Calc (ex-animal)'!$K$62+'Calc (ex-animal)'!$L$62)*'Calc (ex-housing, ex-storage)'!F305/100*VLOOKUP(D305,'DB technologies'!$N$138:$Y$152,12,FALSE)/100/VLOOKUP($C$301,'DB animal categories'!$C$107:$AC$116,27,FALSE)*AJ305+Q305+R305+S305-(VLOOKUP(D305,'DB technologies'!$N$138:$Y$152,12,FALSE)/100*AC305)-AD305-AE305,0))))))</f>
        <v/>
      </c>
      <c r="AY305" s="184" t="str">
        <f>IF(D305="","",IF(AS305=2,0,IF(AS305=1,'Calc (ex-animal)'!$N$62*'Calc (ex-housing, ex-storage)'!F305/100/VLOOKUP($C$301,'DB animal categories'!$C$107:$AC$116,27,FALSE)*AJ305+U305+V305+W305,IF(AS305=5,('Calc (ex-animal)'!$N$62+'Calc (ex-animal)'!$O$62)*'Calc (ex-housing, ex-storage)'!F305/100/VLOOKUP($C$301,'DB animal categories'!$C$107:$AC$116,27,FALSE)*AJ305+U305+V305+W305,IF(AS305=3,('Calc (ex-animal)'!$N$62+'Calc (ex-animal)'!$O$62)*'Calc (ex-housing, ex-storage)'!F305/100/VLOOKUP($C$301,'DB animal categories'!$C$107:$AC$116,27,FALSE)*AJ305+U305+V305+W305,IF(AS305=4,('Calc (ex-animal)'!$N$62+'Calc (ex-animal)'!$O$62)*'Calc (ex-housing, ex-storage)'!F305/100*VLOOKUP(D305,'DB technologies'!$N$138:$Y$152,12,FALSE)/100/VLOOKUP($C$301,'DB animal categories'!$C$107:$AC$116,27,FALSE)*AJ305+U305+V305+W305,0))))))</f>
        <v/>
      </c>
      <c r="AZ305" s="184" t="str">
        <f>IF(D305="","",IF(AS305=2,0,IF(AS305=1,'Calc (ex-animal)'!$Q$62*'Calc (ex-housing, ex-storage)'!F305/100/VLOOKUP($C$301,'DB animal categories'!$C$107:$AC$116,27,FALSE)*AJ305+Y305+Z305+AA305,IF(AS305=5,('Calc (ex-animal)'!$Q$62+'Calc (ex-animal)'!$R$62)*'Calc (ex-housing, ex-storage)'!F305/100/VLOOKUP($C$301,'DB animal categories'!$C$107:$AC$116,27,FALSE)*AJ305+Y305+Z305+AA305,IF(AS305=3,('Calc (ex-animal)'!$Q$62+'Calc (ex-animal)'!$R$62)*'Calc (ex-housing, ex-storage)'!F305/100/VLOOKUP($C$301,'DB animal categories'!$C$107:$AC$116,27,FALSE)*AJ305+Y305+Z305+AA305,IF(AS305=4,('Calc (ex-animal)'!$Q$62+'Calc (ex-animal)'!$R$62)*'Calc (ex-housing, ex-storage)'!F305/100*VLOOKUP(D305,'DB technologies'!$N$138:$Y$152,12,FALSE)/100/VLOOKUP($C$301,'DB animal categories'!$C$107:$AC$116,27,FALSE)*AJ305+Y305+Z305+AA305,0))))))</f>
        <v/>
      </c>
      <c r="BA305" s="506"/>
      <c r="BB305" s="506"/>
      <c r="BC305" s="506"/>
    </row>
    <row r="306" spans="1:55" ht="12" thickBot="1" x14ac:dyDescent="0.25">
      <c r="A306" s="695"/>
      <c r="B306" s="696"/>
      <c r="C306" s="252"/>
      <c r="D306" s="275" t="s">
        <v>58</v>
      </c>
      <c r="E306" s="276">
        <f>IF(F306&lt;=100,SUM(E301:E305),"ERROR")</f>
        <v>0</v>
      </c>
      <c r="F306" s="288">
        <f>IF(SUM(F301:F305) &lt;=100,SUM(F301:F305),"ERROR, SUM&gt;100%")</f>
        <v>0</v>
      </c>
      <c r="G306" s="550">
        <f>IF('Calc (ex-animal)'!$F$58=1,"",SUM(G301:G305))</f>
        <v>0</v>
      </c>
      <c r="H306" s="418">
        <f>IF('Calc (ex-animal)'!$F$8=1,"",SUM(H301:H305))</f>
        <v>0</v>
      </c>
      <c r="I306" s="418">
        <f>IF('Calc (ex-animal)'!$F$8=1,"",SUM(I301:I305))</f>
        <v>0</v>
      </c>
      <c r="J306" s="418">
        <f>IF('Calc (ex-animal)'!$F$8=1,"",SUM(J301:J305))</f>
        <v>0</v>
      </c>
      <c r="K306" s="418">
        <f>IF('Calc (ex-animal)'!$F$8=1,"",SUM(K301:K305))</f>
        <v>0</v>
      </c>
      <c r="L306" s="418">
        <f>IF('Calc (ex-animal)'!$F$8=1,"",SUM(L301:L305))</f>
        <v>0</v>
      </c>
      <c r="M306" s="551"/>
      <c r="N306" s="551"/>
      <c r="O306" s="551"/>
      <c r="P306" s="552">
        <f>IF(G306=0,0,IF('Calc (ex-animal)'!$F$58=1,"",IF(D306="","",SUM(H306:K306)/G306*100)))</f>
        <v>0</v>
      </c>
      <c r="Q306" s="394"/>
      <c r="R306" s="394"/>
      <c r="S306" s="394"/>
      <c r="T306" s="285">
        <f>IF('Calc (ex-animal)'!$F$62=1,"",SUM(T301:T305))</f>
        <v>0</v>
      </c>
      <c r="U306" s="286"/>
      <c r="V306" s="286"/>
      <c r="W306" s="286"/>
      <c r="X306" s="286">
        <f>IF('Calc (ex-animal)'!$F$62=1,"",SUM(X301:X305))</f>
        <v>0</v>
      </c>
      <c r="Y306" s="286"/>
      <c r="Z306" s="286"/>
      <c r="AA306" s="286"/>
      <c r="AB306" s="286">
        <f>IF('Calc (ex-animal)'!$F$62=1,"",SUM(AB301:AB305))</f>
        <v>0</v>
      </c>
      <c r="AC306" s="286">
        <f>IF('Calc (ex-animal)'!$F$62=1,"",SUM(AC301:AC305))</f>
        <v>0</v>
      </c>
      <c r="AD306" s="286">
        <f>IF('Calc (ex-animal)'!$F$62=1,"",SUM(AD301:AD305))</f>
        <v>0</v>
      </c>
      <c r="AE306" s="287">
        <f>IF('Calc (ex-animal)'!$F$62=1,"",SUM(AE301:AE305))</f>
        <v>0</v>
      </c>
    </row>
    <row r="307" spans="1:55" x14ac:dyDescent="0.2">
      <c r="A307" s="695"/>
      <c r="B307" s="694" t="s">
        <v>34</v>
      </c>
      <c r="C307" s="254">
        <f>'Calc (ex-animal)'!D63</f>
        <v>0</v>
      </c>
      <c r="D307" s="1355"/>
      <c r="E307" s="1356"/>
      <c r="F307" s="479" t="str">
        <f>IF('Calc (ex-animal)'!$F$63=1,"",IF($C$307=0,"",IF(D307="","",E307/'Calc (ex-animal)'!$E$63*100)))</f>
        <v/>
      </c>
      <c r="G307" s="484" t="str">
        <f>IF($C$307=0,"",IF('Calc (ex-animal)'!$F$63=1,"",IF(D307="","",SUM(H307:O307))))</f>
        <v/>
      </c>
      <c r="H307" s="471" t="str">
        <f>IF('Calc (ex-animal)'!$F$63=1,"",IF(D307="","",(((VLOOKUP($C$307,'Calc (ex-animal)'!$D$63:$Y$67,6,FALSE)-VLOOKUP($C$307,'Calc (ex-animal)'!$D$63:$Y$67,17,FALSE))*F307/100))*VLOOKUP($C$307,'Calc (ex-animal)'!$D$63:$Y$67,7,FALSE)/100*(1-VLOOKUP(D307,'DB technologies'!$N$154:$Y$166,9,FALSE)/100)))</f>
        <v/>
      </c>
      <c r="I307" s="471" t="str">
        <f>IF(D307="","",((VLOOKUP(D307,'DB technologies'!$N$154:$Y$166,2,FALSE)*VLOOKUP($C$307,'DB animal categories'!$C$117:$AC$126,27,FALSE)*E307/1000)/VLOOKUP($C$307,'DB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'!$S$6/100*(1-VLOOKUP(D307,'DB technologies'!$N$154:$Y$166,9,FALSE)/100)))</f>
        <v/>
      </c>
      <c r="J307" s="472" t="str">
        <f>IF(D307="","",((VLOOKUP(D307,'DB technologies'!$N$154:$Y$166,3,FALSE)*VLOOKUP($C$307,'DB animal categories'!$C$117:$AC$126,27,FALSE)*E307/1000)/VLOOKUP($C$307,'DB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'!$S$7/100*(1-VLOOKUP(D307,'DB technologies'!$N$154:$Y$166,9,FALSE)/100)))</f>
        <v/>
      </c>
      <c r="K307" s="472" t="str">
        <f>IF(D307="","",((VLOOKUP(D307,'DB technologies'!$N$154:$Y$166,4,FALSE)*E307*'DB additional information '!$S$8/100*(1-VLOOKUP(D307,'DB technologies'!$N$154:$Y$166,9,FALSE)/100))/VLOOKUP($C$307,'DB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L307" s="471" t="str">
        <f>IF('Calc (ex-animal)'!$F$63=1,"",IF(D307="","",(((VLOOKUP($C$307,'Calc (ex-animal)'!$D$63:$Y$67,6,FALSE)-VLOOKUP($C$307,'Calc (ex-animal)'!$D$63:$Y$67,17,FALSE))*F307/100))*(1-VLOOKUP($C$307,'Calc (ex-animal)'!$D$63:$Y$67,7,FALSE)/100)*(1-VLOOKUP(D307,'DB technologies'!$N$154:$V$166,8,FALSE)/100)))</f>
        <v/>
      </c>
      <c r="M307" s="472" t="str">
        <f>IF(D307="","",((VLOOKUP(D307,'DB technologies'!$N$154:$Y$166,2,FALSE)*VLOOKUP($C$307,'DB animal categories'!$C$117:$AC$126,27,FALSE)*E307/1000)/VLOOKUP($C$307,'DB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'!$S$6/100)*(1-VLOOKUP(D307,'DB technologies'!$N$154:$Y$166,9,FALSE)/100))</f>
        <v/>
      </c>
      <c r="N307" s="472" t="str">
        <f>IF(D307="","",((VLOOKUP(D307,'DB technologies'!$N$154:$Y$166,3,FALSE)*VLOOKUP($C$307,'DB animal categories'!$C$117:$AC$126,27,FALSE)*E307/1000)/VLOOKUP($C$307,'DB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'!$S$7/100)*(1-VLOOKUP(D307,'DB technologies'!$N$154:$Y$166,9,FALSE)/100))</f>
        <v/>
      </c>
      <c r="O307" s="471" t="str">
        <f>IF(D307="","",((VLOOKUP(D307,'DB technologies'!$N$154:$Y$166,4,FALSE)*E307*(1-'DB additional information '!$S$8/100)*(1-VLOOKUP(D307,'DB technologies'!$N$154:$Y$166,8,FALSE)/100))/VLOOKUP($C$307,'DB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P307" s="443" t="str">
        <f>IF(G307=0,0,IF(E307="","",IF(F307="","",IF($C$307=0,"",IF(D307="","",SUM(H307:K307)/G307*100)))))</f>
        <v/>
      </c>
      <c r="Q307" s="473" t="str">
        <f>IF(D307="","",(VLOOKUP(D307,'DB technologies'!$N$154:$Y$166,2,FALSE)*'DB additional information '!$S$6/100*'DB additional information '!$T$6*VLOOKUP($C$307,'DB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R307" s="473" t="str">
        <f>IF(D307="","",(VLOOKUP(D307,'DB technologies'!$N$154:$Y$166,3,FALSE)*'DB additional information '!$S$7/100*'DB additional information '!$T$7*VLOOKUP($C$307,'DB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S307" s="490" t="str">
        <f>IF(D307="","",(VLOOKUP(D307,'DB technologies'!$N$154:$Y$166,4,FALSE)*('DB additional information '!$S$8/100*'DB additional information '!$T$8*E307/1000/1000)))</f>
        <v/>
      </c>
      <c r="T307" s="263" t="str">
        <f>IF($C$307=0,"",IF('Calc (ex-animal)'!$F$63=1,"",IF(D307="","",((VLOOKUP($C$307,'Calc (ex-animal)'!$D$63:$Y$67,10,FALSE)-VLOOKUP($C$307,'Calc (ex-animal)'!$D$63:$Y$67,18,FALSE))*F307/100+Q307+R307+S307)-AC307-AD307-AE307)))</f>
        <v/>
      </c>
      <c r="U307" s="474" t="str">
        <f>IF(D307="","",(VLOOKUP(D307,'DB technologies'!$N$154:$Y$166,2,FALSE)*'DB additional information '!$S$6/100*'DB additional information '!$U$6*VLOOKUP($C$307,'DB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V307" s="420" t="str">
        <f>IF(D307="","",(VLOOKUP(D307,'DB technologies'!$N$154:$Y$166,3,FALSE)*'DB additional information '!$S$7/100*'DB additional information '!$U$7*VLOOKUP($C$307,'DB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W307" s="415" t="str">
        <f>IF(D307="","",(VLOOKUP(D307,'DB technologies'!$N$154:$Y$166,4,FALSE)*('DB additional information '!$S$8/100*'DB additional information '!$U$8*E307/1000/1000)))</f>
        <v/>
      </c>
      <c r="X307" s="259" t="str">
        <f>IF($C$307=0,"",IF('Calc (ex-animal)'!$F$63=1,"",IF(D307="","",((VLOOKUP($C$307,'Calc (ex-animal)'!$D$63:$Y$67,13,FALSE)-VLOOKUP($C$307,'Calc (ex-animal)'!$D$63:$Y$67,19,FALSE))*F307/100+U307+V307+W307))))</f>
        <v/>
      </c>
      <c r="Y307" s="420" t="str">
        <f>IF(D307="","",(VLOOKUP(D307,'DB technologies'!$N$154:$Y$166,2,FALSE)*'DB additional information '!$S$6/100*'DB additional information '!$V$6*VLOOKUP($C$307,'DB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Z307" s="420" t="str">
        <f>IF(D307="","",(VLOOKUP(D307,'DB technologies'!$N$154:$Y$166,3,FALSE)*'DB additional information '!$S$7/100*'DB additional information '!$V$7*VLOOKUP($C$307,'DB animal categories'!$C$117:$AC$126,27,FALSE)*E307/1000/1000)/VLOOKUP($C$307,'DB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AA307" s="420" t="str">
        <f>IF(D307="","",(VLOOKUP(D307,'DB technologies'!$N$154:$Y$166,4,FALSE)*('DB additional information '!$S$8/100*'DB additional information '!$V$8*E307/1000/1000)))</f>
        <v/>
      </c>
      <c r="AB307" s="259" t="str">
        <f>IF($C$307=0,"",IF('Calc (ex-animal)'!$F$63=1,"",IF(D307="","",((VLOOKUP($C$307,'Calc (ex-animal)'!$D$63:$Y$67,16,FALSE)-VLOOKUP($C$307,'Calc (ex-animal)'!$D$63:$Y$67,20,FALSE))*F307/100+Y307+Z307+AA307))))</f>
        <v/>
      </c>
      <c r="AC307" s="259" t="str">
        <f>IF($C$307=0,"",IF('Calc (ex-animal)'!$F$63=1,"",IF(D307="","",VLOOKUP($C$307,'Calc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categories'!$C$117:$AC$126,26,FALSE)/24)*F307/100*VLOOKUP(D307,'DB technologies'!$N$154:$R$166,5,FALSE)/100)))</f>
        <v/>
      </c>
      <c r="AD307" s="259" t="str">
        <f>IF($C$307=0,"",IF('Calc (ex-animal)'!$F$63=1,"",IF(D307="","",VLOOKUP($C$307,'Calc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categories'!$C$117:$AC$126,26,FALSE)/24)*F307/100*VLOOKUP(D307,'DB technologies'!$N$154:$Y$166,6,FALSE)/100)))</f>
        <v/>
      </c>
      <c r="AE307" s="260" t="str">
        <f>IF($C$307=0,"",IF('Calc (ex-animal)'!$F$63=1,"",IF(D307="","",VLOOKUP($C$307,'Calc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categories'!$C$117:$AC$126,26,FALSE)/24)*F307/100*VLOOKUP(D307,'DB technologies'!$N$154:$Y$166,7,FALSE)/100)))</f>
        <v/>
      </c>
      <c r="AI307" s="179" t="str">
        <f>IF(D307="","",VLOOKUP(D307,'DB technologies'!$N$154:$Y$166,10,FALSE))</f>
        <v/>
      </c>
      <c r="AJ307" s="482" t="e">
        <f>VLOOKUP($C$307,'DB animal categories'!$C$117:$AN$126,27,FALSE)-VLOOKUP($C$307,'DB animal categories'!$C$117:$AN$126,26,FALSE)*VLOOKUP($C$307,'DB animal categories'!$C$117:$AN$126,25,FALSE)/24</f>
        <v>#N/A</v>
      </c>
      <c r="AK307" s="453" t="str">
        <f>IF(AI307="","",AL307+AM307)</f>
        <v/>
      </c>
      <c r="AL307" s="453" t="str">
        <f>IF(D307="","",IF(AI307=2,(('Calc (ex-animal)'!$G$63*'DB additional information '!$K$13/100*(1-VLOOKUP(D307,'DB technologies'!$N$154:$Y$166,9,FALSE)/100)*'Calc (ex-housing, ex-storage)'!F307/100+'Calc (ex-animal)'!$H$63*'DB additional information '!$L$13/100*(1-VLOOKUP(D307,'DB technologies'!$N$154:$Y$166,9,FALSE)/100)*'Calc (ex-housing, ex-storage)'!F307/100))/VLOOKUP($C$307,'DB animal categories'!$C$117:$AC$126,27,FALSE)*AJ307+I307+J307+K307,IF(AI307=1,('Calc (ex-animal)'!$H$63*'DB additional information '!$L$13/100*(1-VLOOKUP(D307,'DB technologies'!$N$154:$Y$166,9,FALSE)/100)*'Calc (ex-housing, ex-storage)'!F307/100)/VLOOKUP($C$307,'DB animal categories'!$C$117:$AC$126,27,FALSE)*AJ307,IF(AI307=4,('Calc (ex-animal)'!$G$63*'DB additional information '!$K$13/100+'Calc (ex-animal)'!$H$63*'DB additional information '!$L$13/100)*(1-VLOOKUP(D307,'DB technologies'!$N$154:$Y$166,9,FALSE)/100)*'Calc (ex-housing, ex-storage)'!F307/100*VLOOKUP(D307,'DB technologies'!$N$154:$Y$166,11,FALSE)/100/VLOOKUP($C$307,'DB animal categories'!$C$117:$AC$126,27,FALSE)*AJ307,0))))</f>
        <v/>
      </c>
      <c r="AM307" s="453" t="str">
        <f>IF(D307="","",IF(AI307=2,(('Calc (ex-animal)'!$G$63*(1-'DB additional information '!$K$13/100)*(1-VLOOKUP(D307,'DB technologies'!$N$154:$Y$166,8,FALSE)/100)*'Calc (ex-housing, ex-storage)'!F307/100+'Calc (ex-animal)'!$H$63*(1-'DB additional information '!$L$13/100)*(1-VLOOKUP(D307,'DB technologies'!$N$154:$Y$166,8,FALSE)/100)*'Calc (ex-housing, ex-storage)'!F307/100))/VLOOKUP($C$307,'DB animal categories'!$C$117:$AC$126,27,FALSE)*AJ307+M307+N307+O307,IF(AI307=1,('Calc (ex-animal)'!$H$63*(1-'DB additional information '!$L$13/100)*(1-VLOOKUP(D307,'DB technologies'!$N$154:$Y$166,8,FALSE)/100)*'Calc (ex-housing, ex-storage)'!F307/100)/VLOOKUP($C$307,'DB animal categories'!$C$117:$AC$126,27,FALSE)*AJ307,IF(AI307=4,('Calc (ex-animal)'!$G$63*(1-'DB additional information '!$K$13/100)+'Calc (ex-animal)'!$H$63*(1-'DB additional information '!$L$13/100))*(1-VLOOKUP(D307,'DB technologies'!$N$154:$Y$166,8,FALSE)/100)*'Calc (ex-housing, ex-storage)'!F307/100*VLOOKUP(D307,'DB technologies'!$N$154:$Y$166,11,FALSE)/100/VLOOKUP($C$307,'DB animal categories'!$C$117:$AC$126,27,FALSE)*AJ307,0))))</f>
        <v/>
      </c>
      <c r="AN307" s="453" t="str">
        <f>IF(AI307="","",IF(AL307=0,0,AL307/AK307*100))</f>
        <v/>
      </c>
      <c r="AO307" s="180" t="str">
        <f>IF(D307="","",IF(AI307=2,(('Calc (ex-animal)'!$L$63*'Calc (ex-housing, ex-storage)'!F307/100+'Calc (ex-animal)'!$K$63*'Calc (ex-housing, ex-storage)'!F307/100))/VLOOKUP($C$307,'DB animal categories'!$C$117:$AC$126,27,FALSE)*AJ307+Q307+R307+S307-AC307,IF(AI307=1,('Calc (ex-animal)'!$L$63*'Calc (ex-housing, ex-storage)'!F307/100)/VLOOKUP($C$307,'DB animal categories'!$C$117:$AC$126,27,FALSE)*AJ307-'Calc (ex-housing, ex-storage)'!AC307,IF(AI307=4,('Calc (ex-animal)'!$L$63+'Calc (ex-animal)'!$K$63)*'Calc (ex-housing, ex-storage)'!F307/100*VLOOKUP(D307,'DB technologies'!$N$154:$Y$166,11,FALSE)/100/VLOOKUP($C$307,'DB animal categories'!$C$117:$AC$126,27,FALSE)*AJ307-AC307*VLOOKUP(D307,'DB technologies'!$N$154:$Y$166,11,FALSE)/100,0))))</f>
        <v/>
      </c>
      <c r="AP307" s="180" t="str">
        <f>IF(D307="","",IF(AO307&lt;-0.01,0,IF(AI307=2,(('Calc (ex-animal)'!$L$63*'Calc (ex-housing, ex-storage)'!F307/100+'Calc (ex-animal)'!$K$63*'Calc (ex-housing, ex-storage)'!F307/100))/VLOOKUP($C$307,'DB animal categories'!$C$117:$AC$126,27,FALSE)*AJ307+Q307+R307+S307-AC307,IF(AI307=1,('Calc (ex-animal)'!$L$63*'Calc (ex-housing, ex-storage)'!F307/100)/VLOOKUP($C$307,'DB animal categories'!$C$117:$AC$126,27,FALSE)*AJ307-'Calc (ex-housing, ex-storage)'!AC307,IF(AI307=4,('Calc (ex-animal)'!$L$63+'Calc (ex-animal)'!$K$63)*'Calc (ex-housing, ex-storage)'!F307/100*VLOOKUP(D307,'DB technologies'!$N$154:$Y$166,11,FALSE)/100/VLOOKUP($C$307,'DB animal categories'!$C$117:$AC$126,27,FALSE)*AJ307-AC307*VLOOKUP(D307,'DB technologies'!$N$154:$Y$166,11,FALSE)/100,0)))))</f>
        <v/>
      </c>
      <c r="AQ307" s="180" t="str">
        <f>IF(D307="","",IF(AI307=2,('Calc (ex-animal)'!$O$63*'Calc (ex-housing, ex-storage)'!F307/100+'Calc (ex-animal)'!$N$63*'Calc (ex-housing, ex-storage)'!F307/100)/VLOOKUP($C$307,'DB animal categories'!$C$117:$AC$126,27,FALSE)*AJ307+U307+V307+W307,IF(AI307=1,'Calc (ex-animal)'!$O$63*'Calc (ex-housing, ex-storage)'!F307/100/VLOOKUP($C$307,'DB animal categories'!$C$117:$AC$126,27,FALSE)*AJ307,IF(AI307=4,('Calc (ex-animal)'!$O$63+'Calc (ex-animal)'!$N$63)*'Calc (ex-housing, ex-storage)'!F307/100*VLOOKUP(D307,'DB technologies'!$N$154:$Y$166,11,FALSE)/100/VLOOKUP($C$307,'DB animal categories'!$C$117:$AC$126,27,FALSE)*AJ307,0))))</f>
        <v/>
      </c>
      <c r="AR307" s="180" t="str">
        <f>IF(D307="","",IF(AI307=2,('Calc (ex-animal)'!$R$63*'Calc (ex-housing, ex-storage)'!F307/100+'Calc (ex-animal)'!$Q$63*'Calc (ex-housing, ex-storage)'!F307/100)/VLOOKUP($C$307,'DB animal categories'!$C$117:$AC$126,27,FALSE)*AJ307+Y307+Z307+AA307,IF(AI307=1,'Calc (ex-animal)'!$R$63*'Calc (ex-housing, ex-storage)'!F307/100/VLOOKUP($C$307,'DB animal categories'!$C$117:$AC$126,27,FALSE)*AJ307,IF(AI307=4,('Calc (ex-animal)'!$R$63+'Calc (ex-animal)'!$Q$63)*'Calc (ex-housing, ex-storage)'!F307/100*VLOOKUP(D307,'DB technologies'!$N$154:$Y$166,11,FALSE)/100/VLOOKUP($C$307,'DB animal categories'!$C$117:$AC$126,27,FALSE)*AJ307,0))))</f>
        <v/>
      </c>
      <c r="AS307" s="179" t="str">
        <f>IF(D307="","",VLOOKUP(D307,'DB technologies'!$N$154:$Y$166,10,FALSE))</f>
        <v/>
      </c>
      <c r="AT307" s="453" t="str">
        <f>IF(AS307="","",AU307+AV307)</f>
        <v/>
      </c>
      <c r="AU307" s="453" t="str">
        <f>IF(D307="","",IF(AS307=2,0,IF(AS307=1,'Calc (ex-animal)'!$G$63*'DB additional information '!$K$13/100*(1-VLOOKUP(D307,'DB technologies'!$N$154:$Y$166,8,FALSE)/100)*'Calc (ex-housing, ex-storage)'!F307/100/VLOOKUP($C$307,'DB animal categories'!$C$117:$AC$126,27,FALSE)*AJ307+I307+J307+K307,IF(AS307=5,(('Calc (ex-animal)'!$G$63*'DB additional information '!$K$13/100+'Calc (ex-animal)'!$H$63*'DB additional information '!$L$13/100))*(1-VLOOKUP(D307,'DB technologies'!$N$154:$Y$166,9,FALSE)/100)*'Calc (ex-housing, ex-storage)'!F307/100/VLOOKUP($C$307,'DB animal categories'!$C$117:$AC$126,27,FALSE)*AJ307+I307+J307+K307,IF(AS307=3,('Calc (ex-animal)'!$G$63*'DB additional information '!$K$13/100+'Calc (ex-animal)'!$H$63*'DB additional information '!$L$13/100)*(1-VLOOKUP(D307,'DB technologies'!$N$154:$Y$166,9,FALSE)/100)*'Calc (ex-housing, ex-storage)'!F307/100/VLOOKUP($C$307,'DB animal categories'!$C$117:$AC$126,27,FALSE)*AJ307+I307+J307+K307,IF(AS307=4,('Calc (ex-animal)'!$G$63*'DB additional information '!$K$13/100+'Calc (ex-animal)'!$H$63*'DB additional information '!$L$13/100)*(1-VLOOKUP(D307,'DB technologies'!$N$154:$Y$166,9,FALSE)/100)*'Calc (ex-housing, ex-storage)'!F307/100*VLOOKUP(D307,'DB technologies'!$N$154:$Y$166,12,FALSE)/100/VLOOKUP($C$307,'DB animal categories'!$C$117:$AC$126,27,FALSE)*AJ307+I307+J307+K307,0))))))</f>
        <v/>
      </c>
      <c r="AV307" s="453" t="str">
        <f>IF(D307="","",IF(AS307=2,0,IF(AS307=1,'Calc (ex-animal)'!$G$63*(1-'DB additional information '!$K$13/100)*(1-VLOOKUP(D307,'DB technologies'!$N$154:$Y$166,8,FALSE)/100)*'Calc (ex-housing, ex-storage)'!F307/100/VLOOKUP($C$307,'DB animal categories'!$C$117:$AC$126,27,FALSE)*AJ307+M307+N307+O307,IF(AS307=5,('Calc (ex-animal)'!$G$63*(1-'DB additional information '!$K$13/100)+'Calc (ex-animal)'!$H$63*(1-'DB additional information '!$L$13/100))*(1-VLOOKUP(D307,'DB technologies'!$N$154:$Y$166,8,FALSE)/100)*'Calc (ex-housing, ex-storage)'!F307/100/VLOOKUP($C$307,'DB animal categories'!$C$117:$AC$126,27,FALSE)*AJ307+M307+N307+O307,IF(AS307=3,('Calc (ex-animal)'!$G$63*(1-'DB additional information '!$K$13/100)+'Calc (ex-animal)'!$H$63*(1-'DB additional information '!$L$13/100))*(1-VLOOKUP(D307,'DB technologies'!$N$154:$Y$166,8,FALSE)/100)*'Calc (ex-housing, ex-storage)'!F307/100/VLOOKUP($C$307,'DB animal categories'!$C$117:$AC$126,27,FALSE)*AJ307+M307+N307+O307,IF(AS307=4,('Calc (ex-animal)'!$G$63*(1-'DB additional information '!$K$13/100)+'Calc (ex-animal)'!$H$63*(1-'DB additional information '!$L$13/100))*(1-VLOOKUP(D307,'DB technologies'!$N$154:$Y$166,8,FALSE)/100)*'Calc (ex-housing, ex-storage)'!F307/100*VLOOKUP(D307,'DB technologies'!$N$154:$Y$166,12,FALSE)/100/VLOOKUP($C$307,'DB animal categories'!$C$117:$AC$126,27,FALSE)*AJ307+M307+N307+O307,0))))))</f>
        <v/>
      </c>
      <c r="AW307" s="453" t="str">
        <f>IF(AS307="","",IF(AU307=0,0,AU307/AT307*100))</f>
        <v/>
      </c>
      <c r="AX307" s="180" t="str">
        <f>IF(D307="","",IF(AS307=2,0,IF(AS307=1,'Calc (ex-animal)'!$K$63*'Calc (ex-housing, ex-storage)'!F307/100/VLOOKUP($C$307,'DB animal categories'!$C$117:$AC$126,27,FALSE)*AJ307+Q307+R307+S307,IF(AS307=5,('Calc (ex-animal)'!$K$63+'Calc (ex-animal)'!$L$63)*'Calc (ex-housing, ex-storage)'!F307/100/VLOOKUP($C$307,'DB animal categories'!$C$117:$AC$126,27,FALSE)*AJ307+Q307+R307+S307-'Calc (ex-housing, ex-storage)'!AC307,IF(AS307=3,('Calc (ex-animal)'!$K$63+'Calc (ex-animal)'!$L$63)*'Calc (ex-housing, ex-storage)'!F307/100/VLOOKUP($C$307,'DB animal categories'!$C$117:$AC$126,27,FALSE)*AJ307+Q307+R307+S307-'Calc (ex-housing, ex-storage)'!AC307-AD307-AE307,IF(AI307=4,('Calc (ex-animal)'!$K$63+'Calc (ex-animal)'!$L$63)*'Calc (ex-housing, ex-storage)'!F307/100*VLOOKUP(D307,'DB technologies'!$N$154:$Y$166,12,FALSE)/100/VLOOKUP($C$307,'DB animal categories'!$C$117:$AC$126,27,FALSE)*AJ307+Q307+R307+S307-(VLOOKUP(D307,'DB technologies'!$N$154:$Y$166,12,FALSE)/100*AC307)-AD307-AE307,0))))))</f>
        <v/>
      </c>
      <c r="AY307" s="180" t="str">
        <f>IF(D307="","",IF(AS307=2,0,IF(AS307=1,'Calc (ex-animal)'!$N$63*'Calc (ex-housing, ex-storage)'!F307/100/VLOOKUP($C$307,'DB animal categories'!$C$117:$AC$126,27,FALSE)*AJ307+U307+V307+W307,IF(AS307=5,('Calc (ex-animal)'!$N$63+'Calc (ex-animal)'!$O$63)*'Calc (ex-housing, ex-storage)'!F307/100/VLOOKUP($C$307,'DB animal categories'!$C$117:$AC$126,27,FALSE)*AJ307+U307+V307+W307,IF(AS307=3,('Calc (ex-animal)'!$N$63+'Calc (ex-animal)'!$O$63)*'Calc (ex-housing, ex-storage)'!F307/100/VLOOKUP($C$307,'DB animal categories'!$C$117:$AC$126,27,FALSE)*AJ307+U307+V307+W307,IF(AS307=4,('Calc (ex-animal)'!$N$63+'Calc (ex-animal)'!$O$63)*'Calc (ex-housing, ex-storage)'!F307/100*VLOOKUP(D307,'DB technologies'!$N$154:$Y$166,12,FALSE)/100/VLOOKUP($C$307,'DB animal categories'!$C$117:$AC$126,27,FALSE)*AJ307+U307+V307+W307,0))))))</f>
        <v/>
      </c>
      <c r="AZ307" s="180" t="str">
        <f>IF(D307="","",IF(AS307=2,0,IF(AS307=1,'Calc (ex-animal)'!$Q$63*'Calc (ex-housing, ex-storage)'!F307/100/VLOOKUP($C$307,'DB animal categories'!$C$117:$AC$126,27,FALSE)*AJ307+Y307+Z307+AA307,IF(AS307=5,('Calc (ex-animal)'!$Q$63+'Calc (ex-animal)'!$R$63)*'Calc (ex-housing, ex-storage)'!F307/100/VLOOKUP($C$307,'DB animal categories'!$C$117:$AC$126,27,FALSE)*AJ307+Y307+Z307+AA307,IF(AS307=3,('Calc (ex-animal)'!$Q$63+'Calc (ex-animal)'!$R$63)*'Calc (ex-housing, ex-storage)'!F307/100/VLOOKUP($C$307,'DB animal categories'!$C$117:$AC$126,27,FALSE)*AJ307+Y307+Z307+AA307,IF(AS307=4,('Calc (ex-animal)'!$Q$63+'Calc (ex-animal)'!$R$63)*'Calc (ex-housing, ex-storage)'!F307/100*VLOOKUP(D307,'DB technologies'!$N$154:$Y$166,12,FALSE)/100/VLOOKUP($C$307,'DB animal categories'!$C$117:$AC$126,27,FALSE)*AJ307+Y307+Z307+AA307,0))))))</f>
        <v/>
      </c>
      <c r="BA307" s="506"/>
      <c r="BB307" s="506"/>
      <c r="BC307" s="506"/>
    </row>
    <row r="308" spans="1:55" x14ac:dyDescent="0.2">
      <c r="A308" s="695"/>
      <c r="B308" s="695"/>
      <c r="C308" s="255"/>
      <c r="D308" s="1357"/>
      <c r="E308" s="1358"/>
      <c r="F308" s="480" t="str">
        <f>IF('Calc (ex-animal)'!$F$63=1,"",IF($C$307=0,"",IF(D308="","",E308/'Calc (ex-animal)'!$E$63*100)))</f>
        <v/>
      </c>
      <c r="G308" s="485" t="str">
        <f>IF($C$307=0,"",IF('Calc (ex-animal)'!$F$63=1,"",IF(D308="","",SUM(H308:O308))))</f>
        <v/>
      </c>
      <c r="H308" s="423" t="str">
        <f>IF('Calc (ex-animal)'!$F$63=1,"",IF(D308="","",(((VLOOKUP($C$307,'Calc (ex-animal)'!$D$63:$Y$67,6,FALSE)-VLOOKUP($C$307,'Calc (ex-animal)'!$D$63:$Y$67,17,FALSE))*F308/100))*VLOOKUP($C$307,'Calc (ex-animal)'!$D$63:$Y$67,7,FALSE)/100*(1-VLOOKUP(D308,'DB technologies'!$N$154:$Y$166,9,FALSE)/100)))</f>
        <v/>
      </c>
      <c r="I308" s="423" t="str">
        <f>IF(D308="","",((VLOOKUP(D308,'DB technologies'!$N$154:$Y$166,2,FALSE)*VLOOKUP($C$307,'DB animal categories'!$C$117:$AC$126,27,FALSE)*E308/1000)/VLOOKUP($C$307,'DB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'!$S$6/100*(1-VLOOKUP(D308,'DB technologies'!$N$154:$Y$166,9,FALSE)/100)))</f>
        <v/>
      </c>
      <c r="J308" s="434" t="str">
        <f>IF(D308="","",((VLOOKUP(D308,'DB technologies'!$N$154:$Y$166,3,FALSE)*VLOOKUP($C$307,'DB animal categories'!$C$117:$AC$126,27,FALSE)*E308/1000)/VLOOKUP($C$307,'DB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'!$S$7/100*(1-VLOOKUP(D308,'DB technologies'!$N$154:$Y$166,9,FALSE)/100)))</f>
        <v/>
      </c>
      <c r="K308" s="434" t="str">
        <f>IF(D308="","",((VLOOKUP(D308,'DB technologies'!$N$154:$Y$166,4,FALSE)*E308*'DB additional information '!$S$8/100*(1-VLOOKUP(D308,'DB technologies'!$N$154:$Y$166,9,FALSE)/100))/VLOOKUP($C$307,'DB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L308" s="423" t="str">
        <f>IF('Calc (ex-animal)'!$F$63=1,"",IF(D308="","",(((VLOOKUP($C$307,'Calc (ex-animal)'!$D$63:$Y$67,6,FALSE)-VLOOKUP($C$307,'Calc (ex-animal)'!$D$63:$Y$67,17,FALSE))*F308/100))*(1-VLOOKUP($C$307,'Calc (ex-animal)'!$D$63:$Y$67,7,FALSE)/100)*(1-VLOOKUP(D308,'DB technologies'!$N$154:$V$166,8,FALSE)/100)))</f>
        <v/>
      </c>
      <c r="M308" s="434" t="str">
        <f>IF(D308="","",((VLOOKUP(D308,'DB technologies'!$N$154:$Y$166,2,FALSE)*VLOOKUP($C$307,'DB animal categories'!$C$117:$AC$126,27,FALSE)*E308/1000)/VLOOKUP($C$307,'DB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'!$S$6/100)*(1-VLOOKUP(D308,'DB technologies'!$N$154:$Y$166,9,FALSE)/100))</f>
        <v/>
      </c>
      <c r="N308" s="434" t="str">
        <f>IF(D308="","",((VLOOKUP(D308,'DB technologies'!$N$154:$Y$166,3,FALSE)*VLOOKUP($C$307,'DB animal categories'!$C$117:$AC$126,27,FALSE)*E308/1000)/VLOOKUP($C$307,'DB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'!$S$7/100)*(1-VLOOKUP(D308,'DB technologies'!$N$154:$Y$166,9,FALSE)/100))</f>
        <v/>
      </c>
      <c r="O308" s="423" t="str">
        <f>IF(D308="","",((VLOOKUP(D308,'DB technologies'!$N$154:$Y$166,4,FALSE)*E308*(1-'DB additional information '!$S$8/100)*(1-VLOOKUP(D308,'DB technologies'!$N$154:$Y$166,8,FALSE)/100))/VLOOKUP($C$307,'DB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P308" s="438" t="str">
        <f>IF(G308=0,0,IF(E308="","",IF(F308="","",IF($C$307=0,"",IF(D308="","",SUM(H308:K308)/G308*100)))))</f>
        <v/>
      </c>
      <c r="Q308" s="416" t="str">
        <f>IF(D308="","",(VLOOKUP(D308,'DB technologies'!$N$154:$Y$166,2,FALSE)*'DB additional information '!$S$6/100*'DB additional information '!$T$6*VLOOKUP($C$307,'DB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R308" s="416" t="str">
        <f>IF(D308="","",(VLOOKUP(D308,'DB technologies'!$N$154:$Y$166,3,FALSE)*'DB additional information '!$S$7/100*'DB additional information '!$T$7*VLOOKUP($C$307,'DB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S308" s="491" t="str">
        <f>IF(D308="","",(VLOOKUP(D308,'DB technologies'!$N$154:$Y$166,4,FALSE)*('DB additional information '!$S$8/100*'DB additional information '!$T$8*E308/1000/1000)))</f>
        <v/>
      </c>
      <c r="T308" s="264" t="str">
        <f>IF($C$307=0,"",IF('Calc (ex-animal)'!$F$63=1,"",IF(D308="","",((VLOOKUP($C$307,'Calc (ex-animal)'!$D$63:$Y$67,10,FALSE)-VLOOKUP($C$307,'Calc (ex-animal)'!$D$63:$Y$67,18,FALSE))*F308/100+Q308+R308+S308)-AC308-AD308-AE308)))</f>
        <v/>
      </c>
      <c r="U308" s="422" t="str">
        <f>IF(D308="","",(VLOOKUP(D308,'DB technologies'!$N$154:$Y$166,2,FALSE)*'DB additional information '!$S$6/100*'DB additional information '!$U$6*VLOOKUP($C$307,'DB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V308" s="418" t="str">
        <f>IF(D308="","",(VLOOKUP(D308,'DB technologies'!$N$154:$Y$166,3,FALSE)*'DB additional information '!$S$7/100*'DB additional information '!$U$7*VLOOKUP($C$307,'DB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W308" s="417" t="str">
        <f>IF(D308="","",(VLOOKUP(D308,'DB technologies'!$N$154:$Y$166,4,FALSE)*('DB additional information '!$S$8/100*'DB additional information '!$U$8*E308/1000/1000)))</f>
        <v/>
      </c>
      <c r="X308" s="261" t="str">
        <f>IF($C$307=0,"",IF('Calc (ex-animal)'!$F$63=1,"",IF(D308="","",((VLOOKUP($C$307,'Calc (ex-animal)'!$D$63:$Y$67,13,FALSE)-VLOOKUP($C$307,'Calc (ex-animal)'!$D$63:$Y$67,19,FALSE))*F308/100+U308+V308+W308))))</f>
        <v/>
      </c>
      <c r="Y308" s="418" t="str">
        <f>IF(D308="","",(VLOOKUP(D308,'DB technologies'!$N$154:$Y$166,2,FALSE)*'DB additional information '!$S$6/100*'DB additional information '!$V$6*VLOOKUP($C$307,'DB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Z308" s="418" t="str">
        <f>IF(D308="","",(VLOOKUP(D308,'DB technologies'!$N$154:$Y$166,3,FALSE)*'DB additional information '!$S$7/100*'DB additional information '!$V$7*VLOOKUP($C$307,'DB animal categories'!$C$117:$AC$126,27,FALSE)*E308/1000/1000)/VLOOKUP($C$307,'DB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AA308" s="418" t="str">
        <f>IF(D308="","",(VLOOKUP(D308,'DB technologies'!$N$154:$Y$166,4,FALSE)*('DB additional information '!$S$8/100*'DB additional information '!$V$8*E308/1000/1000)))</f>
        <v/>
      </c>
      <c r="AB308" s="261" t="str">
        <f>IF($C$307=0,"",IF('Calc (ex-animal)'!$F$63=1,"",IF(D308="","",((VLOOKUP($C$307,'Calc (ex-animal)'!$D$63:$Y$67,16,FALSE)-VLOOKUP($C$307,'Calc (ex-animal)'!$D$63:$Y$67,20,FALSE))*F308/100+Y308+Z308+AA308))))</f>
        <v/>
      </c>
      <c r="AC308" s="261" t="str">
        <f>IF($C$307=0,"",IF('Calc (ex-animal)'!$F$63=1,"",IF(D308="","",VLOOKUP($C$307,'Calc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categories'!$C$117:$AC$126,26,FALSE)/24)*F308/100*VLOOKUP(D308,'DB technologies'!$N$154:$R$166,5,FALSE)/100)))</f>
        <v/>
      </c>
      <c r="AD308" s="261" t="str">
        <f>IF($C$307=0,"",IF('Calc (ex-animal)'!$F$63=1,"",IF(D308="","",VLOOKUP($C$307,'Calc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categories'!$C$117:$AC$126,26,FALSE)/24)*F308/100*VLOOKUP(D308,'DB technologies'!$N$154:$Y$166,6,FALSE)/100)))</f>
        <v/>
      </c>
      <c r="AE308" s="262" t="str">
        <f>IF($C$307=0,"",IF('Calc (ex-animal)'!$F$63=1,"",IF(D308="","",VLOOKUP($C$307,'Calc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categories'!$C$117:$AC$126,26,FALSE)/24)*F308/100*VLOOKUP(D308,'DB technologies'!$N$154:$Y$166,7,FALSE)/100)))</f>
        <v/>
      </c>
      <c r="AI308" s="181" t="str">
        <f>IF(D308="","",VLOOKUP(D308,'DB technologies'!$N$154:$Y$166,10,FALSE))</f>
        <v/>
      </c>
      <c r="AJ308" s="449" t="e">
        <f>VLOOKUP($C$307,'DB animal categories'!$C$117:$AN$126,27,FALSE)-VLOOKUP($C$307,'DB animal categories'!$C$117:$AN$126,26,FALSE)*VLOOKUP($C$307,'DB animal categories'!$C$117:$AN$126,25,FALSE)/24</f>
        <v>#N/A</v>
      </c>
      <c r="AK308" s="442" t="str">
        <f>IF(AI308="","",AL308+AM308)</f>
        <v/>
      </c>
      <c r="AL308" s="442" t="str">
        <f>IF(D308="","",IF(AI308=2,(('Calc (ex-animal)'!$G$63*'DB additional information '!$K$13/100*(1-VLOOKUP(D308,'DB technologies'!$N$154:$Y$166,9,FALSE)/100)*'Calc (ex-housing, ex-storage)'!F308/100+'Calc (ex-animal)'!$H$63*'DB additional information '!$L$13/100*(1-VLOOKUP(D308,'DB technologies'!$N$154:$Y$166,9,FALSE)/100)*'Calc (ex-housing, ex-storage)'!F308/100))/VLOOKUP($C$307,'DB animal categories'!$C$117:$AC$126,27,FALSE)*AJ308+I308+J308+K308,IF(AI308=1,('Calc (ex-animal)'!$H$63*'DB additional information '!$L$13/100*(1-VLOOKUP(D308,'DB technologies'!$N$154:$Y$166,9,FALSE)/100)*'Calc (ex-housing, ex-storage)'!F308/100)/VLOOKUP($C$307,'DB animal categories'!$C$117:$AC$126,27,FALSE)*AJ308,IF(AI308=4,('Calc (ex-animal)'!$G$63*'DB additional information '!$K$13/100+'Calc (ex-animal)'!$H$63*'DB additional information '!$L$13/100)*(1-VLOOKUP(D308,'DB technologies'!$N$154:$Y$166,9,FALSE)/100)*'Calc (ex-housing, ex-storage)'!F308/100*VLOOKUP(D308,'DB technologies'!$N$154:$Y$166,11,FALSE)/100/VLOOKUP($C$307,'DB animal categories'!$C$117:$AC$126,27,FALSE)*AJ308,0))))</f>
        <v/>
      </c>
      <c r="AM308" s="442" t="str">
        <f>IF(D308="","",IF(AI308=2,(('Calc (ex-animal)'!$G$63*(1-'DB additional information '!$K$13/100)*(1-VLOOKUP(D308,'DB technologies'!$N$154:$Y$166,8,FALSE)/100)*'Calc (ex-housing, ex-storage)'!F308/100+'Calc (ex-animal)'!$H$63*(1-'DB additional information '!$L$13/100)*(1-VLOOKUP(D308,'DB technologies'!$N$154:$Y$166,8,FALSE)/100)*'Calc (ex-housing, ex-storage)'!F308/100))/VLOOKUP($C$307,'DB animal categories'!$C$117:$AC$126,27,FALSE)*AJ308+M308+N308+O308,IF(AI308=1,('Calc (ex-animal)'!$H$63*(1-'DB additional information '!$L$13/100)*(1-VLOOKUP(D308,'DB technologies'!$N$154:$Y$166,8,FALSE)/100)*'Calc (ex-housing, ex-storage)'!F308/100)/VLOOKUP($C$307,'DB animal categories'!$C$117:$AC$126,27,FALSE)*AJ308,IF(AI308=4,('Calc (ex-animal)'!$G$63*(1-'DB additional information '!$K$13/100)+'Calc (ex-animal)'!$H$63*(1-'DB additional information '!$L$13/100))*(1-VLOOKUP(D308,'DB technologies'!$N$154:$Y$166,8,FALSE)/100)*'Calc (ex-housing, ex-storage)'!F308/100*VLOOKUP(D308,'DB technologies'!$N$154:$Y$166,11,FALSE)/100/VLOOKUP($C$307,'DB animal categories'!$C$117:$AC$126,27,FALSE)*AJ308,0))))</f>
        <v/>
      </c>
      <c r="AN308" s="442" t="str">
        <f>IF(AI308="","",IF(AL308=0,0,AL308/AK308*100))</f>
        <v/>
      </c>
      <c r="AO308" s="182" t="str">
        <f>IF(D308="","",IF(AI308=2,(('Calc (ex-animal)'!$L$63*'Calc (ex-housing, ex-storage)'!F308/100+'Calc (ex-animal)'!$K$63*'Calc (ex-housing, ex-storage)'!F308/100))/VLOOKUP($C$307,'DB animal categories'!$C$117:$AC$126,27,FALSE)*AJ308+Q308+R308+S308-AC308,IF(AI308=1,('Calc (ex-animal)'!$L$63*'Calc (ex-housing, ex-storage)'!F308/100)/VLOOKUP($C$307,'DB animal categories'!$C$117:$AC$126,27,FALSE)*AJ308-'Calc (ex-housing, ex-storage)'!AC308,IF(AI308=4,('Calc (ex-animal)'!$L$63+'Calc (ex-animal)'!$K$63)*'Calc (ex-housing, ex-storage)'!F308/100*VLOOKUP(D308,'DB technologies'!$N$154:$Y$166,11,FALSE)/100/VLOOKUP($C$307,'DB animal categories'!$C$117:$AC$126,27,FALSE)*AJ308-AC308*VLOOKUP(D308,'DB technologies'!$N$154:$Y$166,11,FALSE)/100,0))))</f>
        <v/>
      </c>
      <c r="AP308" s="182" t="str">
        <f>IF(D308="","",IF(AO308&lt;-0.01,0,IF(AI308=2,(('Calc (ex-animal)'!$L$63*'Calc (ex-housing, ex-storage)'!F308/100+'Calc (ex-animal)'!$K$63*'Calc (ex-housing, ex-storage)'!F308/100))/VLOOKUP($C$307,'DB animal categories'!$C$117:$AC$126,27,FALSE)*AJ308+Q308+R308+S308-AC308,IF(AI308=1,('Calc (ex-animal)'!$L$63*'Calc (ex-housing, ex-storage)'!F308/100)/VLOOKUP($C$307,'DB animal categories'!$C$117:$AC$126,27,FALSE)*AJ308-'Calc (ex-housing, ex-storage)'!AC308,IF(AI308=4,('Calc (ex-animal)'!$L$63+'Calc (ex-animal)'!$K$63)*'Calc (ex-housing, ex-storage)'!F308/100*VLOOKUP(D308,'DB technologies'!$N$154:$Y$166,11,FALSE)/100/VLOOKUP($C$307,'DB animal categories'!$C$117:$AC$126,27,FALSE)*AJ308-AC308*VLOOKUP(D308,'DB technologies'!$N$154:$Y$166,11,FALSE)/100,0)))))</f>
        <v/>
      </c>
      <c r="AQ308" s="182" t="str">
        <f>IF(D308="","",IF(AI308=2,('Calc (ex-animal)'!$O$63*'Calc (ex-housing, ex-storage)'!F308/100+'Calc (ex-animal)'!$N$63*'Calc (ex-housing, ex-storage)'!F308/100)/VLOOKUP($C$307,'DB animal categories'!$C$117:$AC$126,27,FALSE)*AJ308+U308+V308+W308,IF(AI308=1,'Calc (ex-animal)'!$O$63*'Calc (ex-housing, ex-storage)'!F308/100/VLOOKUP($C$307,'DB animal categories'!$C$117:$AC$126,27,FALSE)*AJ308,IF(AI308=4,('Calc (ex-animal)'!$O$63+'Calc (ex-animal)'!$N$63)*'Calc (ex-housing, ex-storage)'!F308/100*VLOOKUP(D308,'DB technologies'!$N$154:$Y$166,11,FALSE)/100/VLOOKUP($C$307,'DB animal categories'!$C$117:$AC$126,27,FALSE)*AJ308,0))))</f>
        <v/>
      </c>
      <c r="AR308" s="182" t="str">
        <f>IF(D308="","",IF(AI308=2,('Calc (ex-animal)'!$R$63*'Calc (ex-housing, ex-storage)'!F308/100+'Calc (ex-animal)'!$Q$63*'Calc (ex-housing, ex-storage)'!F308/100)/VLOOKUP($C$307,'DB animal categories'!$C$117:$AC$126,27,FALSE)*AJ308+Y308+Z308+AA308,IF(AI308=1,'Calc (ex-animal)'!$R$63*'Calc (ex-housing, ex-storage)'!F308/100/VLOOKUP($C$307,'DB animal categories'!$C$117:$AC$126,27,FALSE)*AJ308,IF(AI308=4,('Calc (ex-animal)'!$R$63+'Calc (ex-animal)'!$Q$63)*'Calc (ex-housing, ex-storage)'!F308/100*VLOOKUP(D308,'DB technologies'!$N$154:$Y$166,11,FALSE)/100/VLOOKUP($C$307,'DB animal categories'!$C$117:$AC$126,27,FALSE)*AJ308,0))))</f>
        <v/>
      </c>
      <c r="AS308" s="181" t="str">
        <f>IF(D308="","",VLOOKUP(D308,'DB technologies'!$N$154:$Y$166,10,FALSE))</f>
        <v/>
      </c>
      <c r="AT308" s="442" t="str">
        <f>IF(AS308="","",AU308+AV308)</f>
        <v/>
      </c>
      <c r="AU308" s="442" t="str">
        <f>IF(D308="","",IF(AS308=2,0,IF(AS308=1,'Calc (ex-animal)'!$G$63*'DB additional information '!$K$13/100*(1-VLOOKUP(D308,'DB technologies'!$N$154:$Y$166,8,FALSE)/100)*'Calc (ex-housing, ex-storage)'!F308/100/VLOOKUP($C$307,'DB animal categories'!$C$117:$AC$126,27,FALSE)*AJ308+I308+J308+K308,IF(AS308=5,(('Calc (ex-animal)'!$G$63*'DB additional information '!$K$13/100+'Calc (ex-animal)'!$H$63*'DB additional information '!$L$13/100))*(1-VLOOKUP(D308,'DB technologies'!$N$154:$Y$166,9,FALSE)/100)*'Calc (ex-housing, ex-storage)'!F308/100/VLOOKUP($C$307,'DB animal categories'!$C$117:$AC$126,27,FALSE)*AJ308+I308+J308+K308,IF(AS308=3,('Calc (ex-animal)'!$G$63*'DB additional information '!$K$13/100+'Calc (ex-animal)'!$H$63*'DB additional information '!$L$13/100)*(1-VLOOKUP(D308,'DB technologies'!$N$154:$Y$166,9,FALSE)/100)*'Calc (ex-housing, ex-storage)'!F308/100/VLOOKUP($C$307,'DB animal categories'!$C$117:$AC$126,27,FALSE)*AJ308+I308+J308+K308,IF(AS308=4,('Calc (ex-animal)'!$G$63*'DB additional information '!$K$13/100+'Calc (ex-animal)'!$H$63*'DB additional information '!$L$13/100)*(1-VLOOKUP(D308,'DB technologies'!$N$154:$Y$166,9,FALSE)/100)*'Calc (ex-housing, ex-storage)'!F308/100*VLOOKUP(D308,'DB technologies'!$N$154:$Y$166,12,FALSE)/100/VLOOKUP($C$307,'DB animal categories'!$C$117:$AC$126,27,FALSE)*AJ308+I308+J308+K308,0))))))</f>
        <v/>
      </c>
      <c r="AV308" s="442" t="str">
        <f>IF(D308="","",IF(AS308=2,0,IF(AS308=1,'Calc (ex-animal)'!$G$63*(1-'DB additional information '!$K$13/100)*(1-VLOOKUP(D308,'DB technologies'!$N$154:$Y$166,8,FALSE)/100)*'Calc (ex-housing, ex-storage)'!F308/100/VLOOKUP($C$307,'DB animal categories'!$C$117:$AC$126,27,FALSE)*AJ308+M308+N308+O308,IF(AS308=5,('Calc (ex-animal)'!$G$63*(1-'DB additional information '!$K$13/100)+'Calc (ex-animal)'!$H$63*(1-'DB additional information '!$L$13/100))*(1-VLOOKUP(D308,'DB technologies'!$N$154:$Y$166,8,FALSE)/100)*'Calc (ex-housing, ex-storage)'!F308/100/VLOOKUP($C$307,'DB animal categories'!$C$117:$AC$126,27,FALSE)*AJ308+M308+N308+O308,IF(AS308=3,('Calc (ex-animal)'!$G$63*(1-'DB additional information '!$K$13/100)+'Calc (ex-animal)'!$H$63*(1-'DB additional information '!$L$13/100))*(1-VLOOKUP(D308,'DB technologies'!$N$154:$Y$166,8,FALSE)/100)*'Calc (ex-housing, ex-storage)'!F308/100/VLOOKUP($C$307,'DB animal categories'!$C$117:$AC$126,27,FALSE)*AJ308+M308+N308+O308,IF(AS308=4,('Calc (ex-animal)'!$G$63*(1-'DB additional information '!$K$13/100)+'Calc (ex-animal)'!$H$63*(1-'DB additional information '!$L$13/100))*(1-VLOOKUP(D308,'DB technologies'!$N$154:$Y$166,8,FALSE)/100)*'Calc (ex-housing, ex-storage)'!F308/100*VLOOKUP(D308,'DB technologies'!$N$154:$Y$166,12,FALSE)/100/VLOOKUP($C$307,'DB animal categories'!$C$117:$AC$126,27,FALSE)*AJ308+M308+N308+O308,0))))))</f>
        <v/>
      </c>
      <c r="AW308" s="442" t="str">
        <f>IF(AS308="","",IF(AU308=0,0,AU308/AT308*100))</f>
        <v/>
      </c>
      <c r="AX308" s="182" t="str">
        <f>IF(D308="","",IF(AS308=2,0,IF(AS308=1,'Calc (ex-animal)'!$K$63*'Calc (ex-housing, ex-storage)'!F308/100/VLOOKUP($C$307,'DB animal categories'!$C$117:$AC$126,27,FALSE)*AJ308+Q308+R308+S308,IF(AS308=5,('Calc (ex-animal)'!$K$63+'Calc (ex-animal)'!$L$63)*'Calc (ex-housing, ex-storage)'!F308/100/VLOOKUP($C$307,'DB animal categories'!$C$117:$AC$126,27,FALSE)*AJ308+Q308+R308+S308-'Calc (ex-housing, ex-storage)'!AC308,IF(AS308=3,('Calc (ex-animal)'!$K$63+'Calc (ex-animal)'!$L$63)*'Calc (ex-housing, ex-storage)'!F308/100/VLOOKUP($C$307,'DB animal categories'!$C$117:$AC$126,27,FALSE)*AJ308+Q308+R308+S308-'Calc (ex-housing, ex-storage)'!AC308-AD308-AE308,IF(AI308=4,('Calc (ex-animal)'!$K$63+'Calc (ex-animal)'!$L$63)*'Calc (ex-housing, ex-storage)'!F308/100*VLOOKUP(D308,'DB technologies'!$N$154:$Y$166,12,FALSE)/100/VLOOKUP($C$307,'DB animal categories'!$C$117:$AC$126,27,FALSE)*AJ308+Q308+R308+S308-(VLOOKUP(D308,'DB technologies'!$N$154:$Y$166,12,FALSE)/100*AC308)-AD308-AE308,0))))))</f>
        <v/>
      </c>
      <c r="AY308" s="182" t="str">
        <f>IF(D308="","",IF(AS308=2,0,IF(AS308=1,'Calc (ex-animal)'!$N$63*'Calc (ex-housing, ex-storage)'!F308/100/VLOOKUP($C$307,'DB animal categories'!$C$117:$AC$126,27,FALSE)*AJ308+U308+V308+W308,IF(AS308=5,('Calc (ex-animal)'!$N$63+'Calc (ex-animal)'!$O$63)*'Calc (ex-housing, ex-storage)'!F308/100/VLOOKUP($C$307,'DB animal categories'!$C$117:$AC$126,27,FALSE)*AJ308+U308+V308+W308,IF(AS308=3,('Calc (ex-animal)'!$N$63+'Calc (ex-animal)'!$O$63)*'Calc (ex-housing, ex-storage)'!F308/100/VLOOKUP($C$307,'DB animal categories'!$C$117:$AC$126,27,FALSE)*AJ308+U308+V308+W308,IF(AS308=4,('Calc (ex-animal)'!$N$63+'Calc (ex-animal)'!$O$63)*'Calc (ex-housing, ex-storage)'!F308/100*VLOOKUP(D308,'DB technologies'!$N$154:$Y$166,12,FALSE)/100/VLOOKUP($C$307,'DB animal categories'!$C$117:$AC$126,27,FALSE)*AJ308+U308+V308+W308,0))))))</f>
        <v/>
      </c>
      <c r="AZ308" s="182" t="str">
        <f>IF(D308="","",IF(AS308=2,0,IF(AS308=1,'Calc (ex-animal)'!$Q$63*'Calc (ex-housing, ex-storage)'!F308/100/VLOOKUP($C$307,'DB animal categories'!$C$117:$AC$126,27,FALSE)*AJ308+Y308+Z308+AA308,IF(AS308=5,('Calc (ex-animal)'!$Q$63+'Calc (ex-animal)'!$R$63)*'Calc (ex-housing, ex-storage)'!F308/100/VLOOKUP($C$307,'DB animal categories'!$C$117:$AC$126,27,FALSE)*AJ308+Y308+Z308+AA308,IF(AS308=3,('Calc (ex-animal)'!$Q$63+'Calc (ex-animal)'!$R$63)*'Calc (ex-housing, ex-storage)'!F308/100/VLOOKUP($C$307,'DB animal categories'!$C$117:$AC$126,27,FALSE)*AJ308+Y308+Z308+AA308,IF(AS308=4,('Calc (ex-animal)'!$Q$63+'Calc (ex-animal)'!$R$63)*'Calc (ex-housing, ex-storage)'!F308/100*VLOOKUP(D308,'DB technologies'!$N$154:$Y$166,12,FALSE)/100/VLOOKUP($C$307,'DB animal categories'!$C$117:$AC$126,27,FALSE)*AJ308+Y308+Z308+AA308,0))))))</f>
        <v/>
      </c>
      <c r="BA308" s="506"/>
      <c r="BB308" s="506"/>
      <c r="BC308" s="506"/>
    </row>
    <row r="309" spans="1:55" x14ac:dyDescent="0.2">
      <c r="A309" s="695"/>
      <c r="B309" s="695"/>
      <c r="C309" s="255"/>
      <c r="D309" s="1357"/>
      <c r="E309" s="1358"/>
      <c r="F309" s="480" t="str">
        <f>IF('Calc (ex-animal)'!$F$63=1,"",IF($C$307=0,"",IF(D309="","",E309/'Calc (ex-animal)'!$E$63*100)))</f>
        <v/>
      </c>
      <c r="G309" s="485" t="str">
        <f>IF($C$307=0,"",IF('Calc (ex-animal)'!$F$63=1,"",IF(D309="","",SUM(H309:O309))))</f>
        <v/>
      </c>
      <c r="H309" s="423" t="str">
        <f>IF('Calc (ex-animal)'!$F$63=1,"",IF(D309="","",(((VLOOKUP($C$307,'Calc (ex-animal)'!$D$63:$Y$67,6,FALSE)-VLOOKUP($C$307,'Calc (ex-animal)'!$D$63:$Y$67,17,FALSE))*F309/100))*VLOOKUP($C$307,'Calc (ex-animal)'!$D$63:$Y$67,7,FALSE)/100*(1-VLOOKUP(D309,'DB technologies'!$N$154:$Y$166,9,FALSE)/100)))</f>
        <v/>
      </c>
      <c r="I309" s="423" t="str">
        <f>IF(D309="","",((VLOOKUP(D309,'DB technologies'!$N$154:$Y$166,2,FALSE)*VLOOKUP($C$307,'DB animal categories'!$C$117:$AC$126,27,FALSE)*E309/1000)/VLOOKUP($C$307,'DB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'!$S$6/100*(1-VLOOKUP(D309,'DB technologies'!$N$154:$Y$166,9,FALSE)/100)))</f>
        <v/>
      </c>
      <c r="J309" s="434" t="str">
        <f>IF(D309="","",((VLOOKUP(D309,'DB technologies'!$N$154:$Y$166,3,FALSE)*VLOOKUP($C$307,'DB animal categories'!$C$117:$AC$126,27,FALSE)*E309/1000)/VLOOKUP($C$307,'DB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'!$S$7/100*(1-VLOOKUP(D309,'DB technologies'!$N$154:$Y$166,9,FALSE)/100)))</f>
        <v/>
      </c>
      <c r="K309" s="434" t="str">
        <f>IF(D309="","",((VLOOKUP(D309,'DB technologies'!$N$154:$Y$166,4,FALSE)*E309*'DB additional information '!$S$8/100*(1-VLOOKUP(D309,'DB technologies'!$N$154:$Y$166,9,FALSE)/100))/VLOOKUP($C$307,'DB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L309" s="423" t="str">
        <f>IF('Calc (ex-animal)'!$F$63=1,"",IF(D309="","",(((VLOOKUP($C$307,'Calc (ex-animal)'!$D$63:$Y$67,6,FALSE)-VLOOKUP($C$307,'Calc (ex-animal)'!$D$63:$Y$67,17,FALSE))*F309/100))*(1-VLOOKUP($C$307,'Calc (ex-animal)'!$D$63:$Y$67,7,FALSE)/100)*(1-VLOOKUP(D309,'DB technologies'!$N$154:$V$166,8,FALSE)/100)))</f>
        <v/>
      </c>
      <c r="M309" s="434" t="str">
        <f>IF(D309="","",((VLOOKUP(D309,'DB technologies'!$N$154:$Y$166,2,FALSE)*VLOOKUP($C$307,'DB animal categories'!$C$117:$AC$126,27,FALSE)*E309/1000)/VLOOKUP($C$307,'DB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'!$S$6/100)*(1-VLOOKUP(D309,'DB technologies'!$N$154:$Y$166,9,FALSE)/100))</f>
        <v/>
      </c>
      <c r="N309" s="434" t="str">
        <f>IF(D309="","",((VLOOKUP(D309,'DB technologies'!$N$154:$Y$166,3,FALSE)*VLOOKUP($C$307,'DB animal categories'!$C$117:$AC$126,27,FALSE)*E309/1000)/VLOOKUP($C$307,'DB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'!$S$7/100)*(1-VLOOKUP(D309,'DB technologies'!$N$154:$Y$166,9,FALSE)/100))</f>
        <v/>
      </c>
      <c r="O309" s="423" t="str">
        <f>IF(D309="","",((VLOOKUP(D309,'DB technologies'!$N$154:$Y$166,4,FALSE)*E309*(1-'DB additional information '!$S$8/100)*(1-VLOOKUP(D309,'DB technologies'!$N$154:$Y$166,8,FALSE)/100))/VLOOKUP($C$307,'DB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P309" s="438" t="str">
        <f>IF(G309=0,0,IF(E309="","",IF(F309="","",IF($C$307=0,"",IF(D309="","",SUM(H309:K309)/G309*100)))))</f>
        <v/>
      </c>
      <c r="Q309" s="416" t="str">
        <f>IF(D309="","",(VLOOKUP(D309,'DB technologies'!$N$154:$Y$166,2,FALSE)*'DB additional information '!$S$6/100*'DB additional information '!$T$6*VLOOKUP($C$307,'DB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R309" s="416" t="str">
        <f>IF(D309="","",(VLOOKUP(D309,'DB technologies'!$N$154:$Y$166,3,FALSE)*'DB additional information '!$S$7/100*'DB additional information '!$T$7*VLOOKUP($C$307,'DB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S309" s="491" t="str">
        <f>IF(D309="","",(VLOOKUP(D309,'DB technologies'!$N$154:$Y$166,4,FALSE)*('DB additional information '!$S$8/100*'DB additional information '!$T$8*E309/1000/1000)))</f>
        <v/>
      </c>
      <c r="T309" s="264" t="str">
        <f>IF($C$307=0,"",IF('Calc (ex-animal)'!$F$63=1,"",IF(D309="","",((VLOOKUP($C$307,'Calc (ex-animal)'!$D$63:$Y$67,10,FALSE)-VLOOKUP($C$307,'Calc (ex-animal)'!$D$63:$Y$67,18,FALSE))*F309/100+Q309+R309+S309)-AC309-AD309-AE309)))</f>
        <v/>
      </c>
      <c r="U309" s="422" t="str">
        <f>IF(D309="","",(VLOOKUP(D309,'DB technologies'!$N$154:$Y$166,2,FALSE)*'DB additional information '!$S$6/100*'DB additional information '!$U$6*VLOOKUP($C$307,'DB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V309" s="418" t="str">
        <f>IF(D309="","",(VLOOKUP(D309,'DB technologies'!$N$154:$Y$166,3,FALSE)*'DB additional information '!$S$7/100*'DB additional information '!$U$7*VLOOKUP($C$307,'DB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W309" s="417" t="str">
        <f>IF(D309="","",(VLOOKUP(D309,'DB technologies'!$N$154:$Y$166,4,FALSE)*('DB additional information '!$S$8/100*'DB additional information '!$U$8*E309/1000/1000)))</f>
        <v/>
      </c>
      <c r="X309" s="261" t="str">
        <f>IF($C$307=0,"",IF('Calc (ex-animal)'!$F$63=1,"",IF(D309="","",((VLOOKUP($C$307,'Calc (ex-animal)'!$D$63:$Y$67,13,FALSE)-VLOOKUP($C$307,'Calc (ex-animal)'!$D$63:$Y$67,19,FALSE))*F309/100+U309+V309+W309))))</f>
        <v/>
      </c>
      <c r="Y309" s="418" t="str">
        <f>IF(D309="","",(VLOOKUP(D309,'DB technologies'!$N$154:$Y$166,2,FALSE)*'DB additional information '!$S$6/100*'DB additional information '!$V$6*VLOOKUP($C$307,'DB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Z309" s="418" t="str">
        <f>IF(D309="","",(VLOOKUP(D309,'DB technologies'!$N$154:$Y$166,3,FALSE)*'DB additional information '!$S$7/100*'DB additional information '!$V$7*VLOOKUP($C$307,'DB animal categories'!$C$117:$AC$126,27,FALSE)*E309/1000/1000)/VLOOKUP($C$307,'DB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AA309" s="418" t="str">
        <f>IF(D309="","",(VLOOKUP(D309,'DB technologies'!$N$154:$Y$166,4,FALSE)*('DB additional information '!$S$8/100*'DB additional information '!$V$8*E309/1000/1000)))</f>
        <v/>
      </c>
      <c r="AB309" s="261" t="str">
        <f>IF($C$307=0,"",IF('Calc (ex-animal)'!$F$63=1,"",IF(D309="","",((VLOOKUP($C$307,'Calc (ex-animal)'!$D$63:$Y$67,16,FALSE)-VLOOKUP($C$307,'Calc (ex-animal)'!$D$63:$Y$67,20,FALSE))*F309/100+Y309+Z309+AA309))))</f>
        <v/>
      </c>
      <c r="AC309" s="261" t="str">
        <f>IF($C$307=0,"",IF('Calc (ex-animal)'!$F$63=1,"",IF(D309="","",VLOOKUP($C$307,'Calc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categories'!$C$117:$AC$126,26,FALSE)/24)*F309/100*VLOOKUP(D309,'DB technologies'!$N$154:$R$166,5,FALSE)/100)))</f>
        <v/>
      </c>
      <c r="AD309" s="261" t="str">
        <f>IF($C$307=0,"",IF('Calc (ex-animal)'!$F$63=1,"",IF(D309="","",VLOOKUP($C$307,'Calc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categories'!$C$117:$AC$126,26,FALSE)/24)*F309/100*VLOOKUP(D309,'DB technologies'!$N$154:$Y$166,6,FALSE)/100)))</f>
        <v/>
      </c>
      <c r="AE309" s="262" t="str">
        <f>IF($C$307=0,"",IF('Calc (ex-animal)'!$F$63=1,"",IF(D309="","",VLOOKUP($C$307,'Calc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categories'!$C$117:$AC$126,26,FALSE)/24)*F309/100*VLOOKUP(D309,'DB technologies'!$N$154:$Y$166,7,FALSE)/100)))</f>
        <v/>
      </c>
      <c r="AI309" s="181" t="str">
        <f>IF(D309="","",VLOOKUP(D309,'DB technologies'!$N$154:$Y$166,10,FALSE))</f>
        <v/>
      </c>
      <c r="AJ309" s="449" t="e">
        <f>VLOOKUP($C$307,'DB animal categories'!$C$117:$AN$126,27,FALSE)-VLOOKUP($C$307,'DB animal categories'!$C$117:$AN$126,26,FALSE)*VLOOKUP($C$307,'DB animal categories'!$C$117:$AN$126,25,FALSE)/24</f>
        <v>#N/A</v>
      </c>
      <c r="AK309" s="442" t="str">
        <f>IF(AI309="","",AL309+AM309)</f>
        <v/>
      </c>
      <c r="AL309" s="442" t="str">
        <f>IF(D309="","",IF(AI309=2,(('Calc (ex-animal)'!$G$63*'DB additional information '!$K$13/100*(1-VLOOKUP(D309,'DB technologies'!$N$154:$Y$166,9,FALSE)/100)*'Calc (ex-housing, ex-storage)'!F309/100+'Calc (ex-animal)'!$H$63*'DB additional information '!$L$13/100*(1-VLOOKUP(D309,'DB technologies'!$N$154:$Y$166,9,FALSE)/100)*'Calc (ex-housing, ex-storage)'!F309/100))/VLOOKUP($C$307,'DB animal categories'!$C$117:$AC$126,27,FALSE)*AJ309+I309+J309+K309,IF(AI309=1,('Calc (ex-animal)'!$H$63*'DB additional information '!$L$13/100*(1-VLOOKUP(D309,'DB technologies'!$N$154:$Y$166,9,FALSE)/100)*'Calc (ex-housing, ex-storage)'!F309/100)/VLOOKUP($C$307,'DB animal categories'!$C$117:$AC$126,27,FALSE)*AJ309,IF(AI309=4,('Calc (ex-animal)'!$G$63*'DB additional information '!$K$13/100+'Calc (ex-animal)'!$H$63*'DB additional information '!$L$13/100)*(1-VLOOKUP(D309,'DB technologies'!$N$154:$Y$166,9,FALSE)/100)*'Calc (ex-housing, ex-storage)'!F309/100*VLOOKUP(D309,'DB technologies'!$N$154:$Y$166,11,FALSE)/100/VLOOKUP($C$307,'DB animal categories'!$C$117:$AC$126,27,FALSE)*AJ309,0))))</f>
        <v/>
      </c>
      <c r="AM309" s="442" t="str">
        <f>IF(D309="","",IF(AI309=2,(('Calc (ex-animal)'!$G$63*(1-'DB additional information '!$K$13/100)*(1-VLOOKUP(D309,'DB technologies'!$N$154:$Y$166,8,FALSE)/100)*'Calc (ex-housing, ex-storage)'!F309/100+'Calc (ex-animal)'!$H$63*(1-'DB additional information '!$L$13/100)*(1-VLOOKUP(D309,'DB technologies'!$N$154:$Y$166,8,FALSE)/100)*'Calc (ex-housing, ex-storage)'!F309/100))/VLOOKUP($C$307,'DB animal categories'!$C$117:$AC$126,27,FALSE)*AJ309+M309+N309+O309,IF(AI309=1,('Calc (ex-animal)'!$H$63*(1-'DB additional information '!$L$13/100)*(1-VLOOKUP(D309,'DB technologies'!$N$154:$Y$166,8,FALSE)/100)*'Calc (ex-housing, ex-storage)'!F309/100)/VLOOKUP($C$307,'DB animal categories'!$C$117:$AC$126,27,FALSE)*AJ309,IF(AI309=4,('Calc (ex-animal)'!$G$63*(1-'DB additional information '!$K$13/100)+'Calc (ex-animal)'!$H$63*(1-'DB additional information '!$L$13/100))*(1-VLOOKUP(D309,'DB technologies'!$N$154:$Y$166,8,FALSE)/100)*'Calc (ex-housing, ex-storage)'!F309/100*VLOOKUP(D309,'DB technologies'!$N$154:$Y$166,11,FALSE)/100/VLOOKUP($C$307,'DB animal categories'!$C$117:$AC$126,27,FALSE)*AJ309,0))))</f>
        <v/>
      </c>
      <c r="AN309" s="442" t="str">
        <f>IF(AI309="","",IF(AL309=0,0,AL309/AK309*100))</f>
        <v/>
      </c>
      <c r="AO309" s="182" t="str">
        <f>IF(D309="","",IF(AI309=2,(('Calc (ex-animal)'!$L$63*'Calc (ex-housing, ex-storage)'!F309/100+'Calc (ex-animal)'!$K$63*'Calc (ex-housing, ex-storage)'!F309/100))/VLOOKUP($C$307,'DB animal categories'!$C$117:$AC$126,27,FALSE)*AJ309+Q309+R309+S309-AC309,IF(AI309=1,('Calc (ex-animal)'!$L$63*'Calc (ex-housing, ex-storage)'!F309/100)/VLOOKUP($C$307,'DB animal categories'!$C$117:$AC$126,27,FALSE)*AJ309-'Calc (ex-housing, ex-storage)'!AC309,IF(AI309=4,('Calc (ex-animal)'!$L$63+'Calc (ex-animal)'!$K$63)*'Calc (ex-housing, ex-storage)'!F309/100*VLOOKUP(D309,'DB technologies'!$N$154:$Y$166,11,FALSE)/100/VLOOKUP($C$307,'DB animal categories'!$C$117:$AC$126,27,FALSE)*AJ309-AC309*VLOOKUP(D309,'DB technologies'!$N$154:$Y$166,11,FALSE)/100,0))))</f>
        <v/>
      </c>
      <c r="AP309" s="182" t="str">
        <f>IF(D309="","",IF(AO309&lt;-0.01,0,IF(AI309=2,(('Calc (ex-animal)'!$L$63*'Calc (ex-housing, ex-storage)'!F309/100+'Calc (ex-animal)'!$K$63*'Calc (ex-housing, ex-storage)'!F309/100))/VLOOKUP($C$307,'DB animal categories'!$C$117:$AC$126,27,FALSE)*AJ309+Q309+R309+S309-AC309,IF(AI309=1,('Calc (ex-animal)'!$L$63*'Calc (ex-housing, ex-storage)'!F309/100)/VLOOKUP($C$307,'DB animal categories'!$C$117:$AC$126,27,FALSE)*AJ309-'Calc (ex-housing, ex-storage)'!AC309,IF(AI309=4,('Calc (ex-animal)'!$L$63+'Calc (ex-animal)'!$K$63)*'Calc (ex-housing, ex-storage)'!F309/100*VLOOKUP(D309,'DB technologies'!$N$154:$Y$166,11,FALSE)/100/VLOOKUP($C$307,'DB animal categories'!$C$117:$AC$126,27,FALSE)*AJ309-AC309*VLOOKUP(D309,'DB technologies'!$N$154:$Y$166,11,FALSE)/100,0)))))</f>
        <v/>
      </c>
      <c r="AQ309" s="182" t="str">
        <f>IF(D309="","",IF(AI309=2,('Calc (ex-animal)'!$O$63*'Calc (ex-housing, ex-storage)'!F309/100+'Calc (ex-animal)'!$N$63*'Calc (ex-housing, ex-storage)'!F309/100)/VLOOKUP($C$307,'DB animal categories'!$C$117:$AC$126,27,FALSE)*AJ309+U309+V309+W309,IF(AI309=1,'Calc (ex-animal)'!$O$63*'Calc (ex-housing, ex-storage)'!F309/100/VLOOKUP($C$307,'DB animal categories'!$C$117:$AC$126,27,FALSE)*AJ309,IF(AI309=4,('Calc (ex-animal)'!$O$63+'Calc (ex-animal)'!$N$63)*'Calc (ex-housing, ex-storage)'!F309/100*VLOOKUP(D309,'DB technologies'!$N$154:$Y$166,11,FALSE)/100/VLOOKUP($C$307,'DB animal categories'!$C$117:$AC$126,27,FALSE)*AJ309,0))))</f>
        <v/>
      </c>
      <c r="AR309" s="182" t="str">
        <f>IF(D309="","",IF(AI309=2,('Calc (ex-animal)'!$R$63*'Calc (ex-housing, ex-storage)'!F309/100+'Calc (ex-animal)'!$Q$63*'Calc (ex-housing, ex-storage)'!F309/100)/VLOOKUP($C$307,'DB animal categories'!$C$117:$AC$126,27,FALSE)*AJ309+Y309+Z309+AA309,IF(AI309=1,'Calc (ex-animal)'!$R$63*'Calc (ex-housing, ex-storage)'!F309/100/VLOOKUP($C$307,'DB animal categories'!$C$117:$AC$126,27,FALSE)*AJ309,IF(AI309=4,('Calc (ex-animal)'!$R$63+'Calc (ex-animal)'!$Q$63)*'Calc (ex-housing, ex-storage)'!F309/100*VLOOKUP(D309,'DB technologies'!$N$154:$Y$166,11,FALSE)/100/VLOOKUP($C$307,'DB animal categories'!$C$117:$AC$126,27,FALSE)*AJ309,0))))</f>
        <v/>
      </c>
      <c r="AS309" s="181" t="str">
        <f>IF(D309="","",VLOOKUP(D309,'DB technologies'!$N$154:$Y$166,10,FALSE))</f>
        <v/>
      </c>
      <c r="AT309" s="442" t="str">
        <f>IF(AS309="","",AU309+AV309)</f>
        <v/>
      </c>
      <c r="AU309" s="442" t="str">
        <f>IF(D309="","",IF(AS309=2,0,IF(AS309=1,'Calc (ex-animal)'!$G$63*'DB additional information '!$K$13/100*(1-VLOOKUP(D309,'DB technologies'!$N$154:$Y$166,8,FALSE)/100)*'Calc (ex-housing, ex-storage)'!F309/100/VLOOKUP($C$307,'DB animal categories'!$C$117:$AC$126,27,FALSE)*AJ309+I309+J309+K309,IF(AS309=5,(('Calc (ex-animal)'!$G$63*'DB additional information '!$K$13/100+'Calc (ex-animal)'!$H$63*'DB additional information '!$L$13/100))*(1-VLOOKUP(D309,'DB technologies'!$N$154:$Y$166,9,FALSE)/100)*'Calc (ex-housing, ex-storage)'!F309/100/VLOOKUP($C$307,'DB animal categories'!$C$117:$AC$126,27,FALSE)*AJ309+I309+J309+K309,IF(AS309=3,('Calc (ex-animal)'!$G$63*'DB additional information '!$K$13/100+'Calc (ex-animal)'!$H$63*'DB additional information '!$L$13/100)*(1-VLOOKUP(D309,'DB technologies'!$N$154:$Y$166,9,FALSE)/100)*'Calc (ex-housing, ex-storage)'!F309/100/VLOOKUP($C$307,'DB animal categories'!$C$117:$AC$126,27,FALSE)*AJ309+I309+J309+K309,IF(AS309=4,('Calc (ex-animal)'!$G$63*'DB additional information '!$K$13/100+'Calc (ex-animal)'!$H$63*'DB additional information '!$L$13/100)*(1-VLOOKUP(D309,'DB technologies'!$N$154:$Y$166,9,FALSE)/100)*'Calc (ex-housing, ex-storage)'!F309/100*VLOOKUP(D309,'DB technologies'!$N$154:$Y$166,12,FALSE)/100/VLOOKUP($C$307,'DB animal categories'!$C$117:$AC$126,27,FALSE)*AJ309+I309+J309+K309,0))))))</f>
        <v/>
      </c>
      <c r="AV309" s="442" t="str">
        <f>IF(D309="","",IF(AS309=2,0,IF(AS309=1,'Calc (ex-animal)'!$G$63*(1-'DB additional information '!$K$13/100)*(1-VLOOKUP(D309,'DB technologies'!$N$154:$Y$166,8,FALSE)/100)*'Calc (ex-housing, ex-storage)'!F309/100/VLOOKUP($C$307,'DB animal categories'!$C$117:$AC$126,27,FALSE)*AJ309+M309+N309+O309,IF(AS309=5,('Calc (ex-animal)'!$G$63*(1-'DB additional information '!$K$13/100)+'Calc (ex-animal)'!$H$63*(1-'DB additional information '!$L$13/100))*(1-VLOOKUP(D309,'DB technologies'!$N$154:$Y$166,8,FALSE)/100)*'Calc (ex-housing, ex-storage)'!F309/100/VLOOKUP($C$307,'DB animal categories'!$C$117:$AC$126,27,FALSE)*AJ309+M309+N309+O309,IF(AS309=3,('Calc (ex-animal)'!$G$63*(1-'DB additional information '!$K$13/100)+'Calc (ex-animal)'!$H$63*(1-'DB additional information '!$L$13/100))*(1-VLOOKUP(D309,'DB technologies'!$N$154:$Y$166,8,FALSE)/100)*'Calc (ex-housing, ex-storage)'!F309/100/VLOOKUP($C$307,'DB animal categories'!$C$117:$AC$126,27,FALSE)*AJ309+M309+N309+O309,IF(AS309=4,('Calc (ex-animal)'!$G$63*(1-'DB additional information '!$K$13/100)+'Calc (ex-animal)'!$H$63*(1-'DB additional information '!$L$13/100))*(1-VLOOKUP(D309,'DB technologies'!$N$154:$Y$166,8,FALSE)/100)*'Calc (ex-housing, ex-storage)'!F309/100*VLOOKUP(D309,'DB technologies'!$N$154:$Y$166,12,FALSE)/100/VLOOKUP($C$307,'DB animal categories'!$C$117:$AC$126,27,FALSE)*AJ309+M309+N309+O309,0))))))</f>
        <v/>
      </c>
      <c r="AW309" s="442" t="str">
        <f>IF(AS309="","",IF(AU309=0,0,AU309/AT309*100))</f>
        <v/>
      </c>
      <c r="AX309" s="182" t="str">
        <f>IF(D309="","",IF(AS309=2,0,IF(AS309=1,'Calc (ex-animal)'!$K$63*'Calc (ex-housing, ex-storage)'!F309/100/VLOOKUP($C$307,'DB animal categories'!$C$117:$AC$126,27,FALSE)*AJ309+Q309+R309+S309,IF(AS309=5,('Calc (ex-animal)'!$K$63+'Calc (ex-animal)'!$L$63)*'Calc (ex-housing, ex-storage)'!F309/100/VLOOKUP($C$307,'DB animal categories'!$C$117:$AC$126,27,FALSE)*AJ309+Q309+R309+S309-'Calc (ex-housing, ex-storage)'!AC309,IF(AS309=3,('Calc (ex-animal)'!$K$63+'Calc (ex-animal)'!$L$63)*'Calc (ex-housing, ex-storage)'!F309/100/VLOOKUP($C$307,'DB animal categories'!$C$117:$AC$126,27,FALSE)*AJ309+Q309+R309+S309-'Calc (ex-housing, ex-storage)'!AC309-AD309-AE309,IF(AI309=4,('Calc (ex-animal)'!$K$63+'Calc (ex-animal)'!$L$63)*'Calc (ex-housing, ex-storage)'!F309/100*VLOOKUP(D309,'DB technologies'!$N$154:$Y$166,12,FALSE)/100/VLOOKUP($C$307,'DB animal categories'!$C$117:$AC$126,27,FALSE)*AJ309+Q309+R309+S309-(VLOOKUP(D309,'DB technologies'!$N$154:$Y$166,12,FALSE)/100*AC309)-AD309-AE309,0))))))</f>
        <v/>
      </c>
      <c r="AY309" s="182" t="str">
        <f>IF(D309="","",IF(AS309=2,0,IF(AS309=1,'Calc (ex-animal)'!$N$63*'Calc (ex-housing, ex-storage)'!F309/100/VLOOKUP($C$307,'DB animal categories'!$C$117:$AC$126,27,FALSE)*AJ309+U309+V309+W309,IF(AS309=5,('Calc (ex-animal)'!$N$63+'Calc (ex-animal)'!$O$63)*'Calc (ex-housing, ex-storage)'!F309/100/VLOOKUP($C$307,'DB animal categories'!$C$117:$AC$126,27,FALSE)*AJ309+U309+V309+W309,IF(AS309=3,('Calc (ex-animal)'!$N$63+'Calc (ex-animal)'!$O$63)*'Calc (ex-housing, ex-storage)'!F309/100/VLOOKUP($C$307,'DB animal categories'!$C$117:$AC$126,27,FALSE)*AJ309+U309+V309+W309,IF(AS309=4,('Calc (ex-animal)'!$N$63+'Calc (ex-animal)'!$O$63)*'Calc (ex-housing, ex-storage)'!F309/100*VLOOKUP(D309,'DB technologies'!$N$154:$Y$166,12,FALSE)/100/VLOOKUP($C$307,'DB animal categories'!$C$117:$AC$126,27,FALSE)*AJ309+U309+V309+W309,0))))))</f>
        <v/>
      </c>
      <c r="AZ309" s="182" t="str">
        <f>IF(D309="","",IF(AS309=2,0,IF(AS309=1,'Calc (ex-animal)'!$Q$63*'Calc (ex-housing, ex-storage)'!F309/100/VLOOKUP($C$307,'DB animal categories'!$C$117:$AC$126,27,FALSE)*AJ309+Y309+Z309+AA309,IF(AS309=5,('Calc (ex-animal)'!$Q$63+'Calc (ex-animal)'!$R$63)*'Calc (ex-housing, ex-storage)'!F309/100/VLOOKUP($C$307,'DB animal categories'!$C$117:$AC$126,27,FALSE)*AJ309+Y309+Z309+AA309,IF(AS309=3,('Calc (ex-animal)'!$Q$63+'Calc (ex-animal)'!$R$63)*'Calc (ex-housing, ex-storage)'!F309/100/VLOOKUP($C$307,'DB animal categories'!$C$117:$AC$126,27,FALSE)*AJ309+Y309+Z309+AA309,IF(AS309=4,('Calc (ex-animal)'!$Q$63+'Calc (ex-animal)'!$R$63)*'Calc (ex-housing, ex-storage)'!F309/100*VLOOKUP(D309,'DB technologies'!$N$154:$Y$166,12,FALSE)/100/VLOOKUP($C$307,'DB animal categories'!$C$117:$AC$126,27,FALSE)*AJ309+Y309+Z309+AA309,0))))))</f>
        <v/>
      </c>
      <c r="BA309" s="506"/>
      <c r="BB309" s="506"/>
      <c r="BC309" s="506"/>
    </row>
    <row r="310" spans="1:55" x14ac:dyDescent="0.2">
      <c r="A310" s="695"/>
      <c r="B310" s="695"/>
      <c r="C310" s="255"/>
      <c r="D310" s="1357"/>
      <c r="E310" s="1358"/>
      <c r="F310" s="480" t="str">
        <f>IF('Calc (ex-animal)'!$F$63=1,"",IF($C$307=0,"",IF(D310="","",E310/'Calc (ex-animal)'!$E$63*100)))</f>
        <v/>
      </c>
      <c r="G310" s="485" t="str">
        <f>IF($C$307=0,"",IF('Calc (ex-animal)'!$F$63=1,"",IF(D310="","",SUM(H310:O310))))</f>
        <v/>
      </c>
      <c r="H310" s="423" t="str">
        <f>IF('Calc (ex-animal)'!$F$63=1,"",IF(D310="","",(((VLOOKUP($C$307,'Calc (ex-animal)'!$D$63:$Y$67,6,FALSE)-VLOOKUP($C$307,'Calc (ex-animal)'!$D$63:$Y$67,17,FALSE))*F310/100))*VLOOKUP($C$307,'Calc (ex-animal)'!$D$63:$Y$67,7,FALSE)/100*(1-VLOOKUP(D310,'DB technologies'!$N$154:$Y$166,9,FALSE)/100)))</f>
        <v/>
      </c>
      <c r="I310" s="423" t="str">
        <f>IF(D310="","",((VLOOKUP(D310,'DB technologies'!$N$154:$Y$166,2,FALSE)*VLOOKUP($C$307,'DB animal categories'!$C$117:$AC$126,27,FALSE)*E310/1000)/VLOOKUP($C$307,'DB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'!$S$6/100*(1-VLOOKUP(D310,'DB technologies'!$N$154:$Y$166,9,FALSE)/100)))</f>
        <v/>
      </c>
      <c r="J310" s="434" t="str">
        <f>IF(D310="","",((VLOOKUP(D310,'DB technologies'!$N$154:$Y$166,3,FALSE)*VLOOKUP($C$307,'DB animal categories'!$C$117:$AC$126,27,FALSE)*E310/1000)/VLOOKUP($C$307,'DB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'!$S$7/100*(1-VLOOKUP(D310,'DB technologies'!$N$154:$Y$166,9,FALSE)/100)))</f>
        <v/>
      </c>
      <c r="K310" s="434" t="str">
        <f>IF(D310="","",((VLOOKUP(D310,'DB technologies'!$N$154:$Y$166,4,FALSE)*E310*'DB additional information '!$S$8/100*(1-VLOOKUP(D310,'DB technologies'!$N$154:$Y$166,9,FALSE)/100))/VLOOKUP($C$307,'DB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L310" s="423" t="str">
        <f>IF('Calc (ex-animal)'!$F$63=1,"",IF(D310="","",(((VLOOKUP($C$307,'Calc (ex-animal)'!$D$63:$Y$67,6,FALSE)-VLOOKUP($C$307,'Calc (ex-animal)'!$D$63:$Y$67,17,FALSE))*F310/100))*(1-VLOOKUP($C$307,'Calc (ex-animal)'!$D$63:$Y$67,7,FALSE)/100)*(1-VLOOKUP(D310,'DB technologies'!$N$154:$V$166,8,FALSE)/100)))</f>
        <v/>
      </c>
      <c r="M310" s="434" t="str">
        <f>IF(D310="","",((VLOOKUP(D310,'DB technologies'!$N$154:$Y$166,2,FALSE)*VLOOKUP($C$307,'DB animal categories'!$C$117:$AC$126,27,FALSE)*E310/1000)/VLOOKUP($C$307,'DB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'!$S$6/100)*(1-VLOOKUP(D310,'DB technologies'!$N$154:$Y$166,9,FALSE)/100))</f>
        <v/>
      </c>
      <c r="N310" s="434" t="str">
        <f>IF(D310="","",((VLOOKUP(D310,'DB technologies'!$N$154:$Y$166,3,FALSE)*VLOOKUP($C$307,'DB animal categories'!$C$117:$AC$126,27,FALSE)*E310/1000)/VLOOKUP($C$307,'DB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'!$S$7/100)*(1-VLOOKUP(D310,'DB technologies'!$N$154:$Y$166,9,FALSE)/100))</f>
        <v/>
      </c>
      <c r="O310" s="423" t="str">
        <f>IF(D310="","",((VLOOKUP(D310,'DB technologies'!$N$154:$Y$166,4,FALSE)*E310*(1-'DB additional information '!$S$8/100)*(1-VLOOKUP(D310,'DB technologies'!$N$154:$Y$166,8,FALSE)/100))/VLOOKUP($C$307,'DB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P310" s="438" t="str">
        <f>IF(G310=0,0,IF(E310="","",IF(F310="","",IF($C$307=0,"",IF(D310="","",SUM(H310:K310)/G310*100)))))</f>
        <v/>
      </c>
      <c r="Q310" s="416" t="str">
        <f>IF(D310="","",(VLOOKUP(D310,'DB technologies'!$N$154:$Y$166,2,FALSE)*'DB additional information '!$S$6/100*'DB additional information '!$T$6*VLOOKUP($C$307,'DB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R310" s="416" t="str">
        <f>IF(D310="","",(VLOOKUP(D310,'DB technologies'!$N$154:$Y$166,3,FALSE)*'DB additional information '!$S$7/100*'DB additional information '!$T$7*VLOOKUP($C$307,'DB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S310" s="491" t="str">
        <f>IF(D310="","",(VLOOKUP(D310,'DB technologies'!$N$154:$Y$166,4,FALSE)*('DB additional information '!$S$8/100*'DB additional information '!$T$8*E310/1000/1000)))</f>
        <v/>
      </c>
      <c r="T310" s="264" t="str">
        <f>IF($C$307=0,"",IF('Calc (ex-animal)'!$F$63=1,"",IF(D310="","",((VLOOKUP($C$307,'Calc (ex-animal)'!$D$63:$Y$67,10,FALSE)-VLOOKUP($C$307,'Calc (ex-animal)'!$D$63:$Y$67,18,FALSE))*F310/100+Q310+R310+S310)-AC310-AD310-AE310)))</f>
        <v/>
      </c>
      <c r="U310" s="422" t="str">
        <f>IF(D310="","",(VLOOKUP(D310,'DB technologies'!$N$154:$Y$166,2,FALSE)*'DB additional information '!$S$6/100*'DB additional information '!$U$6*VLOOKUP($C$307,'DB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V310" s="418" t="str">
        <f>IF(D310="","",(VLOOKUP(D310,'DB technologies'!$N$154:$Y$166,3,FALSE)*'DB additional information '!$S$7/100*'DB additional information '!$U$7*VLOOKUP($C$307,'DB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W310" s="417" t="str">
        <f>IF(D310="","",(VLOOKUP(D310,'DB technologies'!$N$154:$Y$166,4,FALSE)*('DB additional information '!$S$8/100*'DB additional information '!$U$8*E310/1000/1000)))</f>
        <v/>
      </c>
      <c r="X310" s="261" t="str">
        <f>IF($C$307=0,"",IF('Calc (ex-animal)'!$F$63=1,"",IF(D310="","",((VLOOKUP($C$307,'Calc (ex-animal)'!$D$63:$Y$67,13,FALSE)-VLOOKUP($C$307,'Calc (ex-animal)'!$D$63:$Y$67,19,FALSE))*F310/100+U310+V310+W310))))</f>
        <v/>
      </c>
      <c r="Y310" s="418" t="str">
        <f>IF(D310="","",(VLOOKUP(D310,'DB technologies'!$N$154:$Y$166,2,FALSE)*'DB additional information '!$S$6/100*'DB additional information '!$V$6*VLOOKUP($C$307,'DB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Z310" s="418" t="str">
        <f>IF(D310="","",(VLOOKUP(D310,'DB technologies'!$N$154:$Y$166,3,FALSE)*'DB additional information '!$S$7/100*'DB additional information '!$V$7*VLOOKUP($C$307,'DB animal categories'!$C$117:$AC$126,27,FALSE)*E310/1000/1000)/VLOOKUP($C$307,'DB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AA310" s="418" t="str">
        <f>IF(D310="","",(VLOOKUP(D310,'DB technologies'!$N$154:$Y$166,4,FALSE)*('DB additional information '!$S$8/100*'DB additional information '!$V$8*E310/1000/1000)))</f>
        <v/>
      </c>
      <c r="AB310" s="261" t="str">
        <f>IF($C$307=0,"",IF('Calc (ex-animal)'!$F$63=1,"",IF(D310="","",((VLOOKUP($C$307,'Calc (ex-animal)'!$D$63:$Y$67,16,FALSE)-VLOOKUP($C$307,'Calc (ex-animal)'!$D$63:$Y$67,20,FALSE))*F310/100+Y310+Z310+AA310))))</f>
        <v/>
      </c>
      <c r="AC310" s="261" t="str">
        <f>IF($C$307=0,"",IF('Calc (ex-animal)'!$F$63=1,"",IF(D310="","",VLOOKUP($C$307,'Calc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categories'!$C$117:$AC$126,26,FALSE)/24)*F310/100*VLOOKUP(D310,'DB technologies'!$N$154:$R$166,5,FALSE)/100)))</f>
        <v/>
      </c>
      <c r="AD310" s="261" t="str">
        <f>IF($C$307=0,"",IF('Calc (ex-animal)'!$F$63=1,"",IF(D310="","",VLOOKUP($C$307,'Calc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categories'!$C$117:$AC$126,26,FALSE)/24)*F310/100*VLOOKUP(D310,'DB technologies'!$N$154:$Y$166,6,FALSE)/100)))</f>
        <v/>
      </c>
      <c r="AE310" s="262" t="str">
        <f>IF($C$307=0,"",IF('Calc (ex-animal)'!$F$63=1,"",IF(D310="","",VLOOKUP($C$307,'Calc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categories'!$C$117:$AC$126,26,FALSE)/24)*F310/100*VLOOKUP(D310,'DB technologies'!$N$154:$Y$166,7,FALSE)/100)))</f>
        <v/>
      </c>
      <c r="AI310" s="181" t="str">
        <f>IF(D310="","",VLOOKUP(D310,'DB technologies'!$N$154:$Y$166,10,FALSE))</f>
        <v/>
      </c>
      <c r="AJ310" s="449" t="e">
        <f>VLOOKUP($C$307,'DB animal categories'!$C$117:$AN$126,27,FALSE)-VLOOKUP($C$307,'DB animal categories'!$C$117:$AN$126,26,FALSE)*VLOOKUP($C$307,'DB animal categories'!$C$117:$AN$126,25,FALSE)/24</f>
        <v>#N/A</v>
      </c>
      <c r="AK310" s="442" t="str">
        <f>IF(AI310="","",AL310+AM310)</f>
        <v/>
      </c>
      <c r="AL310" s="442" t="str">
        <f>IF(D310="","",IF(AI310=2,(('Calc (ex-animal)'!$G$63*'DB additional information '!$K$13/100*(1-VLOOKUP(D310,'DB technologies'!$N$154:$Y$166,9,FALSE)/100)*'Calc (ex-housing, ex-storage)'!F310/100+'Calc (ex-animal)'!$H$63*'DB additional information '!$L$13/100*(1-VLOOKUP(D310,'DB technologies'!$N$154:$Y$166,9,FALSE)/100)*'Calc (ex-housing, ex-storage)'!F310/100))/VLOOKUP($C$307,'DB animal categories'!$C$117:$AC$126,27,FALSE)*AJ310+I310+J310+K310,IF(AI310=1,('Calc (ex-animal)'!$H$63*'DB additional information '!$L$13/100*(1-VLOOKUP(D310,'DB technologies'!$N$154:$Y$166,9,FALSE)/100)*'Calc (ex-housing, ex-storage)'!F310/100)/VLOOKUP($C$307,'DB animal categories'!$C$117:$AC$126,27,FALSE)*AJ310,IF(AI310=4,('Calc (ex-animal)'!$G$63*'DB additional information '!$K$13/100+'Calc (ex-animal)'!$H$63*'DB additional information '!$L$13/100)*(1-VLOOKUP(D310,'DB technologies'!$N$154:$Y$166,9,FALSE)/100)*'Calc (ex-housing, ex-storage)'!F310/100*VLOOKUP(D310,'DB technologies'!$N$154:$Y$166,11,FALSE)/100/VLOOKUP($C$307,'DB animal categories'!$C$117:$AC$126,27,FALSE)*AJ310,0))))</f>
        <v/>
      </c>
      <c r="AM310" s="442" t="str">
        <f>IF(D310="","",IF(AI310=2,(('Calc (ex-animal)'!$G$63*(1-'DB additional information '!$K$13/100)*(1-VLOOKUP(D310,'DB technologies'!$N$154:$Y$166,8,FALSE)/100)*'Calc (ex-housing, ex-storage)'!F310/100+'Calc (ex-animal)'!$H$63*(1-'DB additional information '!$L$13/100)*(1-VLOOKUP(D310,'DB technologies'!$N$154:$Y$166,8,FALSE)/100)*'Calc (ex-housing, ex-storage)'!F310/100))/VLOOKUP($C$307,'DB animal categories'!$C$117:$AC$126,27,FALSE)*AJ310+M310+N310+O310,IF(AI310=1,('Calc (ex-animal)'!$H$63*(1-'DB additional information '!$L$13/100)*(1-VLOOKUP(D310,'DB technologies'!$N$154:$Y$166,8,FALSE)/100)*'Calc (ex-housing, ex-storage)'!F310/100)/VLOOKUP($C$307,'DB animal categories'!$C$117:$AC$126,27,FALSE)*AJ310,IF(AI310=4,('Calc (ex-animal)'!$G$63*(1-'DB additional information '!$K$13/100)+'Calc (ex-animal)'!$H$63*(1-'DB additional information '!$L$13/100))*(1-VLOOKUP(D310,'DB technologies'!$N$154:$Y$166,8,FALSE)/100)*'Calc (ex-housing, ex-storage)'!F310/100*VLOOKUP(D310,'DB technologies'!$N$154:$Y$166,11,FALSE)/100/VLOOKUP($C$307,'DB animal categories'!$C$117:$AC$126,27,FALSE)*AJ310,0))))</f>
        <v/>
      </c>
      <c r="AN310" s="442" t="str">
        <f>IF(AI310="","",IF(AL310=0,0,AL310/AK310*100))</f>
        <v/>
      </c>
      <c r="AO310" s="182" t="str">
        <f>IF(D310="","",IF(AI310=2,(('Calc (ex-animal)'!$L$63*'Calc (ex-housing, ex-storage)'!F310/100+'Calc (ex-animal)'!$K$63*'Calc (ex-housing, ex-storage)'!F310/100))/VLOOKUP($C$307,'DB animal categories'!$C$117:$AC$126,27,FALSE)*AJ310+Q310+R310+S310-AC310,IF(AI310=1,('Calc (ex-animal)'!$L$63*'Calc (ex-housing, ex-storage)'!F310/100)/VLOOKUP($C$307,'DB animal categories'!$C$117:$AC$126,27,FALSE)*AJ310-'Calc (ex-housing, ex-storage)'!AC310,IF(AI310=4,('Calc (ex-animal)'!$L$63+'Calc (ex-animal)'!$K$63)*'Calc (ex-housing, ex-storage)'!F310/100*VLOOKUP(D310,'DB technologies'!$N$154:$Y$166,11,FALSE)/100/VLOOKUP($C$307,'DB animal categories'!$C$117:$AC$126,27,FALSE)*AJ310-AC310*VLOOKUP(D310,'DB technologies'!$N$154:$Y$166,11,FALSE)/100,0))))</f>
        <v/>
      </c>
      <c r="AP310" s="182" t="str">
        <f>IF(D310="","",IF(AO310&lt;-0.01,0,IF(AI310=2,(('Calc (ex-animal)'!$L$63*'Calc (ex-housing, ex-storage)'!F310/100+'Calc (ex-animal)'!$K$63*'Calc (ex-housing, ex-storage)'!F310/100))/VLOOKUP($C$307,'DB animal categories'!$C$117:$AC$126,27,FALSE)*AJ310+Q310+R310+S310-AC310,IF(AI310=1,('Calc (ex-animal)'!$L$63*'Calc (ex-housing, ex-storage)'!F310/100)/VLOOKUP($C$307,'DB animal categories'!$C$117:$AC$126,27,FALSE)*AJ310-'Calc (ex-housing, ex-storage)'!AC310,IF(AI310=4,('Calc (ex-animal)'!$L$63+'Calc (ex-animal)'!$K$63)*'Calc (ex-housing, ex-storage)'!F310/100*VLOOKUP(D310,'DB technologies'!$N$154:$Y$166,11,FALSE)/100/VLOOKUP($C$307,'DB animal categories'!$C$117:$AC$126,27,FALSE)*AJ310-AC310*VLOOKUP(D310,'DB technologies'!$N$154:$Y$166,11,FALSE)/100,0)))))</f>
        <v/>
      </c>
      <c r="AQ310" s="182" t="str">
        <f>IF(D310="","",IF(AI310=2,('Calc (ex-animal)'!$O$63*'Calc (ex-housing, ex-storage)'!F310/100+'Calc (ex-animal)'!$N$63*'Calc (ex-housing, ex-storage)'!F310/100)/VLOOKUP($C$307,'DB animal categories'!$C$117:$AC$126,27,FALSE)*AJ310+U310+V310+W310,IF(AI310=1,'Calc (ex-animal)'!$O$63*'Calc (ex-housing, ex-storage)'!F310/100/VLOOKUP($C$307,'DB animal categories'!$C$117:$AC$126,27,FALSE)*AJ310,IF(AI310=4,('Calc (ex-animal)'!$O$63+'Calc (ex-animal)'!$N$63)*'Calc (ex-housing, ex-storage)'!F310/100*VLOOKUP(D310,'DB technologies'!$N$154:$Y$166,11,FALSE)/100/VLOOKUP($C$307,'DB animal categories'!$C$117:$AC$126,27,FALSE)*AJ310,0))))</f>
        <v/>
      </c>
      <c r="AR310" s="182" t="str">
        <f>IF(D310="","",IF(AI310=2,('Calc (ex-animal)'!$R$63*'Calc (ex-housing, ex-storage)'!F310/100+'Calc (ex-animal)'!$Q$63*'Calc (ex-housing, ex-storage)'!F310/100)/VLOOKUP($C$307,'DB animal categories'!$C$117:$AC$126,27,FALSE)*AJ310+Y310+Z310+AA310,IF(AI310=1,'Calc (ex-animal)'!$R$63*'Calc (ex-housing, ex-storage)'!F310/100/VLOOKUP($C$307,'DB animal categories'!$C$117:$AC$126,27,FALSE)*AJ310,IF(AI310=4,('Calc (ex-animal)'!$R$63+'Calc (ex-animal)'!$Q$63)*'Calc (ex-housing, ex-storage)'!F310/100*VLOOKUP(D310,'DB technologies'!$N$154:$Y$166,11,FALSE)/100/VLOOKUP($C$307,'DB animal categories'!$C$117:$AC$126,27,FALSE)*AJ310,0))))</f>
        <v/>
      </c>
      <c r="AS310" s="181" t="str">
        <f>IF(D310="","",VLOOKUP(D310,'DB technologies'!$N$154:$Y$166,10,FALSE))</f>
        <v/>
      </c>
      <c r="AT310" s="442" t="str">
        <f>IF(AS310="","",AU310+AV310)</f>
        <v/>
      </c>
      <c r="AU310" s="442" t="str">
        <f>IF(D310="","",IF(AS310=2,0,IF(AS310=1,'Calc (ex-animal)'!$G$63*'DB additional information '!$K$13/100*(1-VLOOKUP(D310,'DB technologies'!$N$154:$Y$166,8,FALSE)/100)*'Calc (ex-housing, ex-storage)'!F310/100/VLOOKUP($C$307,'DB animal categories'!$C$117:$AC$126,27,FALSE)*AJ310+I310+J310+K310,IF(AS310=5,(('Calc (ex-animal)'!$G$63*'DB additional information '!$K$13/100+'Calc (ex-animal)'!$H$63*'DB additional information '!$L$13/100))*(1-VLOOKUP(D310,'DB technologies'!$N$154:$Y$166,9,FALSE)/100)*'Calc (ex-housing, ex-storage)'!F310/100/VLOOKUP($C$307,'DB animal categories'!$C$117:$AC$126,27,FALSE)*AJ310+I310+J310+K310,IF(AS310=3,('Calc (ex-animal)'!$G$63*'DB additional information '!$K$13/100+'Calc (ex-animal)'!$H$63*'DB additional information '!$L$13/100)*(1-VLOOKUP(D310,'DB technologies'!$N$154:$Y$166,9,FALSE)/100)*'Calc (ex-housing, ex-storage)'!F310/100/VLOOKUP($C$307,'DB animal categories'!$C$117:$AC$126,27,FALSE)*AJ310+I310+J310+K310,IF(AS310=4,('Calc (ex-animal)'!$G$63*'DB additional information '!$K$13/100+'Calc (ex-animal)'!$H$63*'DB additional information '!$L$13/100)*(1-VLOOKUP(D310,'DB technologies'!$N$154:$Y$166,9,FALSE)/100)*'Calc (ex-housing, ex-storage)'!F310/100*VLOOKUP(D310,'DB technologies'!$N$154:$Y$166,12,FALSE)/100/VLOOKUP($C$307,'DB animal categories'!$C$117:$AC$126,27,FALSE)*AJ310+I310+J310+K310,0))))))</f>
        <v/>
      </c>
      <c r="AV310" s="442" t="str">
        <f>IF(D310="","",IF(AS310=2,0,IF(AS310=1,'Calc (ex-animal)'!$G$63*(1-'DB additional information '!$K$13/100)*(1-VLOOKUP(D310,'DB technologies'!$N$154:$Y$166,8,FALSE)/100)*'Calc (ex-housing, ex-storage)'!F310/100/VLOOKUP($C$307,'DB animal categories'!$C$117:$AC$126,27,FALSE)*AJ310+M310+N310+O310,IF(AS310=5,('Calc (ex-animal)'!$G$63*(1-'DB additional information '!$K$13/100)+'Calc (ex-animal)'!$H$63*(1-'DB additional information '!$L$13/100))*(1-VLOOKUP(D310,'DB technologies'!$N$154:$Y$166,8,FALSE)/100)*'Calc (ex-housing, ex-storage)'!F310/100/VLOOKUP($C$307,'DB animal categories'!$C$117:$AC$126,27,FALSE)*AJ310+M310+N310+O310,IF(AS310=3,('Calc (ex-animal)'!$G$63*(1-'DB additional information '!$K$13/100)+'Calc (ex-animal)'!$H$63*(1-'DB additional information '!$L$13/100))*(1-VLOOKUP(D310,'DB technologies'!$N$154:$Y$166,8,FALSE)/100)*'Calc (ex-housing, ex-storage)'!F310/100/VLOOKUP($C$307,'DB animal categories'!$C$117:$AC$126,27,FALSE)*AJ310+M310+N310+O310,IF(AS310=4,('Calc (ex-animal)'!$G$63*(1-'DB additional information '!$K$13/100)+'Calc (ex-animal)'!$H$63*(1-'DB additional information '!$L$13/100))*(1-VLOOKUP(D310,'DB technologies'!$N$154:$Y$166,8,FALSE)/100)*'Calc (ex-housing, ex-storage)'!F310/100*VLOOKUP(D310,'DB technologies'!$N$154:$Y$166,12,FALSE)/100/VLOOKUP($C$307,'DB animal categories'!$C$117:$AC$126,27,FALSE)*AJ310+M310+N310+O310,0))))))</f>
        <v/>
      </c>
      <c r="AW310" s="442" t="str">
        <f>IF(AS310="","",IF(AU310=0,0,AU310/AT310*100))</f>
        <v/>
      </c>
      <c r="AX310" s="182" t="str">
        <f>IF(D310="","",IF(AS310=2,0,IF(AS310=1,'Calc (ex-animal)'!$K$63*'Calc (ex-housing, ex-storage)'!F310/100/VLOOKUP($C$307,'DB animal categories'!$C$117:$AC$126,27,FALSE)*AJ310+Q310+R310+S310,IF(AS310=5,('Calc (ex-animal)'!$K$63+'Calc (ex-animal)'!$L$63)*'Calc (ex-housing, ex-storage)'!F310/100/VLOOKUP($C$307,'DB animal categories'!$C$117:$AC$126,27,FALSE)*AJ310+Q310+R310+S310-'Calc (ex-housing, ex-storage)'!AC310,IF(AS310=3,('Calc (ex-animal)'!$K$63+'Calc (ex-animal)'!$L$63)*'Calc (ex-housing, ex-storage)'!F310/100/VLOOKUP($C$307,'DB animal categories'!$C$117:$AC$126,27,FALSE)*AJ310+Q310+R310+S310-'Calc (ex-housing, ex-storage)'!AC310-AD310-AE310,IF(AI310=4,('Calc (ex-animal)'!$K$63+'Calc (ex-animal)'!$L$63)*'Calc (ex-housing, ex-storage)'!F310/100*VLOOKUP(D310,'DB technologies'!$N$154:$Y$166,12,FALSE)/100/VLOOKUP($C$307,'DB animal categories'!$C$117:$AC$126,27,FALSE)*AJ310+Q310+R310+S310-(VLOOKUP(D310,'DB technologies'!$N$154:$Y$166,12,FALSE)/100*AC310)-AD310-AE310,0))))))</f>
        <v/>
      </c>
      <c r="AY310" s="182" t="str">
        <f>IF(D310="","",IF(AS310=2,0,IF(AS310=1,'Calc (ex-animal)'!$N$63*'Calc (ex-housing, ex-storage)'!F310/100/VLOOKUP($C$307,'DB animal categories'!$C$117:$AC$126,27,FALSE)*AJ310+U310+V310+W310,IF(AS310=5,('Calc (ex-animal)'!$N$63+'Calc (ex-animal)'!$O$63)*'Calc (ex-housing, ex-storage)'!F310/100/VLOOKUP($C$307,'DB animal categories'!$C$117:$AC$126,27,FALSE)*AJ310+U310+V310+W310,IF(AS310=3,('Calc (ex-animal)'!$N$63+'Calc (ex-animal)'!$O$63)*'Calc (ex-housing, ex-storage)'!F310/100/VLOOKUP($C$307,'DB animal categories'!$C$117:$AC$126,27,FALSE)*AJ310+U310+V310+W310,IF(AS310=4,('Calc (ex-animal)'!$N$63+'Calc (ex-animal)'!$O$63)*'Calc (ex-housing, ex-storage)'!F310/100*VLOOKUP(D310,'DB technologies'!$N$154:$Y$166,12,FALSE)/100/VLOOKUP($C$307,'DB animal categories'!$C$117:$AC$126,27,FALSE)*AJ310+U310+V310+W310,0))))))</f>
        <v/>
      </c>
      <c r="AZ310" s="182" t="str">
        <f>IF(D310="","",IF(AS310=2,0,IF(AS310=1,'Calc (ex-animal)'!$Q$63*'Calc (ex-housing, ex-storage)'!F310/100/VLOOKUP($C$307,'DB animal categories'!$C$117:$AC$126,27,FALSE)*AJ310+Y310+Z310+AA310,IF(AS310=5,('Calc (ex-animal)'!$Q$63+'Calc (ex-animal)'!$R$63)*'Calc (ex-housing, ex-storage)'!F310/100/VLOOKUP($C$307,'DB animal categories'!$C$117:$AC$126,27,FALSE)*AJ310+Y310+Z310+AA310,IF(AS310=3,('Calc (ex-animal)'!$Q$63+'Calc (ex-animal)'!$R$63)*'Calc (ex-housing, ex-storage)'!F310/100/VLOOKUP($C$307,'DB animal categories'!$C$117:$AC$126,27,FALSE)*AJ310+Y310+Z310+AA310,IF(AS310=4,('Calc (ex-animal)'!$Q$63+'Calc (ex-animal)'!$R$63)*'Calc (ex-housing, ex-storage)'!F310/100*VLOOKUP(D310,'DB technologies'!$N$154:$Y$166,12,FALSE)/100/VLOOKUP($C$307,'DB animal categories'!$C$117:$AC$126,27,FALSE)*AJ310+Y310+Z310+AA310,0))))))</f>
        <v/>
      </c>
      <c r="BA310" s="506"/>
      <c r="BB310" s="506"/>
      <c r="BC310" s="506"/>
    </row>
    <row r="311" spans="1:55" ht="12" thickBot="1" x14ac:dyDescent="0.25">
      <c r="A311" s="695"/>
      <c r="B311" s="695"/>
      <c r="C311" s="255"/>
      <c r="D311" s="1359"/>
      <c r="E311" s="1360"/>
      <c r="F311" s="481" t="str">
        <f>IF('Calc (ex-animal)'!$F$63=1,"",IF($C$307=0,"",IF(D311="","",E311/'Calc (ex-animal)'!$E$63*100)))</f>
        <v/>
      </c>
      <c r="G311" s="483" t="str">
        <f>IF($C$307=0,"",IF('Calc (ex-animal)'!$F$63=1,"",IF(D311="","",SUM(H311:O311))))</f>
        <v/>
      </c>
      <c r="H311" s="445" t="str">
        <f>IF('Calc (ex-animal)'!$F$63=1,"",IF(D311="","",(((VLOOKUP($C$307,'Calc (ex-animal)'!$D$63:$Y$67,6,FALSE)-VLOOKUP($C$307,'Calc (ex-animal)'!$D$63:$Y$67,17,FALSE))*F311/100))*VLOOKUP($C$307,'Calc (ex-animal)'!$D$63:$Y$67,7,FALSE)/100*(1-VLOOKUP(D311,'DB technologies'!$N$154:$Y$166,9,FALSE)/100)))</f>
        <v/>
      </c>
      <c r="I311" s="445" t="str">
        <f>IF(D311="","",((VLOOKUP(D311,'DB technologies'!$N$154:$Y$166,2,FALSE)*VLOOKUP($C$307,'DB animal categories'!$C$117:$AC$126,27,FALSE)*E311/1000)/VLOOKUP($C$307,'DB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'!$S$6/100*(1-VLOOKUP(D311,'DB technologies'!$N$154:$Y$166,9,FALSE)/100)))</f>
        <v/>
      </c>
      <c r="J311" s="446" t="str">
        <f>IF(D311="","",((VLOOKUP(D311,'DB technologies'!$N$154:$Y$166,3,FALSE)*VLOOKUP($C$307,'DB animal categories'!$C$117:$AC$126,27,FALSE)*E311/1000)/VLOOKUP($C$307,'DB animal categories'!$C$117:$AC$126,27,FALSE)*(VLOOKUP($C$307,'DB animal categories'!$C$117:$AC$126,27,FALSE)-(VLOOKUP($C$307,'DB animal categories'!$C$117:$AC$126,25,FALSE)*VLOOKUP($C$307,'DB animal categories'!$C$117:$AC$126,26,FALSE)/24))*'DB additional information '!$S$7/100*(1-VLOOKUP(D311,'DB technologies'!$N$154:$Y$166,9,FALSE)/100)))</f>
        <v/>
      </c>
      <c r="K311" s="446" t="str">
        <f>IF(D311="","",((VLOOKUP(D311,'DB technologies'!$N$154:$Y$166,4,FALSE)*E311*'DB additional information '!$S$8/100*(1-VLOOKUP(D311,'DB technologies'!$N$154:$Y$166,9,FALSE)/100))/VLOOKUP($C$307,'DB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L311" s="445" t="str">
        <f>IF('Calc (ex-animal)'!$F$63=1,"",IF(D311="","",(((VLOOKUP($C$307,'Calc (ex-animal)'!$D$63:$Y$67,6,FALSE)-VLOOKUP($C$307,'Calc (ex-animal)'!$D$63:$Y$67,17,FALSE))*F311/100))*(1-VLOOKUP($C$307,'Calc (ex-animal)'!$D$63:$Y$67,7,FALSE)/100)*(1-VLOOKUP(D311,'DB technologies'!$N$154:$V$166,8,FALSE)/100)))</f>
        <v/>
      </c>
      <c r="M311" s="446" t="str">
        <f>IF(D311="","",((VLOOKUP(D311,'DB technologies'!$N$154:$Y$166,2,FALSE)*VLOOKUP($C$307,'DB animal categories'!$C$117:$AC$126,27,FALSE)*E311/1000)/VLOOKUP($C$307,'DB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'!$S$6/100)*(1-VLOOKUP(D311,'DB technologies'!$N$154:$Y$166,9,FALSE)/100))</f>
        <v/>
      </c>
      <c r="N311" s="446" t="str">
        <f>IF(D311="","",((VLOOKUP(D311,'DB technologies'!$N$154:$Y$166,3,FALSE)*VLOOKUP($C$307,'DB animal categories'!$C$117:$AC$126,27,FALSE)*E311/1000)/VLOOKUP($C$307,'DB animal categories'!$C$117:$AC$126,27,FALSE)*(VLOOKUP($C$307,'DB animal categories'!$C$117:$AC$126,27,FALSE)-VLOOKUP($C$307,'DB animal categories'!$C$117:$AC$126,25,FALSE)*VLOOKUP($C$307,'DB animal categories'!$C$117:$AC$126,26,FALSE)/24))*(1-'DB additional information '!$S$7/100)*(1-VLOOKUP(D311,'DB technologies'!$N$154:$Y$166,9,FALSE)/100))</f>
        <v/>
      </c>
      <c r="O311" s="445" t="str">
        <f>IF(D311="","",((VLOOKUP(D311,'DB technologies'!$N$154:$Y$166,4,FALSE)*E311*(1-'DB additional information '!$S$8/100)*(1-VLOOKUP(D311,'DB technologies'!$N$154:$Y$166,8,FALSE)/100))/VLOOKUP($C$307,'DB animal categories'!$C$117:$AC$126,27,FALSE)*(VLOOKUP($C$307,'DB animal categories'!$C$117:$AC$126,27,FALSE)-VLOOKUP($C$307,'DB animal categories'!$C$117:$AC$126,25,FALSE)*VLOOKUP($C$307,'DB animal categories'!$C$117:$AC$126,26,FALSE)/24)))</f>
        <v/>
      </c>
      <c r="P311" s="444" t="str">
        <f>IF(G311=0,0,IF(E311="","",IF(F311="","",IF($C$307=0,"",IF(D311="","",SUM(H311:K311)/G311*100)))))</f>
        <v/>
      </c>
      <c r="Q311" s="476" t="str">
        <f>IF(D311="","",(VLOOKUP(D311,'DB technologies'!$N$154:$Y$166,2,FALSE)*'DB additional information '!$S$6/100*'DB additional information '!$T$6*VLOOKUP($C$307,'DB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R311" s="476" t="str">
        <f>IF(D311="","",(VLOOKUP(D311,'DB technologies'!$N$154:$Y$166,3,FALSE)*'DB additional information '!$S$7/100*'DB additional information '!$T$7*VLOOKUP($C$307,'DB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S311" s="494" t="str">
        <f>IF(D311="","",(VLOOKUP(D311,'DB technologies'!$N$154:$Y$166,4,FALSE)*('DB additional information '!$S$8/100*'DB additional information '!$T$8*E311/1000/1000)))</f>
        <v/>
      </c>
      <c r="T311" s="266" t="str">
        <f>IF($C$307=0,"",IF('Calc (ex-animal)'!$F$63=1,"",IF(D311="","",((VLOOKUP($C$307,'Calc (ex-animal)'!$D$63:$Y$67,10,FALSE)-VLOOKUP($C$307,'Calc (ex-animal)'!$D$63:$Y$67,18,FALSE))*F311/100+Q311+R311+S311)-AC311-AD311-AE311)))</f>
        <v/>
      </c>
      <c r="U311" s="477" t="str">
        <f>IF(D311="","",(VLOOKUP(D311,'DB technologies'!$N$154:$Y$166,2,FALSE)*'DB additional information '!$S$6/100*'DB additional information '!$U$6*VLOOKUP($C$307,'DB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V311" s="433" t="str">
        <f>IF(D311="","",(VLOOKUP(D311,'DB technologies'!$N$154:$Y$166,3,FALSE)*'DB additional information '!$S$7/100*'DB additional information '!$U$7*VLOOKUP($C$307,'DB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W311" s="475" t="str">
        <f>IF(D311="","",(VLOOKUP(D311,'DB technologies'!$N$154:$Y$166,4,FALSE)*('DB additional information '!$S$8/100*'DB additional information '!$U$8*E311/1000/1000)))</f>
        <v/>
      </c>
      <c r="X311" s="267" t="str">
        <f>IF($C$307=0,"",IF('Calc (ex-animal)'!$F$63=1,"",IF(D311="","",((VLOOKUP($C$307,'Calc (ex-animal)'!$D$63:$Y$67,13,FALSE)-VLOOKUP($C$307,'Calc (ex-animal)'!$D$63:$Y$67,19,FALSE))*F311/100+U311+V311+W311))))</f>
        <v/>
      </c>
      <c r="Y311" s="433" t="str">
        <f>IF(D311="","",(VLOOKUP(D311,'DB technologies'!$N$154:$Y$166,2,FALSE)*'DB additional information '!$S$6/100*'DB additional information '!$V$6*VLOOKUP($C$307,'DB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Z311" s="433" t="str">
        <f>IF(D311="","",(VLOOKUP(D311,'DB technologies'!$N$154:$Y$166,3,FALSE)*'DB additional information '!$S$7/100*'DB additional information '!$V$7*VLOOKUP($C$307,'DB animal categories'!$C$117:$AC$126,27,FALSE)*E311/1000/1000)/VLOOKUP($C$307,'DB animal categories'!$C$117:$AC$126,27,FALSE)*(VLOOKUP($C$307,'DB animal categories'!$C$117:$AC$126,27,FALSE)-VLOOKUP($C$307,'DB animal categories'!$C$117:$AC$126,25,FALSE)*VLOOKUP($C$307,'DB animal categories'!$C$117:$AC$126,26,FALSE)/24))</f>
        <v/>
      </c>
      <c r="AA311" s="433" t="str">
        <f>IF(D311="","",(VLOOKUP(D311,'DB technologies'!$N$154:$Y$166,4,FALSE)*('DB additional information '!$S$8/100*'DB additional information '!$V$8*E311/1000/1000)))</f>
        <v/>
      </c>
      <c r="AB311" s="267" t="str">
        <f>IF($C$307=0,"",IF('Calc (ex-animal)'!$F$63=1,"",IF(D311="","",((VLOOKUP($C$307,'Calc (ex-animal)'!$D$63:$Y$67,16,FALSE)-VLOOKUP($C$307,'Calc (ex-animal)'!$D$63:$Y$67,20,FALSE))*F311/100+Y311+Z311+AA311))))</f>
        <v/>
      </c>
      <c r="AC311" s="267" t="str">
        <f>IF($C$307=0,"",IF('Calc (ex-animal)'!$F$63=1,"",IF(D311="","",VLOOKUP($C$307,'Calc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categories'!$C$117:$AC$126,26,FALSE)/24)*F311/100*VLOOKUP(D311,'DB technologies'!$N$154:$R$166,5,FALSE)/100)))</f>
        <v/>
      </c>
      <c r="AD311" s="267" t="str">
        <f>IF($C$307=0,"",IF('Calc (ex-animal)'!$F$63=1,"",IF(D311="","",VLOOKUP($C$307,'Calc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categories'!$C$117:$AC$126,26,FALSE)/24)*F311/100*VLOOKUP(D311,'DB technologies'!$N$154:$Y$166,6,FALSE)/100)))</f>
        <v/>
      </c>
      <c r="AE311" s="268" t="str">
        <f>IF($C$307=0,"",IF('Calc (ex-animal)'!$F$63=1,"",IF(D311="","",VLOOKUP($C$307,'Calc (ex-animal)'!$D$63:$Y$67,10,FALSE)/VLOOKUP($C$307,'DB animal categories'!$C$117:$AC$126,27,FALSE)*(VLOOKUP($C$307,'DB animal categories'!$C$117:$AC$126,27,FALSE)-VLOOKUP($C$307,'DB animal categories'!$C$117:$AC$126,25,FALSE)*VLOOKUP($C$307,'DB animal categories'!$C$117:$AC$126,26,FALSE)/24)*F311/100*VLOOKUP(D311,'DB technologies'!$N$154:$Y$166,7,FALSE)/100)))</f>
        <v/>
      </c>
      <c r="AI311" s="183" t="str">
        <f>IF(D311="","",VLOOKUP(D311,'DB technologies'!$N$154:$Y$166,10,FALSE))</f>
        <v/>
      </c>
      <c r="AJ311" s="451" t="e">
        <f>VLOOKUP($C$307,'DB animal categories'!$C$117:$AN$126,27,FALSE)-VLOOKUP($C$307,'DB animal categories'!$C$117:$AN$126,26,FALSE)*VLOOKUP($C$307,'DB animal categories'!$C$117:$AN$126,25,FALSE)/24</f>
        <v>#N/A</v>
      </c>
      <c r="AK311" s="452" t="str">
        <f>IF(AI311="","",AL311+AM311)</f>
        <v/>
      </c>
      <c r="AL311" s="452" t="str">
        <f>IF(D311="","",IF(AI311=2,(('Calc (ex-animal)'!$G$63*'DB additional information '!$K$13/100*(1-VLOOKUP(D311,'DB technologies'!$N$154:$Y$166,9,FALSE)/100)*'Calc (ex-housing, ex-storage)'!F311/100+'Calc (ex-animal)'!$H$63*'DB additional information '!$L$13/100*(1-VLOOKUP(D311,'DB technologies'!$N$154:$Y$166,9,FALSE)/100)*'Calc (ex-housing, ex-storage)'!F311/100))/VLOOKUP($C$307,'DB animal categories'!$C$117:$AC$126,27,FALSE)*AJ311+I311+J311+K311,IF(AI311=1,('Calc (ex-animal)'!$H$63*'DB additional information '!$L$13/100*(1-VLOOKUP(D311,'DB technologies'!$N$154:$Y$166,9,FALSE)/100)*'Calc (ex-housing, ex-storage)'!F311/100)/VLOOKUP($C$307,'DB animal categories'!$C$117:$AC$126,27,FALSE)*AJ311,IF(AI311=4,('Calc (ex-animal)'!$G$63*'DB additional information '!$K$13/100+'Calc (ex-animal)'!$H$63*'DB additional information '!$L$13/100)*(1-VLOOKUP(D311,'DB technologies'!$N$154:$Y$166,9,FALSE)/100)*'Calc (ex-housing, ex-storage)'!F311/100*VLOOKUP(D311,'DB technologies'!$N$154:$Y$166,11,FALSE)/100/VLOOKUP($C$307,'DB animal categories'!$C$117:$AC$126,27,FALSE)*AJ311,0))))</f>
        <v/>
      </c>
      <c r="AM311" s="452" t="str">
        <f>IF(D311="","",IF(AI311=2,(('Calc (ex-animal)'!$G$63*(1-'DB additional information '!$K$13/100)*(1-VLOOKUP(D311,'DB technologies'!$N$154:$Y$166,8,FALSE)/100)*'Calc (ex-housing, ex-storage)'!F311/100+'Calc (ex-animal)'!$H$63*(1-'DB additional information '!$L$13/100)*(1-VLOOKUP(D311,'DB technologies'!$N$154:$Y$166,8,FALSE)/100)*'Calc (ex-housing, ex-storage)'!F311/100))/VLOOKUP($C$307,'DB animal categories'!$C$117:$AC$126,27,FALSE)*AJ311+M311+N311+O311,IF(AI311=1,('Calc (ex-animal)'!$H$63*(1-'DB additional information '!$L$13/100)*(1-VLOOKUP(D311,'DB technologies'!$N$154:$Y$166,8,FALSE)/100)*'Calc (ex-housing, ex-storage)'!F311/100)/VLOOKUP($C$307,'DB animal categories'!$C$117:$AC$126,27,FALSE)*AJ311,IF(AI311=4,('Calc (ex-animal)'!$G$63*(1-'DB additional information '!$K$13/100)+'Calc (ex-animal)'!$H$63*(1-'DB additional information '!$L$13/100))*(1-VLOOKUP(D311,'DB technologies'!$N$154:$Y$166,8,FALSE)/100)*'Calc (ex-housing, ex-storage)'!F311/100*VLOOKUP(D311,'DB technologies'!$N$154:$Y$166,11,FALSE)/100/VLOOKUP($C$307,'DB animal categories'!$C$117:$AC$126,27,FALSE)*AJ311,0))))</f>
        <v/>
      </c>
      <c r="AN311" s="452" t="str">
        <f>IF(AI311="","",IF(AL311=0,0,AL311/AK311*100))</f>
        <v/>
      </c>
      <c r="AO311" s="184" t="str">
        <f>IF(D311="","",IF(AI311=2,(('Calc (ex-animal)'!$L$63*'Calc (ex-housing, ex-storage)'!F311/100+'Calc (ex-animal)'!$K$63*'Calc (ex-housing, ex-storage)'!F311/100))/VLOOKUP($C$307,'DB animal categories'!$C$117:$AC$126,27,FALSE)*AJ311+Q311+R311+S311-AC311,IF(AI311=1,('Calc (ex-animal)'!$L$63*'Calc (ex-housing, ex-storage)'!F311/100)/VLOOKUP($C$307,'DB animal categories'!$C$117:$AC$126,27,FALSE)*AJ311-'Calc (ex-housing, ex-storage)'!AC311,IF(AI311=4,('Calc (ex-animal)'!$L$63+'Calc (ex-animal)'!$K$63)*'Calc (ex-housing, ex-storage)'!F311/100*VLOOKUP(D311,'DB technologies'!$N$154:$Y$166,11,FALSE)/100/VLOOKUP($C$307,'DB animal categories'!$C$117:$AC$126,27,FALSE)*AJ311-AC311*VLOOKUP(D311,'DB technologies'!$N$154:$Y$166,11,FALSE)/100,0))))</f>
        <v/>
      </c>
      <c r="AP311" s="184" t="str">
        <f>IF(D311="","",IF(AO311&lt;-0.01,0,IF(AI311=2,(('Calc (ex-animal)'!$L$63*'Calc (ex-housing, ex-storage)'!F311/100+'Calc (ex-animal)'!$K$63*'Calc (ex-housing, ex-storage)'!F311/100))/VLOOKUP($C$307,'DB animal categories'!$C$117:$AC$126,27,FALSE)*AJ311+Q311+R311+S311-AC311,IF(AI311=1,('Calc (ex-animal)'!$L$63*'Calc (ex-housing, ex-storage)'!F311/100)/VLOOKUP($C$307,'DB animal categories'!$C$117:$AC$126,27,FALSE)*AJ311-'Calc (ex-housing, ex-storage)'!AC311,IF(AI311=4,('Calc (ex-animal)'!$L$63+'Calc (ex-animal)'!$K$63)*'Calc (ex-housing, ex-storage)'!F311/100*VLOOKUP(D311,'DB technologies'!$N$154:$Y$166,11,FALSE)/100/VLOOKUP($C$307,'DB animal categories'!$C$117:$AC$126,27,FALSE)*AJ311-AC311*VLOOKUP(D311,'DB technologies'!$N$154:$Y$166,11,FALSE)/100,0)))))</f>
        <v/>
      </c>
      <c r="AQ311" s="184" t="str">
        <f>IF(D311="","",IF(AI311=2,('Calc (ex-animal)'!$O$63*'Calc (ex-housing, ex-storage)'!F311/100+'Calc (ex-animal)'!$N$63*'Calc (ex-housing, ex-storage)'!F311/100)/VLOOKUP($C$307,'DB animal categories'!$C$117:$AC$126,27,FALSE)*AJ311+U311+V311+W311,IF(AI311=1,'Calc (ex-animal)'!$O$63*'Calc (ex-housing, ex-storage)'!F311/100/VLOOKUP($C$307,'DB animal categories'!$C$117:$AC$126,27,FALSE)*AJ311,IF(AI311=4,('Calc (ex-animal)'!$O$63+'Calc (ex-animal)'!$N$63)*'Calc (ex-housing, ex-storage)'!F311/100*VLOOKUP(D311,'DB technologies'!$N$154:$Y$166,11,FALSE)/100/VLOOKUP($C$307,'DB animal categories'!$C$117:$AC$126,27,FALSE)*AJ311,0))))</f>
        <v/>
      </c>
      <c r="AR311" s="184" t="str">
        <f>IF(D311="","",IF(AI311=2,('Calc (ex-animal)'!$R$63*'Calc (ex-housing, ex-storage)'!F311/100+'Calc (ex-animal)'!$Q$63*'Calc (ex-housing, ex-storage)'!F311/100)/VLOOKUP($C$307,'DB animal categories'!$C$117:$AC$126,27,FALSE)*AJ311+Y311+Z311+AA311,IF(AI311=1,'Calc (ex-animal)'!$R$63*'Calc (ex-housing, ex-storage)'!F311/100/VLOOKUP($C$307,'DB animal categories'!$C$117:$AC$126,27,FALSE)*AJ311,IF(AI311=4,('Calc (ex-animal)'!$R$63+'Calc (ex-animal)'!$Q$63)*'Calc (ex-housing, ex-storage)'!F311/100*VLOOKUP(D311,'DB technologies'!$N$154:$Y$166,11,FALSE)/100/VLOOKUP($C$307,'DB animal categories'!$C$117:$AC$126,27,FALSE)*AJ311,0))))</f>
        <v/>
      </c>
      <c r="AS311" s="183" t="str">
        <f>IF(D311="","",VLOOKUP(D311,'DB technologies'!$N$154:$Y$166,10,FALSE))</f>
        <v/>
      </c>
      <c r="AT311" s="452" t="str">
        <f>IF(AS311="","",AU311+AV311)</f>
        <v/>
      </c>
      <c r="AU311" s="452" t="str">
        <f>IF(D311="","",IF(AS311=2,0,IF(AS311=1,'Calc (ex-animal)'!$G$63*'DB additional information '!$K$13/100*(1-VLOOKUP(D311,'DB technologies'!$N$154:$Y$166,8,FALSE)/100)*'Calc (ex-housing, ex-storage)'!F311/100/VLOOKUP($C$307,'DB animal categories'!$C$117:$AC$126,27,FALSE)*AJ311+I311+J311+K311,IF(AS311=5,(('Calc (ex-animal)'!$G$63*'DB additional information '!$K$13/100+'Calc (ex-animal)'!$H$63*'DB additional information '!$L$13/100))*(1-VLOOKUP(D311,'DB technologies'!$N$154:$Y$166,9,FALSE)/100)*'Calc (ex-housing, ex-storage)'!F311/100/VLOOKUP($C$307,'DB animal categories'!$C$117:$AC$126,27,FALSE)*AJ311+I311+J311+K311,IF(AS311=3,('Calc (ex-animal)'!$G$63*'DB additional information '!$K$13/100+'Calc (ex-animal)'!$H$63*'DB additional information '!$L$13/100)*(1-VLOOKUP(D311,'DB technologies'!$N$154:$Y$166,9,FALSE)/100)*'Calc (ex-housing, ex-storage)'!F311/100/VLOOKUP($C$307,'DB animal categories'!$C$117:$AC$126,27,FALSE)*AJ311+I311+J311+K311,IF(AS311=4,('Calc (ex-animal)'!$G$63*'DB additional information '!$K$13/100+'Calc (ex-animal)'!$H$63*'DB additional information '!$L$13/100)*(1-VLOOKUP(D311,'DB technologies'!$N$154:$Y$166,9,FALSE)/100)*'Calc (ex-housing, ex-storage)'!F311/100*VLOOKUP(D311,'DB technologies'!$N$154:$Y$166,12,FALSE)/100/VLOOKUP($C$307,'DB animal categories'!$C$117:$AC$126,27,FALSE)*AJ311+I311+J311+K311,0))))))</f>
        <v/>
      </c>
      <c r="AV311" s="452" t="str">
        <f>IF(D311="","",IF(AS311=2,0,IF(AS311=1,'Calc (ex-animal)'!$G$63*(1-'DB additional information '!$K$13/100)*(1-VLOOKUP(D311,'DB technologies'!$N$154:$Y$166,8,FALSE)/100)*'Calc (ex-housing, ex-storage)'!F311/100/VLOOKUP($C$307,'DB animal categories'!$C$117:$AC$126,27,FALSE)*AJ311+M311+N311+O311,IF(AS311=5,('Calc (ex-animal)'!$G$63*(1-'DB additional information '!$K$13/100)+'Calc (ex-animal)'!$H$63*(1-'DB additional information '!$L$13/100))*(1-VLOOKUP(D311,'DB technologies'!$N$154:$Y$166,8,FALSE)/100)*'Calc (ex-housing, ex-storage)'!F311/100/VLOOKUP($C$307,'DB animal categories'!$C$117:$AC$126,27,FALSE)*AJ311+M311+N311+O311,IF(AS311=3,('Calc (ex-animal)'!$G$63*(1-'DB additional information '!$K$13/100)+'Calc (ex-animal)'!$H$63*(1-'DB additional information '!$L$13/100))*(1-VLOOKUP(D311,'DB technologies'!$N$154:$Y$166,8,FALSE)/100)*'Calc (ex-housing, ex-storage)'!F311/100/VLOOKUP($C$307,'DB animal categories'!$C$117:$AC$126,27,FALSE)*AJ311+M311+N311+O311,IF(AS311=4,('Calc (ex-animal)'!$G$63*(1-'DB additional information '!$K$13/100)+'Calc (ex-animal)'!$H$63*(1-'DB additional information '!$L$13/100))*(1-VLOOKUP(D311,'DB technologies'!$N$154:$Y$166,8,FALSE)/100)*'Calc (ex-housing, ex-storage)'!F311/100*VLOOKUP(D311,'DB technologies'!$N$154:$Y$166,12,FALSE)/100/VLOOKUP($C$307,'DB animal categories'!$C$117:$AC$126,27,FALSE)*AJ311+M311+N311+O311,0))))))</f>
        <v/>
      </c>
      <c r="AW311" s="452" t="str">
        <f>IF(AS311="","",IF(AU311=0,0,AU311/AT311*100))</f>
        <v/>
      </c>
      <c r="AX311" s="184" t="str">
        <f>IF(D311="","",IF(AS311=2,0,IF(AS311=1,'Calc (ex-animal)'!$K$63*'Calc (ex-housing, ex-storage)'!F311/100/VLOOKUP($C$307,'DB animal categories'!$C$117:$AC$126,27,FALSE)*AJ311+Q311+R311+S311,IF(AS311=5,('Calc (ex-animal)'!$K$63+'Calc (ex-animal)'!$L$63)*'Calc (ex-housing, ex-storage)'!F311/100/VLOOKUP($C$307,'DB animal categories'!$C$117:$AC$126,27,FALSE)*AJ311+Q311+R311+S311-'Calc (ex-housing, ex-storage)'!AC311,IF(AS311=3,('Calc (ex-animal)'!$K$63+'Calc (ex-animal)'!$L$63)*'Calc (ex-housing, ex-storage)'!F311/100/VLOOKUP($C$307,'DB animal categories'!$C$117:$AC$126,27,FALSE)*AJ311+Q311+R311+S311-'Calc (ex-housing, ex-storage)'!AC311-AD311-AE311,IF(AI311=4,('Calc (ex-animal)'!$K$63+'Calc (ex-animal)'!$L$63)*'Calc (ex-housing, ex-storage)'!F311/100*VLOOKUP(D311,'DB technologies'!$N$154:$Y$166,12,FALSE)/100/VLOOKUP($C$307,'DB animal categories'!$C$117:$AC$126,27,FALSE)*AJ311+Q311+R311+S311-(VLOOKUP(D311,'DB technologies'!$N$154:$Y$166,12,FALSE)/100*AC311)-AD311-AE311,0))))))</f>
        <v/>
      </c>
      <c r="AY311" s="184" t="str">
        <f>IF(D311="","",IF(AS311=2,0,IF(AS311=1,'Calc (ex-animal)'!$N$63*'Calc (ex-housing, ex-storage)'!F311/100/VLOOKUP($C$307,'DB animal categories'!$C$117:$AC$126,27,FALSE)*AJ311+U311+V311+W311,IF(AS311=5,('Calc (ex-animal)'!$N$63+'Calc (ex-animal)'!$O$63)*'Calc (ex-housing, ex-storage)'!F311/100/VLOOKUP($C$307,'DB animal categories'!$C$117:$AC$126,27,FALSE)*AJ311+U311+V311+W311,IF(AS311=3,('Calc (ex-animal)'!$N$63+'Calc (ex-animal)'!$O$63)*'Calc (ex-housing, ex-storage)'!F311/100/VLOOKUP($C$307,'DB animal categories'!$C$117:$AC$126,27,FALSE)*AJ311+U311+V311+W311,IF(AS311=4,('Calc (ex-animal)'!$N$63+'Calc (ex-animal)'!$O$63)*'Calc (ex-housing, ex-storage)'!F311/100*VLOOKUP(D311,'DB technologies'!$N$154:$Y$166,12,FALSE)/100/VLOOKUP($C$307,'DB animal categories'!$C$117:$AC$126,27,FALSE)*AJ311+U311+V311+W311,0))))))</f>
        <v/>
      </c>
      <c r="AZ311" s="184" t="str">
        <f>IF(D311="","",IF(AS311=2,0,IF(AS311=1,'Calc (ex-animal)'!$Q$63*'Calc (ex-housing, ex-storage)'!F311/100/VLOOKUP($C$307,'DB animal categories'!$C$117:$AC$126,27,FALSE)*AJ311+Y311+Z311+AA311,IF(AS311=5,('Calc (ex-animal)'!$Q$63+'Calc (ex-animal)'!$R$63)*'Calc (ex-housing, ex-storage)'!F311/100/VLOOKUP($C$307,'DB animal categories'!$C$117:$AC$126,27,FALSE)*AJ311+Y311+Z311+AA311,IF(AS311=3,('Calc (ex-animal)'!$Q$63+'Calc (ex-animal)'!$R$63)*'Calc (ex-housing, ex-storage)'!F311/100/VLOOKUP($C$307,'DB animal categories'!$C$117:$AC$126,27,FALSE)*AJ311+Y311+Z311+AA311,IF(AS311=4,('Calc (ex-animal)'!$Q$63+'Calc (ex-animal)'!$R$63)*'Calc (ex-housing, ex-storage)'!F311/100*VLOOKUP(D311,'DB technologies'!$N$154:$Y$166,12,FALSE)/100/VLOOKUP($C$307,'DB animal categories'!$C$117:$AC$126,27,FALSE)*AJ311+Y311+Z311+AA311,0))))))</f>
        <v/>
      </c>
      <c r="BA311" s="506"/>
      <c r="BB311" s="506"/>
      <c r="BC311" s="506"/>
    </row>
    <row r="312" spans="1:55" ht="12" thickBot="1" x14ac:dyDescent="0.25">
      <c r="A312" s="695"/>
      <c r="B312" s="695"/>
      <c r="C312" s="252"/>
      <c r="D312" s="269" t="s">
        <v>58</v>
      </c>
      <c r="E312" s="270">
        <f>IF('Calc (ex-animal)'!F63=1,'Calc (ex-animal)'!E63,IF(F312&lt;=100,SUM(E307:E311),"ERROR"))</f>
        <v>0</v>
      </c>
      <c r="F312" s="284">
        <f>IF('Calc (ex-animal)'!F63=1,100,IF(SUM(F307:F311) &lt;=100,SUM(F307:F311),"ERROR, SUM&gt;100%"))</f>
        <v>0</v>
      </c>
      <c r="G312" s="550">
        <f>IF('Calc (ex-animal)'!$F$63=1,"",SUM(G307:G311))</f>
        <v>0</v>
      </c>
      <c r="H312" s="418">
        <f>IF('Calc (ex-animal)'!$F$8=1,"",SUM(H307:H311))</f>
        <v>0</v>
      </c>
      <c r="I312" s="418">
        <f>IF('Calc (ex-animal)'!$F$8=1,"",SUM(I307:I311))</f>
        <v>0</v>
      </c>
      <c r="J312" s="418">
        <f>IF('Calc (ex-animal)'!$F$8=1,"",SUM(J307:J311))</f>
        <v>0</v>
      </c>
      <c r="K312" s="418">
        <f>IF('Calc (ex-animal)'!$F$8=1,"",SUM(K307:K311))</f>
        <v>0</v>
      </c>
      <c r="L312" s="418">
        <f>IF('Calc (ex-animal)'!$F$8=1,"",SUM(L307:L311))</f>
        <v>0</v>
      </c>
      <c r="M312" s="551"/>
      <c r="N312" s="551"/>
      <c r="O312" s="551"/>
      <c r="P312" s="552">
        <f>IF(G312=0,0,IF('Calc (ex-animal)'!$F$63=1,"",IF(D312="","",SUM(H312:K312)/G312*100)))</f>
        <v>0</v>
      </c>
      <c r="Q312" s="394"/>
      <c r="R312" s="394"/>
      <c r="S312" s="394"/>
      <c r="T312" s="285">
        <f>IF('Calc (ex-animal)'!$F$63=1,"",SUM(T307:T311))</f>
        <v>0</v>
      </c>
      <c r="U312" s="286"/>
      <c r="V312" s="286"/>
      <c r="W312" s="286"/>
      <c r="X312" s="286">
        <f>IF('Calc (ex-animal)'!$F$63=1,"",SUM(X307:X311))</f>
        <v>0</v>
      </c>
      <c r="Y312" s="286"/>
      <c r="Z312" s="286"/>
      <c r="AA312" s="286"/>
      <c r="AB312" s="286">
        <f>IF('Calc (ex-animal)'!$F$63=1,"",SUM(AB307:AB311))</f>
        <v>0</v>
      </c>
      <c r="AC312" s="286">
        <f>IF('Calc (ex-animal)'!$F$63=1,"",SUM(AC307:AC311))</f>
        <v>0</v>
      </c>
      <c r="AD312" s="286">
        <f>IF('Calc (ex-animal)'!$F$63=1,"",SUM(AD307:AD311))</f>
        <v>0</v>
      </c>
      <c r="AE312" s="287">
        <f>IF('Calc (ex-animal)'!$F$63=1,"",SUM(AE307:AE311))</f>
        <v>0</v>
      </c>
    </row>
    <row r="313" spans="1:55" x14ac:dyDescent="0.2">
      <c r="A313" s="695"/>
      <c r="B313" s="695"/>
      <c r="C313" s="250">
        <f>'Calc (ex-animal)'!D64</f>
        <v>0</v>
      </c>
      <c r="D313" s="1355"/>
      <c r="E313" s="1356"/>
      <c r="F313" s="479" t="str">
        <f>IF('Calc (ex-animal)'!$F$63=1,"",IF($C$313=0,"",IF(D313="","",E313/'Calc (ex-animal)'!$E$64*100)))</f>
        <v/>
      </c>
      <c r="G313" s="484" t="str">
        <f>IF($C$313=0,"",IF('Calc (ex-animal)'!$F$63=1,"",IF(D313="","",SUM(H313:O313))))</f>
        <v/>
      </c>
      <c r="H313" s="471" t="str">
        <f>IF('Calc (ex-animal)'!$F$63=1,"",IF(D313="","",(((VLOOKUP($C$313,'Calc (ex-animal)'!$D$63:$Y$67,6,FALSE)-VLOOKUP($C$313,'Calc (ex-animal)'!$D$63:$Y$67,17,FALSE))*F313/100))*VLOOKUP($C$313,'Calc (ex-animal)'!$D$63:$Y$67,7,FALSE)/100*(1-VLOOKUP(D313,'DB technologies'!$N$154:$Y$166,9,FALSE)/100)))</f>
        <v/>
      </c>
      <c r="I313" s="471" t="str">
        <f>IF(D313="","",((VLOOKUP(D313,'DB technologies'!$N$154:$Y$166,2,FALSE)*VLOOKUP($C$313,'DB animal categories'!$C$117:$AC$126,27,FALSE)*E313/1000)/VLOOKUP($C$313,'DB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'!$S$6/100*(1-VLOOKUP(D313,'DB technologies'!$N$154:$Y$166,9,FALSE)/100)))</f>
        <v/>
      </c>
      <c r="J313" s="472" t="str">
        <f>IF(D313="","",((VLOOKUP(D313,'DB technologies'!$N$154:$Y$166,3,FALSE)*VLOOKUP($C$313,'DB animal categories'!$C$117:$AC$126,27,FALSE)*E313/1000)/VLOOKUP($C$313,'DB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'!$S$7/100*(1-VLOOKUP(D313,'DB technologies'!$N$154:$Y$166,9,FALSE)/100)))</f>
        <v/>
      </c>
      <c r="K313" s="472" t="str">
        <f>IF(D313="","",((VLOOKUP(D313,'DB technologies'!$N$154:$Y$166,4,FALSE)*E313*'DB additional information '!$S$8/100*(1-VLOOKUP(D313,'DB technologies'!$N$154:$Y$166,9,FALSE)/100))/VLOOKUP($C$313,'DB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L313" s="471" t="str">
        <f>IF('Calc (ex-animal)'!$F$63=1,"",IF(D313="","",(((VLOOKUP($C$313,'Calc (ex-animal)'!$D$63:$Y$67,6,FALSE)-VLOOKUP($C$313,'Calc (ex-animal)'!$D$63:$Y$67,17,FALSE))*F313/100))*(1-VLOOKUP($C$313,'Calc (ex-animal)'!$D$63:$Y$67,7,FALSE)/100)*(1-VLOOKUP(D313,'DB technologies'!$N$154:$V$166,8,FALSE)/100)))</f>
        <v/>
      </c>
      <c r="M313" s="472" t="str">
        <f>IF(D313="","",((VLOOKUP(D313,'DB technologies'!$N$154:$Y$166,2,FALSE)*VLOOKUP($C$313,'DB animal categories'!$C$117:$AC$126,27,FALSE)*E313/1000)/VLOOKUP($C$313,'DB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'!$S$6/100)*(1-VLOOKUP(D313,'DB technologies'!$N$154:$Y$166,9,FALSE)/100))</f>
        <v/>
      </c>
      <c r="N313" s="472" t="str">
        <f>IF(D313="","",((VLOOKUP(D313,'DB technologies'!$N$154:$Y$166,3,FALSE)*VLOOKUP($C$313,'DB animal categories'!$C$117:$AC$126,27,FALSE)*E313/1000)/VLOOKUP($C$313,'DB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'!$S$7/100)*(1-VLOOKUP(D313,'DB technologies'!$N$154:$Y$166,9,FALSE)/100))</f>
        <v/>
      </c>
      <c r="O313" s="471" t="str">
        <f>IF(D313="","",((VLOOKUP(D313,'DB technologies'!$N$154:$Y$166,4,FALSE)*E313*(1-'DB additional information '!$S$8/100)*(1-VLOOKUP(D313,'DB technologies'!$N$154:$Y$166,8,FALSE)/100))/VLOOKUP($C$313,'DB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P313" s="443" t="str">
        <f>IF(G313=0,0,IF(E313="","",IF(F313="","",IF($C$313=0,"",IF(D313="","",SUM(H313:K313)/G313*100)))))</f>
        <v/>
      </c>
      <c r="Q313" s="473" t="str">
        <f>IF(D313="","",(VLOOKUP(D313,'DB technologies'!$N$154:$Y$166,2,FALSE)*'DB additional information '!$S$6/100*'DB additional information '!$T$6*VLOOKUP($C$313,'DB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R313" s="473" t="str">
        <f>IF(D313="","",(VLOOKUP(D313,'DB technologies'!$N$154:$Y$166,3,FALSE)*'DB additional information '!$S$7/100*'DB additional information '!$T$7*VLOOKUP($C$313,'DB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S313" s="490" t="str">
        <f>IF(D313="","",(VLOOKUP(D313,'DB technologies'!$N$154:$Y$166,4,FALSE)*('DB additional information '!$S$8/100*'DB additional information '!$T$8*E313/1000/1000)))</f>
        <v/>
      </c>
      <c r="T313" s="263" t="str">
        <f>IF($C$313=0,"",IF('Calc (ex-animal)'!$F$63=1,"",IF(D313="","",((VLOOKUP($C$313,'Calc (ex-animal)'!$D$63:$Y$67,10,FALSE)-VLOOKUP($C$313,'Calc (ex-animal)'!$D$63:$Y$67,18,FALSE))*F313/100+Q313+R313+S313)-AC313-AD313-AE313)))</f>
        <v/>
      </c>
      <c r="U313" s="474" t="str">
        <f>IF(D313="","",(VLOOKUP(D313,'DB technologies'!$N$154:$Y$166,2,FALSE)*'DB additional information '!$S$6/100*'DB additional information '!$U$6*VLOOKUP($C$313,'DB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V313" s="420" t="str">
        <f>IF(D313="","",(VLOOKUP(D313,'DB technologies'!$N$154:$Y$166,3,FALSE)*'DB additional information '!$S$7/100*'DB additional information '!$U$7*VLOOKUP($C$313,'DB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W313" s="415" t="str">
        <f>IF(D313="","",(VLOOKUP(D313,'DB technologies'!$N$154:$Y$166,4,FALSE)*('DB additional information '!$S$8/100*'DB additional information '!$U$8*E313/1000/1000)))</f>
        <v/>
      </c>
      <c r="X313" s="259" t="str">
        <f>IF($C$313=0,"",IF('Calc (ex-animal)'!$F$63=1,"",IF(D313="","",((VLOOKUP($C$313,'Calc (ex-animal)'!$D$63:$Y$67,13,FALSE)-VLOOKUP($C$313,'Calc (ex-animal)'!$D$63:$Y$67,19,FALSE))*F313/100+U313+V313+W313))))</f>
        <v/>
      </c>
      <c r="Y313" s="420" t="str">
        <f>IF(D313="","",(VLOOKUP(D313,'DB technologies'!$N$154:$Y$166,2,FALSE)*'DB additional information '!$S$6/100*'DB additional information '!$V$6*VLOOKUP($C$313,'DB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Z313" s="420" t="str">
        <f>IF(D313="","",(VLOOKUP(D313,'DB technologies'!$N$154:$Y$166,3,FALSE)*'DB additional information '!$S$7/100*'DB additional information '!$V$7*VLOOKUP($C$313,'DB animal categories'!$C$117:$AC$126,27,FALSE)*E313/1000/1000)/VLOOKUP($C$313,'DB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AA313" s="420" t="str">
        <f>IF(D313="","",(VLOOKUP(D313,'DB technologies'!$N$154:$Y$166,4,FALSE)*('DB additional information '!$S$8/100*'DB additional information '!$V$8*E313/1000/1000)))</f>
        <v/>
      </c>
      <c r="AB313" s="259" t="str">
        <f>IF($C$313=0,"",IF('Calc (ex-animal)'!$F$63=1,"",IF(D313="","",((VLOOKUP($C$313,'Calc (ex-animal)'!$D$63:$Y$67,16,FALSE)-VLOOKUP($C$313,'Calc (ex-animal)'!$D$63:$Y$67,20,FALSE))*F313/100+Y313+Z313+AA313))))</f>
        <v/>
      </c>
      <c r="AC313" s="259" t="str">
        <f>IF($C$313=0,"",IF('Calc (ex-animal)'!$F$63=1,"",IF(D313="","",VLOOKUP($C$313,'Calc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categories'!$C$117:$AC$126,26,FALSE)/24)*F313/100*VLOOKUP(D313,'DB technologies'!$N$154:$R$166,5,FALSE)/100)))</f>
        <v/>
      </c>
      <c r="AD313" s="259" t="str">
        <f>IF($C$313=0,"",IF('Calc (ex-animal)'!$F$63=1,"",IF(D313="","",VLOOKUP($C$313,'Calc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categories'!$C$117:$AC$126,26,FALSE)/24)*F313/100*VLOOKUP(D313,'DB technologies'!$N$154:$Y$166,6,FALSE)/100)))</f>
        <v/>
      </c>
      <c r="AE313" s="260" t="str">
        <f>IF($C$313=0,"",IF('Calc (ex-animal)'!$F$63=1,"",IF(D313="","",VLOOKUP($C$313,'Calc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categories'!$C$117:$AC$126,26,FALSE)/24)*F313/100*VLOOKUP(D313,'DB technologies'!$N$154:$Y$166,7,FALSE)/100)))</f>
        <v/>
      </c>
      <c r="AI313" s="179" t="str">
        <f>IF(D313="","",VLOOKUP(D313,'DB technologies'!$N$154:$Y$166,10,FALSE))</f>
        <v/>
      </c>
      <c r="AJ313" s="482" t="e">
        <f>VLOOKUP($C$313,'DB animal categories'!$C$117:$AN$126,27,FALSE)-VLOOKUP($C$313,'DB animal categories'!$C$117:$AN$126,26,FALSE)*VLOOKUP($C$313,'DB animal categories'!$C$117:$AN$126,25,FALSE)/24</f>
        <v>#N/A</v>
      </c>
      <c r="AK313" s="453" t="str">
        <f>IF(AI313="","",AL313+AM313)</f>
        <v/>
      </c>
      <c r="AL313" s="453" t="str">
        <f>IF(D313="","",IF(AI313=2,(('Calc (ex-animal)'!$G$64*'DB additional information '!$K$13/100*(1-VLOOKUP(D313,'DB technologies'!$N$154:$Y$166,9,FALSE)/100)*'Calc (ex-housing, ex-storage)'!F313/100+'Calc (ex-animal)'!$H$64*'DB additional information '!$L$13/100*(1-VLOOKUP(D313,'DB technologies'!$N$154:$Y$166,9,FALSE)/100)*'Calc (ex-housing, ex-storage)'!F313/100))/VLOOKUP($C$313,'DB animal categories'!$C$117:$AC$126,27,FALSE)*AJ313+I313+J313+K313,IF(AI313=1,('Calc (ex-animal)'!$H$64*'DB additional information '!$L$13/100*(1-VLOOKUP(D313,'DB technologies'!$N$154:$Y$166,9,FALSE)/100)*'Calc (ex-housing, ex-storage)'!F313/100)/VLOOKUP($C$313,'DB animal categories'!$C$117:$AC$126,27,FALSE)*AJ313,IF(AI313=4,('Calc (ex-animal)'!$G$64*'DB additional information '!$K$13/100+'Calc (ex-animal)'!$H$64*'DB additional information '!$L$13/100)*(1-VLOOKUP(D313,'DB technologies'!$N$154:$Y$166,9,FALSE)/100)*'Calc (ex-housing, ex-storage)'!F313/100*VLOOKUP(D313,'DB technologies'!$N$154:$Y$166,11,FALSE)/100/VLOOKUP($C$313,'DB animal categories'!$C$117:$AC$126,27,FALSE)*AJ313,0))))</f>
        <v/>
      </c>
      <c r="AM313" s="453" t="str">
        <f>IF(D313="","",IF(AI313=2,(('Calc (ex-animal)'!$G$64*(1-'DB additional information '!$K$13/100)*(1-VLOOKUP(D313,'DB technologies'!$N$154:$Y$166,8,FALSE)/100)*'Calc (ex-housing, ex-storage)'!F313/100+'Calc (ex-animal)'!$H$64*(1-'DB additional information '!$L$13/100)*(1-VLOOKUP(D313,'DB technologies'!$N$154:$Y$166,8,FALSE)/100)*'Calc (ex-housing, ex-storage)'!F313/100))/VLOOKUP($C$313,'DB animal categories'!$C$117:$AC$126,27,FALSE)*AJ313+M313+N313+O313,IF(AI313=1,('Calc (ex-animal)'!$H$64*(1-'DB additional information '!$L$13/100)*(1-VLOOKUP(D313,'DB technologies'!$N$154:$Y$166,8,FALSE)/100)*'Calc (ex-housing, ex-storage)'!F313/100)/VLOOKUP($C$313,'DB animal categories'!$C$117:$AC$126,27,FALSE)*AJ313,IF(AI313=4,('Calc (ex-animal)'!$G$64*(1-'DB additional information '!$K$13/100)+'Calc (ex-animal)'!$H$64*(1-'DB additional information '!$L$13/100))*(1-VLOOKUP(D313,'DB technologies'!$N$154:$Y$166,8,FALSE)/100)*'Calc (ex-housing, ex-storage)'!F313/100*VLOOKUP(D313,'DB technologies'!$N$154:$Y$166,11,FALSE)/100/VLOOKUP($C$313,'DB animal categories'!$C$117:$AC$126,27,FALSE)*AJ313,0))))</f>
        <v/>
      </c>
      <c r="AN313" s="453" t="str">
        <f>IF(AI313="","",IF(AL313=0,0,AL313/AK313*100))</f>
        <v/>
      </c>
      <c r="AO313" s="180" t="str">
        <f>IF(D313="","",IF(AI313=2,(('Calc (ex-animal)'!$L$64*'Calc (ex-housing, ex-storage)'!F313/100+'Calc (ex-animal)'!$K$64*'Calc (ex-housing, ex-storage)'!F313/100))/VLOOKUP($C$313,'DB animal categories'!$C$117:$AC$126,27,FALSE)*AJ313+Q313+R313+S313-AC313,IF(AI313=1,('Calc (ex-animal)'!$L$64*'Calc (ex-housing, ex-storage)'!F313/100)/VLOOKUP($C$313,'DB animal categories'!$C$117:$AC$126,27,FALSE)*AJ313-'Calc (ex-housing, ex-storage)'!AC313,IF(AI313=4,('Calc (ex-animal)'!$L$64+'Calc (ex-animal)'!$K$64)*'Calc (ex-housing, ex-storage)'!F313/100*VLOOKUP(D313,'DB technologies'!$N$154:$Y$166,11,FALSE)/100/VLOOKUP($C$313,'DB animal categories'!$C$117:$AC$126,27,FALSE)*AJ313-AC313*VLOOKUP(D313,'DB technologies'!$N$154:$Y$166,11,FALSE)/100,0))))</f>
        <v/>
      </c>
      <c r="AP313" s="180" t="str">
        <f>IF(D313="","",IF(AO313&lt;-0.01,0,IF(AI313=2,(('Calc (ex-animal)'!$L$64*'Calc (ex-housing, ex-storage)'!F313/100+'Calc (ex-animal)'!$K$64*'Calc (ex-housing, ex-storage)'!F313/100))/VLOOKUP($C$313,'DB animal categories'!$C$117:$AC$126,27,FALSE)*AJ313+Q313+R313+S313-AC313,IF(AI313=1,('Calc (ex-animal)'!$L$64*'Calc (ex-housing, ex-storage)'!F313/100)/VLOOKUP($C$313,'DB animal categories'!$C$117:$AC$126,27,FALSE)*AJ313-'Calc (ex-housing, ex-storage)'!AC313,IF(AI313=4,('Calc (ex-animal)'!$L$64+'Calc (ex-animal)'!$K$64)*'Calc (ex-housing, ex-storage)'!F313/100*VLOOKUP(D313,'DB technologies'!$N$154:$Y$166,11,FALSE)/100/VLOOKUP($C$313,'DB animal categories'!$C$117:$AC$126,27,FALSE)*AJ313-AC313*VLOOKUP(D313,'DB technologies'!$N$154:$Y$166,11,FALSE)/100,0)))))</f>
        <v/>
      </c>
      <c r="AQ313" s="180" t="str">
        <f>IF(D313="","",IF(AI313=2,('Calc (ex-animal)'!$O$64*'Calc (ex-housing, ex-storage)'!F313/100+'Calc (ex-animal)'!$N$64*'Calc (ex-housing, ex-storage)'!F313/100)/VLOOKUP($C$313,'DB animal categories'!$C$117:$AC$126,27,FALSE)*AJ313+U313+V313+W313,IF(AI313=1,'Calc (ex-animal)'!$O$64*'Calc (ex-housing, ex-storage)'!F313/100/VLOOKUP($C$313,'DB animal categories'!$C$117:$AC$126,27,FALSE)*AJ313,IF(AI313=4,('Calc (ex-animal)'!$O$64+'Calc (ex-animal)'!$N$64)*'Calc (ex-housing, ex-storage)'!F313/100*VLOOKUP(D313,'DB technologies'!$N$154:$Y$166,11,FALSE)/100/VLOOKUP($C$313,'DB animal categories'!$C$117:$AC$126,27,FALSE)*AJ313,0))))</f>
        <v/>
      </c>
      <c r="AR313" s="180" t="str">
        <f>IF(D313="","",IF(AI313=2,('Calc (ex-animal)'!$R$64*'Calc (ex-housing, ex-storage)'!F313/100+'Calc (ex-animal)'!$Q$64*'Calc (ex-housing, ex-storage)'!F313/100)/VLOOKUP($C$313,'DB animal categories'!$C$117:$AC$126,27,FALSE)*AJ313+Y313+Z313+AA313,IF(AI313=1,'Calc (ex-animal)'!$R$64*'Calc (ex-housing, ex-storage)'!F313/100/VLOOKUP($C$313,'DB animal categories'!$C$117:$AC$126,27,FALSE)*AJ313,IF(AI313=4,('Calc (ex-animal)'!$R$64+'Calc (ex-animal)'!$Q$64)*'Calc (ex-housing, ex-storage)'!F313/100*VLOOKUP(D313,'DB technologies'!$N$154:$Y$166,11,FALSE)/100/VLOOKUP($C$313,'DB animal categories'!$C$117:$AC$126,27,FALSE)*AJ313,0))))</f>
        <v/>
      </c>
      <c r="AS313" s="179" t="str">
        <f>IF(D313="","",VLOOKUP(D313,'DB technologies'!$N$154:$Y$166,10,FALSE))</f>
        <v/>
      </c>
      <c r="AT313" s="453" t="str">
        <f>IF(AS313="","",AU313+AV313)</f>
        <v/>
      </c>
      <c r="AU313" s="453" t="str">
        <f>IF(D313="","",IF(AS313=2,0,IF(AS313=1,'Calc (ex-animal)'!$G$64*'DB additional information '!$K$13/100*(1-VLOOKUP(D313,'DB technologies'!$N$154:$Y$166,8,FALSE)/100)*'Calc (ex-housing, ex-storage)'!F313/100/VLOOKUP($C$313,'DB animal categories'!$C$117:$AC$126,27,FALSE)*AJ313+I313+J313+K313,IF(AS313=5,(('Calc (ex-animal)'!$G$64*'DB additional information '!$K$13/100+'Calc (ex-animal)'!$H$64*'DB additional information '!$L$13/100))*(1-VLOOKUP(D313,'DB technologies'!$N$154:$Y$166,9,FALSE)/100)*'Calc (ex-housing, ex-storage)'!F313/100/VLOOKUP($C$313,'DB animal categories'!$C$117:$AC$126,27,FALSE)*AJ313+I313+J313+K313,IF(AS313=3,('Calc (ex-animal)'!$G$64*'DB additional information '!$K$13/100+'Calc (ex-animal)'!$H$64*'DB additional information '!$L$13/100)*(1-VLOOKUP(D313,'DB technologies'!$N$154:$Y$166,9,FALSE)/100)*'Calc (ex-housing, ex-storage)'!F313/100/VLOOKUP($C$313,'DB animal categories'!$C$117:$AC$126,27,FALSE)*AJ313+I313+J313+K313,IF(AS313=4,('Calc (ex-animal)'!$G$64*'DB additional information '!$K$13/100+'Calc (ex-animal)'!$H$64*'DB additional information '!$L$13/100)*(1-VLOOKUP(D313,'DB technologies'!$N$154:$Y$166,9,FALSE)/100)*'Calc (ex-housing, ex-storage)'!F313/100*VLOOKUP(D313,'DB technologies'!$N$154:$Y$166,12,FALSE)/100/VLOOKUP($C$313,'DB animal categories'!$C$117:$AC$126,27,FALSE)*AJ313+I313+J313+K313,0))))))</f>
        <v/>
      </c>
      <c r="AV313" s="453" t="str">
        <f>IF(D313="","",IF(AS313=2,0,IF(AS313=1,'Calc (ex-animal)'!$G$64*(1-'DB additional information '!$K$13/100)*(1-VLOOKUP(D313,'DB technologies'!$N$154:$Y$166,8,FALSE)/100)*'Calc (ex-housing, ex-storage)'!F313/100/VLOOKUP($C$313,'DB animal categories'!$C$117:$AC$126,27,FALSE)*AJ313+M313+N313+O313,IF(AS313=5,('Calc (ex-animal)'!$G$64*(1-'DB additional information '!$K$13/100)+'Calc (ex-animal)'!$H$64*(1-'DB additional information '!$L$13/100))*(1-VLOOKUP(D313,'DB technologies'!$N$154:$Y$166,8,FALSE)/100)*'Calc (ex-housing, ex-storage)'!F313/100/VLOOKUP($C$313,'DB animal categories'!$C$117:$AC$126,27,FALSE)*AJ313+M313+N313+O313,IF(AS313=3,('Calc (ex-animal)'!$G$64*(1-'DB additional information '!$K$13/100)+'Calc (ex-animal)'!$H$64*(1-'DB additional information '!$L$13/100))*(1-VLOOKUP(D313,'DB technologies'!$N$154:$Y$166,8,FALSE)/100)*'Calc (ex-housing, ex-storage)'!F313/100/VLOOKUP($C$313,'DB animal categories'!$C$117:$AC$126,27,FALSE)*AJ313+M313+N313+O313,IF(AS313=4,('Calc (ex-animal)'!$G$64*(1-'DB additional information '!$K$13/100)+'Calc (ex-animal)'!$H$64*(1-'DB additional information '!$L$13/100))*(1-VLOOKUP(D313,'DB technologies'!$N$154:$Y$166,8,FALSE)/100)*'Calc (ex-housing, ex-storage)'!F313/100*VLOOKUP(D313,'DB technologies'!$N$154:$Y$166,12,FALSE)/100/VLOOKUP($C$313,'DB animal categories'!$C$117:$AC$126,27,FALSE)*AJ313+M313+N313+O313,0))))))</f>
        <v/>
      </c>
      <c r="AW313" s="453" t="str">
        <f>IF(AS313="","",IF(AU313=0,0,AU313/AT313*100))</f>
        <v/>
      </c>
      <c r="AX313" s="180" t="str">
        <f>IF(D313="","",IF(AS313=2,0,IF(AS313=1,'Calc (ex-animal)'!$K$64*'Calc (ex-housing, ex-storage)'!F313/100/VLOOKUP($C$313,'DB animal categories'!$C$117:$AC$126,27,FALSE)*AJ313+Q313+R313+S313,IF(AS313=5,('Calc (ex-animal)'!$K$64+'Calc (ex-animal)'!$L$64)*'Calc (ex-housing, ex-storage)'!F313/100/VLOOKUP($C$313,'DB animal categories'!$C$117:$AC$126,27,FALSE)*AJ313+Q313+R313+S313-'Calc (ex-housing, ex-storage)'!AC313,IF(AS313=3,('Calc (ex-animal)'!$K$64+'Calc (ex-animal)'!$L$64)*'Calc (ex-housing, ex-storage)'!F313/100/VLOOKUP($C$313,'DB animal categories'!$C$117:$AC$126,27,FALSE)*AJ313+Q313+R313+S313-'Calc (ex-housing, ex-storage)'!AC313-AD313-AE313,IF(AI313=4,('Calc (ex-animal)'!$K$64+'Calc (ex-animal)'!$L$64)*'Calc (ex-housing, ex-storage)'!F313/100*VLOOKUP(D313,'DB technologies'!$N$154:$Y$166,12,FALSE)/100/VLOOKUP($C$313,'DB animal categories'!$C$117:$AC$126,27,FALSE)*AJ313+Q313+R313+S313-(VLOOKUP(D313,'DB technologies'!$N$154:$Y$166,12,FALSE)/100*AC313)-AD313-AE313,0))))))</f>
        <v/>
      </c>
      <c r="AY313" s="180" t="str">
        <f>IF(D313="","",IF(AS313=2,0,IF(AS313=1,'Calc (ex-animal)'!$N$64*'Calc (ex-housing, ex-storage)'!F313/100/VLOOKUP($C$313,'DB animal categories'!$C$117:$AC$126,27,FALSE)*AJ313+U313+V313+W313,IF(AS313=5,('Calc (ex-animal)'!$N$64+'Calc (ex-animal)'!$O$64)*'Calc (ex-housing, ex-storage)'!F313/100/VLOOKUP($C$313,'DB animal categories'!$C$117:$AC$126,27,FALSE)*AJ313+U313+V313+W313,IF(AS313=3,('Calc (ex-animal)'!$N$64+'Calc (ex-animal)'!$O$64)*'Calc (ex-housing, ex-storage)'!F313/100/VLOOKUP($C$313,'DB animal categories'!$C$117:$AC$126,27,FALSE)*AJ313+U313+V313+W313,IF(AS313=4,('Calc (ex-animal)'!$N$64+'Calc (ex-animal)'!$O$64)*'Calc (ex-housing, ex-storage)'!F313/100*VLOOKUP(D313,'DB technologies'!$N$154:$Y$166,12,FALSE)/100/VLOOKUP($C$313,'DB animal categories'!$C$117:$AC$126,27,FALSE)*AJ313+U313+V313+W313,0))))))</f>
        <v/>
      </c>
      <c r="AZ313" s="180" t="str">
        <f>IF(D313="","",IF(AS313=2,0,IF(AS313=1,'Calc (ex-animal)'!$Q$64*'Calc (ex-housing, ex-storage)'!F313/100/VLOOKUP($C$313,'DB animal categories'!$C$117:$AC$126,27,FALSE)*AJ313+Y313+Z313+AA313,IF(AS313=5,('Calc (ex-animal)'!$Q$64+'Calc (ex-animal)'!$R$64)*'Calc (ex-housing, ex-storage)'!F313/100/VLOOKUP($C$313,'DB animal categories'!$C$117:$AC$126,27,FALSE)*AJ313+Y313+Z313+AA313,IF(AS313=3,('Calc (ex-animal)'!$Q$64+'Calc (ex-animal)'!$R$64)*'Calc (ex-housing, ex-storage)'!F313/100/VLOOKUP($C$313,'DB animal categories'!$C$117:$AC$126,27,FALSE)*AJ313+Y313+Z313+AA313,IF(AS313=4,('Calc (ex-animal)'!$Q$64+'Calc (ex-animal)'!$R$64)*'Calc (ex-housing, ex-storage)'!F313/100*VLOOKUP(D313,'DB technologies'!$N$154:$Y$166,12,FALSE)/100/VLOOKUP($C$313,'DB animal categories'!$C$117:$AC$126,27,FALSE)*AJ313+Y313+Z313+AA313,0))))))</f>
        <v/>
      </c>
      <c r="BA313" s="506"/>
      <c r="BB313" s="506"/>
      <c r="BC313" s="506"/>
    </row>
    <row r="314" spans="1:55" x14ac:dyDescent="0.2">
      <c r="A314" s="695"/>
      <c r="B314" s="695"/>
      <c r="C314" s="251"/>
      <c r="D314" s="1357"/>
      <c r="E314" s="1358"/>
      <c r="F314" s="480" t="str">
        <f>IF('Calc (ex-animal)'!$F$63=1,"",IF($C$313=0,"",IF(D314="","",E314/'Calc (ex-animal)'!$E$64*100)))</f>
        <v/>
      </c>
      <c r="G314" s="485" t="str">
        <f>IF($C$313=0,"",IF('Calc (ex-animal)'!$F$63=1,"",IF(D314="","",SUM(H314:O314))))</f>
        <v/>
      </c>
      <c r="H314" s="423" t="str">
        <f>IF('Calc (ex-animal)'!$F$63=1,"",IF(D314="","",(((VLOOKUP($C$313,'Calc (ex-animal)'!$D$63:$Y$67,6,FALSE)-VLOOKUP($C$313,'Calc (ex-animal)'!$D$63:$Y$67,17,FALSE))*F314/100))*VLOOKUP($C$313,'Calc (ex-animal)'!$D$63:$Y$67,7,FALSE)/100*(1-VLOOKUP(D314,'DB technologies'!$N$154:$Y$166,9,FALSE)/100)))</f>
        <v/>
      </c>
      <c r="I314" s="423" t="str">
        <f>IF(D314="","",((VLOOKUP(D314,'DB technologies'!$N$154:$Y$166,2,FALSE)*VLOOKUP($C$313,'DB animal categories'!$C$117:$AC$126,27,FALSE)*E314/1000)/VLOOKUP($C$313,'DB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'!$S$6/100*(1-VLOOKUP(D314,'DB technologies'!$N$154:$Y$166,9,FALSE)/100)))</f>
        <v/>
      </c>
      <c r="J314" s="434" t="str">
        <f>IF(D314="","",((VLOOKUP(D314,'DB technologies'!$N$154:$Y$166,3,FALSE)*VLOOKUP($C$313,'DB animal categories'!$C$117:$AC$126,27,FALSE)*E314/1000)/VLOOKUP($C$313,'DB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'!$S$7/100*(1-VLOOKUP(D314,'DB technologies'!$N$154:$Y$166,9,FALSE)/100)))</f>
        <v/>
      </c>
      <c r="K314" s="434" t="str">
        <f>IF(D314="","",((VLOOKUP(D314,'DB technologies'!$N$154:$Y$166,4,FALSE)*E314*'DB additional information '!$S$8/100*(1-VLOOKUP(D314,'DB technologies'!$N$154:$Y$166,9,FALSE)/100))/VLOOKUP($C$313,'DB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L314" s="423" t="str">
        <f>IF('Calc (ex-animal)'!$F$63=1,"",IF(D314="","",(((VLOOKUP($C$313,'Calc (ex-animal)'!$D$63:$Y$67,6,FALSE)-VLOOKUP($C$313,'Calc (ex-animal)'!$D$63:$Y$67,17,FALSE))*F314/100))*(1-VLOOKUP($C$313,'Calc (ex-animal)'!$D$63:$Y$67,7,FALSE)/100)*(1-VLOOKUP(D314,'DB technologies'!$N$154:$V$166,8,FALSE)/100)))</f>
        <v/>
      </c>
      <c r="M314" s="434" t="str">
        <f>IF(D314="","",((VLOOKUP(D314,'DB technologies'!$N$154:$Y$166,2,FALSE)*VLOOKUP($C$313,'DB animal categories'!$C$117:$AC$126,27,FALSE)*E314/1000)/VLOOKUP($C$313,'DB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'!$S$6/100)*(1-VLOOKUP(D314,'DB technologies'!$N$154:$Y$166,9,FALSE)/100))</f>
        <v/>
      </c>
      <c r="N314" s="434" t="str">
        <f>IF(D314="","",((VLOOKUP(D314,'DB technologies'!$N$154:$Y$166,3,FALSE)*VLOOKUP($C$313,'DB animal categories'!$C$117:$AC$126,27,FALSE)*E314/1000)/VLOOKUP($C$313,'DB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'!$S$7/100)*(1-VLOOKUP(D314,'DB technologies'!$N$154:$Y$166,9,FALSE)/100))</f>
        <v/>
      </c>
      <c r="O314" s="423" t="str">
        <f>IF(D314="","",((VLOOKUP(D314,'DB technologies'!$N$154:$Y$166,4,FALSE)*E314*(1-'DB additional information '!$S$8/100)*(1-VLOOKUP(D314,'DB technologies'!$N$154:$Y$166,8,FALSE)/100))/VLOOKUP($C$313,'DB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P314" s="438" t="str">
        <f>IF(G314=0,0,IF(E314="","",IF(F314="","",IF($C$313=0,"",IF(D314="","",SUM(H314:K314)/G314*100)))))</f>
        <v/>
      </c>
      <c r="Q314" s="416" t="str">
        <f>IF(D314="","",(VLOOKUP(D314,'DB technologies'!$N$154:$Y$166,2,FALSE)*'DB additional information '!$S$6/100*'DB additional information '!$T$6*VLOOKUP($C$313,'DB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R314" s="416" t="str">
        <f>IF(D314="","",(VLOOKUP(D314,'DB technologies'!$N$154:$Y$166,3,FALSE)*'DB additional information '!$S$7/100*'DB additional information '!$T$7*VLOOKUP($C$313,'DB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S314" s="491" t="str">
        <f>IF(D314="","",(VLOOKUP(D314,'DB technologies'!$N$154:$Y$166,4,FALSE)*('DB additional information '!$S$8/100*'DB additional information '!$T$8*E314/1000/1000)))</f>
        <v/>
      </c>
      <c r="T314" s="264" t="str">
        <f>IF($C$313=0,"",IF('Calc (ex-animal)'!$F$63=1,"",IF(D314="","",((VLOOKUP($C$313,'Calc (ex-animal)'!$D$63:$Y$67,10,FALSE)-VLOOKUP($C$313,'Calc (ex-animal)'!$D$63:$Y$67,18,FALSE))*F314/100+Q314+R314+S314)-AC314-AD314-AE314)))</f>
        <v/>
      </c>
      <c r="U314" s="422" t="str">
        <f>IF(D314="","",(VLOOKUP(D314,'DB technologies'!$N$154:$Y$166,2,FALSE)*'DB additional information '!$S$6/100*'DB additional information '!$U$6*VLOOKUP($C$313,'DB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V314" s="418" t="str">
        <f>IF(D314="","",(VLOOKUP(D314,'DB technologies'!$N$154:$Y$166,3,FALSE)*'DB additional information '!$S$7/100*'DB additional information '!$U$7*VLOOKUP($C$313,'DB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W314" s="417" t="str">
        <f>IF(D314="","",(VLOOKUP(D314,'DB technologies'!$N$154:$Y$166,4,FALSE)*('DB additional information '!$S$8/100*'DB additional information '!$U$8*E314/1000/1000)))</f>
        <v/>
      </c>
      <c r="X314" s="261" t="str">
        <f>IF($C$313=0,"",IF('Calc (ex-animal)'!$F$63=1,"",IF(D314="","",((VLOOKUP($C$313,'Calc (ex-animal)'!$D$63:$Y$67,13,FALSE)-VLOOKUP($C$313,'Calc (ex-animal)'!$D$63:$Y$67,19,FALSE))*F314/100+U314+V314+W314))))</f>
        <v/>
      </c>
      <c r="Y314" s="418" t="str">
        <f>IF(D314="","",(VLOOKUP(D314,'DB technologies'!$N$154:$Y$166,2,FALSE)*'DB additional information '!$S$6/100*'DB additional information '!$V$6*VLOOKUP($C$313,'DB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Z314" s="418" t="str">
        <f>IF(D314="","",(VLOOKUP(D314,'DB technologies'!$N$154:$Y$166,3,FALSE)*'DB additional information '!$S$7/100*'DB additional information '!$V$7*VLOOKUP($C$313,'DB animal categories'!$C$117:$AC$126,27,FALSE)*E314/1000/1000)/VLOOKUP($C$313,'DB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AA314" s="418" t="str">
        <f>IF(D314="","",(VLOOKUP(D314,'DB technologies'!$N$154:$Y$166,4,FALSE)*('DB additional information '!$S$8/100*'DB additional information '!$V$8*E314/1000/1000)))</f>
        <v/>
      </c>
      <c r="AB314" s="261" t="str">
        <f>IF($C$313=0,"",IF('Calc (ex-animal)'!$F$63=1,"",IF(D314="","",((VLOOKUP($C$313,'Calc (ex-animal)'!$D$63:$Y$67,16,FALSE)-VLOOKUP($C$313,'Calc (ex-animal)'!$D$63:$Y$67,20,FALSE))*F314/100+Y314+Z314+AA314))))</f>
        <v/>
      </c>
      <c r="AC314" s="261" t="str">
        <f>IF($C$313=0,"",IF('Calc (ex-animal)'!$F$63=1,"",IF(D314="","",VLOOKUP($C$313,'Calc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categories'!$C$117:$AC$126,26,FALSE)/24)*F314/100*VLOOKUP(D314,'DB technologies'!$N$154:$R$166,5,FALSE)/100)))</f>
        <v/>
      </c>
      <c r="AD314" s="261" t="str">
        <f>IF($C$313=0,"",IF('Calc (ex-animal)'!$F$63=1,"",IF(D314="","",VLOOKUP($C$313,'Calc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categories'!$C$117:$AC$126,26,FALSE)/24)*F314/100*VLOOKUP(D314,'DB technologies'!$N$154:$Y$166,6,FALSE)/100)))</f>
        <v/>
      </c>
      <c r="AE314" s="262" t="str">
        <f>IF($C$313=0,"",IF('Calc (ex-animal)'!$F$63=1,"",IF(D314="","",VLOOKUP($C$313,'Calc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categories'!$C$117:$AC$126,26,FALSE)/24)*F314/100*VLOOKUP(D314,'DB technologies'!$N$154:$Y$166,7,FALSE)/100)))</f>
        <v/>
      </c>
      <c r="AI314" s="181" t="str">
        <f>IF(D314="","",VLOOKUP(D314,'DB technologies'!$N$154:$Y$166,10,FALSE))</f>
        <v/>
      </c>
      <c r="AJ314" s="449" t="e">
        <f>VLOOKUP($C$313,'DB animal categories'!$C$117:$AN$126,27,FALSE)-VLOOKUP($C$313,'DB animal categories'!$C$117:$AN$126,26,FALSE)*VLOOKUP($C$313,'DB animal categories'!$C$117:$AN$126,25,FALSE)/24</f>
        <v>#N/A</v>
      </c>
      <c r="AK314" s="442" t="str">
        <f>IF(AI314="","",AL314+AM314)</f>
        <v/>
      </c>
      <c r="AL314" s="442" t="str">
        <f>IF(D314="","",IF(AI314=2,(('Calc (ex-animal)'!$G$64*'DB additional information '!$K$13/100*(1-VLOOKUP(D314,'DB technologies'!$N$154:$Y$166,9,FALSE)/100)*'Calc (ex-housing, ex-storage)'!F314/100+'Calc (ex-animal)'!$H$64*'DB additional information '!$L$13/100*(1-VLOOKUP(D314,'DB technologies'!$N$154:$Y$166,9,FALSE)/100)*'Calc (ex-housing, ex-storage)'!F314/100))/VLOOKUP($C$313,'DB animal categories'!$C$117:$AC$126,27,FALSE)*AJ314+I314+J314+K314,IF(AI314=1,('Calc (ex-animal)'!$H$64*'DB additional information '!$L$13/100*(1-VLOOKUP(D314,'DB technologies'!$N$154:$Y$166,9,FALSE)/100)*'Calc (ex-housing, ex-storage)'!F314/100)/VLOOKUP($C$313,'DB animal categories'!$C$117:$AC$126,27,FALSE)*AJ314,IF(AI314=4,('Calc (ex-animal)'!$G$64*'DB additional information '!$K$13/100+'Calc (ex-animal)'!$H$64*'DB additional information '!$L$13/100)*(1-VLOOKUP(D314,'DB technologies'!$N$154:$Y$166,9,FALSE)/100)*'Calc (ex-housing, ex-storage)'!F314/100*VLOOKUP(D314,'DB technologies'!$N$154:$Y$166,11,FALSE)/100/VLOOKUP($C$313,'DB animal categories'!$C$117:$AC$126,27,FALSE)*AJ314,0))))</f>
        <v/>
      </c>
      <c r="AM314" s="442" t="str">
        <f>IF(D314="","",IF(AI314=2,(('Calc (ex-animal)'!$G$64*(1-'DB additional information '!$K$13/100)*(1-VLOOKUP(D314,'DB technologies'!$N$154:$Y$166,8,FALSE)/100)*'Calc (ex-housing, ex-storage)'!F314/100+'Calc (ex-animal)'!$H$64*(1-'DB additional information '!$L$13/100)*(1-VLOOKUP(D314,'DB technologies'!$N$154:$Y$166,8,FALSE)/100)*'Calc (ex-housing, ex-storage)'!F314/100))/VLOOKUP($C$313,'DB animal categories'!$C$117:$AC$126,27,FALSE)*AJ314+M314+N314+O314,IF(AI314=1,('Calc (ex-animal)'!$H$64*(1-'DB additional information '!$L$13/100)*(1-VLOOKUP(D314,'DB technologies'!$N$154:$Y$166,8,FALSE)/100)*'Calc (ex-housing, ex-storage)'!F314/100)/VLOOKUP($C$313,'DB animal categories'!$C$117:$AC$126,27,FALSE)*AJ314,IF(AI314=4,('Calc (ex-animal)'!$G$64*(1-'DB additional information '!$K$13/100)+'Calc (ex-animal)'!$H$64*(1-'DB additional information '!$L$13/100))*(1-VLOOKUP(D314,'DB technologies'!$N$154:$Y$166,8,FALSE)/100)*'Calc (ex-housing, ex-storage)'!F314/100*VLOOKUP(D314,'DB technologies'!$N$154:$Y$166,11,FALSE)/100/VLOOKUP($C$313,'DB animal categories'!$C$117:$AC$126,27,FALSE)*AJ314,0))))</f>
        <v/>
      </c>
      <c r="AN314" s="442" t="str">
        <f>IF(AI314="","",IF(AL314=0,0,AL314/AK314*100))</f>
        <v/>
      </c>
      <c r="AO314" s="182" t="str">
        <f>IF(D314="","",IF(AI314=2,(('Calc (ex-animal)'!$L$64*'Calc (ex-housing, ex-storage)'!F314/100+'Calc (ex-animal)'!$K$64*'Calc (ex-housing, ex-storage)'!F314/100))/VLOOKUP($C$313,'DB animal categories'!$C$117:$AC$126,27,FALSE)*AJ314+Q314+R314+S314-AC314,IF(AI314=1,('Calc (ex-animal)'!$L$64*'Calc (ex-housing, ex-storage)'!F314/100)/VLOOKUP($C$313,'DB animal categories'!$C$117:$AC$126,27,FALSE)*AJ314-'Calc (ex-housing, ex-storage)'!AC314,IF(AI314=4,('Calc (ex-animal)'!$L$64+'Calc (ex-animal)'!$K$64)*'Calc (ex-housing, ex-storage)'!F314/100*VLOOKUP(D314,'DB technologies'!$N$154:$Y$166,11,FALSE)/100/VLOOKUP($C$313,'DB animal categories'!$C$117:$AC$126,27,FALSE)*AJ314-AC314*VLOOKUP(D314,'DB technologies'!$N$154:$Y$166,11,FALSE)/100,0))))</f>
        <v/>
      </c>
      <c r="AP314" s="182" t="str">
        <f>IF(D314="","",IF(AO314&lt;-0.01,0,IF(AI314=2,(('Calc (ex-animal)'!$L$64*'Calc (ex-housing, ex-storage)'!F314/100+'Calc (ex-animal)'!$K$64*'Calc (ex-housing, ex-storage)'!F314/100))/VLOOKUP($C$313,'DB animal categories'!$C$117:$AC$126,27,FALSE)*AJ314+Q314+R314+S314-AC314,IF(AI314=1,('Calc (ex-animal)'!$L$64*'Calc (ex-housing, ex-storage)'!F314/100)/VLOOKUP($C$313,'DB animal categories'!$C$117:$AC$126,27,FALSE)*AJ314-'Calc (ex-housing, ex-storage)'!AC314,IF(AI314=4,('Calc (ex-animal)'!$L$64+'Calc (ex-animal)'!$K$64)*'Calc (ex-housing, ex-storage)'!F314/100*VLOOKUP(D314,'DB technologies'!$N$154:$Y$166,11,FALSE)/100/VLOOKUP($C$313,'DB animal categories'!$C$117:$AC$126,27,FALSE)*AJ314-AC314*VLOOKUP(D314,'DB technologies'!$N$154:$Y$166,11,FALSE)/100,0)))))</f>
        <v/>
      </c>
      <c r="AQ314" s="182" t="str">
        <f>IF(D314="","",IF(AI314=2,('Calc (ex-animal)'!$O$64*'Calc (ex-housing, ex-storage)'!F314/100+'Calc (ex-animal)'!$N$64*'Calc (ex-housing, ex-storage)'!F314/100)/VLOOKUP($C$313,'DB animal categories'!$C$117:$AC$126,27,FALSE)*AJ314+U314+V314+W314,IF(AI314=1,'Calc (ex-animal)'!$O$64*'Calc (ex-housing, ex-storage)'!F314/100/VLOOKUP($C$313,'DB animal categories'!$C$117:$AC$126,27,FALSE)*AJ314,IF(AI314=4,('Calc (ex-animal)'!$O$64+'Calc (ex-animal)'!$N$64)*'Calc (ex-housing, ex-storage)'!F314/100*VLOOKUP(D314,'DB technologies'!$N$154:$Y$166,11,FALSE)/100/VLOOKUP($C$313,'DB animal categories'!$C$117:$AC$126,27,FALSE)*AJ314,0))))</f>
        <v/>
      </c>
      <c r="AR314" s="182" t="str">
        <f>IF(D314="","",IF(AI314=2,('Calc (ex-animal)'!$R$64*'Calc (ex-housing, ex-storage)'!F314/100+'Calc (ex-animal)'!$Q$64*'Calc (ex-housing, ex-storage)'!F314/100)/VLOOKUP($C$313,'DB animal categories'!$C$117:$AC$126,27,FALSE)*AJ314+Y314+Z314+AA314,IF(AI314=1,'Calc (ex-animal)'!$R$64*'Calc (ex-housing, ex-storage)'!F314/100/VLOOKUP($C$313,'DB animal categories'!$C$117:$AC$126,27,FALSE)*AJ314,IF(AI314=4,('Calc (ex-animal)'!$R$64+'Calc (ex-animal)'!$Q$64)*'Calc (ex-housing, ex-storage)'!F314/100*VLOOKUP(D314,'DB technologies'!$N$154:$Y$166,11,FALSE)/100/VLOOKUP($C$313,'DB animal categories'!$C$117:$AC$126,27,FALSE)*AJ314,0))))</f>
        <v/>
      </c>
      <c r="AS314" s="181" t="str">
        <f>IF(D314="","",VLOOKUP(D314,'DB technologies'!$N$154:$Y$166,10,FALSE))</f>
        <v/>
      </c>
      <c r="AT314" s="442" t="str">
        <f>IF(AS314="","",AU314+AV314)</f>
        <v/>
      </c>
      <c r="AU314" s="442" t="str">
        <f>IF(D314="","",IF(AS314=2,0,IF(AS314=1,'Calc (ex-animal)'!$G$64*'DB additional information '!$K$13/100*(1-VLOOKUP(D314,'DB technologies'!$N$154:$Y$166,8,FALSE)/100)*'Calc (ex-housing, ex-storage)'!F314/100/VLOOKUP($C$313,'DB animal categories'!$C$117:$AC$126,27,FALSE)*AJ314+I314+J314+K314,IF(AS314=5,(('Calc (ex-animal)'!$G$64*'DB additional information '!$K$13/100+'Calc (ex-animal)'!$H$64*'DB additional information '!$L$13/100))*(1-VLOOKUP(D314,'DB technologies'!$N$154:$Y$166,9,FALSE)/100)*'Calc (ex-housing, ex-storage)'!F314/100/VLOOKUP($C$313,'DB animal categories'!$C$117:$AC$126,27,FALSE)*AJ314+I314+J314+K314,IF(AS314=3,('Calc (ex-animal)'!$G$64*'DB additional information '!$K$13/100+'Calc (ex-animal)'!$H$64*'DB additional information '!$L$13/100)*(1-VLOOKUP(D314,'DB technologies'!$N$154:$Y$166,9,FALSE)/100)*'Calc (ex-housing, ex-storage)'!F314/100/VLOOKUP($C$313,'DB animal categories'!$C$117:$AC$126,27,FALSE)*AJ314+I314+J314+K314,IF(AS314=4,('Calc (ex-animal)'!$G$64*'DB additional information '!$K$13/100+'Calc (ex-animal)'!$H$64*'DB additional information '!$L$13/100)*(1-VLOOKUP(D314,'DB technologies'!$N$154:$Y$166,9,FALSE)/100)*'Calc (ex-housing, ex-storage)'!F314/100*VLOOKUP(D314,'DB technologies'!$N$154:$Y$166,12,FALSE)/100/VLOOKUP($C$313,'DB animal categories'!$C$117:$AC$126,27,FALSE)*AJ314+I314+J314+K314,0))))))</f>
        <v/>
      </c>
      <c r="AV314" s="442" t="str">
        <f>IF(D314="","",IF(AS314=2,0,IF(AS314=1,'Calc (ex-animal)'!$G$64*(1-'DB additional information '!$K$13/100)*(1-VLOOKUP(D314,'DB technologies'!$N$154:$Y$166,8,FALSE)/100)*'Calc (ex-housing, ex-storage)'!F314/100/VLOOKUP($C$313,'DB animal categories'!$C$117:$AC$126,27,FALSE)*AJ314+M314+N314+O314,IF(AS314=5,('Calc (ex-animal)'!$G$64*(1-'DB additional information '!$K$13/100)+'Calc (ex-animal)'!$H$64*(1-'DB additional information '!$L$13/100))*(1-VLOOKUP(D314,'DB technologies'!$N$154:$Y$166,8,FALSE)/100)*'Calc (ex-housing, ex-storage)'!F314/100/VLOOKUP($C$313,'DB animal categories'!$C$117:$AC$126,27,FALSE)*AJ314+M314+N314+O314,IF(AS314=3,('Calc (ex-animal)'!$G$64*(1-'DB additional information '!$K$13/100)+'Calc (ex-animal)'!$H$64*(1-'DB additional information '!$L$13/100))*(1-VLOOKUP(D314,'DB technologies'!$N$154:$Y$166,8,FALSE)/100)*'Calc (ex-housing, ex-storage)'!F314/100/VLOOKUP($C$313,'DB animal categories'!$C$117:$AC$126,27,FALSE)*AJ314+M314+N314+O314,IF(AS314=4,('Calc (ex-animal)'!$G$64*(1-'DB additional information '!$K$13/100)+'Calc (ex-animal)'!$H$64*(1-'DB additional information '!$L$13/100))*(1-VLOOKUP(D314,'DB technologies'!$N$154:$Y$166,8,FALSE)/100)*'Calc (ex-housing, ex-storage)'!F314/100*VLOOKUP(D314,'DB technologies'!$N$154:$Y$166,12,FALSE)/100/VLOOKUP($C$313,'DB animal categories'!$C$117:$AC$126,27,FALSE)*AJ314+M314+N314+O314,0))))))</f>
        <v/>
      </c>
      <c r="AW314" s="442" t="str">
        <f>IF(AS314="","",IF(AU314=0,0,AU314/AT314*100))</f>
        <v/>
      </c>
      <c r="AX314" s="182" t="str">
        <f>IF(D314="","",IF(AS314=2,0,IF(AS314=1,'Calc (ex-animal)'!$K$64*'Calc (ex-housing, ex-storage)'!F314/100/VLOOKUP($C$313,'DB animal categories'!$C$117:$AC$126,27,FALSE)*AJ314+Q314+R314+S314,IF(AS314=5,('Calc (ex-animal)'!$K$64+'Calc (ex-animal)'!$L$64)*'Calc (ex-housing, ex-storage)'!F314/100/VLOOKUP($C$313,'DB animal categories'!$C$117:$AC$126,27,FALSE)*AJ314+Q314+R314+S314-'Calc (ex-housing, ex-storage)'!AC314,IF(AS314=3,('Calc (ex-animal)'!$K$64+'Calc (ex-animal)'!$L$64)*'Calc (ex-housing, ex-storage)'!F314/100/VLOOKUP($C$313,'DB animal categories'!$C$117:$AC$126,27,FALSE)*AJ314+Q314+R314+S314-'Calc (ex-housing, ex-storage)'!AC314-AD314-AE314,IF(AI314=4,('Calc (ex-animal)'!$K$64+'Calc (ex-animal)'!$L$64)*'Calc (ex-housing, ex-storage)'!F314/100*VLOOKUP(D314,'DB technologies'!$N$154:$Y$166,12,FALSE)/100/VLOOKUP($C$313,'DB animal categories'!$C$117:$AC$126,27,FALSE)*AJ314+Q314+R314+S314-(VLOOKUP(D314,'DB technologies'!$N$154:$Y$166,12,FALSE)/100*AC314)-AD314-AE314,0))))))</f>
        <v/>
      </c>
      <c r="AY314" s="182" t="str">
        <f>IF(D314="","",IF(AS314=2,0,IF(AS314=1,'Calc (ex-animal)'!$N$64*'Calc (ex-housing, ex-storage)'!F314/100/VLOOKUP($C$313,'DB animal categories'!$C$117:$AC$126,27,FALSE)*AJ314+U314+V314+W314,IF(AS314=5,('Calc (ex-animal)'!$N$64+'Calc (ex-animal)'!$O$64)*'Calc (ex-housing, ex-storage)'!F314/100/VLOOKUP($C$313,'DB animal categories'!$C$117:$AC$126,27,FALSE)*AJ314+U314+V314+W314,IF(AS314=3,('Calc (ex-animal)'!$N$64+'Calc (ex-animal)'!$O$64)*'Calc (ex-housing, ex-storage)'!F314/100/VLOOKUP($C$313,'DB animal categories'!$C$117:$AC$126,27,FALSE)*AJ314+U314+V314+W314,IF(AS314=4,('Calc (ex-animal)'!$N$64+'Calc (ex-animal)'!$O$64)*'Calc (ex-housing, ex-storage)'!F314/100*VLOOKUP(D314,'DB technologies'!$N$154:$Y$166,12,FALSE)/100/VLOOKUP($C$313,'DB animal categories'!$C$117:$AC$126,27,FALSE)*AJ314+U314+V314+W314,0))))))</f>
        <v/>
      </c>
      <c r="AZ314" s="182" t="str">
        <f>IF(D314="","",IF(AS314=2,0,IF(AS314=1,'Calc (ex-animal)'!$Q$64*'Calc (ex-housing, ex-storage)'!F314/100/VLOOKUP($C$313,'DB animal categories'!$C$117:$AC$126,27,FALSE)*AJ314+Y314+Z314+AA314,IF(AS314=5,('Calc (ex-animal)'!$Q$64+'Calc (ex-animal)'!$R$64)*'Calc (ex-housing, ex-storage)'!F314/100/VLOOKUP($C$313,'DB animal categories'!$C$117:$AC$126,27,FALSE)*AJ314+Y314+Z314+AA314,IF(AS314=3,('Calc (ex-animal)'!$Q$64+'Calc (ex-animal)'!$R$64)*'Calc (ex-housing, ex-storage)'!F314/100/VLOOKUP($C$313,'DB animal categories'!$C$117:$AC$126,27,FALSE)*AJ314+Y314+Z314+AA314,IF(AS314=4,('Calc (ex-animal)'!$Q$64+'Calc (ex-animal)'!$R$64)*'Calc (ex-housing, ex-storage)'!F314/100*VLOOKUP(D314,'DB technologies'!$N$154:$Y$166,12,FALSE)/100/VLOOKUP($C$313,'DB animal categories'!$C$117:$AC$126,27,FALSE)*AJ314+Y314+Z314+AA314,0))))))</f>
        <v/>
      </c>
      <c r="BA314" s="506"/>
      <c r="BB314" s="506"/>
      <c r="BC314" s="506"/>
    </row>
    <row r="315" spans="1:55" x14ac:dyDescent="0.2">
      <c r="A315" s="695"/>
      <c r="B315" s="695"/>
      <c r="C315" s="251"/>
      <c r="D315" s="1357"/>
      <c r="E315" s="1358"/>
      <c r="F315" s="480" t="str">
        <f>IF('Calc (ex-animal)'!$F$63=1,"",IF($C$313=0,"",IF(D315="","",E315/'Calc (ex-animal)'!$E$64*100)))</f>
        <v/>
      </c>
      <c r="G315" s="485" t="str">
        <f>IF($C$313=0,"",IF('Calc (ex-animal)'!$F$63=1,"",IF(D315="","",SUM(H315:O315))))</f>
        <v/>
      </c>
      <c r="H315" s="423" t="str">
        <f>IF('Calc (ex-animal)'!$F$63=1,"",IF(D315="","",(((VLOOKUP($C$313,'Calc (ex-animal)'!$D$63:$Y$67,6,FALSE)-VLOOKUP($C$313,'Calc (ex-animal)'!$D$63:$Y$67,17,FALSE))*F315/100))*VLOOKUP($C$313,'Calc (ex-animal)'!$D$63:$Y$67,7,FALSE)/100*(1-VLOOKUP(D315,'DB technologies'!$N$154:$Y$166,9,FALSE)/100)))</f>
        <v/>
      </c>
      <c r="I315" s="423" t="str">
        <f>IF(D315="","",((VLOOKUP(D315,'DB technologies'!$N$154:$Y$166,2,FALSE)*VLOOKUP($C$313,'DB animal categories'!$C$117:$AC$126,27,FALSE)*E315/1000)/VLOOKUP($C$313,'DB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'!$S$6/100*(1-VLOOKUP(D315,'DB technologies'!$N$154:$Y$166,9,FALSE)/100)))</f>
        <v/>
      </c>
      <c r="J315" s="434" t="str">
        <f>IF(D315="","",((VLOOKUP(D315,'DB technologies'!$N$154:$Y$166,3,FALSE)*VLOOKUP($C$313,'DB animal categories'!$C$117:$AC$126,27,FALSE)*E315/1000)/VLOOKUP($C$313,'DB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'!$S$7/100*(1-VLOOKUP(D315,'DB technologies'!$N$154:$Y$166,9,FALSE)/100)))</f>
        <v/>
      </c>
      <c r="K315" s="434" t="str">
        <f>IF(D315="","",((VLOOKUP(D315,'DB technologies'!$N$154:$Y$166,4,FALSE)*E315*'DB additional information '!$S$8/100*(1-VLOOKUP(D315,'DB technologies'!$N$154:$Y$166,9,FALSE)/100))/VLOOKUP($C$313,'DB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L315" s="423" t="str">
        <f>IF('Calc (ex-animal)'!$F$63=1,"",IF(D315="","",(((VLOOKUP($C$313,'Calc (ex-animal)'!$D$63:$Y$67,6,FALSE)-VLOOKUP($C$313,'Calc (ex-animal)'!$D$63:$Y$67,17,FALSE))*F315/100))*(1-VLOOKUP($C$313,'Calc (ex-animal)'!$D$63:$Y$67,7,FALSE)/100)*(1-VLOOKUP(D315,'DB technologies'!$N$154:$V$166,8,FALSE)/100)))</f>
        <v/>
      </c>
      <c r="M315" s="434" t="str">
        <f>IF(D315="","",((VLOOKUP(D315,'DB technologies'!$N$154:$Y$166,2,FALSE)*VLOOKUP($C$313,'DB animal categories'!$C$117:$AC$126,27,FALSE)*E315/1000)/VLOOKUP($C$313,'DB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'!$S$6/100)*(1-VLOOKUP(D315,'DB technologies'!$N$154:$Y$166,9,FALSE)/100))</f>
        <v/>
      </c>
      <c r="N315" s="434" t="str">
        <f>IF(D315="","",((VLOOKUP(D315,'DB technologies'!$N$154:$Y$166,3,FALSE)*VLOOKUP($C$313,'DB animal categories'!$C$117:$AC$126,27,FALSE)*E315/1000)/VLOOKUP($C$313,'DB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'!$S$7/100)*(1-VLOOKUP(D315,'DB technologies'!$N$154:$Y$166,9,FALSE)/100))</f>
        <v/>
      </c>
      <c r="O315" s="423" t="str">
        <f>IF(D315="","",((VLOOKUP(D315,'DB technologies'!$N$154:$Y$166,4,FALSE)*E315*(1-'DB additional information '!$S$8/100)*(1-VLOOKUP(D315,'DB technologies'!$N$154:$Y$166,8,FALSE)/100))/VLOOKUP($C$313,'DB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P315" s="438" t="str">
        <f>IF(G315=0,0,IF(E315="","",IF(F315="","",IF($C$313=0,"",IF(D315="","",SUM(H315:K315)/G315*100)))))</f>
        <v/>
      </c>
      <c r="Q315" s="416" t="str">
        <f>IF(D315="","",(VLOOKUP(D315,'DB technologies'!$N$154:$Y$166,2,FALSE)*'DB additional information '!$S$6/100*'DB additional information '!$T$6*VLOOKUP($C$313,'DB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R315" s="416" t="str">
        <f>IF(D315="","",(VLOOKUP(D315,'DB technologies'!$N$154:$Y$166,3,FALSE)*'DB additional information '!$S$7/100*'DB additional information '!$T$7*VLOOKUP($C$313,'DB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S315" s="491" t="str">
        <f>IF(D315="","",(VLOOKUP(D315,'DB technologies'!$N$154:$Y$166,4,FALSE)*('DB additional information '!$S$8/100*'DB additional information '!$T$8*E315/1000/1000)))</f>
        <v/>
      </c>
      <c r="T315" s="264" t="str">
        <f>IF($C$313=0,"",IF('Calc (ex-animal)'!$F$63=1,"",IF(D315="","",((VLOOKUP($C$313,'Calc (ex-animal)'!$D$63:$Y$67,10,FALSE)-VLOOKUP($C$313,'Calc (ex-animal)'!$D$63:$Y$67,18,FALSE))*F315/100+Q315+R315+S315)-AC315-AD315-AE315)))</f>
        <v/>
      </c>
      <c r="U315" s="422" t="str">
        <f>IF(D315="","",(VLOOKUP(D315,'DB technologies'!$N$154:$Y$166,2,FALSE)*'DB additional information '!$S$6/100*'DB additional information '!$U$6*VLOOKUP($C$313,'DB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V315" s="418" t="str">
        <f>IF(D315="","",(VLOOKUP(D315,'DB technologies'!$N$154:$Y$166,3,FALSE)*'DB additional information '!$S$7/100*'DB additional information '!$U$7*VLOOKUP($C$313,'DB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W315" s="417" t="str">
        <f>IF(D315="","",(VLOOKUP(D315,'DB technologies'!$N$154:$Y$166,4,FALSE)*('DB additional information '!$S$8/100*'DB additional information '!$U$8*E315/1000/1000)))</f>
        <v/>
      </c>
      <c r="X315" s="261" t="str">
        <f>IF($C$313=0,"",IF('Calc (ex-animal)'!$F$63=1,"",IF(D315="","",((VLOOKUP($C$313,'Calc (ex-animal)'!$D$63:$Y$67,13,FALSE)-VLOOKUP($C$313,'Calc (ex-animal)'!$D$63:$Y$67,19,FALSE))*F315/100+U315+V315+W315))))</f>
        <v/>
      </c>
      <c r="Y315" s="418" t="str">
        <f>IF(D315="","",(VLOOKUP(D315,'DB technologies'!$N$154:$Y$166,2,FALSE)*'DB additional information '!$S$6/100*'DB additional information '!$V$6*VLOOKUP($C$313,'DB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Z315" s="418" t="str">
        <f>IF(D315="","",(VLOOKUP(D315,'DB technologies'!$N$154:$Y$166,3,FALSE)*'DB additional information '!$S$7/100*'DB additional information '!$V$7*VLOOKUP($C$313,'DB animal categories'!$C$117:$AC$126,27,FALSE)*E315/1000/1000)/VLOOKUP($C$313,'DB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AA315" s="418" t="str">
        <f>IF(D315="","",(VLOOKUP(D315,'DB technologies'!$N$154:$Y$166,4,FALSE)*('DB additional information '!$S$8/100*'DB additional information '!$V$8*E315/1000/1000)))</f>
        <v/>
      </c>
      <c r="AB315" s="261" t="str">
        <f>IF($C$313=0,"",IF('Calc (ex-animal)'!$F$63=1,"",IF(D315="","",((VLOOKUP($C$313,'Calc (ex-animal)'!$D$63:$Y$67,16,FALSE)-VLOOKUP($C$313,'Calc (ex-animal)'!$D$63:$Y$67,20,FALSE))*F315/100+Y315+Z315+AA315))))</f>
        <v/>
      </c>
      <c r="AC315" s="261" t="str">
        <f>IF($C$313=0,"",IF('Calc (ex-animal)'!$F$63=1,"",IF(D315="","",VLOOKUP($C$313,'Calc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categories'!$C$117:$AC$126,26,FALSE)/24)*F315/100*VLOOKUP(D315,'DB technologies'!$N$154:$R$166,5,FALSE)/100)))</f>
        <v/>
      </c>
      <c r="AD315" s="261" t="str">
        <f>IF($C$313=0,"",IF('Calc (ex-animal)'!$F$63=1,"",IF(D315="","",VLOOKUP($C$313,'Calc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categories'!$C$117:$AC$126,26,FALSE)/24)*F315/100*VLOOKUP(D315,'DB technologies'!$N$154:$Y$166,6,FALSE)/100)))</f>
        <v/>
      </c>
      <c r="AE315" s="262" t="str">
        <f>IF($C$313=0,"",IF('Calc (ex-animal)'!$F$63=1,"",IF(D315="","",VLOOKUP($C$313,'Calc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categories'!$C$117:$AC$126,26,FALSE)/24)*F315/100*VLOOKUP(D315,'DB technologies'!$N$154:$Y$166,7,FALSE)/100)))</f>
        <v/>
      </c>
      <c r="AI315" s="181" t="str">
        <f>IF(D315="","",VLOOKUP(D315,'DB technologies'!$N$154:$Y$166,10,FALSE))</f>
        <v/>
      </c>
      <c r="AJ315" s="449" t="e">
        <f>VLOOKUP($C$313,'DB animal categories'!$C$117:$AN$126,27,FALSE)-VLOOKUP($C$313,'DB animal categories'!$C$117:$AN$126,26,FALSE)*VLOOKUP($C$313,'DB animal categories'!$C$117:$AN$126,25,FALSE)/24</f>
        <v>#N/A</v>
      </c>
      <c r="AK315" s="442" t="str">
        <f>IF(AI315="","",AL315+AM315)</f>
        <v/>
      </c>
      <c r="AL315" s="442" t="str">
        <f>IF(D315="","",IF(AI315=2,(('Calc (ex-animal)'!$G$64*'DB additional information '!$K$13/100*(1-VLOOKUP(D315,'DB technologies'!$N$154:$Y$166,9,FALSE)/100)*'Calc (ex-housing, ex-storage)'!F315/100+'Calc (ex-animal)'!$H$64*'DB additional information '!$L$13/100*(1-VLOOKUP(D315,'DB technologies'!$N$154:$Y$166,9,FALSE)/100)*'Calc (ex-housing, ex-storage)'!F315/100))/VLOOKUP($C$313,'DB animal categories'!$C$117:$AC$126,27,FALSE)*AJ315+I315+J315+K315,IF(AI315=1,('Calc (ex-animal)'!$H$64*'DB additional information '!$L$13/100*(1-VLOOKUP(D315,'DB technologies'!$N$154:$Y$166,9,FALSE)/100)*'Calc (ex-housing, ex-storage)'!F315/100)/VLOOKUP($C$313,'DB animal categories'!$C$117:$AC$126,27,FALSE)*AJ315,IF(AI315=4,('Calc (ex-animal)'!$G$64*'DB additional information '!$K$13/100+'Calc (ex-animal)'!$H$64*'DB additional information '!$L$13/100)*(1-VLOOKUP(D315,'DB technologies'!$N$154:$Y$166,9,FALSE)/100)*'Calc (ex-housing, ex-storage)'!F315/100*VLOOKUP(D315,'DB technologies'!$N$154:$Y$166,11,FALSE)/100/VLOOKUP($C$313,'DB animal categories'!$C$117:$AC$126,27,FALSE)*AJ315,0))))</f>
        <v/>
      </c>
      <c r="AM315" s="442" t="str">
        <f>IF(D315="","",IF(AI315=2,(('Calc (ex-animal)'!$G$64*(1-'DB additional information '!$K$13/100)*(1-VLOOKUP(D315,'DB technologies'!$N$154:$Y$166,8,FALSE)/100)*'Calc (ex-housing, ex-storage)'!F315/100+'Calc (ex-animal)'!$H$64*(1-'DB additional information '!$L$13/100)*(1-VLOOKUP(D315,'DB technologies'!$N$154:$Y$166,8,FALSE)/100)*'Calc (ex-housing, ex-storage)'!F315/100))/VLOOKUP($C$313,'DB animal categories'!$C$117:$AC$126,27,FALSE)*AJ315+M315+N315+O315,IF(AI315=1,('Calc (ex-animal)'!$H$64*(1-'DB additional information '!$L$13/100)*(1-VLOOKUP(D315,'DB technologies'!$N$154:$Y$166,8,FALSE)/100)*'Calc (ex-housing, ex-storage)'!F315/100)/VLOOKUP($C$313,'DB animal categories'!$C$117:$AC$126,27,FALSE)*AJ315,IF(AI315=4,('Calc (ex-animal)'!$G$64*(1-'DB additional information '!$K$13/100)+'Calc (ex-animal)'!$H$64*(1-'DB additional information '!$L$13/100))*(1-VLOOKUP(D315,'DB technologies'!$N$154:$Y$166,8,FALSE)/100)*'Calc (ex-housing, ex-storage)'!F315/100*VLOOKUP(D315,'DB technologies'!$N$154:$Y$166,11,FALSE)/100/VLOOKUP($C$313,'DB animal categories'!$C$117:$AC$126,27,FALSE)*AJ315,0))))</f>
        <v/>
      </c>
      <c r="AN315" s="442" t="str">
        <f>IF(AI315="","",IF(AL315=0,0,AL315/AK315*100))</f>
        <v/>
      </c>
      <c r="AO315" s="182" t="str">
        <f>IF(D315="","",IF(AI315=2,(('Calc (ex-animal)'!$L$64*'Calc (ex-housing, ex-storage)'!F315/100+'Calc (ex-animal)'!$K$64*'Calc (ex-housing, ex-storage)'!F315/100))/VLOOKUP($C$313,'DB animal categories'!$C$117:$AC$126,27,FALSE)*AJ315+Q315+R315+S315-AC315,IF(AI315=1,('Calc (ex-animal)'!$L$64*'Calc (ex-housing, ex-storage)'!F315/100)/VLOOKUP($C$313,'DB animal categories'!$C$117:$AC$126,27,FALSE)*AJ315-'Calc (ex-housing, ex-storage)'!AC315,IF(AI315=4,('Calc (ex-animal)'!$L$64+'Calc (ex-animal)'!$K$64)*'Calc (ex-housing, ex-storage)'!F315/100*VLOOKUP(D315,'DB technologies'!$N$154:$Y$166,11,FALSE)/100/VLOOKUP($C$313,'DB animal categories'!$C$117:$AC$126,27,FALSE)*AJ315-AC315*VLOOKUP(D315,'DB technologies'!$N$154:$Y$166,11,FALSE)/100,0))))</f>
        <v/>
      </c>
      <c r="AP315" s="182" t="str">
        <f>IF(D315="","",IF(AO315&lt;-0.01,0,IF(AI315=2,(('Calc (ex-animal)'!$L$64*'Calc (ex-housing, ex-storage)'!F315/100+'Calc (ex-animal)'!$K$64*'Calc (ex-housing, ex-storage)'!F315/100))/VLOOKUP($C$313,'DB animal categories'!$C$117:$AC$126,27,FALSE)*AJ315+Q315+R315+S315-AC315,IF(AI315=1,('Calc (ex-animal)'!$L$64*'Calc (ex-housing, ex-storage)'!F315/100)/VLOOKUP($C$313,'DB animal categories'!$C$117:$AC$126,27,FALSE)*AJ315-'Calc (ex-housing, ex-storage)'!AC315,IF(AI315=4,('Calc (ex-animal)'!$L$64+'Calc (ex-animal)'!$K$64)*'Calc (ex-housing, ex-storage)'!F315/100*VLOOKUP(D315,'DB technologies'!$N$154:$Y$166,11,FALSE)/100/VLOOKUP($C$313,'DB animal categories'!$C$117:$AC$126,27,FALSE)*AJ315-AC315*VLOOKUP(D315,'DB technologies'!$N$154:$Y$166,11,FALSE)/100,0)))))</f>
        <v/>
      </c>
      <c r="AQ315" s="182" t="str">
        <f>IF(D315="","",IF(AI315=2,('Calc (ex-animal)'!$O$64*'Calc (ex-housing, ex-storage)'!F315/100+'Calc (ex-animal)'!$N$64*'Calc (ex-housing, ex-storage)'!F315/100)/VLOOKUP($C$313,'DB animal categories'!$C$117:$AC$126,27,FALSE)*AJ315+U315+V315+W315,IF(AI315=1,'Calc (ex-animal)'!$O$64*'Calc (ex-housing, ex-storage)'!F315/100/VLOOKUP($C$313,'DB animal categories'!$C$117:$AC$126,27,FALSE)*AJ315,IF(AI315=4,('Calc (ex-animal)'!$O$64+'Calc (ex-animal)'!$N$64)*'Calc (ex-housing, ex-storage)'!F315/100*VLOOKUP(D315,'DB technologies'!$N$154:$Y$166,11,FALSE)/100/VLOOKUP($C$313,'DB animal categories'!$C$117:$AC$126,27,FALSE)*AJ315,0))))</f>
        <v/>
      </c>
      <c r="AR315" s="182" t="str">
        <f>IF(D315="","",IF(AI315=2,('Calc (ex-animal)'!$R$64*'Calc (ex-housing, ex-storage)'!F315/100+'Calc (ex-animal)'!$Q$64*'Calc (ex-housing, ex-storage)'!F315/100)/VLOOKUP($C$313,'DB animal categories'!$C$117:$AC$126,27,FALSE)*AJ315+Y315+Z315+AA315,IF(AI315=1,'Calc (ex-animal)'!$R$64*'Calc (ex-housing, ex-storage)'!F315/100/VLOOKUP($C$313,'DB animal categories'!$C$117:$AC$126,27,FALSE)*AJ315,IF(AI315=4,('Calc (ex-animal)'!$R$64+'Calc (ex-animal)'!$Q$64)*'Calc (ex-housing, ex-storage)'!F315/100*VLOOKUP(D315,'DB technologies'!$N$154:$Y$166,11,FALSE)/100/VLOOKUP($C$313,'DB animal categories'!$C$117:$AC$126,27,FALSE)*AJ315,0))))</f>
        <v/>
      </c>
      <c r="AS315" s="181" t="str">
        <f>IF(D315="","",VLOOKUP(D315,'DB technologies'!$N$154:$Y$166,10,FALSE))</f>
        <v/>
      </c>
      <c r="AT315" s="442" t="str">
        <f>IF(AS315="","",AU315+AV315)</f>
        <v/>
      </c>
      <c r="AU315" s="442" t="str">
        <f>IF(D315="","",IF(AS315=2,0,IF(AS315=1,'Calc (ex-animal)'!$G$64*'DB additional information '!$K$13/100*(1-VLOOKUP(D315,'DB technologies'!$N$154:$Y$166,8,FALSE)/100)*'Calc (ex-housing, ex-storage)'!F315/100/VLOOKUP($C$313,'DB animal categories'!$C$117:$AC$126,27,FALSE)*AJ315+I315+J315+K315,IF(AS315=5,(('Calc (ex-animal)'!$G$64*'DB additional information '!$K$13/100+'Calc (ex-animal)'!$H$64*'DB additional information '!$L$13/100))*(1-VLOOKUP(D315,'DB technologies'!$N$154:$Y$166,9,FALSE)/100)*'Calc (ex-housing, ex-storage)'!F315/100/VLOOKUP($C$313,'DB animal categories'!$C$117:$AC$126,27,FALSE)*AJ315+I315+J315+K315,IF(AS315=3,('Calc (ex-animal)'!$G$64*'DB additional information '!$K$13/100+'Calc (ex-animal)'!$H$64*'DB additional information '!$L$13/100)*(1-VLOOKUP(D315,'DB technologies'!$N$154:$Y$166,9,FALSE)/100)*'Calc (ex-housing, ex-storage)'!F315/100/VLOOKUP($C$313,'DB animal categories'!$C$117:$AC$126,27,FALSE)*AJ315+I315+J315+K315,IF(AS315=4,('Calc (ex-animal)'!$G$64*'DB additional information '!$K$13/100+'Calc (ex-animal)'!$H$64*'DB additional information '!$L$13/100)*(1-VLOOKUP(D315,'DB technologies'!$N$154:$Y$166,9,FALSE)/100)*'Calc (ex-housing, ex-storage)'!F315/100*VLOOKUP(D315,'DB technologies'!$N$154:$Y$166,12,FALSE)/100/VLOOKUP($C$313,'DB animal categories'!$C$117:$AC$126,27,FALSE)*AJ315+I315+J315+K315,0))))))</f>
        <v/>
      </c>
      <c r="AV315" s="442" t="str">
        <f>IF(D315="","",IF(AS315=2,0,IF(AS315=1,'Calc (ex-animal)'!$G$64*(1-'DB additional information '!$K$13/100)*(1-VLOOKUP(D315,'DB technologies'!$N$154:$Y$166,8,FALSE)/100)*'Calc (ex-housing, ex-storage)'!F315/100/VLOOKUP($C$313,'DB animal categories'!$C$117:$AC$126,27,FALSE)*AJ315+M315+N315+O315,IF(AS315=5,('Calc (ex-animal)'!$G$64*(1-'DB additional information '!$K$13/100)+'Calc (ex-animal)'!$H$64*(1-'DB additional information '!$L$13/100))*(1-VLOOKUP(D315,'DB technologies'!$N$154:$Y$166,8,FALSE)/100)*'Calc (ex-housing, ex-storage)'!F315/100/VLOOKUP($C$313,'DB animal categories'!$C$117:$AC$126,27,FALSE)*AJ315+M315+N315+O315,IF(AS315=3,('Calc (ex-animal)'!$G$64*(1-'DB additional information '!$K$13/100)+'Calc (ex-animal)'!$H$64*(1-'DB additional information '!$L$13/100))*(1-VLOOKUP(D315,'DB technologies'!$N$154:$Y$166,8,FALSE)/100)*'Calc (ex-housing, ex-storage)'!F315/100/VLOOKUP($C$313,'DB animal categories'!$C$117:$AC$126,27,FALSE)*AJ315+M315+N315+O315,IF(AS315=4,('Calc (ex-animal)'!$G$64*(1-'DB additional information '!$K$13/100)+'Calc (ex-animal)'!$H$64*(1-'DB additional information '!$L$13/100))*(1-VLOOKUP(D315,'DB technologies'!$N$154:$Y$166,8,FALSE)/100)*'Calc (ex-housing, ex-storage)'!F315/100*VLOOKUP(D315,'DB technologies'!$N$154:$Y$166,12,FALSE)/100/VLOOKUP($C$313,'DB animal categories'!$C$117:$AC$126,27,FALSE)*AJ315+M315+N315+O315,0))))))</f>
        <v/>
      </c>
      <c r="AW315" s="442" t="str">
        <f>IF(AS315="","",IF(AU315=0,0,AU315/AT315*100))</f>
        <v/>
      </c>
      <c r="AX315" s="182" t="str">
        <f>IF(D315="","",IF(AS315=2,0,IF(AS315=1,'Calc (ex-animal)'!$K$64*'Calc (ex-housing, ex-storage)'!F315/100/VLOOKUP($C$313,'DB animal categories'!$C$117:$AC$126,27,FALSE)*AJ315+Q315+R315+S315,IF(AS315=5,('Calc (ex-animal)'!$K$64+'Calc (ex-animal)'!$L$64)*'Calc (ex-housing, ex-storage)'!F315/100/VLOOKUP($C$313,'DB animal categories'!$C$117:$AC$126,27,FALSE)*AJ315+Q315+R315+S315-'Calc (ex-housing, ex-storage)'!AC315,IF(AS315=3,('Calc (ex-animal)'!$K$64+'Calc (ex-animal)'!$L$64)*'Calc (ex-housing, ex-storage)'!F315/100/VLOOKUP($C$313,'DB animal categories'!$C$117:$AC$126,27,FALSE)*AJ315+Q315+R315+S315-'Calc (ex-housing, ex-storage)'!AC315-AD315-AE315,IF(AI315=4,('Calc (ex-animal)'!$K$64+'Calc (ex-animal)'!$L$64)*'Calc (ex-housing, ex-storage)'!F315/100*VLOOKUP(D315,'DB technologies'!$N$154:$Y$166,12,FALSE)/100/VLOOKUP($C$313,'DB animal categories'!$C$117:$AC$126,27,FALSE)*AJ315+Q315+R315+S315-(VLOOKUP(D315,'DB technologies'!$N$154:$Y$166,12,FALSE)/100*AC315)-AD315-AE315,0))))))</f>
        <v/>
      </c>
      <c r="AY315" s="182" t="str">
        <f>IF(D315="","",IF(AS315=2,0,IF(AS315=1,'Calc (ex-animal)'!$N$64*'Calc (ex-housing, ex-storage)'!F315/100/VLOOKUP($C$313,'DB animal categories'!$C$117:$AC$126,27,FALSE)*AJ315+U315+V315+W315,IF(AS315=5,('Calc (ex-animal)'!$N$64+'Calc (ex-animal)'!$O$64)*'Calc (ex-housing, ex-storage)'!F315/100/VLOOKUP($C$313,'DB animal categories'!$C$117:$AC$126,27,FALSE)*AJ315+U315+V315+W315,IF(AS315=3,('Calc (ex-animal)'!$N$64+'Calc (ex-animal)'!$O$64)*'Calc (ex-housing, ex-storage)'!F315/100/VLOOKUP($C$313,'DB animal categories'!$C$117:$AC$126,27,FALSE)*AJ315+U315+V315+W315,IF(AS315=4,('Calc (ex-animal)'!$N$64+'Calc (ex-animal)'!$O$64)*'Calc (ex-housing, ex-storage)'!F315/100*VLOOKUP(D315,'DB technologies'!$N$154:$Y$166,12,FALSE)/100/VLOOKUP($C$313,'DB animal categories'!$C$117:$AC$126,27,FALSE)*AJ315+U315+V315+W315,0))))))</f>
        <v/>
      </c>
      <c r="AZ315" s="182" t="str">
        <f>IF(D315="","",IF(AS315=2,0,IF(AS315=1,'Calc (ex-animal)'!$Q$64*'Calc (ex-housing, ex-storage)'!F315/100/VLOOKUP($C$313,'DB animal categories'!$C$117:$AC$126,27,FALSE)*AJ315+Y315+Z315+AA315,IF(AS315=5,('Calc (ex-animal)'!$Q$64+'Calc (ex-animal)'!$R$64)*'Calc (ex-housing, ex-storage)'!F315/100/VLOOKUP($C$313,'DB animal categories'!$C$117:$AC$126,27,FALSE)*AJ315+Y315+Z315+AA315,IF(AS315=3,('Calc (ex-animal)'!$Q$64+'Calc (ex-animal)'!$R$64)*'Calc (ex-housing, ex-storage)'!F315/100/VLOOKUP($C$313,'DB animal categories'!$C$117:$AC$126,27,FALSE)*AJ315+Y315+Z315+AA315,IF(AS315=4,('Calc (ex-animal)'!$Q$64+'Calc (ex-animal)'!$R$64)*'Calc (ex-housing, ex-storage)'!F315/100*VLOOKUP(D315,'DB technologies'!$N$154:$Y$166,12,FALSE)/100/VLOOKUP($C$313,'DB animal categories'!$C$117:$AC$126,27,FALSE)*AJ315+Y315+Z315+AA315,0))))))</f>
        <v/>
      </c>
      <c r="BA315" s="506"/>
      <c r="BB315" s="506"/>
      <c r="BC315" s="506"/>
    </row>
    <row r="316" spans="1:55" x14ac:dyDescent="0.2">
      <c r="A316" s="695"/>
      <c r="B316" s="695"/>
      <c r="C316" s="251"/>
      <c r="D316" s="1357"/>
      <c r="E316" s="1358"/>
      <c r="F316" s="480" t="str">
        <f>IF('Calc (ex-animal)'!$F$63=1,"",IF($C$313=0,"",IF(D316="","",E316/'Calc (ex-animal)'!$E$64*100)))</f>
        <v/>
      </c>
      <c r="G316" s="485" t="str">
        <f>IF($C$313=0,"",IF('Calc (ex-animal)'!$F$63=1,"",IF(D316="","",SUM(H316:O316))))</f>
        <v/>
      </c>
      <c r="H316" s="423" t="str">
        <f>IF('Calc (ex-animal)'!$F$63=1,"",IF(D316="","",(((VLOOKUP($C$313,'Calc (ex-animal)'!$D$63:$Y$67,6,FALSE)-VLOOKUP($C$313,'Calc (ex-animal)'!$D$63:$Y$67,17,FALSE))*F316/100))*VLOOKUP($C$313,'Calc (ex-animal)'!$D$63:$Y$67,7,FALSE)/100*(1-VLOOKUP(D316,'DB technologies'!$N$154:$Y$166,9,FALSE)/100)))</f>
        <v/>
      </c>
      <c r="I316" s="423" t="str">
        <f>IF(D316="","",((VLOOKUP(D316,'DB technologies'!$N$154:$Y$166,2,FALSE)*VLOOKUP($C$313,'DB animal categories'!$C$117:$AC$126,27,FALSE)*E316/1000)/VLOOKUP($C$313,'DB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'!$S$6/100*(1-VLOOKUP(D316,'DB technologies'!$N$154:$Y$166,9,FALSE)/100)))</f>
        <v/>
      </c>
      <c r="J316" s="434" t="str">
        <f>IF(D316="","",((VLOOKUP(D316,'DB technologies'!$N$154:$Y$166,3,FALSE)*VLOOKUP($C$313,'DB animal categories'!$C$117:$AC$126,27,FALSE)*E316/1000)/VLOOKUP($C$313,'DB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'!$S$7/100*(1-VLOOKUP(D316,'DB technologies'!$N$154:$Y$166,9,FALSE)/100)))</f>
        <v/>
      </c>
      <c r="K316" s="434" t="str">
        <f>IF(D316="","",((VLOOKUP(D316,'DB technologies'!$N$154:$Y$166,4,FALSE)*E316*'DB additional information '!$S$8/100*(1-VLOOKUP(D316,'DB technologies'!$N$154:$Y$166,9,FALSE)/100))/VLOOKUP($C$313,'DB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L316" s="423" t="str">
        <f>IF('Calc (ex-animal)'!$F$63=1,"",IF(D316="","",(((VLOOKUP($C$313,'Calc (ex-animal)'!$D$63:$Y$67,6,FALSE)-VLOOKUP($C$313,'Calc (ex-animal)'!$D$63:$Y$67,17,FALSE))*F316/100))*(1-VLOOKUP($C$313,'Calc (ex-animal)'!$D$63:$Y$67,7,FALSE)/100)*(1-VLOOKUP(D316,'DB technologies'!$N$154:$V$166,8,FALSE)/100)))</f>
        <v/>
      </c>
      <c r="M316" s="434" t="str">
        <f>IF(D316="","",((VLOOKUP(D316,'DB technologies'!$N$154:$Y$166,2,FALSE)*VLOOKUP($C$313,'DB animal categories'!$C$117:$AC$126,27,FALSE)*E316/1000)/VLOOKUP($C$313,'DB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'!$S$6/100)*(1-VLOOKUP(D316,'DB technologies'!$N$154:$Y$166,9,FALSE)/100))</f>
        <v/>
      </c>
      <c r="N316" s="434" t="str">
        <f>IF(D316="","",((VLOOKUP(D316,'DB technologies'!$N$154:$Y$166,3,FALSE)*VLOOKUP($C$313,'DB animal categories'!$C$117:$AC$126,27,FALSE)*E316/1000)/VLOOKUP($C$313,'DB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'!$S$7/100)*(1-VLOOKUP(D316,'DB technologies'!$N$154:$Y$166,9,FALSE)/100))</f>
        <v/>
      </c>
      <c r="O316" s="423" t="str">
        <f>IF(D316="","",((VLOOKUP(D316,'DB technologies'!$N$154:$Y$166,4,FALSE)*E316*(1-'DB additional information '!$S$8/100)*(1-VLOOKUP(D316,'DB technologies'!$N$154:$Y$166,8,FALSE)/100))/VLOOKUP($C$313,'DB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P316" s="438" t="str">
        <f>IF(G316=0,0,IF(E316="","",IF(F316="","",IF($C$313=0,"",IF(D316="","",SUM(H316:K316)/G316*100)))))</f>
        <v/>
      </c>
      <c r="Q316" s="416" t="str">
        <f>IF(D316="","",(VLOOKUP(D316,'DB technologies'!$N$154:$Y$166,2,FALSE)*'DB additional information '!$S$6/100*'DB additional information '!$T$6*VLOOKUP($C$313,'DB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R316" s="416" t="str">
        <f>IF(D316="","",(VLOOKUP(D316,'DB technologies'!$N$154:$Y$166,3,FALSE)*'DB additional information '!$S$7/100*'DB additional information '!$T$7*VLOOKUP($C$313,'DB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S316" s="491" t="str">
        <f>IF(D316="","",(VLOOKUP(D316,'DB technologies'!$N$154:$Y$166,4,FALSE)*('DB additional information '!$S$8/100*'DB additional information '!$T$8*E316/1000/1000)))</f>
        <v/>
      </c>
      <c r="T316" s="264" t="str">
        <f>IF($C$313=0,"",IF('Calc (ex-animal)'!$F$63=1,"",IF(D316="","",((VLOOKUP($C$313,'Calc (ex-animal)'!$D$63:$Y$67,10,FALSE)-VLOOKUP($C$313,'Calc (ex-animal)'!$D$63:$Y$67,18,FALSE))*F316/100+Q316+R316+S316)-AC316-AD316-AE316)))</f>
        <v/>
      </c>
      <c r="U316" s="422" t="str">
        <f>IF(D316="","",(VLOOKUP(D316,'DB technologies'!$N$154:$Y$166,2,FALSE)*'DB additional information '!$S$6/100*'DB additional information '!$U$6*VLOOKUP($C$313,'DB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V316" s="418" t="str">
        <f>IF(D316="","",(VLOOKUP(D316,'DB technologies'!$N$154:$Y$166,3,FALSE)*'DB additional information '!$S$7/100*'DB additional information '!$U$7*VLOOKUP($C$313,'DB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W316" s="417" t="str">
        <f>IF(D316="","",(VLOOKUP(D316,'DB technologies'!$N$154:$Y$166,4,FALSE)*('DB additional information '!$S$8/100*'DB additional information '!$U$8*E316/1000/1000)))</f>
        <v/>
      </c>
      <c r="X316" s="261" t="str">
        <f>IF($C$313=0,"",IF('Calc (ex-animal)'!$F$63=1,"",IF(D316="","",((VLOOKUP($C$313,'Calc (ex-animal)'!$D$63:$Y$67,13,FALSE)-VLOOKUP($C$313,'Calc (ex-animal)'!$D$63:$Y$67,19,FALSE))*F316/100+U316+V316+W316))))</f>
        <v/>
      </c>
      <c r="Y316" s="418" t="str">
        <f>IF(D316="","",(VLOOKUP(D316,'DB technologies'!$N$154:$Y$166,2,FALSE)*'DB additional information '!$S$6/100*'DB additional information '!$V$6*VLOOKUP($C$313,'DB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Z316" s="418" t="str">
        <f>IF(D316="","",(VLOOKUP(D316,'DB technologies'!$N$154:$Y$166,3,FALSE)*'DB additional information '!$S$7/100*'DB additional information '!$V$7*VLOOKUP($C$313,'DB animal categories'!$C$117:$AC$126,27,FALSE)*E316/1000/1000)/VLOOKUP($C$313,'DB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AA316" s="418" t="str">
        <f>IF(D316="","",(VLOOKUP(D316,'DB technologies'!$N$154:$Y$166,4,FALSE)*('DB additional information '!$S$8/100*'DB additional information '!$V$8*E316/1000/1000)))</f>
        <v/>
      </c>
      <c r="AB316" s="261" t="str">
        <f>IF($C$313=0,"",IF('Calc (ex-animal)'!$F$63=1,"",IF(D316="","",((VLOOKUP($C$313,'Calc (ex-animal)'!$D$63:$Y$67,16,FALSE)-VLOOKUP($C$313,'Calc (ex-animal)'!$D$63:$Y$67,20,FALSE))*F316/100+Y316+Z316+AA316))))</f>
        <v/>
      </c>
      <c r="AC316" s="261" t="str">
        <f>IF($C$313=0,"",IF('Calc (ex-animal)'!$F$63=1,"",IF(D316="","",VLOOKUP($C$313,'Calc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categories'!$C$117:$AC$126,26,FALSE)/24)*F316/100*VLOOKUP(D316,'DB technologies'!$N$154:$R$166,5,FALSE)/100)))</f>
        <v/>
      </c>
      <c r="AD316" s="261" t="str">
        <f>IF($C$313=0,"",IF('Calc (ex-animal)'!$F$63=1,"",IF(D316="","",VLOOKUP($C$313,'Calc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categories'!$C$117:$AC$126,26,FALSE)/24)*F316/100*VLOOKUP(D316,'DB technologies'!$N$154:$Y$166,6,FALSE)/100)))</f>
        <v/>
      </c>
      <c r="AE316" s="262" t="str">
        <f>IF($C$313=0,"",IF('Calc (ex-animal)'!$F$63=1,"",IF(D316="","",VLOOKUP($C$313,'Calc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categories'!$C$117:$AC$126,26,FALSE)/24)*F316/100*VLOOKUP(D316,'DB technologies'!$N$154:$Y$166,7,FALSE)/100)))</f>
        <v/>
      </c>
      <c r="AI316" s="181" t="str">
        <f>IF(D316="","",VLOOKUP(D316,'DB technologies'!$N$154:$Y$166,10,FALSE))</f>
        <v/>
      </c>
      <c r="AJ316" s="449" t="e">
        <f>VLOOKUP($C$313,'DB animal categories'!$C$117:$AN$126,27,FALSE)-VLOOKUP($C$313,'DB animal categories'!$C$117:$AN$126,26,FALSE)*VLOOKUP($C$313,'DB animal categories'!$C$117:$AN$126,25,FALSE)/24</f>
        <v>#N/A</v>
      </c>
      <c r="AK316" s="442" t="str">
        <f>IF(AI316="","",AL316+AM316)</f>
        <v/>
      </c>
      <c r="AL316" s="442" t="str">
        <f>IF(D316="","",IF(AI316=2,(('Calc (ex-animal)'!$G$64*'DB additional information '!$K$13/100*(1-VLOOKUP(D316,'DB technologies'!$N$154:$Y$166,9,FALSE)/100)*'Calc (ex-housing, ex-storage)'!F316/100+'Calc (ex-animal)'!$H$64*'DB additional information '!$L$13/100*(1-VLOOKUP(D316,'DB technologies'!$N$154:$Y$166,9,FALSE)/100)*'Calc (ex-housing, ex-storage)'!F316/100))/VLOOKUP($C$313,'DB animal categories'!$C$117:$AC$126,27,FALSE)*AJ316+I316+J316+K316,IF(AI316=1,('Calc (ex-animal)'!$H$64*'DB additional information '!$L$13/100*(1-VLOOKUP(D316,'DB technologies'!$N$154:$Y$166,9,FALSE)/100)*'Calc (ex-housing, ex-storage)'!F316/100)/VLOOKUP($C$313,'DB animal categories'!$C$117:$AC$126,27,FALSE)*AJ316,IF(AI316=4,('Calc (ex-animal)'!$G$64*'DB additional information '!$K$13/100+'Calc (ex-animal)'!$H$64*'DB additional information '!$L$13/100)*(1-VLOOKUP(D316,'DB technologies'!$N$154:$Y$166,9,FALSE)/100)*'Calc (ex-housing, ex-storage)'!F316/100*VLOOKUP(D316,'DB technologies'!$N$154:$Y$166,11,FALSE)/100/VLOOKUP($C$313,'DB animal categories'!$C$117:$AC$126,27,FALSE)*AJ316,0))))</f>
        <v/>
      </c>
      <c r="AM316" s="442" t="str">
        <f>IF(D316="","",IF(AI316=2,(('Calc (ex-animal)'!$G$64*(1-'DB additional information '!$K$13/100)*(1-VLOOKUP(D316,'DB technologies'!$N$154:$Y$166,8,FALSE)/100)*'Calc (ex-housing, ex-storage)'!F316/100+'Calc (ex-animal)'!$H$64*(1-'DB additional information '!$L$13/100)*(1-VLOOKUP(D316,'DB technologies'!$N$154:$Y$166,8,FALSE)/100)*'Calc (ex-housing, ex-storage)'!F316/100))/VLOOKUP($C$313,'DB animal categories'!$C$117:$AC$126,27,FALSE)*AJ316+M316+N316+O316,IF(AI316=1,('Calc (ex-animal)'!$H$64*(1-'DB additional information '!$L$13/100)*(1-VLOOKUP(D316,'DB technologies'!$N$154:$Y$166,8,FALSE)/100)*'Calc (ex-housing, ex-storage)'!F316/100)/VLOOKUP($C$313,'DB animal categories'!$C$117:$AC$126,27,FALSE)*AJ316,IF(AI316=4,('Calc (ex-animal)'!$G$64*(1-'DB additional information '!$K$13/100)+'Calc (ex-animal)'!$H$64*(1-'DB additional information '!$L$13/100))*(1-VLOOKUP(D316,'DB technologies'!$N$154:$Y$166,8,FALSE)/100)*'Calc (ex-housing, ex-storage)'!F316/100*VLOOKUP(D316,'DB technologies'!$N$154:$Y$166,11,FALSE)/100/VLOOKUP($C$313,'DB animal categories'!$C$117:$AC$126,27,FALSE)*AJ316,0))))</f>
        <v/>
      </c>
      <c r="AN316" s="442" t="str">
        <f>IF(AI316="","",IF(AL316=0,0,AL316/AK316*100))</f>
        <v/>
      </c>
      <c r="AO316" s="182" t="str">
        <f>IF(D316="","",IF(AI316=2,(('Calc (ex-animal)'!$L$64*'Calc (ex-housing, ex-storage)'!F316/100+'Calc (ex-animal)'!$K$64*'Calc (ex-housing, ex-storage)'!F316/100))/VLOOKUP($C$313,'DB animal categories'!$C$117:$AC$126,27,FALSE)*AJ316+Q316+R316+S316-AC316,IF(AI316=1,('Calc (ex-animal)'!$L$64*'Calc (ex-housing, ex-storage)'!F316/100)/VLOOKUP($C$313,'DB animal categories'!$C$117:$AC$126,27,FALSE)*AJ316-'Calc (ex-housing, ex-storage)'!AC316,IF(AI316=4,('Calc (ex-animal)'!$L$64+'Calc (ex-animal)'!$K$64)*'Calc (ex-housing, ex-storage)'!F316/100*VLOOKUP(D316,'DB technologies'!$N$154:$Y$166,11,FALSE)/100/VLOOKUP($C$313,'DB animal categories'!$C$117:$AC$126,27,FALSE)*AJ316-AC316*VLOOKUP(D316,'DB technologies'!$N$154:$Y$166,11,FALSE)/100,0))))</f>
        <v/>
      </c>
      <c r="AP316" s="182" t="str">
        <f>IF(D316="","",IF(AO316&lt;-0.01,0,IF(AI316=2,(('Calc (ex-animal)'!$L$64*'Calc (ex-housing, ex-storage)'!F316/100+'Calc (ex-animal)'!$K$64*'Calc (ex-housing, ex-storage)'!F316/100))/VLOOKUP($C$313,'DB animal categories'!$C$117:$AC$126,27,FALSE)*AJ316+Q316+R316+S316-AC316,IF(AI316=1,('Calc (ex-animal)'!$L$64*'Calc (ex-housing, ex-storage)'!F316/100)/VLOOKUP($C$313,'DB animal categories'!$C$117:$AC$126,27,FALSE)*AJ316-'Calc (ex-housing, ex-storage)'!AC316,IF(AI316=4,('Calc (ex-animal)'!$L$64+'Calc (ex-animal)'!$K$64)*'Calc (ex-housing, ex-storage)'!F316/100*VLOOKUP(D316,'DB technologies'!$N$154:$Y$166,11,FALSE)/100/VLOOKUP($C$313,'DB animal categories'!$C$117:$AC$126,27,FALSE)*AJ316-AC316*VLOOKUP(D316,'DB technologies'!$N$154:$Y$166,11,FALSE)/100,0)))))</f>
        <v/>
      </c>
      <c r="AQ316" s="182" t="str">
        <f>IF(D316="","",IF(AI316=2,('Calc (ex-animal)'!$O$64*'Calc (ex-housing, ex-storage)'!F316/100+'Calc (ex-animal)'!$N$64*'Calc (ex-housing, ex-storage)'!F316/100)/VLOOKUP($C$313,'DB animal categories'!$C$117:$AC$126,27,FALSE)*AJ316+U316+V316+W316,IF(AI316=1,'Calc (ex-animal)'!$O$64*'Calc (ex-housing, ex-storage)'!F316/100/VLOOKUP($C$313,'DB animal categories'!$C$117:$AC$126,27,FALSE)*AJ316,IF(AI316=4,('Calc (ex-animal)'!$O$64+'Calc (ex-animal)'!$N$64)*'Calc (ex-housing, ex-storage)'!F316/100*VLOOKUP(D316,'DB technologies'!$N$154:$Y$166,11,FALSE)/100/VLOOKUP($C$313,'DB animal categories'!$C$117:$AC$126,27,FALSE)*AJ316,0))))</f>
        <v/>
      </c>
      <c r="AR316" s="182" t="str">
        <f>IF(D316="","",IF(AI316=2,('Calc (ex-animal)'!$R$64*'Calc (ex-housing, ex-storage)'!F316/100+'Calc (ex-animal)'!$Q$64*'Calc (ex-housing, ex-storage)'!F316/100)/VLOOKUP($C$313,'DB animal categories'!$C$117:$AC$126,27,FALSE)*AJ316+Y316+Z316+AA316,IF(AI316=1,'Calc (ex-animal)'!$R$64*'Calc (ex-housing, ex-storage)'!F316/100/VLOOKUP($C$313,'DB animal categories'!$C$117:$AC$126,27,FALSE)*AJ316,IF(AI316=4,('Calc (ex-animal)'!$R$64+'Calc (ex-animal)'!$Q$64)*'Calc (ex-housing, ex-storage)'!F316/100*VLOOKUP(D316,'DB technologies'!$N$154:$Y$166,11,FALSE)/100/VLOOKUP($C$313,'DB animal categories'!$C$117:$AC$126,27,FALSE)*AJ316,0))))</f>
        <v/>
      </c>
      <c r="AS316" s="181" t="str">
        <f>IF(D316="","",VLOOKUP(D316,'DB technologies'!$N$154:$Y$166,10,FALSE))</f>
        <v/>
      </c>
      <c r="AT316" s="442" t="str">
        <f>IF(AS316="","",AU316+AV316)</f>
        <v/>
      </c>
      <c r="AU316" s="442" t="str">
        <f>IF(D316="","",IF(AS316=2,0,IF(AS316=1,'Calc (ex-animal)'!$G$64*'DB additional information '!$K$13/100*(1-VLOOKUP(D316,'DB technologies'!$N$154:$Y$166,8,FALSE)/100)*'Calc (ex-housing, ex-storage)'!F316/100/VLOOKUP($C$313,'DB animal categories'!$C$117:$AC$126,27,FALSE)*AJ316+I316+J316+K316,IF(AS316=5,(('Calc (ex-animal)'!$G$64*'DB additional information '!$K$13/100+'Calc (ex-animal)'!$H$64*'DB additional information '!$L$13/100))*(1-VLOOKUP(D316,'DB technologies'!$N$154:$Y$166,9,FALSE)/100)*'Calc (ex-housing, ex-storage)'!F316/100/VLOOKUP($C$313,'DB animal categories'!$C$117:$AC$126,27,FALSE)*AJ316+I316+J316+K316,IF(AS316=3,('Calc (ex-animal)'!$G$64*'DB additional information '!$K$13/100+'Calc (ex-animal)'!$H$64*'DB additional information '!$L$13/100)*(1-VLOOKUP(D316,'DB technologies'!$N$154:$Y$166,9,FALSE)/100)*'Calc (ex-housing, ex-storage)'!F316/100/VLOOKUP($C$313,'DB animal categories'!$C$117:$AC$126,27,FALSE)*AJ316+I316+J316+K316,IF(AS316=4,('Calc (ex-animal)'!$G$64*'DB additional information '!$K$13/100+'Calc (ex-animal)'!$H$64*'DB additional information '!$L$13/100)*(1-VLOOKUP(D316,'DB technologies'!$N$154:$Y$166,9,FALSE)/100)*'Calc (ex-housing, ex-storage)'!F316/100*VLOOKUP(D316,'DB technologies'!$N$154:$Y$166,12,FALSE)/100/VLOOKUP($C$313,'DB animal categories'!$C$117:$AC$126,27,FALSE)*AJ316+I316+J316+K316,0))))))</f>
        <v/>
      </c>
      <c r="AV316" s="442" t="str">
        <f>IF(D316="","",IF(AS316=2,0,IF(AS316=1,'Calc (ex-animal)'!$G$64*(1-'DB additional information '!$K$13/100)*(1-VLOOKUP(D316,'DB technologies'!$N$154:$Y$166,8,FALSE)/100)*'Calc (ex-housing, ex-storage)'!F316/100/VLOOKUP($C$313,'DB animal categories'!$C$117:$AC$126,27,FALSE)*AJ316+M316+N316+O316,IF(AS316=5,('Calc (ex-animal)'!$G$64*(1-'DB additional information '!$K$13/100)+'Calc (ex-animal)'!$H$64*(1-'DB additional information '!$L$13/100))*(1-VLOOKUP(D316,'DB technologies'!$N$154:$Y$166,8,FALSE)/100)*'Calc (ex-housing, ex-storage)'!F316/100/VLOOKUP($C$313,'DB animal categories'!$C$117:$AC$126,27,FALSE)*AJ316+M316+N316+O316,IF(AS316=3,('Calc (ex-animal)'!$G$64*(1-'DB additional information '!$K$13/100)+'Calc (ex-animal)'!$H$64*(1-'DB additional information '!$L$13/100))*(1-VLOOKUP(D316,'DB technologies'!$N$154:$Y$166,8,FALSE)/100)*'Calc (ex-housing, ex-storage)'!F316/100/VLOOKUP($C$313,'DB animal categories'!$C$117:$AC$126,27,FALSE)*AJ316+M316+N316+O316,IF(AS316=4,('Calc (ex-animal)'!$G$64*(1-'DB additional information '!$K$13/100)+'Calc (ex-animal)'!$H$64*(1-'DB additional information '!$L$13/100))*(1-VLOOKUP(D316,'DB technologies'!$N$154:$Y$166,8,FALSE)/100)*'Calc (ex-housing, ex-storage)'!F316/100*VLOOKUP(D316,'DB technologies'!$N$154:$Y$166,12,FALSE)/100/VLOOKUP($C$313,'DB animal categories'!$C$117:$AC$126,27,FALSE)*AJ316+M316+N316+O316,0))))))</f>
        <v/>
      </c>
      <c r="AW316" s="442" t="str">
        <f>IF(AS316="","",IF(AU316=0,0,AU316/AT316*100))</f>
        <v/>
      </c>
      <c r="AX316" s="182" t="str">
        <f>IF(D316="","",IF(AS316=2,0,IF(AS316=1,'Calc (ex-animal)'!$K$64*'Calc (ex-housing, ex-storage)'!F316/100/VLOOKUP($C$313,'DB animal categories'!$C$117:$AC$126,27,FALSE)*AJ316+Q316+R316+S316,IF(AS316=5,('Calc (ex-animal)'!$K$64+'Calc (ex-animal)'!$L$64)*'Calc (ex-housing, ex-storage)'!F316/100/VLOOKUP($C$313,'DB animal categories'!$C$117:$AC$126,27,FALSE)*AJ316+Q316+R316+S316-'Calc (ex-housing, ex-storage)'!AC316,IF(AS316=3,('Calc (ex-animal)'!$K$64+'Calc (ex-animal)'!$L$64)*'Calc (ex-housing, ex-storage)'!F316/100/VLOOKUP($C$313,'DB animal categories'!$C$117:$AC$126,27,FALSE)*AJ316+Q316+R316+S316-'Calc (ex-housing, ex-storage)'!AC316-AD316-AE316,IF(AI316=4,('Calc (ex-animal)'!$K$64+'Calc (ex-animal)'!$L$64)*'Calc (ex-housing, ex-storage)'!F316/100*VLOOKUP(D316,'DB technologies'!$N$154:$Y$166,12,FALSE)/100/VLOOKUP($C$313,'DB animal categories'!$C$117:$AC$126,27,FALSE)*AJ316+Q316+R316+S316-(VLOOKUP(D316,'DB technologies'!$N$154:$Y$166,12,FALSE)/100*AC316)-AD316-AE316,0))))))</f>
        <v/>
      </c>
      <c r="AY316" s="182" t="str">
        <f>IF(D316="","",IF(AS316=2,0,IF(AS316=1,'Calc (ex-animal)'!$N$64*'Calc (ex-housing, ex-storage)'!F316/100/VLOOKUP($C$313,'DB animal categories'!$C$117:$AC$126,27,FALSE)*AJ316+U316+V316+W316,IF(AS316=5,('Calc (ex-animal)'!$N$64+'Calc (ex-animal)'!$O$64)*'Calc (ex-housing, ex-storage)'!F316/100/VLOOKUP($C$313,'DB animal categories'!$C$117:$AC$126,27,FALSE)*AJ316+U316+V316+W316,IF(AS316=3,('Calc (ex-animal)'!$N$64+'Calc (ex-animal)'!$O$64)*'Calc (ex-housing, ex-storage)'!F316/100/VLOOKUP($C$313,'DB animal categories'!$C$117:$AC$126,27,FALSE)*AJ316+U316+V316+W316,IF(AS316=4,('Calc (ex-animal)'!$N$64+'Calc (ex-animal)'!$O$64)*'Calc (ex-housing, ex-storage)'!F316/100*VLOOKUP(D316,'DB technologies'!$N$154:$Y$166,12,FALSE)/100/VLOOKUP($C$313,'DB animal categories'!$C$117:$AC$126,27,FALSE)*AJ316+U316+V316+W316,0))))))</f>
        <v/>
      </c>
      <c r="AZ316" s="182" t="str">
        <f>IF(D316="","",IF(AS316=2,0,IF(AS316=1,'Calc (ex-animal)'!$Q$64*'Calc (ex-housing, ex-storage)'!F316/100/VLOOKUP($C$313,'DB animal categories'!$C$117:$AC$126,27,FALSE)*AJ316+Y316+Z316+AA316,IF(AS316=5,('Calc (ex-animal)'!$Q$64+'Calc (ex-animal)'!$R$64)*'Calc (ex-housing, ex-storage)'!F316/100/VLOOKUP($C$313,'DB animal categories'!$C$117:$AC$126,27,FALSE)*AJ316+Y316+Z316+AA316,IF(AS316=3,('Calc (ex-animal)'!$Q$64+'Calc (ex-animal)'!$R$64)*'Calc (ex-housing, ex-storage)'!F316/100/VLOOKUP($C$313,'DB animal categories'!$C$117:$AC$126,27,FALSE)*AJ316+Y316+Z316+AA316,IF(AS316=4,('Calc (ex-animal)'!$Q$64+'Calc (ex-animal)'!$R$64)*'Calc (ex-housing, ex-storage)'!F316/100*VLOOKUP(D316,'DB technologies'!$N$154:$Y$166,12,FALSE)/100/VLOOKUP($C$313,'DB animal categories'!$C$117:$AC$126,27,FALSE)*AJ316+Y316+Z316+AA316,0))))))</f>
        <v/>
      </c>
      <c r="BA316" s="506"/>
      <c r="BB316" s="506"/>
      <c r="BC316" s="506"/>
    </row>
    <row r="317" spans="1:55" ht="12" thickBot="1" x14ac:dyDescent="0.25">
      <c r="A317" s="695"/>
      <c r="B317" s="695"/>
      <c r="C317" s="251"/>
      <c r="D317" s="1359"/>
      <c r="E317" s="1360"/>
      <c r="F317" s="481" t="str">
        <f>IF('Calc (ex-animal)'!$F$63=1,"",IF($C$313=0,"",IF(D317="","",E317/'Calc (ex-animal)'!$E$64*100)))</f>
        <v/>
      </c>
      <c r="G317" s="483" t="str">
        <f>IF($C$313=0,"",IF('Calc (ex-animal)'!$F$63=1,"",IF(D317="","",SUM(H317:O317))))</f>
        <v/>
      </c>
      <c r="H317" s="445" t="str">
        <f>IF('Calc (ex-animal)'!$F$63=1,"",IF(D317="","",(((VLOOKUP($C$313,'Calc (ex-animal)'!$D$63:$Y$67,6,FALSE)-VLOOKUP($C$313,'Calc (ex-animal)'!$D$63:$Y$67,17,FALSE))*F317/100))*VLOOKUP($C$313,'Calc (ex-animal)'!$D$63:$Y$67,7,FALSE)/100*(1-VLOOKUP(D317,'DB technologies'!$N$154:$Y$166,9,FALSE)/100)))</f>
        <v/>
      </c>
      <c r="I317" s="445" t="str">
        <f>IF(D317="","",((VLOOKUP(D317,'DB technologies'!$N$154:$Y$166,2,FALSE)*VLOOKUP($C$313,'DB animal categories'!$C$117:$AC$126,27,FALSE)*E317/1000)/VLOOKUP($C$313,'DB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'!$S$6/100*(1-VLOOKUP(D317,'DB technologies'!$N$154:$Y$166,9,FALSE)/100)))</f>
        <v/>
      </c>
      <c r="J317" s="446" t="str">
        <f>IF(D317="","",((VLOOKUP(D317,'DB technologies'!$N$154:$Y$166,3,FALSE)*VLOOKUP($C$313,'DB animal categories'!$C$117:$AC$126,27,FALSE)*E317/1000)/VLOOKUP($C$313,'DB animal categories'!$C$117:$AC$126,27,FALSE)*(VLOOKUP($C$313,'DB animal categories'!$C$117:$AC$126,27,FALSE)-(VLOOKUP($C$313,'DB animal categories'!$C$117:$AC$126,25,FALSE)*VLOOKUP($C$313,'DB animal categories'!$C$117:$AC$126,26,FALSE)/24))*'DB additional information '!$S$7/100*(1-VLOOKUP(D317,'DB technologies'!$N$154:$Y$166,9,FALSE)/100)))</f>
        <v/>
      </c>
      <c r="K317" s="446" t="str">
        <f>IF(D317="","",((VLOOKUP(D317,'DB technologies'!$N$154:$Y$166,4,FALSE)*E317*'DB additional information '!$S$8/100*(1-VLOOKUP(D317,'DB technologies'!$N$154:$Y$166,9,FALSE)/100))/VLOOKUP($C$313,'DB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L317" s="445" t="str">
        <f>IF('Calc (ex-animal)'!$F$63=1,"",IF(D317="","",(((VLOOKUP($C$313,'Calc (ex-animal)'!$D$63:$Y$67,6,FALSE)-VLOOKUP($C$313,'Calc (ex-animal)'!$D$63:$Y$67,17,FALSE))*F317/100))*(1-VLOOKUP($C$313,'Calc (ex-animal)'!$D$63:$Y$67,7,FALSE)/100)*(1-VLOOKUP(D317,'DB technologies'!$N$154:$V$166,8,FALSE)/100)))</f>
        <v/>
      </c>
      <c r="M317" s="446" t="str">
        <f>IF(D317="","",((VLOOKUP(D317,'DB technologies'!$N$154:$Y$166,2,FALSE)*VLOOKUP($C$313,'DB animal categories'!$C$117:$AC$126,27,FALSE)*E317/1000)/VLOOKUP($C$313,'DB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'!$S$6/100)*(1-VLOOKUP(D317,'DB technologies'!$N$154:$Y$166,9,FALSE)/100))</f>
        <v/>
      </c>
      <c r="N317" s="446" t="str">
        <f>IF(D317="","",((VLOOKUP(D317,'DB technologies'!$N$154:$Y$166,3,FALSE)*VLOOKUP($C$313,'DB animal categories'!$C$117:$AC$126,27,FALSE)*E317/1000)/VLOOKUP($C$313,'DB animal categories'!$C$117:$AC$126,27,FALSE)*(VLOOKUP($C$313,'DB animal categories'!$C$117:$AC$126,27,FALSE)-VLOOKUP($C$313,'DB animal categories'!$C$117:$AC$126,25,FALSE)*VLOOKUP($C$313,'DB animal categories'!$C$117:$AC$126,26,FALSE)/24))*(1-'DB additional information '!$S$7/100)*(1-VLOOKUP(D317,'DB technologies'!$N$154:$Y$166,9,FALSE)/100))</f>
        <v/>
      </c>
      <c r="O317" s="445" t="str">
        <f>IF(D317="","",((VLOOKUP(D317,'DB technologies'!$N$154:$Y$166,4,FALSE)*E317*(1-'DB additional information '!$S$8/100)*(1-VLOOKUP(D317,'DB technologies'!$N$154:$Y$166,8,FALSE)/100))/VLOOKUP($C$313,'DB animal categories'!$C$117:$AC$126,27,FALSE)*(VLOOKUP($C$313,'DB animal categories'!$C$117:$AC$126,27,FALSE)-VLOOKUP($C$313,'DB animal categories'!$C$117:$AC$126,25,FALSE)*VLOOKUP($C$313,'DB animal categories'!$C$117:$AC$126,26,FALSE)/24)))</f>
        <v/>
      </c>
      <c r="P317" s="444" t="str">
        <f>IF(G317=0,0,IF(E317="","",IF(F317="","",IF($C$313=0,"",IF(D317="","",SUM(H317:K317)/G317*100)))))</f>
        <v/>
      </c>
      <c r="Q317" s="476" t="str">
        <f>IF(D317="","",(VLOOKUP(D317,'DB technologies'!$N$154:$Y$166,2,FALSE)*'DB additional information '!$S$6/100*'DB additional information '!$T$6*VLOOKUP($C$313,'DB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R317" s="476" t="str">
        <f>IF(D317="","",(VLOOKUP(D317,'DB technologies'!$N$154:$Y$166,3,FALSE)*'DB additional information '!$S$7/100*'DB additional information '!$T$7*VLOOKUP($C$313,'DB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S317" s="494" t="str">
        <f>IF(D317="","",(VLOOKUP(D317,'DB technologies'!$N$154:$Y$166,4,FALSE)*('DB additional information '!$S$8/100*'DB additional information '!$T$8*E317/1000/1000)))</f>
        <v/>
      </c>
      <c r="T317" s="266" t="str">
        <f>IF($C$313=0,"",IF('Calc (ex-animal)'!$F$63=1,"",IF(D317="","",((VLOOKUP($C$313,'Calc (ex-animal)'!$D$63:$Y$67,10,FALSE)-VLOOKUP($C$313,'Calc (ex-animal)'!$D$63:$Y$67,18,FALSE))*F317/100+Q317+R317+S317)-AC317-AD317-AE317)))</f>
        <v/>
      </c>
      <c r="U317" s="477" t="str">
        <f>IF(D317="","",(VLOOKUP(D317,'DB technologies'!$N$154:$Y$166,2,FALSE)*'DB additional information '!$S$6/100*'DB additional information '!$U$6*VLOOKUP($C$313,'DB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V317" s="433" t="str">
        <f>IF(D317="","",(VLOOKUP(D317,'DB technologies'!$N$154:$Y$166,3,FALSE)*'DB additional information '!$S$7/100*'DB additional information '!$U$7*VLOOKUP($C$313,'DB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W317" s="475" t="str">
        <f>IF(D317="","",(VLOOKUP(D317,'DB technologies'!$N$154:$Y$166,4,FALSE)*('DB additional information '!$S$8/100*'DB additional information '!$U$8*E317/1000/1000)))</f>
        <v/>
      </c>
      <c r="X317" s="267" t="str">
        <f>IF($C$313=0,"",IF('Calc (ex-animal)'!$F$63=1,"",IF(D317="","",((VLOOKUP($C$313,'Calc (ex-animal)'!$D$63:$Y$67,13,FALSE)-VLOOKUP($C$313,'Calc (ex-animal)'!$D$63:$Y$67,19,FALSE))*F317/100+U317+V317+W317))))</f>
        <v/>
      </c>
      <c r="Y317" s="433" t="str">
        <f>IF(D317="","",(VLOOKUP(D317,'DB technologies'!$N$154:$Y$166,2,FALSE)*'DB additional information '!$S$6/100*'DB additional information '!$V$6*VLOOKUP($C$313,'DB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Z317" s="433" t="str">
        <f>IF(D317="","",(VLOOKUP(D317,'DB technologies'!$N$154:$Y$166,3,FALSE)*'DB additional information '!$S$7/100*'DB additional information '!$V$7*VLOOKUP($C$313,'DB animal categories'!$C$117:$AC$126,27,FALSE)*E317/1000/1000)/VLOOKUP($C$313,'DB animal categories'!$C$117:$AC$126,27,FALSE)*(VLOOKUP($C$313,'DB animal categories'!$C$117:$AC$126,27,FALSE)-VLOOKUP($C$313,'DB animal categories'!$C$117:$AC$126,25,FALSE)*VLOOKUP($C$313,'DB animal categories'!$C$117:$AC$126,26,FALSE)/24))</f>
        <v/>
      </c>
      <c r="AA317" s="433" t="str">
        <f>IF(D317="","",(VLOOKUP(D317,'DB technologies'!$N$154:$Y$166,4,FALSE)*('DB additional information '!$S$8/100*'DB additional information '!$V$8*E317/1000/1000)))</f>
        <v/>
      </c>
      <c r="AB317" s="267" t="str">
        <f>IF($C$313=0,"",IF('Calc (ex-animal)'!$F$63=1,"",IF(D317="","",((VLOOKUP($C$313,'Calc (ex-animal)'!$D$63:$Y$67,16,FALSE)-VLOOKUP($C$313,'Calc (ex-animal)'!$D$63:$Y$67,20,FALSE))*F317/100+Y317+Z317+AA317))))</f>
        <v/>
      </c>
      <c r="AC317" s="267" t="str">
        <f>IF($C$313=0,"",IF('Calc (ex-animal)'!$F$63=1,"",IF(D317="","",VLOOKUP($C$313,'Calc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categories'!$C$117:$AC$126,26,FALSE)/24)*F317/100*VLOOKUP(D317,'DB technologies'!$N$154:$R$166,5,FALSE)/100)))</f>
        <v/>
      </c>
      <c r="AD317" s="267" t="str">
        <f>IF($C$313=0,"",IF('Calc (ex-animal)'!$F$63=1,"",IF(D317="","",VLOOKUP($C$313,'Calc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categories'!$C$117:$AC$126,26,FALSE)/24)*F317/100*VLOOKUP(D317,'DB technologies'!$N$154:$Y$166,6,FALSE)/100)))</f>
        <v/>
      </c>
      <c r="AE317" s="268" t="str">
        <f>IF($C$313=0,"",IF('Calc (ex-animal)'!$F$63=1,"",IF(D317="","",VLOOKUP($C$313,'Calc (ex-animal)'!$D$63:$Y$67,10,FALSE)/VLOOKUP($C$313,'DB animal categories'!$C$117:$AC$126,27,FALSE)*(VLOOKUP($C$313,'DB animal categories'!$C$117:$AC$126,27,FALSE)-VLOOKUP($C$313,'DB animal categories'!$C$117:$AC$126,25,FALSE)*VLOOKUP($C$313,'DB animal categories'!$C$117:$AC$126,26,FALSE)/24)*F317/100*VLOOKUP(D317,'DB technologies'!$N$154:$Y$166,7,FALSE)/100)))</f>
        <v/>
      </c>
      <c r="AI317" s="183" t="str">
        <f>IF(D317="","",VLOOKUP(D317,'DB technologies'!$N$154:$Y$166,10,FALSE))</f>
        <v/>
      </c>
      <c r="AJ317" s="451" t="e">
        <f>VLOOKUP($C$313,'DB animal categories'!$C$117:$AN$126,27,FALSE)-VLOOKUP($C$313,'DB animal categories'!$C$117:$AN$126,26,FALSE)*VLOOKUP($C$313,'DB animal categories'!$C$117:$AN$126,25,FALSE)/24</f>
        <v>#N/A</v>
      </c>
      <c r="AK317" s="452" t="str">
        <f>IF(AI317="","",AL317+AM317)</f>
        <v/>
      </c>
      <c r="AL317" s="452" t="str">
        <f>IF(D317="","",IF(AI317=2,(('Calc (ex-animal)'!$G$64*'DB additional information '!$K$13/100*(1-VLOOKUP(D317,'DB technologies'!$N$154:$Y$166,9,FALSE)/100)*'Calc (ex-housing, ex-storage)'!F317/100+'Calc (ex-animal)'!$H$64*'DB additional information '!$L$13/100*(1-VLOOKUP(D317,'DB technologies'!$N$154:$Y$166,9,FALSE)/100)*'Calc (ex-housing, ex-storage)'!F317/100))/VLOOKUP($C$313,'DB animal categories'!$C$117:$AC$126,27,FALSE)*AJ317+I317+J317+K317,IF(AI317=1,('Calc (ex-animal)'!$H$64*'DB additional information '!$L$13/100*(1-VLOOKUP(D317,'DB technologies'!$N$154:$Y$166,9,FALSE)/100)*'Calc (ex-housing, ex-storage)'!F317/100)/VLOOKUP($C$313,'DB animal categories'!$C$117:$AC$126,27,FALSE)*AJ317,IF(AI317=4,('Calc (ex-animal)'!$G$64*'DB additional information '!$K$13/100+'Calc (ex-animal)'!$H$64*'DB additional information '!$L$13/100)*(1-VLOOKUP(D317,'DB technologies'!$N$154:$Y$166,9,FALSE)/100)*'Calc (ex-housing, ex-storage)'!F317/100*VLOOKUP(D317,'DB technologies'!$N$154:$Y$166,11,FALSE)/100/VLOOKUP($C$313,'DB animal categories'!$C$117:$AC$126,27,FALSE)*AJ317,0))))</f>
        <v/>
      </c>
      <c r="AM317" s="452" t="str">
        <f>IF(D317="","",IF(AI317=2,(('Calc (ex-animal)'!$G$64*(1-'DB additional information '!$K$13/100)*(1-VLOOKUP(D317,'DB technologies'!$N$154:$Y$166,8,FALSE)/100)*'Calc (ex-housing, ex-storage)'!F317/100+'Calc (ex-animal)'!$H$64*(1-'DB additional information '!$L$13/100)*(1-VLOOKUP(D317,'DB technologies'!$N$154:$Y$166,8,FALSE)/100)*'Calc (ex-housing, ex-storage)'!F317/100))/VLOOKUP($C$313,'DB animal categories'!$C$117:$AC$126,27,FALSE)*AJ317+M317+N317+O317,IF(AI317=1,('Calc (ex-animal)'!$H$64*(1-'DB additional information '!$L$13/100)*(1-VLOOKUP(D317,'DB technologies'!$N$154:$Y$166,8,FALSE)/100)*'Calc (ex-housing, ex-storage)'!F317/100)/VLOOKUP($C$313,'DB animal categories'!$C$117:$AC$126,27,FALSE)*AJ317,IF(AI317=4,('Calc (ex-animal)'!$G$64*(1-'DB additional information '!$K$13/100)+'Calc (ex-animal)'!$H$64*(1-'DB additional information '!$L$13/100))*(1-VLOOKUP(D317,'DB technologies'!$N$154:$Y$166,8,FALSE)/100)*'Calc (ex-housing, ex-storage)'!F317/100*VLOOKUP(D317,'DB technologies'!$N$154:$Y$166,11,FALSE)/100/VLOOKUP($C$313,'DB animal categories'!$C$117:$AC$126,27,FALSE)*AJ317,0))))</f>
        <v/>
      </c>
      <c r="AN317" s="452" t="str">
        <f>IF(AI317="","",IF(AL317=0,0,AL317/AK317*100))</f>
        <v/>
      </c>
      <c r="AO317" s="184" t="str">
        <f>IF(D317="","",IF(AI317=2,(('Calc (ex-animal)'!$L$64*'Calc (ex-housing, ex-storage)'!F317/100+'Calc (ex-animal)'!$K$64*'Calc (ex-housing, ex-storage)'!F317/100))/VLOOKUP($C$313,'DB animal categories'!$C$117:$AC$126,27,FALSE)*AJ317+Q317+R317+S317-AC317,IF(AI317=1,('Calc (ex-animal)'!$L$64*'Calc (ex-housing, ex-storage)'!F317/100)/VLOOKUP($C$313,'DB animal categories'!$C$117:$AC$126,27,FALSE)*AJ317-'Calc (ex-housing, ex-storage)'!AC317,IF(AI317=4,('Calc (ex-animal)'!$L$64+'Calc (ex-animal)'!$K$64)*'Calc (ex-housing, ex-storage)'!F317/100*VLOOKUP(D317,'DB technologies'!$N$154:$Y$166,11,FALSE)/100/VLOOKUP($C$313,'DB animal categories'!$C$117:$AC$126,27,FALSE)*AJ317-AC317*VLOOKUP(D317,'DB technologies'!$N$154:$Y$166,11,FALSE)/100,0))))</f>
        <v/>
      </c>
      <c r="AP317" s="184" t="str">
        <f>IF(D317="","",IF(AO317&lt;-0.01,0,IF(AI317=2,(('Calc (ex-animal)'!$L$64*'Calc (ex-housing, ex-storage)'!F317/100+'Calc (ex-animal)'!$K$64*'Calc (ex-housing, ex-storage)'!F317/100))/VLOOKUP($C$313,'DB animal categories'!$C$117:$AC$126,27,FALSE)*AJ317+Q317+R317+S317-AC317,IF(AI317=1,('Calc (ex-animal)'!$L$64*'Calc (ex-housing, ex-storage)'!F317/100)/VLOOKUP($C$313,'DB animal categories'!$C$117:$AC$126,27,FALSE)*AJ317-'Calc (ex-housing, ex-storage)'!AC317,IF(AI317=4,('Calc (ex-animal)'!$L$64+'Calc (ex-animal)'!$K$64)*'Calc (ex-housing, ex-storage)'!F317/100*VLOOKUP(D317,'DB technologies'!$N$154:$Y$166,11,FALSE)/100/VLOOKUP($C$313,'DB animal categories'!$C$117:$AC$126,27,FALSE)*AJ317-AC317*VLOOKUP(D317,'DB technologies'!$N$154:$Y$166,11,FALSE)/100,0)))))</f>
        <v/>
      </c>
      <c r="AQ317" s="184" t="str">
        <f>IF(D317="","",IF(AI317=2,('Calc (ex-animal)'!$O$64*'Calc (ex-housing, ex-storage)'!F317/100+'Calc (ex-animal)'!$N$64*'Calc (ex-housing, ex-storage)'!F317/100)/VLOOKUP($C$313,'DB animal categories'!$C$117:$AC$126,27,FALSE)*AJ317+U317+V317+W317,IF(AI317=1,'Calc (ex-animal)'!$O$64*'Calc (ex-housing, ex-storage)'!F317/100/VLOOKUP($C$313,'DB animal categories'!$C$117:$AC$126,27,FALSE)*AJ317,IF(AI317=4,('Calc (ex-animal)'!$O$64+'Calc (ex-animal)'!$N$64)*'Calc (ex-housing, ex-storage)'!F317/100*VLOOKUP(D317,'DB technologies'!$N$154:$Y$166,11,FALSE)/100/VLOOKUP($C$313,'DB animal categories'!$C$117:$AC$126,27,FALSE)*AJ317,0))))</f>
        <v/>
      </c>
      <c r="AR317" s="184" t="str">
        <f>IF(D317="","",IF(AI317=2,('Calc (ex-animal)'!$R$64*'Calc (ex-housing, ex-storage)'!F317/100+'Calc (ex-animal)'!$Q$64*'Calc (ex-housing, ex-storage)'!F317/100)/VLOOKUP($C$313,'DB animal categories'!$C$117:$AC$126,27,FALSE)*AJ317+Y317+Z317+AA317,IF(AI317=1,'Calc (ex-animal)'!$R$64*'Calc (ex-housing, ex-storage)'!F317/100/VLOOKUP($C$313,'DB animal categories'!$C$117:$AC$126,27,FALSE)*AJ317,IF(AI317=4,('Calc (ex-animal)'!$R$64+'Calc (ex-animal)'!$Q$64)*'Calc (ex-housing, ex-storage)'!F317/100*VLOOKUP(D317,'DB technologies'!$N$154:$Y$166,11,FALSE)/100/VLOOKUP($C$313,'DB animal categories'!$C$117:$AC$126,27,FALSE)*AJ317,0))))</f>
        <v/>
      </c>
      <c r="AS317" s="183" t="str">
        <f>IF(D317="","",VLOOKUP(D317,'DB technologies'!$N$154:$Y$166,10,FALSE))</f>
        <v/>
      </c>
      <c r="AT317" s="452" t="str">
        <f>IF(AS317="","",AU317+AV317)</f>
        <v/>
      </c>
      <c r="AU317" s="452" t="str">
        <f>IF(D317="","",IF(AS317=2,0,IF(AS317=1,'Calc (ex-animal)'!$G$64*'DB additional information '!$K$13/100*(1-VLOOKUP(D317,'DB technologies'!$N$154:$Y$166,8,FALSE)/100)*'Calc (ex-housing, ex-storage)'!F317/100/VLOOKUP($C$313,'DB animal categories'!$C$117:$AC$126,27,FALSE)*AJ317+I317+J317+K317,IF(AS317=5,(('Calc (ex-animal)'!$G$64*'DB additional information '!$K$13/100+'Calc (ex-animal)'!$H$64*'DB additional information '!$L$13/100))*(1-VLOOKUP(D317,'DB technologies'!$N$154:$Y$166,9,FALSE)/100)*'Calc (ex-housing, ex-storage)'!F317/100/VLOOKUP($C$313,'DB animal categories'!$C$117:$AC$126,27,FALSE)*AJ317+I317+J317+K317,IF(AS317=3,('Calc (ex-animal)'!$G$64*'DB additional information '!$K$13/100+'Calc (ex-animal)'!$H$64*'DB additional information '!$L$13/100)*(1-VLOOKUP(D317,'DB technologies'!$N$154:$Y$166,9,FALSE)/100)*'Calc (ex-housing, ex-storage)'!F317/100/VLOOKUP($C$313,'DB animal categories'!$C$117:$AC$126,27,FALSE)*AJ317+I317+J317+K317,IF(AS317=4,('Calc (ex-animal)'!$G$64*'DB additional information '!$K$13/100+'Calc (ex-animal)'!$H$64*'DB additional information '!$L$13/100)*(1-VLOOKUP(D317,'DB technologies'!$N$154:$Y$166,9,FALSE)/100)*'Calc (ex-housing, ex-storage)'!F317/100*VLOOKUP(D317,'DB technologies'!$N$154:$Y$166,12,FALSE)/100/VLOOKUP($C$313,'DB animal categories'!$C$117:$AC$126,27,FALSE)*AJ317+I317+J317+K317,0))))))</f>
        <v/>
      </c>
      <c r="AV317" s="452" t="str">
        <f>IF(D317="","",IF(AS317=2,0,IF(AS317=1,'Calc (ex-animal)'!$G$64*(1-'DB additional information '!$K$13/100)*(1-VLOOKUP(D317,'DB technologies'!$N$154:$Y$166,8,FALSE)/100)*'Calc (ex-housing, ex-storage)'!F317/100/VLOOKUP($C$313,'DB animal categories'!$C$117:$AC$126,27,FALSE)*AJ317+M317+N317+O317,IF(AS317=5,('Calc (ex-animal)'!$G$64*(1-'DB additional information '!$K$13/100)+'Calc (ex-animal)'!$H$64*(1-'DB additional information '!$L$13/100))*(1-VLOOKUP(D317,'DB technologies'!$N$154:$Y$166,8,FALSE)/100)*'Calc (ex-housing, ex-storage)'!F317/100/VLOOKUP($C$313,'DB animal categories'!$C$117:$AC$126,27,FALSE)*AJ317+M317+N317+O317,IF(AS317=3,('Calc (ex-animal)'!$G$64*(1-'DB additional information '!$K$13/100)+'Calc (ex-animal)'!$H$64*(1-'DB additional information '!$L$13/100))*(1-VLOOKUP(D317,'DB technologies'!$N$154:$Y$166,8,FALSE)/100)*'Calc (ex-housing, ex-storage)'!F317/100/VLOOKUP($C$313,'DB animal categories'!$C$117:$AC$126,27,FALSE)*AJ317+M317+N317+O317,IF(AS317=4,('Calc (ex-animal)'!$G$64*(1-'DB additional information '!$K$13/100)+'Calc (ex-animal)'!$H$64*(1-'DB additional information '!$L$13/100))*(1-VLOOKUP(D317,'DB technologies'!$N$154:$Y$166,8,FALSE)/100)*'Calc (ex-housing, ex-storage)'!F317/100*VLOOKUP(D317,'DB technologies'!$N$154:$Y$166,12,FALSE)/100/VLOOKUP($C$313,'DB animal categories'!$C$117:$AC$126,27,FALSE)*AJ317+M317+N317+O317,0))))))</f>
        <v/>
      </c>
      <c r="AW317" s="452" t="str">
        <f>IF(AS317="","",IF(AU317=0,0,AU317/AT317*100))</f>
        <v/>
      </c>
      <c r="AX317" s="184" t="str">
        <f>IF(D317="","",IF(AS317=2,0,IF(AS317=1,'Calc (ex-animal)'!$K$64*'Calc (ex-housing, ex-storage)'!F317/100/VLOOKUP($C$313,'DB animal categories'!$C$117:$AC$126,27,FALSE)*AJ317+Q317+R317+S317,IF(AS317=5,('Calc (ex-animal)'!$K$64+'Calc (ex-animal)'!$L$64)*'Calc (ex-housing, ex-storage)'!F317/100/VLOOKUP($C$313,'DB animal categories'!$C$117:$AC$126,27,FALSE)*AJ317+Q317+R317+S317-'Calc (ex-housing, ex-storage)'!AC317,IF(AS317=3,('Calc (ex-animal)'!$K$64+'Calc (ex-animal)'!$L$64)*'Calc (ex-housing, ex-storage)'!F317/100/VLOOKUP($C$313,'DB animal categories'!$C$117:$AC$126,27,FALSE)*AJ317+Q317+R317+S317-'Calc (ex-housing, ex-storage)'!AC317-AD317-AE317,IF(AI317=4,('Calc (ex-animal)'!$K$64+'Calc (ex-animal)'!$L$64)*'Calc (ex-housing, ex-storage)'!F317/100*VLOOKUP(D317,'DB technologies'!$N$154:$Y$166,12,FALSE)/100/VLOOKUP($C$313,'DB animal categories'!$C$117:$AC$126,27,FALSE)*AJ317+Q317+R317+S317-(VLOOKUP(D317,'DB technologies'!$N$154:$Y$166,12,FALSE)/100*AC317)-AD317-AE317,0))))))</f>
        <v/>
      </c>
      <c r="AY317" s="184" t="str">
        <f>IF(D317="","",IF(AS317=2,0,IF(AS317=1,'Calc (ex-animal)'!$N$64*'Calc (ex-housing, ex-storage)'!F317/100/VLOOKUP($C$313,'DB animal categories'!$C$117:$AC$126,27,FALSE)*AJ317+U317+V317+W317,IF(AS317=5,('Calc (ex-animal)'!$N$64+'Calc (ex-animal)'!$O$64)*'Calc (ex-housing, ex-storage)'!F317/100/VLOOKUP($C$313,'DB animal categories'!$C$117:$AC$126,27,FALSE)*AJ317+U317+V317+W317,IF(AS317=3,('Calc (ex-animal)'!$N$64+'Calc (ex-animal)'!$O$64)*'Calc (ex-housing, ex-storage)'!F317/100/VLOOKUP($C$313,'DB animal categories'!$C$117:$AC$126,27,FALSE)*AJ317+U317+V317+W317,IF(AS317=4,('Calc (ex-animal)'!$N$64+'Calc (ex-animal)'!$O$64)*'Calc (ex-housing, ex-storage)'!F317/100*VLOOKUP(D317,'DB technologies'!$N$154:$Y$166,12,FALSE)/100/VLOOKUP($C$313,'DB animal categories'!$C$117:$AC$126,27,FALSE)*AJ317+U317+V317+W317,0))))))</f>
        <v/>
      </c>
      <c r="AZ317" s="184" t="str">
        <f>IF(D317="","",IF(AS317=2,0,IF(AS317=1,'Calc (ex-animal)'!$Q$64*'Calc (ex-housing, ex-storage)'!F317/100/VLOOKUP($C$313,'DB animal categories'!$C$117:$AC$126,27,FALSE)*AJ317+Y317+Z317+AA317,IF(AS317=5,('Calc (ex-animal)'!$Q$64+'Calc (ex-animal)'!$R$64)*'Calc (ex-housing, ex-storage)'!F317/100/VLOOKUP($C$313,'DB animal categories'!$C$117:$AC$126,27,FALSE)*AJ317+Y317+Z317+AA317,IF(AS317=3,('Calc (ex-animal)'!$Q$64+'Calc (ex-animal)'!$R$64)*'Calc (ex-housing, ex-storage)'!F317/100/VLOOKUP($C$313,'DB animal categories'!$C$117:$AC$126,27,FALSE)*AJ317+Y317+Z317+AA317,IF(AS317=4,('Calc (ex-animal)'!$Q$64+'Calc (ex-animal)'!$R$64)*'Calc (ex-housing, ex-storage)'!F317/100*VLOOKUP(D317,'DB technologies'!$N$154:$Y$166,12,FALSE)/100/VLOOKUP($C$313,'DB animal categories'!$C$117:$AC$126,27,FALSE)*AJ317+Y317+Z317+AA317,0))))))</f>
        <v/>
      </c>
      <c r="BA317" s="506"/>
      <c r="BB317" s="506"/>
      <c r="BC317" s="506"/>
    </row>
    <row r="318" spans="1:55" ht="12" thickBot="1" x14ac:dyDescent="0.25">
      <c r="A318" s="695"/>
      <c r="B318" s="695"/>
      <c r="C318" s="252"/>
      <c r="D318" s="269" t="s">
        <v>58</v>
      </c>
      <c r="E318" s="270">
        <f>IF(F318&lt;=100,SUM(E313:E317),"ERROR")</f>
        <v>0</v>
      </c>
      <c r="F318" s="284">
        <f>IF(SUM(F313:F317) &lt;=100,SUM(F313:F317),"ERROR, SUM&gt;100%")</f>
        <v>0</v>
      </c>
      <c r="G318" s="550">
        <f>IF('Calc (ex-animal)'!$F$63=1,"",SUM(G313:G317))</f>
        <v>0</v>
      </c>
      <c r="H318" s="418">
        <f>IF('Calc (ex-animal)'!$F$8=1,"",SUM(H313:H317))</f>
        <v>0</v>
      </c>
      <c r="I318" s="418">
        <f>IF('Calc (ex-animal)'!$F$8=1,"",SUM(I313:I317))</f>
        <v>0</v>
      </c>
      <c r="J318" s="418">
        <f>IF('Calc (ex-animal)'!$F$8=1,"",SUM(J313:J317))</f>
        <v>0</v>
      </c>
      <c r="K318" s="418">
        <f>IF('Calc (ex-animal)'!$F$8=1,"",SUM(K313:K317))</f>
        <v>0</v>
      </c>
      <c r="L318" s="418">
        <f>IF('Calc (ex-animal)'!$F$8=1,"",SUM(L313:L317))</f>
        <v>0</v>
      </c>
      <c r="M318" s="551"/>
      <c r="N318" s="551"/>
      <c r="O318" s="551"/>
      <c r="P318" s="552">
        <f>IF(G318=0,0,IF('Calc (ex-animal)'!$F$63=1,"",IF(D318="","",SUM(H318:K318)/G318*100)))</f>
        <v>0</v>
      </c>
      <c r="Q318" s="394"/>
      <c r="R318" s="394"/>
      <c r="S318" s="394"/>
      <c r="T318" s="285">
        <f>IF('Calc (ex-animal)'!$F$64=1,"",SUM(T313:T317))</f>
        <v>0</v>
      </c>
      <c r="U318" s="286"/>
      <c r="V318" s="286"/>
      <c r="W318" s="286"/>
      <c r="X318" s="286">
        <f>IF('Calc (ex-animal)'!$F$64=1,"",SUM(X313:X317))</f>
        <v>0</v>
      </c>
      <c r="Y318" s="286"/>
      <c r="Z318" s="286"/>
      <c r="AA318" s="286"/>
      <c r="AB318" s="286">
        <f>IF('Calc (ex-animal)'!$F$64=1,"",SUM(AB313:AB317))</f>
        <v>0</v>
      </c>
      <c r="AC318" s="286">
        <f>IF('Calc (ex-animal)'!$F$64=1,"",SUM(AC313:AC317))</f>
        <v>0</v>
      </c>
      <c r="AD318" s="286">
        <f>IF('Calc (ex-animal)'!$F$64=1,"",SUM(AD313:AD317))</f>
        <v>0</v>
      </c>
      <c r="AE318" s="287">
        <f>IF('Calc (ex-animal)'!$F$64=1,"",SUM(AE313:AE317))</f>
        <v>0</v>
      </c>
    </row>
    <row r="319" spans="1:55" x14ac:dyDescent="0.2">
      <c r="A319" s="695"/>
      <c r="B319" s="695"/>
      <c r="C319" s="250">
        <f>'Calc (ex-animal)'!D65</f>
        <v>0</v>
      </c>
      <c r="D319" s="1355"/>
      <c r="E319" s="1356"/>
      <c r="F319" s="479" t="str">
        <f>IF('Calc (ex-animal)'!$F$63=1,"",IF($C$319=0,"",IF(D319="","",E319/'Calc (ex-animal)'!$E$65*100)))</f>
        <v/>
      </c>
      <c r="G319" s="484" t="str">
        <f>IF($C$319=0,"",IF('Calc (ex-animal)'!$F$63=1,"",IF(D319="","",SUM(H319:O319))))</f>
        <v/>
      </c>
      <c r="H319" s="471" t="str">
        <f>IF('Calc (ex-animal)'!$F$63=1,"",IF(D319="","",(((VLOOKUP($C$319,'Calc (ex-animal)'!$D$63:$Y$67,6,FALSE)-VLOOKUP($C$319,'Calc (ex-animal)'!$D$63:$Y$67,17,FALSE))*F319/100))*VLOOKUP($C$319,'Calc (ex-animal)'!$D$63:$Y$67,7,FALSE)/100*(1-VLOOKUP(D319,'DB technologies'!$N$154:$Y$166,9,FALSE)/100)))</f>
        <v/>
      </c>
      <c r="I319" s="471" t="str">
        <f>IF(D319="","",((VLOOKUP(D319,'DB technologies'!$N$154:$Y$166,2,FALSE)*VLOOKUP($C$319,'DB animal categories'!$C$117:$AC$126,27,FALSE)*E319/1000)/VLOOKUP($C$319,'DB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'!$S$6/100*(1-VLOOKUP(D319,'DB technologies'!$N$154:$Y$166,9,FALSE)/100)))</f>
        <v/>
      </c>
      <c r="J319" s="472" t="str">
        <f>IF(D319="","",((VLOOKUP(D319,'DB technologies'!$N$154:$Y$166,3,FALSE)*VLOOKUP($C$319,'DB animal categories'!$C$117:$AC$126,27,FALSE)*E319/1000)/VLOOKUP($C$319,'DB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'!$S$7/100*(1-VLOOKUP(D319,'DB technologies'!$N$154:$Y$166,9,FALSE)/100)))</f>
        <v/>
      </c>
      <c r="K319" s="472" t="str">
        <f>IF(D319="","",((VLOOKUP(D319,'DB technologies'!$N$154:$Y$166,4,FALSE)*E319*'DB additional information '!$S$8/100*(1-VLOOKUP(D319,'DB technologies'!$N$154:$Y$166,9,FALSE)/100))/VLOOKUP($C$319,'DB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L319" s="471" t="str">
        <f>IF('Calc (ex-animal)'!$F$63=1,"",IF(D319="","",(((VLOOKUP($C$319,'Calc (ex-animal)'!$D$63:$Y$67,6,FALSE)-VLOOKUP($C$319,'Calc (ex-animal)'!$D$63:$Y$67,17,FALSE))*F319/100))*(1-VLOOKUP($C$319,'Calc (ex-animal)'!$D$63:$Y$67,7,FALSE)/100)*(1-VLOOKUP(D319,'DB technologies'!$N$154:$V$166,8,FALSE)/100)))</f>
        <v/>
      </c>
      <c r="M319" s="472" t="str">
        <f>IF(D319="","",((VLOOKUP(D319,'DB technologies'!$N$154:$Y$166,2,FALSE)*VLOOKUP($C$319,'DB animal categories'!$C$117:$AC$126,27,FALSE)*E319/1000)/VLOOKUP($C$319,'DB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'!$S$6/100)*(1-VLOOKUP(D319,'DB technologies'!$N$154:$Y$166,9,FALSE)/100))</f>
        <v/>
      </c>
      <c r="N319" s="472" t="str">
        <f>IF(D319="","",((VLOOKUP(D319,'DB technologies'!$N$154:$Y$166,3,FALSE)*VLOOKUP($C$319,'DB animal categories'!$C$117:$AC$126,27,FALSE)*E319/1000)/VLOOKUP($C$319,'DB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'!$S$7/100)*(1-VLOOKUP(D319,'DB technologies'!$N$154:$Y$166,9,FALSE)/100))</f>
        <v/>
      </c>
      <c r="O319" s="471" t="str">
        <f>IF(D319="","",((VLOOKUP(D319,'DB technologies'!$N$154:$Y$166,4,FALSE)*E319*(1-'DB additional information '!$S$8/100)*(1-VLOOKUP(D319,'DB technologies'!$N$154:$Y$166,8,FALSE)/100))/VLOOKUP($C$319,'DB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P319" s="443" t="str">
        <f>IF(G319=0,0,IF(E319="","",IF(F319="","",IF($C$319=0,"",IF(D319="","",SUM(H319:K319)/G319*100)))))</f>
        <v/>
      </c>
      <c r="Q319" s="473" t="str">
        <f>IF(D319="","",(VLOOKUP(D319,'DB technologies'!$N$154:$Y$166,2,FALSE)*'DB additional information '!$S$6/100*'DB additional information '!$T$6*VLOOKUP($C$319,'DB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R319" s="473" t="str">
        <f>IF(D319="","",(VLOOKUP(D319,'DB technologies'!$N$154:$Y$166,3,FALSE)*'DB additional information '!$S$7/100*'DB additional information '!$T$7*VLOOKUP($C$319,'DB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S319" s="490" t="str">
        <f>IF(D319="","",(VLOOKUP(D319,'DB technologies'!$N$154:$Y$166,4,FALSE)*('DB additional information '!$S$8/100*'DB additional information '!$T$8*E319/1000/1000)))</f>
        <v/>
      </c>
      <c r="T319" s="263" t="str">
        <f>IF($C$319=0,"",IF('Calc (ex-animal)'!$F$63=1,"",IF(D319="","",((VLOOKUP($C$319,'Calc (ex-animal)'!$D$63:$Y$67,10,FALSE)-VLOOKUP($C$319,'Calc (ex-animal)'!$D$63:$Y$67,18,FALSE))*F319/100+Q319+R319+S319)-AC319-AD319-AE319)))</f>
        <v/>
      </c>
      <c r="U319" s="474" t="str">
        <f>IF(D319="","",(VLOOKUP(D319,'DB technologies'!$N$154:$Y$166,2,FALSE)*'DB additional information '!$S$6/100*'DB additional information '!$U$6*VLOOKUP($C$319,'DB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V319" s="420" t="str">
        <f>IF(D319="","",(VLOOKUP(D319,'DB technologies'!$N$154:$Y$166,3,FALSE)*'DB additional information '!$S$7/100*'DB additional information '!$U$7*VLOOKUP($C$319,'DB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W319" s="415" t="str">
        <f>IF(D319="","",(VLOOKUP(D319,'DB technologies'!$N$154:$Y$166,4,FALSE)*('DB additional information '!$S$8/100*'DB additional information '!$U$8*E319/1000/1000)))</f>
        <v/>
      </c>
      <c r="X319" s="259" t="str">
        <f>IF($C$319=0,"",IF('Calc (ex-animal)'!$F$63=1,"",IF(D319="","",((VLOOKUP($C$319,'Calc (ex-animal)'!$D$63:$Y$67,13,FALSE)-VLOOKUP($C$319,'Calc (ex-animal)'!$D$63:$Y$67,19,FALSE))*F319/100+U319+V319+W319))))</f>
        <v/>
      </c>
      <c r="Y319" s="420" t="str">
        <f>IF(D319="","",(VLOOKUP(D319,'DB technologies'!$N$154:$Y$166,2,FALSE)*'DB additional information '!$S$6/100*'DB additional information '!$V$6*VLOOKUP($C$319,'DB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Z319" s="420" t="str">
        <f>IF(D319="","",(VLOOKUP(D319,'DB technologies'!$N$154:$Y$166,3,FALSE)*'DB additional information '!$S$7/100*'DB additional information '!$V$7*VLOOKUP($C$319,'DB animal categories'!$C$117:$AC$126,27,FALSE)*E319/1000/1000)/VLOOKUP($C$319,'DB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AA319" s="420" t="str">
        <f>IF(D319="","",(VLOOKUP(D319,'DB technologies'!$N$154:$Y$166,4,FALSE)*('DB additional information '!$S$8/100*'DB additional information '!$V$8*E319/1000/1000)))</f>
        <v/>
      </c>
      <c r="AB319" s="259" t="str">
        <f>IF($C$319=0,"",IF('Calc (ex-animal)'!$F$63=1,"",IF(D319="","",((VLOOKUP($C$319,'Calc (ex-animal)'!$D$63:$Y$67,16,FALSE)-VLOOKUP($C$319,'Calc (ex-animal)'!$D$63:$Y$67,20,FALSE))*F319/100+Y319+Z319+AA319))))</f>
        <v/>
      </c>
      <c r="AC319" s="259" t="str">
        <f>IF($C$319=0,"",IF('Calc (ex-animal)'!$F$63=1,"",IF(D319="","",VLOOKUP($C$319,'Calc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categories'!$C$117:$AC$126,26,FALSE)/24)*F319/100*VLOOKUP(D319,'DB technologies'!$N$154:$R$166,5,FALSE)/100)))</f>
        <v/>
      </c>
      <c r="AD319" s="259" t="str">
        <f>IF($C$319=0,"",IF('Calc (ex-animal)'!$F$63=1,"",IF(D319="","",VLOOKUP($C$319,'Calc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categories'!$C$117:$AC$126,26,FALSE)/24)*F319/100*VLOOKUP(D319,'DB technologies'!$N$154:$Y$166,6,FALSE)/100)))</f>
        <v/>
      </c>
      <c r="AE319" s="260" t="str">
        <f>IF($C$319=0,"",IF('Calc (ex-animal)'!$F$63=1,"",IF(D319="","",VLOOKUP($C$319,'Calc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categories'!$C$117:$AC$126,26,FALSE)/24)*F319/100*VLOOKUP(D319,'DB technologies'!$N$154:$Y$166,7,FALSE)/100)))</f>
        <v/>
      </c>
      <c r="AI319" s="179" t="str">
        <f>IF(D319="","",VLOOKUP(D319,'DB technologies'!$N$154:$Y$166,10,FALSE))</f>
        <v/>
      </c>
      <c r="AJ319" s="482" t="e">
        <f>VLOOKUP($C$319,'DB animal categories'!$C$117:$AN$126,27,FALSE)-VLOOKUP($C$319,'DB animal categories'!$C$117:$AN$126,26,FALSE)*VLOOKUP($C$319,'DB animal categories'!$C$117:$AN$126,25,FALSE)/24</f>
        <v>#N/A</v>
      </c>
      <c r="AK319" s="453" t="str">
        <f>IF(AI319="","",AL319+AM319)</f>
        <v/>
      </c>
      <c r="AL319" s="453" t="str">
        <f>IF(D319="","",IF(AI319=2,(('Calc (ex-animal)'!$G$65*'DB additional information '!$K$13/100*(1-VLOOKUP(D319,'DB technologies'!$N$154:$Y$166,9,FALSE)/100)*'Calc (ex-housing, ex-storage)'!F319/100+'Calc (ex-animal)'!$H$65*'DB additional information '!$L$13/100*(1-VLOOKUP(D319,'DB technologies'!$N$154:$Y$166,9,FALSE)/100)*'Calc (ex-housing, ex-storage)'!F319/100))/VLOOKUP($C$319,'DB animal categories'!$C$117:$AC$126,27,FALSE)*AJ319+I319+J319+K319,IF(AI319=1,('Calc (ex-animal)'!$H$65*'DB additional information '!$L$13/100*(1-VLOOKUP(D319,'DB technologies'!$N$154:$Y$166,9,FALSE)/100)*'Calc (ex-housing, ex-storage)'!F319/100)/VLOOKUP($C$319,'DB animal categories'!$C$117:$AC$126,27,FALSE)*AJ319,IF(AI319=4,('Calc (ex-animal)'!$G$65*'DB additional information '!$K$13/100+'Calc (ex-animal)'!$H$65*'DB additional information '!$L$13/100)*(1-VLOOKUP(D319,'DB technologies'!$N$154:$Y$166,9,FALSE)/100)*'Calc (ex-housing, ex-storage)'!F319/100*VLOOKUP(D319,'DB technologies'!$N$154:$Y$166,11,FALSE)/100/VLOOKUP($C$319,'DB animal categories'!$C$117:$AC$126,27,FALSE)*AJ319,0))))</f>
        <v/>
      </c>
      <c r="AM319" s="453" t="str">
        <f>IF(D319="","",IF(AI319=2,(('Calc (ex-animal)'!$G$65*(1-'DB additional information '!$K$13/100)*(1-VLOOKUP(D319,'DB technologies'!$N$154:$Y$166,8,FALSE)/100)*'Calc (ex-housing, ex-storage)'!F319/100+'Calc (ex-animal)'!$H$65*(1-'DB additional information '!$L$13/100)*(1-VLOOKUP(D319,'DB technologies'!$N$154:$Y$166,8,FALSE)/100)*'Calc (ex-housing, ex-storage)'!F319/100))/VLOOKUP($C$319,'DB animal categories'!$C$117:$AC$126,27,FALSE)*AJ319+M319+N319+O319,IF(AI319=1,('Calc (ex-animal)'!$H$65*(1-'DB additional information '!$L$13/100)*(1-VLOOKUP(D319,'DB technologies'!$N$154:$Y$166,8,FALSE)/100)*'Calc (ex-housing, ex-storage)'!F319/100)/VLOOKUP($C$319,'DB animal categories'!$C$117:$AC$126,27,FALSE)*AJ319,IF(AI319=4,('Calc (ex-animal)'!$G$65*(1-'DB additional information '!$K$13/100)+'Calc (ex-animal)'!$H$65*(1-'DB additional information '!$L$13/100))*(1-VLOOKUP(D319,'DB technologies'!$N$154:$Y$166,8,FALSE)/100)*'Calc (ex-housing, ex-storage)'!F319/100*VLOOKUP(D319,'DB technologies'!$N$154:$Y$166,11,FALSE)/100/VLOOKUP($C$319,'DB animal categories'!$C$117:$AC$126,27,FALSE)*AJ319,0))))</f>
        <v/>
      </c>
      <c r="AN319" s="453" t="str">
        <f>IF(AI319="","",IF(AL319=0,0,AL319/AK319*100))</f>
        <v/>
      </c>
      <c r="AO319" s="180" t="str">
        <f>IF(D319="","",IF(AI319=2,(('Calc (ex-animal)'!$L$65*'Calc (ex-housing, ex-storage)'!F319/100+'Calc (ex-animal)'!$K$65*'Calc (ex-housing, ex-storage)'!F319/100))/VLOOKUP($C$319,'DB animal categories'!$C$117:$AC$126,27,FALSE)*AJ319+Q319+R319+S319-AC319,IF(AI319=1,('Calc (ex-animal)'!$L$65*'Calc (ex-housing, ex-storage)'!F319/100)/VLOOKUP($C$319,'DB animal categories'!$C$117:$AC$126,27,FALSE)*AJ319-'Calc (ex-housing, ex-storage)'!AC319,IF(AI319=4,('Calc (ex-animal)'!$L$65+'Calc (ex-animal)'!$K$65)*'Calc (ex-housing, ex-storage)'!F319/100*VLOOKUP(D319,'DB technologies'!$N$154:$Y$166,11,FALSE)/100/VLOOKUP($C$319,'DB animal categories'!$C$117:$AC$126,27,FALSE)*AJ319-AC319*VLOOKUP(D319,'DB technologies'!$N$154:$Y$166,11,FALSE)/100,0))))</f>
        <v/>
      </c>
      <c r="AP319" s="180" t="str">
        <f>IF(D319="","",IF(AO319&lt;-0.01,0,IF(AI319=2,(('Calc (ex-animal)'!$L$65*'Calc (ex-housing, ex-storage)'!F319/100+'Calc (ex-animal)'!$K$65*'Calc (ex-housing, ex-storage)'!F319/100))/VLOOKUP($C$319,'DB animal categories'!$C$117:$AC$126,27,FALSE)*AJ319+Q319+R319+S319-AC319,IF(AI319=1,('Calc (ex-animal)'!$L$65*'Calc (ex-housing, ex-storage)'!F319/100)/VLOOKUP($C$319,'DB animal categories'!$C$117:$AC$126,27,FALSE)*AJ319-'Calc (ex-housing, ex-storage)'!AC319,IF(AI319=4,('Calc (ex-animal)'!$L$65+'Calc (ex-animal)'!$K$65)*'Calc (ex-housing, ex-storage)'!F319/100*VLOOKUP(D319,'DB technologies'!$N$154:$Y$166,11,FALSE)/100/VLOOKUP($C$319,'DB animal categories'!$C$117:$AC$126,27,FALSE)*AJ319-AC319*VLOOKUP(D319,'DB technologies'!$N$154:$Y$166,11,FALSE)/100,0)))))</f>
        <v/>
      </c>
      <c r="AQ319" s="180" t="str">
        <f>IF(D319="","",IF(AI319=2,('Calc (ex-animal)'!$O$65*'Calc (ex-housing, ex-storage)'!F319/100+'Calc (ex-animal)'!$N$65*'Calc (ex-housing, ex-storage)'!F319/100)/VLOOKUP($C$319,'DB animal categories'!$C$117:$AC$126,27,FALSE)*AJ319+U319+V319+W319,IF(AI319=1,'Calc (ex-animal)'!$O$65*'Calc (ex-housing, ex-storage)'!F319/100/VLOOKUP($C$319,'DB animal categories'!$C$117:$AC$126,27,FALSE)*AJ319,IF(AI319=4,('Calc (ex-animal)'!$O$65+'Calc (ex-animal)'!$N$65)*'Calc (ex-housing, ex-storage)'!F319/100*VLOOKUP(D319,'DB technologies'!$N$154:$Y$166,11,FALSE)/100/VLOOKUP($C$319,'DB animal categories'!$C$117:$AC$126,27,FALSE)*AJ319,0))))</f>
        <v/>
      </c>
      <c r="AR319" s="180" t="str">
        <f>IF(D319="","",IF(AI319=2,('Calc (ex-animal)'!$R$65*'Calc (ex-housing, ex-storage)'!F319/100+'Calc (ex-animal)'!$Q$65*'Calc (ex-housing, ex-storage)'!F319/100)/VLOOKUP($C$319,'DB animal categories'!$C$117:$AC$126,27,FALSE)*AJ319+Y319+Z319+AA319,IF(AI319=1,'Calc (ex-animal)'!$R$65*'Calc (ex-housing, ex-storage)'!F319/100/VLOOKUP($C$319,'DB animal categories'!$C$117:$AC$126,27,FALSE)*AJ319,IF(AI319=4,('Calc (ex-animal)'!$R$65+'Calc (ex-animal)'!$Q$65)*'Calc (ex-housing, ex-storage)'!F319/100*VLOOKUP(D319,'DB technologies'!$N$154:$Y$166,11,FALSE)/100/VLOOKUP($C$319,'DB animal categories'!$C$117:$AC$126,27,FALSE)*AJ319,0))))</f>
        <v/>
      </c>
      <c r="AS319" s="179" t="str">
        <f>IF(D319="","",VLOOKUP(D319,'DB technologies'!$N$154:$Y$166,10,FALSE))</f>
        <v/>
      </c>
      <c r="AT319" s="453" t="str">
        <f>IF(AS319="","",AU319+AV319)</f>
        <v/>
      </c>
      <c r="AU319" s="453" t="str">
        <f>IF(D319="","",IF(AS319=2,0,IF(AS319=1,'Calc (ex-animal)'!$G$65*'DB additional information '!$K$13/100*(1-VLOOKUP(D319,'DB technologies'!$N$154:$Y$166,8,FALSE)/100)*'Calc (ex-housing, ex-storage)'!F319/100/VLOOKUP($C$319,'DB animal categories'!$C$117:$AC$126,27,FALSE)*AJ319+I319+J319+K319,IF(AS319=5,(('Calc (ex-animal)'!$G$65*'DB additional information '!$K$13/100+'Calc (ex-animal)'!$H$65*'DB additional information '!$L$13/100))*(1-VLOOKUP(D319,'DB technologies'!$N$154:$Y$166,9,FALSE)/100)*'Calc (ex-housing, ex-storage)'!F319/100/VLOOKUP($C$319,'DB animal categories'!$C$117:$AC$126,27,FALSE)*AJ319+I319+J319+K319,IF(AS319=3,('Calc (ex-animal)'!$G$65*'DB additional information '!$K$13/100+'Calc (ex-animal)'!$H$65*'DB additional information '!$L$13/100)*(1-VLOOKUP(D319,'DB technologies'!$N$154:$Y$166,9,FALSE)/100)*'Calc (ex-housing, ex-storage)'!F319/100/VLOOKUP($C$319,'DB animal categories'!$C$117:$AC$126,27,FALSE)*AJ319+I319+J319+K319,IF(AS319=4,('Calc (ex-animal)'!$G$65*'DB additional information '!$K$13/100+'Calc (ex-animal)'!$H$65*'DB additional information '!$L$13/100)*(1-VLOOKUP(D319,'DB technologies'!$N$154:$Y$166,9,FALSE)/100)*'Calc (ex-housing, ex-storage)'!F319/100*VLOOKUP(D319,'DB technologies'!$N$154:$Y$166,12,FALSE)/100/VLOOKUP($C$319,'DB animal categories'!$C$117:$AC$126,27,FALSE)*AJ319+I319+J319+K319,0))))))</f>
        <v/>
      </c>
      <c r="AV319" s="453" t="str">
        <f>IF(D319="","",IF(AS319=2,0,IF(AS319=1,'Calc (ex-animal)'!$G$65*(1-'DB additional information '!$K$13/100)*(1-VLOOKUP(D319,'DB technologies'!$N$154:$Y$166,8,FALSE)/100)*'Calc (ex-housing, ex-storage)'!F319/100/VLOOKUP($C$319,'DB animal categories'!$C$117:$AC$126,27,FALSE)*AJ319+M319+N319+O319,IF(AS319=5,('Calc (ex-animal)'!$G$65*(1-'DB additional information '!$K$13/100)+'Calc (ex-animal)'!$H$65*(1-'DB additional information '!$L$13/100))*(1-VLOOKUP(D319,'DB technologies'!$N$154:$Y$166,8,FALSE)/100)*'Calc (ex-housing, ex-storage)'!F319/100/VLOOKUP($C$319,'DB animal categories'!$C$117:$AC$126,27,FALSE)*AJ319+M319+N319+O319,IF(AS319=3,('Calc (ex-animal)'!$G$65*(1-'DB additional information '!$K$13/100)+'Calc (ex-animal)'!$H$65*(1-'DB additional information '!$L$13/100))*(1-VLOOKUP(D319,'DB technologies'!$N$154:$Y$166,8,FALSE)/100)*'Calc (ex-housing, ex-storage)'!F319/100/VLOOKUP($C$319,'DB animal categories'!$C$117:$AC$126,27,FALSE)*AJ319+M319+N319+O319,IF(AS319=4,('Calc (ex-animal)'!$G$65*(1-'DB additional information '!$K$13/100)+'Calc (ex-animal)'!$H$65*(1-'DB additional information '!$L$13/100))*(1-VLOOKUP(D319,'DB technologies'!$N$154:$Y$166,8,FALSE)/100)*'Calc (ex-housing, ex-storage)'!F319/100*VLOOKUP(D319,'DB technologies'!$N$154:$Y$166,12,FALSE)/100/VLOOKUP($C$319,'DB animal categories'!$C$117:$AC$126,27,FALSE)*AJ319+M319+N319+O319,0))))))</f>
        <v/>
      </c>
      <c r="AW319" s="453" t="str">
        <f>IF(AS319="","",IF(AU319=0,0,AU319/AT319*100))</f>
        <v/>
      </c>
      <c r="AX319" s="180" t="str">
        <f>IF(D319="","",IF(AS319=2,0,IF(AS319=1,'Calc (ex-animal)'!$K$65*'Calc (ex-housing, ex-storage)'!F319/100/VLOOKUP($C$319,'DB animal categories'!$C$117:$AC$126,27,FALSE)*AJ319+Q319+R319+S319,IF(AS319=5,('Calc (ex-animal)'!$K$65+'Calc (ex-animal)'!$L$65)*'Calc (ex-housing, ex-storage)'!F319/100/VLOOKUP($C$319,'DB animal categories'!$C$117:$AC$126,27,FALSE)*AJ319+Q319+R319+S319-'Calc (ex-housing, ex-storage)'!AC319,IF(AS319=3,('Calc (ex-animal)'!$K$65+'Calc (ex-animal)'!$L$65)*'Calc (ex-housing, ex-storage)'!F319/100/VLOOKUP($C$319,'DB animal categories'!$C$117:$AC$126,27,FALSE)*AJ319+Q319+R319+S319-'Calc (ex-housing, ex-storage)'!AC319-AD319-AE319,IF(AI319=4,('Calc (ex-animal)'!$K$65+'Calc (ex-animal)'!$L$65)*'Calc (ex-housing, ex-storage)'!F319/100*VLOOKUP(D319,'DB technologies'!$N$154:$Y$166,12,FALSE)/100/VLOOKUP($C$319,'DB animal categories'!$C$117:$AC$126,27,FALSE)*AJ319+Q319+R319+S319-(VLOOKUP(D319,'DB technologies'!$N$154:$Y$166,12,FALSE)/100*AC319)-AD319-AE319,0))))))</f>
        <v/>
      </c>
      <c r="AY319" s="180" t="str">
        <f>IF(D319="","",IF(AS319=2,0,IF(AS319=1,'Calc (ex-animal)'!$N$65*'Calc (ex-housing, ex-storage)'!F319/100/VLOOKUP($C$319,'DB animal categories'!$C$117:$AC$126,27,FALSE)*AJ319+U319+V319+W319,IF(AS319=5,('Calc (ex-animal)'!$N$65+'Calc (ex-animal)'!$O$65)*'Calc (ex-housing, ex-storage)'!F319/100/VLOOKUP($C$319,'DB animal categories'!$C$117:$AC$126,27,FALSE)*AJ319+U319+V319+W319,IF(AS319=3,('Calc (ex-animal)'!$N$65+'Calc (ex-animal)'!$O$65)*'Calc (ex-housing, ex-storage)'!F319/100/VLOOKUP($C$319,'DB animal categories'!$C$117:$AC$126,27,FALSE)*AJ319+U319+V319+W319,IF(AS319=4,('Calc (ex-animal)'!$N$65+'Calc (ex-animal)'!$O$65)*'Calc (ex-housing, ex-storage)'!F319/100*VLOOKUP(D319,'DB technologies'!$N$154:$Y$166,12,FALSE)/100/VLOOKUP($C$319,'DB animal categories'!$C$117:$AC$126,27,FALSE)*AJ319+U319+V319+W319,0))))))</f>
        <v/>
      </c>
      <c r="AZ319" s="180" t="str">
        <f>IF(D319="","",IF(AS319=2,0,IF(AS319=1,'Calc (ex-animal)'!$Q$65*'Calc (ex-housing, ex-storage)'!F319/100/VLOOKUP($C$319,'DB animal categories'!$C$117:$AC$126,27,FALSE)*AJ319+Y319+Z319+AA319,IF(AS319=5,('Calc (ex-animal)'!$Q$65+'Calc (ex-animal)'!$R$65)*'Calc (ex-housing, ex-storage)'!F319/100/VLOOKUP($C$319,'DB animal categories'!$C$117:$AC$126,27,FALSE)*AJ319+Y319+Z319+AA319,IF(AS319=3,('Calc (ex-animal)'!$Q$65+'Calc (ex-animal)'!$R$65)*'Calc (ex-housing, ex-storage)'!F319/100/VLOOKUP($C$319,'DB animal categories'!$C$117:$AC$126,27,FALSE)*AJ319+Y319+Z319+AA319,IF(AS319=4,('Calc (ex-animal)'!$Q$65+'Calc (ex-animal)'!$R$65)*'Calc (ex-housing, ex-storage)'!F319/100*VLOOKUP(D319,'DB technologies'!$N$154:$Y$166,12,FALSE)/100/VLOOKUP($C$319,'DB animal categories'!$C$117:$AC$126,27,FALSE)*AJ319+Y319+Z319+AA319,0))))))</f>
        <v/>
      </c>
      <c r="BA319" s="506"/>
      <c r="BB319" s="506"/>
      <c r="BC319" s="506"/>
    </row>
    <row r="320" spans="1:55" x14ac:dyDescent="0.2">
      <c r="A320" s="695"/>
      <c r="B320" s="695"/>
      <c r="C320" s="251"/>
      <c r="D320" s="1357"/>
      <c r="E320" s="1358"/>
      <c r="F320" s="480" t="str">
        <f>IF('Calc (ex-animal)'!$F$63=1,"",IF($C$319=0,"",IF(D320="","",E320/'Calc (ex-animal)'!$E$65*100)))</f>
        <v/>
      </c>
      <c r="G320" s="485" t="str">
        <f>IF($C$319=0,"",IF('Calc (ex-animal)'!$F$63=1,"",IF(D320="","",SUM(H320:O320))))</f>
        <v/>
      </c>
      <c r="H320" s="423" t="str">
        <f>IF('Calc (ex-animal)'!$F$63=1,"",IF(D320="","",(((VLOOKUP($C$319,'Calc (ex-animal)'!$D$63:$Y$67,6,FALSE)-VLOOKUP($C$319,'Calc (ex-animal)'!$D$63:$Y$67,17,FALSE))*F320/100))*VLOOKUP($C$319,'Calc (ex-animal)'!$D$63:$Y$67,7,FALSE)/100*(1-VLOOKUP(D320,'DB technologies'!$N$154:$Y$166,9,FALSE)/100)))</f>
        <v/>
      </c>
      <c r="I320" s="423" t="str">
        <f>IF(D320="","",((VLOOKUP(D320,'DB technologies'!$N$154:$Y$166,2,FALSE)*VLOOKUP($C$319,'DB animal categories'!$C$117:$AC$126,27,FALSE)*E320/1000)/VLOOKUP($C$319,'DB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'!$S$6/100*(1-VLOOKUP(D320,'DB technologies'!$N$154:$Y$166,9,FALSE)/100)))</f>
        <v/>
      </c>
      <c r="J320" s="434" t="str">
        <f>IF(D320="","",((VLOOKUP(D320,'DB technologies'!$N$154:$Y$166,3,FALSE)*VLOOKUP($C$319,'DB animal categories'!$C$117:$AC$126,27,FALSE)*E320/1000)/VLOOKUP($C$319,'DB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'!$S$7/100*(1-VLOOKUP(D320,'DB technologies'!$N$154:$Y$166,9,FALSE)/100)))</f>
        <v/>
      </c>
      <c r="K320" s="434" t="str">
        <f>IF(D320="","",((VLOOKUP(D320,'DB technologies'!$N$154:$Y$166,4,FALSE)*E320*'DB additional information '!$S$8/100*(1-VLOOKUP(D320,'DB technologies'!$N$154:$Y$166,9,FALSE)/100))/VLOOKUP($C$319,'DB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L320" s="423" t="str">
        <f>IF('Calc (ex-animal)'!$F$63=1,"",IF(D320="","",(((VLOOKUP($C$319,'Calc (ex-animal)'!$D$63:$Y$67,6,FALSE)-VLOOKUP($C$319,'Calc (ex-animal)'!$D$63:$Y$67,17,FALSE))*F320/100))*(1-VLOOKUP($C$319,'Calc (ex-animal)'!$D$63:$Y$67,7,FALSE)/100)*(1-VLOOKUP(D320,'DB technologies'!$N$154:$V$166,8,FALSE)/100)))</f>
        <v/>
      </c>
      <c r="M320" s="434" t="str">
        <f>IF(D320="","",((VLOOKUP(D320,'DB technologies'!$N$154:$Y$166,2,FALSE)*VLOOKUP($C$319,'DB animal categories'!$C$117:$AC$126,27,FALSE)*E320/1000)/VLOOKUP($C$319,'DB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'!$S$6/100)*(1-VLOOKUP(D320,'DB technologies'!$N$154:$Y$166,9,FALSE)/100))</f>
        <v/>
      </c>
      <c r="N320" s="434" t="str">
        <f>IF(D320="","",((VLOOKUP(D320,'DB technologies'!$N$154:$Y$166,3,FALSE)*VLOOKUP($C$319,'DB animal categories'!$C$117:$AC$126,27,FALSE)*E320/1000)/VLOOKUP($C$319,'DB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'!$S$7/100)*(1-VLOOKUP(D320,'DB technologies'!$N$154:$Y$166,9,FALSE)/100))</f>
        <v/>
      </c>
      <c r="O320" s="423" t="str">
        <f>IF(D320="","",((VLOOKUP(D320,'DB technologies'!$N$154:$Y$166,4,FALSE)*E320*(1-'DB additional information '!$S$8/100)*(1-VLOOKUP(D320,'DB technologies'!$N$154:$Y$166,8,FALSE)/100))/VLOOKUP($C$319,'DB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P320" s="438" t="str">
        <f>IF(G320=0,0,IF(E320="","",IF(F320="","",IF($C$319=0,"",IF(D320="","",SUM(H320:K320)/G320*100)))))</f>
        <v/>
      </c>
      <c r="Q320" s="416" t="str">
        <f>IF(D320="","",(VLOOKUP(D320,'DB technologies'!$N$154:$Y$166,2,FALSE)*'DB additional information '!$S$6/100*'DB additional information '!$T$6*VLOOKUP($C$319,'DB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R320" s="416" t="str">
        <f>IF(D320="","",(VLOOKUP(D320,'DB technologies'!$N$154:$Y$166,3,FALSE)*'DB additional information '!$S$7/100*'DB additional information '!$T$7*VLOOKUP($C$319,'DB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S320" s="491" t="str">
        <f>IF(D320="","",(VLOOKUP(D320,'DB technologies'!$N$154:$Y$166,4,FALSE)*('DB additional information '!$S$8/100*'DB additional information '!$T$8*E320/1000/1000)))</f>
        <v/>
      </c>
      <c r="T320" s="264" t="str">
        <f>IF($C$319=0,"",IF('Calc (ex-animal)'!$F$63=1,"",IF(D320="","",((VLOOKUP($C$319,'Calc (ex-animal)'!$D$63:$Y$67,10,FALSE)-VLOOKUP($C$319,'Calc (ex-animal)'!$D$63:$Y$67,18,FALSE))*F320/100+Q320+R320+S320)-AC320-AD320-AE320)))</f>
        <v/>
      </c>
      <c r="U320" s="422" t="str">
        <f>IF(D320="","",(VLOOKUP(D320,'DB technologies'!$N$154:$Y$166,2,FALSE)*'DB additional information '!$S$6/100*'DB additional information '!$U$6*VLOOKUP($C$319,'DB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V320" s="418" t="str">
        <f>IF(D320="","",(VLOOKUP(D320,'DB technologies'!$N$154:$Y$166,3,FALSE)*'DB additional information '!$S$7/100*'DB additional information '!$U$7*VLOOKUP($C$319,'DB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W320" s="417" t="str">
        <f>IF(D320="","",(VLOOKUP(D320,'DB technologies'!$N$154:$Y$166,4,FALSE)*('DB additional information '!$S$8/100*'DB additional information '!$U$8*E320/1000/1000)))</f>
        <v/>
      </c>
      <c r="X320" s="261" t="str">
        <f>IF($C$319=0,"",IF('Calc (ex-animal)'!$F$63=1,"",IF(D320="","",((VLOOKUP($C$319,'Calc (ex-animal)'!$D$63:$Y$67,13,FALSE)-VLOOKUP($C$319,'Calc (ex-animal)'!$D$63:$Y$67,19,FALSE))*F320/100+U320+V320+W320))))</f>
        <v/>
      </c>
      <c r="Y320" s="418" t="str">
        <f>IF(D320="","",(VLOOKUP(D320,'DB technologies'!$N$154:$Y$166,2,FALSE)*'DB additional information '!$S$6/100*'DB additional information '!$V$6*VLOOKUP($C$319,'DB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Z320" s="418" t="str">
        <f>IF(D320="","",(VLOOKUP(D320,'DB technologies'!$N$154:$Y$166,3,FALSE)*'DB additional information '!$S$7/100*'DB additional information '!$V$7*VLOOKUP($C$319,'DB animal categories'!$C$117:$AC$126,27,FALSE)*E320/1000/1000)/VLOOKUP($C$319,'DB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AA320" s="418" t="str">
        <f>IF(D320="","",(VLOOKUP(D320,'DB technologies'!$N$154:$Y$166,4,FALSE)*('DB additional information '!$S$8/100*'DB additional information '!$V$8*E320/1000/1000)))</f>
        <v/>
      </c>
      <c r="AB320" s="261" t="str">
        <f>IF($C$319=0,"",IF('Calc (ex-animal)'!$F$63=1,"",IF(D320="","",((VLOOKUP($C$319,'Calc (ex-animal)'!$D$63:$Y$67,16,FALSE)-VLOOKUP($C$319,'Calc (ex-animal)'!$D$63:$Y$67,20,FALSE))*F320/100+Y320+Z320+AA320))))</f>
        <v/>
      </c>
      <c r="AC320" s="261" t="str">
        <f>IF($C$319=0,"",IF('Calc (ex-animal)'!$F$63=1,"",IF(D320="","",VLOOKUP($C$319,'Calc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categories'!$C$117:$AC$126,26,FALSE)/24)*F320/100*VLOOKUP(D320,'DB technologies'!$N$154:$R$166,5,FALSE)/100)))</f>
        <v/>
      </c>
      <c r="AD320" s="261" t="str">
        <f>IF($C$319=0,"",IF('Calc (ex-animal)'!$F$63=1,"",IF(D320="","",VLOOKUP($C$319,'Calc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categories'!$C$117:$AC$126,26,FALSE)/24)*F320/100*VLOOKUP(D320,'DB technologies'!$N$154:$Y$166,6,FALSE)/100)))</f>
        <v/>
      </c>
      <c r="AE320" s="262" t="str">
        <f>IF($C$319=0,"",IF('Calc (ex-animal)'!$F$63=1,"",IF(D320="","",VLOOKUP($C$319,'Calc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categories'!$C$117:$AC$126,26,FALSE)/24)*F320/100*VLOOKUP(D320,'DB technologies'!$N$154:$Y$166,7,FALSE)/100)))</f>
        <v/>
      </c>
      <c r="AI320" s="181" t="str">
        <f>IF(D320="","",VLOOKUP(D320,'DB technologies'!$N$154:$Y$166,10,FALSE))</f>
        <v/>
      </c>
      <c r="AJ320" s="449" t="e">
        <f>VLOOKUP($C$319,'DB animal categories'!$C$117:$AN$126,27,FALSE)-VLOOKUP($C$319,'DB animal categories'!$C$117:$AN$126,26,FALSE)*VLOOKUP($C$319,'DB animal categories'!$C$117:$AN$126,25,FALSE)/24</f>
        <v>#N/A</v>
      </c>
      <c r="AK320" s="442" t="str">
        <f>IF(AI320="","",AL320+AM320)</f>
        <v/>
      </c>
      <c r="AL320" s="442" t="str">
        <f>IF(D320="","",IF(AI320=2,(('Calc (ex-animal)'!$G$65*'DB additional information '!$K$13/100*(1-VLOOKUP(D320,'DB technologies'!$N$154:$Y$166,9,FALSE)/100)*'Calc (ex-housing, ex-storage)'!F320/100+'Calc (ex-animal)'!$H$65*'DB additional information '!$L$13/100*(1-VLOOKUP(D320,'DB technologies'!$N$154:$Y$166,9,FALSE)/100)*'Calc (ex-housing, ex-storage)'!F320/100))/VLOOKUP($C$319,'DB animal categories'!$C$117:$AC$126,27,FALSE)*AJ320+I320+J320+K320,IF(AI320=1,('Calc (ex-animal)'!$H$65*'DB additional information '!$L$13/100*(1-VLOOKUP(D320,'DB technologies'!$N$154:$Y$166,9,FALSE)/100)*'Calc (ex-housing, ex-storage)'!F320/100)/VLOOKUP($C$319,'DB animal categories'!$C$117:$AC$126,27,FALSE)*AJ320,IF(AI320=4,('Calc (ex-animal)'!$G$65*'DB additional information '!$K$13/100+'Calc (ex-animal)'!$H$65*'DB additional information '!$L$13/100)*(1-VLOOKUP(D320,'DB technologies'!$N$154:$Y$166,9,FALSE)/100)*'Calc (ex-housing, ex-storage)'!F320/100*VLOOKUP(D320,'DB technologies'!$N$154:$Y$166,11,FALSE)/100/VLOOKUP($C$319,'DB animal categories'!$C$117:$AC$126,27,FALSE)*AJ320,0))))</f>
        <v/>
      </c>
      <c r="AM320" s="442" t="str">
        <f>IF(D320="","",IF(AI320=2,(('Calc (ex-animal)'!$G$65*(1-'DB additional information '!$K$13/100)*(1-VLOOKUP(D320,'DB technologies'!$N$154:$Y$166,8,FALSE)/100)*'Calc (ex-housing, ex-storage)'!F320/100+'Calc (ex-animal)'!$H$65*(1-'DB additional information '!$L$13/100)*(1-VLOOKUP(D320,'DB technologies'!$N$154:$Y$166,8,FALSE)/100)*'Calc (ex-housing, ex-storage)'!F320/100))/VLOOKUP($C$319,'DB animal categories'!$C$117:$AC$126,27,FALSE)*AJ320+M320+N320+O320,IF(AI320=1,('Calc (ex-animal)'!$H$65*(1-'DB additional information '!$L$13/100)*(1-VLOOKUP(D320,'DB technologies'!$N$154:$Y$166,8,FALSE)/100)*'Calc (ex-housing, ex-storage)'!F320/100)/VLOOKUP($C$319,'DB animal categories'!$C$117:$AC$126,27,FALSE)*AJ320,IF(AI320=4,('Calc (ex-animal)'!$G$65*(1-'DB additional information '!$K$13/100)+'Calc (ex-animal)'!$H$65*(1-'DB additional information '!$L$13/100))*(1-VLOOKUP(D320,'DB technologies'!$N$154:$Y$166,8,FALSE)/100)*'Calc (ex-housing, ex-storage)'!F320/100*VLOOKUP(D320,'DB technologies'!$N$154:$Y$166,11,FALSE)/100/VLOOKUP($C$319,'DB animal categories'!$C$117:$AC$126,27,FALSE)*AJ320,0))))</f>
        <v/>
      </c>
      <c r="AN320" s="442" t="str">
        <f>IF(AI320="","",IF(AL320=0,0,AL320/AK320*100))</f>
        <v/>
      </c>
      <c r="AO320" s="182" t="str">
        <f>IF(D320="","",IF(AI320=2,(('Calc (ex-animal)'!$L$65*'Calc (ex-housing, ex-storage)'!F320/100+'Calc (ex-animal)'!$K$65*'Calc (ex-housing, ex-storage)'!F320/100))/VLOOKUP($C$319,'DB animal categories'!$C$117:$AC$126,27,FALSE)*AJ320+Q320+R320+S320-AC320,IF(AI320=1,('Calc (ex-animal)'!$L$65*'Calc (ex-housing, ex-storage)'!F320/100)/VLOOKUP($C$319,'DB animal categories'!$C$117:$AC$126,27,FALSE)*AJ320-'Calc (ex-housing, ex-storage)'!AC320,IF(AI320=4,('Calc (ex-animal)'!$L$65+'Calc (ex-animal)'!$K$65)*'Calc (ex-housing, ex-storage)'!F320/100*VLOOKUP(D320,'DB technologies'!$N$154:$Y$166,11,FALSE)/100/VLOOKUP($C$319,'DB animal categories'!$C$117:$AC$126,27,FALSE)*AJ320-AC320*VLOOKUP(D320,'DB technologies'!$N$154:$Y$166,11,FALSE)/100,0))))</f>
        <v/>
      </c>
      <c r="AP320" s="182" t="str">
        <f>IF(D320="","",IF(AO320&lt;-0.01,0,IF(AI320=2,(('Calc (ex-animal)'!$L$65*'Calc (ex-housing, ex-storage)'!F320/100+'Calc (ex-animal)'!$K$65*'Calc (ex-housing, ex-storage)'!F320/100))/VLOOKUP($C$319,'DB animal categories'!$C$117:$AC$126,27,FALSE)*AJ320+Q320+R320+S320-AC320,IF(AI320=1,('Calc (ex-animal)'!$L$65*'Calc (ex-housing, ex-storage)'!F320/100)/VLOOKUP($C$319,'DB animal categories'!$C$117:$AC$126,27,FALSE)*AJ320-'Calc (ex-housing, ex-storage)'!AC320,IF(AI320=4,('Calc (ex-animal)'!$L$65+'Calc (ex-animal)'!$K$65)*'Calc (ex-housing, ex-storage)'!F320/100*VLOOKUP(D320,'DB technologies'!$N$154:$Y$166,11,FALSE)/100/VLOOKUP($C$319,'DB animal categories'!$C$117:$AC$126,27,FALSE)*AJ320-AC320*VLOOKUP(D320,'DB technologies'!$N$154:$Y$166,11,FALSE)/100,0)))))</f>
        <v/>
      </c>
      <c r="AQ320" s="182" t="str">
        <f>IF(D320="","",IF(AI320=2,('Calc (ex-animal)'!$O$65*'Calc (ex-housing, ex-storage)'!F320/100+'Calc (ex-animal)'!$N$65*'Calc (ex-housing, ex-storage)'!F320/100)/VLOOKUP($C$319,'DB animal categories'!$C$117:$AC$126,27,FALSE)*AJ320+U320+V320+W320,IF(AI320=1,'Calc (ex-animal)'!$O$65*'Calc (ex-housing, ex-storage)'!F320/100/VLOOKUP($C$319,'DB animal categories'!$C$117:$AC$126,27,FALSE)*AJ320,IF(AI320=4,('Calc (ex-animal)'!$O$65+'Calc (ex-animal)'!$N$65)*'Calc (ex-housing, ex-storage)'!F320/100*VLOOKUP(D320,'DB technologies'!$N$154:$Y$166,11,FALSE)/100/VLOOKUP($C$319,'DB animal categories'!$C$117:$AC$126,27,FALSE)*AJ320,0))))</f>
        <v/>
      </c>
      <c r="AR320" s="182" t="str">
        <f>IF(D320="","",IF(AI320=2,('Calc (ex-animal)'!$R$65*'Calc (ex-housing, ex-storage)'!F320/100+'Calc (ex-animal)'!$Q$65*'Calc (ex-housing, ex-storage)'!F320/100)/VLOOKUP($C$319,'DB animal categories'!$C$117:$AC$126,27,FALSE)*AJ320+Y320+Z320+AA320,IF(AI320=1,'Calc (ex-animal)'!$R$65*'Calc (ex-housing, ex-storage)'!F320/100/VLOOKUP($C$319,'DB animal categories'!$C$117:$AC$126,27,FALSE)*AJ320,IF(AI320=4,('Calc (ex-animal)'!$R$65+'Calc (ex-animal)'!$Q$65)*'Calc (ex-housing, ex-storage)'!F320/100*VLOOKUP(D320,'DB technologies'!$N$154:$Y$166,11,FALSE)/100/VLOOKUP($C$319,'DB animal categories'!$C$117:$AC$126,27,FALSE)*AJ320,0))))</f>
        <v/>
      </c>
      <c r="AS320" s="181" t="str">
        <f>IF(D320="","",VLOOKUP(D320,'DB technologies'!$N$154:$Y$166,10,FALSE))</f>
        <v/>
      </c>
      <c r="AT320" s="442" t="str">
        <f>IF(AS320="","",AU320+AV320)</f>
        <v/>
      </c>
      <c r="AU320" s="442" t="str">
        <f>IF(D320="","",IF(AS320=2,0,IF(AS320=1,'Calc (ex-animal)'!$G$65*'DB additional information '!$K$13/100*(1-VLOOKUP(D320,'DB technologies'!$N$154:$Y$166,8,FALSE)/100)*'Calc (ex-housing, ex-storage)'!F320/100/VLOOKUP($C$319,'DB animal categories'!$C$117:$AC$126,27,FALSE)*AJ320+I320+J320+K320,IF(AS320=5,(('Calc (ex-animal)'!$G$65*'DB additional information '!$K$13/100+'Calc (ex-animal)'!$H$65*'DB additional information '!$L$13/100))*(1-VLOOKUP(D320,'DB technologies'!$N$154:$Y$166,9,FALSE)/100)*'Calc (ex-housing, ex-storage)'!F320/100/VLOOKUP($C$319,'DB animal categories'!$C$117:$AC$126,27,FALSE)*AJ320+I320+J320+K320,IF(AS320=3,('Calc (ex-animal)'!$G$65*'DB additional information '!$K$13/100+'Calc (ex-animal)'!$H$65*'DB additional information '!$L$13/100)*(1-VLOOKUP(D320,'DB technologies'!$N$154:$Y$166,9,FALSE)/100)*'Calc (ex-housing, ex-storage)'!F320/100/VLOOKUP($C$319,'DB animal categories'!$C$117:$AC$126,27,FALSE)*AJ320+I320+J320+K320,IF(AS320=4,('Calc (ex-animal)'!$G$65*'DB additional information '!$K$13/100+'Calc (ex-animal)'!$H$65*'DB additional information '!$L$13/100)*(1-VLOOKUP(D320,'DB technologies'!$N$154:$Y$166,9,FALSE)/100)*'Calc (ex-housing, ex-storage)'!F320/100*VLOOKUP(D320,'DB technologies'!$N$154:$Y$166,12,FALSE)/100/VLOOKUP($C$319,'DB animal categories'!$C$117:$AC$126,27,FALSE)*AJ320+I320+J320+K320,0))))))</f>
        <v/>
      </c>
      <c r="AV320" s="442" t="str">
        <f>IF(D320="","",IF(AS320=2,0,IF(AS320=1,'Calc (ex-animal)'!$G$65*(1-'DB additional information '!$K$13/100)*(1-VLOOKUP(D320,'DB technologies'!$N$154:$Y$166,8,FALSE)/100)*'Calc (ex-housing, ex-storage)'!F320/100/VLOOKUP($C$319,'DB animal categories'!$C$117:$AC$126,27,FALSE)*AJ320+M320+N320+O320,IF(AS320=5,('Calc (ex-animal)'!$G$65*(1-'DB additional information '!$K$13/100)+'Calc (ex-animal)'!$H$65*(1-'DB additional information '!$L$13/100))*(1-VLOOKUP(D320,'DB technologies'!$N$154:$Y$166,8,FALSE)/100)*'Calc (ex-housing, ex-storage)'!F320/100/VLOOKUP($C$319,'DB animal categories'!$C$117:$AC$126,27,FALSE)*AJ320+M320+N320+O320,IF(AS320=3,('Calc (ex-animal)'!$G$65*(1-'DB additional information '!$K$13/100)+'Calc (ex-animal)'!$H$65*(1-'DB additional information '!$L$13/100))*(1-VLOOKUP(D320,'DB technologies'!$N$154:$Y$166,8,FALSE)/100)*'Calc (ex-housing, ex-storage)'!F320/100/VLOOKUP($C$319,'DB animal categories'!$C$117:$AC$126,27,FALSE)*AJ320+M320+N320+O320,IF(AS320=4,('Calc (ex-animal)'!$G$65*(1-'DB additional information '!$K$13/100)+'Calc (ex-animal)'!$H$65*(1-'DB additional information '!$L$13/100))*(1-VLOOKUP(D320,'DB technologies'!$N$154:$Y$166,8,FALSE)/100)*'Calc (ex-housing, ex-storage)'!F320/100*VLOOKUP(D320,'DB technologies'!$N$154:$Y$166,12,FALSE)/100/VLOOKUP($C$319,'DB animal categories'!$C$117:$AC$126,27,FALSE)*AJ320+M320+N320+O320,0))))))</f>
        <v/>
      </c>
      <c r="AW320" s="442" t="str">
        <f>IF(AS320="","",IF(AU320=0,0,AU320/AT320*100))</f>
        <v/>
      </c>
      <c r="AX320" s="182" t="str">
        <f>IF(D320="","",IF(AS320=2,0,IF(AS320=1,'Calc (ex-animal)'!$K$65*'Calc (ex-housing, ex-storage)'!F320/100/VLOOKUP($C$319,'DB animal categories'!$C$117:$AC$126,27,FALSE)*AJ320+Q320+R320+S320,IF(AS320=5,('Calc (ex-animal)'!$K$65+'Calc (ex-animal)'!$L$65)*'Calc (ex-housing, ex-storage)'!F320/100/VLOOKUP($C$319,'DB animal categories'!$C$117:$AC$126,27,FALSE)*AJ320+Q320+R320+S320-'Calc (ex-housing, ex-storage)'!AC320,IF(AS320=3,('Calc (ex-animal)'!$K$65+'Calc (ex-animal)'!$L$65)*'Calc (ex-housing, ex-storage)'!F320/100/VLOOKUP($C$319,'DB animal categories'!$C$117:$AC$126,27,FALSE)*AJ320+Q320+R320+S320-'Calc (ex-housing, ex-storage)'!AC320-AD320-AE320,IF(AI320=4,('Calc (ex-animal)'!$K$65+'Calc (ex-animal)'!$L$65)*'Calc (ex-housing, ex-storage)'!F320/100*VLOOKUP(D320,'DB technologies'!$N$154:$Y$166,12,FALSE)/100/VLOOKUP($C$319,'DB animal categories'!$C$117:$AC$126,27,FALSE)*AJ320+Q320+R320+S320-(VLOOKUP(D320,'DB technologies'!$N$154:$Y$166,12,FALSE)/100*AC320)-AD320-AE320,0))))))</f>
        <v/>
      </c>
      <c r="AY320" s="182" t="str">
        <f>IF(D320="","",IF(AS320=2,0,IF(AS320=1,'Calc (ex-animal)'!$N$65*'Calc (ex-housing, ex-storage)'!F320/100/VLOOKUP($C$319,'DB animal categories'!$C$117:$AC$126,27,FALSE)*AJ320+U320+V320+W320,IF(AS320=5,('Calc (ex-animal)'!$N$65+'Calc (ex-animal)'!$O$65)*'Calc (ex-housing, ex-storage)'!F320/100/VLOOKUP($C$319,'DB animal categories'!$C$117:$AC$126,27,FALSE)*AJ320+U320+V320+W320,IF(AS320=3,('Calc (ex-animal)'!$N$65+'Calc (ex-animal)'!$O$65)*'Calc (ex-housing, ex-storage)'!F320/100/VLOOKUP($C$319,'DB animal categories'!$C$117:$AC$126,27,FALSE)*AJ320+U320+V320+W320,IF(AS320=4,('Calc (ex-animal)'!$N$65+'Calc (ex-animal)'!$O$65)*'Calc (ex-housing, ex-storage)'!F320/100*VLOOKUP(D320,'DB technologies'!$N$154:$Y$166,12,FALSE)/100/VLOOKUP($C$319,'DB animal categories'!$C$117:$AC$126,27,FALSE)*AJ320+U320+V320+W320,0))))))</f>
        <v/>
      </c>
      <c r="AZ320" s="182" t="str">
        <f>IF(D320="","",IF(AS320=2,0,IF(AS320=1,'Calc (ex-animal)'!$Q$65*'Calc (ex-housing, ex-storage)'!F320/100/VLOOKUP($C$319,'DB animal categories'!$C$117:$AC$126,27,FALSE)*AJ320+Y320+Z320+AA320,IF(AS320=5,('Calc (ex-animal)'!$Q$65+'Calc (ex-animal)'!$R$65)*'Calc (ex-housing, ex-storage)'!F320/100/VLOOKUP($C$319,'DB animal categories'!$C$117:$AC$126,27,FALSE)*AJ320+Y320+Z320+AA320,IF(AS320=3,('Calc (ex-animal)'!$Q$65+'Calc (ex-animal)'!$R$65)*'Calc (ex-housing, ex-storage)'!F320/100/VLOOKUP($C$319,'DB animal categories'!$C$117:$AC$126,27,FALSE)*AJ320+Y320+Z320+AA320,IF(AS320=4,('Calc (ex-animal)'!$Q$65+'Calc (ex-animal)'!$R$65)*'Calc (ex-housing, ex-storage)'!F320/100*VLOOKUP(D320,'DB technologies'!$N$154:$Y$166,12,FALSE)/100/VLOOKUP($C$319,'DB animal categories'!$C$117:$AC$126,27,FALSE)*AJ320+Y320+Z320+AA320,0))))))</f>
        <v/>
      </c>
      <c r="BA320" s="506"/>
      <c r="BB320" s="506"/>
      <c r="BC320" s="506"/>
    </row>
    <row r="321" spans="1:55" x14ac:dyDescent="0.2">
      <c r="A321" s="695"/>
      <c r="B321" s="695"/>
      <c r="C321" s="251"/>
      <c r="D321" s="1357"/>
      <c r="E321" s="1358"/>
      <c r="F321" s="480" t="str">
        <f>IF('Calc (ex-animal)'!$F$63=1,"",IF($C$319=0,"",IF(D321="","",E321/'Calc (ex-animal)'!$E$65*100)))</f>
        <v/>
      </c>
      <c r="G321" s="485" t="str">
        <f>IF($C$319=0,"",IF('Calc (ex-animal)'!$F$63=1,"",IF(D321="","",SUM(H321:O321))))</f>
        <v/>
      </c>
      <c r="H321" s="423" t="str">
        <f>IF('Calc (ex-animal)'!$F$63=1,"",IF(D321="","",(((VLOOKUP($C$319,'Calc (ex-animal)'!$D$63:$Y$67,6,FALSE)-VLOOKUP($C$319,'Calc (ex-animal)'!$D$63:$Y$67,17,FALSE))*F321/100))*VLOOKUP($C$319,'Calc (ex-animal)'!$D$63:$Y$67,7,FALSE)/100*(1-VLOOKUP(D321,'DB technologies'!$N$154:$Y$166,9,FALSE)/100)))</f>
        <v/>
      </c>
      <c r="I321" s="423" t="str">
        <f>IF(D321="","",((VLOOKUP(D321,'DB technologies'!$N$154:$Y$166,2,FALSE)*VLOOKUP($C$319,'DB animal categories'!$C$117:$AC$126,27,FALSE)*E321/1000)/VLOOKUP($C$319,'DB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'!$S$6/100*(1-VLOOKUP(D321,'DB technologies'!$N$154:$Y$166,9,FALSE)/100)))</f>
        <v/>
      </c>
      <c r="J321" s="434" t="str">
        <f>IF(D321="","",((VLOOKUP(D321,'DB technologies'!$N$154:$Y$166,3,FALSE)*VLOOKUP($C$319,'DB animal categories'!$C$117:$AC$126,27,FALSE)*E321/1000)/VLOOKUP($C$319,'DB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'!$S$7/100*(1-VLOOKUP(D321,'DB technologies'!$N$154:$Y$166,9,FALSE)/100)))</f>
        <v/>
      </c>
      <c r="K321" s="434" t="str">
        <f>IF(D321="","",((VLOOKUP(D321,'DB technologies'!$N$154:$Y$166,4,FALSE)*E321*'DB additional information '!$S$8/100*(1-VLOOKUP(D321,'DB technologies'!$N$154:$Y$166,9,FALSE)/100))/VLOOKUP($C$319,'DB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L321" s="423" t="str">
        <f>IF('Calc (ex-animal)'!$F$63=1,"",IF(D321="","",(((VLOOKUP($C$319,'Calc (ex-animal)'!$D$63:$Y$67,6,FALSE)-VLOOKUP($C$319,'Calc (ex-animal)'!$D$63:$Y$67,17,FALSE))*F321/100))*(1-VLOOKUP($C$319,'Calc (ex-animal)'!$D$63:$Y$67,7,FALSE)/100)*(1-VLOOKUP(D321,'DB technologies'!$N$154:$V$166,8,FALSE)/100)))</f>
        <v/>
      </c>
      <c r="M321" s="434" t="str">
        <f>IF(D321="","",((VLOOKUP(D321,'DB technologies'!$N$154:$Y$166,2,FALSE)*VLOOKUP($C$319,'DB animal categories'!$C$117:$AC$126,27,FALSE)*E321/1000)/VLOOKUP($C$319,'DB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'!$S$6/100)*(1-VLOOKUP(D321,'DB technologies'!$N$154:$Y$166,9,FALSE)/100))</f>
        <v/>
      </c>
      <c r="N321" s="434" t="str">
        <f>IF(D321="","",((VLOOKUP(D321,'DB technologies'!$N$154:$Y$166,3,FALSE)*VLOOKUP($C$319,'DB animal categories'!$C$117:$AC$126,27,FALSE)*E321/1000)/VLOOKUP($C$319,'DB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'!$S$7/100)*(1-VLOOKUP(D321,'DB technologies'!$N$154:$Y$166,9,FALSE)/100))</f>
        <v/>
      </c>
      <c r="O321" s="423" t="str">
        <f>IF(D321="","",((VLOOKUP(D321,'DB technologies'!$N$154:$Y$166,4,FALSE)*E321*(1-'DB additional information '!$S$8/100)*(1-VLOOKUP(D321,'DB technologies'!$N$154:$Y$166,8,FALSE)/100))/VLOOKUP($C$319,'DB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P321" s="438" t="str">
        <f>IF(G321=0,0,IF(E321="","",IF(F321="","",IF($C$319=0,"",IF(D321="","",SUM(H321:K321)/G321*100)))))</f>
        <v/>
      </c>
      <c r="Q321" s="416" t="str">
        <f>IF(D321="","",(VLOOKUP(D321,'DB technologies'!$N$154:$Y$166,2,FALSE)*'DB additional information '!$S$6/100*'DB additional information '!$T$6*VLOOKUP($C$319,'DB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R321" s="416" t="str">
        <f>IF(D321="","",(VLOOKUP(D321,'DB technologies'!$N$154:$Y$166,3,FALSE)*'DB additional information '!$S$7/100*'DB additional information '!$T$7*VLOOKUP($C$319,'DB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S321" s="491" t="str">
        <f>IF(D321="","",(VLOOKUP(D321,'DB technologies'!$N$154:$Y$166,4,FALSE)*('DB additional information '!$S$8/100*'DB additional information '!$T$8*E321/1000/1000)))</f>
        <v/>
      </c>
      <c r="T321" s="264" t="str">
        <f>IF($C$319=0,"",IF('Calc (ex-animal)'!$F$63=1,"",IF(D321="","",((VLOOKUP($C$319,'Calc (ex-animal)'!$D$63:$Y$67,10,FALSE)-VLOOKUP($C$319,'Calc (ex-animal)'!$D$63:$Y$67,18,FALSE))*F321/100+Q321+R321+S321)-AC321-AD321-AE321)))</f>
        <v/>
      </c>
      <c r="U321" s="422" t="str">
        <f>IF(D321="","",(VLOOKUP(D321,'DB technologies'!$N$154:$Y$166,2,FALSE)*'DB additional information '!$S$6/100*'DB additional information '!$U$6*VLOOKUP($C$319,'DB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V321" s="418" t="str">
        <f>IF(D321="","",(VLOOKUP(D321,'DB technologies'!$N$154:$Y$166,3,FALSE)*'DB additional information '!$S$7/100*'DB additional information '!$U$7*VLOOKUP($C$319,'DB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W321" s="417" t="str">
        <f>IF(D321="","",(VLOOKUP(D321,'DB technologies'!$N$154:$Y$166,4,FALSE)*('DB additional information '!$S$8/100*'DB additional information '!$U$8*E321/1000/1000)))</f>
        <v/>
      </c>
      <c r="X321" s="261" t="str">
        <f>IF($C$319=0,"",IF('Calc (ex-animal)'!$F$63=1,"",IF(D321="","",((VLOOKUP($C$319,'Calc (ex-animal)'!$D$63:$Y$67,13,FALSE)-VLOOKUP($C$319,'Calc (ex-animal)'!$D$63:$Y$67,19,FALSE))*F321/100+U321+V321+W321))))</f>
        <v/>
      </c>
      <c r="Y321" s="418" t="str">
        <f>IF(D321="","",(VLOOKUP(D321,'DB technologies'!$N$154:$Y$166,2,FALSE)*'DB additional information '!$S$6/100*'DB additional information '!$V$6*VLOOKUP($C$319,'DB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Z321" s="418" t="str">
        <f>IF(D321="","",(VLOOKUP(D321,'DB technologies'!$N$154:$Y$166,3,FALSE)*'DB additional information '!$S$7/100*'DB additional information '!$V$7*VLOOKUP($C$319,'DB animal categories'!$C$117:$AC$126,27,FALSE)*E321/1000/1000)/VLOOKUP($C$319,'DB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AA321" s="418" t="str">
        <f>IF(D321="","",(VLOOKUP(D321,'DB technologies'!$N$154:$Y$166,4,FALSE)*('DB additional information '!$S$8/100*'DB additional information '!$V$8*E321/1000/1000)))</f>
        <v/>
      </c>
      <c r="AB321" s="261" t="str">
        <f>IF($C$319=0,"",IF('Calc (ex-animal)'!$F$63=1,"",IF(D321="","",((VLOOKUP($C$319,'Calc (ex-animal)'!$D$63:$Y$67,16,FALSE)-VLOOKUP($C$319,'Calc (ex-animal)'!$D$63:$Y$67,20,FALSE))*F321/100+Y321+Z321+AA321))))</f>
        <v/>
      </c>
      <c r="AC321" s="261" t="str">
        <f>IF($C$319=0,"",IF('Calc (ex-animal)'!$F$63=1,"",IF(D321="","",VLOOKUP($C$319,'Calc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categories'!$C$117:$AC$126,26,FALSE)/24)*F321/100*VLOOKUP(D321,'DB technologies'!$N$154:$R$166,5,FALSE)/100)))</f>
        <v/>
      </c>
      <c r="AD321" s="261" t="str">
        <f>IF($C$319=0,"",IF('Calc (ex-animal)'!$F$63=1,"",IF(D321="","",VLOOKUP($C$319,'Calc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categories'!$C$117:$AC$126,26,FALSE)/24)*F321/100*VLOOKUP(D321,'DB technologies'!$N$154:$Y$166,6,FALSE)/100)))</f>
        <v/>
      </c>
      <c r="AE321" s="262" t="str">
        <f>IF($C$319=0,"",IF('Calc (ex-animal)'!$F$63=1,"",IF(D321="","",VLOOKUP($C$319,'Calc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categories'!$C$117:$AC$126,26,FALSE)/24)*F321/100*VLOOKUP(D321,'DB technologies'!$N$154:$Y$166,7,FALSE)/100)))</f>
        <v/>
      </c>
      <c r="AI321" s="181" t="str">
        <f>IF(D321="","",VLOOKUP(D321,'DB technologies'!$N$154:$Y$166,10,FALSE))</f>
        <v/>
      </c>
      <c r="AJ321" s="449" t="e">
        <f>VLOOKUP($C$319,'DB animal categories'!$C$117:$AN$126,27,FALSE)-VLOOKUP($C$319,'DB animal categories'!$C$117:$AN$126,26,FALSE)*VLOOKUP($C$319,'DB animal categories'!$C$117:$AN$126,25,FALSE)/24</f>
        <v>#N/A</v>
      </c>
      <c r="AK321" s="442" t="str">
        <f>IF(AI321="","",AL321+AM321)</f>
        <v/>
      </c>
      <c r="AL321" s="442" t="str">
        <f>IF(D321="","",IF(AI321=2,(('Calc (ex-animal)'!$G$65*'DB additional information '!$K$13/100*(1-VLOOKUP(D321,'DB technologies'!$N$154:$Y$166,9,FALSE)/100)*'Calc (ex-housing, ex-storage)'!F321/100+'Calc (ex-animal)'!$H$65*'DB additional information '!$L$13/100*(1-VLOOKUP(D321,'DB technologies'!$N$154:$Y$166,9,FALSE)/100)*'Calc (ex-housing, ex-storage)'!F321/100))/VLOOKUP($C$319,'DB animal categories'!$C$117:$AC$126,27,FALSE)*AJ321+I321+J321+K321,IF(AI321=1,('Calc (ex-animal)'!$H$65*'DB additional information '!$L$13/100*(1-VLOOKUP(D321,'DB technologies'!$N$154:$Y$166,9,FALSE)/100)*'Calc (ex-housing, ex-storage)'!F321/100)/VLOOKUP($C$319,'DB animal categories'!$C$117:$AC$126,27,FALSE)*AJ321,IF(AI321=4,('Calc (ex-animal)'!$G$65*'DB additional information '!$K$13/100+'Calc (ex-animal)'!$H$65*'DB additional information '!$L$13/100)*(1-VLOOKUP(D321,'DB technologies'!$N$154:$Y$166,9,FALSE)/100)*'Calc (ex-housing, ex-storage)'!F321/100*VLOOKUP(D321,'DB technologies'!$N$154:$Y$166,11,FALSE)/100/VLOOKUP($C$319,'DB animal categories'!$C$117:$AC$126,27,FALSE)*AJ321,0))))</f>
        <v/>
      </c>
      <c r="AM321" s="442" t="str">
        <f>IF(D321="","",IF(AI321=2,(('Calc (ex-animal)'!$G$65*(1-'DB additional information '!$K$13/100)*(1-VLOOKUP(D321,'DB technologies'!$N$154:$Y$166,8,FALSE)/100)*'Calc (ex-housing, ex-storage)'!F321/100+'Calc (ex-animal)'!$H$65*(1-'DB additional information '!$L$13/100)*(1-VLOOKUP(D321,'DB technologies'!$N$154:$Y$166,8,FALSE)/100)*'Calc (ex-housing, ex-storage)'!F321/100))/VLOOKUP($C$319,'DB animal categories'!$C$117:$AC$126,27,FALSE)*AJ321+M321+N321+O321,IF(AI321=1,('Calc (ex-animal)'!$H$65*(1-'DB additional information '!$L$13/100)*(1-VLOOKUP(D321,'DB technologies'!$N$154:$Y$166,8,FALSE)/100)*'Calc (ex-housing, ex-storage)'!F321/100)/VLOOKUP($C$319,'DB animal categories'!$C$117:$AC$126,27,FALSE)*AJ321,IF(AI321=4,('Calc (ex-animal)'!$G$65*(1-'DB additional information '!$K$13/100)+'Calc (ex-animal)'!$H$65*(1-'DB additional information '!$L$13/100))*(1-VLOOKUP(D321,'DB technologies'!$N$154:$Y$166,8,FALSE)/100)*'Calc (ex-housing, ex-storage)'!F321/100*VLOOKUP(D321,'DB technologies'!$N$154:$Y$166,11,FALSE)/100/VLOOKUP($C$319,'DB animal categories'!$C$117:$AC$126,27,FALSE)*AJ321,0))))</f>
        <v/>
      </c>
      <c r="AN321" s="442" t="str">
        <f>IF(AI321="","",IF(AL321=0,0,AL321/AK321*100))</f>
        <v/>
      </c>
      <c r="AO321" s="182" t="str">
        <f>IF(D321="","",IF(AI321=2,(('Calc (ex-animal)'!$L$65*'Calc (ex-housing, ex-storage)'!F321/100+'Calc (ex-animal)'!$K$65*'Calc (ex-housing, ex-storage)'!F321/100))/VLOOKUP($C$319,'DB animal categories'!$C$117:$AC$126,27,FALSE)*AJ321+Q321+R321+S321-AC321,IF(AI321=1,('Calc (ex-animal)'!$L$65*'Calc (ex-housing, ex-storage)'!F321/100)/VLOOKUP($C$319,'DB animal categories'!$C$117:$AC$126,27,FALSE)*AJ321-'Calc (ex-housing, ex-storage)'!AC321,IF(AI321=4,('Calc (ex-animal)'!$L$65+'Calc (ex-animal)'!$K$65)*'Calc (ex-housing, ex-storage)'!F321/100*VLOOKUP(D321,'DB technologies'!$N$154:$Y$166,11,FALSE)/100/VLOOKUP($C$319,'DB animal categories'!$C$117:$AC$126,27,FALSE)*AJ321-AC321*VLOOKUP(D321,'DB technologies'!$N$154:$Y$166,11,FALSE)/100,0))))</f>
        <v/>
      </c>
      <c r="AP321" s="182" t="str">
        <f>IF(D321="","",IF(AO321&lt;-0.01,0,IF(AI321=2,(('Calc (ex-animal)'!$L$65*'Calc (ex-housing, ex-storage)'!F321/100+'Calc (ex-animal)'!$K$65*'Calc (ex-housing, ex-storage)'!F321/100))/VLOOKUP($C$319,'DB animal categories'!$C$117:$AC$126,27,FALSE)*AJ321+Q321+R321+S321-AC321,IF(AI321=1,('Calc (ex-animal)'!$L$65*'Calc (ex-housing, ex-storage)'!F321/100)/VLOOKUP($C$319,'DB animal categories'!$C$117:$AC$126,27,FALSE)*AJ321-'Calc (ex-housing, ex-storage)'!AC321,IF(AI321=4,('Calc (ex-animal)'!$L$65+'Calc (ex-animal)'!$K$65)*'Calc (ex-housing, ex-storage)'!F321/100*VLOOKUP(D321,'DB technologies'!$N$154:$Y$166,11,FALSE)/100/VLOOKUP($C$319,'DB animal categories'!$C$117:$AC$126,27,FALSE)*AJ321-AC321*VLOOKUP(D321,'DB technologies'!$N$154:$Y$166,11,FALSE)/100,0)))))</f>
        <v/>
      </c>
      <c r="AQ321" s="182" t="str">
        <f>IF(D321="","",IF(AI321=2,('Calc (ex-animal)'!$O$65*'Calc (ex-housing, ex-storage)'!F321/100+'Calc (ex-animal)'!$N$65*'Calc (ex-housing, ex-storage)'!F321/100)/VLOOKUP($C$319,'DB animal categories'!$C$117:$AC$126,27,FALSE)*AJ321+U321+V321+W321,IF(AI321=1,'Calc (ex-animal)'!$O$65*'Calc (ex-housing, ex-storage)'!F321/100/VLOOKUP($C$319,'DB animal categories'!$C$117:$AC$126,27,FALSE)*AJ321,IF(AI321=4,('Calc (ex-animal)'!$O$65+'Calc (ex-animal)'!$N$65)*'Calc (ex-housing, ex-storage)'!F321/100*VLOOKUP(D321,'DB technologies'!$N$154:$Y$166,11,FALSE)/100/VLOOKUP($C$319,'DB animal categories'!$C$117:$AC$126,27,FALSE)*AJ321,0))))</f>
        <v/>
      </c>
      <c r="AR321" s="182" t="str">
        <f>IF(D321="","",IF(AI321=2,('Calc (ex-animal)'!$R$65*'Calc (ex-housing, ex-storage)'!F321/100+'Calc (ex-animal)'!$Q$65*'Calc (ex-housing, ex-storage)'!F321/100)/VLOOKUP($C$319,'DB animal categories'!$C$117:$AC$126,27,FALSE)*AJ321+Y321+Z321+AA321,IF(AI321=1,'Calc (ex-animal)'!$R$65*'Calc (ex-housing, ex-storage)'!F321/100/VLOOKUP($C$319,'DB animal categories'!$C$117:$AC$126,27,FALSE)*AJ321,IF(AI321=4,('Calc (ex-animal)'!$R$65+'Calc (ex-animal)'!$Q$65)*'Calc (ex-housing, ex-storage)'!F321/100*VLOOKUP(D321,'DB technologies'!$N$154:$Y$166,11,FALSE)/100/VLOOKUP($C$319,'DB animal categories'!$C$117:$AC$126,27,FALSE)*AJ321,0))))</f>
        <v/>
      </c>
      <c r="AS321" s="181" t="str">
        <f>IF(D321="","",VLOOKUP(D321,'DB technologies'!$N$154:$Y$166,10,FALSE))</f>
        <v/>
      </c>
      <c r="AT321" s="442" t="str">
        <f>IF(AS321="","",AU321+AV321)</f>
        <v/>
      </c>
      <c r="AU321" s="442" t="str">
        <f>IF(D321="","",IF(AS321=2,0,IF(AS321=1,'Calc (ex-animal)'!$G$65*'DB additional information '!$K$13/100*(1-VLOOKUP(D321,'DB technologies'!$N$154:$Y$166,8,FALSE)/100)*'Calc (ex-housing, ex-storage)'!F321/100/VLOOKUP($C$319,'DB animal categories'!$C$117:$AC$126,27,FALSE)*AJ321+I321+J321+K321,IF(AS321=5,(('Calc (ex-animal)'!$G$65*'DB additional information '!$K$13/100+'Calc (ex-animal)'!$H$65*'DB additional information '!$L$13/100))*(1-VLOOKUP(D321,'DB technologies'!$N$154:$Y$166,9,FALSE)/100)*'Calc (ex-housing, ex-storage)'!F321/100/VLOOKUP($C$319,'DB animal categories'!$C$117:$AC$126,27,FALSE)*AJ321+I321+J321+K321,IF(AS321=3,('Calc (ex-animal)'!$G$65*'DB additional information '!$K$13/100+'Calc (ex-animal)'!$H$65*'DB additional information '!$L$13/100)*(1-VLOOKUP(D321,'DB technologies'!$N$154:$Y$166,9,FALSE)/100)*'Calc (ex-housing, ex-storage)'!F321/100/VLOOKUP($C$319,'DB animal categories'!$C$117:$AC$126,27,FALSE)*AJ321+I321+J321+K321,IF(AS321=4,('Calc (ex-animal)'!$G$65*'DB additional information '!$K$13/100+'Calc (ex-animal)'!$H$65*'DB additional information '!$L$13/100)*(1-VLOOKUP(D321,'DB technologies'!$N$154:$Y$166,9,FALSE)/100)*'Calc (ex-housing, ex-storage)'!F321/100*VLOOKUP(D321,'DB technologies'!$N$154:$Y$166,12,FALSE)/100/VLOOKUP($C$319,'DB animal categories'!$C$117:$AC$126,27,FALSE)*AJ321+I321+J321+K321,0))))))</f>
        <v/>
      </c>
      <c r="AV321" s="442" t="str">
        <f>IF(D321="","",IF(AS321=2,0,IF(AS321=1,'Calc (ex-animal)'!$G$65*(1-'DB additional information '!$K$13/100)*(1-VLOOKUP(D321,'DB technologies'!$N$154:$Y$166,8,FALSE)/100)*'Calc (ex-housing, ex-storage)'!F321/100/VLOOKUP($C$319,'DB animal categories'!$C$117:$AC$126,27,FALSE)*AJ321+M321+N321+O321,IF(AS321=5,('Calc (ex-animal)'!$G$65*(1-'DB additional information '!$K$13/100)+'Calc (ex-animal)'!$H$65*(1-'DB additional information '!$L$13/100))*(1-VLOOKUP(D321,'DB technologies'!$N$154:$Y$166,8,FALSE)/100)*'Calc (ex-housing, ex-storage)'!F321/100/VLOOKUP($C$319,'DB animal categories'!$C$117:$AC$126,27,FALSE)*AJ321+M321+N321+O321,IF(AS321=3,('Calc (ex-animal)'!$G$65*(1-'DB additional information '!$K$13/100)+'Calc (ex-animal)'!$H$65*(1-'DB additional information '!$L$13/100))*(1-VLOOKUP(D321,'DB technologies'!$N$154:$Y$166,8,FALSE)/100)*'Calc (ex-housing, ex-storage)'!F321/100/VLOOKUP($C$319,'DB animal categories'!$C$117:$AC$126,27,FALSE)*AJ321+M321+N321+O321,IF(AS321=4,('Calc (ex-animal)'!$G$65*(1-'DB additional information '!$K$13/100)+'Calc (ex-animal)'!$H$65*(1-'DB additional information '!$L$13/100))*(1-VLOOKUP(D321,'DB technologies'!$N$154:$Y$166,8,FALSE)/100)*'Calc (ex-housing, ex-storage)'!F321/100*VLOOKUP(D321,'DB technologies'!$N$154:$Y$166,12,FALSE)/100/VLOOKUP($C$319,'DB animal categories'!$C$117:$AC$126,27,FALSE)*AJ321+M321+N321+O321,0))))))</f>
        <v/>
      </c>
      <c r="AW321" s="442" t="str">
        <f>IF(AS321="","",IF(AU321=0,0,AU321/AT321*100))</f>
        <v/>
      </c>
      <c r="AX321" s="182" t="str">
        <f>IF(D321="","",IF(AS321=2,0,IF(AS321=1,'Calc (ex-animal)'!$K$65*'Calc (ex-housing, ex-storage)'!F321/100/VLOOKUP($C$319,'DB animal categories'!$C$117:$AC$126,27,FALSE)*AJ321+Q321+R321+S321,IF(AS321=5,('Calc (ex-animal)'!$K$65+'Calc (ex-animal)'!$L$65)*'Calc (ex-housing, ex-storage)'!F321/100/VLOOKUP($C$319,'DB animal categories'!$C$117:$AC$126,27,FALSE)*AJ321+Q321+R321+S321-'Calc (ex-housing, ex-storage)'!AC321,IF(AS321=3,('Calc (ex-animal)'!$K$65+'Calc (ex-animal)'!$L$65)*'Calc (ex-housing, ex-storage)'!F321/100/VLOOKUP($C$319,'DB animal categories'!$C$117:$AC$126,27,FALSE)*AJ321+Q321+R321+S321-'Calc (ex-housing, ex-storage)'!AC321-AD321-AE321,IF(AI321=4,('Calc (ex-animal)'!$K$65+'Calc (ex-animal)'!$L$65)*'Calc (ex-housing, ex-storage)'!F321/100*VLOOKUP(D321,'DB technologies'!$N$154:$Y$166,12,FALSE)/100/VLOOKUP($C$319,'DB animal categories'!$C$117:$AC$126,27,FALSE)*AJ321+Q321+R321+S321-(VLOOKUP(D321,'DB technologies'!$N$154:$Y$166,12,FALSE)/100*AC321)-AD321-AE321,0))))))</f>
        <v/>
      </c>
      <c r="AY321" s="182" t="str">
        <f>IF(D321="","",IF(AS321=2,0,IF(AS321=1,'Calc (ex-animal)'!$N$65*'Calc (ex-housing, ex-storage)'!F321/100/VLOOKUP($C$319,'DB animal categories'!$C$117:$AC$126,27,FALSE)*AJ321+U321+V321+W321,IF(AS321=5,('Calc (ex-animal)'!$N$65+'Calc (ex-animal)'!$O$65)*'Calc (ex-housing, ex-storage)'!F321/100/VLOOKUP($C$319,'DB animal categories'!$C$117:$AC$126,27,FALSE)*AJ321+U321+V321+W321,IF(AS321=3,('Calc (ex-animal)'!$N$65+'Calc (ex-animal)'!$O$65)*'Calc (ex-housing, ex-storage)'!F321/100/VLOOKUP($C$319,'DB animal categories'!$C$117:$AC$126,27,FALSE)*AJ321+U321+V321+W321,IF(AS321=4,('Calc (ex-animal)'!$N$65+'Calc (ex-animal)'!$O$65)*'Calc (ex-housing, ex-storage)'!F321/100*VLOOKUP(D321,'DB technologies'!$N$154:$Y$166,12,FALSE)/100/VLOOKUP($C$319,'DB animal categories'!$C$117:$AC$126,27,FALSE)*AJ321+U321+V321+W321,0))))))</f>
        <v/>
      </c>
      <c r="AZ321" s="182" t="str">
        <f>IF(D321="","",IF(AS321=2,0,IF(AS321=1,'Calc (ex-animal)'!$Q$65*'Calc (ex-housing, ex-storage)'!F321/100/VLOOKUP($C$319,'DB animal categories'!$C$117:$AC$126,27,FALSE)*AJ321+Y321+Z321+AA321,IF(AS321=5,('Calc (ex-animal)'!$Q$65+'Calc (ex-animal)'!$R$65)*'Calc (ex-housing, ex-storage)'!F321/100/VLOOKUP($C$319,'DB animal categories'!$C$117:$AC$126,27,FALSE)*AJ321+Y321+Z321+AA321,IF(AS321=3,('Calc (ex-animal)'!$Q$65+'Calc (ex-animal)'!$R$65)*'Calc (ex-housing, ex-storage)'!F321/100/VLOOKUP($C$319,'DB animal categories'!$C$117:$AC$126,27,FALSE)*AJ321+Y321+Z321+AA321,IF(AS321=4,('Calc (ex-animal)'!$Q$65+'Calc (ex-animal)'!$R$65)*'Calc (ex-housing, ex-storage)'!F321/100*VLOOKUP(D321,'DB technologies'!$N$154:$Y$166,12,FALSE)/100/VLOOKUP($C$319,'DB animal categories'!$C$117:$AC$126,27,FALSE)*AJ321+Y321+Z321+AA321,0))))))</f>
        <v/>
      </c>
      <c r="BA321" s="506"/>
      <c r="BB321" s="506"/>
      <c r="BC321" s="506"/>
    </row>
    <row r="322" spans="1:55" x14ac:dyDescent="0.2">
      <c r="A322" s="695"/>
      <c r="B322" s="695"/>
      <c r="C322" s="251"/>
      <c r="D322" s="1357"/>
      <c r="E322" s="1358"/>
      <c r="F322" s="480" t="str">
        <f>IF('Calc (ex-animal)'!$F$63=1,"",IF($C$319=0,"",IF(D322="","",E322/'Calc (ex-animal)'!$E$65*100)))</f>
        <v/>
      </c>
      <c r="G322" s="485" t="str">
        <f>IF($C$319=0,"",IF('Calc (ex-animal)'!$F$63=1,"",IF(D322="","",SUM(H322:O322))))</f>
        <v/>
      </c>
      <c r="H322" s="423" t="str">
        <f>IF('Calc (ex-animal)'!$F$63=1,"",IF(D322="","",(((VLOOKUP($C$319,'Calc (ex-animal)'!$D$63:$Y$67,6,FALSE)-VLOOKUP($C$319,'Calc (ex-animal)'!$D$63:$Y$67,17,FALSE))*F322/100))*VLOOKUP($C$319,'Calc (ex-animal)'!$D$63:$Y$67,7,FALSE)/100*(1-VLOOKUP(D322,'DB technologies'!$N$154:$Y$166,9,FALSE)/100)))</f>
        <v/>
      </c>
      <c r="I322" s="423" t="str">
        <f>IF(D322="","",((VLOOKUP(D322,'DB technologies'!$N$154:$Y$166,2,FALSE)*VLOOKUP($C$319,'DB animal categories'!$C$117:$AC$126,27,FALSE)*E322/1000)/VLOOKUP($C$319,'DB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'!$S$6/100*(1-VLOOKUP(D322,'DB technologies'!$N$154:$Y$166,9,FALSE)/100)))</f>
        <v/>
      </c>
      <c r="J322" s="434" t="str">
        <f>IF(D322="","",((VLOOKUP(D322,'DB technologies'!$N$154:$Y$166,3,FALSE)*VLOOKUP($C$319,'DB animal categories'!$C$117:$AC$126,27,FALSE)*E322/1000)/VLOOKUP($C$319,'DB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'!$S$7/100*(1-VLOOKUP(D322,'DB technologies'!$N$154:$Y$166,9,FALSE)/100)))</f>
        <v/>
      </c>
      <c r="K322" s="434" t="str">
        <f>IF(D322="","",((VLOOKUP(D322,'DB technologies'!$N$154:$Y$166,4,FALSE)*E322*'DB additional information '!$S$8/100*(1-VLOOKUP(D322,'DB technologies'!$N$154:$Y$166,9,FALSE)/100))/VLOOKUP($C$319,'DB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L322" s="423" t="str">
        <f>IF('Calc (ex-animal)'!$F$63=1,"",IF(D322="","",(((VLOOKUP($C$319,'Calc (ex-animal)'!$D$63:$Y$67,6,FALSE)-VLOOKUP($C$319,'Calc (ex-animal)'!$D$63:$Y$67,17,FALSE))*F322/100))*(1-VLOOKUP($C$319,'Calc (ex-animal)'!$D$63:$Y$67,7,FALSE)/100)*(1-VLOOKUP(D322,'DB technologies'!$N$154:$V$166,8,FALSE)/100)))</f>
        <v/>
      </c>
      <c r="M322" s="434" t="str">
        <f>IF(D322="","",((VLOOKUP(D322,'DB technologies'!$N$154:$Y$166,2,FALSE)*VLOOKUP($C$319,'DB animal categories'!$C$117:$AC$126,27,FALSE)*E322/1000)/VLOOKUP($C$319,'DB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'!$S$6/100)*(1-VLOOKUP(D322,'DB technologies'!$N$154:$Y$166,9,FALSE)/100))</f>
        <v/>
      </c>
      <c r="N322" s="434" t="str">
        <f>IF(D322="","",((VLOOKUP(D322,'DB technologies'!$N$154:$Y$166,3,FALSE)*VLOOKUP($C$319,'DB animal categories'!$C$117:$AC$126,27,FALSE)*E322/1000)/VLOOKUP($C$319,'DB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'!$S$7/100)*(1-VLOOKUP(D322,'DB technologies'!$N$154:$Y$166,9,FALSE)/100))</f>
        <v/>
      </c>
      <c r="O322" s="423" t="str">
        <f>IF(D322="","",((VLOOKUP(D322,'DB technologies'!$N$154:$Y$166,4,FALSE)*E322*(1-'DB additional information '!$S$8/100)*(1-VLOOKUP(D322,'DB technologies'!$N$154:$Y$166,8,FALSE)/100))/VLOOKUP($C$319,'DB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P322" s="438" t="str">
        <f>IF(G322=0,0,IF(E322="","",IF(F322="","",IF($C$319=0,"",IF(D322="","",SUM(H322:K322)/G322*100)))))</f>
        <v/>
      </c>
      <c r="Q322" s="416" t="str">
        <f>IF(D322="","",(VLOOKUP(D322,'DB technologies'!$N$154:$Y$166,2,FALSE)*'DB additional information '!$S$6/100*'DB additional information '!$T$6*VLOOKUP($C$319,'DB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R322" s="416" t="str">
        <f>IF(D322="","",(VLOOKUP(D322,'DB technologies'!$N$154:$Y$166,3,FALSE)*'DB additional information '!$S$7/100*'DB additional information '!$T$7*VLOOKUP($C$319,'DB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S322" s="491" t="str">
        <f>IF(D322="","",(VLOOKUP(D322,'DB technologies'!$N$154:$Y$166,4,FALSE)*('DB additional information '!$S$8/100*'DB additional information '!$T$8*E322/1000/1000)))</f>
        <v/>
      </c>
      <c r="T322" s="264" t="str">
        <f>IF($C$319=0,"",IF('Calc (ex-animal)'!$F$63=1,"",IF(D322="","",((VLOOKUP($C$319,'Calc (ex-animal)'!$D$63:$Y$67,10,FALSE)-VLOOKUP($C$319,'Calc (ex-animal)'!$D$63:$Y$67,18,FALSE))*F322/100+Q322+R322+S322)-AC322-AD322-AE322)))</f>
        <v/>
      </c>
      <c r="U322" s="422" t="str">
        <f>IF(D322="","",(VLOOKUP(D322,'DB technologies'!$N$154:$Y$166,2,FALSE)*'DB additional information '!$S$6/100*'DB additional information '!$U$6*VLOOKUP($C$319,'DB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V322" s="418" t="str">
        <f>IF(D322="","",(VLOOKUP(D322,'DB technologies'!$N$154:$Y$166,3,FALSE)*'DB additional information '!$S$7/100*'DB additional information '!$U$7*VLOOKUP($C$319,'DB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W322" s="417" t="str">
        <f>IF(D322="","",(VLOOKUP(D322,'DB technologies'!$N$154:$Y$166,4,FALSE)*('DB additional information '!$S$8/100*'DB additional information '!$U$8*E322/1000/1000)))</f>
        <v/>
      </c>
      <c r="X322" s="261" t="str">
        <f>IF($C$319=0,"",IF('Calc (ex-animal)'!$F$63=1,"",IF(D322="","",((VLOOKUP($C$319,'Calc (ex-animal)'!$D$63:$Y$67,13,FALSE)-VLOOKUP($C$319,'Calc (ex-animal)'!$D$63:$Y$67,19,FALSE))*F322/100+U322+V322+W322))))</f>
        <v/>
      </c>
      <c r="Y322" s="418" t="str">
        <f>IF(D322="","",(VLOOKUP(D322,'DB technologies'!$N$154:$Y$166,2,FALSE)*'DB additional information '!$S$6/100*'DB additional information '!$V$6*VLOOKUP($C$319,'DB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Z322" s="418" t="str">
        <f>IF(D322="","",(VLOOKUP(D322,'DB technologies'!$N$154:$Y$166,3,FALSE)*'DB additional information '!$S$7/100*'DB additional information '!$V$7*VLOOKUP($C$319,'DB animal categories'!$C$117:$AC$126,27,FALSE)*E322/1000/1000)/VLOOKUP($C$319,'DB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AA322" s="418" t="str">
        <f>IF(D322="","",(VLOOKUP(D322,'DB technologies'!$N$154:$Y$166,4,FALSE)*('DB additional information '!$S$8/100*'DB additional information '!$V$8*E322/1000/1000)))</f>
        <v/>
      </c>
      <c r="AB322" s="261" t="str">
        <f>IF($C$319=0,"",IF('Calc (ex-animal)'!$F$63=1,"",IF(D322="","",((VLOOKUP($C$319,'Calc (ex-animal)'!$D$63:$Y$67,16,FALSE)-VLOOKUP($C$319,'Calc (ex-animal)'!$D$63:$Y$67,20,FALSE))*F322/100+Y322+Z322+AA322))))</f>
        <v/>
      </c>
      <c r="AC322" s="261" t="str">
        <f>IF($C$319=0,"",IF('Calc (ex-animal)'!$F$63=1,"",IF(D322="","",VLOOKUP($C$319,'Calc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categories'!$C$117:$AC$126,26,FALSE)/24)*F322/100*VLOOKUP(D322,'DB technologies'!$N$154:$R$166,5,FALSE)/100)))</f>
        <v/>
      </c>
      <c r="AD322" s="261" t="str">
        <f>IF($C$319=0,"",IF('Calc (ex-animal)'!$F$63=1,"",IF(D322="","",VLOOKUP($C$319,'Calc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categories'!$C$117:$AC$126,26,FALSE)/24)*F322/100*VLOOKUP(D322,'DB technologies'!$N$154:$Y$166,6,FALSE)/100)))</f>
        <v/>
      </c>
      <c r="AE322" s="262" t="str">
        <f>IF($C$319=0,"",IF('Calc (ex-animal)'!$F$63=1,"",IF(D322="","",VLOOKUP($C$319,'Calc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categories'!$C$117:$AC$126,26,FALSE)/24)*F322/100*VLOOKUP(D322,'DB technologies'!$N$154:$Y$166,7,FALSE)/100)))</f>
        <v/>
      </c>
      <c r="AI322" s="181" t="str">
        <f>IF(D322="","",VLOOKUP(D322,'DB technologies'!$N$154:$Y$166,10,FALSE))</f>
        <v/>
      </c>
      <c r="AJ322" s="449" t="e">
        <f>VLOOKUP($C$319,'DB animal categories'!$C$117:$AN$126,27,FALSE)-VLOOKUP($C$319,'DB animal categories'!$C$117:$AN$126,26,FALSE)*VLOOKUP($C$319,'DB animal categories'!$C$117:$AN$126,25,FALSE)/24</f>
        <v>#N/A</v>
      </c>
      <c r="AK322" s="442" t="str">
        <f>IF(AI322="","",AL322+AM322)</f>
        <v/>
      </c>
      <c r="AL322" s="442" t="str">
        <f>IF(D322="","",IF(AI322=2,(('Calc (ex-animal)'!$G$65*'DB additional information '!$K$13/100*(1-VLOOKUP(D322,'DB technologies'!$N$154:$Y$166,9,FALSE)/100)*'Calc (ex-housing, ex-storage)'!F322/100+'Calc (ex-animal)'!$H$65*'DB additional information '!$L$13/100*(1-VLOOKUP(D322,'DB technologies'!$N$154:$Y$166,9,FALSE)/100)*'Calc (ex-housing, ex-storage)'!F322/100))/VLOOKUP($C$319,'DB animal categories'!$C$117:$AC$126,27,FALSE)*AJ322+I322+J322+K322,IF(AI322=1,('Calc (ex-animal)'!$H$65*'DB additional information '!$L$13/100*(1-VLOOKUP(D322,'DB technologies'!$N$154:$Y$166,9,FALSE)/100)*'Calc (ex-housing, ex-storage)'!F322/100)/VLOOKUP($C$319,'DB animal categories'!$C$117:$AC$126,27,FALSE)*AJ322,IF(AI322=4,('Calc (ex-animal)'!$G$65*'DB additional information '!$K$13/100+'Calc (ex-animal)'!$H$65*'DB additional information '!$L$13/100)*(1-VLOOKUP(D322,'DB technologies'!$N$154:$Y$166,9,FALSE)/100)*'Calc (ex-housing, ex-storage)'!F322/100*VLOOKUP(D322,'DB technologies'!$N$154:$Y$166,11,FALSE)/100/VLOOKUP($C$319,'DB animal categories'!$C$117:$AC$126,27,FALSE)*AJ322,0))))</f>
        <v/>
      </c>
      <c r="AM322" s="442" t="str">
        <f>IF(D322="","",IF(AI322=2,(('Calc (ex-animal)'!$G$65*(1-'DB additional information '!$K$13/100)*(1-VLOOKUP(D322,'DB technologies'!$N$154:$Y$166,8,FALSE)/100)*'Calc (ex-housing, ex-storage)'!F322/100+'Calc (ex-animal)'!$H$65*(1-'DB additional information '!$L$13/100)*(1-VLOOKUP(D322,'DB technologies'!$N$154:$Y$166,8,FALSE)/100)*'Calc (ex-housing, ex-storage)'!F322/100))/VLOOKUP($C$319,'DB animal categories'!$C$117:$AC$126,27,FALSE)*AJ322+M322+N322+O322,IF(AI322=1,('Calc (ex-animal)'!$H$65*(1-'DB additional information '!$L$13/100)*(1-VLOOKUP(D322,'DB technologies'!$N$154:$Y$166,8,FALSE)/100)*'Calc (ex-housing, ex-storage)'!F322/100)/VLOOKUP($C$319,'DB animal categories'!$C$117:$AC$126,27,FALSE)*AJ322,IF(AI322=4,('Calc (ex-animal)'!$G$65*(1-'DB additional information '!$K$13/100)+'Calc (ex-animal)'!$H$65*(1-'DB additional information '!$L$13/100))*(1-VLOOKUP(D322,'DB technologies'!$N$154:$Y$166,8,FALSE)/100)*'Calc (ex-housing, ex-storage)'!F322/100*VLOOKUP(D322,'DB technologies'!$N$154:$Y$166,11,FALSE)/100/VLOOKUP($C$319,'DB animal categories'!$C$117:$AC$126,27,FALSE)*AJ322,0))))</f>
        <v/>
      </c>
      <c r="AN322" s="442" t="str">
        <f>IF(AI322="","",IF(AL322=0,0,AL322/AK322*100))</f>
        <v/>
      </c>
      <c r="AO322" s="182" t="str">
        <f>IF(D322="","",IF(AI322=2,(('Calc (ex-animal)'!$L$65*'Calc (ex-housing, ex-storage)'!F322/100+'Calc (ex-animal)'!$K$65*'Calc (ex-housing, ex-storage)'!F322/100))/VLOOKUP($C$319,'DB animal categories'!$C$117:$AC$126,27,FALSE)*AJ322+Q322+R322+S322-AC322,IF(AI322=1,('Calc (ex-animal)'!$L$65*'Calc (ex-housing, ex-storage)'!F322/100)/VLOOKUP($C$319,'DB animal categories'!$C$117:$AC$126,27,FALSE)*AJ322-'Calc (ex-housing, ex-storage)'!AC322,IF(AI322=4,('Calc (ex-animal)'!$L$65+'Calc (ex-animal)'!$K$65)*'Calc (ex-housing, ex-storage)'!F322/100*VLOOKUP(D322,'DB technologies'!$N$154:$Y$166,11,FALSE)/100/VLOOKUP($C$319,'DB animal categories'!$C$117:$AC$126,27,FALSE)*AJ322-AC322*VLOOKUP(D322,'DB technologies'!$N$154:$Y$166,11,FALSE)/100,0))))</f>
        <v/>
      </c>
      <c r="AP322" s="182" t="str">
        <f>IF(D322="","",IF(AO322&lt;-0.01,0,IF(AI322=2,(('Calc (ex-animal)'!$L$65*'Calc (ex-housing, ex-storage)'!F322/100+'Calc (ex-animal)'!$K$65*'Calc (ex-housing, ex-storage)'!F322/100))/VLOOKUP($C$319,'DB animal categories'!$C$117:$AC$126,27,FALSE)*AJ322+Q322+R322+S322-AC322,IF(AI322=1,('Calc (ex-animal)'!$L$65*'Calc (ex-housing, ex-storage)'!F322/100)/VLOOKUP($C$319,'DB animal categories'!$C$117:$AC$126,27,FALSE)*AJ322-'Calc (ex-housing, ex-storage)'!AC322,IF(AI322=4,('Calc (ex-animal)'!$L$65+'Calc (ex-animal)'!$K$65)*'Calc (ex-housing, ex-storage)'!F322/100*VLOOKUP(D322,'DB technologies'!$N$154:$Y$166,11,FALSE)/100/VLOOKUP($C$319,'DB animal categories'!$C$117:$AC$126,27,FALSE)*AJ322-AC322*VLOOKUP(D322,'DB technologies'!$N$154:$Y$166,11,FALSE)/100,0)))))</f>
        <v/>
      </c>
      <c r="AQ322" s="182" t="str">
        <f>IF(D322="","",IF(AI322=2,('Calc (ex-animal)'!$O$65*'Calc (ex-housing, ex-storage)'!F322/100+'Calc (ex-animal)'!$N$65*'Calc (ex-housing, ex-storage)'!F322/100)/VLOOKUP($C$319,'DB animal categories'!$C$117:$AC$126,27,FALSE)*AJ322+U322+V322+W322,IF(AI322=1,'Calc (ex-animal)'!$O$65*'Calc (ex-housing, ex-storage)'!F322/100/VLOOKUP($C$319,'DB animal categories'!$C$117:$AC$126,27,FALSE)*AJ322,IF(AI322=4,('Calc (ex-animal)'!$O$65+'Calc (ex-animal)'!$N$65)*'Calc (ex-housing, ex-storage)'!F322/100*VLOOKUP(D322,'DB technologies'!$N$154:$Y$166,11,FALSE)/100/VLOOKUP($C$319,'DB animal categories'!$C$117:$AC$126,27,FALSE)*AJ322,0))))</f>
        <v/>
      </c>
      <c r="AR322" s="182" t="str">
        <f>IF(D322="","",IF(AI322=2,('Calc (ex-animal)'!$R$65*'Calc (ex-housing, ex-storage)'!F322/100+'Calc (ex-animal)'!$Q$65*'Calc (ex-housing, ex-storage)'!F322/100)/VLOOKUP($C$319,'DB animal categories'!$C$117:$AC$126,27,FALSE)*AJ322+Y322+Z322+AA322,IF(AI322=1,'Calc (ex-animal)'!$R$65*'Calc (ex-housing, ex-storage)'!F322/100/VLOOKUP($C$319,'DB animal categories'!$C$117:$AC$126,27,FALSE)*AJ322,IF(AI322=4,('Calc (ex-animal)'!$R$65+'Calc (ex-animal)'!$Q$65)*'Calc (ex-housing, ex-storage)'!F322/100*VLOOKUP(D322,'DB technologies'!$N$154:$Y$166,11,FALSE)/100/VLOOKUP($C$319,'DB animal categories'!$C$117:$AC$126,27,FALSE)*AJ322,0))))</f>
        <v/>
      </c>
      <c r="AS322" s="181" t="str">
        <f>IF(D322="","",VLOOKUP(D322,'DB technologies'!$N$154:$Y$166,10,FALSE))</f>
        <v/>
      </c>
      <c r="AT322" s="442" t="str">
        <f>IF(AS322="","",AU322+AV322)</f>
        <v/>
      </c>
      <c r="AU322" s="442" t="str">
        <f>IF(D322="","",IF(AS322=2,0,IF(AS322=1,'Calc (ex-animal)'!$G$65*'DB additional information '!$K$13/100*(1-VLOOKUP(D322,'DB technologies'!$N$154:$Y$166,8,FALSE)/100)*'Calc (ex-housing, ex-storage)'!F322/100/VLOOKUP($C$319,'DB animal categories'!$C$117:$AC$126,27,FALSE)*AJ322+I322+J322+K322,IF(AS322=5,(('Calc (ex-animal)'!$G$65*'DB additional information '!$K$13/100+'Calc (ex-animal)'!$H$65*'DB additional information '!$L$13/100))*(1-VLOOKUP(D322,'DB technologies'!$N$154:$Y$166,9,FALSE)/100)*'Calc (ex-housing, ex-storage)'!F322/100/VLOOKUP($C$319,'DB animal categories'!$C$117:$AC$126,27,FALSE)*AJ322+I322+J322+K322,IF(AS322=3,('Calc (ex-animal)'!$G$65*'DB additional information '!$K$13/100+'Calc (ex-animal)'!$H$65*'DB additional information '!$L$13/100)*(1-VLOOKUP(D322,'DB technologies'!$N$154:$Y$166,9,FALSE)/100)*'Calc (ex-housing, ex-storage)'!F322/100/VLOOKUP($C$319,'DB animal categories'!$C$117:$AC$126,27,FALSE)*AJ322+I322+J322+K322,IF(AS322=4,('Calc (ex-animal)'!$G$65*'DB additional information '!$K$13/100+'Calc (ex-animal)'!$H$65*'DB additional information '!$L$13/100)*(1-VLOOKUP(D322,'DB technologies'!$N$154:$Y$166,9,FALSE)/100)*'Calc (ex-housing, ex-storage)'!F322/100*VLOOKUP(D322,'DB technologies'!$N$154:$Y$166,12,FALSE)/100/VLOOKUP($C$319,'DB animal categories'!$C$117:$AC$126,27,FALSE)*AJ322+I322+J322+K322,0))))))</f>
        <v/>
      </c>
      <c r="AV322" s="442" t="str">
        <f>IF(D322="","",IF(AS322=2,0,IF(AS322=1,'Calc (ex-animal)'!$G$65*(1-'DB additional information '!$K$13/100)*(1-VLOOKUP(D322,'DB technologies'!$N$154:$Y$166,8,FALSE)/100)*'Calc (ex-housing, ex-storage)'!F322/100/VLOOKUP($C$319,'DB animal categories'!$C$117:$AC$126,27,FALSE)*AJ322+M322+N322+O322,IF(AS322=5,('Calc (ex-animal)'!$G$65*(1-'DB additional information '!$K$13/100)+'Calc (ex-animal)'!$H$65*(1-'DB additional information '!$L$13/100))*(1-VLOOKUP(D322,'DB technologies'!$N$154:$Y$166,8,FALSE)/100)*'Calc (ex-housing, ex-storage)'!F322/100/VLOOKUP($C$319,'DB animal categories'!$C$117:$AC$126,27,FALSE)*AJ322+M322+N322+O322,IF(AS322=3,('Calc (ex-animal)'!$G$65*(1-'DB additional information '!$K$13/100)+'Calc (ex-animal)'!$H$65*(1-'DB additional information '!$L$13/100))*(1-VLOOKUP(D322,'DB technologies'!$N$154:$Y$166,8,FALSE)/100)*'Calc (ex-housing, ex-storage)'!F322/100/VLOOKUP($C$319,'DB animal categories'!$C$117:$AC$126,27,FALSE)*AJ322+M322+N322+O322,IF(AS322=4,('Calc (ex-animal)'!$G$65*(1-'DB additional information '!$K$13/100)+'Calc (ex-animal)'!$H$65*(1-'DB additional information '!$L$13/100))*(1-VLOOKUP(D322,'DB technologies'!$N$154:$Y$166,8,FALSE)/100)*'Calc (ex-housing, ex-storage)'!F322/100*VLOOKUP(D322,'DB technologies'!$N$154:$Y$166,12,FALSE)/100/VLOOKUP($C$319,'DB animal categories'!$C$117:$AC$126,27,FALSE)*AJ322+M322+N322+O322,0))))))</f>
        <v/>
      </c>
      <c r="AW322" s="442" t="str">
        <f>IF(AS322="","",IF(AU322=0,0,AU322/AT322*100))</f>
        <v/>
      </c>
      <c r="AX322" s="182" t="str">
        <f>IF(D322="","",IF(AS322=2,0,IF(AS322=1,'Calc (ex-animal)'!$K$65*'Calc (ex-housing, ex-storage)'!F322/100/VLOOKUP($C$319,'DB animal categories'!$C$117:$AC$126,27,FALSE)*AJ322+Q322+R322+S322,IF(AS322=5,('Calc (ex-animal)'!$K$65+'Calc (ex-animal)'!$L$65)*'Calc (ex-housing, ex-storage)'!F322/100/VLOOKUP($C$319,'DB animal categories'!$C$117:$AC$126,27,FALSE)*AJ322+Q322+R322+S322-'Calc (ex-housing, ex-storage)'!AC322,IF(AS322=3,('Calc (ex-animal)'!$K$65+'Calc (ex-animal)'!$L$65)*'Calc (ex-housing, ex-storage)'!F322/100/VLOOKUP($C$319,'DB animal categories'!$C$117:$AC$126,27,FALSE)*AJ322+Q322+R322+S322-'Calc (ex-housing, ex-storage)'!AC322-AD322-AE322,IF(AI322=4,('Calc (ex-animal)'!$K$65+'Calc (ex-animal)'!$L$65)*'Calc (ex-housing, ex-storage)'!F322/100*VLOOKUP(D322,'DB technologies'!$N$154:$Y$166,12,FALSE)/100/VLOOKUP($C$319,'DB animal categories'!$C$117:$AC$126,27,FALSE)*AJ322+Q322+R322+S322-(VLOOKUP(D322,'DB technologies'!$N$154:$Y$166,12,FALSE)/100*AC322)-AD322-AE322,0))))))</f>
        <v/>
      </c>
      <c r="AY322" s="182" t="str">
        <f>IF(D322="","",IF(AS322=2,0,IF(AS322=1,'Calc (ex-animal)'!$N$65*'Calc (ex-housing, ex-storage)'!F322/100/VLOOKUP($C$319,'DB animal categories'!$C$117:$AC$126,27,FALSE)*AJ322+U322+V322+W322,IF(AS322=5,('Calc (ex-animal)'!$N$65+'Calc (ex-animal)'!$O$65)*'Calc (ex-housing, ex-storage)'!F322/100/VLOOKUP($C$319,'DB animal categories'!$C$117:$AC$126,27,FALSE)*AJ322+U322+V322+W322,IF(AS322=3,('Calc (ex-animal)'!$N$65+'Calc (ex-animal)'!$O$65)*'Calc (ex-housing, ex-storage)'!F322/100/VLOOKUP($C$319,'DB animal categories'!$C$117:$AC$126,27,FALSE)*AJ322+U322+V322+W322,IF(AS322=4,('Calc (ex-animal)'!$N$65+'Calc (ex-animal)'!$O$65)*'Calc (ex-housing, ex-storage)'!F322/100*VLOOKUP(D322,'DB technologies'!$N$154:$Y$166,12,FALSE)/100/VLOOKUP($C$319,'DB animal categories'!$C$117:$AC$126,27,FALSE)*AJ322+U322+V322+W322,0))))))</f>
        <v/>
      </c>
      <c r="AZ322" s="182" t="str">
        <f>IF(D322="","",IF(AS322=2,0,IF(AS322=1,'Calc (ex-animal)'!$Q$65*'Calc (ex-housing, ex-storage)'!F322/100/VLOOKUP($C$319,'DB animal categories'!$C$117:$AC$126,27,FALSE)*AJ322+Y322+Z322+AA322,IF(AS322=5,('Calc (ex-animal)'!$Q$65+'Calc (ex-animal)'!$R$65)*'Calc (ex-housing, ex-storage)'!F322/100/VLOOKUP($C$319,'DB animal categories'!$C$117:$AC$126,27,FALSE)*AJ322+Y322+Z322+AA322,IF(AS322=3,('Calc (ex-animal)'!$Q$65+'Calc (ex-animal)'!$R$65)*'Calc (ex-housing, ex-storage)'!F322/100/VLOOKUP($C$319,'DB animal categories'!$C$117:$AC$126,27,FALSE)*AJ322+Y322+Z322+AA322,IF(AS322=4,('Calc (ex-animal)'!$Q$65+'Calc (ex-animal)'!$R$65)*'Calc (ex-housing, ex-storage)'!F322/100*VLOOKUP(D322,'DB technologies'!$N$154:$Y$166,12,FALSE)/100/VLOOKUP($C$319,'DB animal categories'!$C$117:$AC$126,27,FALSE)*AJ322+Y322+Z322+AA322,0))))))</f>
        <v/>
      </c>
      <c r="BA322" s="506"/>
      <c r="BB322" s="506"/>
      <c r="BC322" s="506"/>
    </row>
    <row r="323" spans="1:55" ht="12" thickBot="1" x14ac:dyDescent="0.25">
      <c r="A323" s="695"/>
      <c r="B323" s="695"/>
      <c r="C323" s="251"/>
      <c r="D323" s="1359"/>
      <c r="E323" s="1360"/>
      <c r="F323" s="481" t="str">
        <f>IF('Calc (ex-animal)'!$F$63=1,"",IF($C$319=0,"",IF(D323="","",E323/'Calc (ex-animal)'!$E$65*100)))</f>
        <v/>
      </c>
      <c r="G323" s="483" t="str">
        <f>IF($C$319=0,"",IF('Calc (ex-animal)'!$F$63=1,"",IF(D323="","",SUM(H323:O323))))</f>
        <v/>
      </c>
      <c r="H323" s="445" t="str">
        <f>IF('Calc (ex-animal)'!$F$63=1,"",IF(D323="","",(((VLOOKUP($C$319,'Calc (ex-animal)'!$D$63:$Y$67,6,FALSE)-VLOOKUP($C$319,'Calc (ex-animal)'!$D$63:$Y$67,17,FALSE))*F323/100))*VLOOKUP($C$319,'Calc (ex-animal)'!$D$63:$Y$67,7,FALSE)/100*(1-VLOOKUP(D323,'DB technologies'!$N$154:$Y$166,9,FALSE)/100)))</f>
        <v/>
      </c>
      <c r="I323" s="445" t="str">
        <f>IF(D323="","",((VLOOKUP(D323,'DB technologies'!$N$154:$Y$166,2,FALSE)*VLOOKUP($C$319,'DB animal categories'!$C$117:$AC$126,27,FALSE)*E323/1000)/VLOOKUP($C$319,'DB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'!$S$6/100*(1-VLOOKUP(D323,'DB technologies'!$N$154:$Y$166,9,FALSE)/100)))</f>
        <v/>
      </c>
      <c r="J323" s="446" t="str">
        <f>IF(D323="","",((VLOOKUP(D323,'DB technologies'!$N$154:$Y$166,3,FALSE)*VLOOKUP($C$319,'DB animal categories'!$C$117:$AC$126,27,FALSE)*E323/1000)/VLOOKUP($C$319,'DB animal categories'!$C$117:$AC$126,27,FALSE)*(VLOOKUP($C$319,'DB animal categories'!$C$117:$AC$126,27,FALSE)-(VLOOKUP($C$319,'DB animal categories'!$C$117:$AC$126,25,FALSE)*VLOOKUP($C$319,'DB animal categories'!$C$117:$AC$126,26,FALSE)/24))*'DB additional information '!$S$7/100*(1-VLOOKUP(D323,'DB technologies'!$N$154:$Y$166,9,FALSE)/100)))</f>
        <v/>
      </c>
      <c r="K323" s="446" t="str">
        <f>IF(D323="","",((VLOOKUP(D323,'DB technologies'!$N$154:$Y$166,4,FALSE)*E323*'DB additional information '!$S$8/100*(1-VLOOKUP(D323,'DB technologies'!$N$154:$Y$166,9,FALSE)/100))/VLOOKUP($C$319,'DB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L323" s="445" t="str">
        <f>IF('Calc (ex-animal)'!$F$63=1,"",IF(D323="","",(((VLOOKUP($C$319,'Calc (ex-animal)'!$D$63:$Y$67,6,FALSE)-VLOOKUP($C$319,'Calc (ex-animal)'!$D$63:$Y$67,17,FALSE))*F323/100))*(1-VLOOKUP($C$319,'Calc (ex-animal)'!$D$63:$Y$67,7,FALSE)/100)*(1-VLOOKUP(D323,'DB technologies'!$N$154:$V$166,8,FALSE)/100)))</f>
        <v/>
      </c>
      <c r="M323" s="446" t="str">
        <f>IF(D323="","",((VLOOKUP(D323,'DB technologies'!$N$154:$Y$166,2,FALSE)*VLOOKUP($C$319,'DB animal categories'!$C$117:$AC$126,27,FALSE)*E323/1000)/VLOOKUP($C$319,'DB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'!$S$6/100)*(1-VLOOKUP(D323,'DB technologies'!$N$154:$Y$166,9,FALSE)/100))</f>
        <v/>
      </c>
      <c r="N323" s="446" t="str">
        <f>IF(D323="","",((VLOOKUP(D323,'DB technologies'!$N$154:$Y$166,3,FALSE)*VLOOKUP($C$319,'DB animal categories'!$C$117:$AC$126,27,FALSE)*E323/1000)/VLOOKUP($C$319,'DB animal categories'!$C$117:$AC$126,27,FALSE)*(VLOOKUP($C$319,'DB animal categories'!$C$117:$AC$126,27,FALSE)-VLOOKUP($C$319,'DB animal categories'!$C$117:$AC$126,25,FALSE)*VLOOKUP($C$319,'DB animal categories'!$C$117:$AC$126,26,FALSE)/24))*(1-'DB additional information '!$S$7/100)*(1-VLOOKUP(D323,'DB technologies'!$N$154:$Y$166,9,FALSE)/100))</f>
        <v/>
      </c>
      <c r="O323" s="445" t="str">
        <f>IF(D323="","",((VLOOKUP(D323,'DB technologies'!$N$154:$Y$166,4,FALSE)*E323*(1-'DB additional information '!$S$8/100)*(1-VLOOKUP(D323,'DB technologies'!$N$154:$Y$166,8,FALSE)/100))/VLOOKUP($C$319,'DB animal categories'!$C$117:$AC$126,27,FALSE)*(VLOOKUP($C$319,'DB animal categories'!$C$117:$AC$126,27,FALSE)-VLOOKUP($C$319,'DB animal categories'!$C$117:$AC$126,25,FALSE)*VLOOKUP($C$319,'DB animal categories'!$C$117:$AC$126,26,FALSE)/24)))</f>
        <v/>
      </c>
      <c r="P323" s="444" t="str">
        <f>IF(G323=0,0,IF(E323="","",IF(F323="","",IF($C$319=0,"",IF(D323="","",SUM(H323:K323)/G323*100)))))</f>
        <v/>
      </c>
      <c r="Q323" s="476" t="str">
        <f>IF(D323="","",(VLOOKUP(D323,'DB technologies'!$N$154:$Y$166,2,FALSE)*'DB additional information '!$S$6/100*'DB additional information '!$T$6*VLOOKUP($C$319,'DB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R323" s="476" t="str">
        <f>IF(D323="","",(VLOOKUP(D323,'DB technologies'!$N$154:$Y$166,3,FALSE)*'DB additional information '!$S$7/100*'DB additional information '!$T$7*VLOOKUP($C$319,'DB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S323" s="494" t="str">
        <f>IF(D323="","",(VLOOKUP(D323,'DB technologies'!$N$154:$Y$166,4,FALSE)*('DB additional information '!$S$8/100*'DB additional information '!$T$8*E323/1000/1000)))</f>
        <v/>
      </c>
      <c r="T323" s="266" t="str">
        <f>IF($C$319=0,"",IF('Calc (ex-animal)'!$F$63=1,"",IF(D323="","",((VLOOKUP($C$319,'Calc (ex-animal)'!$D$63:$Y$67,10,FALSE)-VLOOKUP($C$319,'Calc (ex-animal)'!$D$63:$Y$67,18,FALSE))*F323/100+Q323+R323+S323)-AC323-AD323-AE323)))</f>
        <v/>
      </c>
      <c r="U323" s="477" t="str">
        <f>IF(D323="","",(VLOOKUP(D323,'DB technologies'!$N$154:$Y$166,2,FALSE)*'DB additional information '!$S$6/100*'DB additional information '!$U$6*VLOOKUP($C$319,'DB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V323" s="433" t="str">
        <f>IF(D323="","",(VLOOKUP(D323,'DB technologies'!$N$154:$Y$166,3,FALSE)*'DB additional information '!$S$7/100*'DB additional information '!$U$7*VLOOKUP($C$319,'DB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W323" s="475" t="str">
        <f>IF(D323="","",(VLOOKUP(D323,'DB technologies'!$N$154:$Y$166,4,FALSE)*('DB additional information '!$S$8/100*'DB additional information '!$U$8*E323/1000/1000)))</f>
        <v/>
      </c>
      <c r="X323" s="267" t="str">
        <f>IF($C$319=0,"",IF('Calc (ex-animal)'!$F$63=1,"",IF(D323="","",((VLOOKUP($C$319,'Calc (ex-animal)'!$D$63:$Y$67,13,FALSE)-VLOOKUP($C$319,'Calc (ex-animal)'!$D$63:$Y$67,19,FALSE))*F323/100+U323+V323+W323))))</f>
        <v/>
      </c>
      <c r="Y323" s="433" t="str">
        <f>IF(D323="","",(VLOOKUP(D323,'DB technologies'!$N$154:$Y$166,2,FALSE)*'DB additional information '!$S$6/100*'DB additional information '!$V$6*VLOOKUP($C$319,'DB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Z323" s="433" t="str">
        <f>IF(D323="","",(VLOOKUP(D323,'DB technologies'!$N$154:$Y$166,3,FALSE)*'DB additional information '!$S$7/100*'DB additional information '!$V$7*VLOOKUP($C$319,'DB animal categories'!$C$117:$AC$126,27,FALSE)*E323/1000/1000)/VLOOKUP($C$319,'DB animal categories'!$C$117:$AC$126,27,FALSE)*(VLOOKUP($C$319,'DB animal categories'!$C$117:$AC$126,27,FALSE)-VLOOKUP($C$319,'DB animal categories'!$C$117:$AC$126,25,FALSE)*VLOOKUP($C$319,'DB animal categories'!$C$117:$AC$126,26,FALSE)/24))</f>
        <v/>
      </c>
      <c r="AA323" s="433" t="str">
        <f>IF(D323="","",(VLOOKUP(D323,'DB technologies'!$N$154:$Y$166,4,FALSE)*('DB additional information '!$S$8/100*'DB additional information '!$V$8*E323/1000/1000)))</f>
        <v/>
      </c>
      <c r="AB323" s="267" t="str">
        <f>IF($C$319=0,"",IF('Calc (ex-animal)'!$F$63=1,"",IF(D323="","",((VLOOKUP($C$319,'Calc (ex-animal)'!$D$63:$Y$67,16,FALSE)-VLOOKUP($C$319,'Calc (ex-animal)'!$D$63:$Y$67,20,FALSE))*F323/100+Y323+Z323+AA323))))</f>
        <v/>
      </c>
      <c r="AC323" s="267" t="str">
        <f>IF($C$319=0,"",IF('Calc (ex-animal)'!$F$63=1,"",IF(D323="","",VLOOKUP($C$319,'Calc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categories'!$C$117:$AC$126,26,FALSE)/24)*F323/100*VLOOKUP(D323,'DB technologies'!$N$154:$R$166,5,FALSE)/100)))</f>
        <v/>
      </c>
      <c r="AD323" s="267" t="str">
        <f>IF($C$319=0,"",IF('Calc (ex-animal)'!$F$63=1,"",IF(D323="","",VLOOKUP($C$319,'Calc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categories'!$C$117:$AC$126,26,FALSE)/24)*F323/100*VLOOKUP(D323,'DB technologies'!$N$154:$Y$166,6,FALSE)/100)))</f>
        <v/>
      </c>
      <c r="AE323" s="268" t="str">
        <f>IF($C$319=0,"",IF('Calc (ex-animal)'!$F$63=1,"",IF(D323="","",VLOOKUP($C$319,'Calc (ex-animal)'!$D$63:$Y$67,10,FALSE)/VLOOKUP($C$319,'DB animal categories'!$C$117:$AC$126,27,FALSE)*(VLOOKUP($C$319,'DB animal categories'!$C$117:$AC$126,27,FALSE)-VLOOKUP($C$319,'DB animal categories'!$C$117:$AC$126,25,FALSE)*VLOOKUP($C$319,'DB animal categories'!$C$117:$AC$126,26,FALSE)/24)*F323/100*VLOOKUP(D323,'DB technologies'!$N$154:$Y$166,7,FALSE)/100)))</f>
        <v/>
      </c>
      <c r="AI323" s="183" t="str">
        <f>IF(D323="","",VLOOKUP(D323,'DB technologies'!$N$154:$Y$166,10,FALSE))</f>
        <v/>
      </c>
      <c r="AJ323" s="451" t="e">
        <f>VLOOKUP($C$319,'DB animal categories'!$C$117:$AN$126,27,FALSE)-VLOOKUP($C$319,'DB animal categories'!$C$117:$AN$126,26,FALSE)*VLOOKUP($C$319,'DB animal categories'!$C$117:$AN$126,25,FALSE)/24</f>
        <v>#N/A</v>
      </c>
      <c r="AK323" s="452" t="str">
        <f>IF(AI323="","",AL323+AM323)</f>
        <v/>
      </c>
      <c r="AL323" s="452" t="str">
        <f>IF(D323="","",IF(AI323=2,(('Calc (ex-animal)'!$G$65*'DB additional information '!$K$13/100*(1-VLOOKUP(D323,'DB technologies'!$N$154:$Y$166,9,FALSE)/100)*'Calc (ex-housing, ex-storage)'!F323/100+'Calc (ex-animal)'!$H$65*'DB additional information '!$L$13/100*(1-VLOOKUP(D323,'DB technologies'!$N$154:$Y$166,9,FALSE)/100)*'Calc (ex-housing, ex-storage)'!F323/100))/VLOOKUP($C$319,'DB animal categories'!$C$117:$AC$126,27,FALSE)*AJ323+I323+J323+K323,IF(AI323=1,('Calc (ex-animal)'!$H$65*'DB additional information '!$L$13/100*(1-VLOOKUP(D323,'DB technologies'!$N$154:$Y$166,9,FALSE)/100)*'Calc (ex-housing, ex-storage)'!F323/100)/VLOOKUP($C$319,'DB animal categories'!$C$117:$AC$126,27,FALSE)*AJ323,IF(AI323=4,('Calc (ex-animal)'!$G$65*'DB additional information '!$K$13/100+'Calc (ex-animal)'!$H$65*'DB additional information '!$L$13/100)*(1-VLOOKUP(D323,'DB technologies'!$N$154:$Y$166,9,FALSE)/100)*'Calc (ex-housing, ex-storage)'!F323/100*VLOOKUP(D323,'DB technologies'!$N$154:$Y$166,11,FALSE)/100/VLOOKUP($C$319,'DB animal categories'!$C$117:$AC$126,27,FALSE)*AJ323,0))))</f>
        <v/>
      </c>
      <c r="AM323" s="452" t="str">
        <f>IF(D323="","",IF(AI323=2,(('Calc (ex-animal)'!$G$65*(1-'DB additional information '!$K$13/100)*(1-VLOOKUP(D323,'DB technologies'!$N$154:$Y$166,8,FALSE)/100)*'Calc (ex-housing, ex-storage)'!F323/100+'Calc (ex-animal)'!$H$65*(1-'DB additional information '!$L$13/100)*(1-VLOOKUP(D323,'DB technologies'!$N$154:$Y$166,8,FALSE)/100)*'Calc (ex-housing, ex-storage)'!F323/100))/VLOOKUP($C$319,'DB animal categories'!$C$117:$AC$126,27,FALSE)*AJ323+M323+N323+O323,IF(AI323=1,('Calc (ex-animal)'!$H$65*(1-'DB additional information '!$L$13/100)*(1-VLOOKUP(D323,'DB technologies'!$N$154:$Y$166,8,FALSE)/100)*'Calc (ex-housing, ex-storage)'!F323/100)/VLOOKUP($C$319,'DB animal categories'!$C$117:$AC$126,27,FALSE)*AJ323,IF(AI323=4,('Calc (ex-animal)'!$G$65*(1-'DB additional information '!$K$13/100)+'Calc (ex-animal)'!$H$65*(1-'DB additional information '!$L$13/100))*(1-VLOOKUP(D323,'DB technologies'!$N$154:$Y$166,8,FALSE)/100)*'Calc (ex-housing, ex-storage)'!F323/100*VLOOKUP(D323,'DB technologies'!$N$154:$Y$166,11,FALSE)/100/VLOOKUP($C$319,'DB animal categories'!$C$117:$AC$126,27,FALSE)*AJ323,0))))</f>
        <v/>
      </c>
      <c r="AN323" s="452" t="str">
        <f>IF(AI323="","",IF(AL323=0,0,AL323/AK323*100))</f>
        <v/>
      </c>
      <c r="AO323" s="184" t="str">
        <f>IF(D323="","",IF(AI323=2,(('Calc (ex-animal)'!$L$65*'Calc (ex-housing, ex-storage)'!F323/100+'Calc (ex-animal)'!$K$65*'Calc (ex-housing, ex-storage)'!F323/100))/VLOOKUP($C$319,'DB animal categories'!$C$117:$AC$126,27,FALSE)*AJ323+Q323+R323+S323-AC323,IF(AI323=1,('Calc (ex-animal)'!$L$65*'Calc (ex-housing, ex-storage)'!F323/100)/VLOOKUP($C$319,'DB animal categories'!$C$117:$AC$126,27,FALSE)*AJ323-'Calc (ex-housing, ex-storage)'!AC323,IF(AI323=4,('Calc (ex-animal)'!$L$65+'Calc (ex-animal)'!$K$65)*'Calc (ex-housing, ex-storage)'!F323/100*VLOOKUP(D323,'DB technologies'!$N$154:$Y$166,11,FALSE)/100/VLOOKUP($C$319,'DB animal categories'!$C$117:$AC$126,27,FALSE)*AJ323-AC323*VLOOKUP(D323,'DB technologies'!$N$154:$Y$166,11,FALSE)/100,0))))</f>
        <v/>
      </c>
      <c r="AP323" s="184" t="str">
        <f>IF(D323="","",IF(AO323&lt;-0.01,0,IF(AI323=2,(('Calc (ex-animal)'!$L$65*'Calc (ex-housing, ex-storage)'!F323/100+'Calc (ex-animal)'!$K$65*'Calc (ex-housing, ex-storage)'!F323/100))/VLOOKUP($C$319,'DB animal categories'!$C$117:$AC$126,27,FALSE)*AJ323+Q323+R323+S323-AC323,IF(AI323=1,('Calc (ex-animal)'!$L$65*'Calc (ex-housing, ex-storage)'!F323/100)/VLOOKUP($C$319,'DB animal categories'!$C$117:$AC$126,27,FALSE)*AJ323-'Calc (ex-housing, ex-storage)'!AC323,IF(AI323=4,('Calc (ex-animal)'!$L$65+'Calc (ex-animal)'!$K$65)*'Calc (ex-housing, ex-storage)'!F323/100*VLOOKUP(D323,'DB technologies'!$N$154:$Y$166,11,FALSE)/100/VLOOKUP($C$319,'DB animal categories'!$C$117:$AC$126,27,FALSE)*AJ323-AC323*VLOOKUP(D323,'DB technologies'!$N$154:$Y$166,11,FALSE)/100,0)))))</f>
        <v/>
      </c>
      <c r="AQ323" s="184" t="str">
        <f>IF(D323="","",IF(AI323=2,('Calc (ex-animal)'!$O$65*'Calc (ex-housing, ex-storage)'!F323/100+'Calc (ex-animal)'!$N$65*'Calc (ex-housing, ex-storage)'!F323/100)/VLOOKUP($C$319,'DB animal categories'!$C$117:$AC$126,27,FALSE)*AJ323+U323+V323+W323,IF(AI323=1,'Calc (ex-animal)'!$O$65*'Calc (ex-housing, ex-storage)'!F323/100/VLOOKUP($C$319,'DB animal categories'!$C$117:$AC$126,27,FALSE)*AJ323,IF(AI323=4,('Calc (ex-animal)'!$O$65+'Calc (ex-animal)'!$N$65)*'Calc (ex-housing, ex-storage)'!F323/100*VLOOKUP(D323,'DB technologies'!$N$154:$Y$166,11,FALSE)/100/VLOOKUP($C$319,'DB animal categories'!$C$117:$AC$126,27,FALSE)*AJ323,0))))</f>
        <v/>
      </c>
      <c r="AR323" s="184" t="str">
        <f>IF(D323="","",IF(AI323=2,('Calc (ex-animal)'!$R$65*'Calc (ex-housing, ex-storage)'!F323/100+'Calc (ex-animal)'!$Q$65*'Calc (ex-housing, ex-storage)'!F323/100)/VLOOKUP($C$319,'DB animal categories'!$C$117:$AC$126,27,FALSE)*AJ323+Y323+Z323+AA323,IF(AI323=1,'Calc (ex-animal)'!$R$65*'Calc (ex-housing, ex-storage)'!F323/100/VLOOKUP($C$319,'DB animal categories'!$C$117:$AC$126,27,FALSE)*AJ323,IF(AI323=4,('Calc (ex-animal)'!$R$65+'Calc (ex-animal)'!$Q$65)*'Calc (ex-housing, ex-storage)'!F323/100*VLOOKUP(D323,'DB technologies'!$N$154:$Y$166,11,FALSE)/100/VLOOKUP($C$319,'DB animal categories'!$C$117:$AC$126,27,FALSE)*AJ323,0))))</f>
        <v/>
      </c>
      <c r="AS323" s="183" t="str">
        <f>IF(D323="","",VLOOKUP(D323,'DB technologies'!$N$154:$Y$166,10,FALSE))</f>
        <v/>
      </c>
      <c r="AT323" s="452" t="str">
        <f>IF(AS323="","",AU323+AV323)</f>
        <v/>
      </c>
      <c r="AU323" s="452" t="str">
        <f>IF(D323="","",IF(AS323=2,0,IF(AS323=1,'Calc (ex-animal)'!$G$65*'DB additional information '!$K$13/100*(1-VLOOKUP(D323,'DB technologies'!$N$154:$Y$166,8,FALSE)/100)*'Calc (ex-housing, ex-storage)'!F323/100/VLOOKUP($C$319,'DB animal categories'!$C$117:$AC$126,27,FALSE)*AJ323+I323+J323+K323,IF(AS323=5,(('Calc (ex-animal)'!$G$65*'DB additional information '!$K$13/100+'Calc (ex-animal)'!$H$65*'DB additional information '!$L$13/100))*(1-VLOOKUP(D323,'DB technologies'!$N$154:$Y$166,9,FALSE)/100)*'Calc (ex-housing, ex-storage)'!F323/100/VLOOKUP($C$319,'DB animal categories'!$C$117:$AC$126,27,FALSE)*AJ323+I323+J323+K323,IF(AS323=3,('Calc (ex-animal)'!$G$65*'DB additional information '!$K$13/100+'Calc (ex-animal)'!$H$65*'DB additional information '!$L$13/100)*(1-VLOOKUP(D323,'DB technologies'!$N$154:$Y$166,9,FALSE)/100)*'Calc (ex-housing, ex-storage)'!F323/100/VLOOKUP($C$319,'DB animal categories'!$C$117:$AC$126,27,FALSE)*AJ323+I323+J323+K323,IF(AS323=4,('Calc (ex-animal)'!$G$65*'DB additional information '!$K$13/100+'Calc (ex-animal)'!$H$65*'DB additional information '!$L$13/100)*(1-VLOOKUP(D323,'DB technologies'!$N$154:$Y$166,9,FALSE)/100)*'Calc (ex-housing, ex-storage)'!F323/100*VLOOKUP(D323,'DB technologies'!$N$154:$Y$166,12,FALSE)/100/VLOOKUP($C$319,'DB animal categories'!$C$117:$AC$126,27,FALSE)*AJ323+I323+J323+K323,0))))))</f>
        <v/>
      </c>
      <c r="AV323" s="452" t="str">
        <f>IF(D323="","",IF(AS323=2,0,IF(AS323=1,'Calc (ex-animal)'!$G$65*(1-'DB additional information '!$K$13/100)*(1-VLOOKUP(D323,'DB technologies'!$N$154:$Y$166,8,FALSE)/100)*'Calc (ex-housing, ex-storage)'!F323/100/VLOOKUP($C$319,'DB animal categories'!$C$117:$AC$126,27,FALSE)*AJ323+M323+N323+O323,IF(AS323=5,('Calc (ex-animal)'!$G$65*(1-'DB additional information '!$K$13/100)+'Calc (ex-animal)'!$H$65*(1-'DB additional information '!$L$13/100))*(1-VLOOKUP(D323,'DB technologies'!$N$154:$Y$166,8,FALSE)/100)*'Calc (ex-housing, ex-storage)'!F323/100/VLOOKUP($C$319,'DB animal categories'!$C$117:$AC$126,27,FALSE)*AJ323+M323+N323+O323,IF(AS323=3,('Calc (ex-animal)'!$G$65*(1-'DB additional information '!$K$13/100)+'Calc (ex-animal)'!$H$65*(1-'DB additional information '!$L$13/100))*(1-VLOOKUP(D323,'DB technologies'!$N$154:$Y$166,8,FALSE)/100)*'Calc (ex-housing, ex-storage)'!F323/100/VLOOKUP($C$319,'DB animal categories'!$C$117:$AC$126,27,FALSE)*AJ323+M323+N323+O323,IF(AS323=4,('Calc (ex-animal)'!$G$65*(1-'DB additional information '!$K$13/100)+'Calc (ex-animal)'!$H$65*(1-'DB additional information '!$L$13/100))*(1-VLOOKUP(D323,'DB technologies'!$N$154:$Y$166,8,FALSE)/100)*'Calc (ex-housing, ex-storage)'!F323/100*VLOOKUP(D323,'DB technologies'!$N$154:$Y$166,12,FALSE)/100/VLOOKUP($C$319,'DB animal categories'!$C$117:$AC$126,27,FALSE)*AJ323+M323+N323+O323,0))))))</f>
        <v/>
      </c>
      <c r="AW323" s="452" t="str">
        <f>IF(AS323="","",IF(AU323=0,0,AU323/AT323*100))</f>
        <v/>
      </c>
      <c r="AX323" s="184" t="str">
        <f>IF(D323="","",IF(AS323=2,0,IF(AS323=1,'Calc (ex-animal)'!$K$65*'Calc (ex-housing, ex-storage)'!F323/100/VLOOKUP($C$319,'DB animal categories'!$C$117:$AC$126,27,FALSE)*AJ323+Q323+R323+S323,IF(AS323=5,('Calc (ex-animal)'!$K$65+'Calc (ex-animal)'!$L$65)*'Calc (ex-housing, ex-storage)'!F323/100/VLOOKUP($C$319,'DB animal categories'!$C$117:$AC$126,27,FALSE)*AJ323+Q323+R323+S323-'Calc (ex-housing, ex-storage)'!AC323,IF(AS323=3,('Calc (ex-animal)'!$K$65+'Calc (ex-animal)'!$L$65)*'Calc (ex-housing, ex-storage)'!F323/100/VLOOKUP($C$319,'DB animal categories'!$C$117:$AC$126,27,FALSE)*AJ323+Q323+R323+S323-'Calc (ex-housing, ex-storage)'!AC323-AD323-AE323,IF(AI323=4,('Calc (ex-animal)'!$K$65+'Calc (ex-animal)'!$L$65)*'Calc (ex-housing, ex-storage)'!F323/100*VLOOKUP(D323,'DB technologies'!$N$154:$Y$166,12,FALSE)/100/VLOOKUP($C$319,'DB animal categories'!$C$117:$AC$126,27,FALSE)*AJ323+Q323+R323+S323-(VLOOKUP(D323,'DB technologies'!$N$154:$Y$166,12,FALSE)/100*AC323)-AD323-AE323,0))))))</f>
        <v/>
      </c>
      <c r="AY323" s="184" t="str">
        <f>IF(D323="","",IF(AS323=2,0,IF(AS323=1,'Calc (ex-animal)'!$N$65*'Calc (ex-housing, ex-storage)'!F323/100/VLOOKUP($C$319,'DB animal categories'!$C$117:$AC$126,27,FALSE)*AJ323+U323+V323+W323,IF(AS323=5,('Calc (ex-animal)'!$N$65+'Calc (ex-animal)'!$O$65)*'Calc (ex-housing, ex-storage)'!F323/100/VLOOKUP($C$319,'DB animal categories'!$C$117:$AC$126,27,FALSE)*AJ323+U323+V323+W323,IF(AS323=3,('Calc (ex-animal)'!$N$65+'Calc (ex-animal)'!$O$65)*'Calc (ex-housing, ex-storage)'!F323/100/VLOOKUP($C$319,'DB animal categories'!$C$117:$AC$126,27,FALSE)*AJ323+U323+V323+W323,IF(AS323=4,('Calc (ex-animal)'!$N$65+'Calc (ex-animal)'!$O$65)*'Calc (ex-housing, ex-storage)'!F323/100*VLOOKUP(D323,'DB technologies'!$N$154:$Y$166,12,FALSE)/100/VLOOKUP($C$319,'DB animal categories'!$C$117:$AC$126,27,FALSE)*AJ323+U323+V323+W323,0))))))</f>
        <v/>
      </c>
      <c r="AZ323" s="184" t="str">
        <f>IF(D323="","",IF(AS323=2,0,IF(AS323=1,'Calc (ex-animal)'!$Q$65*'Calc (ex-housing, ex-storage)'!F323/100/VLOOKUP($C$319,'DB animal categories'!$C$117:$AC$126,27,FALSE)*AJ323+Y323+Z323+AA323,IF(AS323=5,('Calc (ex-animal)'!$Q$65+'Calc (ex-animal)'!$R$65)*'Calc (ex-housing, ex-storage)'!F323/100/VLOOKUP($C$319,'DB animal categories'!$C$117:$AC$126,27,FALSE)*AJ323+Y323+Z323+AA323,IF(AS323=3,('Calc (ex-animal)'!$Q$65+'Calc (ex-animal)'!$R$65)*'Calc (ex-housing, ex-storage)'!F323/100/VLOOKUP($C$319,'DB animal categories'!$C$117:$AC$126,27,FALSE)*AJ323+Y323+Z323+AA323,IF(AS323=4,('Calc (ex-animal)'!$Q$65+'Calc (ex-animal)'!$R$65)*'Calc (ex-housing, ex-storage)'!F323/100*VLOOKUP(D323,'DB technologies'!$N$154:$Y$166,12,FALSE)/100/VLOOKUP($C$319,'DB animal categories'!$C$117:$AC$126,27,FALSE)*AJ323+Y323+Z323+AA323,0))))))</f>
        <v/>
      </c>
      <c r="BA323" s="506"/>
      <c r="BB323" s="506"/>
      <c r="BC323" s="506"/>
    </row>
    <row r="324" spans="1:55" ht="12" thickBot="1" x14ac:dyDescent="0.25">
      <c r="A324" s="695"/>
      <c r="B324" s="695"/>
      <c r="C324" s="252"/>
      <c r="D324" s="269" t="s">
        <v>58</v>
      </c>
      <c r="E324" s="270">
        <f>IF(F324&lt;=100,SUM(E319:E323),"ERROR")</f>
        <v>0</v>
      </c>
      <c r="F324" s="284">
        <f>IF(SUM(F319:F323) &lt;=100,SUM(F319:F323),"ERROR, SUM&gt;100%")</f>
        <v>0</v>
      </c>
      <c r="G324" s="550">
        <f>IF('Calc (ex-animal)'!$F$63=1,"",SUM(G319:G323))</f>
        <v>0</v>
      </c>
      <c r="H324" s="418">
        <f>IF('Calc (ex-animal)'!$F$8=1,"",SUM(H319:H323))</f>
        <v>0</v>
      </c>
      <c r="I324" s="418">
        <f>IF('Calc (ex-animal)'!$F$8=1,"",SUM(I319:I323))</f>
        <v>0</v>
      </c>
      <c r="J324" s="418">
        <f>IF('Calc (ex-animal)'!$F$8=1,"",SUM(J319:J323))</f>
        <v>0</v>
      </c>
      <c r="K324" s="418">
        <f>IF('Calc (ex-animal)'!$F$8=1,"",SUM(K319:K323))</f>
        <v>0</v>
      </c>
      <c r="L324" s="418">
        <f>IF('Calc (ex-animal)'!$F$8=1,"",SUM(L319:L323))</f>
        <v>0</v>
      </c>
      <c r="M324" s="551"/>
      <c r="N324" s="551"/>
      <c r="O324" s="551"/>
      <c r="P324" s="552">
        <f>IF(G324=0,0,IF('Calc (ex-animal)'!$F$63=1,"",IF(D324="","",SUM(H324:K324)/G324*100)))</f>
        <v>0</v>
      </c>
      <c r="Q324" s="394"/>
      <c r="R324" s="394"/>
      <c r="S324" s="394"/>
      <c r="T324" s="285">
        <f>IF('Calc (ex-animal)'!$F$65=1,"",SUM(T319:T323))</f>
        <v>0</v>
      </c>
      <c r="U324" s="286"/>
      <c r="V324" s="286"/>
      <c r="W324" s="286"/>
      <c r="X324" s="286">
        <f>IF('Calc (ex-animal)'!$F$65=1,"",SUM(X319:X323))</f>
        <v>0</v>
      </c>
      <c r="Y324" s="286"/>
      <c r="Z324" s="286"/>
      <c r="AA324" s="286"/>
      <c r="AB324" s="286">
        <f>IF('Calc (ex-animal)'!$F$65=1,"",SUM(AB319:AB323))</f>
        <v>0</v>
      </c>
      <c r="AC324" s="286">
        <f>IF('Calc (ex-animal)'!$F$65=1,"",SUM(AC319:AC323))</f>
        <v>0</v>
      </c>
      <c r="AD324" s="286">
        <f>IF('Calc (ex-animal)'!$F$65=1,"",SUM(AD319:AD323))</f>
        <v>0</v>
      </c>
      <c r="AE324" s="287">
        <f>IF('Calc (ex-animal)'!$F$65=1,"",SUM(AE319:AE323))</f>
        <v>0</v>
      </c>
    </row>
    <row r="325" spans="1:55" x14ac:dyDescent="0.2">
      <c r="A325" s="695"/>
      <c r="B325" s="695"/>
      <c r="C325" s="250">
        <f>'Calc (ex-animal)'!D66</f>
        <v>0</v>
      </c>
      <c r="D325" s="1355"/>
      <c r="E325" s="1356"/>
      <c r="F325" s="479" t="str">
        <f>IF('Calc (ex-animal)'!$F$63=1,"",IF($C$325=0,"",IF(D325="","",E325/'Calc (ex-animal)'!$E$66*100)))</f>
        <v/>
      </c>
      <c r="G325" s="443" t="str">
        <f>IF($C$325=0,"",IF('Calc (ex-animal)'!$F$63=1,"",IF(D325="","",SUM(H325:O325))))</f>
        <v/>
      </c>
      <c r="H325" s="471" t="str">
        <f>IF('Calc (ex-animal)'!$F$63=1,"",IF(D325="","",(((VLOOKUP($C$325,'Calc (ex-animal)'!$D$63:$Y$67,6,FALSE)-VLOOKUP($C$325,'Calc (ex-animal)'!$D$63:$Y$67,17,FALSE))*F325/100))*VLOOKUP($C$325,'Calc (ex-animal)'!$D$63:$Y$67,7,FALSE)/100*(1-VLOOKUP(D325,'DB technologies'!$N$154:$Y$166,9,FALSE)/100)))</f>
        <v/>
      </c>
      <c r="I325" s="471" t="str">
        <f>IF(D325="","",((VLOOKUP(D325,'DB technologies'!$N$154:$Y$166,2,FALSE)*VLOOKUP($C$325,'DB animal categories'!$C$117:$AC$126,27,FALSE)*E325/1000)/VLOOKUP($C$325,'DB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'!$S$6/100*(1-VLOOKUP(D325,'DB technologies'!$N$154:$Y$166,9,FALSE)/100)))</f>
        <v/>
      </c>
      <c r="J325" s="472" t="str">
        <f>IF(D325="","",((VLOOKUP(D325,'DB technologies'!$N$154:$Y$166,3,FALSE)*VLOOKUP($C$325,'DB animal categories'!$C$117:$AC$126,27,FALSE)*E325/1000)/VLOOKUP($C$325,'DB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'!$S$7/100*(1-VLOOKUP(D325,'DB technologies'!$N$154:$Y$166,9,FALSE)/100)))</f>
        <v/>
      </c>
      <c r="K325" s="472" t="str">
        <f>IF(D325="","",((VLOOKUP(D325,'DB technologies'!$N$154:$Y$166,4,FALSE)*E325*'DB additional information '!$S$8/100*(1-VLOOKUP(D325,'DB technologies'!$N$154:$Y$166,9,FALSE)/100))/VLOOKUP($C$325,'DB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L325" s="471" t="str">
        <f>IF('Calc (ex-animal)'!$F$63=1,"",IF(D325="","",(((VLOOKUP($C$325,'Calc (ex-animal)'!$D$63:$Y$67,6,FALSE)-VLOOKUP($C$325,'Calc (ex-animal)'!$D$63:$Y$67,17,FALSE))*F325/100))*(1-VLOOKUP($C$325,'Calc (ex-animal)'!$D$63:$Y$67,7,FALSE)/100)*(1-VLOOKUP(D325,'DB technologies'!$N$154:$V$166,8,FALSE)/100)))</f>
        <v/>
      </c>
      <c r="M325" s="472" t="str">
        <f>IF(D325="","",((VLOOKUP(D325,'DB technologies'!$N$154:$Y$166,2,FALSE)*VLOOKUP($C$325,'DB animal categories'!$C$117:$AC$126,27,FALSE)*E325/1000)/VLOOKUP($C$325,'DB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'!$S$6/100)*(1-VLOOKUP(D325,'DB technologies'!$N$154:$Y$166,9,FALSE)/100))</f>
        <v/>
      </c>
      <c r="N325" s="472" t="str">
        <f>IF(D325="","",((VLOOKUP(D325,'DB technologies'!$N$154:$Y$166,3,FALSE)*VLOOKUP($C$325,'DB animal categories'!$C$117:$AC$126,27,FALSE)*E325/1000)/VLOOKUP($C$325,'DB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'!$S$7/100)*(1-VLOOKUP(D325,'DB technologies'!$N$154:$Y$166,9,FALSE)/100))</f>
        <v/>
      </c>
      <c r="O325" s="471" t="str">
        <f>IF(D325="","",((VLOOKUP(D325,'DB technologies'!$N$154:$Y$166,4,FALSE)*E325*(1-'DB additional information '!$S$8/100)*(1-VLOOKUP(D325,'DB technologies'!$N$154:$Y$166,8,FALSE)/100))/VLOOKUP($C$325,'DB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P325" s="443" t="str">
        <f>IF(G325=0,0,IF(E325="","",IF(F325="","",IF($C$325=0,"",IF(D325="","",SUM(H325:K325)/G325*100)))))</f>
        <v/>
      </c>
      <c r="Q325" s="473" t="str">
        <f>IF(D325="","",(VLOOKUP(D325,'DB technologies'!$N$154:$Y$166,2,FALSE)*'DB additional information '!$S$6/100*'DB additional information '!$T$6*VLOOKUP($C$325,'DB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R325" s="473" t="str">
        <f>IF(D325="","",(VLOOKUP(D325,'DB technologies'!$N$154:$Y$166,3,FALSE)*'DB additional information '!$S$7/100*'DB additional information '!$T$7*VLOOKUP($C$325,'DB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S325" s="490" t="str">
        <f>IF(D325="","",(VLOOKUP(D325,'DB technologies'!$N$154:$Y$166,4,FALSE)*('DB additional information '!$S$8/100*'DB additional information '!$T$8*E325/1000/1000)))</f>
        <v/>
      </c>
      <c r="T325" s="263" t="str">
        <f>IF($C$325=0,"",IF('Calc (ex-animal)'!$F$63=1,"",IF(D325="","",((VLOOKUP($C$325,'Calc (ex-animal)'!$D$63:$Y$67,10,FALSE)-VLOOKUP($C$325,'Calc (ex-animal)'!$D$63:$Y$67,18,FALSE))*F325/100+Q325+R325+S325)-AC325-AD325-AE325)))</f>
        <v/>
      </c>
      <c r="U325" s="474" t="str">
        <f>IF(D325="","",(VLOOKUP(D325,'DB technologies'!$N$154:$Y$166,2,FALSE)*'DB additional information '!$S$6/100*'DB additional information '!$U$6*VLOOKUP($C$325,'DB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V325" s="420" t="str">
        <f>IF(D325="","",(VLOOKUP(D325,'DB technologies'!$N$154:$Y$166,3,FALSE)*'DB additional information '!$S$7/100*'DB additional information '!$U$7*VLOOKUP($C$325,'DB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W325" s="415" t="str">
        <f>IF(D325="","",(VLOOKUP(D325,'DB technologies'!$N$154:$Y$166,4,FALSE)*('DB additional information '!$S$8/100*'DB additional information '!$U$8*E325/1000/1000)))</f>
        <v/>
      </c>
      <c r="X325" s="259" t="str">
        <f>IF($C$325=0,"",IF('Calc (ex-animal)'!$F$63=1,"",IF(D325="","",((VLOOKUP($C$325,'Calc (ex-animal)'!$D$63:$Y$67,13,FALSE)-VLOOKUP($C$325,'Calc (ex-animal)'!$D$63:$Y$67,19,FALSE))*F325/100+U325+V325+W325))))</f>
        <v/>
      </c>
      <c r="Y325" s="420" t="str">
        <f>IF(D325="","",(VLOOKUP(D325,'DB technologies'!$N$154:$Y$166,2,FALSE)*'DB additional information '!$S$6/100*'DB additional information '!$V$6*VLOOKUP($C$325,'DB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Z325" s="420" t="str">
        <f>IF(D325="","",(VLOOKUP(D325,'DB technologies'!$N$154:$Y$166,3,FALSE)*'DB additional information '!$S$7/100*'DB additional information '!$V$7*VLOOKUP($C$325,'DB animal categories'!$C$117:$AC$126,27,FALSE)*E325/1000/1000)/VLOOKUP($C$325,'DB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AA325" s="420" t="str">
        <f>IF(D325="","",(VLOOKUP(D325,'DB technologies'!$N$154:$Y$166,4,FALSE)*('DB additional information '!$S$8/100*'DB additional information '!$V$8*E325/1000/1000)))</f>
        <v/>
      </c>
      <c r="AB325" s="259" t="str">
        <f>IF($C$325=0,"",IF('Calc (ex-animal)'!$F$63=1,"",IF(D325="","",((VLOOKUP($C$325,'Calc (ex-animal)'!$D$63:$Y$67,16,FALSE)-VLOOKUP($C$325,'Calc (ex-animal)'!$D$63:$Y$67,20,FALSE))*F325/100+Y325+Z325+AA325))))</f>
        <v/>
      </c>
      <c r="AC325" s="259" t="str">
        <f>IF($C$325=0,"",IF('Calc (ex-animal)'!$F$63=1,"",IF(D325="","",VLOOKUP($C$325,'Calc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categories'!$C$117:$AC$126,26,FALSE)/24)*F325/100*VLOOKUP(D325,'DB technologies'!$N$154:$R$166,5,FALSE)/100)))</f>
        <v/>
      </c>
      <c r="AD325" s="259" t="str">
        <f>IF($C$325=0,"",IF('Calc (ex-animal)'!$F$63=1,"",IF(D325="","",VLOOKUP($C$325,'Calc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categories'!$C$117:$AC$126,26,FALSE)/24)*F325/100*VLOOKUP(D325,'DB technologies'!$N$154:$Y$166,6,FALSE)/100)))</f>
        <v/>
      </c>
      <c r="AE325" s="260" t="str">
        <f>IF($C$325=0,"",IF('Calc (ex-animal)'!$F$63=1,"",IF(D325="","",VLOOKUP($C$325,'Calc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categories'!$C$117:$AC$126,26,FALSE)/24)*F325/100*VLOOKUP(D325,'DB technologies'!$N$154:$Y$166,7,FALSE)/100)))</f>
        <v/>
      </c>
      <c r="AI325" s="179" t="str">
        <f>IF(D325="","",VLOOKUP(D325,'DB technologies'!$N$154:$Y$166,10,FALSE))</f>
        <v/>
      </c>
      <c r="AJ325" s="482" t="e">
        <f>VLOOKUP($C$325,'DB animal categories'!$C$117:$AN$126,27,FALSE)-VLOOKUP($C$325,'DB animal categories'!$C$117:$AN$126,26,FALSE)*VLOOKUP($C$325,'DB animal categories'!$C$117:$AN$126,25,FALSE)/24</f>
        <v>#N/A</v>
      </c>
      <c r="AK325" s="453" t="str">
        <f>IF(AI325="","",AL325+AM325)</f>
        <v/>
      </c>
      <c r="AL325" s="453" t="str">
        <f>IF(D325="","",IF(AI325=2,(('Calc (ex-animal)'!$G$66*'DB additional information '!$K$13/100*(1-VLOOKUP(D325,'DB technologies'!$N$154:$Y$166,9,FALSE)/100)*'Calc (ex-housing, ex-storage)'!F325/100+'Calc (ex-animal)'!$H$66*'DB additional information '!$L$13/100*(1-VLOOKUP(D325,'DB technologies'!$N$154:$Y$166,9,FALSE)/100)*'Calc (ex-housing, ex-storage)'!F325/100))/VLOOKUP($C$325,'DB animal categories'!$C$117:$AC$126,27,FALSE)*AJ325+I325+J325+K325,IF(AI325=1,('Calc (ex-animal)'!$H$66*'DB additional information '!$L$13/100*(1-VLOOKUP(D325,'DB technologies'!$N$154:$Y$166,9,FALSE)/100)*'Calc (ex-housing, ex-storage)'!F325/100)/VLOOKUP($C$325,'DB animal categories'!$C$117:$AC$126,27,FALSE)*AJ325,IF(AI325=4,('Calc (ex-animal)'!$G$66*'DB additional information '!$K$13/100+'Calc (ex-animal)'!$H$66*'DB additional information '!$L$13/100)*(1-VLOOKUP(D325,'DB technologies'!$N$154:$Y$166,9,FALSE)/100)*'Calc (ex-housing, ex-storage)'!F325/100*VLOOKUP(D325,'DB technologies'!$N$154:$Y$166,11,FALSE)/100/VLOOKUP($C$325,'DB animal categories'!$C$117:$AC$126,27,FALSE)*AJ325,0))))</f>
        <v/>
      </c>
      <c r="AM325" s="453" t="str">
        <f>IF(D325="","",IF(AI325=2,(('Calc (ex-animal)'!$G$66*(1-'DB additional information '!$K$13/100)*(1-VLOOKUP(D325,'DB technologies'!$N$154:$Y$166,8,FALSE)/100)*'Calc (ex-housing, ex-storage)'!F325/100+'Calc (ex-animal)'!$H$66*(1-'DB additional information '!$L$13/100)*(1-VLOOKUP(D325,'DB technologies'!$N$154:$Y$166,8,FALSE)/100)*'Calc (ex-housing, ex-storage)'!F325/100))/VLOOKUP($C$325,'DB animal categories'!$C$117:$AC$126,27,FALSE)*AJ325+M325+N325+O325,IF(AI325=1,('Calc (ex-animal)'!$H$66*(1-'DB additional information '!$L$13/100)*(1-VLOOKUP(D325,'DB technologies'!$N$154:$Y$166,8,FALSE)/100)*'Calc (ex-housing, ex-storage)'!F325/100)/VLOOKUP($C$325,'DB animal categories'!$C$117:$AC$126,27,FALSE)*AJ325,IF(AI325=4,('Calc (ex-animal)'!$G$66*(1-'DB additional information '!$K$13/100)+'Calc (ex-animal)'!$H$66*(1-'DB additional information '!$L$13/100))*(1-VLOOKUP(D325,'DB technologies'!$N$154:$Y$166,8,FALSE)/100)*'Calc (ex-housing, ex-storage)'!F325/100*VLOOKUP(D325,'DB technologies'!$N$154:$Y$166,11,FALSE)/100/VLOOKUP($C$325,'DB animal categories'!$C$117:$AC$126,27,FALSE)*AJ325,0))))</f>
        <v/>
      </c>
      <c r="AN325" s="453" t="str">
        <f>IF(AI325="","",IF(AL325=0,0,AL325/AK325*100))</f>
        <v/>
      </c>
      <c r="AO325" s="180" t="str">
        <f>IF(D325="","",IF(AI325=2,(('Calc (ex-animal)'!$L$66*'Calc (ex-housing, ex-storage)'!F325/100+'Calc (ex-animal)'!$K$66*'Calc (ex-housing, ex-storage)'!F325/100))/VLOOKUP($C$325,'DB animal categories'!$C$117:$AC$126,27,FALSE)*AJ325+Q325+R325+S325-AC325,IF(AI325=1,('Calc (ex-animal)'!$L$66*'Calc (ex-housing, ex-storage)'!F325/100)/VLOOKUP($C$325,'DB animal categories'!$C$117:$AC$126,27,FALSE)*AJ325-'Calc (ex-housing, ex-storage)'!AC325,IF(AI325=4,('Calc (ex-animal)'!$L$66+'Calc (ex-animal)'!$K$66)*'Calc (ex-housing, ex-storage)'!F325/100*VLOOKUP(D325,'DB technologies'!$N$154:$Y$166,11,FALSE)/100/VLOOKUP($C$325,'DB animal categories'!$C$117:$AC$126,27,FALSE)*AJ325-AC325*VLOOKUP(D325,'DB technologies'!$N$154:$Y$166,11,FALSE)/100,0))))</f>
        <v/>
      </c>
      <c r="AP325" s="180" t="str">
        <f>IF(D325="","",IF(AO325&lt;-0.01,0,IF(AI325=2,(('Calc (ex-animal)'!$L$66*'Calc (ex-housing, ex-storage)'!F325/100+'Calc (ex-animal)'!$K$66*'Calc (ex-housing, ex-storage)'!F325/100))/VLOOKUP($C$325,'DB animal categories'!$C$117:$AC$126,27,FALSE)*AJ325+Q325+R325+S325-AC325,IF(AI325=1,('Calc (ex-animal)'!$L$66*'Calc (ex-housing, ex-storage)'!F325/100)/VLOOKUP($C$325,'DB animal categories'!$C$117:$AC$126,27,FALSE)*AJ325-'Calc (ex-housing, ex-storage)'!AC325,IF(AI325=4,('Calc (ex-animal)'!$L$66+'Calc (ex-animal)'!$K$66)*'Calc (ex-housing, ex-storage)'!F325/100*VLOOKUP(D325,'DB technologies'!$N$154:$Y$166,11,FALSE)/100/VLOOKUP($C$325,'DB animal categories'!$C$117:$AC$126,27,FALSE)*AJ325-AC325*VLOOKUP(D325,'DB technologies'!$N$154:$Y$166,11,FALSE)/100,0)))))</f>
        <v/>
      </c>
      <c r="AQ325" s="180" t="str">
        <f>IF(D325="","",IF(AI325=2,('Calc (ex-animal)'!$O$66*'Calc (ex-housing, ex-storage)'!F325/100+'Calc (ex-animal)'!$N$66*'Calc (ex-housing, ex-storage)'!F325/100)/VLOOKUP($C$325,'DB animal categories'!$C$117:$AC$126,27,FALSE)*AJ325+U325+V325+W325,IF(AI325=1,'Calc (ex-animal)'!$O$66*'Calc (ex-housing, ex-storage)'!F325/100/VLOOKUP($C$325,'DB animal categories'!$C$117:$AC$126,27,FALSE)*AJ325,IF(AI325=4,('Calc (ex-animal)'!$O$66+'Calc (ex-animal)'!$N$66)*'Calc (ex-housing, ex-storage)'!F325/100*VLOOKUP(D325,'DB technologies'!$N$154:$Y$166,11,FALSE)/100/VLOOKUP($C$325,'DB animal categories'!$C$117:$AC$126,27,FALSE)*AJ325,0))))</f>
        <v/>
      </c>
      <c r="AR325" s="180" t="str">
        <f>IF(D325="","",IF(AI325=2,('Calc (ex-animal)'!$R$66*'Calc (ex-housing, ex-storage)'!F325/100+'Calc (ex-animal)'!$Q$66*'Calc (ex-housing, ex-storage)'!F325/100)/VLOOKUP($C$325,'DB animal categories'!$C$117:$AC$126,27,FALSE)*AJ325+Y325+Z325+AA325,IF(AI325=1,'Calc (ex-animal)'!$R$66*'Calc (ex-housing, ex-storage)'!F325/100/VLOOKUP($C$325,'DB animal categories'!$C$117:$AC$126,27,FALSE)*AJ325,IF(AI325=4,('Calc (ex-animal)'!$R$66+'Calc (ex-animal)'!$Q$66)*'Calc (ex-housing, ex-storage)'!F325/100*VLOOKUP(D325,'DB technologies'!$N$154:$Y$166,11,FALSE)/100/VLOOKUP($C$325,'DB animal categories'!$C$117:$AC$126,27,FALSE)*AJ325,0))))</f>
        <v/>
      </c>
      <c r="AS325" s="179" t="str">
        <f>IF(D325="","",VLOOKUP(D325,'DB technologies'!$N$154:$Y$166,10,FALSE))</f>
        <v/>
      </c>
      <c r="AT325" s="453" t="str">
        <f>IF(AS325="","",AU325+AV325)</f>
        <v/>
      </c>
      <c r="AU325" s="453" t="str">
        <f>IF(D325="","",IF(AS325=2,0,IF(AS325=1,'Calc (ex-animal)'!$G$66*'DB additional information '!$K$13/100*(1-VLOOKUP(D325,'DB technologies'!$N$154:$Y$166,8,FALSE)/100)*'Calc (ex-housing, ex-storage)'!F325/100/VLOOKUP($C$325,'DB animal categories'!$C$117:$AC$126,27,FALSE)*AJ325+I325+J325+K325,IF(AS325=5,(('Calc (ex-animal)'!$G$66*'DB additional information '!$K$13/100+'Calc (ex-animal)'!$H$66*'DB additional information '!$L$13/100))*(1-VLOOKUP(D325,'DB technologies'!$N$154:$Y$166,9,FALSE)/100)*'Calc (ex-housing, ex-storage)'!F325/100/VLOOKUP($C$325,'DB animal categories'!$C$117:$AC$126,27,FALSE)*AJ325+I325+J325+K325,IF(AS325=3,('Calc (ex-animal)'!$G$66*'DB additional information '!$K$13/100+'Calc (ex-animal)'!$H$66*'DB additional information '!$L$13/100)*(1-VLOOKUP(D325,'DB technologies'!$N$154:$Y$166,9,FALSE)/100)*'Calc (ex-housing, ex-storage)'!F325/100/VLOOKUP($C$325,'DB animal categories'!$C$117:$AC$126,27,FALSE)*AJ325+I325+J325+K325,IF(AS325=4,('Calc (ex-animal)'!$G$66*'DB additional information '!$K$13/100+'Calc (ex-animal)'!$H$66*'DB additional information '!$L$13/100)*(1-VLOOKUP(D325,'DB technologies'!$N$154:$Y$166,9,FALSE)/100)*'Calc (ex-housing, ex-storage)'!F325/100*VLOOKUP(D325,'DB technologies'!$N$154:$Y$166,12,FALSE)/100/VLOOKUP($C$325,'DB animal categories'!$C$117:$AC$126,27,FALSE)*AJ325+I325+J325+K325,0))))))</f>
        <v/>
      </c>
      <c r="AV325" s="453" t="str">
        <f>IF(D325="","",IF(AS325=2,0,IF(AS325=1,'Calc (ex-animal)'!$G$66*(1-'DB additional information '!$K$13/100)*(1-VLOOKUP(D325,'DB technologies'!$N$154:$Y$166,8,FALSE)/100)*'Calc (ex-housing, ex-storage)'!F325/100/VLOOKUP($C$325,'DB animal categories'!$C$117:$AC$126,27,FALSE)*AJ325+M325+N325+O325,IF(AS325=5,('Calc (ex-animal)'!$G$66*(1-'DB additional information '!$K$13/100)+'Calc (ex-animal)'!$H$66*(1-'DB additional information '!$L$13/100))*(1-VLOOKUP(D325,'DB technologies'!$N$154:$Y$166,8,FALSE)/100)*'Calc (ex-housing, ex-storage)'!F325/100/VLOOKUP($C$325,'DB animal categories'!$C$117:$AC$126,27,FALSE)*AJ325+M325+N325+O325,IF(AS325=3,('Calc (ex-animal)'!$G$66*(1-'DB additional information '!$K$13/100)+'Calc (ex-animal)'!$H$66*(1-'DB additional information '!$L$13/100))*(1-VLOOKUP(D325,'DB technologies'!$N$154:$Y$166,8,FALSE)/100)*'Calc (ex-housing, ex-storage)'!F325/100/VLOOKUP($C$325,'DB animal categories'!$C$117:$AC$126,27,FALSE)*AJ325+M325+N325+O325,IF(AS325=4,('Calc (ex-animal)'!$G$66*(1-'DB additional information '!$K$13/100)+'Calc (ex-animal)'!$H$66*(1-'DB additional information '!$L$13/100))*(1-VLOOKUP(D325,'DB technologies'!$N$154:$Y$166,8,FALSE)/100)*'Calc (ex-housing, ex-storage)'!F325/100*VLOOKUP(D325,'DB technologies'!$N$154:$Y$166,12,FALSE)/100/VLOOKUP($C$325,'DB animal categories'!$C$117:$AC$126,27,FALSE)*AJ325+M325+N325+O325,0))))))</f>
        <v/>
      </c>
      <c r="AW325" s="453" t="str">
        <f>IF(AS325="","",IF(AU325=0,0,AU325/AT325*100))</f>
        <v/>
      </c>
      <c r="AX325" s="180" t="str">
        <f>IF(D325="","",IF(AS325=2,0,IF(AS325=1,'Calc (ex-animal)'!$K$66*'Calc (ex-housing, ex-storage)'!F325/100/VLOOKUP($C$325,'DB animal categories'!$C$117:$AC$126,27,FALSE)*AJ325+Q325+R325+S325,IF(AS325=5,('Calc (ex-animal)'!$K$66+'Calc (ex-animal)'!$L$66)*'Calc (ex-housing, ex-storage)'!F325/100/VLOOKUP($C$325,'DB animal categories'!$C$117:$AC$126,27,FALSE)*AJ325+Q325+R325+S325-'Calc (ex-housing, ex-storage)'!AC325,IF(AS325=3,('Calc (ex-animal)'!$K$66+'Calc (ex-animal)'!$L$66)*'Calc (ex-housing, ex-storage)'!F325/100/VLOOKUP($C$325,'DB animal categories'!$C$117:$AC$126,27,FALSE)*AJ325+Q325+R325+S325-'Calc (ex-housing, ex-storage)'!AC325-AD325-AE325,IF(AI325=4,('Calc (ex-animal)'!$K$66+'Calc (ex-animal)'!$L$66)*'Calc (ex-housing, ex-storage)'!F325/100*VLOOKUP(D325,'DB technologies'!$N$154:$Y$166,12,FALSE)/100/VLOOKUP($C$325,'DB animal categories'!$C$117:$AC$126,27,FALSE)*AJ325+Q325+R325+S325-(VLOOKUP(D325,'DB technologies'!$N$154:$Y$166,12,FALSE)/100*AC325)-AD325-AE325,0))))))</f>
        <v/>
      </c>
      <c r="AY325" s="180" t="str">
        <f>IF(D325="","",IF(AS325=2,0,IF(AS325=1,'Calc (ex-animal)'!$N$66*'Calc (ex-housing, ex-storage)'!F325/100/VLOOKUP($C$325,'DB animal categories'!$C$117:$AC$126,27,FALSE)*AJ325+U325+V325+W325,IF(AS325=5,('Calc (ex-animal)'!$N$66+'Calc (ex-animal)'!$O$66)*'Calc (ex-housing, ex-storage)'!F325/100/VLOOKUP($C$325,'DB animal categories'!$C$117:$AC$126,27,FALSE)*AJ325+U325+V325+W325,IF(AS325=3,('Calc (ex-animal)'!$N$66+'Calc (ex-animal)'!$O$66)*'Calc (ex-housing, ex-storage)'!F325/100/VLOOKUP($C$325,'DB animal categories'!$C$117:$AC$126,27,FALSE)*AJ325+U325+V325+W325,IF(AS325=4,('Calc (ex-animal)'!$N$66+'Calc (ex-animal)'!$O$66)*'Calc (ex-housing, ex-storage)'!F325/100*VLOOKUP(D325,'DB technologies'!$N$154:$Y$166,12,FALSE)/100/VLOOKUP($C$325,'DB animal categories'!$C$117:$AC$126,27,FALSE)*AJ325+U325+V325+W325,0))))))</f>
        <v/>
      </c>
      <c r="AZ325" s="180" t="str">
        <f>IF(D325="","",IF(AS325=2,0,IF(AS325=1,'Calc (ex-animal)'!$Q$66*'Calc (ex-housing, ex-storage)'!F325/100/VLOOKUP($C$325,'DB animal categories'!$C$117:$AC$126,27,FALSE)*AJ325+Y325+Z325+AA325,IF(AS325=5,('Calc (ex-animal)'!$Q$66+'Calc (ex-animal)'!$R$66)*'Calc (ex-housing, ex-storage)'!F325/100/VLOOKUP($C$325,'DB animal categories'!$C$117:$AC$126,27,FALSE)*AJ325+Y325+Z325+AA325,IF(AS325=3,('Calc (ex-animal)'!$Q$66+'Calc (ex-animal)'!$R$66)*'Calc (ex-housing, ex-storage)'!F325/100/VLOOKUP($C$325,'DB animal categories'!$C$117:$AC$126,27,FALSE)*AJ325+Y325+Z325+AA325,IF(AS325=4,('Calc (ex-animal)'!$Q$66+'Calc (ex-animal)'!$R$66)*'Calc (ex-housing, ex-storage)'!F325/100*VLOOKUP(D325,'DB technologies'!$N$154:$Y$166,12,FALSE)/100/VLOOKUP($C$325,'DB animal categories'!$C$117:$AC$126,27,FALSE)*AJ325+Y325+Z325+AA325,0))))))</f>
        <v/>
      </c>
      <c r="BA325" s="506"/>
      <c r="BB325" s="506"/>
      <c r="BC325" s="506"/>
    </row>
    <row r="326" spans="1:55" x14ac:dyDescent="0.2">
      <c r="A326" s="695"/>
      <c r="B326" s="695"/>
      <c r="C326" s="251"/>
      <c r="D326" s="1357"/>
      <c r="E326" s="1358"/>
      <c r="F326" s="480" t="str">
        <f>IF('Calc (ex-animal)'!$F$63=1,"",IF($C$325=0,"",IF(D326="","",E326/'Calc (ex-animal)'!$E$66*100)))</f>
        <v/>
      </c>
      <c r="G326" s="438" t="str">
        <f>IF($C$325=0,"",IF('Calc (ex-animal)'!$F$63=1,"",IF(D326="","",SUM(H326:O326))))</f>
        <v/>
      </c>
      <c r="H326" s="423" t="str">
        <f>IF('Calc (ex-animal)'!$F$63=1,"",IF(D326="","",(((VLOOKUP($C$325,'Calc (ex-animal)'!$D$63:$Y$67,6,FALSE)-VLOOKUP($C$325,'Calc (ex-animal)'!$D$63:$Y$67,17,FALSE))*F326/100))*VLOOKUP($C$325,'Calc (ex-animal)'!$D$63:$Y$67,7,FALSE)/100*(1-VLOOKUP(D326,'DB technologies'!$N$154:$Y$166,9,FALSE)/100)))</f>
        <v/>
      </c>
      <c r="I326" s="423" t="str">
        <f>IF(D326="","",((VLOOKUP(D326,'DB technologies'!$N$154:$Y$166,2,FALSE)*VLOOKUP($C$325,'DB animal categories'!$C$117:$AC$126,27,FALSE)*E326/1000)/VLOOKUP($C$325,'DB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'!$S$6/100*(1-VLOOKUP(D326,'DB technologies'!$N$154:$Y$166,9,FALSE)/100)))</f>
        <v/>
      </c>
      <c r="J326" s="434" t="str">
        <f>IF(D326="","",((VLOOKUP(D326,'DB technologies'!$N$154:$Y$166,3,FALSE)*VLOOKUP($C$325,'DB animal categories'!$C$117:$AC$126,27,FALSE)*E326/1000)/VLOOKUP($C$325,'DB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'!$S$7/100*(1-VLOOKUP(D326,'DB technologies'!$N$154:$Y$166,9,FALSE)/100)))</f>
        <v/>
      </c>
      <c r="K326" s="434" t="str">
        <f>IF(D326="","",((VLOOKUP(D326,'DB technologies'!$N$154:$Y$166,4,FALSE)*E326*'DB additional information '!$S$8/100*(1-VLOOKUP(D326,'DB technologies'!$N$154:$Y$166,9,FALSE)/100))/VLOOKUP($C$325,'DB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L326" s="423" t="str">
        <f>IF('Calc (ex-animal)'!$F$63=1,"",IF(D326="","",(((VLOOKUP($C$325,'Calc (ex-animal)'!$D$63:$Y$67,6,FALSE)-VLOOKUP($C$325,'Calc (ex-animal)'!$D$63:$Y$67,17,FALSE))*F326/100))*(1-VLOOKUP($C$325,'Calc (ex-animal)'!$D$63:$Y$67,7,FALSE)/100)*(1-VLOOKUP(D326,'DB technologies'!$N$154:$V$166,8,FALSE)/100)))</f>
        <v/>
      </c>
      <c r="M326" s="434" t="str">
        <f>IF(D326="","",((VLOOKUP(D326,'DB technologies'!$N$154:$Y$166,2,FALSE)*VLOOKUP($C$325,'DB animal categories'!$C$117:$AC$126,27,FALSE)*E326/1000)/VLOOKUP($C$325,'DB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'!$S$6/100)*(1-VLOOKUP(D326,'DB technologies'!$N$154:$Y$166,9,FALSE)/100))</f>
        <v/>
      </c>
      <c r="N326" s="434" t="str">
        <f>IF(D326="","",((VLOOKUP(D326,'DB technologies'!$N$154:$Y$166,3,FALSE)*VLOOKUP($C$325,'DB animal categories'!$C$117:$AC$126,27,FALSE)*E326/1000)/VLOOKUP($C$325,'DB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'!$S$7/100)*(1-VLOOKUP(D326,'DB technologies'!$N$154:$Y$166,9,FALSE)/100))</f>
        <v/>
      </c>
      <c r="O326" s="423" t="str">
        <f>IF(D326="","",((VLOOKUP(D326,'DB technologies'!$N$154:$Y$166,4,FALSE)*E326*(1-'DB additional information '!$S$8/100)*(1-VLOOKUP(D326,'DB technologies'!$N$154:$Y$166,8,FALSE)/100))/VLOOKUP($C$325,'DB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P326" s="438" t="str">
        <f>IF(G326=0,0,IF(E326="","",IF(F326="","",IF($C$325=0,"",IF(D326="","",SUM(H326:K326)/G326*100)))))</f>
        <v/>
      </c>
      <c r="Q326" s="416" t="str">
        <f>IF(D326="","",(VLOOKUP(D326,'DB technologies'!$N$154:$Y$166,2,FALSE)*'DB additional information '!$S$6/100*'DB additional information '!$T$6*VLOOKUP($C$325,'DB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R326" s="416" t="str">
        <f>IF(D326="","",(VLOOKUP(D326,'DB technologies'!$N$154:$Y$166,3,FALSE)*'DB additional information '!$S$7/100*'DB additional information '!$T$7*VLOOKUP($C$325,'DB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S326" s="491" t="str">
        <f>IF(D326="","",(VLOOKUP(D326,'DB technologies'!$N$154:$Y$166,4,FALSE)*('DB additional information '!$S$8/100*'DB additional information '!$T$8*E326/1000/1000)))</f>
        <v/>
      </c>
      <c r="T326" s="264" t="str">
        <f>IF($C$325=0,"",IF('Calc (ex-animal)'!$F$63=1,"",IF(D326="","",((VLOOKUP($C$325,'Calc (ex-animal)'!$D$63:$Y$67,10,FALSE)-VLOOKUP($C$325,'Calc (ex-animal)'!$D$63:$Y$67,18,FALSE))*F326/100+Q326+R326+S326)-AC326-AD326-AE326)))</f>
        <v/>
      </c>
      <c r="U326" s="422" t="str">
        <f>IF(D326="","",(VLOOKUP(D326,'DB technologies'!$N$154:$Y$166,2,FALSE)*'DB additional information '!$S$6/100*'DB additional information '!$U$6*VLOOKUP($C$325,'DB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V326" s="418" t="str">
        <f>IF(D326="","",(VLOOKUP(D326,'DB technologies'!$N$154:$Y$166,3,FALSE)*'DB additional information '!$S$7/100*'DB additional information '!$U$7*VLOOKUP($C$325,'DB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W326" s="417" t="str">
        <f>IF(D326="","",(VLOOKUP(D326,'DB technologies'!$N$154:$Y$166,4,FALSE)*('DB additional information '!$S$8/100*'DB additional information '!$U$8*E326/1000/1000)))</f>
        <v/>
      </c>
      <c r="X326" s="261" t="str">
        <f>IF($C$325=0,"",IF('Calc (ex-animal)'!$F$63=1,"",IF(D326="","",((VLOOKUP($C$325,'Calc (ex-animal)'!$D$63:$Y$67,13,FALSE)-VLOOKUP($C$325,'Calc (ex-animal)'!$D$63:$Y$67,19,FALSE))*F326/100+U326+V326+W326))))</f>
        <v/>
      </c>
      <c r="Y326" s="418" t="str">
        <f>IF(D326="","",(VLOOKUP(D326,'DB technologies'!$N$154:$Y$166,2,FALSE)*'DB additional information '!$S$6/100*'DB additional information '!$V$6*VLOOKUP($C$325,'DB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Z326" s="418" t="str">
        <f>IF(D326="","",(VLOOKUP(D326,'DB technologies'!$N$154:$Y$166,3,FALSE)*'DB additional information '!$S$7/100*'DB additional information '!$V$7*VLOOKUP($C$325,'DB animal categories'!$C$117:$AC$126,27,FALSE)*E326/1000/1000)/VLOOKUP($C$325,'DB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AA326" s="418" t="str">
        <f>IF(D326="","",(VLOOKUP(D326,'DB technologies'!$N$154:$Y$166,4,FALSE)*('DB additional information '!$S$8/100*'DB additional information '!$V$8*E326/1000/1000)))</f>
        <v/>
      </c>
      <c r="AB326" s="261" t="str">
        <f>IF($C$325=0,"",IF('Calc (ex-animal)'!$F$63=1,"",IF(D326="","",((VLOOKUP($C$325,'Calc (ex-animal)'!$D$63:$Y$67,16,FALSE)-VLOOKUP($C$325,'Calc (ex-animal)'!$D$63:$Y$67,20,FALSE))*F326/100+Y326+Z326+AA326))))</f>
        <v/>
      </c>
      <c r="AC326" s="261" t="str">
        <f>IF($C$325=0,"",IF('Calc (ex-animal)'!$F$63=1,"",IF(D326="","",VLOOKUP($C$325,'Calc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categories'!$C$117:$AC$126,26,FALSE)/24)*F326/100*VLOOKUP(D326,'DB technologies'!$N$154:$R$166,5,FALSE)/100)))</f>
        <v/>
      </c>
      <c r="AD326" s="261" t="str">
        <f>IF($C$325=0,"",IF('Calc (ex-animal)'!$F$63=1,"",IF(D326="","",VLOOKUP($C$325,'Calc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categories'!$C$117:$AC$126,26,FALSE)/24)*F326/100*VLOOKUP(D326,'DB technologies'!$N$154:$Y$166,6,FALSE)/100)))</f>
        <v/>
      </c>
      <c r="AE326" s="262" t="str">
        <f>IF($C$325=0,"",IF('Calc (ex-animal)'!$F$63=1,"",IF(D326="","",VLOOKUP($C$325,'Calc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categories'!$C$117:$AC$126,26,FALSE)/24)*F326/100*VLOOKUP(D326,'DB technologies'!$N$154:$Y$166,7,FALSE)/100)))</f>
        <v/>
      </c>
      <c r="AI326" s="181" t="str">
        <f>IF(D326="","",VLOOKUP(D326,'DB technologies'!$N$154:$Y$166,10,FALSE))</f>
        <v/>
      </c>
      <c r="AJ326" s="449" t="e">
        <f>VLOOKUP($C$325,'DB animal categories'!$C$117:$AN$126,27,FALSE)-VLOOKUP($C$325,'DB animal categories'!$C$117:$AN$126,26,FALSE)*VLOOKUP($C$325,'DB animal categories'!$C$117:$AN$126,25,FALSE)/24</f>
        <v>#N/A</v>
      </c>
      <c r="AK326" s="442" t="str">
        <f>IF(AI326="","",AL326+AM326)</f>
        <v/>
      </c>
      <c r="AL326" s="442" t="str">
        <f>IF(D326="","",IF(AI326=2,(('Calc (ex-animal)'!$G$66*'DB additional information '!$K$13/100*(1-VLOOKUP(D326,'DB technologies'!$N$154:$Y$166,9,FALSE)/100)*'Calc (ex-housing, ex-storage)'!F326/100+'Calc (ex-animal)'!$H$66*'DB additional information '!$L$13/100*(1-VLOOKUP(D326,'DB technologies'!$N$154:$Y$166,9,FALSE)/100)*'Calc (ex-housing, ex-storage)'!F326/100))/VLOOKUP($C$325,'DB animal categories'!$C$117:$AC$126,27,FALSE)*AJ326+I326+J326+K326,IF(AI326=1,('Calc (ex-animal)'!$H$66*'DB additional information '!$L$13/100*(1-VLOOKUP(D326,'DB technologies'!$N$154:$Y$166,9,FALSE)/100)*'Calc (ex-housing, ex-storage)'!F326/100)/VLOOKUP($C$325,'DB animal categories'!$C$117:$AC$126,27,FALSE)*AJ326,IF(AI326=4,('Calc (ex-animal)'!$G$66*'DB additional information '!$K$13/100+'Calc (ex-animal)'!$H$66*'DB additional information '!$L$13/100)*(1-VLOOKUP(D326,'DB technologies'!$N$154:$Y$166,9,FALSE)/100)*'Calc (ex-housing, ex-storage)'!F326/100*VLOOKUP(D326,'DB technologies'!$N$154:$Y$166,11,FALSE)/100/VLOOKUP($C$325,'DB animal categories'!$C$117:$AC$126,27,FALSE)*AJ326,0))))</f>
        <v/>
      </c>
      <c r="AM326" s="442" t="str">
        <f>IF(D326="","",IF(AI326=2,(('Calc (ex-animal)'!$G$66*(1-'DB additional information '!$K$13/100)*(1-VLOOKUP(D326,'DB technologies'!$N$154:$Y$166,8,FALSE)/100)*'Calc (ex-housing, ex-storage)'!F326/100+'Calc (ex-animal)'!$H$66*(1-'DB additional information '!$L$13/100)*(1-VLOOKUP(D326,'DB technologies'!$N$154:$Y$166,8,FALSE)/100)*'Calc (ex-housing, ex-storage)'!F326/100))/VLOOKUP($C$325,'DB animal categories'!$C$117:$AC$126,27,FALSE)*AJ326+M326+N326+O326,IF(AI326=1,('Calc (ex-animal)'!$H$66*(1-'DB additional information '!$L$13/100)*(1-VLOOKUP(D326,'DB technologies'!$N$154:$Y$166,8,FALSE)/100)*'Calc (ex-housing, ex-storage)'!F326/100)/VLOOKUP($C$325,'DB animal categories'!$C$117:$AC$126,27,FALSE)*AJ326,IF(AI326=4,('Calc (ex-animal)'!$G$66*(1-'DB additional information '!$K$13/100)+'Calc (ex-animal)'!$H$66*(1-'DB additional information '!$L$13/100))*(1-VLOOKUP(D326,'DB technologies'!$N$154:$Y$166,8,FALSE)/100)*'Calc (ex-housing, ex-storage)'!F326/100*VLOOKUP(D326,'DB technologies'!$N$154:$Y$166,11,FALSE)/100/VLOOKUP($C$325,'DB animal categories'!$C$117:$AC$126,27,FALSE)*AJ326,0))))</f>
        <v/>
      </c>
      <c r="AN326" s="442" t="str">
        <f>IF(AI326="","",IF(AL326=0,0,AL326/AK326*100))</f>
        <v/>
      </c>
      <c r="AO326" s="182" t="str">
        <f>IF(D326="","",IF(AI326=2,(('Calc (ex-animal)'!$L$66*'Calc (ex-housing, ex-storage)'!F326/100+'Calc (ex-animal)'!$K$66*'Calc (ex-housing, ex-storage)'!F326/100))/VLOOKUP($C$325,'DB animal categories'!$C$117:$AC$126,27,FALSE)*AJ326+Q326+R326+S326-AC326,IF(AI326=1,('Calc (ex-animal)'!$L$66*'Calc (ex-housing, ex-storage)'!F326/100)/VLOOKUP($C$325,'DB animal categories'!$C$117:$AC$126,27,FALSE)*AJ326-'Calc (ex-housing, ex-storage)'!AC326,IF(AI326=4,('Calc (ex-animal)'!$L$66+'Calc (ex-animal)'!$K$66)*'Calc (ex-housing, ex-storage)'!F326/100*VLOOKUP(D326,'DB technologies'!$N$154:$Y$166,11,FALSE)/100/VLOOKUP($C$325,'DB animal categories'!$C$117:$AC$126,27,FALSE)*AJ326-AC326*VLOOKUP(D326,'DB technologies'!$N$154:$Y$166,11,FALSE)/100,0))))</f>
        <v/>
      </c>
      <c r="AP326" s="182" t="str">
        <f>IF(D326="","",IF(AO326&lt;-0.01,0,IF(AI326=2,(('Calc (ex-animal)'!$L$66*'Calc (ex-housing, ex-storage)'!F326/100+'Calc (ex-animal)'!$K$66*'Calc (ex-housing, ex-storage)'!F326/100))/VLOOKUP($C$325,'DB animal categories'!$C$117:$AC$126,27,FALSE)*AJ326+Q326+R326+S326-AC326,IF(AI326=1,('Calc (ex-animal)'!$L$66*'Calc (ex-housing, ex-storage)'!F326/100)/VLOOKUP($C$325,'DB animal categories'!$C$117:$AC$126,27,FALSE)*AJ326-'Calc (ex-housing, ex-storage)'!AC326,IF(AI326=4,('Calc (ex-animal)'!$L$66+'Calc (ex-animal)'!$K$66)*'Calc (ex-housing, ex-storage)'!F326/100*VLOOKUP(D326,'DB technologies'!$N$154:$Y$166,11,FALSE)/100/VLOOKUP($C$325,'DB animal categories'!$C$117:$AC$126,27,FALSE)*AJ326-AC326*VLOOKUP(D326,'DB technologies'!$N$154:$Y$166,11,FALSE)/100,0)))))</f>
        <v/>
      </c>
      <c r="AQ326" s="182" t="str">
        <f>IF(D326="","",IF(AI326=2,('Calc (ex-animal)'!$O$66*'Calc (ex-housing, ex-storage)'!F326/100+'Calc (ex-animal)'!$N$66*'Calc (ex-housing, ex-storage)'!F326/100)/VLOOKUP($C$325,'DB animal categories'!$C$117:$AC$126,27,FALSE)*AJ326+U326+V326+W326,IF(AI326=1,'Calc (ex-animal)'!$O$66*'Calc (ex-housing, ex-storage)'!F326/100/VLOOKUP($C$325,'DB animal categories'!$C$117:$AC$126,27,FALSE)*AJ326,IF(AI326=4,('Calc (ex-animal)'!$O$66+'Calc (ex-animal)'!$N$66)*'Calc (ex-housing, ex-storage)'!F326/100*VLOOKUP(D326,'DB technologies'!$N$154:$Y$166,11,FALSE)/100/VLOOKUP($C$325,'DB animal categories'!$C$117:$AC$126,27,FALSE)*AJ326,0))))</f>
        <v/>
      </c>
      <c r="AR326" s="182" t="str">
        <f>IF(D326="","",IF(AI326=2,('Calc (ex-animal)'!$R$66*'Calc (ex-housing, ex-storage)'!F326/100+'Calc (ex-animal)'!$Q$66*'Calc (ex-housing, ex-storage)'!F326/100)/VLOOKUP($C$325,'DB animal categories'!$C$117:$AC$126,27,FALSE)*AJ326+Y326+Z326+AA326,IF(AI326=1,'Calc (ex-animal)'!$R$66*'Calc (ex-housing, ex-storage)'!F326/100/VLOOKUP($C$325,'DB animal categories'!$C$117:$AC$126,27,FALSE)*AJ326,IF(AI326=4,('Calc (ex-animal)'!$R$66+'Calc (ex-animal)'!$Q$66)*'Calc (ex-housing, ex-storage)'!F326/100*VLOOKUP(D326,'DB technologies'!$N$154:$Y$166,11,FALSE)/100/VLOOKUP($C$325,'DB animal categories'!$C$117:$AC$126,27,FALSE)*AJ326,0))))</f>
        <v/>
      </c>
      <c r="AS326" s="181" t="str">
        <f>IF(D326="","",VLOOKUP(D326,'DB technologies'!$N$154:$Y$166,10,FALSE))</f>
        <v/>
      </c>
      <c r="AT326" s="442" t="str">
        <f>IF(AS326="","",AU326+AV326)</f>
        <v/>
      </c>
      <c r="AU326" s="442" t="str">
        <f>IF(D326="","",IF(AS326=2,0,IF(AS326=1,'Calc (ex-animal)'!$G$66*'DB additional information '!$K$13/100*(1-VLOOKUP(D326,'DB technologies'!$N$154:$Y$166,8,FALSE)/100)*'Calc (ex-housing, ex-storage)'!F326/100/VLOOKUP($C$325,'DB animal categories'!$C$117:$AC$126,27,FALSE)*AJ326+I326+J326+K326,IF(AS326=5,(('Calc (ex-animal)'!$G$66*'DB additional information '!$K$13/100+'Calc (ex-animal)'!$H$66*'DB additional information '!$L$13/100))*(1-VLOOKUP(D326,'DB technologies'!$N$154:$Y$166,9,FALSE)/100)*'Calc (ex-housing, ex-storage)'!F326/100/VLOOKUP($C$325,'DB animal categories'!$C$117:$AC$126,27,FALSE)*AJ326+I326+J326+K326,IF(AS326=3,('Calc (ex-animal)'!$G$66*'DB additional information '!$K$13/100+'Calc (ex-animal)'!$H$66*'DB additional information '!$L$13/100)*(1-VLOOKUP(D326,'DB technologies'!$N$154:$Y$166,9,FALSE)/100)*'Calc (ex-housing, ex-storage)'!F326/100/VLOOKUP($C$325,'DB animal categories'!$C$117:$AC$126,27,FALSE)*AJ326+I326+J326+K326,IF(AS326=4,('Calc (ex-animal)'!$G$66*'DB additional information '!$K$13/100+'Calc (ex-animal)'!$H$66*'DB additional information '!$L$13/100)*(1-VLOOKUP(D326,'DB technologies'!$N$154:$Y$166,9,FALSE)/100)*'Calc (ex-housing, ex-storage)'!F326/100*VLOOKUP(D326,'DB technologies'!$N$154:$Y$166,12,FALSE)/100/VLOOKUP($C$325,'DB animal categories'!$C$117:$AC$126,27,FALSE)*AJ326+I326+J326+K326,0))))))</f>
        <v/>
      </c>
      <c r="AV326" s="442" t="str">
        <f>IF(D326="","",IF(AS326=2,0,IF(AS326=1,'Calc (ex-animal)'!$G$66*(1-'DB additional information '!$K$13/100)*(1-VLOOKUP(D326,'DB technologies'!$N$154:$Y$166,8,FALSE)/100)*'Calc (ex-housing, ex-storage)'!F326/100/VLOOKUP($C$325,'DB animal categories'!$C$117:$AC$126,27,FALSE)*AJ326+M326+N326+O326,IF(AS326=5,('Calc (ex-animal)'!$G$66*(1-'DB additional information '!$K$13/100)+'Calc (ex-animal)'!$H$66*(1-'DB additional information '!$L$13/100))*(1-VLOOKUP(D326,'DB technologies'!$N$154:$Y$166,8,FALSE)/100)*'Calc (ex-housing, ex-storage)'!F326/100/VLOOKUP($C$325,'DB animal categories'!$C$117:$AC$126,27,FALSE)*AJ326+M326+N326+O326,IF(AS326=3,('Calc (ex-animal)'!$G$66*(1-'DB additional information '!$K$13/100)+'Calc (ex-animal)'!$H$66*(1-'DB additional information '!$L$13/100))*(1-VLOOKUP(D326,'DB technologies'!$N$154:$Y$166,8,FALSE)/100)*'Calc (ex-housing, ex-storage)'!F326/100/VLOOKUP($C$325,'DB animal categories'!$C$117:$AC$126,27,FALSE)*AJ326+M326+N326+O326,IF(AS326=4,('Calc (ex-animal)'!$G$66*(1-'DB additional information '!$K$13/100)+'Calc (ex-animal)'!$H$66*(1-'DB additional information '!$L$13/100))*(1-VLOOKUP(D326,'DB technologies'!$N$154:$Y$166,8,FALSE)/100)*'Calc (ex-housing, ex-storage)'!F326/100*VLOOKUP(D326,'DB technologies'!$N$154:$Y$166,12,FALSE)/100/VLOOKUP($C$325,'DB animal categories'!$C$117:$AC$126,27,FALSE)*AJ326+M326+N326+O326,0))))))</f>
        <v/>
      </c>
      <c r="AW326" s="442" t="str">
        <f>IF(AS326="","",IF(AU326=0,0,AU326/AT326*100))</f>
        <v/>
      </c>
      <c r="AX326" s="182" t="str">
        <f>IF(D326="","",IF(AS326=2,0,IF(AS326=1,'Calc (ex-animal)'!$K$66*'Calc (ex-housing, ex-storage)'!F326/100/VLOOKUP($C$325,'DB animal categories'!$C$117:$AC$126,27,FALSE)*AJ326+Q326+R326+S326,IF(AS326=5,('Calc (ex-animal)'!$K$66+'Calc (ex-animal)'!$L$66)*'Calc (ex-housing, ex-storage)'!F326/100/VLOOKUP($C$325,'DB animal categories'!$C$117:$AC$126,27,FALSE)*AJ326+Q326+R326+S326-'Calc (ex-housing, ex-storage)'!AC326,IF(AS326=3,('Calc (ex-animal)'!$K$66+'Calc (ex-animal)'!$L$66)*'Calc (ex-housing, ex-storage)'!F326/100/VLOOKUP($C$325,'DB animal categories'!$C$117:$AC$126,27,FALSE)*AJ326+Q326+R326+S326-'Calc (ex-housing, ex-storage)'!AC326-AD326-AE326,IF(AI326=4,('Calc (ex-animal)'!$K$66+'Calc (ex-animal)'!$L$66)*'Calc (ex-housing, ex-storage)'!F326/100*VLOOKUP(D326,'DB technologies'!$N$154:$Y$166,12,FALSE)/100/VLOOKUP($C$325,'DB animal categories'!$C$117:$AC$126,27,FALSE)*AJ326+Q326+R326+S326-(VLOOKUP(D326,'DB technologies'!$N$154:$Y$166,12,FALSE)/100*AC326)-AD326-AE326,0))))))</f>
        <v/>
      </c>
      <c r="AY326" s="182" t="str">
        <f>IF(D326="","",IF(AS326=2,0,IF(AS326=1,'Calc (ex-animal)'!$N$66*'Calc (ex-housing, ex-storage)'!F326/100/VLOOKUP($C$325,'DB animal categories'!$C$117:$AC$126,27,FALSE)*AJ326+U326+V326+W326,IF(AS326=5,('Calc (ex-animal)'!$N$66+'Calc (ex-animal)'!$O$66)*'Calc (ex-housing, ex-storage)'!F326/100/VLOOKUP($C$325,'DB animal categories'!$C$117:$AC$126,27,FALSE)*AJ326+U326+V326+W326,IF(AS326=3,('Calc (ex-animal)'!$N$66+'Calc (ex-animal)'!$O$66)*'Calc (ex-housing, ex-storage)'!F326/100/VLOOKUP($C$325,'DB animal categories'!$C$117:$AC$126,27,FALSE)*AJ326+U326+V326+W326,IF(AS326=4,('Calc (ex-animal)'!$N$66+'Calc (ex-animal)'!$O$66)*'Calc (ex-housing, ex-storage)'!F326/100*VLOOKUP(D326,'DB technologies'!$N$154:$Y$166,12,FALSE)/100/VLOOKUP($C$325,'DB animal categories'!$C$117:$AC$126,27,FALSE)*AJ326+U326+V326+W326,0))))))</f>
        <v/>
      </c>
      <c r="AZ326" s="182" t="str">
        <f>IF(D326="","",IF(AS326=2,0,IF(AS326=1,'Calc (ex-animal)'!$Q$66*'Calc (ex-housing, ex-storage)'!F326/100/VLOOKUP($C$325,'DB animal categories'!$C$117:$AC$126,27,FALSE)*AJ326+Y326+Z326+AA326,IF(AS326=5,('Calc (ex-animal)'!$Q$66+'Calc (ex-animal)'!$R$66)*'Calc (ex-housing, ex-storage)'!F326/100/VLOOKUP($C$325,'DB animal categories'!$C$117:$AC$126,27,FALSE)*AJ326+Y326+Z326+AA326,IF(AS326=3,('Calc (ex-animal)'!$Q$66+'Calc (ex-animal)'!$R$66)*'Calc (ex-housing, ex-storage)'!F326/100/VLOOKUP($C$325,'DB animal categories'!$C$117:$AC$126,27,FALSE)*AJ326+Y326+Z326+AA326,IF(AS326=4,('Calc (ex-animal)'!$Q$66+'Calc (ex-animal)'!$R$66)*'Calc (ex-housing, ex-storage)'!F326/100*VLOOKUP(D326,'DB technologies'!$N$154:$Y$166,12,FALSE)/100/VLOOKUP($C$325,'DB animal categories'!$C$117:$AC$126,27,FALSE)*AJ326+Y326+Z326+AA326,0))))))</f>
        <v/>
      </c>
      <c r="BA326" s="506"/>
      <c r="BB326" s="506"/>
      <c r="BC326" s="506"/>
    </row>
    <row r="327" spans="1:55" x14ac:dyDescent="0.2">
      <c r="A327" s="695"/>
      <c r="B327" s="695"/>
      <c r="C327" s="251"/>
      <c r="D327" s="1357"/>
      <c r="E327" s="1358"/>
      <c r="F327" s="480" t="str">
        <f>IF('Calc (ex-animal)'!$F$63=1,"",IF($C$325=0,"",IF(D327="","",E327/'Calc (ex-animal)'!$E$66*100)))</f>
        <v/>
      </c>
      <c r="G327" s="438" t="str">
        <f>IF($C$325=0,"",IF('Calc (ex-animal)'!$F$63=1,"",IF(D327="","",SUM(H327:O327))))</f>
        <v/>
      </c>
      <c r="H327" s="423" t="str">
        <f>IF('Calc (ex-animal)'!$F$63=1,"",IF(D327="","",(((VLOOKUP($C$325,'Calc (ex-animal)'!$D$63:$Y$67,6,FALSE)-VLOOKUP($C$325,'Calc (ex-animal)'!$D$63:$Y$67,17,FALSE))*F327/100))*VLOOKUP($C$325,'Calc (ex-animal)'!$D$63:$Y$67,7,FALSE)/100*(1-VLOOKUP(D327,'DB technologies'!$N$154:$Y$166,9,FALSE)/100)))</f>
        <v/>
      </c>
      <c r="I327" s="423" t="str">
        <f>IF(D327="","",((VLOOKUP(D327,'DB technologies'!$N$154:$Y$166,2,FALSE)*VLOOKUP($C$325,'DB animal categories'!$C$117:$AC$126,27,FALSE)*E327/1000)/VLOOKUP($C$325,'DB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'!$S$6/100*(1-VLOOKUP(D327,'DB technologies'!$N$154:$Y$166,9,FALSE)/100)))</f>
        <v/>
      </c>
      <c r="J327" s="434" t="str">
        <f>IF(D327="","",((VLOOKUP(D327,'DB technologies'!$N$154:$Y$166,3,FALSE)*VLOOKUP($C$325,'DB animal categories'!$C$117:$AC$126,27,FALSE)*E327/1000)/VLOOKUP($C$325,'DB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'!$S$7/100*(1-VLOOKUP(D327,'DB technologies'!$N$154:$Y$166,9,FALSE)/100)))</f>
        <v/>
      </c>
      <c r="K327" s="434" t="str">
        <f>IF(D327="","",((VLOOKUP(D327,'DB technologies'!$N$154:$Y$166,4,FALSE)*E327*'DB additional information '!$S$8/100*(1-VLOOKUP(D327,'DB technologies'!$N$154:$Y$166,9,FALSE)/100))/VLOOKUP($C$325,'DB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L327" s="423" t="str">
        <f>IF('Calc (ex-animal)'!$F$63=1,"",IF(D327="","",(((VLOOKUP($C$325,'Calc (ex-animal)'!$D$63:$Y$67,6,FALSE)-VLOOKUP($C$325,'Calc (ex-animal)'!$D$63:$Y$67,17,FALSE))*F327/100))*(1-VLOOKUP($C$325,'Calc (ex-animal)'!$D$63:$Y$67,7,FALSE)/100)*(1-VLOOKUP(D327,'DB technologies'!$N$154:$V$166,8,FALSE)/100)))</f>
        <v/>
      </c>
      <c r="M327" s="434" t="str">
        <f>IF(D327="","",((VLOOKUP(D327,'DB technologies'!$N$154:$Y$166,2,FALSE)*VLOOKUP($C$325,'DB animal categories'!$C$117:$AC$126,27,FALSE)*E327/1000)/VLOOKUP($C$325,'DB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'!$S$6/100)*(1-VLOOKUP(D327,'DB technologies'!$N$154:$Y$166,9,FALSE)/100))</f>
        <v/>
      </c>
      <c r="N327" s="434" t="str">
        <f>IF(D327="","",((VLOOKUP(D327,'DB technologies'!$N$154:$Y$166,3,FALSE)*VLOOKUP($C$325,'DB animal categories'!$C$117:$AC$126,27,FALSE)*E327/1000)/VLOOKUP($C$325,'DB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'!$S$7/100)*(1-VLOOKUP(D327,'DB technologies'!$N$154:$Y$166,9,FALSE)/100))</f>
        <v/>
      </c>
      <c r="O327" s="423" t="str">
        <f>IF(D327="","",((VLOOKUP(D327,'DB technologies'!$N$154:$Y$166,4,FALSE)*E327*(1-'DB additional information '!$S$8/100)*(1-VLOOKUP(D327,'DB technologies'!$N$154:$Y$166,8,FALSE)/100))/VLOOKUP($C$325,'DB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P327" s="438" t="str">
        <f>IF(G327=0,0,IF(E327="","",IF(F327="","",IF($C$325=0,"",IF(D327="","",SUM(H327:K327)/G327*100)))))</f>
        <v/>
      </c>
      <c r="Q327" s="416" t="str">
        <f>IF(D327="","",(VLOOKUP(D327,'DB technologies'!$N$154:$Y$166,2,FALSE)*'DB additional information '!$S$6/100*'DB additional information '!$T$6*VLOOKUP($C$325,'DB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R327" s="416" t="str">
        <f>IF(D327="","",(VLOOKUP(D327,'DB technologies'!$N$154:$Y$166,3,FALSE)*'DB additional information '!$S$7/100*'DB additional information '!$T$7*VLOOKUP($C$325,'DB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S327" s="491" t="str">
        <f>IF(D327="","",(VLOOKUP(D327,'DB technologies'!$N$154:$Y$166,4,FALSE)*('DB additional information '!$S$8/100*'DB additional information '!$T$8*E327/1000/1000)))</f>
        <v/>
      </c>
      <c r="T327" s="264" t="str">
        <f>IF($C$325=0,"",IF('Calc (ex-animal)'!$F$63=1,"",IF(D327="","",((VLOOKUP($C$325,'Calc (ex-animal)'!$D$63:$Y$67,10,FALSE)-VLOOKUP($C$325,'Calc (ex-animal)'!$D$63:$Y$67,18,FALSE))*F327/100+Q327+R327+S327)-AC327-AD327-AE327)))</f>
        <v/>
      </c>
      <c r="U327" s="422" t="str">
        <f>IF(D327="","",(VLOOKUP(D327,'DB technologies'!$N$154:$Y$166,2,FALSE)*'DB additional information '!$S$6/100*'DB additional information '!$U$6*VLOOKUP($C$325,'DB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V327" s="418" t="str">
        <f>IF(D327="","",(VLOOKUP(D327,'DB technologies'!$N$154:$Y$166,3,FALSE)*'DB additional information '!$S$7/100*'DB additional information '!$U$7*VLOOKUP($C$325,'DB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W327" s="417" t="str">
        <f>IF(D327="","",(VLOOKUP(D327,'DB technologies'!$N$154:$Y$166,4,FALSE)*('DB additional information '!$S$8/100*'DB additional information '!$U$8*E327/1000/1000)))</f>
        <v/>
      </c>
      <c r="X327" s="261" t="str">
        <f>IF($C$325=0,"",IF('Calc (ex-animal)'!$F$63=1,"",IF(D327="","",((VLOOKUP($C$325,'Calc (ex-animal)'!$D$63:$Y$67,13,FALSE)-VLOOKUP($C$325,'Calc (ex-animal)'!$D$63:$Y$67,19,FALSE))*F327/100+U327+V327+W327))))</f>
        <v/>
      </c>
      <c r="Y327" s="418" t="str">
        <f>IF(D327="","",(VLOOKUP(D327,'DB technologies'!$N$154:$Y$166,2,FALSE)*'DB additional information '!$S$6/100*'DB additional information '!$V$6*VLOOKUP($C$325,'DB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Z327" s="418" t="str">
        <f>IF(D327="","",(VLOOKUP(D327,'DB technologies'!$N$154:$Y$166,3,FALSE)*'DB additional information '!$S$7/100*'DB additional information '!$V$7*VLOOKUP($C$325,'DB animal categories'!$C$117:$AC$126,27,FALSE)*E327/1000/1000)/VLOOKUP($C$325,'DB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AA327" s="418" t="str">
        <f>IF(D327="","",(VLOOKUP(D327,'DB technologies'!$N$154:$Y$166,4,FALSE)*('DB additional information '!$S$8/100*'DB additional information '!$V$8*E327/1000/1000)))</f>
        <v/>
      </c>
      <c r="AB327" s="261" t="str">
        <f>IF($C$325=0,"",IF('Calc (ex-animal)'!$F$63=1,"",IF(D327="","",((VLOOKUP($C$325,'Calc (ex-animal)'!$D$63:$Y$67,16,FALSE)-VLOOKUP($C$325,'Calc (ex-animal)'!$D$63:$Y$67,20,FALSE))*F327/100+Y327+Z327+AA327))))</f>
        <v/>
      </c>
      <c r="AC327" s="261" t="str">
        <f>IF($C$325=0,"",IF('Calc (ex-animal)'!$F$63=1,"",IF(D327="","",VLOOKUP($C$325,'Calc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categories'!$C$117:$AC$126,26,FALSE)/24)*F327/100*VLOOKUP(D327,'DB technologies'!$N$154:$R$166,5,FALSE)/100)))</f>
        <v/>
      </c>
      <c r="AD327" s="261" t="str">
        <f>IF($C$325=0,"",IF('Calc (ex-animal)'!$F$63=1,"",IF(D327="","",VLOOKUP($C$325,'Calc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categories'!$C$117:$AC$126,26,FALSE)/24)*F327/100*VLOOKUP(D327,'DB technologies'!$N$154:$Y$166,6,FALSE)/100)))</f>
        <v/>
      </c>
      <c r="AE327" s="262" t="str">
        <f>IF($C$325=0,"",IF('Calc (ex-animal)'!$F$63=1,"",IF(D327="","",VLOOKUP($C$325,'Calc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categories'!$C$117:$AC$126,26,FALSE)/24)*F327/100*VLOOKUP(D327,'DB technologies'!$N$154:$Y$166,7,FALSE)/100)))</f>
        <v/>
      </c>
      <c r="AI327" s="181" t="str">
        <f>IF(D327="","",VLOOKUP(D327,'DB technologies'!$N$154:$Y$166,10,FALSE))</f>
        <v/>
      </c>
      <c r="AJ327" s="449" t="e">
        <f>VLOOKUP($C$325,'DB animal categories'!$C$117:$AN$126,27,FALSE)-VLOOKUP($C$325,'DB animal categories'!$C$117:$AN$126,26,FALSE)*VLOOKUP($C$325,'DB animal categories'!$C$117:$AN$126,25,FALSE)/24</f>
        <v>#N/A</v>
      </c>
      <c r="AK327" s="442" t="str">
        <f>IF(AI327="","",AL327+AM327)</f>
        <v/>
      </c>
      <c r="AL327" s="442" t="str">
        <f>IF(D327="","",IF(AI327=2,(('Calc (ex-animal)'!$G$66*'DB additional information '!$K$13/100*(1-VLOOKUP(D327,'DB technologies'!$N$154:$Y$166,9,FALSE)/100)*'Calc (ex-housing, ex-storage)'!F327/100+'Calc (ex-animal)'!$H$66*'DB additional information '!$L$13/100*(1-VLOOKUP(D327,'DB technologies'!$N$154:$Y$166,9,FALSE)/100)*'Calc (ex-housing, ex-storage)'!F327/100))/VLOOKUP($C$325,'DB animal categories'!$C$117:$AC$126,27,FALSE)*AJ327+I327+J327+K327,IF(AI327=1,('Calc (ex-animal)'!$H$66*'DB additional information '!$L$13/100*(1-VLOOKUP(D327,'DB technologies'!$N$154:$Y$166,9,FALSE)/100)*'Calc (ex-housing, ex-storage)'!F327/100)/VLOOKUP($C$325,'DB animal categories'!$C$117:$AC$126,27,FALSE)*AJ327,IF(AI327=4,('Calc (ex-animal)'!$G$66*'DB additional information '!$K$13/100+'Calc (ex-animal)'!$H$66*'DB additional information '!$L$13/100)*(1-VLOOKUP(D327,'DB technologies'!$N$154:$Y$166,9,FALSE)/100)*'Calc (ex-housing, ex-storage)'!F327/100*VLOOKUP(D327,'DB technologies'!$N$154:$Y$166,11,FALSE)/100/VLOOKUP($C$325,'DB animal categories'!$C$117:$AC$126,27,FALSE)*AJ327,0))))</f>
        <v/>
      </c>
      <c r="AM327" s="442" t="str">
        <f>IF(D327="","",IF(AI327=2,(('Calc (ex-animal)'!$G$66*(1-'DB additional information '!$K$13/100)*(1-VLOOKUP(D327,'DB technologies'!$N$154:$Y$166,8,FALSE)/100)*'Calc (ex-housing, ex-storage)'!F327/100+'Calc (ex-animal)'!$H$66*(1-'DB additional information '!$L$13/100)*(1-VLOOKUP(D327,'DB technologies'!$N$154:$Y$166,8,FALSE)/100)*'Calc (ex-housing, ex-storage)'!F327/100))/VLOOKUP($C$325,'DB animal categories'!$C$117:$AC$126,27,FALSE)*AJ327+M327+N327+O327,IF(AI327=1,('Calc (ex-animal)'!$H$66*(1-'DB additional information '!$L$13/100)*(1-VLOOKUP(D327,'DB technologies'!$N$154:$Y$166,8,FALSE)/100)*'Calc (ex-housing, ex-storage)'!F327/100)/VLOOKUP($C$325,'DB animal categories'!$C$117:$AC$126,27,FALSE)*AJ327,IF(AI327=4,('Calc (ex-animal)'!$G$66*(1-'DB additional information '!$K$13/100)+'Calc (ex-animal)'!$H$66*(1-'DB additional information '!$L$13/100))*(1-VLOOKUP(D327,'DB technologies'!$N$154:$Y$166,8,FALSE)/100)*'Calc (ex-housing, ex-storage)'!F327/100*VLOOKUP(D327,'DB technologies'!$N$154:$Y$166,11,FALSE)/100/VLOOKUP($C$325,'DB animal categories'!$C$117:$AC$126,27,FALSE)*AJ327,0))))</f>
        <v/>
      </c>
      <c r="AN327" s="442" t="str">
        <f>IF(AI327="","",IF(AL327=0,0,AL327/AK327*100))</f>
        <v/>
      </c>
      <c r="AO327" s="182" t="str">
        <f>IF(D327="","",IF(AI327=2,(('Calc (ex-animal)'!$L$66*'Calc (ex-housing, ex-storage)'!F327/100+'Calc (ex-animal)'!$K$66*'Calc (ex-housing, ex-storage)'!F327/100))/VLOOKUP($C$325,'DB animal categories'!$C$117:$AC$126,27,FALSE)*AJ327+Q327+R327+S327-AC327,IF(AI327=1,('Calc (ex-animal)'!$L$66*'Calc (ex-housing, ex-storage)'!F327/100)/VLOOKUP($C$325,'DB animal categories'!$C$117:$AC$126,27,FALSE)*AJ327-'Calc (ex-housing, ex-storage)'!AC327,IF(AI327=4,('Calc (ex-animal)'!$L$66+'Calc (ex-animal)'!$K$66)*'Calc (ex-housing, ex-storage)'!F327/100*VLOOKUP(D327,'DB technologies'!$N$154:$Y$166,11,FALSE)/100/VLOOKUP($C$325,'DB animal categories'!$C$117:$AC$126,27,FALSE)*AJ327-AC327*VLOOKUP(D327,'DB technologies'!$N$154:$Y$166,11,FALSE)/100,0))))</f>
        <v/>
      </c>
      <c r="AP327" s="182" t="str">
        <f>IF(D327="","",IF(AO327&lt;-0.01,0,IF(AI327=2,(('Calc (ex-animal)'!$L$66*'Calc (ex-housing, ex-storage)'!F327/100+'Calc (ex-animal)'!$K$66*'Calc (ex-housing, ex-storage)'!F327/100))/VLOOKUP($C$325,'DB animal categories'!$C$117:$AC$126,27,FALSE)*AJ327+Q327+R327+S327-AC327,IF(AI327=1,('Calc (ex-animal)'!$L$66*'Calc (ex-housing, ex-storage)'!F327/100)/VLOOKUP($C$325,'DB animal categories'!$C$117:$AC$126,27,FALSE)*AJ327-'Calc (ex-housing, ex-storage)'!AC327,IF(AI327=4,('Calc (ex-animal)'!$L$66+'Calc (ex-animal)'!$K$66)*'Calc (ex-housing, ex-storage)'!F327/100*VLOOKUP(D327,'DB technologies'!$N$154:$Y$166,11,FALSE)/100/VLOOKUP($C$325,'DB animal categories'!$C$117:$AC$126,27,FALSE)*AJ327-AC327*VLOOKUP(D327,'DB technologies'!$N$154:$Y$166,11,FALSE)/100,0)))))</f>
        <v/>
      </c>
      <c r="AQ327" s="182" t="str">
        <f>IF(D327="","",IF(AI327=2,('Calc (ex-animal)'!$O$66*'Calc (ex-housing, ex-storage)'!F327/100+'Calc (ex-animal)'!$N$66*'Calc (ex-housing, ex-storage)'!F327/100)/VLOOKUP($C$325,'DB animal categories'!$C$117:$AC$126,27,FALSE)*AJ327+U327+V327+W327,IF(AI327=1,'Calc (ex-animal)'!$O$66*'Calc (ex-housing, ex-storage)'!F327/100/VLOOKUP($C$325,'DB animal categories'!$C$117:$AC$126,27,FALSE)*AJ327,IF(AI327=4,('Calc (ex-animal)'!$O$66+'Calc (ex-animal)'!$N$66)*'Calc (ex-housing, ex-storage)'!F327/100*VLOOKUP(D327,'DB technologies'!$N$154:$Y$166,11,FALSE)/100/VLOOKUP($C$325,'DB animal categories'!$C$117:$AC$126,27,FALSE)*AJ327,0))))</f>
        <v/>
      </c>
      <c r="AR327" s="182" t="str">
        <f>IF(D327="","",IF(AI327=2,('Calc (ex-animal)'!$R$66*'Calc (ex-housing, ex-storage)'!F327/100+'Calc (ex-animal)'!$Q$66*'Calc (ex-housing, ex-storage)'!F327/100)/VLOOKUP($C$325,'DB animal categories'!$C$117:$AC$126,27,FALSE)*AJ327+Y327+Z327+AA327,IF(AI327=1,'Calc (ex-animal)'!$R$66*'Calc (ex-housing, ex-storage)'!F327/100/VLOOKUP($C$325,'DB animal categories'!$C$117:$AC$126,27,FALSE)*AJ327,IF(AI327=4,('Calc (ex-animal)'!$R$66+'Calc (ex-animal)'!$Q$66)*'Calc (ex-housing, ex-storage)'!F327/100*VLOOKUP(D327,'DB technologies'!$N$154:$Y$166,11,FALSE)/100/VLOOKUP($C$325,'DB animal categories'!$C$117:$AC$126,27,FALSE)*AJ327,0))))</f>
        <v/>
      </c>
      <c r="AS327" s="181" t="str">
        <f>IF(D327="","",VLOOKUP(D327,'DB technologies'!$N$154:$Y$166,10,FALSE))</f>
        <v/>
      </c>
      <c r="AT327" s="442" t="str">
        <f>IF(AS327="","",AU327+AV327)</f>
        <v/>
      </c>
      <c r="AU327" s="442" t="str">
        <f>IF(D327="","",IF(AS327=2,0,IF(AS327=1,'Calc (ex-animal)'!$G$66*'DB additional information '!$K$13/100*(1-VLOOKUP(D327,'DB technologies'!$N$154:$Y$166,8,FALSE)/100)*'Calc (ex-housing, ex-storage)'!F327/100/VLOOKUP($C$325,'DB animal categories'!$C$117:$AC$126,27,FALSE)*AJ327+I327+J327+K327,IF(AS327=5,(('Calc (ex-animal)'!$G$66*'DB additional information '!$K$13/100+'Calc (ex-animal)'!$H$66*'DB additional information '!$L$13/100))*(1-VLOOKUP(D327,'DB technologies'!$N$154:$Y$166,9,FALSE)/100)*'Calc (ex-housing, ex-storage)'!F327/100/VLOOKUP($C$325,'DB animal categories'!$C$117:$AC$126,27,FALSE)*AJ327+I327+J327+K327,IF(AS327=3,('Calc (ex-animal)'!$G$66*'DB additional information '!$K$13/100+'Calc (ex-animal)'!$H$66*'DB additional information '!$L$13/100)*(1-VLOOKUP(D327,'DB technologies'!$N$154:$Y$166,9,FALSE)/100)*'Calc (ex-housing, ex-storage)'!F327/100/VLOOKUP($C$325,'DB animal categories'!$C$117:$AC$126,27,FALSE)*AJ327+I327+J327+K327,IF(AS327=4,('Calc (ex-animal)'!$G$66*'DB additional information '!$K$13/100+'Calc (ex-animal)'!$H$66*'DB additional information '!$L$13/100)*(1-VLOOKUP(D327,'DB technologies'!$N$154:$Y$166,9,FALSE)/100)*'Calc (ex-housing, ex-storage)'!F327/100*VLOOKUP(D327,'DB technologies'!$N$154:$Y$166,12,FALSE)/100/VLOOKUP($C$325,'DB animal categories'!$C$117:$AC$126,27,FALSE)*AJ327+I327+J327+K327,0))))))</f>
        <v/>
      </c>
      <c r="AV327" s="442" t="str">
        <f>IF(D327="","",IF(AS327=2,0,IF(AS327=1,'Calc (ex-animal)'!$G$66*(1-'DB additional information '!$K$13/100)*(1-VLOOKUP(D327,'DB technologies'!$N$154:$Y$166,8,FALSE)/100)*'Calc (ex-housing, ex-storage)'!F327/100/VLOOKUP($C$325,'DB animal categories'!$C$117:$AC$126,27,FALSE)*AJ327+M327+N327+O327,IF(AS327=5,('Calc (ex-animal)'!$G$66*(1-'DB additional information '!$K$13/100)+'Calc (ex-animal)'!$H$66*(1-'DB additional information '!$L$13/100))*(1-VLOOKUP(D327,'DB technologies'!$N$154:$Y$166,8,FALSE)/100)*'Calc (ex-housing, ex-storage)'!F327/100/VLOOKUP($C$325,'DB animal categories'!$C$117:$AC$126,27,FALSE)*AJ327+M327+N327+O327,IF(AS327=3,('Calc (ex-animal)'!$G$66*(1-'DB additional information '!$K$13/100)+'Calc (ex-animal)'!$H$66*(1-'DB additional information '!$L$13/100))*(1-VLOOKUP(D327,'DB technologies'!$N$154:$Y$166,8,FALSE)/100)*'Calc (ex-housing, ex-storage)'!F327/100/VLOOKUP($C$325,'DB animal categories'!$C$117:$AC$126,27,FALSE)*AJ327+M327+N327+O327,IF(AS327=4,('Calc (ex-animal)'!$G$66*(1-'DB additional information '!$K$13/100)+'Calc (ex-animal)'!$H$66*(1-'DB additional information '!$L$13/100))*(1-VLOOKUP(D327,'DB technologies'!$N$154:$Y$166,8,FALSE)/100)*'Calc (ex-housing, ex-storage)'!F327/100*VLOOKUP(D327,'DB technologies'!$N$154:$Y$166,12,FALSE)/100/VLOOKUP($C$325,'DB animal categories'!$C$117:$AC$126,27,FALSE)*AJ327+M327+N327+O327,0))))))</f>
        <v/>
      </c>
      <c r="AW327" s="442" t="str">
        <f>IF(AS327="","",IF(AU327=0,0,AU327/AT327*100))</f>
        <v/>
      </c>
      <c r="AX327" s="182" t="str">
        <f>IF(D327="","",IF(AS327=2,0,IF(AS327=1,'Calc (ex-animal)'!$K$66*'Calc (ex-housing, ex-storage)'!F327/100/VLOOKUP($C$325,'DB animal categories'!$C$117:$AC$126,27,FALSE)*AJ327+Q327+R327+S327,IF(AS327=5,('Calc (ex-animal)'!$K$66+'Calc (ex-animal)'!$L$66)*'Calc (ex-housing, ex-storage)'!F327/100/VLOOKUP($C$325,'DB animal categories'!$C$117:$AC$126,27,FALSE)*AJ327+Q327+R327+S327-'Calc (ex-housing, ex-storage)'!AC327,IF(AS327=3,('Calc (ex-animal)'!$K$66+'Calc (ex-animal)'!$L$66)*'Calc (ex-housing, ex-storage)'!F327/100/VLOOKUP($C$325,'DB animal categories'!$C$117:$AC$126,27,FALSE)*AJ327+Q327+R327+S327-'Calc (ex-housing, ex-storage)'!AC327-AD327-AE327,IF(AI327=4,('Calc (ex-animal)'!$K$66+'Calc (ex-animal)'!$L$66)*'Calc (ex-housing, ex-storage)'!F327/100*VLOOKUP(D327,'DB technologies'!$N$154:$Y$166,12,FALSE)/100/VLOOKUP($C$325,'DB animal categories'!$C$117:$AC$126,27,FALSE)*AJ327+Q327+R327+S327-(VLOOKUP(D327,'DB technologies'!$N$154:$Y$166,12,FALSE)/100*AC327)-AD327-AE327,0))))))</f>
        <v/>
      </c>
      <c r="AY327" s="182" t="str">
        <f>IF(D327="","",IF(AS327=2,0,IF(AS327=1,'Calc (ex-animal)'!$N$66*'Calc (ex-housing, ex-storage)'!F327/100/VLOOKUP($C$325,'DB animal categories'!$C$117:$AC$126,27,FALSE)*AJ327+U327+V327+W327,IF(AS327=5,('Calc (ex-animal)'!$N$66+'Calc (ex-animal)'!$O$66)*'Calc (ex-housing, ex-storage)'!F327/100/VLOOKUP($C$325,'DB animal categories'!$C$117:$AC$126,27,FALSE)*AJ327+U327+V327+W327,IF(AS327=3,('Calc (ex-animal)'!$N$66+'Calc (ex-animal)'!$O$66)*'Calc (ex-housing, ex-storage)'!F327/100/VLOOKUP($C$325,'DB animal categories'!$C$117:$AC$126,27,FALSE)*AJ327+U327+V327+W327,IF(AS327=4,('Calc (ex-animal)'!$N$66+'Calc (ex-animal)'!$O$66)*'Calc (ex-housing, ex-storage)'!F327/100*VLOOKUP(D327,'DB technologies'!$N$154:$Y$166,12,FALSE)/100/VLOOKUP($C$325,'DB animal categories'!$C$117:$AC$126,27,FALSE)*AJ327+U327+V327+W327,0))))))</f>
        <v/>
      </c>
      <c r="AZ327" s="182" t="str">
        <f>IF(D327="","",IF(AS327=2,0,IF(AS327=1,'Calc (ex-animal)'!$Q$66*'Calc (ex-housing, ex-storage)'!F327/100/VLOOKUP($C$325,'DB animal categories'!$C$117:$AC$126,27,FALSE)*AJ327+Y327+Z327+AA327,IF(AS327=5,('Calc (ex-animal)'!$Q$66+'Calc (ex-animal)'!$R$66)*'Calc (ex-housing, ex-storage)'!F327/100/VLOOKUP($C$325,'DB animal categories'!$C$117:$AC$126,27,FALSE)*AJ327+Y327+Z327+AA327,IF(AS327=3,('Calc (ex-animal)'!$Q$66+'Calc (ex-animal)'!$R$66)*'Calc (ex-housing, ex-storage)'!F327/100/VLOOKUP($C$325,'DB animal categories'!$C$117:$AC$126,27,FALSE)*AJ327+Y327+Z327+AA327,IF(AS327=4,('Calc (ex-animal)'!$Q$66+'Calc (ex-animal)'!$R$66)*'Calc (ex-housing, ex-storage)'!F327/100*VLOOKUP(D327,'DB technologies'!$N$154:$Y$166,12,FALSE)/100/VLOOKUP($C$325,'DB animal categories'!$C$117:$AC$126,27,FALSE)*AJ327+Y327+Z327+AA327,0))))))</f>
        <v/>
      </c>
      <c r="BA327" s="506"/>
      <c r="BB327" s="506"/>
      <c r="BC327" s="506"/>
    </row>
    <row r="328" spans="1:55" x14ac:dyDescent="0.2">
      <c r="A328" s="695"/>
      <c r="B328" s="695"/>
      <c r="C328" s="251"/>
      <c r="D328" s="1357"/>
      <c r="E328" s="1358"/>
      <c r="F328" s="480" t="str">
        <f>IF('Calc (ex-animal)'!$F$63=1,"",IF($C$325=0,"",IF(D328="","",E328/'Calc (ex-animal)'!$E$66*100)))</f>
        <v/>
      </c>
      <c r="G328" s="438" t="str">
        <f>IF($C$325=0,"",IF('Calc (ex-animal)'!$F$63=1,"",IF(D328="","",SUM(H328:O328))))</f>
        <v/>
      </c>
      <c r="H328" s="423" t="str">
        <f>IF('Calc (ex-animal)'!$F$63=1,"",IF(D328="","",(((VLOOKUP($C$325,'Calc (ex-animal)'!$D$63:$Y$67,6,FALSE)-VLOOKUP($C$325,'Calc (ex-animal)'!$D$63:$Y$67,17,FALSE))*F328/100))*VLOOKUP($C$325,'Calc (ex-animal)'!$D$63:$Y$67,7,FALSE)/100*(1-VLOOKUP(D328,'DB technologies'!$N$154:$Y$166,9,FALSE)/100)))</f>
        <v/>
      </c>
      <c r="I328" s="423" t="str">
        <f>IF(D328="","",((VLOOKUP(D328,'DB technologies'!$N$154:$Y$166,2,FALSE)*VLOOKUP($C$325,'DB animal categories'!$C$117:$AC$126,27,FALSE)*E328/1000)/VLOOKUP($C$325,'DB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'!$S$6/100*(1-VLOOKUP(D328,'DB technologies'!$N$154:$Y$166,9,FALSE)/100)))</f>
        <v/>
      </c>
      <c r="J328" s="434" t="str">
        <f>IF(D328="","",((VLOOKUP(D328,'DB technologies'!$N$154:$Y$166,3,FALSE)*VLOOKUP($C$325,'DB animal categories'!$C$117:$AC$126,27,FALSE)*E328/1000)/VLOOKUP($C$325,'DB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'!$S$7/100*(1-VLOOKUP(D328,'DB technologies'!$N$154:$Y$166,9,FALSE)/100)))</f>
        <v/>
      </c>
      <c r="K328" s="434" t="str">
        <f>IF(D328="","",((VLOOKUP(D328,'DB technologies'!$N$154:$Y$166,4,FALSE)*E328*'DB additional information '!$S$8/100*(1-VLOOKUP(D328,'DB technologies'!$N$154:$Y$166,9,FALSE)/100))/VLOOKUP($C$325,'DB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L328" s="423" t="str">
        <f>IF('Calc (ex-animal)'!$F$63=1,"",IF(D328="","",(((VLOOKUP($C$325,'Calc (ex-animal)'!$D$63:$Y$67,6,FALSE)-VLOOKUP($C$325,'Calc (ex-animal)'!$D$63:$Y$67,17,FALSE))*F328/100))*(1-VLOOKUP($C$325,'Calc (ex-animal)'!$D$63:$Y$67,7,FALSE)/100)*(1-VLOOKUP(D328,'DB technologies'!$N$154:$V$166,8,FALSE)/100)))</f>
        <v/>
      </c>
      <c r="M328" s="434" t="str">
        <f>IF(D328="","",((VLOOKUP(D328,'DB technologies'!$N$154:$Y$166,2,FALSE)*VLOOKUP($C$325,'DB animal categories'!$C$117:$AC$126,27,FALSE)*E328/1000)/VLOOKUP($C$325,'DB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'!$S$6/100)*(1-VLOOKUP(D328,'DB technologies'!$N$154:$Y$166,9,FALSE)/100))</f>
        <v/>
      </c>
      <c r="N328" s="434" t="str">
        <f>IF(D328="","",((VLOOKUP(D328,'DB technologies'!$N$154:$Y$166,3,FALSE)*VLOOKUP($C$325,'DB animal categories'!$C$117:$AC$126,27,FALSE)*E328/1000)/VLOOKUP($C$325,'DB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'!$S$7/100)*(1-VLOOKUP(D328,'DB technologies'!$N$154:$Y$166,9,FALSE)/100))</f>
        <v/>
      </c>
      <c r="O328" s="423" t="str">
        <f>IF(D328="","",((VLOOKUP(D328,'DB technologies'!$N$154:$Y$166,4,FALSE)*E328*(1-'DB additional information '!$S$8/100)*(1-VLOOKUP(D328,'DB technologies'!$N$154:$Y$166,8,FALSE)/100))/VLOOKUP($C$325,'DB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P328" s="438" t="str">
        <f>IF(G328=0,0,IF(E328="","",IF(F328="","",IF($C$325=0,"",IF(D328="","",SUM(H328:K328)/G328*100)))))</f>
        <v/>
      </c>
      <c r="Q328" s="416" t="str">
        <f>IF(D328="","",(VLOOKUP(D328,'DB technologies'!$N$154:$Y$166,2,FALSE)*'DB additional information '!$S$6/100*'DB additional information '!$T$6*VLOOKUP($C$325,'DB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R328" s="416" t="str">
        <f>IF(D328="","",(VLOOKUP(D328,'DB technologies'!$N$154:$Y$166,3,FALSE)*'DB additional information '!$S$7/100*'DB additional information '!$T$7*VLOOKUP($C$325,'DB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S328" s="491" t="str">
        <f>IF(D328="","",(VLOOKUP(D328,'DB technologies'!$N$154:$Y$166,4,FALSE)*('DB additional information '!$S$8/100*'DB additional information '!$T$8*E328/1000/1000)))</f>
        <v/>
      </c>
      <c r="T328" s="264" t="str">
        <f>IF($C$325=0,"",IF('Calc (ex-animal)'!$F$63=1,"",IF(D328="","",((VLOOKUP($C$325,'Calc (ex-animal)'!$D$63:$Y$67,10,FALSE)-VLOOKUP($C$325,'Calc (ex-animal)'!$D$63:$Y$67,18,FALSE))*F328/100+Q328+R328+S328)-AC328-AD328-AE328)))</f>
        <v/>
      </c>
      <c r="U328" s="422" t="str">
        <f>IF(D328="","",(VLOOKUP(D328,'DB technologies'!$N$154:$Y$166,2,FALSE)*'DB additional information '!$S$6/100*'DB additional information '!$U$6*VLOOKUP($C$325,'DB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V328" s="418" t="str">
        <f>IF(D328="","",(VLOOKUP(D328,'DB technologies'!$N$154:$Y$166,3,FALSE)*'DB additional information '!$S$7/100*'DB additional information '!$U$7*VLOOKUP($C$325,'DB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W328" s="417" t="str">
        <f>IF(D328="","",(VLOOKUP(D328,'DB technologies'!$N$154:$Y$166,4,FALSE)*('DB additional information '!$S$8/100*'DB additional information '!$U$8*E328/1000/1000)))</f>
        <v/>
      </c>
      <c r="X328" s="261" t="str">
        <f>IF($C$325=0,"",IF('Calc (ex-animal)'!$F$63=1,"",IF(D328="","",((VLOOKUP($C$325,'Calc (ex-animal)'!$D$63:$Y$67,13,FALSE)-VLOOKUP($C$325,'Calc (ex-animal)'!$D$63:$Y$67,19,FALSE))*F328/100+U328+V328+W328))))</f>
        <v/>
      </c>
      <c r="Y328" s="418" t="str">
        <f>IF(D328="","",(VLOOKUP(D328,'DB technologies'!$N$154:$Y$166,2,FALSE)*'DB additional information '!$S$6/100*'DB additional information '!$V$6*VLOOKUP($C$325,'DB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Z328" s="418" t="str">
        <f>IF(D328="","",(VLOOKUP(D328,'DB technologies'!$N$154:$Y$166,3,FALSE)*'DB additional information '!$S$7/100*'DB additional information '!$V$7*VLOOKUP($C$325,'DB animal categories'!$C$117:$AC$126,27,FALSE)*E328/1000/1000)/VLOOKUP($C$325,'DB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AA328" s="418" t="str">
        <f>IF(D328="","",(VLOOKUP(D328,'DB technologies'!$N$154:$Y$166,4,FALSE)*('DB additional information '!$S$8/100*'DB additional information '!$V$8*E328/1000/1000)))</f>
        <v/>
      </c>
      <c r="AB328" s="261" t="str">
        <f>IF($C$325=0,"",IF('Calc (ex-animal)'!$F$63=1,"",IF(D328="","",((VLOOKUP($C$325,'Calc (ex-animal)'!$D$63:$Y$67,16,FALSE)-VLOOKUP($C$325,'Calc (ex-animal)'!$D$63:$Y$67,20,FALSE))*F328/100+Y328+Z328+AA328))))</f>
        <v/>
      </c>
      <c r="AC328" s="261" t="str">
        <f>IF($C$325=0,"",IF('Calc (ex-animal)'!$F$63=1,"",IF(D328="","",VLOOKUP($C$325,'Calc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categories'!$C$117:$AC$126,26,FALSE)/24)*F328/100*VLOOKUP(D328,'DB technologies'!$N$154:$R$166,5,FALSE)/100)))</f>
        <v/>
      </c>
      <c r="AD328" s="261" t="str">
        <f>IF($C$325=0,"",IF('Calc (ex-animal)'!$F$63=1,"",IF(D328="","",VLOOKUP($C$325,'Calc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categories'!$C$117:$AC$126,26,FALSE)/24)*F328/100*VLOOKUP(D328,'DB technologies'!$N$154:$Y$166,6,FALSE)/100)))</f>
        <v/>
      </c>
      <c r="AE328" s="262" t="str">
        <f>IF($C$325=0,"",IF('Calc (ex-animal)'!$F$63=1,"",IF(D328="","",VLOOKUP($C$325,'Calc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categories'!$C$117:$AC$126,26,FALSE)/24)*F328/100*VLOOKUP(D328,'DB technologies'!$N$154:$Y$166,7,FALSE)/100)))</f>
        <v/>
      </c>
      <c r="AI328" s="181" t="str">
        <f>IF(D328="","",VLOOKUP(D328,'DB technologies'!$N$154:$Y$166,10,FALSE))</f>
        <v/>
      </c>
      <c r="AJ328" s="449" t="e">
        <f>VLOOKUP($C$325,'DB animal categories'!$C$117:$AN$126,27,FALSE)-VLOOKUP($C$325,'DB animal categories'!$C$117:$AN$126,26,FALSE)*VLOOKUP($C$325,'DB animal categories'!$C$117:$AN$126,25,FALSE)/24</f>
        <v>#N/A</v>
      </c>
      <c r="AK328" s="442" t="str">
        <f>IF(AI328="","",AL328+AM328)</f>
        <v/>
      </c>
      <c r="AL328" s="442" t="str">
        <f>IF(D328="","",IF(AI328=2,(('Calc (ex-animal)'!$G$66*'DB additional information '!$K$13/100*(1-VLOOKUP(D328,'DB technologies'!$N$154:$Y$166,9,FALSE)/100)*'Calc (ex-housing, ex-storage)'!F328/100+'Calc (ex-animal)'!$H$66*'DB additional information '!$L$13/100*(1-VLOOKUP(D328,'DB technologies'!$N$154:$Y$166,9,FALSE)/100)*'Calc (ex-housing, ex-storage)'!F328/100))/VLOOKUP($C$325,'DB animal categories'!$C$117:$AC$126,27,FALSE)*AJ328+I328+J328+K328,IF(AI328=1,('Calc (ex-animal)'!$H$66*'DB additional information '!$L$13/100*(1-VLOOKUP(D328,'DB technologies'!$N$154:$Y$166,9,FALSE)/100)*'Calc (ex-housing, ex-storage)'!F328/100)/VLOOKUP($C$325,'DB animal categories'!$C$117:$AC$126,27,FALSE)*AJ328,IF(AI328=4,('Calc (ex-animal)'!$G$66*'DB additional information '!$K$13/100+'Calc (ex-animal)'!$H$66*'DB additional information '!$L$13/100)*(1-VLOOKUP(D328,'DB technologies'!$N$154:$Y$166,9,FALSE)/100)*'Calc (ex-housing, ex-storage)'!F328/100*VLOOKUP(D328,'DB technologies'!$N$154:$Y$166,11,FALSE)/100/VLOOKUP($C$325,'DB animal categories'!$C$117:$AC$126,27,FALSE)*AJ328,0))))</f>
        <v/>
      </c>
      <c r="AM328" s="442" t="str">
        <f>IF(D328="","",IF(AI328=2,(('Calc (ex-animal)'!$G$66*(1-'DB additional information '!$K$13/100)*(1-VLOOKUP(D328,'DB technologies'!$N$154:$Y$166,8,FALSE)/100)*'Calc (ex-housing, ex-storage)'!F328/100+'Calc (ex-animal)'!$H$66*(1-'DB additional information '!$L$13/100)*(1-VLOOKUP(D328,'DB technologies'!$N$154:$Y$166,8,FALSE)/100)*'Calc (ex-housing, ex-storage)'!F328/100))/VLOOKUP($C$325,'DB animal categories'!$C$117:$AC$126,27,FALSE)*AJ328+M328+N328+O328,IF(AI328=1,('Calc (ex-animal)'!$H$66*(1-'DB additional information '!$L$13/100)*(1-VLOOKUP(D328,'DB technologies'!$N$154:$Y$166,8,FALSE)/100)*'Calc (ex-housing, ex-storage)'!F328/100)/VLOOKUP($C$325,'DB animal categories'!$C$117:$AC$126,27,FALSE)*AJ328,IF(AI328=4,('Calc (ex-animal)'!$G$66*(1-'DB additional information '!$K$13/100)+'Calc (ex-animal)'!$H$66*(1-'DB additional information '!$L$13/100))*(1-VLOOKUP(D328,'DB technologies'!$N$154:$Y$166,8,FALSE)/100)*'Calc (ex-housing, ex-storage)'!F328/100*VLOOKUP(D328,'DB technologies'!$N$154:$Y$166,11,FALSE)/100/VLOOKUP($C$325,'DB animal categories'!$C$117:$AC$126,27,FALSE)*AJ328,0))))</f>
        <v/>
      </c>
      <c r="AN328" s="442" t="str">
        <f>IF(AI328="","",IF(AL328=0,0,AL328/AK328*100))</f>
        <v/>
      </c>
      <c r="AO328" s="182" t="str">
        <f>IF(D328="","",IF(AI328=2,(('Calc (ex-animal)'!$L$66*'Calc (ex-housing, ex-storage)'!F328/100+'Calc (ex-animal)'!$K$66*'Calc (ex-housing, ex-storage)'!F328/100))/VLOOKUP($C$325,'DB animal categories'!$C$117:$AC$126,27,FALSE)*AJ328+Q328+R328+S328-AC328,IF(AI328=1,('Calc (ex-animal)'!$L$66*'Calc (ex-housing, ex-storage)'!F328/100)/VLOOKUP($C$325,'DB animal categories'!$C$117:$AC$126,27,FALSE)*AJ328-'Calc (ex-housing, ex-storage)'!AC328,IF(AI328=4,('Calc (ex-animal)'!$L$66+'Calc (ex-animal)'!$K$66)*'Calc (ex-housing, ex-storage)'!F328/100*VLOOKUP(D328,'DB technologies'!$N$154:$Y$166,11,FALSE)/100/VLOOKUP($C$325,'DB animal categories'!$C$117:$AC$126,27,FALSE)*AJ328-AC328*VLOOKUP(D328,'DB technologies'!$N$154:$Y$166,11,FALSE)/100,0))))</f>
        <v/>
      </c>
      <c r="AP328" s="182" t="str">
        <f>IF(D328="","",IF(AO328&lt;-0.01,0,IF(AI328=2,(('Calc (ex-animal)'!$L$66*'Calc (ex-housing, ex-storage)'!F328/100+'Calc (ex-animal)'!$K$66*'Calc (ex-housing, ex-storage)'!F328/100))/VLOOKUP($C$325,'DB animal categories'!$C$117:$AC$126,27,FALSE)*AJ328+Q328+R328+S328-AC328,IF(AI328=1,('Calc (ex-animal)'!$L$66*'Calc (ex-housing, ex-storage)'!F328/100)/VLOOKUP($C$325,'DB animal categories'!$C$117:$AC$126,27,FALSE)*AJ328-'Calc (ex-housing, ex-storage)'!AC328,IF(AI328=4,('Calc (ex-animal)'!$L$66+'Calc (ex-animal)'!$K$66)*'Calc (ex-housing, ex-storage)'!F328/100*VLOOKUP(D328,'DB technologies'!$N$154:$Y$166,11,FALSE)/100/VLOOKUP($C$325,'DB animal categories'!$C$117:$AC$126,27,FALSE)*AJ328-AC328*VLOOKUP(D328,'DB technologies'!$N$154:$Y$166,11,FALSE)/100,0)))))</f>
        <v/>
      </c>
      <c r="AQ328" s="182" t="str">
        <f>IF(D328="","",IF(AI328=2,('Calc (ex-animal)'!$O$66*'Calc (ex-housing, ex-storage)'!F328/100+'Calc (ex-animal)'!$N$66*'Calc (ex-housing, ex-storage)'!F328/100)/VLOOKUP($C$325,'DB animal categories'!$C$117:$AC$126,27,FALSE)*AJ328+U328+V328+W328,IF(AI328=1,'Calc (ex-animal)'!$O$66*'Calc (ex-housing, ex-storage)'!F328/100/VLOOKUP($C$325,'DB animal categories'!$C$117:$AC$126,27,FALSE)*AJ328,IF(AI328=4,('Calc (ex-animal)'!$O$66+'Calc (ex-animal)'!$N$66)*'Calc (ex-housing, ex-storage)'!F328/100*VLOOKUP(D328,'DB technologies'!$N$154:$Y$166,11,FALSE)/100/VLOOKUP($C$325,'DB animal categories'!$C$117:$AC$126,27,FALSE)*AJ328,0))))</f>
        <v/>
      </c>
      <c r="AR328" s="182" t="str">
        <f>IF(D328="","",IF(AI328=2,('Calc (ex-animal)'!$R$66*'Calc (ex-housing, ex-storage)'!F328/100+'Calc (ex-animal)'!$Q$66*'Calc (ex-housing, ex-storage)'!F328/100)/VLOOKUP($C$325,'DB animal categories'!$C$117:$AC$126,27,FALSE)*AJ328+Y328+Z328+AA328,IF(AI328=1,'Calc (ex-animal)'!$R$66*'Calc (ex-housing, ex-storage)'!F328/100/VLOOKUP($C$325,'DB animal categories'!$C$117:$AC$126,27,FALSE)*AJ328,IF(AI328=4,('Calc (ex-animal)'!$R$66+'Calc (ex-animal)'!$Q$66)*'Calc (ex-housing, ex-storage)'!F328/100*VLOOKUP(D328,'DB technologies'!$N$154:$Y$166,11,FALSE)/100/VLOOKUP($C$325,'DB animal categories'!$C$117:$AC$126,27,FALSE)*AJ328,0))))</f>
        <v/>
      </c>
      <c r="AS328" s="181" t="str">
        <f>IF(D328="","",VLOOKUP(D328,'DB technologies'!$N$154:$Y$166,10,FALSE))</f>
        <v/>
      </c>
      <c r="AT328" s="442" t="str">
        <f>IF(AS328="","",AU328+AV328)</f>
        <v/>
      </c>
      <c r="AU328" s="442" t="str">
        <f>IF(D328="","",IF(AS328=2,0,IF(AS328=1,'Calc (ex-animal)'!$G$66*'DB additional information '!$K$13/100*(1-VLOOKUP(D328,'DB technologies'!$N$154:$Y$166,8,FALSE)/100)*'Calc (ex-housing, ex-storage)'!F328/100/VLOOKUP($C$325,'DB animal categories'!$C$117:$AC$126,27,FALSE)*AJ328+I328+J328+K328,IF(AS328=5,(('Calc (ex-animal)'!$G$66*'DB additional information '!$K$13/100+'Calc (ex-animal)'!$H$66*'DB additional information '!$L$13/100))*(1-VLOOKUP(D328,'DB technologies'!$N$154:$Y$166,9,FALSE)/100)*'Calc (ex-housing, ex-storage)'!F328/100/VLOOKUP($C$325,'DB animal categories'!$C$117:$AC$126,27,FALSE)*AJ328+I328+J328+K328,IF(AS328=3,('Calc (ex-animal)'!$G$66*'DB additional information '!$K$13/100+'Calc (ex-animal)'!$H$66*'DB additional information '!$L$13/100)*(1-VLOOKUP(D328,'DB technologies'!$N$154:$Y$166,9,FALSE)/100)*'Calc (ex-housing, ex-storage)'!F328/100/VLOOKUP($C$325,'DB animal categories'!$C$117:$AC$126,27,FALSE)*AJ328+I328+J328+K328,IF(AS328=4,('Calc (ex-animal)'!$G$66*'DB additional information '!$K$13/100+'Calc (ex-animal)'!$H$66*'DB additional information '!$L$13/100)*(1-VLOOKUP(D328,'DB technologies'!$N$154:$Y$166,9,FALSE)/100)*'Calc (ex-housing, ex-storage)'!F328/100*VLOOKUP(D328,'DB technologies'!$N$154:$Y$166,12,FALSE)/100/VLOOKUP($C$325,'DB animal categories'!$C$117:$AC$126,27,FALSE)*AJ328+I328+J328+K328,0))))))</f>
        <v/>
      </c>
      <c r="AV328" s="442" t="str">
        <f>IF(D328="","",IF(AS328=2,0,IF(AS328=1,'Calc (ex-animal)'!$G$66*(1-'DB additional information '!$K$13/100)*(1-VLOOKUP(D328,'DB technologies'!$N$154:$Y$166,8,FALSE)/100)*'Calc (ex-housing, ex-storage)'!F328/100/VLOOKUP($C$325,'DB animal categories'!$C$117:$AC$126,27,FALSE)*AJ328+M328+N328+O328,IF(AS328=5,('Calc (ex-animal)'!$G$66*(1-'DB additional information '!$K$13/100)+'Calc (ex-animal)'!$H$66*(1-'DB additional information '!$L$13/100))*(1-VLOOKUP(D328,'DB technologies'!$N$154:$Y$166,8,FALSE)/100)*'Calc (ex-housing, ex-storage)'!F328/100/VLOOKUP($C$325,'DB animal categories'!$C$117:$AC$126,27,FALSE)*AJ328+M328+N328+O328,IF(AS328=3,('Calc (ex-animal)'!$G$66*(1-'DB additional information '!$K$13/100)+'Calc (ex-animal)'!$H$66*(1-'DB additional information '!$L$13/100))*(1-VLOOKUP(D328,'DB technologies'!$N$154:$Y$166,8,FALSE)/100)*'Calc (ex-housing, ex-storage)'!F328/100/VLOOKUP($C$325,'DB animal categories'!$C$117:$AC$126,27,FALSE)*AJ328+M328+N328+O328,IF(AS328=4,('Calc (ex-animal)'!$G$66*(1-'DB additional information '!$K$13/100)+'Calc (ex-animal)'!$H$66*(1-'DB additional information '!$L$13/100))*(1-VLOOKUP(D328,'DB technologies'!$N$154:$Y$166,8,FALSE)/100)*'Calc (ex-housing, ex-storage)'!F328/100*VLOOKUP(D328,'DB technologies'!$N$154:$Y$166,12,FALSE)/100/VLOOKUP($C$325,'DB animal categories'!$C$117:$AC$126,27,FALSE)*AJ328+M328+N328+O328,0))))))</f>
        <v/>
      </c>
      <c r="AW328" s="442" t="str">
        <f>IF(AS328="","",IF(AU328=0,0,AU328/AT328*100))</f>
        <v/>
      </c>
      <c r="AX328" s="182" t="str">
        <f>IF(D328="","",IF(AS328=2,0,IF(AS328=1,'Calc (ex-animal)'!$K$66*'Calc (ex-housing, ex-storage)'!F328/100/VLOOKUP($C$325,'DB animal categories'!$C$117:$AC$126,27,FALSE)*AJ328+Q328+R328+S328,IF(AS328=5,('Calc (ex-animal)'!$K$66+'Calc (ex-animal)'!$L$66)*'Calc (ex-housing, ex-storage)'!F328/100/VLOOKUP($C$325,'DB animal categories'!$C$117:$AC$126,27,FALSE)*AJ328+Q328+R328+S328-'Calc (ex-housing, ex-storage)'!AC328,IF(AS328=3,('Calc (ex-animal)'!$K$66+'Calc (ex-animal)'!$L$66)*'Calc (ex-housing, ex-storage)'!F328/100/VLOOKUP($C$325,'DB animal categories'!$C$117:$AC$126,27,FALSE)*AJ328+Q328+R328+S328-'Calc (ex-housing, ex-storage)'!AC328-AD328-AE328,IF(AI328=4,('Calc (ex-animal)'!$K$66+'Calc (ex-animal)'!$L$66)*'Calc (ex-housing, ex-storage)'!F328/100*VLOOKUP(D328,'DB technologies'!$N$154:$Y$166,12,FALSE)/100/VLOOKUP($C$325,'DB animal categories'!$C$117:$AC$126,27,FALSE)*AJ328+Q328+R328+S328-(VLOOKUP(D328,'DB technologies'!$N$154:$Y$166,12,FALSE)/100*AC328)-AD328-AE328,0))))))</f>
        <v/>
      </c>
      <c r="AY328" s="182" t="str">
        <f>IF(D328="","",IF(AS328=2,0,IF(AS328=1,'Calc (ex-animal)'!$N$66*'Calc (ex-housing, ex-storage)'!F328/100/VLOOKUP($C$325,'DB animal categories'!$C$117:$AC$126,27,FALSE)*AJ328+U328+V328+W328,IF(AS328=5,('Calc (ex-animal)'!$N$66+'Calc (ex-animal)'!$O$66)*'Calc (ex-housing, ex-storage)'!F328/100/VLOOKUP($C$325,'DB animal categories'!$C$117:$AC$126,27,FALSE)*AJ328+U328+V328+W328,IF(AS328=3,('Calc (ex-animal)'!$N$66+'Calc (ex-animal)'!$O$66)*'Calc (ex-housing, ex-storage)'!F328/100/VLOOKUP($C$325,'DB animal categories'!$C$117:$AC$126,27,FALSE)*AJ328+U328+V328+W328,IF(AS328=4,('Calc (ex-animal)'!$N$66+'Calc (ex-animal)'!$O$66)*'Calc (ex-housing, ex-storage)'!F328/100*VLOOKUP(D328,'DB technologies'!$N$154:$Y$166,12,FALSE)/100/VLOOKUP($C$325,'DB animal categories'!$C$117:$AC$126,27,FALSE)*AJ328+U328+V328+W328,0))))))</f>
        <v/>
      </c>
      <c r="AZ328" s="182" t="str">
        <f>IF(D328="","",IF(AS328=2,0,IF(AS328=1,'Calc (ex-animal)'!$Q$66*'Calc (ex-housing, ex-storage)'!F328/100/VLOOKUP($C$325,'DB animal categories'!$C$117:$AC$126,27,FALSE)*AJ328+Y328+Z328+AA328,IF(AS328=5,('Calc (ex-animal)'!$Q$66+'Calc (ex-animal)'!$R$66)*'Calc (ex-housing, ex-storage)'!F328/100/VLOOKUP($C$325,'DB animal categories'!$C$117:$AC$126,27,FALSE)*AJ328+Y328+Z328+AA328,IF(AS328=3,('Calc (ex-animal)'!$Q$66+'Calc (ex-animal)'!$R$66)*'Calc (ex-housing, ex-storage)'!F328/100/VLOOKUP($C$325,'DB animal categories'!$C$117:$AC$126,27,FALSE)*AJ328+Y328+Z328+AA328,IF(AS328=4,('Calc (ex-animal)'!$Q$66+'Calc (ex-animal)'!$R$66)*'Calc (ex-housing, ex-storage)'!F328/100*VLOOKUP(D328,'DB technologies'!$N$154:$Y$166,12,FALSE)/100/VLOOKUP($C$325,'DB animal categories'!$C$117:$AC$126,27,FALSE)*AJ328+Y328+Z328+AA328,0))))))</f>
        <v/>
      </c>
      <c r="BA328" s="506"/>
      <c r="BB328" s="506"/>
      <c r="BC328" s="506"/>
    </row>
    <row r="329" spans="1:55" ht="12" thickBot="1" x14ac:dyDescent="0.25">
      <c r="A329" s="695"/>
      <c r="B329" s="695"/>
      <c r="C329" s="251"/>
      <c r="D329" s="1359"/>
      <c r="E329" s="1360"/>
      <c r="F329" s="481" t="str">
        <f>IF('Calc (ex-animal)'!$F$63=1,"",IF($C$325=0,"",IF(D329="","",E329/'Calc (ex-animal)'!$E$66*100)))</f>
        <v/>
      </c>
      <c r="G329" s="444" t="str">
        <f>IF($C$325=0,"",IF('Calc (ex-animal)'!$F$63=1,"",IF(D329="","",SUM(H329:O329))))</f>
        <v/>
      </c>
      <c r="H329" s="445" t="str">
        <f>IF('Calc (ex-animal)'!$F$63=1,"",IF(D329="","",(((VLOOKUP($C$325,'Calc (ex-animal)'!$D$63:$Y$67,6,FALSE)-VLOOKUP($C$325,'Calc (ex-animal)'!$D$63:$Y$67,17,FALSE))*F329/100))*VLOOKUP($C$325,'Calc (ex-animal)'!$D$63:$Y$67,7,FALSE)/100*(1-VLOOKUP(D329,'DB technologies'!$N$154:$Y$166,9,FALSE)/100)))</f>
        <v/>
      </c>
      <c r="I329" s="445" t="str">
        <f>IF(D329="","",((VLOOKUP(D329,'DB technologies'!$N$154:$Y$166,2,FALSE)*VLOOKUP($C$325,'DB animal categories'!$C$117:$AC$126,27,FALSE)*E329/1000)/VLOOKUP($C$325,'DB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'!$S$6/100*(1-VLOOKUP(D329,'DB technologies'!$N$154:$Y$166,9,FALSE)/100)))</f>
        <v/>
      </c>
      <c r="J329" s="446" t="str">
        <f>IF(D329="","",((VLOOKUP(D329,'DB technologies'!$N$154:$Y$166,3,FALSE)*VLOOKUP($C$325,'DB animal categories'!$C$117:$AC$126,27,FALSE)*E329/1000)/VLOOKUP($C$325,'DB animal categories'!$C$117:$AC$126,27,FALSE)*(VLOOKUP($C$325,'DB animal categories'!$C$117:$AC$126,27,FALSE)-(VLOOKUP($C$325,'DB animal categories'!$C$117:$AC$126,25,FALSE)*VLOOKUP($C$325,'DB animal categories'!$C$117:$AC$126,26,FALSE)/24))*'DB additional information '!$S$7/100*(1-VLOOKUP(D329,'DB technologies'!$N$154:$Y$166,9,FALSE)/100)))</f>
        <v/>
      </c>
      <c r="K329" s="446" t="str">
        <f>IF(D329="","",((VLOOKUP(D329,'DB technologies'!$N$154:$Y$166,4,FALSE)*E329*'DB additional information '!$S$8/100*(1-VLOOKUP(D329,'DB technologies'!$N$154:$Y$166,9,FALSE)/100))/VLOOKUP($C$325,'DB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L329" s="445" t="str">
        <f>IF('Calc (ex-animal)'!$F$63=1,"",IF(D329="","",(((VLOOKUP($C$325,'Calc (ex-animal)'!$D$63:$Y$67,6,FALSE)-VLOOKUP($C$325,'Calc (ex-animal)'!$D$63:$Y$67,17,FALSE))*F329/100))*(1-VLOOKUP($C$325,'Calc (ex-animal)'!$D$63:$Y$67,7,FALSE)/100)*(1-VLOOKUP(D329,'DB technologies'!$N$154:$V$166,8,FALSE)/100)))</f>
        <v/>
      </c>
      <c r="M329" s="446" t="str">
        <f>IF(D329="","",((VLOOKUP(D329,'DB technologies'!$N$154:$Y$166,2,FALSE)*VLOOKUP($C$325,'DB animal categories'!$C$117:$AC$126,27,FALSE)*E329/1000)/VLOOKUP($C$325,'DB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'!$S$6/100)*(1-VLOOKUP(D329,'DB technologies'!$N$154:$Y$166,9,FALSE)/100))</f>
        <v/>
      </c>
      <c r="N329" s="446" t="str">
        <f>IF(D329="","",((VLOOKUP(D329,'DB technologies'!$N$154:$Y$166,3,FALSE)*VLOOKUP($C$325,'DB animal categories'!$C$117:$AC$126,27,FALSE)*E329/1000)/VLOOKUP($C$325,'DB animal categories'!$C$117:$AC$126,27,FALSE)*(VLOOKUP($C$325,'DB animal categories'!$C$117:$AC$126,27,FALSE)-VLOOKUP($C$325,'DB animal categories'!$C$117:$AC$126,25,FALSE)*VLOOKUP($C$325,'DB animal categories'!$C$117:$AC$126,26,FALSE)/24))*(1-'DB additional information '!$S$7/100)*(1-VLOOKUP(D329,'DB technologies'!$N$154:$Y$166,9,FALSE)/100))</f>
        <v/>
      </c>
      <c r="O329" s="445" t="str">
        <f>IF(D329="","",((VLOOKUP(D329,'DB technologies'!$N$154:$Y$166,4,FALSE)*E329*(1-'DB additional information '!$S$8/100)*(1-VLOOKUP(D329,'DB technologies'!$N$154:$Y$166,8,FALSE)/100))/VLOOKUP($C$325,'DB animal categories'!$C$117:$AC$126,27,FALSE)*(VLOOKUP($C$325,'DB animal categories'!$C$117:$AC$126,27,FALSE)-VLOOKUP($C$325,'DB animal categories'!$C$117:$AC$126,25,FALSE)*VLOOKUP($C$325,'DB animal categories'!$C$117:$AC$126,26,FALSE)/24)))</f>
        <v/>
      </c>
      <c r="P329" s="444" t="str">
        <f>IF(G329=0,0,IF(E329="","",IF(F329="","",IF($C$325=0,"",IF(D329="","",SUM(H329:K329)/G329*100)))))</f>
        <v/>
      </c>
      <c r="Q329" s="476" t="str">
        <f>IF(D329="","",(VLOOKUP(D329,'DB technologies'!$N$154:$Y$166,2,FALSE)*'DB additional information '!$S$6/100*'DB additional information '!$T$6*VLOOKUP($C$325,'DB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R329" s="476" t="str">
        <f>IF(D329="","",(VLOOKUP(D329,'DB technologies'!$N$154:$Y$166,3,FALSE)*'DB additional information '!$S$7/100*'DB additional information '!$T$7*VLOOKUP($C$325,'DB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S329" s="494" t="str">
        <f>IF(D329="","",(VLOOKUP(D329,'DB technologies'!$N$154:$Y$166,4,FALSE)*('DB additional information '!$S$8/100*'DB additional information '!$T$8*E329/1000/1000)))</f>
        <v/>
      </c>
      <c r="T329" s="266" t="str">
        <f>IF($C$325=0,"",IF('Calc (ex-animal)'!$F$63=1,"",IF(D329="","",((VLOOKUP($C$325,'Calc (ex-animal)'!$D$63:$Y$67,10,FALSE)-VLOOKUP($C$325,'Calc (ex-animal)'!$D$63:$Y$67,18,FALSE))*F329/100+Q329+R329+S329)-AC329-AD329-AE329)))</f>
        <v/>
      </c>
      <c r="U329" s="477" t="str">
        <f>IF(D329="","",(VLOOKUP(D329,'DB technologies'!$N$154:$Y$166,2,FALSE)*'DB additional information '!$S$6/100*'DB additional information '!$U$6*VLOOKUP($C$325,'DB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V329" s="433" t="str">
        <f>IF(D329="","",(VLOOKUP(D329,'DB technologies'!$N$154:$Y$166,3,FALSE)*'DB additional information '!$S$7/100*'DB additional information '!$U$7*VLOOKUP($C$325,'DB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W329" s="475" t="str">
        <f>IF(D329="","",(VLOOKUP(D329,'DB technologies'!$N$154:$Y$166,4,FALSE)*('DB additional information '!$S$8/100*'DB additional information '!$U$8*E329/1000/1000)))</f>
        <v/>
      </c>
      <c r="X329" s="267" t="str">
        <f>IF($C$325=0,"",IF('Calc (ex-animal)'!$F$63=1,"",IF(D329="","",((VLOOKUP($C$325,'Calc (ex-animal)'!$D$63:$Y$67,13,FALSE)-VLOOKUP($C$325,'Calc (ex-animal)'!$D$63:$Y$67,19,FALSE))*F329/100+U329+V329+W329))))</f>
        <v/>
      </c>
      <c r="Y329" s="433" t="str">
        <f>IF(D329="","",(VLOOKUP(D329,'DB technologies'!$N$154:$Y$166,2,FALSE)*'DB additional information '!$S$6/100*'DB additional information '!$V$6*VLOOKUP($C$325,'DB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Z329" s="433" t="str">
        <f>IF(D329="","",(VLOOKUP(D329,'DB technologies'!$N$154:$Y$166,3,FALSE)*'DB additional information '!$S$7/100*'DB additional information '!$V$7*VLOOKUP($C$325,'DB animal categories'!$C$117:$AC$126,27,FALSE)*E329/1000/1000)/VLOOKUP($C$325,'DB animal categories'!$C$117:$AC$126,27,FALSE)*(VLOOKUP($C$325,'DB animal categories'!$C$117:$AC$126,27,FALSE)-VLOOKUP($C$325,'DB animal categories'!$C$117:$AC$126,25,FALSE)*VLOOKUP($C$325,'DB animal categories'!$C$117:$AC$126,26,FALSE)/24))</f>
        <v/>
      </c>
      <c r="AA329" s="433" t="str">
        <f>IF(D329="","",(VLOOKUP(D329,'DB technologies'!$N$154:$Y$166,4,FALSE)*('DB additional information '!$S$8/100*'DB additional information '!$V$8*E329/1000/1000)))</f>
        <v/>
      </c>
      <c r="AB329" s="267" t="str">
        <f>IF($C$325=0,"",IF('Calc (ex-animal)'!$F$63=1,"",IF(D329="","",((VLOOKUP($C$325,'Calc (ex-animal)'!$D$63:$Y$67,16,FALSE)-VLOOKUP($C$325,'Calc (ex-animal)'!$D$63:$Y$67,20,FALSE))*F329/100+Y329+Z329+AA329))))</f>
        <v/>
      </c>
      <c r="AC329" s="267" t="str">
        <f>IF($C$325=0,"",IF('Calc (ex-animal)'!$F$63=1,"",IF(D329="","",VLOOKUP($C$325,'Calc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categories'!$C$117:$AC$126,26,FALSE)/24)*F329/100*VLOOKUP(D329,'DB technologies'!$N$154:$R$166,5,FALSE)/100)))</f>
        <v/>
      </c>
      <c r="AD329" s="267" t="str">
        <f>IF($C$325=0,"",IF('Calc (ex-animal)'!$F$63=1,"",IF(D329="","",VLOOKUP($C$325,'Calc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categories'!$C$117:$AC$126,26,FALSE)/24)*F329/100*VLOOKUP(D329,'DB technologies'!$N$154:$Y$166,6,FALSE)/100)))</f>
        <v/>
      </c>
      <c r="AE329" s="268" t="str">
        <f>IF($C$325=0,"",IF('Calc (ex-animal)'!$F$63=1,"",IF(D329="","",VLOOKUP($C$325,'Calc (ex-animal)'!$D$63:$Y$67,10,FALSE)/VLOOKUP($C$325,'DB animal categories'!$C$117:$AC$126,27,FALSE)*(VLOOKUP($C$325,'DB animal categories'!$C$117:$AC$126,27,FALSE)-VLOOKUP($C$325,'DB animal categories'!$C$117:$AC$126,25,FALSE)*VLOOKUP($C$325,'DB animal categories'!$C$117:$AC$126,26,FALSE)/24)*F329/100*VLOOKUP(D329,'DB technologies'!$N$154:$Y$166,7,FALSE)/100)))</f>
        <v/>
      </c>
      <c r="AI329" s="183" t="str">
        <f>IF(D329="","",VLOOKUP(D329,'DB technologies'!$N$154:$Y$166,10,FALSE))</f>
        <v/>
      </c>
      <c r="AJ329" s="451" t="e">
        <f>VLOOKUP($C$325,'DB animal categories'!$C$117:$AN$126,27,FALSE)-VLOOKUP($C$325,'DB animal categories'!$C$117:$AN$126,26,FALSE)*VLOOKUP($C$325,'DB animal categories'!$C$117:$AN$126,25,FALSE)/24</f>
        <v>#N/A</v>
      </c>
      <c r="AK329" s="452" t="str">
        <f>IF(AI329="","",AL329+AM329)</f>
        <v/>
      </c>
      <c r="AL329" s="452" t="str">
        <f>IF(D329="","",IF(AI329=2,(('Calc (ex-animal)'!$G$66*'DB additional information '!$K$13/100*(1-VLOOKUP(D329,'DB technologies'!$N$154:$Y$166,9,FALSE)/100)*'Calc (ex-housing, ex-storage)'!F329/100+'Calc (ex-animal)'!$H$66*'DB additional information '!$L$13/100*(1-VLOOKUP(D329,'DB technologies'!$N$154:$Y$166,9,FALSE)/100)*'Calc (ex-housing, ex-storage)'!F329/100))/VLOOKUP($C$325,'DB animal categories'!$C$117:$AC$126,27,FALSE)*AJ329+I329+J329+K329,IF(AI329=1,('Calc (ex-animal)'!$H$66*'DB additional information '!$L$13/100*(1-VLOOKUP(D329,'DB technologies'!$N$154:$Y$166,9,FALSE)/100)*'Calc (ex-housing, ex-storage)'!F329/100)/VLOOKUP($C$325,'DB animal categories'!$C$117:$AC$126,27,FALSE)*AJ329,IF(AI329=4,('Calc (ex-animal)'!$G$66*'DB additional information '!$K$13/100+'Calc (ex-animal)'!$H$66*'DB additional information '!$L$13/100)*(1-VLOOKUP(D329,'DB technologies'!$N$154:$Y$166,9,FALSE)/100)*'Calc (ex-housing, ex-storage)'!F329/100*VLOOKUP(D329,'DB technologies'!$N$154:$Y$166,11,FALSE)/100/VLOOKUP($C$325,'DB animal categories'!$C$117:$AC$126,27,FALSE)*AJ329,0))))</f>
        <v/>
      </c>
      <c r="AM329" s="452" t="str">
        <f>IF(D329="","",IF(AI329=2,(('Calc (ex-animal)'!$G$66*(1-'DB additional information '!$K$13/100)*(1-VLOOKUP(D329,'DB technologies'!$N$154:$Y$166,8,FALSE)/100)*'Calc (ex-housing, ex-storage)'!F329/100+'Calc (ex-animal)'!$H$66*(1-'DB additional information '!$L$13/100)*(1-VLOOKUP(D329,'DB technologies'!$N$154:$Y$166,8,FALSE)/100)*'Calc (ex-housing, ex-storage)'!F329/100))/VLOOKUP($C$325,'DB animal categories'!$C$117:$AC$126,27,FALSE)*AJ329+M329+N329+O329,IF(AI329=1,('Calc (ex-animal)'!$H$66*(1-'DB additional information '!$L$13/100)*(1-VLOOKUP(D329,'DB technologies'!$N$154:$Y$166,8,FALSE)/100)*'Calc (ex-housing, ex-storage)'!F329/100)/VLOOKUP($C$325,'DB animal categories'!$C$117:$AC$126,27,FALSE)*AJ329,IF(AI329=4,('Calc (ex-animal)'!$G$66*(1-'DB additional information '!$K$13/100)+'Calc (ex-animal)'!$H$66*(1-'DB additional information '!$L$13/100))*(1-VLOOKUP(D329,'DB technologies'!$N$154:$Y$166,8,FALSE)/100)*'Calc (ex-housing, ex-storage)'!F329/100*VLOOKUP(D329,'DB technologies'!$N$154:$Y$166,11,FALSE)/100/VLOOKUP($C$325,'DB animal categories'!$C$117:$AC$126,27,FALSE)*AJ329,0))))</f>
        <v/>
      </c>
      <c r="AN329" s="452" t="str">
        <f>IF(AI329="","",IF(AL329=0,0,AL329/AK329*100))</f>
        <v/>
      </c>
      <c r="AO329" s="184" t="str">
        <f>IF(D329="","",IF(AI329=2,(('Calc (ex-animal)'!$L$66*'Calc (ex-housing, ex-storage)'!F329/100+'Calc (ex-animal)'!$K$66*'Calc (ex-housing, ex-storage)'!F329/100))/VLOOKUP($C$325,'DB animal categories'!$C$117:$AC$126,27,FALSE)*AJ329+Q329+R329+S329-AC329,IF(AI329=1,('Calc (ex-animal)'!$L$66*'Calc (ex-housing, ex-storage)'!F329/100)/VLOOKUP($C$325,'DB animal categories'!$C$117:$AC$126,27,FALSE)*AJ329-'Calc (ex-housing, ex-storage)'!AC329,IF(AI329=4,('Calc (ex-animal)'!$L$66+'Calc (ex-animal)'!$K$66)*'Calc (ex-housing, ex-storage)'!F329/100*VLOOKUP(D329,'DB technologies'!$N$154:$Y$166,11,FALSE)/100/VLOOKUP($C$325,'DB animal categories'!$C$117:$AC$126,27,FALSE)*AJ329-AC329*VLOOKUP(D329,'DB technologies'!$N$154:$Y$166,11,FALSE)/100,0))))</f>
        <v/>
      </c>
      <c r="AP329" s="184" t="str">
        <f>IF(D329="","",IF(AO329&lt;-0.01,0,IF(AI329=2,(('Calc (ex-animal)'!$L$66*'Calc (ex-housing, ex-storage)'!F329/100+'Calc (ex-animal)'!$K$66*'Calc (ex-housing, ex-storage)'!F329/100))/VLOOKUP($C$325,'DB animal categories'!$C$117:$AC$126,27,FALSE)*AJ329+Q329+R329+S329-AC329,IF(AI329=1,('Calc (ex-animal)'!$L$66*'Calc (ex-housing, ex-storage)'!F329/100)/VLOOKUP($C$325,'DB animal categories'!$C$117:$AC$126,27,FALSE)*AJ329-'Calc (ex-housing, ex-storage)'!AC329,IF(AI329=4,('Calc (ex-animal)'!$L$66+'Calc (ex-animal)'!$K$66)*'Calc (ex-housing, ex-storage)'!F329/100*VLOOKUP(D329,'DB technologies'!$N$154:$Y$166,11,FALSE)/100/VLOOKUP($C$325,'DB animal categories'!$C$117:$AC$126,27,FALSE)*AJ329-AC329*VLOOKUP(D329,'DB technologies'!$N$154:$Y$166,11,FALSE)/100,0)))))</f>
        <v/>
      </c>
      <c r="AQ329" s="184" t="str">
        <f>IF(D329="","",IF(AI329=2,('Calc (ex-animal)'!$O$66*'Calc (ex-housing, ex-storage)'!F329/100+'Calc (ex-animal)'!$N$66*'Calc (ex-housing, ex-storage)'!F329/100)/VLOOKUP($C$325,'DB animal categories'!$C$117:$AC$126,27,FALSE)*AJ329+U329+V329+W329,IF(AI329=1,'Calc (ex-animal)'!$O$66*'Calc (ex-housing, ex-storage)'!F329/100/VLOOKUP($C$325,'DB animal categories'!$C$117:$AC$126,27,FALSE)*AJ329,IF(AI329=4,('Calc (ex-animal)'!$O$66+'Calc (ex-animal)'!$N$66)*'Calc (ex-housing, ex-storage)'!F329/100*VLOOKUP(D329,'DB technologies'!$N$154:$Y$166,11,FALSE)/100/VLOOKUP($C$325,'DB animal categories'!$C$117:$AC$126,27,FALSE)*AJ329,0))))</f>
        <v/>
      </c>
      <c r="AR329" s="184" t="str">
        <f>IF(D329="","",IF(AI329=2,('Calc (ex-animal)'!$R$66*'Calc (ex-housing, ex-storage)'!F329/100+'Calc (ex-animal)'!$Q$66*'Calc (ex-housing, ex-storage)'!F329/100)/VLOOKUP($C$325,'DB animal categories'!$C$117:$AC$126,27,FALSE)*AJ329+Y329+Z329+AA329,IF(AI329=1,'Calc (ex-animal)'!$R$66*'Calc (ex-housing, ex-storage)'!F329/100/VLOOKUP($C$325,'DB animal categories'!$C$117:$AC$126,27,FALSE)*AJ329,IF(AI329=4,('Calc (ex-animal)'!$R$66+'Calc (ex-animal)'!$Q$66)*'Calc (ex-housing, ex-storage)'!F329/100*VLOOKUP(D329,'DB technologies'!$N$154:$Y$166,11,FALSE)/100/VLOOKUP($C$325,'DB animal categories'!$C$117:$AC$126,27,FALSE)*AJ329,0))))</f>
        <v/>
      </c>
      <c r="AS329" s="183" t="str">
        <f>IF(D329="","",VLOOKUP(D329,'DB technologies'!$N$154:$Y$166,10,FALSE))</f>
        <v/>
      </c>
      <c r="AT329" s="452" t="str">
        <f>IF(AS329="","",AU329+AV329)</f>
        <v/>
      </c>
      <c r="AU329" s="452" t="str">
        <f>IF(D329="","",IF(AS329=2,0,IF(AS329=1,'Calc (ex-animal)'!$G$66*'DB additional information '!$K$13/100*(1-VLOOKUP(D329,'DB technologies'!$N$154:$Y$166,8,FALSE)/100)*'Calc (ex-housing, ex-storage)'!F329/100/VLOOKUP($C$325,'DB animal categories'!$C$117:$AC$126,27,FALSE)*AJ329+I329+J329+K329,IF(AS329=5,(('Calc (ex-animal)'!$G$66*'DB additional information '!$K$13/100+'Calc (ex-animal)'!$H$66*'DB additional information '!$L$13/100))*(1-VLOOKUP(D329,'DB technologies'!$N$154:$Y$166,9,FALSE)/100)*'Calc (ex-housing, ex-storage)'!F329/100/VLOOKUP($C$325,'DB animal categories'!$C$117:$AC$126,27,FALSE)*AJ329+I329+J329+K329,IF(AS329=3,('Calc (ex-animal)'!$G$66*'DB additional information '!$K$13/100+'Calc (ex-animal)'!$H$66*'DB additional information '!$L$13/100)*(1-VLOOKUP(D329,'DB technologies'!$N$154:$Y$166,9,FALSE)/100)*'Calc (ex-housing, ex-storage)'!F329/100/VLOOKUP($C$325,'DB animal categories'!$C$117:$AC$126,27,FALSE)*AJ329+I329+J329+K329,IF(AS329=4,('Calc (ex-animal)'!$G$66*'DB additional information '!$K$13/100+'Calc (ex-animal)'!$H$66*'DB additional information '!$L$13/100)*(1-VLOOKUP(D329,'DB technologies'!$N$154:$Y$166,9,FALSE)/100)*'Calc (ex-housing, ex-storage)'!F329/100*VLOOKUP(D329,'DB technologies'!$N$154:$Y$166,12,FALSE)/100/VLOOKUP($C$325,'DB animal categories'!$C$117:$AC$126,27,FALSE)*AJ329+I329+J329+K329,0))))))</f>
        <v/>
      </c>
      <c r="AV329" s="452" t="str">
        <f>IF(D329="","",IF(AS329=2,0,IF(AS329=1,'Calc (ex-animal)'!$G$66*(1-'DB additional information '!$K$13/100)*(1-VLOOKUP(D329,'DB technologies'!$N$154:$Y$166,8,FALSE)/100)*'Calc (ex-housing, ex-storage)'!F329/100/VLOOKUP($C$325,'DB animal categories'!$C$117:$AC$126,27,FALSE)*AJ329+M329+N329+O329,IF(AS329=5,('Calc (ex-animal)'!$G$66*(1-'DB additional information '!$K$13/100)+'Calc (ex-animal)'!$H$66*(1-'DB additional information '!$L$13/100))*(1-VLOOKUP(D329,'DB technologies'!$N$154:$Y$166,8,FALSE)/100)*'Calc (ex-housing, ex-storage)'!F329/100/VLOOKUP($C$325,'DB animal categories'!$C$117:$AC$126,27,FALSE)*AJ329+M329+N329+O329,IF(AS329=3,('Calc (ex-animal)'!$G$66*(1-'DB additional information '!$K$13/100)+'Calc (ex-animal)'!$H$66*(1-'DB additional information '!$L$13/100))*(1-VLOOKUP(D329,'DB technologies'!$N$154:$Y$166,8,FALSE)/100)*'Calc (ex-housing, ex-storage)'!F329/100/VLOOKUP($C$325,'DB animal categories'!$C$117:$AC$126,27,FALSE)*AJ329+M329+N329+O329,IF(AS329=4,('Calc (ex-animal)'!$G$66*(1-'DB additional information '!$K$13/100)+'Calc (ex-animal)'!$H$66*(1-'DB additional information '!$L$13/100))*(1-VLOOKUP(D329,'DB technologies'!$N$154:$Y$166,8,FALSE)/100)*'Calc (ex-housing, ex-storage)'!F329/100*VLOOKUP(D329,'DB technologies'!$N$154:$Y$166,12,FALSE)/100/VLOOKUP($C$325,'DB animal categories'!$C$117:$AC$126,27,FALSE)*AJ329+M329+N329+O329,0))))))</f>
        <v/>
      </c>
      <c r="AW329" s="452" t="str">
        <f>IF(AS329="","",IF(AU329=0,0,AU329/AT329*100))</f>
        <v/>
      </c>
      <c r="AX329" s="184" t="str">
        <f>IF(D329="","",IF(AS329=2,0,IF(AS329=1,'Calc (ex-animal)'!$K$66*'Calc (ex-housing, ex-storage)'!F329/100/VLOOKUP($C$325,'DB animal categories'!$C$117:$AC$126,27,FALSE)*AJ329+Q329+R329+S329,IF(AS329=5,('Calc (ex-animal)'!$K$66+'Calc (ex-animal)'!$L$66)*'Calc (ex-housing, ex-storage)'!F329/100/VLOOKUP($C$325,'DB animal categories'!$C$117:$AC$126,27,FALSE)*AJ329+Q329+R329+S329-'Calc (ex-housing, ex-storage)'!AC329,IF(AS329=3,('Calc (ex-animal)'!$K$66+'Calc (ex-animal)'!$L$66)*'Calc (ex-housing, ex-storage)'!F329/100/VLOOKUP($C$325,'DB animal categories'!$C$117:$AC$126,27,FALSE)*AJ329+Q329+R329+S329-'Calc (ex-housing, ex-storage)'!AC329-AD329-AE329,IF(AI329=4,('Calc (ex-animal)'!$K$66+'Calc (ex-animal)'!$L$66)*'Calc (ex-housing, ex-storage)'!F329/100*VLOOKUP(D329,'DB technologies'!$N$154:$Y$166,12,FALSE)/100/VLOOKUP($C$325,'DB animal categories'!$C$117:$AC$126,27,FALSE)*AJ329+Q329+R329+S329-(VLOOKUP(D329,'DB technologies'!$N$154:$Y$166,12,FALSE)/100*AC329)-AD329-AE329,0))))))</f>
        <v/>
      </c>
      <c r="AY329" s="184" t="str">
        <f>IF(D329="","",IF(AS329=2,0,IF(AS329=1,'Calc (ex-animal)'!$N$66*'Calc (ex-housing, ex-storage)'!F329/100/VLOOKUP($C$325,'DB animal categories'!$C$117:$AC$126,27,FALSE)*AJ329+U329+V329+W329,IF(AS329=5,('Calc (ex-animal)'!$N$66+'Calc (ex-animal)'!$O$66)*'Calc (ex-housing, ex-storage)'!F329/100/VLOOKUP($C$325,'DB animal categories'!$C$117:$AC$126,27,FALSE)*AJ329+U329+V329+W329,IF(AS329=3,('Calc (ex-animal)'!$N$66+'Calc (ex-animal)'!$O$66)*'Calc (ex-housing, ex-storage)'!F329/100/VLOOKUP($C$325,'DB animal categories'!$C$117:$AC$126,27,FALSE)*AJ329+U329+V329+W329,IF(AS329=4,('Calc (ex-animal)'!$N$66+'Calc (ex-animal)'!$O$66)*'Calc (ex-housing, ex-storage)'!F329/100*VLOOKUP(D329,'DB technologies'!$N$154:$Y$166,12,FALSE)/100/VLOOKUP($C$325,'DB animal categories'!$C$117:$AC$126,27,FALSE)*AJ329+U329+V329+W329,0))))))</f>
        <v/>
      </c>
      <c r="AZ329" s="184" t="str">
        <f>IF(D329="","",IF(AS329=2,0,IF(AS329=1,'Calc (ex-animal)'!$Q$66*'Calc (ex-housing, ex-storage)'!F329/100/VLOOKUP($C$325,'DB animal categories'!$C$117:$AC$126,27,FALSE)*AJ329+Y329+Z329+AA329,IF(AS329=5,('Calc (ex-animal)'!$Q$66+'Calc (ex-animal)'!$R$66)*'Calc (ex-housing, ex-storage)'!F329/100/VLOOKUP($C$325,'DB animal categories'!$C$117:$AC$126,27,FALSE)*AJ329+Y329+Z329+AA329,IF(AS329=3,('Calc (ex-animal)'!$Q$66+'Calc (ex-animal)'!$R$66)*'Calc (ex-housing, ex-storage)'!F329/100/VLOOKUP($C$325,'DB animal categories'!$C$117:$AC$126,27,FALSE)*AJ329+Y329+Z329+AA329,IF(AS329=4,('Calc (ex-animal)'!$Q$66+'Calc (ex-animal)'!$R$66)*'Calc (ex-housing, ex-storage)'!F329/100*VLOOKUP(D329,'DB technologies'!$N$154:$Y$166,12,FALSE)/100/VLOOKUP($C$325,'DB animal categories'!$C$117:$AC$126,27,FALSE)*AJ329+Y329+Z329+AA329,0))))))</f>
        <v/>
      </c>
      <c r="BA329" s="506"/>
      <c r="BB329" s="506"/>
      <c r="BC329" s="506"/>
    </row>
    <row r="330" spans="1:55" ht="12" thickBot="1" x14ac:dyDescent="0.25">
      <c r="A330" s="695"/>
      <c r="B330" s="695"/>
      <c r="C330" s="252"/>
      <c r="D330" s="269" t="s">
        <v>58</v>
      </c>
      <c r="E330" s="270">
        <f>IF(F330&lt;=100,SUM(E325:E329),"ERROR")</f>
        <v>0</v>
      </c>
      <c r="F330" s="284">
        <f>IF(SUM(F325:F329) &lt;=100,SUM(F325:F329),"ERROR, SUM&gt;100%")</f>
        <v>0</v>
      </c>
      <c r="G330" s="550">
        <f>IF('Calc (ex-animal)'!$F$63=1,"",SUM(G325:G329))</f>
        <v>0</v>
      </c>
      <c r="H330" s="418">
        <f>IF('Calc (ex-animal)'!$F$8=1,"",SUM(H325:H329))</f>
        <v>0</v>
      </c>
      <c r="I330" s="418">
        <f>IF('Calc (ex-animal)'!$F$8=1,"",SUM(I325:I329))</f>
        <v>0</v>
      </c>
      <c r="J330" s="418">
        <f>IF('Calc (ex-animal)'!$F$8=1,"",SUM(J325:J329))</f>
        <v>0</v>
      </c>
      <c r="K330" s="418">
        <f>IF('Calc (ex-animal)'!$F$8=1,"",SUM(K325:K329))</f>
        <v>0</v>
      </c>
      <c r="L330" s="418">
        <f>IF('Calc (ex-animal)'!$F$8=1,"",SUM(L325:L329))</f>
        <v>0</v>
      </c>
      <c r="M330" s="551"/>
      <c r="N330" s="551"/>
      <c r="O330" s="551"/>
      <c r="P330" s="552">
        <f>IF(G330=0,0,IF('Calc (ex-animal)'!$F$63=1,"",IF(D330="","",SUM(H330:K330)/G330*100)))</f>
        <v>0</v>
      </c>
      <c r="Q330" s="394"/>
      <c r="R330" s="394"/>
      <c r="S330" s="394"/>
      <c r="T330" s="285">
        <f>IF('Calc (ex-animal)'!$F$66=1,"",SUM(T325:T329))</f>
        <v>0</v>
      </c>
      <c r="U330" s="286"/>
      <c r="V330" s="286"/>
      <c r="W330" s="286"/>
      <c r="X330" s="286">
        <f>IF('Calc (ex-animal)'!$F$66=1,"",SUM(X325:X329))</f>
        <v>0</v>
      </c>
      <c r="Y330" s="286"/>
      <c r="Z330" s="286"/>
      <c r="AA330" s="286"/>
      <c r="AB330" s="286">
        <f>IF('Calc (ex-animal)'!$F$66=1,"",SUM(AB325:AB329))</f>
        <v>0</v>
      </c>
      <c r="AC330" s="286">
        <f>IF('Calc (ex-animal)'!$F$66=1,"",SUM(AC325:AC329))</f>
        <v>0</v>
      </c>
      <c r="AD330" s="286">
        <f>IF('Calc (ex-animal)'!$F$66=1,"",SUM(AD325:AD329))</f>
        <v>0</v>
      </c>
      <c r="AE330" s="287">
        <f>IF('Calc (ex-animal)'!$F$66=1,"",SUM(AE325:AE329))</f>
        <v>0</v>
      </c>
    </row>
    <row r="331" spans="1:55" x14ac:dyDescent="0.2">
      <c r="A331" s="695"/>
      <c r="B331" s="695"/>
      <c r="C331" s="250">
        <f>'Calc (ex-animal)'!D67</f>
        <v>0</v>
      </c>
      <c r="D331" s="1355"/>
      <c r="E331" s="1356"/>
      <c r="F331" s="479" t="str">
        <f>IF('Calc (ex-animal)'!$F$63=1,"",IF($C$331=0,"",IF(D331="","",E331/'Calc (ex-animal)'!$E$67*100)))</f>
        <v/>
      </c>
      <c r="G331" s="484" t="str">
        <f>IF($C$331=0,"",IF('Calc (ex-animal)'!$F$63=1,"",IF(D331="","",SUM(H331:O331))))</f>
        <v/>
      </c>
      <c r="H331" s="471" t="str">
        <f>IF('Calc (ex-animal)'!$F$63=1,"",IF(D331="","",(((VLOOKUP($C$331,'Calc (ex-animal)'!$D$63:$Y$67,6,FALSE)-VLOOKUP($C$331,'Calc (ex-animal)'!$D$63:$Y$67,17,FALSE))*F331/100))*VLOOKUP($C$331,'Calc (ex-animal)'!$D$63:$Y$67,7,FALSE)/100*(1-VLOOKUP(D331,'DB technologies'!$N$154:$Y$166,9,FALSE)/100)))</f>
        <v/>
      </c>
      <c r="I331" s="471" t="str">
        <f>IF(D331="","",((VLOOKUP(D331,'DB technologies'!$N$154:$Y$166,2,FALSE)*VLOOKUP($C$331,'DB animal categories'!$C$117:$AC$126,27,FALSE)*E331/1000)/VLOOKUP($C$331,'DB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'!$S$6/100*(1-VLOOKUP(D331,'DB technologies'!$N$154:$Y$166,9,FALSE)/100)))</f>
        <v/>
      </c>
      <c r="J331" s="472" t="str">
        <f>IF(D331="","",((VLOOKUP(D331,'DB technologies'!$N$154:$Y$166,3,FALSE)*VLOOKUP($C$331,'DB animal categories'!$C$117:$AC$126,27,FALSE)*E331/1000)/VLOOKUP($C$331,'DB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'!$S$7/100*(1-VLOOKUP(D331,'DB technologies'!$N$154:$Y$166,9,FALSE)/100)))</f>
        <v/>
      </c>
      <c r="K331" s="472" t="str">
        <f>IF(D331="","",((VLOOKUP(D331,'DB technologies'!$N$154:$Y$166,4,FALSE)*E331*'DB additional information '!$S$8/100*(1-VLOOKUP(D331,'DB technologies'!$N$154:$Y$166,9,FALSE)/100))/VLOOKUP($C$331,'DB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L331" s="471" t="str">
        <f>IF('Calc (ex-animal)'!$F$63=1,"",IF(D331="","",(((VLOOKUP($C$331,'Calc (ex-animal)'!$D$63:$Y$67,6,FALSE)-VLOOKUP($C$331,'Calc (ex-animal)'!$D$63:$Y$67,17,FALSE))*F331/100))*(1-VLOOKUP($C$331,'Calc (ex-animal)'!$D$63:$Y$67,7,FALSE)/100)*(1-VLOOKUP(D331,'DB technologies'!$N$154:$V$166,8,FALSE)/100)))</f>
        <v/>
      </c>
      <c r="M331" s="472" t="str">
        <f>IF(D331="","",((VLOOKUP(D331,'DB technologies'!$N$154:$Y$166,2,FALSE)*VLOOKUP($C$331,'DB animal categories'!$C$117:$AC$126,27,FALSE)*E331/1000)/VLOOKUP($C$331,'DB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'!$S$6/100)*(1-VLOOKUP(D331,'DB technologies'!$N$154:$Y$166,9,FALSE)/100))</f>
        <v/>
      </c>
      <c r="N331" s="472" t="str">
        <f>IF(D331="","",((VLOOKUP(D331,'DB technologies'!$N$154:$Y$166,3,FALSE)*VLOOKUP($C$331,'DB animal categories'!$C$117:$AC$126,27,FALSE)*E331/1000)/VLOOKUP($C$331,'DB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'!$S$7/100)*(1-VLOOKUP(D331,'DB technologies'!$N$154:$Y$166,9,FALSE)/100))</f>
        <v/>
      </c>
      <c r="O331" s="471" t="str">
        <f>IF(D331="","",((VLOOKUP(D331,'DB technologies'!$N$154:$Y$166,4,FALSE)*E331*(1-'DB additional information '!$S$8/100)*(1-VLOOKUP(D331,'DB technologies'!$N$154:$Y$166,8,FALSE)/100))/VLOOKUP($C$331,'DB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P331" s="443" t="str">
        <f>IF(G331=0,0,IF(E331="","",IF(F331="","",IF($C$331=0,"",IF(D331="","",SUM(H331:K331)/G331*100)))))</f>
        <v/>
      </c>
      <c r="Q331" s="473" t="str">
        <f>IF(D331="","",(VLOOKUP(D331,'DB technologies'!$N$154:$Y$166,2,FALSE)*'DB additional information '!$S$6/100*'DB additional information '!$T$6*VLOOKUP($C$331,'DB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R331" s="473" t="str">
        <f>IF(D331="","",(VLOOKUP(D331,'DB technologies'!$N$154:$Y$166,3,FALSE)*'DB additional information '!$S$7/100*'DB additional information '!$T$7*VLOOKUP($C$331,'DB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S331" s="490" t="str">
        <f>IF(D331="","",(VLOOKUP(D331,'DB technologies'!$N$154:$Y$166,4,FALSE)*('DB additional information '!$S$8/100*'DB additional information '!$T$8*E331/1000/1000)))</f>
        <v/>
      </c>
      <c r="T331" s="263" t="str">
        <f>IF($C$331=0,"",IF('Calc (ex-animal)'!$F$63=1,"",IF(D331="","",((VLOOKUP($C$331,'Calc (ex-animal)'!$D$63:$Y$67,10,FALSE)-VLOOKUP($C$331,'Calc (ex-animal)'!$D$63:$Y$67,18,FALSE))*F331/100+Q331+R331+S331)-AC331-AD331-AE331)))</f>
        <v/>
      </c>
      <c r="U331" s="474" t="str">
        <f>IF(D331="","",(VLOOKUP(D331,'DB technologies'!$N$154:$Y$166,2,FALSE)*'DB additional information '!$S$6/100*'DB additional information '!$U$6*VLOOKUP($C$331,'DB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V331" s="420" t="str">
        <f>IF(D331="","",(VLOOKUP(D331,'DB technologies'!$N$154:$Y$166,3,FALSE)*'DB additional information '!$S$7/100*'DB additional information '!$U$7*VLOOKUP($C$331,'DB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W331" s="415" t="str">
        <f>IF(D331="","",(VLOOKUP(D331,'DB technologies'!$N$154:$Y$166,4,FALSE)*('DB additional information '!$S$8/100*'DB additional information '!$U$8*E331/1000/1000)))</f>
        <v/>
      </c>
      <c r="X331" s="259" t="str">
        <f>IF($C$331=0,"",IF('Calc (ex-animal)'!$F$63=1,"",IF(D331="","",((VLOOKUP($C$331,'Calc (ex-animal)'!$D$63:$Y$67,13,FALSE)-VLOOKUP($C$331,'Calc (ex-animal)'!$D$63:$Y$67,19,FALSE))*F331/100+U331+V331+W331))))</f>
        <v/>
      </c>
      <c r="Y331" s="420" t="str">
        <f>IF(D331="","",(VLOOKUP(D331,'DB technologies'!$N$154:$Y$166,2,FALSE)*'DB additional information '!$S$6/100*'DB additional information '!$V$6*VLOOKUP($C$331,'DB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Z331" s="420" t="str">
        <f>IF(D331="","",(VLOOKUP(D331,'DB technologies'!$N$154:$Y$166,3,FALSE)*'DB additional information '!$S$7/100*'DB additional information '!$V$7*VLOOKUP($C$331,'DB animal categories'!$C$117:$AC$126,27,FALSE)*E331/1000/1000)/VLOOKUP($C$331,'DB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AA331" s="420" t="str">
        <f>IF(D331="","",(VLOOKUP(D331,'DB technologies'!$N$154:$Y$166,4,FALSE)*('DB additional information '!$S$8/100*'DB additional information '!$V$8*E331/1000/1000)))</f>
        <v/>
      </c>
      <c r="AB331" s="259" t="str">
        <f>IF($C$331=0,"",IF('Calc (ex-animal)'!$F$63=1,"",IF(D331="","",((VLOOKUP($C$331,'Calc (ex-animal)'!$D$63:$Y$67,16,FALSE)-VLOOKUP($C$331,'Calc (ex-animal)'!$D$63:$Y$67,20,FALSE))*F331/100+Y331+Z331+AA331))))</f>
        <v/>
      </c>
      <c r="AC331" s="259" t="str">
        <f>IF($C$331=0,"",IF('Calc (ex-animal)'!$F$63=1,"",IF(D331="","",VLOOKUP($C$331,'Calc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categories'!$C$117:$AC$126,26,FALSE)/24)*F331/100*VLOOKUP(D331,'DB technologies'!$N$154:$R$166,5,FALSE)/100)))</f>
        <v/>
      </c>
      <c r="AD331" s="259" t="str">
        <f>IF($C$331=0,"",IF('Calc (ex-animal)'!$F$63=1,"",IF(D331="","",VLOOKUP($C$331,'Calc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categories'!$C$117:$AC$126,26,FALSE)/24)*F331/100*VLOOKUP(D331,'DB technologies'!$N$154:$Y$166,6,FALSE)/100)))</f>
        <v/>
      </c>
      <c r="AE331" s="260" t="str">
        <f>IF($C$331=0,"",IF('Calc (ex-animal)'!$F$63=1,"",IF(D331="","",VLOOKUP($C$331,'Calc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categories'!$C$117:$AC$126,26,FALSE)/24)*F331/100*VLOOKUP(D331,'DB technologies'!$N$154:$Y$166,7,FALSE)/100)))</f>
        <v/>
      </c>
      <c r="AI331" s="179" t="str">
        <f>IF(D331="","",VLOOKUP(D331,'DB technologies'!$N$154:$Y$166,10,FALSE))</f>
        <v/>
      </c>
      <c r="AJ331" s="482" t="e">
        <f>VLOOKUP($C$331,'DB animal categories'!$C$117:$AN$126,27,FALSE)-VLOOKUP($C$331,'DB animal categories'!$C$117:$AN$126,26,FALSE)*VLOOKUP($C$331,'DB animal categories'!$C$117:$AN$126,25,FALSE)/24</f>
        <v>#N/A</v>
      </c>
      <c r="AK331" s="453" t="str">
        <f>IF(AI331="","",AL331+AM331)</f>
        <v/>
      </c>
      <c r="AL331" s="453" t="str">
        <f>IF(D331="","",IF(AI331=2,(('Calc (ex-animal)'!$G$67*'DB additional information '!$K$13/100*(1-VLOOKUP(D331,'DB technologies'!$N$154:$Y$166,9,FALSE)/100)*'Calc (ex-housing, ex-storage)'!F331/100+'Calc (ex-animal)'!$H$67*'DB additional information '!$L$13/100*(1-VLOOKUP(D331,'DB technologies'!$N$154:$Y$166,9,FALSE)/100)*'Calc (ex-housing, ex-storage)'!F331/100))/VLOOKUP($C$331,'DB animal categories'!$C$117:$AC$126,27,FALSE)*AJ331+I331+J331+K331,IF(AI331=1,('Calc (ex-animal)'!$H$67*'DB additional information '!$L$13/100*(1-VLOOKUP(D331,'DB technologies'!$N$154:$Y$166,9,FALSE)/100)*'Calc (ex-housing, ex-storage)'!F331/100)/VLOOKUP($C$331,'DB animal categories'!$C$117:$AC$126,27,FALSE)*AJ331,IF(AI331=4,('Calc (ex-animal)'!$G$67*'DB additional information '!$K$13/100+'Calc (ex-animal)'!$H$67*'DB additional information '!$L$13/100)*(1-VLOOKUP(D331,'DB technologies'!$N$154:$Y$166,9,FALSE)/100)*'Calc (ex-housing, ex-storage)'!F331/100*VLOOKUP(D331,'DB technologies'!$N$154:$Y$166,11,FALSE)/100/VLOOKUP($C$331,'DB animal categories'!$C$117:$AC$126,27,FALSE)*AJ331,0))))</f>
        <v/>
      </c>
      <c r="AM331" s="453" t="str">
        <f>IF(D331="","",IF(AI331=2,(('Calc (ex-animal)'!$G$67*(1-'DB additional information '!$K$13/100)*(1-VLOOKUP(D331,'DB technologies'!$N$154:$Y$166,8,FALSE)/100)*'Calc (ex-housing, ex-storage)'!F331/100+'Calc (ex-animal)'!$H$67*(1-'DB additional information '!$L$13/100)*(1-VLOOKUP(D331,'DB technologies'!$N$154:$Y$166,8,FALSE)/100)*'Calc (ex-housing, ex-storage)'!F331/100))/VLOOKUP($C$331,'DB animal categories'!$C$117:$AC$126,27,FALSE)*AJ331+M331+N331+O331,IF(AI331=1,('Calc (ex-animal)'!$H$67*(1-'DB additional information '!$L$13/100)*(1-VLOOKUP(D331,'DB technologies'!$N$154:$Y$166,8,FALSE)/100)*'Calc (ex-housing, ex-storage)'!F331/100)/VLOOKUP($C$331,'DB animal categories'!$C$117:$AC$126,27,FALSE)*AJ331,IF(AI331=4,('Calc (ex-animal)'!$G$67*(1-'DB additional information '!$K$13/100)+'Calc (ex-animal)'!$H$67*(1-'DB additional information '!$L$13/100))*(1-VLOOKUP(D331,'DB technologies'!$N$154:$Y$166,8,FALSE)/100)*'Calc (ex-housing, ex-storage)'!F331/100*VLOOKUP(D331,'DB technologies'!$N$154:$Y$166,11,FALSE)/100/VLOOKUP($C$331,'DB animal categories'!$C$117:$AC$126,27,FALSE)*AJ331,0))))</f>
        <v/>
      </c>
      <c r="AN331" s="453" t="str">
        <f>IF(AI331="","",IF(AL331=0,0,AL331/AK331*100))</f>
        <v/>
      </c>
      <c r="AO331" s="180" t="str">
        <f>IF(D331="","",IF(AI331=2,(('Calc (ex-animal)'!$L$67*'Calc (ex-housing, ex-storage)'!F331/100+'Calc (ex-animal)'!$K$67*'Calc (ex-housing, ex-storage)'!F331/100))/VLOOKUP($C$331,'DB animal categories'!$C$117:$AC$126,27,FALSE)*AJ331+Q331+R331+S331-AC331,IF(AI331=1,('Calc (ex-animal)'!$L$67*'Calc (ex-housing, ex-storage)'!F331/100)/VLOOKUP($C$331,'DB animal categories'!$C$117:$AC$126,27,FALSE)*AJ331-'Calc (ex-housing, ex-storage)'!AC331,IF(AI331=4,('Calc (ex-animal)'!$L$67+'Calc (ex-animal)'!$K$67)*'Calc (ex-housing, ex-storage)'!F331/100*VLOOKUP(D331,'DB technologies'!$N$154:$Y$166,11,FALSE)/100/VLOOKUP($C$331,'DB animal categories'!$C$117:$AC$126,27,FALSE)*AJ331-AC331*VLOOKUP(D331,'DB technologies'!$N$154:$Y$166,11,FALSE)/100,0))))</f>
        <v/>
      </c>
      <c r="AP331" s="180" t="str">
        <f>IF(D331="","",IF(AO331&lt;-0.01,0,IF(AI331=2,(('Calc (ex-animal)'!$L$67*'Calc (ex-housing, ex-storage)'!F331/100+'Calc (ex-animal)'!$K$67*'Calc (ex-housing, ex-storage)'!F331/100))/VLOOKUP($C$331,'DB animal categories'!$C$117:$AC$126,27,FALSE)*AJ331+Q331+R331+S331-AC331,IF(AI331=1,('Calc (ex-animal)'!$L$67*'Calc (ex-housing, ex-storage)'!F331/100)/VLOOKUP($C$331,'DB animal categories'!$C$117:$AC$126,27,FALSE)*AJ331-'Calc (ex-housing, ex-storage)'!AC331,IF(AI331=4,('Calc (ex-animal)'!$L$67+'Calc (ex-animal)'!$K$67)*'Calc (ex-housing, ex-storage)'!F331/100*VLOOKUP(D331,'DB technologies'!$N$154:$Y$166,11,FALSE)/100/VLOOKUP($C$331,'DB animal categories'!$C$117:$AC$126,27,FALSE)*AJ331-AC331*VLOOKUP(D331,'DB technologies'!$N$154:$Y$166,11,FALSE)/100,0)))))</f>
        <v/>
      </c>
      <c r="AQ331" s="180" t="str">
        <f>IF(D331="","",IF(AI331=2,('Calc (ex-animal)'!$O$67*'Calc (ex-housing, ex-storage)'!F331/100+'Calc (ex-animal)'!$N$67*'Calc (ex-housing, ex-storage)'!F331/100)/VLOOKUP($C$331,'DB animal categories'!$C$117:$AC$126,27,FALSE)*AJ331+U331+V331+W331,IF(AI331=1,'Calc (ex-animal)'!$O$67*'Calc (ex-housing, ex-storage)'!F331/100/VLOOKUP($C$331,'DB animal categories'!$C$117:$AC$126,27,FALSE)*AJ331,IF(AI331=4,('Calc (ex-animal)'!$O$67+'Calc (ex-animal)'!$N$67)*'Calc (ex-housing, ex-storage)'!F331/100*VLOOKUP(D331,'DB technologies'!$N$154:$Y$166,11,FALSE)/100/VLOOKUP($C$331,'DB animal categories'!$C$117:$AC$126,27,FALSE)*AJ331,0))))</f>
        <v/>
      </c>
      <c r="AR331" s="180" t="str">
        <f>IF(D331="","",IF(AI331=2,('Calc (ex-animal)'!$R$67*'Calc (ex-housing, ex-storage)'!F331/100+'Calc (ex-animal)'!$Q$67*'Calc (ex-housing, ex-storage)'!F331/100)/VLOOKUP($C$331,'DB animal categories'!$C$117:$AC$126,27,FALSE)*AJ331+Y331+Z331+AA331,IF(AI331=1,'Calc (ex-animal)'!$R$67*'Calc (ex-housing, ex-storage)'!F331/100/VLOOKUP($C$331,'DB animal categories'!$C$117:$AC$126,27,FALSE)*AJ331,IF(AI331=4,('Calc (ex-animal)'!$R$67+'Calc (ex-animal)'!$Q$67)*'Calc (ex-housing, ex-storage)'!F331/100*VLOOKUP(D331,'DB technologies'!$N$154:$Y$166,11,FALSE)/100/VLOOKUP($C$331,'DB animal categories'!$C$117:$AC$126,27,FALSE)*AJ331,0))))</f>
        <v/>
      </c>
      <c r="AS331" s="179" t="str">
        <f>IF(D331="","",VLOOKUP(D331,'DB technologies'!$N$154:$Y$166,10,FALSE))</f>
        <v/>
      </c>
      <c r="AT331" s="453" t="str">
        <f>IF(AS331="","",AU331+AV331)</f>
        <v/>
      </c>
      <c r="AU331" s="453" t="str">
        <f>IF(D331="","",IF(AS331=2,0,IF(AS331=1,'Calc (ex-animal)'!$G$67*'DB additional information '!$K$13/100*(1-VLOOKUP(D331,'DB technologies'!$N$154:$Y$166,8,FALSE)/100)*'Calc (ex-housing, ex-storage)'!F331/100/VLOOKUP($C$331,'DB animal categories'!$C$117:$AC$126,27,FALSE)*AJ331+I331+J331+K331,IF(AS331=5,(('Calc (ex-animal)'!$G$67*'DB additional information '!$K$13/100+'Calc (ex-animal)'!$H$67*'DB additional information '!$L$13/100))*(1-VLOOKUP(D331,'DB technologies'!$N$154:$Y$166,9,FALSE)/100)*'Calc (ex-housing, ex-storage)'!F331/100/VLOOKUP($C$331,'DB animal categories'!$C$117:$AC$126,27,FALSE)*AJ331+I331+J331+K331,IF(AS331=3,('Calc (ex-animal)'!$G$67*'DB additional information '!$K$13/100+'Calc (ex-animal)'!$H$67*'DB additional information '!$L$13/100)*(1-VLOOKUP(D331,'DB technologies'!$N$154:$Y$166,9,FALSE)/100)*'Calc (ex-housing, ex-storage)'!F331/100/VLOOKUP($C$331,'DB animal categories'!$C$117:$AC$126,27,FALSE)*AJ331+I331+J331+K331,IF(AS331=4,('Calc (ex-animal)'!$G$67*'DB additional information '!$K$13/100+'Calc (ex-animal)'!$H$67*'DB additional information '!$L$13/100)*(1-VLOOKUP(D331,'DB technologies'!$N$154:$Y$166,9,FALSE)/100)*'Calc (ex-housing, ex-storage)'!F331/100*VLOOKUP(D331,'DB technologies'!$N$154:$Y$166,12,FALSE)/100/VLOOKUP($C$331,'DB animal categories'!$C$117:$AC$126,27,FALSE)*AJ331+I331+J331+K331,0))))))</f>
        <v/>
      </c>
      <c r="AV331" s="453" t="str">
        <f>IF(D331="","",IF(AS331=2,0,IF(AS331=1,'Calc (ex-animal)'!$G$67*(1-'DB additional information '!$K$13/100)*(1-VLOOKUP(D331,'DB technologies'!$N$154:$Y$166,8,FALSE)/100)*'Calc (ex-housing, ex-storage)'!F331/100/VLOOKUP($C$331,'DB animal categories'!$C$117:$AC$126,27,FALSE)*AJ331+M331+N331+O331,IF(AS331=5,('Calc (ex-animal)'!$G$67*(1-'DB additional information '!$K$13/100)+'Calc (ex-animal)'!$H$67*(1-'DB additional information '!$L$13/100))*(1-VLOOKUP(D331,'DB technologies'!$N$154:$Y$166,8,FALSE)/100)*'Calc (ex-housing, ex-storage)'!F331/100/VLOOKUP($C$331,'DB animal categories'!$C$117:$AC$126,27,FALSE)*AJ331+M331+N331+O331,IF(AS331=3,('Calc (ex-animal)'!$G$67*(1-'DB additional information '!$K$13/100)+'Calc (ex-animal)'!$H$67*(1-'DB additional information '!$L$13/100))*(1-VLOOKUP(D331,'DB technologies'!$N$154:$Y$166,8,FALSE)/100)*'Calc (ex-housing, ex-storage)'!F331/100/VLOOKUP($C$331,'DB animal categories'!$C$117:$AC$126,27,FALSE)*AJ331+M331+N331+O331,IF(AS331=4,('Calc (ex-animal)'!$G$67*(1-'DB additional information '!$K$13/100)+'Calc (ex-animal)'!$H$67*(1-'DB additional information '!$L$13/100))*(1-VLOOKUP(D331,'DB technologies'!$N$154:$Y$166,8,FALSE)/100)*'Calc (ex-housing, ex-storage)'!F331/100*VLOOKUP(D331,'DB technologies'!$N$154:$Y$166,12,FALSE)/100/VLOOKUP($C$331,'DB animal categories'!$C$117:$AC$126,27,FALSE)*AJ331+M331+N331+O331,0))))))</f>
        <v/>
      </c>
      <c r="AW331" s="453" t="str">
        <f>IF(AS331="","",IF(AU331=0,0,AU331/AT331*100))</f>
        <v/>
      </c>
      <c r="AX331" s="180" t="str">
        <f>IF(D331="","",IF(AS331=2,0,IF(AS331=1,'Calc (ex-animal)'!$K$67*'Calc (ex-housing, ex-storage)'!F331/100/VLOOKUP($C$331,'DB animal categories'!$C$117:$AC$126,27,FALSE)*AJ331+Q331+R331+S331,IF(AS331=5,('Calc (ex-animal)'!$K$67+'Calc (ex-animal)'!$L$67)*'Calc (ex-housing, ex-storage)'!F331/100/VLOOKUP($C$331,'DB animal categories'!$C$117:$AC$126,27,FALSE)*AJ331+Q331+R331+S331-'Calc (ex-housing, ex-storage)'!AC331,IF(AS331=3,('Calc (ex-animal)'!$K$67+'Calc (ex-animal)'!$L$67)*'Calc (ex-housing, ex-storage)'!F331/100/VLOOKUP($C$331,'DB animal categories'!$C$117:$AC$126,27,FALSE)*AJ331+Q331+R331+S331-'Calc (ex-housing, ex-storage)'!AC331-AD331-AE331,IF(AI331=4,('Calc (ex-animal)'!$K$67+'Calc (ex-animal)'!$L$67)*'Calc (ex-housing, ex-storage)'!F331/100*VLOOKUP(D331,'DB technologies'!$N$154:$Y$166,12,FALSE)/100/VLOOKUP($C$331,'DB animal categories'!$C$117:$AC$126,27,FALSE)*AJ331+Q331+R331+S331-(VLOOKUP(D331,'DB technologies'!$N$154:$Y$166,12,FALSE)/100*AC331)-AD331-AE331,0))))))</f>
        <v/>
      </c>
      <c r="AY331" s="180" t="str">
        <f>IF(D331="","",IF(AS331=2,0,IF(AS331=1,'Calc (ex-animal)'!$N$67*'Calc (ex-housing, ex-storage)'!F331/100/VLOOKUP($C$331,'DB animal categories'!$C$117:$AC$126,27,FALSE)*AJ331+U331+V331+W331,IF(AS331=5,('Calc (ex-animal)'!$N$67+'Calc (ex-animal)'!$O$67)*'Calc (ex-housing, ex-storage)'!F331/100/VLOOKUP($C$331,'DB animal categories'!$C$117:$AC$126,27,FALSE)*AJ331+U331+V331+W331,IF(AS331=3,('Calc (ex-animal)'!$N$67+'Calc (ex-animal)'!$O$67)*'Calc (ex-housing, ex-storage)'!F331/100/VLOOKUP($C$331,'DB animal categories'!$C$117:$AC$126,27,FALSE)*AJ331+U331+V331+W331,IF(AS331=4,('Calc (ex-animal)'!$N$67+'Calc (ex-animal)'!$O$67)*'Calc (ex-housing, ex-storage)'!F331/100*VLOOKUP(D331,'DB technologies'!$N$154:$Y$166,12,FALSE)/100/VLOOKUP($C$331,'DB animal categories'!$C$117:$AC$126,27,FALSE)*AJ331+U331+V331+W331,0))))))</f>
        <v/>
      </c>
      <c r="AZ331" s="180" t="str">
        <f>IF(D331="","",IF(AS331=2,0,IF(AS331=1,'Calc (ex-animal)'!$Q$67*'Calc (ex-housing, ex-storage)'!F331/100/VLOOKUP($C$331,'DB animal categories'!$C$117:$AC$126,27,FALSE)*AJ331+Y331+Z331+AA331,IF(AS331=5,('Calc (ex-animal)'!$Q$67+'Calc (ex-animal)'!$R$67)*'Calc (ex-housing, ex-storage)'!F331/100/VLOOKUP($C$331,'DB animal categories'!$C$117:$AC$126,27,FALSE)*AJ331+Y331+Z331+AA331,IF(AS331=3,('Calc (ex-animal)'!$Q$67+'Calc (ex-animal)'!$R$67)*'Calc (ex-housing, ex-storage)'!F331/100/VLOOKUP($C$331,'DB animal categories'!$C$117:$AC$126,27,FALSE)*AJ331+Y331+Z331+AA331,IF(AS331=4,('Calc (ex-animal)'!$Q$67+'Calc (ex-animal)'!$R$67)*'Calc (ex-housing, ex-storage)'!F331/100*VLOOKUP(D331,'DB technologies'!$N$154:$Y$166,12,FALSE)/100/VLOOKUP($C$331,'DB animal categories'!$C$117:$AC$126,27,FALSE)*AJ331+Y331+Z331+AA331,0))))))</f>
        <v/>
      </c>
      <c r="BA331" s="506"/>
      <c r="BB331" s="506"/>
      <c r="BC331" s="506"/>
    </row>
    <row r="332" spans="1:55" x14ac:dyDescent="0.2">
      <c r="A332" s="695"/>
      <c r="B332" s="695"/>
      <c r="C332" s="251"/>
      <c r="D332" s="1357"/>
      <c r="E332" s="1358"/>
      <c r="F332" s="480" t="str">
        <f>IF('Calc (ex-animal)'!$F$63=1,"",IF($C$331=0,"",IF(D332="","",E332/'Calc (ex-animal)'!$E$67*100)))</f>
        <v/>
      </c>
      <c r="G332" s="485" t="str">
        <f>IF($C$331=0,"",IF('Calc (ex-animal)'!$F$63=1,"",IF(D332="","",SUM(H332:O332))))</f>
        <v/>
      </c>
      <c r="H332" s="423" t="str">
        <f>IF('Calc (ex-animal)'!$F$63=1,"",IF(D332="","",(((VLOOKUP($C$331,'Calc (ex-animal)'!$D$63:$Y$67,6,FALSE)-VLOOKUP($C$331,'Calc (ex-animal)'!$D$63:$Y$67,17,FALSE))*F332/100))*VLOOKUP($C$331,'Calc (ex-animal)'!$D$63:$Y$67,7,FALSE)/100*(1-VLOOKUP(D332,'DB technologies'!$N$154:$Y$166,9,FALSE)/100)))</f>
        <v/>
      </c>
      <c r="I332" s="423" t="str">
        <f>IF(D332="","",((VLOOKUP(D332,'DB technologies'!$N$154:$Y$166,2,FALSE)*VLOOKUP($C$331,'DB animal categories'!$C$117:$AC$126,27,FALSE)*E332/1000)/VLOOKUP($C$331,'DB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'!$S$6/100*(1-VLOOKUP(D332,'DB technologies'!$N$154:$Y$166,9,FALSE)/100)))</f>
        <v/>
      </c>
      <c r="J332" s="434" t="str">
        <f>IF(D332="","",((VLOOKUP(D332,'DB technologies'!$N$154:$Y$166,3,FALSE)*VLOOKUP($C$331,'DB animal categories'!$C$117:$AC$126,27,FALSE)*E332/1000)/VLOOKUP($C$331,'DB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'!$S$7/100*(1-VLOOKUP(D332,'DB technologies'!$N$154:$Y$166,9,FALSE)/100)))</f>
        <v/>
      </c>
      <c r="K332" s="434" t="str">
        <f>IF(D332="","",((VLOOKUP(D332,'DB technologies'!$N$154:$Y$166,4,FALSE)*E332*'DB additional information '!$S$8/100*(1-VLOOKUP(D332,'DB technologies'!$N$154:$Y$166,9,FALSE)/100))/VLOOKUP($C$331,'DB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L332" s="423" t="str">
        <f>IF('Calc (ex-animal)'!$F$63=1,"",IF(D332="","",(((VLOOKUP($C$331,'Calc (ex-animal)'!$D$63:$Y$67,6,FALSE)-VLOOKUP($C$331,'Calc (ex-animal)'!$D$63:$Y$67,17,FALSE))*F332/100))*(1-VLOOKUP($C$331,'Calc (ex-animal)'!$D$63:$Y$67,7,FALSE)/100)*(1-VLOOKUP(D332,'DB technologies'!$N$154:$V$166,8,FALSE)/100)))</f>
        <v/>
      </c>
      <c r="M332" s="434" t="str">
        <f>IF(D332="","",((VLOOKUP(D332,'DB technologies'!$N$154:$Y$166,2,FALSE)*VLOOKUP($C$331,'DB animal categories'!$C$117:$AC$126,27,FALSE)*E332/1000)/VLOOKUP($C$331,'DB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'!$S$6/100)*(1-VLOOKUP(D332,'DB technologies'!$N$154:$Y$166,9,FALSE)/100))</f>
        <v/>
      </c>
      <c r="N332" s="434" t="str">
        <f>IF(D332="","",((VLOOKUP(D332,'DB technologies'!$N$154:$Y$166,3,FALSE)*VLOOKUP($C$331,'DB animal categories'!$C$117:$AC$126,27,FALSE)*E332/1000)/VLOOKUP($C$331,'DB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'!$S$7/100)*(1-VLOOKUP(D332,'DB technologies'!$N$154:$Y$166,9,FALSE)/100))</f>
        <v/>
      </c>
      <c r="O332" s="423" t="str">
        <f>IF(D332="","",((VLOOKUP(D332,'DB technologies'!$N$154:$Y$166,4,FALSE)*E332*(1-'DB additional information '!$S$8/100)*(1-VLOOKUP(D332,'DB technologies'!$N$154:$Y$166,8,FALSE)/100))/VLOOKUP($C$331,'DB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P332" s="438" t="str">
        <f>IF(G332=0,0,IF(E332="","",IF(F332="","",IF($C$331=0,"",IF(D332="","",SUM(H332:K332)/G332*100)))))</f>
        <v/>
      </c>
      <c r="Q332" s="416" t="str">
        <f>IF(D332="","",(VLOOKUP(D332,'DB technologies'!$N$154:$Y$166,2,FALSE)*'DB additional information '!$S$6/100*'DB additional information '!$T$6*VLOOKUP($C$331,'DB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R332" s="416" t="str">
        <f>IF(D332="","",(VLOOKUP(D332,'DB technologies'!$N$154:$Y$166,3,FALSE)*'DB additional information '!$S$7/100*'DB additional information '!$T$7*VLOOKUP($C$331,'DB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S332" s="491" t="str">
        <f>IF(D332="","",(VLOOKUP(D332,'DB technologies'!$N$154:$Y$166,4,FALSE)*('DB additional information '!$S$8/100*'DB additional information '!$T$8*E332/1000/1000)))</f>
        <v/>
      </c>
      <c r="T332" s="264" t="str">
        <f>IF($C$331=0,"",IF('Calc (ex-animal)'!$F$63=1,"",IF(D332="","",((VLOOKUP($C$331,'Calc (ex-animal)'!$D$63:$Y$67,10,FALSE)-VLOOKUP($C$331,'Calc (ex-animal)'!$D$63:$Y$67,18,FALSE))*F332/100+Q332+R332+S332)-AC332-AD332-AE332)))</f>
        <v/>
      </c>
      <c r="U332" s="422" t="str">
        <f>IF(D332="","",(VLOOKUP(D332,'DB technologies'!$N$154:$Y$166,2,FALSE)*'DB additional information '!$S$6/100*'DB additional information '!$U$6*VLOOKUP($C$331,'DB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V332" s="418" t="str">
        <f>IF(D332="","",(VLOOKUP(D332,'DB technologies'!$N$154:$Y$166,3,FALSE)*'DB additional information '!$S$7/100*'DB additional information '!$U$7*VLOOKUP($C$331,'DB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W332" s="417" t="str">
        <f>IF(D332="","",(VLOOKUP(D332,'DB technologies'!$N$154:$Y$166,4,FALSE)*('DB additional information '!$S$8/100*'DB additional information '!$U$8*E332/1000/1000)))</f>
        <v/>
      </c>
      <c r="X332" s="261" t="str">
        <f>IF($C$331=0,"",IF('Calc (ex-animal)'!$F$63=1,"",IF(D332="","",((VLOOKUP($C$331,'Calc (ex-animal)'!$D$63:$Y$67,13,FALSE)-VLOOKUP($C$331,'Calc (ex-animal)'!$D$63:$Y$67,19,FALSE))*F332/100+U332+V332+W332))))</f>
        <v/>
      </c>
      <c r="Y332" s="418" t="str">
        <f>IF(D332="","",(VLOOKUP(D332,'DB technologies'!$N$154:$Y$166,2,FALSE)*'DB additional information '!$S$6/100*'DB additional information '!$V$6*VLOOKUP($C$331,'DB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Z332" s="418" t="str">
        <f>IF(D332="","",(VLOOKUP(D332,'DB technologies'!$N$154:$Y$166,3,FALSE)*'DB additional information '!$S$7/100*'DB additional information '!$V$7*VLOOKUP($C$331,'DB animal categories'!$C$117:$AC$126,27,FALSE)*E332/1000/1000)/VLOOKUP($C$331,'DB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AA332" s="418" t="str">
        <f>IF(D332="","",(VLOOKUP(D332,'DB technologies'!$N$154:$Y$166,4,FALSE)*('DB additional information '!$S$8/100*'DB additional information '!$V$8*E332/1000/1000)))</f>
        <v/>
      </c>
      <c r="AB332" s="261" t="str">
        <f>IF($C$331=0,"",IF('Calc (ex-animal)'!$F$63=1,"",IF(D332="","",((VLOOKUP($C$331,'Calc (ex-animal)'!$D$63:$Y$67,16,FALSE)-VLOOKUP($C$331,'Calc (ex-animal)'!$D$63:$Y$67,20,FALSE))*F332/100+Y332+Z332+AA332))))</f>
        <v/>
      </c>
      <c r="AC332" s="261" t="str">
        <f>IF($C$331=0,"",IF('Calc (ex-animal)'!$F$63=1,"",IF(D332="","",VLOOKUP($C$331,'Calc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categories'!$C$117:$AC$126,26,FALSE)/24)*F332/100*VLOOKUP(D332,'DB technologies'!$N$154:$R$166,5,FALSE)/100)))</f>
        <v/>
      </c>
      <c r="AD332" s="261" t="str">
        <f>IF($C$331=0,"",IF('Calc (ex-animal)'!$F$63=1,"",IF(D332="","",VLOOKUP($C$331,'Calc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categories'!$C$117:$AC$126,26,FALSE)/24)*F332/100*VLOOKUP(D332,'DB technologies'!$N$154:$Y$166,6,FALSE)/100)))</f>
        <v/>
      </c>
      <c r="AE332" s="262" t="str">
        <f>IF($C$331=0,"",IF('Calc (ex-animal)'!$F$63=1,"",IF(D332="","",VLOOKUP($C$331,'Calc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categories'!$C$117:$AC$126,26,FALSE)/24)*F332/100*VLOOKUP(D332,'DB technologies'!$N$154:$Y$166,7,FALSE)/100)))</f>
        <v/>
      </c>
      <c r="AI332" s="181" t="str">
        <f>IF(D332="","",VLOOKUP(D332,'DB technologies'!$N$154:$Y$166,10,FALSE))</f>
        <v/>
      </c>
      <c r="AJ332" s="449" t="e">
        <f>VLOOKUP($C$331,'DB animal categories'!$C$117:$AN$126,27,FALSE)-VLOOKUP($C$331,'DB animal categories'!$C$117:$AN$126,26,FALSE)*VLOOKUP($C$331,'DB animal categories'!$C$117:$AN$126,25,FALSE)/24</f>
        <v>#N/A</v>
      </c>
      <c r="AK332" s="442" t="str">
        <f>IF(AI332="","",AL332+AM332)</f>
        <v/>
      </c>
      <c r="AL332" s="442" t="str">
        <f>IF(D332="","",IF(AI332=2,(('Calc (ex-animal)'!$G$67*'DB additional information '!$K$13/100*(1-VLOOKUP(D332,'DB technologies'!$N$154:$Y$166,9,FALSE)/100)*'Calc (ex-housing, ex-storage)'!F332/100+'Calc (ex-animal)'!$H$67*'DB additional information '!$L$13/100*(1-VLOOKUP(D332,'DB technologies'!$N$154:$Y$166,9,FALSE)/100)*'Calc (ex-housing, ex-storage)'!F332/100))/VLOOKUP($C$331,'DB animal categories'!$C$117:$AC$126,27,FALSE)*AJ332+I332+J332+K332,IF(AI332=1,('Calc (ex-animal)'!$H$67*'DB additional information '!$L$13/100*(1-VLOOKUP(D332,'DB technologies'!$N$154:$Y$166,9,FALSE)/100)*'Calc (ex-housing, ex-storage)'!F332/100)/VLOOKUP($C$331,'DB animal categories'!$C$117:$AC$126,27,FALSE)*AJ332,IF(AI332=4,('Calc (ex-animal)'!$G$67*'DB additional information '!$K$13/100+'Calc (ex-animal)'!$H$67*'DB additional information '!$L$13/100)*(1-VLOOKUP(D332,'DB technologies'!$N$154:$Y$166,9,FALSE)/100)*'Calc (ex-housing, ex-storage)'!F332/100*VLOOKUP(D332,'DB technologies'!$N$154:$Y$166,11,FALSE)/100/VLOOKUP($C$331,'DB animal categories'!$C$117:$AC$126,27,FALSE)*AJ332,0))))</f>
        <v/>
      </c>
      <c r="AM332" s="442" t="str">
        <f>IF(D332="","",IF(AI332=2,(('Calc (ex-animal)'!$G$67*(1-'DB additional information '!$K$13/100)*(1-VLOOKUP(D332,'DB technologies'!$N$154:$Y$166,8,FALSE)/100)*'Calc (ex-housing, ex-storage)'!F332/100+'Calc (ex-animal)'!$H$67*(1-'DB additional information '!$L$13/100)*(1-VLOOKUP(D332,'DB technologies'!$N$154:$Y$166,8,FALSE)/100)*'Calc (ex-housing, ex-storage)'!F332/100))/VLOOKUP($C$331,'DB animal categories'!$C$117:$AC$126,27,FALSE)*AJ332+M332+N332+O332,IF(AI332=1,('Calc (ex-animal)'!$H$67*(1-'DB additional information '!$L$13/100)*(1-VLOOKUP(D332,'DB technologies'!$N$154:$Y$166,8,FALSE)/100)*'Calc (ex-housing, ex-storage)'!F332/100)/VLOOKUP($C$331,'DB animal categories'!$C$117:$AC$126,27,FALSE)*AJ332,IF(AI332=4,('Calc (ex-animal)'!$G$67*(1-'DB additional information '!$K$13/100)+'Calc (ex-animal)'!$H$67*(1-'DB additional information '!$L$13/100))*(1-VLOOKUP(D332,'DB technologies'!$N$154:$Y$166,8,FALSE)/100)*'Calc (ex-housing, ex-storage)'!F332/100*VLOOKUP(D332,'DB technologies'!$N$154:$Y$166,11,FALSE)/100/VLOOKUP($C$331,'DB animal categories'!$C$117:$AC$126,27,FALSE)*AJ332,0))))</f>
        <v/>
      </c>
      <c r="AN332" s="442" t="str">
        <f>IF(AI332="","",IF(AL332=0,0,AL332/AK332*100))</f>
        <v/>
      </c>
      <c r="AO332" s="182" t="str">
        <f>IF(D332="","",IF(AI332=2,(('Calc (ex-animal)'!$L$67*'Calc (ex-housing, ex-storage)'!F332/100+'Calc (ex-animal)'!$K$67*'Calc (ex-housing, ex-storage)'!F332/100))/VLOOKUP($C$331,'DB animal categories'!$C$117:$AC$126,27,FALSE)*AJ332+Q332+R332+S332-AC332,IF(AI332=1,('Calc (ex-animal)'!$L$67*'Calc (ex-housing, ex-storage)'!F332/100)/VLOOKUP($C$331,'DB animal categories'!$C$117:$AC$126,27,FALSE)*AJ332-'Calc (ex-housing, ex-storage)'!AC332,IF(AI332=4,('Calc (ex-animal)'!$L$67+'Calc (ex-animal)'!$K$67)*'Calc (ex-housing, ex-storage)'!F332/100*VLOOKUP(D332,'DB technologies'!$N$154:$Y$166,11,FALSE)/100/VLOOKUP($C$331,'DB animal categories'!$C$117:$AC$126,27,FALSE)*AJ332-AC332*VLOOKUP(D332,'DB technologies'!$N$154:$Y$166,11,FALSE)/100,0))))</f>
        <v/>
      </c>
      <c r="AP332" s="182" t="str">
        <f>IF(D332="","",IF(AO332&lt;-0.01,0,IF(AI332=2,(('Calc (ex-animal)'!$L$67*'Calc (ex-housing, ex-storage)'!F332/100+'Calc (ex-animal)'!$K$67*'Calc (ex-housing, ex-storage)'!F332/100))/VLOOKUP($C$331,'DB animal categories'!$C$117:$AC$126,27,FALSE)*AJ332+Q332+R332+S332-AC332,IF(AI332=1,('Calc (ex-animal)'!$L$67*'Calc (ex-housing, ex-storage)'!F332/100)/VLOOKUP($C$331,'DB animal categories'!$C$117:$AC$126,27,FALSE)*AJ332-'Calc (ex-housing, ex-storage)'!AC332,IF(AI332=4,('Calc (ex-animal)'!$L$67+'Calc (ex-animal)'!$K$67)*'Calc (ex-housing, ex-storage)'!F332/100*VLOOKUP(D332,'DB technologies'!$N$154:$Y$166,11,FALSE)/100/VLOOKUP($C$331,'DB animal categories'!$C$117:$AC$126,27,FALSE)*AJ332-AC332*VLOOKUP(D332,'DB technologies'!$N$154:$Y$166,11,FALSE)/100,0)))))</f>
        <v/>
      </c>
      <c r="AQ332" s="182" t="str">
        <f>IF(D332="","",IF(AI332=2,('Calc (ex-animal)'!$O$67*'Calc (ex-housing, ex-storage)'!F332/100+'Calc (ex-animal)'!$N$67*'Calc (ex-housing, ex-storage)'!F332/100)/VLOOKUP($C$331,'DB animal categories'!$C$117:$AC$126,27,FALSE)*AJ332+U332+V332+W332,IF(AI332=1,'Calc (ex-animal)'!$O$67*'Calc (ex-housing, ex-storage)'!F332/100/VLOOKUP($C$331,'DB animal categories'!$C$117:$AC$126,27,FALSE)*AJ332,IF(AI332=4,('Calc (ex-animal)'!$O$67+'Calc (ex-animal)'!$N$67)*'Calc (ex-housing, ex-storage)'!F332/100*VLOOKUP(D332,'DB technologies'!$N$154:$Y$166,11,FALSE)/100/VLOOKUP($C$331,'DB animal categories'!$C$117:$AC$126,27,FALSE)*AJ332,0))))</f>
        <v/>
      </c>
      <c r="AR332" s="182" t="str">
        <f>IF(D332="","",IF(AI332=2,('Calc (ex-animal)'!$R$67*'Calc (ex-housing, ex-storage)'!F332/100+'Calc (ex-animal)'!$Q$67*'Calc (ex-housing, ex-storage)'!F332/100)/VLOOKUP($C$331,'DB animal categories'!$C$117:$AC$126,27,FALSE)*AJ332+Y332+Z332+AA332,IF(AI332=1,'Calc (ex-animal)'!$R$67*'Calc (ex-housing, ex-storage)'!F332/100/VLOOKUP($C$331,'DB animal categories'!$C$117:$AC$126,27,FALSE)*AJ332,IF(AI332=4,('Calc (ex-animal)'!$R$67+'Calc (ex-animal)'!$Q$67)*'Calc (ex-housing, ex-storage)'!F332/100*VLOOKUP(D332,'DB technologies'!$N$154:$Y$166,11,FALSE)/100/VLOOKUP($C$331,'DB animal categories'!$C$117:$AC$126,27,FALSE)*AJ332,0))))</f>
        <v/>
      </c>
      <c r="AS332" s="181" t="str">
        <f>IF(D332="","",VLOOKUP(D332,'DB technologies'!$N$154:$Y$166,10,FALSE))</f>
        <v/>
      </c>
      <c r="AT332" s="442" t="str">
        <f>IF(AS332="","",AU332+AV332)</f>
        <v/>
      </c>
      <c r="AU332" s="442" t="str">
        <f>IF(D332="","",IF(AS332=2,0,IF(AS332=1,'Calc (ex-animal)'!$G$67*'DB additional information '!$K$13/100*(1-VLOOKUP(D332,'DB technologies'!$N$154:$Y$166,8,FALSE)/100)*'Calc (ex-housing, ex-storage)'!F332/100/VLOOKUP($C$331,'DB animal categories'!$C$117:$AC$126,27,FALSE)*AJ332+I332+J332+K332,IF(AS332=5,(('Calc (ex-animal)'!$G$67*'DB additional information '!$K$13/100+'Calc (ex-animal)'!$H$67*'DB additional information '!$L$13/100))*(1-VLOOKUP(D332,'DB technologies'!$N$154:$Y$166,9,FALSE)/100)*'Calc (ex-housing, ex-storage)'!F332/100/VLOOKUP($C$331,'DB animal categories'!$C$117:$AC$126,27,FALSE)*AJ332+I332+J332+K332,IF(AS332=3,('Calc (ex-animal)'!$G$67*'DB additional information '!$K$13/100+'Calc (ex-animal)'!$H$67*'DB additional information '!$L$13/100)*(1-VLOOKUP(D332,'DB technologies'!$N$154:$Y$166,9,FALSE)/100)*'Calc (ex-housing, ex-storage)'!F332/100/VLOOKUP($C$331,'DB animal categories'!$C$117:$AC$126,27,FALSE)*AJ332+I332+J332+K332,IF(AS332=4,('Calc (ex-animal)'!$G$67*'DB additional information '!$K$13/100+'Calc (ex-animal)'!$H$67*'DB additional information '!$L$13/100)*(1-VLOOKUP(D332,'DB technologies'!$N$154:$Y$166,9,FALSE)/100)*'Calc (ex-housing, ex-storage)'!F332/100*VLOOKUP(D332,'DB technologies'!$N$154:$Y$166,12,FALSE)/100/VLOOKUP($C$331,'DB animal categories'!$C$117:$AC$126,27,FALSE)*AJ332+I332+J332+K332,0))))))</f>
        <v/>
      </c>
      <c r="AV332" s="442" t="str">
        <f>IF(D332="","",IF(AS332=2,0,IF(AS332=1,'Calc (ex-animal)'!$G$67*(1-'DB additional information '!$K$13/100)*(1-VLOOKUP(D332,'DB technologies'!$N$154:$Y$166,8,FALSE)/100)*'Calc (ex-housing, ex-storage)'!F332/100/VLOOKUP($C$331,'DB animal categories'!$C$117:$AC$126,27,FALSE)*AJ332+M332+N332+O332,IF(AS332=5,('Calc (ex-animal)'!$G$67*(1-'DB additional information '!$K$13/100)+'Calc (ex-animal)'!$H$67*(1-'DB additional information '!$L$13/100))*(1-VLOOKUP(D332,'DB technologies'!$N$154:$Y$166,8,FALSE)/100)*'Calc (ex-housing, ex-storage)'!F332/100/VLOOKUP($C$331,'DB animal categories'!$C$117:$AC$126,27,FALSE)*AJ332+M332+N332+O332,IF(AS332=3,('Calc (ex-animal)'!$G$67*(1-'DB additional information '!$K$13/100)+'Calc (ex-animal)'!$H$67*(1-'DB additional information '!$L$13/100))*(1-VLOOKUP(D332,'DB technologies'!$N$154:$Y$166,8,FALSE)/100)*'Calc (ex-housing, ex-storage)'!F332/100/VLOOKUP($C$331,'DB animal categories'!$C$117:$AC$126,27,FALSE)*AJ332+M332+N332+O332,IF(AS332=4,('Calc (ex-animal)'!$G$67*(1-'DB additional information '!$K$13/100)+'Calc (ex-animal)'!$H$67*(1-'DB additional information '!$L$13/100))*(1-VLOOKUP(D332,'DB technologies'!$N$154:$Y$166,8,FALSE)/100)*'Calc (ex-housing, ex-storage)'!F332/100*VLOOKUP(D332,'DB technologies'!$N$154:$Y$166,12,FALSE)/100/VLOOKUP($C$331,'DB animal categories'!$C$117:$AC$126,27,FALSE)*AJ332+M332+N332+O332,0))))))</f>
        <v/>
      </c>
      <c r="AW332" s="442" t="str">
        <f>IF(AS332="","",IF(AU332=0,0,AU332/AT332*100))</f>
        <v/>
      </c>
      <c r="AX332" s="182" t="str">
        <f>IF(D332="","",IF(AS332=2,0,IF(AS332=1,'Calc (ex-animal)'!$K$67*'Calc (ex-housing, ex-storage)'!F332/100/VLOOKUP($C$331,'DB animal categories'!$C$117:$AC$126,27,FALSE)*AJ332+Q332+R332+S332,IF(AS332=5,('Calc (ex-animal)'!$K$67+'Calc (ex-animal)'!$L$67)*'Calc (ex-housing, ex-storage)'!F332/100/VLOOKUP($C$331,'DB animal categories'!$C$117:$AC$126,27,FALSE)*AJ332+Q332+R332+S332-'Calc (ex-housing, ex-storage)'!AC332,IF(AS332=3,('Calc (ex-animal)'!$K$67+'Calc (ex-animal)'!$L$67)*'Calc (ex-housing, ex-storage)'!F332/100/VLOOKUP($C$331,'DB animal categories'!$C$117:$AC$126,27,FALSE)*AJ332+Q332+R332+S332-'Calc (ex-housing, ex-storage)'!AC332-AD332-AE332,IF(AI332=4,('Calc (ex-animal)'!$K$67+'Calc (ex-animal)'!$L$67)*'Calc (ex-housing, ex-storage)'!F332/100*VLOOKUP(D332,'DB technologies'!$N$154:$Y$166,12,FALSE)/100/VLOOKUP($C$331,'DB animal categories'!$C$117:$AC$126,27,FALSE)*AJ332+Q332+R332+S332-(VLOOKUP(D332,'DB technologies'!$N$154:$Y$166,12,FALSE)/100*AC332)-AD332-AE332,0))))))</f>
        <v/>
      </c>
      <c r="AY332" s="182" t="str">
        <f>IF(D332="","",IF(AS332=2,0,IF(AS332=1,'Calc (ex-animal)'!$N$67*'Calc (ex-housing, ex-storage)'!F332/100/VLOOKUP($C$331,'DB animal categories'!$C$117:$AC$126,27,FALSE)*AJ332+U332+V332+W332,IF(AS332=5,('Calc (ex-animal)'!$N$67+'Calc (ex-animal)'!$O$67)*'Calc (ex-housing, ex-storage)'!F332/100/VLOOKUP($C$331,'DB animal categories'!$C$117:$AC$126,27,FALSE)*AJ332+U332+V332+W332,IF(AS332=3,('Calc (ex-animal)'!$N$67+'Calc (ex-animal)'!$O$67)*'Calc (ex-housing, ex-storage)'!F332/100/VLOOKUP($C$331,'DB animal categories'!$C$117:$AC$126,27,FALSE)*AJ332+U332+V332+W332,IF(AS332=4,('Calc (ex-animal)'!$N$67+'Calc (ex-animal)'!$O$67)*'Calc (ex-housing, ex-storage)'!F332/100*VLOOKUP(D332,'DB technologies'!$N$154:$Y$166,12,FALSE)/100/VLOOKUP($C$331,'DB animal categories'!$C$117:$AC$126,27,FALSE)*AJ332+U332+V332+W332,0))))))</f>
        <v/>
      </c>
      <c r="AZ332" s="182" t="str">
        <f>IF(D332="","",IF(AS332=2,0,IF(AS332=1,'Calc (ex-animal)'!$Q$67*'Calc (ex-housing, ex-storage)'!F332/100/VLOOKUP($C$331,'DB animal categories'!$C$117:$AC$126,27,FALSE)*AJ332+Y332+Z332+AA332,IF(AS332=5,('Calc (ex-animal)'!$Q$67+'Calc (ex-animal)'!$R$67)*'Calc (ex-housing, ex-storage)'!F332/100/VLOOKUP($C$331,'DB animal categories'!$C$117:$AC$126,27,FALSE)*AJ332+Y332+Z332+AA332,IF(AS332=3,('Calc (ex-animal)'!$Q$67+'Calc (ex-animal)'!$R$67)*'Calc (ex-housing, ex-storage)'!F332/100/VLOOKUP($C$331,'DB animal categories'!$C$117:$AC$126,27,FALSE)*AJ332+Y332+Z332+AA332,IF(AS332=4,('Calc (ex-animal)'!$Q$67+'Calc (ex-animal)'!$R$67)*'Calc (ex-housing, ex-storage)'!F332/100*VLOOKUP(D332,'DB technologies'!$N$154:$Y$166,12,FALSE)/100/VLOOKUP($C$331,'DB animal categories'!$C$117:$AC$126,27,FALSE)*AJ332+Y332+Z332+AA332,0))))))</f>
        <v/>
      </c>
      <c r="BA332" s="506"/>
      <c r="BB332" s="506"/>
      <c r="BC332" s="506"/>
    </row>
    <row r="333" spans="1:55" x14ac:dyDescent="0.2">
      <c r="A333" s="695"/>
      <c r="B333" s="695"/>
      <c r="C333" s="251"/>
      <c r="D333" s="1357"/>
      <c r="E333" s="1358"/>
      <c r="F333" s="480" t="str">
        <f>IF('Calc (ex-animal)'!$F$63=1,"",IF($C$331=0,"",IF(D333="","",E333/'Calc (ex-animal)'!$E$67*100)))</f>
        <v/>
      </c>
      <c r="G333" s="485" t="str">
        <f>IF($C$331=0,"",IF('Calc (ex-animal)'!$F$63=1,"",IF(D333="","",SUM(H333:O333))))</f>
        <v/>
      </c>
      <c r="H333" s="423" t="str">
        <f>IF('Calc (ex-animal)'!$F$63=1,"",IF(D333="","",(((VLOOKUP($C$331,'Calc (ex-animal)'!$D$63:$Y$67,6,FALSE)-VLOOKUP($C$331,'Calc (ex-animal)'!$D$63:$Y$67,17,FALSE))*F333/100))*VLOOKUP($C$331,'Calc (ex-animal)'!$D$63:$Y$67,7,FALSE)/100*(1-VLOOKUP(D333,'DB technologies'!$N$154:$Y$166,9,FALSE)/100)))</f>
        <v/>
      </c>
      <c r="I333" s="423" t="str">
        <f>IF(D333="","",((VLOOKUP(D333,'DB technologies'!$N$154:$Y$166,2,FALSE)*VLOOKUP($C$331,'DB animal categories'!$C$117:$AC$126,27,FALSE)*E333/1000)/VLOOKUP($C$331,'DB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'!$S$6/100*(1-VLOOKUP(D333,'DB technologies'!$N$154:$Y$166,9,FALSE)/100)))</f>
        <v/>
      </c>
      <c r="J333" s="434" t="str">
        <f>IF(D333="","",((VLOOKUP(D333,'DB technologies'!$N$154:$Y$166,3,FALSE)*VLOOKUP($C$331,'DB animal categories'!$C$117:$AC$126,27,FALSE)*E333/1000)/VLOOKUP($C$331,'DB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'!$S$7/100*(1-VLOOKUP(D333,'DB technologies'!$N$154:$Y$166,9,FALSE)/100)))</f>
        <v/>
      </c>
      <c r="K333" s="434" t="str">
        <f>IF(D333="","",((VLOOKUP(D333,'DB technologies'!$N$154:$Y$166,4,FALSE)*E333*'DB additional information '!$S$8/100*(1-VLOOKUP(D333,'DB technologies'!$N$154:$Y$166,9,FALSE)/100))/VLOOKUP($C$331,'DB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L333" s="423" t="str">
        <f>IF('Calc (ex-animal)'!$F$63=1,"",IF(D333="","",(((VLOOKUP($C$331,'Calc (ex-animal)'!$D$63:$Y$67,6,FALSE)-VLOOKUP($C$331,'Calc (ex-animal)'!$D$63:$Y$67,17,FALSE))*F333/100))*(1-VLOOKUP($C$331,'Calc (ex-animal)'!$D$63:$Y$67,7,FALSE)/100)*(1-VLOOKUP(D333,'DB technologies'!$N$154:$V$166,8,FALSE)/100)))</f>
        <v/>
      </c>
      <c r="M333" s="434" t="str">
        <f>IF(D333="","",((VLOOKUP(D333,'DB technologies'!$N$154:$Y$166,2,FALSE)*VLOOKUP($C$331,'DB animal categories'!$C$117:$AC$126,27,FALSE)*E333/1000)/VLOOKUP($C$331,'DB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'!$S$6/100)*(1-VLOOKUP(D333,'DB technologies'!$N$154:$Y$166,9,FALSE)/100))</f>
        <v/>
      </c>
      <c r="N333" s="434" t="str">
        <f>IF(D333="","",((VLOOKUP(D333,'DB technologies'!$N$154:$Y$166,3,FALSE)*VLOOKUP($C$331,'DB animal categories'!$C$117:$AC$126,27,FALSE)*E333/1000)/VLOOKUP($C$331,'DB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'!$S$7/100)*(1-VLOOKUP(D333,'DB technologies'!$N$154:$Y$166,9,FALSE)/100))</f>
        <v/>
      </c>
      <c r="O333" s="423" t="str">
        <f>IF(D333="","",((VLOOKUP(D333,'DB technologies'!$N$154:$Y$166,4,FALSE)*E333*(1-'DB additional information '!$S$8/100)*(1-VLOOKUP(D333,'DB technologies'!$N$154:$Y$166,8,FALSE)/100))/VLOOKUP($C$331,'DB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P333" s="438" t="str">
        <f>IF(G333=0,0,IF(E333="","",IF(F333="","",IF($C$331=0,"",IF(D333="","",SUM(H333:K333)/G333*100)))))</f>
        <v/>
      </c>
      <c r="Q333" s="416" t="str">
        <f>IF(D333="","",(VLOOKUP(D333,'DB technologies'!$N$154:$Y$166,2,FALSE)*'DB additional information '!$S$6/100*'DB additional information '!$T$6*VLOOKUP($C$331,'DB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R333" s="416" t="str">
        <f>IF(D333="","",(VLOOKUP(D333,'DB technologies'!$N$154:$Y$166,3,FALSE)*'DB additional information '!$S$7/100*'DB additional information '!$T$7*VLOOKUP($C$331,'DB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S333" s="491" t="str">
        <f>IF(D333="","",(VLOOKUP(D333,'DB technologies'!$N$154:$Y$166,4,FALSE)*('DB additional information '!$S$8/100*'DB additional information '!$T$8*E333/1000/1000)))</f>
        <v/>
      </c>
      <c r="T333" s="264" t="str">
        <f>IF($C$331=0,"",IF('Calc (ex-animal)'!$F$63=1,"",IF(D333="","",((VLOOKUP($C$331,'Calc (ex-animal)'!$D$63:$Y$67,10,FALSE)-VLOOKUP($C$331,'Calc (ex-animal)'!$D$63:$Y$67,18,FALSE))*F333/100+Q333+R333+S333)-AC333-AD333-AE333)))</f>
        <v/>
      </c>
      <c r="U333" s="422" t="str">
        <f>IF(D333="","",(VLOOKUP(D333,'DB technologies'!$N$154:$Y$166,2,FALSE)*'DB additional information '!$S$6/100*'DB additional information '!$U$6*VLOOKUP($C$331,'DB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V333" s="418" t="str">
        <f>IF(D333="","",(VLOOKUP(D333,'DB technologies'!$N$154:$Y$166,3,FALSE)*'DB additional information '!$S$7/100*'DB additional information '!$U$7*VLOOKUP($C$331,'DB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W333" s="417" t="str">
        <f>IF(D333="","",(VLOOKUP(D333,'DB technologies'!$N$154:$Y$166,4,FALSE)*('DB additional information '!$S$8/100*'DB additional information '!$U$8*E333/1000/1000)))</f>
        <v/>
      </c>
      <c r="X333" s="261" t="str">
        <f>IF($C$331=0,"",IF('Calc (ex-animal)'!$F$63=1,"",IF(D333="","",((VLOOKUP($C$331,'Calc (ex-animal)'!$D$63:$Y$67,13,FALSE)-VLOOKUP($C$331,'Calc (ex-animal)'!$D$63:$Y$67,19,FALSE))*F333/100+U333+V333+W333))))</f>
        <v/>
      </c>
      <c r="Y333" s="418" t="str">
        <f>IF(D333="","",(VLOOKUP(D333,'DB technologies'!$N$154:$Y$166,2,FALSE)*'DB additional information '!$S$6/100*'DB additional information '!$V$6*VLOOKUP($C$331,'DB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Z333" s="418" t="str">
        <f>IF(D333="","",(VLOOKUP(D333,'DB technologies'!$N$154:$Y$166,3,FALSE)*'DB additional information '!$S$7/100*'DB additional information '!$V$7*VLOOKUP($C$331,'DB animal categories'!$C$117:$AC$126,27,FALSE)*E333/1000/1000)/VLOOKUP($C$331,'DB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AA333" s="418" t="str">
        <f>IF(D333="","",(VLOOKUP(D333,'DB technologies'!$N$154:$Y$166,4,FALSE)*('DB additional information '!$S$8/100*'DB additional information '!$V$8*E333/1000/1000)))</f>
        <v/>
      </c>
      <c r="AB333" s="261" t="str">
        <f>IF($C$331=0,"",IF('Calc (ex-animal)'!$F$63=1,"",IF(D333="","",((VLOOKUP($C$331,'Calc (ex-animal)'!$D$63:$Y$67,16,FALSE)-VLOOKUP($C$331,'Calc (ex-animal)'!$D$63:$Y$67,20,FALSE))*F333/100+Y333+Z333+AA333))))</f>
        <v/>
      </c>
      <c r="AC333" s="261" t="str">
        <f>IF($C$331=0,"",IF('Calc (ex-animal)'!$F$63=1,"",IF(D333="","",VLOOKUP($C$331,'Calc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categories'!$C$117:$AC$126,26,FALSE)/24)*F333/100*VLOOKUP(D333,'DB technologies'!$N$154:$R$166,5,FALSE)/100)))</f>
        <v/>
      </c>
      <c r="AD333" s="261" t="str">
        <f>IF($C$331=0,"",IF('Calc (ex-animal)'!$F$63=1,"",IF(D333="","",VLOOKUP($C$331,'Calc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categories'!$C$117:$AC$126,26,FALSE)/24)*F333/100*VLOOKUP(D333,'DB technologies'!$N$154:$Y$166,6,FALSE)/100)))</f>
        <v/>
      </c>
      <c r="AE333" s="262" t="str">
        <f>IF($C$331=0,"",IF('Calc (ex-animal)'!$F$63=1,"",IF(D333="","",VLOOKUP($C$331,'Calc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categories'!$C$117:$AC$126,26,FALSE)/24)*F333/100*VLOOKUP(D333,'DB technologies'!$N$154:$Y$166,7,FALSE)/100)))</f>
        <v/>
      </c>
      <c r="AI333" s="181" t="str">
        <f>IF(D333="","",VLOOKUP(D333,'DB technologies'!$N$154:$Y$166,10,FALSE))</f>
        <v/>
      </c>
      <c r="AJ333" s="449" t="e">
        <f>VLOOKUP($C$331,'DB animal categories'!$C$117:$AN$126,27,FALSE)-VLOOKUP($C$331,'DB animal categories'!$C$117:$AN$126,26,FALSE)*VLOOKUP($C$331,'DB animal categories'!$C$117:$AN$126,25,FALSE)/24</f>
        <v>#N/A</v>
      </c>
      <c r="AK333" s="442" t="str">
        <f>IF(AI333="","",AL333+AM333)</f>
        <v/>
      </c>
      <c r="AL333" s="442" t="str">
        <f>IF(D333="","",IF(AI333=2,(('Calc (ex-animal)'!$G$67*'DB additional information '!$K$13/100*(1-VLOOKUP(D333,'DB technologies'!$N$154:$Y$166,9,FALSE)/100)*'Calc (ex-housing, ex-storage)'!F333/100+'Calc (ex-animal)'!$H$67*'DB additional information '!$L$13/100*(1-VLOOKUP(D333,'DB technologies'!$N$154:$Y$166,9,FALSE)/100)*'Calc (ex-housing, ex-storage)'!F333/100))/VLOOKUP($C$331,'DB animal categories'!$C$117:$AC$126,27,FALSE)*AJ333+I333+J333+K333,IF(AI333=1,('Calc (ex-animal)'!$H$67*'DB additional information '!$L$13/100*(1-VLOOKUP(D333,'DB technologies'!$N$154:$Y$166,9,FALSE)/100)*'Calc (ex-housing, ex-storage)'!F333/100)/VLOOKUP($C$331,'DB animal categories'!$C$117:$AC$126,27,FALSE)*AJ333,IF(AI333=4,('Calc (ex-animal)'!$G$67*'DB additional information '!$K$13/100+'Calc (ex-animal)'!$H$67*'DB additional information '!$L$13/100)*(1-VLOOKUP(D333,'DB technologies'!$N$154:$Y$166,9,FALSE)/100)*'Calc (ex-housing, ex-storage)'!F333/100*VLOOKUP(D333,'DB technologies'!$N$154:$Y$166,11,FALSE)/100/VLOOKUP($C$331,'DB animal categories'!$C$117:$AC$126,27,FALSE)*AJ333,0))))</f>
        <v/>
      </c>
      <c r="AM333" s="442" t="str">
        <f>IF(D333="","",IF(AI333=2,(('Calc (ex-animal)'!$G$67*(1-'DB additional information '!$K$13/100)*(1-VLOOKUP(D333,'DB technologies'!$N$154:$Y$166,8,FALSE)/100)*'Calc (ex-housing, ex-storage)'!F333/100+'Calc (ex-animal)'!$H$67*(1-'DB additional information '!$L$13/100)*(1-VLOOKUP(D333,'DB technologies'!$N$154:$Y$166,8,FALSE)/100)*'Calc (ex-housing, ex-storage)'!F333/100))/VLOOKUP($C$331,'DB animal categories'!$C$117:$AC$126,27,FALSE)*AJ333+M333+N333+O333,IF(AI333=1,('Calc (ex-animal)'!$H$67*(1-'DB additional information '!$L$13/100)*(1-VLOOKUP(D333,'DB technologies'!$N$154:$Y$166,8,FALSE)/100)*'Calc (ex-housing, ex-storage)'!F333/100)/VLOOKUP($C$331,'DB animal categories'!$C$117:$AC$126,27,FALSE)*AJ333,IF(AI333=4,('Calc (ex-animal)'!$G$67*(1-'DB additional information '!$K$13/100)+'Calc (ex-animal)'!$H$67*(1-'DB additional information '!$L$13/100))*(1-VLOOKUP(D333,'DB technologies'!$N$154:$Y$166,8,FALSE)/100)*'Calc (ex-housing, ex-storage)'!F333/100*VLOOKUP(D333,'DB technologies'!$N$154:$Y$166,11,FALSE)/100/VLOOKUP($C$331,'DB animal categories'!$C$117:$AC$126,27,FALSE)*AJ333,0))))</f>
        <v/>
      </c>
      <c r="AN333" s="442" t="str">
        <f>IF(AI333="","",IF(AL333=0,0,AL333/AK333*100))</f>
        <v/>
      </c>
      <c r="AO333" s="182" t="str">
        <f>IF(D333="","",IF(AI333=2,(('Calc (ex-animal)'!$L$67*'Calc (ex-housing, ex-storage)'!F333/100+'Calc (ex-animal)'!$K$67*'Calc (ex-housing, ex-storage)'!F333/100))/VLOOKUP($C$331,'DB animal categories'!$C$117:$AC$126,27,FALSE)*AJ333+Q333+R333+S333-AC333,IF(AI333=1,('Calc (ex-animal)'!$L$67*'Calc (ex-housing, ex-storage)'!F333/100)/VLOOKUP($C$331,'DB animal categories'!$C$117:$AC$126,27,FALSE)*AJ333-'Calc (ex-housing, ex-storage)'!AC333,IF(AI333=4,('Calc (ex-animal)'!$L$67+'Calc (ex-animal)'!$K$67)*'Calc (ex-housing, ex-storage)'!F333/100*VLOOKUP(D333,'DB technologies'!$N$154:$Y$166,11,FALSE)/100/VLOOKUP($C$331,'DB animal categories'!$C$117:$AC$126,27,FALSE)*AJ333-AC333*VLOOKUP(D333,'DB technologies'!$N$154:$Y$166,11,FALSE)/100,0))))</f>
        <v/>
      </c>
      <c r="AP333" s="182" t="str">
        <f>IF(D333="","",IF(AO333&lt;-0.01,0,IF(AI333=2,(('Calc (ex-animal)'!$L$67*'Calc (ex-housing, ex-storage)'!F333/100+'Calc (ex-animal)'!$K$67*'Calc (ex-housing, ex-storage)'!F333/100))/VLOOKUP($C$331,'DB animal categories'!$C$117:$AC$126,27,FALSE)*AJ333+Q333+R333+S333-AC333,IF(AI333=1,('Calc (ex-animal)'!$L$67*'Calc (ex-housing, ex-storage)'!F333/100)/VLOOKUP($C$331,'DB animal categories'!$C$117:$AC$126,27,FALSE)*AJ333-'Calc (ex-housing, ex-storage)'!AC333,IF(AI333=4,('Calc (ex-animal)'!$L$67+'Calc (ex-animal)'!$K$67)*'Calc (ex-housing, ex-storage)'!F333/100*VLOOKUP(D333,'DB technologies'!$N$154:$Y$166,11,FALSE)/100/VLOOKUP($C$331,'DB animal categories'!$C$117:$AC$126,27,FALSE)*AJ333-AC333*VLOOKUP(D333,'DB technologies'!$N$154:$Y$166,11,FALSE)/100,0)))))</f>
        <v/>
      </c>
      <c r="AQ333" s="182" t="str">
        <f>IF(D333="","",IF(AI333=2,('Calc (ex-animal)'!$O$67*'Calc (ex-housing, ex-storage)'!F333/100+'Calc (ex-animal)'!$N$67*'Calc (ex-housing, ex-storage)'!F333/100)/VLOOKUP($C$331,'DB animal categories'!$C$117:$AC$126,27,FALSE)*AJ333+U333+V333+W333,IF(AI333=1,'Calc (ex-animal)'!$O$67*'Calc (ex-housing, ex-storage)'!F333/100/VLOOKUP($C$331,'DB animal categories'!$C$117:$AC$126,27,FALSE)*AJ333,IF(AI333=4,('Calc (ex-animal)'!$O$67+'Calc (ex-animal)'!$N$67)*'Calc (ex-housing, ex-storage)'!F333/100*VLOOKUP(D333,'DB technologies'!$N$154:$Y$166,11,FALSE)/100/VLOOKUP($C$331,'DB animal categories'!$C$117:$AC$126,27,FALSE)*AJ333,0))))</f>
        <v/>
      </c>
      <c r="AR333" s="182" t="str">
        <f>IF(D333="","",IF(AI333=2,('Calc (ex-animal)'!$R$67*'Calc (ex-housing, ex-storage)'!F333/100+'Calc (ex-animal)'!$Q$67*'Calc (ex-housing, ex-storage)'!F333/100)/VLOOKUP($C$331,'DB animal categories'!$C$117:$AC$126,27,FALSE)*AJ333+Y333+Z333+AA333,IF(AI333=1,'Calc (ex-animal)'!$R$67*'Calc (ex-housing, ex-storage)'!F333/100/VLOOKUP($C$331,'DB animal categories'!$C$117:$AC$126,27,FALSE)*AJ333,IF(AI333=4,('Calc (ex-animal)'!$R$67+'Calc (ex-animal)'!$Q$67)*'Calc (ex-housing, ex-storage)'!F333/100*VLOOKUP(D333,'DB technologies'!$N$154:$Y$166,11,FALSE)/100/VLOOKUP($C$331,'DB animal categories'!$C$117:$AC$126,27,FALSE)*AJ333,0))))</f>
        <v/>
      </c>
      <c r="AS333" s="181" t="str">
        <f>IF(D333="","",VLOOKUP(D333,'DB technologies'!$N$154:$Y$166,10,FALSE))</f>
        <v/>
      </c>
      <c r="AT333" s="442" t="str">
        <f>IF(AS333="","",AU333+AV333)</f>
        <v/>
      </c>
      <c r="AU333" s="442" t="str">
        <f>IF(D333="","",IF(AS333=2,0,IF(AS333=1,'Calc (ex-animal)'!$G$67*'DB additional information '!$K$13/100*(1-VLOOKUP(D333,'DB technologies'!$N$154:$Y$166,8,FALSE)/100)*'Calc (ex-housing, ex-storage)'!F333/100/VLOOKUP($C$331,'DB animal categories'!$C$117:$AC$126,27,FALSE)*AJ333+I333+J333+K333,IF(AS333=5,(('Calc (ex-animal)'!$G$67*'DB additional information '!$K$13/100+'Calc (ex-animal)'!$H$67*'DB additional information '!$L$13/100))*(1-VLOOKUP(D333,'DB technologies'!$N$154:$Y$166,9,FALSE)/100)*'Calc (ex-housing, ex-storage)'!F333/100/VLOOKUP($C$331,'DB animal categories'!$C$117:$AC$126,27,FALSE)*AJ333+I333+J333+K333,IF(AS333=3,('Calc (ex-animal)'!$G$67*'DB additional information '!$K$13/100+'Calc (ex-animal)'!$H$67*'DB additional information '!$L$13/100)*(1-VLOOKUP(D333,'DB technologies'!$N$154:$Y$166,9,FALSE)/100)*'Calc (ex-housing, ex-storage)'!F333/100/VLOOKUP($C$331,'DB animal categories'!$C$117:$AC$126,27,FALSE)*AJ333+I333+J333+K333,IF(AS333=4,('Calc (ex-animal)'!$G$67*'DB additional information '!$K$13/100+'Calc (ex-animal)'!$H$67*'DB additional information '!$L$13/100)*(1-VLOOKUP(D333,'DB technologies'!$N$154:$Y$166,9,FALSE)/100)*'Calc (ex-housing, ex-storage)'!F333/100*VLOOKUP(D333,'DB technologies'!$N$154:$Y$166,12,FALSE)/100/VLOOKUP($C$331,'DB animal categories'!$C$117:$AC$126,27,FALSE)*AJ333+I333+J333+K333,0))))))</f>
        <v/>
      </c>
      <c r="AV333" s="442" t="str">
        <f>IF(D333="","",IF(AS333=2,0,IF(AS333=1,'Calc (ex-animal)'!$G$67*(1-'DB additional information '!$K$13/100)*(1-VLOOKUP(D333,'DB technologies'!$N$154:$Y$166,8,FALSE)/100)*'Calc (ex-housing, ex-storage)'!F333/100/VLOOKUP($C$331,'DB animal categories'!$C$117:$AC$126,27,FALSE)*AJ333+M333+N333+O333,IF(AS333=5,('Calc (ex-animal)'!$G$67*(1-'DB additional information '!$K$13/100)+'Calc (ex-animal)'!$H$67*(1-'DB additional information '!$L$13/100))*(1-VLOOKUP(D333,'DB technologies'!$N$154:$Y$166,8,FALSE)/100)*'Calc (ex-housing, ex-storage)'!F333/100/VLOOKUP($C$331,'DB animal categories'!$C$117:$AC$126,27,FALSE)*AJ333+M333+N333+O333,IF(AS333=3,('Calc (ex-animal)'!$G$67*(1-'DB additional information '!$K$13/100)+'Calc (ex-animal)'!$H$67*(1-'DB additional information '!$L$13/100))*(1-VLOOKUP(D333,'DB technologies'!$N$154:$Y$166,8,FALSE)/100)*'Calc (ex-housing, ex-storage)'!F333/100/VLOOKUP($C$331,'DB animal categories'!$C$117:$AC$126,27,FALSE)*AJ333+M333+N333+O333,IF(AS333=4,('Calc (ex-animal)'!$G$67*(1-'DB additional information '!$K$13/100)+'Calc (ex-animal)'!$H$67*(1-'DB additional information '!$L$13/100))*(1-VLOOKUP(D333,'DB technologies'!$N$154:$Y$166,8,FALSE)/100)*'Calc (ex-housing, ex-storage)'!F333/100*VLOOKUP(D333,'DB technologies'!$N$154:$Y$166,12,FALSE)/100/VLOOKUP($C$331,'DB animal categories'!$C$117:$AC$126,27,FALSE)*AJ333+M333+N333+O333,0))))))</f>
        <v/>
      </c>
      <c r="AW333" s="442" t="str">
        <f>IF(AS333="","",IF(AU333=0,0,AU333/AT333*100))</f>
        <v/>
      </c>
      <c r="AX333" s="182" t="str">
        <f>IF(D333="","",IF(AS333=2,0,IF(AS333=1,'Calc (ex-animal)'!$K$67*'Calc (ex-housing, ex-storage)'!F333/100/VLOOKUP($C$331,'DB animal categories'!$C$117:$AC$126,27,FALSE)*AJ333+Q333+R333+S333,IF(AS333=5,('Calc (ex-animal)'!$K$67+'Calc (ex-animal)'!$L$67)*'Calc (ex-housing, ex-storage)'!F333/100/VLOOKUP($C$331,'DB animal categories'!$C$117:$AC$126,27,FALSE)*AJ333+Q333+R333+S333-'Calc (ex-housing, ex-storage)'!AC333,IF(AS333=3,('Calc (ex-animal)'!$K$67+'Calc (ex-animal)'!$L$67)*'Calc (ex-housing, ex-storage)'!F333/100/VLOOKUP($C$331,'DB animal categories'!$C$117:$AC$126,27,FALSE)*AJ333+Q333+R333+S333-'Calc (ex-housing, ex-storage)'!AC333-AD333-AE333,IF(AI333=4,('Calc (ex-animal)'!$K$67+'Calc (ex-animal)'!$L$67)*'Calc (ex-housing, ex-storage)'!F333/100*VLOOKUP(D333,'DB technologies'!$N$154:$Y$166,12,FALSE)/100/VLOOKUP($C$331,'DB animal categories'!$C$117:$AC$126,27,FALSE)*AJ333+Q333+R333+S333-(VLOOKUP(D333,'DB technologies'!$N$154:$Y$166,12,FALSE)/100*AC333)-AD333-AE333,0))))))</f>
        <v/>
      </c>
      <c r="AY333" s="182" t="str">
        <f>IF(D333="","",IF(AS333=2,0,IF(AS333=1,'Calc (ex-animal)'!$N$67*'Calc (ex-housing, ex-storage)'!F333/100/VLOOKUP($C$331,'DB animal categories'!$C$117:$AC$126,27,FALSE)*AJ333+U333+V333+W333,IF(AS333=5,('Calc (ex-animal)'!$N$67+'Calc (ex-animal)'!$O$67)*'Calc (ex-housing, ex-storage)'!F333/100/VLOOKUP($C$331,'DB animal categories'!$C$117:$AC$126,27,FALSE)*AJ333+U333+V333+W333,IF(AS333=3,('Calc (ex-animal)'!$N$67+'Calc (ex-animal)'!$O$67)*'Calc (ex-housing, ex-storage)'!F333/100/VLOOKUP($C$331,'DB animal categories'!$C$117:$AC$126,27,FALSE)*AJ333+U333+V333+W333,IF(AS333=4,('Calc (ex-animal)'!$N$67+'Calc (ex-animal)'!$O$67)*'Calc (ex-housing, ex-storage)'!F333/100*VLOOKUP(D333,'DB technologies'!$N$154:$Y$166,12,FALSE)/100/VLOOKUP($C$331,'DB animal categories'!$C$117:$AC$126,27,FALSE)*AJ333+U333+V333+W333,0))))))</f>
        <v/>
      </c>
      <c r="AZ333" s="182" t="str">
        <f>IF(D333="","",IF(AS333=2,0,IF(AS333=1,'Calc (ex-animal)'!$Q$67*'Calc (ex-housing, ex-storage)'!F333/100/VLOOKUP($C$331,'DB animal categories'!$C$117:$AC$126,27,FALSE)*AJ333+Y333+Z333+AA333,IF(AS333=5,('Calc (ex-animal)'!$Q$67+'Calc (ex-animal)'!$R$67)*'Calc (ex-housing, ex-storage)'!F333/100/VLOOKUP($C$331,'DB animal categories'!$C$117:$AC$126,27,FALSE)*AJ333+Y333+Z333+AA333,IF(AS333=3,('Calc (ex-animal)'!$Q$67+'Calc (ex-animal)'!$R$67)*'Calc (ex-housing, ex-storage)'!F333/100/VLOOKUP($C$331,'DB animal categories'!$C$117:$AC$126,27,FALSE)*AJ333+Y333+Z333+AA333,IF(AS333=4,('Calc (ex-animal)'!$Q$67+'Calc (ex-animal)'!$R$67)*'Calc (ex-housing, ex-storage)'!F333/100*VLOOKUP(D333,'DB technologies'!$N$154:$Y$166,12,FALSE)/100/VLOOKUP($C$331,'DB animal categories'!$C$117:$AC$126,27,FALSE)*AJ333+Y333+Z333+AA333,0))))))</f>
        <v/>
      </c>
      <c r="BA333" s="506"/>
      <c r="BB333" s="506"/>
      <c r="BC333" s="506"/>
    </row>
    <row r="334" spans="1:55" x14ac:dyDescent="0.2">
      <c r="A334" s="695"/>
      <c r="B334" s="695"/>
      <c r="C334" s="251"/>
      <c r="D334" s="1357"/>
      <c r="E334" s="1358"/>
      <c r="F334" s="480" t="str">
        <f>IF('Calc (ex-animal)'!$F$63=1,"",IF($C$331=0,"",IF(D334="","",E334/'Calc (ex-animal)'!$E$67*100)))</f>
        <v/>
      </c>
      <c r="G334" s="485" t="str">
        <f>IF($C$331=0,"",IF('Calc (ex-animal)'!$F$63=1,"",IF(D334="","",SUM(H334:O334))))</f>
        <v/>
      </c>
      <c r="H334" s="423" t="str">
        <f>IF('Calc (ex-animal)'!$F$63=1,"",IF(D334="","",(((VLOOKUP($C$331,'Calc (ex-animal)'!$D$63:$Y$67,6,FALSE)-VLOOKUP($C$331,'Calc (ex-animal)'!$D$63:$Y$67,17,FALSE))*F334/100))*VLOOKUP($C$331,'Calc (ex-animal)'!$D$63:$Y$67,7,FALSE)/100*(1-VLOOKUP(D334,'DB technologies'!$N$154:$Y$166,9,FALSE)/100)))</f>
        <v/>
      </c>
      <c r="I334" s="423" t="str">
        <f>IF(D334="","",((VLOOKUP(D334,'DB technologies'!$N$154:$Y$166,2,FALSE)*VLOOKUP($C$331,'DB animal categories'!$C$117:$AC$126,27,FALSE)*E334/1000)/VLOOKUP($C$331,'DB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'!$S$6/100*(1-VLOOKUP(D334,'DB technologies'!$N$154:$Y$166,9,FALSE)/100)))</f>
        <v/>
      </c>
      <c r="J334" s="434" t="str">
        <f>IF(D334="","",((VLOOKUP(D334,'DB technologies'!$N$154:$Y$166,3,FALSE)*VLOOKUP($C$331,'DB animal categories'!$C$117:$AC$126,27,FALSE)*E334/1000)/VLOOKUP($C$331,'DB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'!$S$7/100*(1-VLOOKUP(D334,'DB technologies'!$N$154:$Y$166,9,FALSE)/100)))</f>
        <v/>
      </c>
      <c r="K334" s="434" t="str">
        <f>IF(D334="","",((VLOOKUP(D334,'DB technologies'!$N$154:$Y$166,4,FALSE)*E334*'DB additional information '!$S$8/100*(1-VLOOKUP(D334,'DB technologies'!$N$154:$Y$166,9,FALSE)/100))/VLOOKUP($C$331,'DB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L334" s="423" t="str">
        <f>IF('Calc (ex-animal)'!$F$63=1,"",IF(D334="","",(((VLOOKUP($C$331,'Calc (ex-animal)'!$D$63:$Y$67,6,FALSE)-VLOOKUP($C$331,'Calc (ex-animal)'!$D$63:$Y$67,17,FALSE))*F334/100))*(1-VLOOKUP($C$331,'Calc (ex-animal)'!$D$63:$Y$67,7,FALSE)/100)*(1-VLOOKUP(D334,'DB technologies'!$N$154:$V$166,8,FALSE)/100)))</f>
        <v/>
      </c>
      <c r="M334" s="434" t="str">
        <f>IF(D334="","",((VLOOKUP(D334,'DB technologies'!$N$154:$Y$166,2,FALSE)*VLOOKUP($C$331,'DB animal categories'!$C$117:$AC$126,27,FALSE)*E334/1000)/VLOOKUP($C$331,'DB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'!$S$6/100)*(1-VLOOKUP(D334,'DB technologies'!$N$154:$Y$166,9,FALSE)/100))</f>
        <v/>
      </c>
      <c r="N334" s="434" t="str">
        <f>IF(D334="","",((VLOOKUP(D334,'DB technologies'!$N$154:$Y$166,3,FALSE)*VLOOKUP($C$331,'DB animal categories'!$C$117:$AC$126,27,FALSE)*E334/1000)/VLOOKUP($C$331,'DB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'!$S$7/100)*(1-VLOOKUP(D334,'DB technologies'!$N$154:$Y$166,9,FALSE)/100))</f>
        <v/>
      </c>
      <c r="O334" s="423" t="str">
        <f>IF(D334="","",((VLOOKUP(D334,'DB technologies'!$N$154:$Y$166,4,FALSE)*E334*(1-'DB additional information '!$S$8/100)*(1-VLOOKUP(D334,'DB technologies'!$N$154:$Y$166,8,FALSE)/100))/VLOOKUP($C$331,'DB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P334" s="438" t="str">
        <f>IF(G334=0,0,IF(E334="","",IF(F334="","",IF($C$331=0,"",IF(D334="","",SUM(H334:K334)/G334*100)))))</f>
        <v/>
      </c>
      <c r="Q334" s="416" t="str">
        <f>IF(D334="","",(VLOOKUP(D334,'DB technologies'!$N$154:$Y$166,2,FALSE)*'DB additional information '!$S$6/100*'DB additional information '!$T$6*VLOOKUP($C$331,'DB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R334" s="416" t="str">
        <f>IF(D334="","",(VLOOKUP(D334,'DB technologies'!$N$154:$Y$166,3,FALSE)*'DB additional information '!$S$7/100*'DB additional information '!$T$7*VLOOKUP($C$331,'DB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S334" s="491" t="str">
        <f>IF(D334="","",(VLOOKUP(D334,'DB technologies'!$N$154:$Y$166,4,FALSE)*('DB additional information '!$S$8/100*'DB additional information '!$T$8*E334/1000/1000)))</f>
        <v/>
      </c>
      <c r="T334" s="264" t="str">
        <f>IF($C$331=0,"",IF('Calc (ex-animal)'!$F$63=1,"",IF(D334="","",((VLOOKUP($C$331,'Calc (ex-animal)'!$D$63:$Y$67,10,FALSE)-VLOOKUP($C$331,'Calc (ex-animal)'!$D$63:$Y$67,18,FALSE))*F334/100+Q334+R334+S334)-AC334-AD334-AE334)))</f>
        <v/>
      </c>
      <c r="U334" s="422" t="str">
        <f>IF(D334="","",(VLOOKUP(D334,'DB technologies'!$N$154:$Y$166,2,FALSE)*'DB additional information '!$S$6/100*'DB additional information '!$U$6*VLOOKUP($C$331,'DB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V334" s="418" t="str">
        <f>IF(D334="","",(VLOOKUP(D334,'DB technologies'!$N$154:$Y$166,3,FALSE)*'DB additional information '!$S$7/100*'DB additional information '!$U$7*VLOOKUP($C$331,'DB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W334" s="417" t="str">
        <f>IF(D334="","",(VLOOKUP(D334,'DB technologies'!$N$154:$Y$166,4,FALSE)*('DB additional information '!$S$8/100*'DB additional information '!$U$8*E334/1000/1000)))</f>
        <v/>
      </c>
      <c r="X334" s="261" t="str">
        <f>IF($C$331=0,"",IF('Calc (ex-animal)'!$F$63=1,"",IF(D334="","",((VLOOKUP($C$331,'Calc (ex-animal)'!$D$63:$Y$67,13,FALSE)-VLOOKUP($C$331,'Calc (ex-animal)'!$D$63:$Y$67,19,FALSE))*F334/100+U334+V334+W334))))</f>
        <v/>
      </c>
      <c r="Y334" s="418" t="str">
        <f>IF(D334="","",(VLOOKUP(D334,'DB technologies'!$N$154:$Y$166,2,FALSE)*'DB additional information '!$S$6/100*'DB additional information '!$V$6*VLOOKUP($C$331,'DB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Z334" s="418" t="str">
        <f>IF(D334="","",(VLOOKUP(D334,'DB technologies'!$N$154:$Y$166,3,FALSE)*'DB additional information '!$S$7/100*'DB additional information '!$V$7*VLOOKUP($C$331,'DB animal categories'!$C$117:$AC$126,27,FALSE)*E334/1000/1000)/VLOOKUP($C$331,'DB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AA334" s="418" t="str">
        <f>IF(D334="","",(VLOOKUP(D334,'DB technologies'!$N$154:$Y$166,4,FALSE)*('DB additional information '!$S$8/100*'DB additional information '!$V$8*E334/1000/1000)))</f>
        <v/>
      </c>
      <c r="AB334" s="261" t="str">
        <f>IF($C$331=0,"",IF('Calc (ex-animal)'!$F$63=1,"",IF(D334="","",((VLOOKUP($C$331,'Calc (ex-animal)'!$D$63:$Y$67,16,FALSE)-VLOOKUP($C$331,'Calc (ex-animal)'!$D$63:$Y$67,20,FALSE))*F334/100+Y334+Z334+AA334))))</f>
        <v/>
      </c>
      <c r="AC334" s="261" t="str">
        <f>IF($C$331=0,"",IF('Calc (ex-animal)'!$F$63=1,"",IF(D334="","",VLOOKUP($C$331,'Calc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categories'!$C$117:$AC$126,26,FALSE)/24)*F334/100*VLOOKUP(D334,'DB technologies'!$N$154:$R$166,5,FALSE)/100)))</f>
        <v/>
      </c>
      <c r="AD334" s="261" t="str">
        <f>IF($C$331=0,"",IF('Calc (ex-animal)'!$F$63=1,"",IF(D334="","",VLOOKUP($C$331,'Calc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categories'!$C$117:$AC$126,26,FALSE)/24)*F334/100*VLOOKUP(D334,'DB technologies'!$N$154:$Y$166,6,FALSE)/100)))</f>
        <v/>
      </c>
      <c r="AE334" s="262" t="str">
        <f>IF($C$331=0,"",IF('Calc (ex-animal)'!$F$63=1,"",IF(D334="","",VLOOKUP($C$331,'Calc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categories'!$C$117:$AC$126,26,FALSE)/24)*F334/100*VLOOKUP(D334,'DB technologies'!$N$154:$Y$166,7,FALSE)/100)))</f>
        <v/>
      </c>
      <c r="AI334" s="181" t="str">
        <f>IF(D334="","",VLOOKUP(D334,'DB technologies'!$N$154:$Y$166,10,FALSE))</f>
        <v/>
      </c>
      <c r="AJ334" s="449" t="e">
        <f>VLOOKUP($C$331,'DB animal categories'!$C$117:$AN$126,27,FALSE)-VLOOKUP($C$331,'DB animal categories'!$C$117:$AN$126,26,FALSE)*VLOOKUP($C$331,'DB animal categories'!$C$117:$AN$126,25,FALSE)/24</f>
        <v>#N/A</v>
      </c>
      <c r="AK334" s="442" t="str">
        <f>IF(AI334="","",AL334+AM334)</f>
        <v/>
      </c>
      <c r="AL334" s="442" t="str">
        <f>IF(D334="","",IF(AI334=2,(('Calc (ex-animal)'!$G$67*'DB additional information '!$K$13/100*(1-VLOOKUP(D334,'DB technologies'!$N$154:$Y$166,9,FALSE)/100)*'Calc (ex-housing, ex-storage)'!F334/100+'Calc (ex-animal)'!$H$67*'DB additional information '!$L$13/100*(1-VLOOKUP(D334,'DB technologies'!$N$154:$Y$166,9,FALSE)/100)*'Calc (ex-housing, ex-storage)'!F334/100))/VLOOKUP($C$331,'DB animal categories'!$C$117:$AC$126,27,FALSE)*AJ334+I334+J334+K334,IF(AI334=1,('Calc (ex-animal)'!$H$67*'DB additional information '!$L$13/100*(1-VLOOKUP(D334,'DB technologies'!$N$154:$Y$166,9,FALSE)/100)*'Calc (ex-housing, ex-storage)'!F334/100)/VLOOKUP($C$331,'DB animal categories'!$C$117:$AC$126,27,FALSE)*AJ334,IF(AI334=4,('Calc (ex-animal)'!$G$67*'DB additional information '!$K$13/100+'Calc (ex-animal)'!$H$67*'DB additional information '!$L$13/100)*(1-VLOOKUP(D334,'DB technologies'!$N$154:$Y$166,9,FALSE)/100)*'Calc (ex-housing, ex-storage)'!F334/100*VLOOKUP(D334,'DB technologies'!$N$154:$Y$166,11,FALSE)/100/VLOOKUP($C$331,'DB animal categories'!$C$117:$AC$126,27,FALSE)*AJ334,0))))</f>
        <v/>
      </c>
      <c r="AM334" s="442" t="str">
        <f>IF(D334="","",IF(AI334=2,(('Calc (ex-animal)'!$G$67*(1-'DB additional information '!$K$13/100)*(1-VLOOKUP(D334,'DB technologies'!$N$154:$Y$166,8,FALSE)/100)*'Calc (ex-housing, ex-storage)'!F334/100+'Calc (ex-animal)'!$H$67*(1-'DB additional information '!$L$13/100)*(1-VLOOKUP(D334,'DB technologies'!$N$154:$Y$166,8,FALSE)/100)*'Calc (ex-housing, ex-storage)'!F334/100))/VLOOKUP($C$331,'DB animal categories'!$C$117:$AC$126,27,FALSE)*AJ334+M334+N334+O334,IF(AI334=1,('Calc (ex-animal)'!$H$67*(1-'DB additional information '!$L$13/100)*(1-VLOOKUP(D334,'DB technologies'!$N$154:$Y$166,8,FALSE)/100)*'Calc (ex-housing, ex-storage)'!F334/100)/VLOOKUP($C$331,'DB animal categories'!$C$117:$AC$126,27,FALSE)*AJ334,IF(AI334=4,('Calc (ex-animal)'!$G$67*(1-'DB additional information '!$K$13/100)+'Calc (ex-animal)'!$H$67*(1-'DB additional information '!$L$13/100))*(1-VLOOKUP(D334,'DB technologies'!$N$154:$Y$166,8,FALSE)/100)*'Calc (ex-housing, ex-storage)'!F334/100*VLOOKUP(D334,'DB technologies'!$N$154:$Y$166,11,FALSE)/100/VLOOKUP($C$331,'DB animal categories'!$C$117:$AC$126,27,FALSE)*AJ334,0))))</f>
        <v/>
      </c>
      <c r="AN334" s="442" t="str">
        <f>IF(AI334="","",IF(AL334=0,0,AL334/AK334*100))</f>
        <v/>
      </c>
      <c r="AO334" s="182" t="str">
        <f>IF(D334="","",IF(AI334=2,(('Calc (ex-animal)'!$L$67*'Calc (ex-housing, ex-storage)'!F334/100+'Calc (ex-animal)'!$K$67*'Calc (ex-housing, ex-storage)'!F334/100))/VLOOKUP($C$331,'DB animal categories'!$C$117:$AC$126,27,FALSE)*AJ334+Q334+R334+S334-AC334,IF(AI334=1,('Calc (ex-animal)'!$L$67*'Calc (ex-housing, ex-storage)'!F334/100)/VLOOKUP($C$331,'DB animal categories'!$C$117:$AC$126,27,FALSE)*AJ334-'Calc (ex-housing, ex-storage)'!AC334,IF(AI334=4,('Calc (ex-animal)'!$L$67+'Calc (ex-animal)'!$K$67)*'Calc (ex-housing, ex-storage)'!F334/100*VLOOKUP(D334,'DB technologies'!$N$154:$Y$166,11,FALSE)/100/VLOOKUP($C$331,'DB animal categories'!$C$117:$AC$126,27,FALSE)*AJ334-AC334*VLOOKUP(D334,'DB technologies'!$N$154:$Y$166,11,FALSE)/100,0))))</f>
        <v/>
      </c>
      <c r="AP334" s="182" t="str">
        <f>IF(D334="","",IF(AO334&lt;-0.01,0,IF(AI334=2,(('Calc (ex-animal)'!$L$67*'Calc (ex-housing, ex-storage)'!F334/100+'Calc (ex-animal)'!$K$67*'Calc (ex-housing, ex-storage)'!F334/100))/VLOOKUP($C$331,'DB animal categories'!$C$117:$AC$126,27,FALSE)*AJ334+Q334+R334+S334-AC334,IF(AI334=1,('Calc (ex-animal)'!$L$67*'Calc (ex-housing, ex-storage)'!F334/100)/VLOOKUP($C$331,'DB animal categories'!$C$117:$AC$126,27,FALSE)*AJ334-'Calc (ex-housing, ex-storage)'!AC334,IF(AI334=4,('Calc (ex-animal)'!$L$67+'Calc (ex-animal)'!$K$67)*'Calc (ex-housing, ex-storage)'!F334/100*VLOOKUP(D334,'DB technologies'!$N$154:$Y$166,11,FALSE)/100/VLOOKUP($C$331,'DB animal categories'!$C$117:$AC$126,27,FALSE)*AJ334-AC334*VLOOKUP(D334,'DB technologies'!$N$154:$Y$166,11,FALSE)/100,0)))))</f>
        <v/>
      </c>
      <c r="AQ334" s="182" t="str">
        <f>IF(D334="","",IF(AI334=2,('Calc (ex-animal)'!$O$67*'Calc (ex-housing, ex-storage)'!F334/100+'Calc (ex-animal)'!$N$67*'Calc (ex-housing, ex-storage)'!F334/100)/VLOOKUP($C$331,'DB animal categories'!$C$117:$AC$126,27,FALSE)*AJ334+U334+V334+W334,IF(AI334=1,'Calc (ex-animal)'!$O$67*'Calc (ex-housing, ex-storage)'!F334/100/VLOOKUP($C$331,'DB animal categories'!$C$117:$AC$126,27,FALSE)*AJ334,IF(AI334=4,('Calc (ex-animal)'!$O$67+'Calc (ex-animal)'!$N$67)*'Calc (ex-housing, ex-storage)'!F334/100*VLOOKUP(D334,'DB technologies'!$N$154:$Y$166,11,FALSE)/100/VLOOKUP($C$331,'DB animal categories'!$C$117:$AC$126,27,FALSE)*AJ334,0))))</f>
        <v/>
      </c>
      <c r="AR334" s="182" t="str">
        <f>IF(D334="","",IF(AI334=2,('Calc (ex-animal)'!$R$67*'Calc (ex-housing, ex-storage)'!F334/100+'Calc (ex-animal)'!$Q$67*'Calc (ex-housing, ex-storage)'!F334/100)/VLOOKUP($C$331,'DB animal categories'!$C$117:$AC$126,27,FALSE)*AJ334+Y334+Z334+AA334,IF(AI334=1,'Calc (ex-animal)'!$R$67*'Calc (ex-housing, ex-storage)'!F334/100/VLOOKUP($C$331,'DB animal categories'!$C$117:$AC$126,27,FALSE)*AJ334,IF(AI334=4,('Calc (ex-animal)'!$R$67+'Calc (ex-animal)'!$Q$67)*'Calc (ex-housing, ex-storage)'!F334/100*VLOOKUP(D334,'DB technologies'!$N$154:$Y$166,11,FALSE)/100/VLOOKUP($C$331,'DB animal categories'!$C$117:$AC$126,27,FALSE)*AJ334,0))))</f>
        <v/>
      </c>
      <c r="AS334" s="181" t="str">
        <f>IF(D334="","",VLOOKUP(D334,'DB technologies'!$N$154:$Y$166,10,FALSE))</f>
        <v/>
      </c>
      <c r="AT334" s="442" t="str">
        <f>IF(AS334="","",AU334+AV334)</f>
        <v/>
      </c>
      <c r="AU334" s="442" t="str">
        <f>IF(D334="","",IF(AS334=2,0,IF(AS334=1,'Calc (ex-animal)'!$G$67*'DB additional information '!$K$13/100*(1-VLOOKUP(D334,'DB technologies'!$N$154:$Y$166,8,FALSE)/100)*'Calc (ex-housing, ex-storage)'!F334/100/VLOOKUP($C$331,'DB animal categories'!$C$117:$AC$126,27,FALSE)*AJ334+I334+J334+K334,IF(AS334=5,(('Calc (ex-animal)'!$G$67*'DB additional information '!$K$13/100+'Calc (ex-animal)'!$H$67*'DB additional information '!$L$13/100))*(1-VLOOKUP(D334,'DB technologies'!$N$154:$Y$166,9,FALSE)/100)*'Calc (ex-housing, ex-storage)'!F334/100/VLOOKUP($C$331,'DB animal categories'!$C$117:$AC$126,27,FALSE)*AJ334+I334+J334+K334,IF(AS334=3,('Calc (ex-animal)'!$G$67*'DB additional information '!$K$13/100+'Calc (ex-animal)'!$H$67*'DB additional information '!$L$13/100)*(1-VLOOKUP(D334,'DB technologies'!$N$154:$Y$166,9,FALSE)/100)*'Calc (ex-housing, ex-storage)'!F334/100/VLOOKUP($C$331,'DB animal categories'!$C$117:$AC$126,27,FALSE)*AJ334+I334+J334+K334,IF(AS334=4,('Calc (ex-animal)'!$G$67*'DB additional information '!$K$13/100+'Calc (ex-animal)'!$H$67*'DB additional information '!$L$13/100)*(1-VLOOKUP(D334,'DB technologies'!$N$154:$Y$166,9,FALSE)/100)*'Calc (ex-housing, ex-storage)'!F334/100*VLOOKUP(D334,'DB technologies'!$N$154:$Y$166,12,FALSE)/100/VLOOKUP($C$331,'DB animal categories'!$C$117:$AC$126,27,FALSE)*AJ334+I334+J334+K334,0))))))</f>
        <v/>
      </c>
      <c r="AV334" s="442" t="str">
        <f>IF(D334="","",IF(AS334=2,0,IF(AS334=1,'Calc (ex-animal)'!$G$67*(1-'DB additional information '!$K$13/100)*(1-VLOOKUP(D334,'DB technologies'!$N$154:$Y$166,8,FALSE)/100)*'Calc (ex-housing, ex-storage)'!F334/100/VLOOKUP($C$331,'DB animal categories'!$C$117:$AC$126,27,FALSE)*AJ334+M334+N334+O334,IF(AS334=5,('Calc (ex-animal)'!$G$67*(1-'DB additional information '!$K$13/100)+'Calc (ex-animal)'!$H$67*(1-'DB additional information '!$L$13/100))*(1-VLOOKUP(D334,'DB technologies'!$N$154:$Y$166,8,FALSE)/100)*'Calc (ex-housing, ex-storage)'!F334/100/VLOOKUP($C$331,'DB animal categories'!$C$117:$AC$126,27,FALSE)*AJ334+M334+N334+O334,IF(AS334=3,('Calc (ex-animal)'!$G$67*(1-'DB additional information '!$K$13/100)+'Calc (ex-animal)'!$H$67*(1-'DB additional information '!$L$13/100))*(1-VLOOKUP(D334,'DB technologies'!$N$154:$Y$166,8,FALSE)/100)*'Calc (ex-housing, ex-storage)'!F334/100/VLOOKUP($C$331,'DB animal categories'!$C$117:$AC$126,27,FALSE)*AJ334+M334+N334+O334,IF(AS334=4,('Calc (ex-animal)'!$G$67*(1-'DB additional information '!$K$13/100)+'Calc (ex-animal)'!$H$67*(1-'DB additional information '!$L$13/100))*(1-VLOOKUP(D334,'DB technologies'!$N$154:$Y$166,8,FALSE)/100)*'Calc (ex-housing, ex-storage)'!F334/100*VLOOKUP(D334,'DB technologies'!$N$154:$Y$166,12,FALSE)/100/VLOOKUP($C$331,'DB animal categories'!$C$117:$AC$126,27,FALSE)*AJ334+M334+N334+O334,0))))))</f>
        <v/>
      </c>
      <c r="AW334" s="442" t="str">
        <f>IF(AS334="","",IF(AU334=0,0,AU334/AT334*100))</f>
        <v/>
      </c>
      <c r="AX334" s="182" t="str">
        <f>IF(D334="","",IF(AS334=2,0,IF(AS334=1,'Calc (ex-animal)'!$K$67*'Calc (ex-housing, ex-storage)'!F334/100/VLOOKUP($C$331,'DB animal categories'!$C$117:$AC$126,27,FALSE)*AJ334+Q334+R334+S334,IF(AS334=5,('Calc (ex-animal)'!$K$67+'Calc (ex-animal)'!$L$67)*'Calc (ex-housing, ex-storage)'!F334/100/VLOOKUP($C$331,'DB animal categories'!$C$117:$AC$126,27,FALSE)*AJ334+Q334+R334+S334-'Calc (ex-housing, ex-storage)'!AC334,IF(AS334=3,('Calc (ex-animal)'!$K$67+'Calc (ex-animal)'!$L$67)*'Calc (ex-housing, ex-storage)'!F334/100/VLOOKUP($C$331,'DB animal categories'!$C$117:$AC$126,27,FALSE)*AJ334+Q334+R334+S334-'Calc (ex-housing, ex-storage)'!AC334-AD334-AE334,IF(AI334=4,('Calc (ex-animal)'!$K$67+'Calc (ex-animal)'!$L$67)*'Calc (ex-housing, ex-storage)'!F334/100*VLOOKUP(D334,'DB technologies'!$N$154:$Y$166,12,FALSE)/100/VLOOKUP($C$331,'DB animal categories'!$C$117:$AC$126,27,FALSE)*AJ334+Q334+R334+S334-(VLOOKUP(D334,'DB technologies'!$N$154:$Y$166,12,FALSE)/100*AC334)-AD334-AE334,0))))))</f>
        <v/>
      </c>
      <c r="AY334" s="182" t="str">
        <f>IF(D334="","",IF(AS334=2,0,IF(AS334=1,'Calc (ex-animal)'!$N$67*'Calc (ex-housing, ex-storage)'!F334/100/VLOOKUP($C$331,'DB animal categories'!$C$117:$AC$126,27,FALSE)*AJ334+U334+V334+W334,IF(AS334=5,('Calc (ex-animal)'!$N$67+'Calc (ex-animal)'!$O$67)*'Calc (ex-housing, ex-storage)'!F334/100/VLOOKUP($C$331,'DB animal categories'!$C$117:$AC$126,27,FALSE)*AJ334+U334+V334+W334,IF(AS334=3,('Calc (ex-animal)'!$N$67+'Calc (ex-animal)'!$O$67)*'Calc (ex-housing, ex-storage)'!F334/100/VLOOKUP($C$331,'DB animal categories'!$C$117:$AC$126,27,FALSE)*AJ334+U334+V334+W334,IF(AS334=4,('Calc (ex-animal)'!$N$67+'Calc (ex-animal)'!$O$67)*'Calc (ex-housing, ex-storage)'!F334/100*VLOOKUP(D334,'DB technologies'!$N$154:$Y$166,12,FALSE)/100/VLOOKUP($C$331,'DB animal categories'!$C$117:$AC$126,27,FALSE)*AJ334+U334+V334+W334,0))))))</f>
        <v/>
      </c>
      <c r="AZ334" s="182" t="str">
        <f>IF(D334="","",IF(AS334=2,0,IF(AS334=1,'Calc (ex-animal)'!$Q$67*'Calc (ex-housing, ex-storage)'!F334/100/VLOOKUP($C$331,'DB animal categories'!$C$117:$AC$126,27,FALSE)*AJ334+Y334+Z334+AA334,IF(AS334=5,('Calc (ex-animal)'!$Q$67+'Calc (ex-animal)'!$R$67)*'Calc (ex-housing, ex-storage)'!F334/100/VLOOKUP($C$331,'DB animal categories'!$C$117:$AC$126,27,FALSE)*AJ334+Y334+Z334+AA334,IF(AS334=3,('Calc (ex-animal)'!$Q$67+'Calc (ex-animal)'!$R$67)*'Calc (ex-housing, ex-storage)'!F334/100/VLOOKUP($C$331,'DB animal categories'!$C$117:$AC$126,27,FALSE)*AJ334+Y334+Z334+AA334,IF(AS334=4,('Calc (ex-animal)'!$Q$67+'Calc (ex-animal)'!$R$67)*'Calc (ex-housing, ex-storage)'!F334/100*VLOOKUP(D334,'DB technologies'!$N$154:$Y$166,12,FALSE)/100/VLOOKUP($C$331,'DB animal categories'!$C$117:$AC$126,27,FALSE)*AJ334+Y334+Z334+AA334,0))))))</f>
        <v/>
      </c>
      <c r="BA334" s="506"/>
      <c r="BB334" s="506"/>
      <c r="BC334" s="506"/>
    </row>
    <row r="335" spans="1:55" ht="12" thickBot="1" x14ac:dyDescent="0.25">
      <c r="A335" s="695"/>
      <c r="B335" s="695"/>
      <c r="C335" s="251"/>
      <c r="D335" s="1359"/>
      <c r="E335" s="1360"/>
      <c r="F335" s="481" t="str">
        <f>IF('Calc (ex-animal)'!$F$63=1,"",IF($C$331=0,"",IF(D335="","",E335/'Calc (ex-animal)'!$E$67*100)))</f>
        <v/>
      </c>
      <c r="G335" s="483" t="str">
        <f>IF($C$331=0,"",IF('Calc (ex-animal)'!$F$63=1,"",IF(D335="","",SUM(H335:O335))))</f>
        <v/>
      </c>
      <c r="H335" s="445" t="str">
        <f>IF('Calc (ex-animal)'!$F$63=1,"",IF(D335="","",(((VLOOKUP($C$331,'Calc (ex-animal)'!$D$63:$Y$67,6,FALSE)-VLOOKUP($C$331,'Calc (ex-animal)'!$D$63:$Y$67,17,FALSE))*F335/100))*VLOOKUP($C$331,'Calc (ex-animal)'!$D$63:$Y$67,7,FALSE)/100*(1-VLOOKUP(D335,'DB technologies'!$N$154:$Y$166,9,FALSE)/100)))</f>
        <v/>
      </c>
      <c r="I335" s="445" t="str">
        <f>IF(D335="","",((VLOOKUP(D335,'DB technologies'!$N$154:$Y$166,2,FALSE)*VLOOKUP($C$331,'DB animal categories'!$C$117:$AC$126,27,FALSE)*E335/1000)/VLOOKUP($C$331,'DB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'!$S$6/100*(1-VLOOKUP(D335,'DB technologies'!$N$154:$Y$166,9,FALSE)/100)))</f>
        <v/>
      </c>
      <c r="J335" s="446" t="str">
        <f>IF(D335="","",((VLOOKUP(D335,'DB technologies'!$N$154:$Y$166,3,FALSE)*VLOOKUP($C$331,'DB animal categories'!$C$117:$AC$126,27,FALSE)*E335/1000)/VLOOKUP($C$331,'DB animal categories'!$C$117:$AC$126,27,FALSE)*(VLOOKUP($C$331,'DB animal categories'!$C$117:$AC$126,27,FALSE)-(VLOOKUP($C$331,'DB animal categories'!$C$117:$AC$126,25,FALSE)*VLOOKUP($C$331,'DB animal categories'!$C$117:$AC$126,26,FALSE)/24))*'DB additional information '!$S$7/100*(1-VLOOKUP(D335,'DB technologies'!$N$154:$Y$166,9,FALSE)/100)))</f>
        <v/>
      </c>
      <c r="K335" s="446" t="str">
        <f>IF(D335="","",((VLOOKUP(D335,'DB technologies'!$N$154:$Y$166,4,FALSE)*E335*'DB additional information '!$S$8/100*(1-VLOOKUP(D335,'DB technologies'!$N$154:$Y$166,9,FALSE)/100))/VLOOKUP($C$331,'DB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L335" s="445" t="str">
        <f>IF('Calc (ex-animal)'!$F$63=1,"",IF(D335="","",(((VLOOKUP($C$331,'Calc (ex-animal)'!$D$63:$Y$67,6,FALSE)-VLOOKUP($C$331,'Calc (ex-animal)'!$D$63:$Y$67,17,FALSE))*F335/100))*(1-VLOOKUP($C$331,'Calc (ex-animal)'!$D$63:$Y$67,7,FALSE)/100)*(1-VLOOKUP(D335,'DB technologies'!$N$154:$V$166,8,FALSE)/100)))</f>
        <v/>
      </c>
      <c r="M335" s="446" t="str">
        <f>IF(D335="","",((VLOOKUP(D335,'DB technologies'!$N$154:$Y$166,2,FALSE)*VLOOKUP($C$331,'DB animal categories'!$C$117:$AC$126,27,FALSE)*E335/1000)/VLOOKUP($C$331,'DB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'!$S$6/100)*(1-VLOOKUP(D335,'DB technologies'!$N$154:$Y$166,9,FALSE)/100))</f>
        <v/>
      </c>
      <c r="N335" s="446" t="str">
        <f>IF(D335="","",((VLOOKUP(D335,'DB technologies'!$N$154:$Y$166,3,FALSE)*VLOOKUP($C$331,'DB animal categories'!$C$117:$AC$126,27,FALSE)*E335/1000)/VLOOKUP($C$331,'DB animal categories'!$C$117:$AC$126,27,FALSE)*(VLOOKUP($C$331,'DB animal categories'!$C$117:$AC$126,27,FALSE)-VLOOKUP($C$331,'DB animal categories'!$C$117:$AC$126,25,FALSE)*VLOOKUP($C$331,'DB animal categories'!$C$117:$AC$126,26,FALSE)/24))*(1-'DB additional information '!$S$7/100)*(1-VLOOKUP(D335,'DB technologies'!$N$154:$Y$166,9,FALSE)/100))</f>
        <v/>
      </c>
      <c r="O335" s="445" t="str">
        <f>IF(D335="","",((VLOOKUP(D335,'DB technologies'!$N$154:$Y$166,4,FALSE)*E335*(1-'DB additional information '!$S$8/100)*(1-VLOOKUP(D335,'DB technologies'!$N$154:$Y$166,8,FALSE)/100))/VLOOKUP($C$331,'DB animal categories'!$C$117:$AC$126,27,FALSE)*(VLOOKUP($C$331,'DB animal categories'!$C$117:$AC$126,27,FALSE)-VLOOKUP($C$331,'DB animal categories'!$C$117:$AC$126,25,FALSE)*VLOOKUP($C$331,'DB animal categories'!$C$117:$AC$126,26,FALSE)/24)))</f>
        <v/>
      </c>
      <c r="P335" s="444" t="str">
        <f>IF(G335=0,0,IF(E335="","",IF(F335="","",IF($C$331=0,"",IF(D335="","",SUM(H335:K335)/G335*100)))))</f>
        <v/>
      </c>
      <c r="Q335" s="476" t="str">
        <f>IF(D335="","",(VLOOKUP(D335,'DB technologies'!$N$154:$Y$166,2,FALSE)*'DB additional information '!$S$6/100*'DB additional information '!$T$6*VLOOKUP($C$331,'DB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R335" s="476" t="str">
        <f>IF(D335="","",(VLOOKUP(D335,'DB technologies'!$N$154:$Y$166,3,FALSE)*'DB additional information '!$S$7/100*'DB additional information '!$T$7*VLOOKUP($C$331,'DB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S335" s="494" t="str">
        <f>IF(D335="","",(VLOOKUP(D335,'DB technologies'!$N$154:$Y$166,4,FALSE)*('DB additional information '!$S$8/100*'DB additional information '!$T$8*E335/1000/1000)))</f>
        <v/>
      </c>
      <c r="T335" s="266" t="str">
        <f>IF($C$331=0,"",IF('Calc (ex-animal)'!$F$63=1,"",IF(D335="","",((VLOOKUP($C$331,'Calc (ex-animal)'!$D$63:$Y$67,10,FALSE)-VLOOKUP($C$331,'Calc (ex-animal)'!$D$63:$Y$67,18,FALSE))*F335/100+Q335+R335+S335)-AC335-AD335-AE335)))</f>
        <v/>
      </c>
      <c r="U335" s="477" t="str">
        <f>IF(D335="","",(VLOOKUP(D335,'DB technologies'!$N$154:$Y$166,2,FALSE)*'DB additional information '!$S$6/100*'DB additional information '!$U$6*VLOOKUP($C$331,'DB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V335" s="433" t="str">
        <f>IF(D335="","",(VLOOKUP(D335,'DB technologies'!$N$154:$Y$166,3,FALSE)*'DB additional information '!$S$7/100*'DB additional information '!$U$7*VLOOKUP($C$331,'DB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W335" s="475" t="str">
        <f>IF(D335="","",(VLOOKUP(D335,'DB technologies'!$N$154:$Y$166,4,FALSE)*('DB additional information '!$S$8/100*'DB additional information '!$U$8*E335/1000/1000)))</f>
        <v/>
      </c>
      <c r="X335" s="267" t="str">
        <f>IF($C$331=0,"",IF('Calc (ex-animal)'!$F$63=1,"",IF(D335="","",((VLOOKUP($C$331,'Calc (ex-animal)'!$D$63:$Y$67,13,FALSE)-VLOOKUP($C$331,'Calc (ex-animal)'!$D$63:$Y$67,19,FALSE))*F335/100+U335+V335+W335))))</f>
        <v/>
      </c>
      <c r="Y335" s="433" t="str">
        <f>IF(D335="","",(VLOOKUP(D335,'DB technologies'!$N$154:$Y$166,2,FALSE)*'DB additional information '!$S$6/100*'DB additional information '!$V$6*VLOOKUP($C$331,'DB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Z335" s="433" t="str">
        <f>IF(D335="","",(VLOOKUP(D335,'DB technologies'!$N$154:$Y$166,3,FALSE)*'DB additional information '!$S$7/100*'DB additional information '!$V$7*VLOOKUP($C$331,'DB animal categories'!$C$117:$AC$126,27,FALSE)*E335/1000/1000)/VLOOKUP($C$331,'DB animal categories'!$C$117:$AC$126,27,FALSE)*(VLOOKUP($C$331,'DB animal categories'!$C$117:$AC$126,27,FALSE)-VLOOKUP($C$331,'DB animal categories'!$C$117:$AC$126,25,FALSE)*VLOOKUP($C$331,'DB animal categories'!$C$117:$AC$126,26,FALSE)/24))</f>
        <v/>
      </c>
      <c r="AA335" s="433" t="str">
        <f>IF(D335="","",(VLOOKUP(D335,'DB technologies'!$N$154:$Y$166,4,FALSE)*('DB additional information '!$S$8/100*'DB additional information '!$V$8*E335/1000/1000)))</f>
        <v/>
      </c>
      <c r="AB335" s="267" t="str">
        <f>IF($C$331=0,"",IF('Calc (ex-animal)'!$F$63=1,"",IF(D335="","",((VLOOKUP($C$331,'Calc (ex-animal)'!$D$63:$Y$67,16,FALSE)-VLOOKUP($C$331,'Calc (ex-animal)'!$D$63:$Y$67,20,FALSE))*F335/100+Y335+Z335+AA335))))</f>
        <v/>
      </c>
      <c r="AC335" s="267" t="str">
        <f>IF($C$331=0,"",IF('Calc (ex-animal)'!$F$63=1,"",IF(D335="","",VLOOKUP($C$331,'Calc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categories'!$C$117:$AC$126,26,FALSE)/24)*F335/100*VLOOKUP(D335,'DB technologies'!$N$154:$R$166,5,FALSE)/100)))</f>
        <v/>
      </c>
      <c r="AD335" s="267" t="str">
        <f>IF($C$331=0,"",IF('Calc (ex-animal)'!$F$63=1,"",IF(D335="","",VLOOKUP($C$331,'Calc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categories'!$C$117:$AC$126,26,FALSE)/24)*F335/100*VLOOKUP(D335,'DB technologies'!$N$154:$Y$166,6,FALSE)/100)))</f>
        <v/>
      </c>
      <c r="AE335" s="268" t="str">
        <f>IF($C$331=0,"",IF('Calc (ex-animal)'!$F$63=1,"",IF(D335="","",VLOOKUP($C$331,'Calc (ex-animal)'!$D$63:$Y$67,10,FALSE)/VLOOKUP($C$331,'DB animal categories'!$C$117:$AC$126,27,FALSE)*(VLOOKUP($C$331,'DB animal categories'!$C$117:$AC$126,27,FALSE)-VLOOKUP($C$331,'DB animal categories'!$C$117:$AC$126,25,FALSE)*VLOOKUP($C$331,'DB animal categories'!$C$117:$AC$126,26,FALSE)/24)*F335/100*VLOOKUP(D335,'DB technologies'!$N$154:$Y$166,7,FALSE)/100)))</f>
        <v/>
      </c>
      <c r="AI335" s="183" t="str">
        <f>IF(D335="","",VLOOKUP(D335,'DB technologies'!$N$154:$Y$166,10,FALSE))</f>
        <v/>
      </c>
      <c r="AJ335" s="451" t="e">
        <f>VLOOKUP($C$331,'DB animal categories'!$C$117:$AN$126,27,FALSE)-VLOOKUP($C$331,'DB animal categories'!$C$117:$AN$126,26,FALSE)*VLOOKUP($C$331,'DB animal categories'!$C$117:$AN$126,25,FALSE)/24</f>
        <v>#N/A</v>
      </c>
      <c r="AK335" s="452" t="str">
        <f>IF(AI335="","",AL335+AM335)</f>
        <v/>
      </c>
      <c r="AL335" s="452" t="str">
        <f>IF(D335="","",IF(AI335=2,(('Calc (ex-animal)'!$G$67*'DB additional information '!$K$13/100*(1-VLOOKUP(D335,'DB technologies'!$N$154:$Y$166,9,FALSE)/100)*'Calc (ex-housing, ex-storage)'!F335/100+'Calc (ex-animal)'!$H$67*'DB additional information '!$L$13/100*(1-VLOOKUP(D335,'DB technologies'!$N$154:$Y$166,9,FALSE)/100)*'Calc (ex-housing, ex-storage)'!F335/100))/VLOOKUP($C$331,'DB animal categories'!$C$117:$AC$126,27,FALSE)*AJ335+I335+J335+K335,IF(AI335=1,('Calc (ex-animal)'!$H$67*'DB additional information '!$L$13/100*(1-VLOOKUP(D335,'DB technologies'!$N$154:$Y$166,9,FALSE)/100)*'Calc (ex-housing, ex-storage)'!F335/100)/VLOOKUP($C$331,'DB animal categories'!$C$117:$AC$126,27,FALSE)*AJ335,IF(AI335=4,('Calc (ex-animal)'!$G$67*'DB additional information '!$K$13/100+'Calc (ex-animal)'!$H$67*'DB additional information '!$L$13/100)*(1-VLOOKUP(D335,'DB technologies'!$N$154:$Y$166,9,FALSE)/100)*'Calc (ex-housing, ex-storage)'!F335/100*VLOOKUP(D335,'DB technologies'!$N$154:$Y$166,11,FALSE)/100/VLOOKUP($C$331,'DB animal categories'!$C$117:$AC$126,27,FALSE)*AJ335,0))))</f>
        <v/>
      </c>
      <c r="AM335" s="452" t="str">
        <f>IF(D335="","",IF(AI335=2,(('Calc (ex-animal)'!$G$67*(1-'DB additional information '!$K$13/100)*(1-VLOOKUP(D335,'DB technologies'!$N$154:$Y$166,8,FALSE)/100)*'Calc (ex-housing, ex-storage)'!F335/100+'Calc (ex-animal)'!$H$67*(1-'DB additional information '!$L$13/100)*(1-VLOOKUP(D335,'DB technologies'!$N$154:$Y$166,8,FALSE)/100)*'Calc (ex-housing, ex-storage)'!F335/100))/VLOOKUP($C$331,'DB animal categories'!$C$117:$AC$126,27,FALSE)*AJ335+M335+N335+O335,IF(AI335=1,('Calc (ex-animal)'!$H$67*(1-'DB additional information '!$L$13/100)*(1-VLOOKUP(D335,'DB technologies'!$N$154:$Y$166,8,FALSE)/100)*'Calc (ex-housing, ex-storage)'!F335/100)/VLOOKUP($C$331,'DB animal categories'!$C$117:$AC$126,27,FALSE)*AJ335,IF(AI335=4,('Calc (ex-animal)'!$G$67*(1-'DB additional information '!$K$13/100)+'Calc (ex-animal)'!$H$67*(1-'DB additional information '!$L$13/100))*(1-VLOOKUP(D335,'DB technologies'!$N$154:$Y$166,8,FALSE)/100)*'Calc (ex-housing, ex-storage)'!F335/100*VLOOKUP(D335,'DB technologies'!$N$154:$Y$166,11,FALSE)/100/VLOOKUP($C$331,'DB animal categories'!$C$117:$AC$126,27,FALSE)*AJ335,0))))</f>
        <v/>
      </c>
      <c r="AN335" s="452" t="str">
        <f>IF(AI335="","",IF(AL335=0,0,AL335/AK335*100))</f>
        <v/>
      </c>
      <c r="AO335" s="184" t="str">
        <f>IF(D335="","",IF(AI335=2,(('Calc (ex-animal)'!$L$67*'Calc (ex-housing, ex-storage)'!F335/100+'Calc (ex-animal)'!$K$67*'Calc (ex-housing, ex-storage)'!F335/100))/VLOOKUP($C$331,'DB animal categories'!$C$117:$AC$126,27,FALSE)*AJ335+Q335+R335+S335-AC335,IF(AI335=1,('Calc (ex-animal)'!$L$67*'Calc (ex-housing, ex-storage)'!F335/100)/VLOOKUP($C$331,'DB animal categories'!$C$117:$AC$126,27,FALSE)*AJ335-'Calc (ex-housing, ex-storage)'!AC335,IF(AI335=4,('Calc (ex-animal)'!$L$67+'Calc (ex-animal)'!$K$67)*'Calc (ex-housing, ex-storage)'!F335/100*VLOOKUP(D335,'DB technologies'!$N$154:$Y$166,11,FALSE)/100/VLOOKUP($C$331,'DB animal categories'!$C$117:$AC$126,27,FALSE)*AJ335-AC335*VLOOKUP(D335,'DB technologies'!$N$154:$Y$166,11,FALSE)/100,0))))</f>
        <v/>
      </c>
      <c r="AP335" s="184" t="str">
        <f>IF(D335="","",IF(AO335&lt;-0.01,0,IF(AI335=2,(('Calc (ex-animal)'!$L$67*'Calc (ex-housing, ex-storage)'!F335/100+'Calc (ex-animal)'!$K$67*'Calc (ex-housing, ex-storage)'!F335/100))/VLOOKUP($C$331,'DB animal categories'!$C$117:$AC$126,27,FALSE)*AJ335+Q335+R335+S335-AC335,IF(AI335=1,('Calc (ex-animal)'!$L$67*'Calc (ex-housing, ex-storage)'!F335/100)/VLOOKUP($C$331,'DB animal categories'!$C$117:$AC$126,27,FALSE)*AJ335-'Calc (ex-housing, ex-storage)'!AC335,IF(AI335=4,('Calc (ex-animal)'!$L$67+'Calc (ex-animal)'!$K$67)*'Calc (ex-housing, ex-storage)'!F335/100*VLOOKUP(D335,'DB technologies'!$N$154:$Y$166,11,FALSE)/100/VLOOKUP($C$331,'DB animal categories'!$C$117:$AC$126,27,FALSE)*AJ335-AC335*VLOOKUP(D335,'DB technologies'!$N$154:$Y$166,11,FALSE)/100,0)))))</f>
        <v/>
      </c>
      <c r="AQ335" s="184" t="str">
        <f>IF(D335="","",IF(AI335=2,('Calc (ex-animal)'!$O$67*'Calc (ex-housing, ex-storage)'!F335/100+'Calc (ex-animal)'!$N$67*'Calc (ex-housing, ex-storage)'!F335/100)/VLOOKUP($C$331,'DB animal categories'!$C$117:$AC$126,27,FALSE)*AJ335+U335+V335+W335,IF(AI335=1,'Calc (ex-animal)'!$O$67*'Calc (ex-housing, ex-storage)'!F335/100/VLOOKUP($C$331,'DB animal categories'!$C$117:$AC$126,27,FALSE)*AJ335,IF(AI335=4,('Calc (ex-animal)'!$O$67+'Calc (ex-animal)'!$N$67)*'Calc (ex-housing, ex-storage)'!F335/100*VLOOKUP(D335,'DB technologies'!$N$154:$Y$166,11,FALSE)/100/VLOOKUP($C$331,'DB animal categories'!$C$117:$AC$126,27,FALSE)*AJ335,0))))</f>
        <v/>
      </c>
      <c r="AR335" s="184" t="str">
        <f>IF(D335="","",IF(AI335=2,('Calc (ex-animal)'!$R$67*'Calc (ex-housing, ex-storage)'!F335/100+'Calc (ex-animal)'!$Q$67*'Calc (ex-housing, ex-storage)'!F335/100)/VLOOKUP($C$331,'DB animal categories'!$C$117:$AC$126,27,FALSE)*AJ335+Y335+Z335+AA335,IF(AI335=1,'Calc (ex-animal)'!$R$67*'Calc (ex-housing, ex-storage)'!F335/100/VLOOKUP($C$331,'DB animal categories'!$C$117:$AC$126,27,FALSE)*AJ335,IF(AI335=4,('Calc (ex-animal)'!$R$67+'Calc (ex-animal)'!$Q$67)*'Calc (ex-housing, ex-storage)'!F335/100*VLOOKUP(D335,'DB technologies'!$N$154:$Y$166,11,FALSE)/100/VLOOKUP($C$331,'DB animal categories'!$C$117:$AC$126,27,FALSE)*AJ335,0))))</f>
        <v/>
      </c>
      <c r="AS335" s="183" t="str">
        <f>IF(D335="","",VLOOKUP(D335,'DB technologies'!$N$154:$Y$166,10,FALSE))</f>
        <v/>
      </c>
      <c r="AT335" s="452" t="str">
        <f>IF(AS335="","",AU335+AV335)</f>
        <v/>
      </c>
      <c r="AU335" s="452" t="str">
        <f>IF(D335="","",IF(AS335=2,0,IF(AS335=1,'Calc (ex-animal)'!$G$67*'DB additional information '!$K$13/100*(1-VLOOKUP(D335,'DB technologies'!$N$154:$Y$166,8,FALSE)/100)*'Calc (ex-housing, ex-storage)'!F335/100/VLOOKUP($C$331,'DB animal categories'!$C$117:$AC$126,27,FALSE)*AJ335+I335+J335+K335,IF(AS335=5,(('Calc (ex-animal)'!$G$67*'DB additional information '!$K$13/100+'Calc (ex-animal)'!$H$67*'DB additional information '!$L$13/100))*(1-VLOOKUP(D335,'DB technologies'!$N$154:$Y$166,9,FALSE)/100)*'Calc (ex-housing, ex-storage)'!F335/100/VLOOKUP($C$331,'DB animal categories'!$C$117:$AC$126,27,FALSE)*AJ335+I335+J335+K335,IF(AS335=3,('Calc (ex-animal)'!$G$67*'DB additional information '!$K$13/100+'Calc (ex-animal)'!$H$67*'DB additional information '!$L$13/100)*(1-VLOOKUP(D335,'DB technologies'!$N$154:$Y$166,9,FALSE)/100)*'Calc (ex-housing, ex-storage)'!F335/100/VLOOKUP($C$331,'DB animal categories'!$C$117:$AC$126,27,FALSE)*AJ335+I335+J335+K335,IF(AS335=4,('Calc (ex-animal)'!$G$67*'DB additional information '!$K$13/100+'Calc (ex-animal)'!$H$67*'DB additional information '!$L$13/100)*(1-VLOOKUP(D335,'DB technologies'!$N$154:$Y$166,9,FALSE)/100)*'Calc (ex-housing, ex-storage)'!F335/100*VLOOKUP(D335,'DB technologies'!$N$154:$Y$166,12,FALSE)/100/VLOOKUP($C$331,'DB animal categories'!$C$117:$AC$126,27,FALSE)*AJ335+I335+J335+K335,0))))))</f>
        <v/>
      </c>
      <c r="AV335" s="452" t="str">
        <f>IF(D335="","",IF(AS335=2,0,IF(AS335=1,'Calc (ex-animal)'!$G$67*(1-'DB additional information '!$K$13/100)*(1-VLOOKUP(D335,'DB technologies'!$N$154:$Y$166,8,FALSE)/100)*'Calc (ex-housing, ex-storage)'!F335/100/VLOOKUP($C$331,'DB animal categories'!$C$117:$AC$126,27,FALSE)*AJ335+M335+N335+O335,IF(AS335=5,('Calc (ex-animal)'!$G$67*(1-'DB additional information '!$K$13/100)+'Calc (ex-animal)'!$H$67*(1-'DB additional information '!$L$13/100))*(1-VLOOKUP(D335,'DB technologies'!$N$154:$Y$166,8,FALSE)/100)*'Calc (ex-housing, ex-storage)'!F335/100/VLOOKUP($C$331,'DB animal categories'!$C$117:$AC$126,27,FALSE)*AJ335+M335+N335+O335,IF(AS335=3,('Calc (ex-animal)'!$G$67*(1-'DB additional information '!$K$13/100)+'Calc (ex-animal)'!$H$67*(1-'DB additional information '!$L$13/100))*(1-VLOOKUP(D335,'DB technologies'!$N$154:$Y$166,8,FALSE)/100)*'Calc (ex-housing, ex-storage)'!F335/100/VLOOKUP($C$331,'DB animal categories'!$C$117:$AC$126,27,FALSE)*AJ335+M335+N335+O335,IF(AS335=4,('Calc (ex-animal)'!$G$67*(1-'DB additional information '!$K$13/100)+'Calc (ex-animal)'!$H$67*(1-'DB additional information '!$L$13/100))*(1-VLOOKUP(D335,'DB technologies'!$N$154:$Y$166,8,FALSE)/100)*'Calc (ex-housing, ex-storage)'!F335/100*VLOOKUP(D335,'DB technologies'!$N$154:$Y$166,12,FALSE)/100/VLOOKUP($C$331,'DB animal categories'!$C$117:$AC$126,27,FALSE)*AJ335+M335+N335+O335,0))))))</f>
        <v/>
      </c>
      <c r="AW335" s="452" t="str">
        <f>IF(AS335="","",IF(AU335=0,0,AU335/AT335*100))</f>
        <v/>
      </c>
      <c r="AX335" s="184" t="str">
        <f>IF(D335="","",IF(AS335=2,0,IF(AS335=1,'Calc (ex-animal)'!$K$67*'Calc (ex-housing, ex-storage)'!F335/100/VLOOKUP($C$331,'DB animal categories'!$C$117:$AC$126,27,FALSE)*AJ335+Q335+R335+S335,IF(AS335=5,('Calc (ex-animal)'!$K$67+'Calc (ex-animal)'!$L$67)*'Calc (ex-housing, ex-storage)'!F335/100/VLOOKUP($C$331,'DB animal categories'!$C$117:$AC$126,27,FALSE)*AJ335+Q335+R335+S335-'Calc (ex-housing, ex-storage)'!AC335,IF(AS335=3,('Calc (ex-animal)'!$K$67+'Calc (ex-animal)'!$L$67)*'Calc (ex-housing, ex-storage)'!F335/100/VLOOKUP($C$331,'DB animal categories'!$C$117:$AC$126,27,FALSE)*AJ335+Q335+R335+S335-'Calc (ex-housing, ex-storage)'!AC335-AD335-AE335,IF(AI335=4,('Calc (ex-animal)'!$K$67+'Calc (ex-animal)'!$L$67)*'Calc (ex-housing, ex-storage)'!F335/100*VLOOKUP(D335,'DB technologies'!$N$154:$Y$166,12,FALSE)/100/VLOOKUP($C$331,'DB animal categories'!$C$117:$AC$126,27,FALSE)*AJ335+Q335+R335+S335-(VLOOKUP(D335,'DB technologies'!$N$154:$Y$166,12,FALSE)/100*AC335)-AD335-AE335,0))))))</f>
        <v/>
      </c>
      <c r="AY335" s="184" t="str">
        <f>IF(D335="","",IF(AS335=2,0,IF(AS335=1,'Calc (ex-animal)'!$N$67*'Calc (ex-housing, ex-storage)'!F335/100/VLOOKUP($C$331,'DB animal categories'!$C$117:$AC$126,27,FALSE)*AJ335+U335+V335+W335,IF(AS335=5,('Calc (ex-animal)'!$N$67+'Calc (ex-animal)'!$O$67)*'Calc (ex-housing, ex-storage)'!F335/100/VLOOKUP($C$331,'DB animal categories'!$C$117:$AC$126,27,FALSE)*AJ335+U335+V335+W335,IF(AS335=3,('Calc (ex-animal)'!$N$67+'Calc (ex-animal)'!$O$67)*'Calc (ex-housing, ex-storage)'!F335/100/VLOOKUP($C$331,'DB animal categories'!$C$117:$AC$126,27,FALSE)*AJ335+U335+V335+W335,IF(AS335=4,('Calc (ex-animal)'!$N$67+'Calc (ex-animal)'!$O$67)*'Calc (ex-housing, ex-storage)'!F335/100*VLOOKUP(D335,'DB technologies'!$N$154:$Y$166,12,FALSE)/100/VLOOKUP($C$331,'DB animal categories'!$C$117:$AC$126,27,FALSE)*AJ335+U335+V335+W335,0))))))</f>
        <v/>
      </c>
      <c r="AZ335" s="184" t="str">
        <f>IF(D335="","",IF(AS335=2,0,IF(AS335=1,'Calc (ex-animal)'!$Q$67*'Calc (ex-housing, ex-storage)'!F335/100/VLOOKUP($C$331,'DB animal categories'!$C$117:$AC$126,27,FALSE)*AJ335+Y335+Z335+AA335,IF(AS335=5,('Calc (ex-animal)'!$Q$67+'Calc (ex-animal)'!$R$67)*'Calc (ex-housing, ex-storage)'!F335/100/VLOOKUP($C$331,'DB animal categories'!$C$117:$AC$126,27,FALSE)*AJ335+Y335+Z335+AA335,IF(AS335=3,('Calc (ex-animal)'!$Q$67+'Calc (ex-animal)'!$R$67)*'Calc (ex-housing, ex-storage)'!F335/100/VLOOKUP($C$331,'DB animal categories'!$C$117:$AC$126,27,FALSE)*AJ335+Y335+Z335+AA335,IF(AS335=4,('Calc (ex-animal)'!$Q$67+'Calc (ex-animal)'!$R$67)*'Calc (ex-housing, ex-storage)'!F335/100*VLOOKUP(D335,'DB technologies'!$N$154:$Y$166,12,FALSE)/100/VLOOKUP($C$331,'DB animal categories'!$C$117:$AC$126,27,FALSE)*AJ335+Y335+Z335+AA335,0))))))</f>
        <v/>
      </c>
      <c r="BA335" s="506"/>
      <c r="BB335" s="506"/>
      <c r="BC335" s="506"/>
    </row>
    <row r="336" spans="1:55" ht="12" thickBot="1" x14ac:dyDescent="0.25">
      <c r="A336" s="695"/>
      <c r="B336" s="696"/>
      <c r="C336" s="252"/>
      <c r="D336" s="281" t="s">
        <v>58</v>
      </c>
      <c r="E336" s="282">
        <f>IF(F336&lt;=100,SUM(E331:E335),"ERROR")</f>
        <v>0</v>
      </c>
      <c r="F336" s="283">
        <f>IF(SUM(F331:F335) &lt;=100,SUM(F331:F335),"ERROR, SUM&gt;100%")</f>
        <v>0</v>
      </c>
      <c r="G336" s="550">
        <f>IF('Calc (ex-animal)'!$F$63=1,"",SUM(G331:G335))</f>
        <v>0</v>
      </c>
      <c r="H336" s="418">
        <f>IF('Calc (ex-animal)'!$F$8=1,"",SUM(H331:H335))</f>
        <v>0</v>
      </c>
      <c r="I336" s="418">
        <f>IF('Calc (ex-animal)'!$F$8=1,"",SUM(I331:I335))</f>
        <v>0</v>
      </c>
      <c r="J336" s="418">
        <f>IF('Calc (ex-animal)'!$F$8=1,"",SUM(J331:J335))</f>
        <v>0</v>
      </c>
      <c r="K336" s="418">
        <f>IF('Calc (ex-animal)'!$F$8=1,"",SUM(K331:K335))</f>
        <v>0</v>
      </c>
      <c r="L336" s="418">
        <f>IF('Calc (ex-animal)'!$F$8=1,"",SUM(L331:L335))</f>
        <v>0</v>
      </c>
      <c r="M336" s="551"/>
      <c r="N336" s="551"/>
      <c r="O336" s="551"/>
      <c r="P336" s="552">
        <f>IF(G336=0,0,IF('Calc (ex-animal)'!$F$63=1,"",IF(D336="","",SUM(H336:K336)/G336*100)))</f>
        <v>0</v>
      </c>
      <c r="Q336" s="394"/>
      <c r="R336" s="394"/>
      <c r="S336" s="394"/>
      <c r="T336" s="278">
        <f>IF('Calc (ex-animal)'!$F$67=1,"",SUM(T331:T335))</f>
        <v>0</v>
      </c>
      <c r="U336" s="279"/>
      <c r="V336" s="279"/>
      <c r="W336" s="279"/>
      <c r="X336" s="279">
        <f>IF('Calc (ex-animal)'!$F$67=1,"",SUM(X331:X335))</f>
        <v>0</v>
      </c>
      <c r="Y336" s="279"/>
      <c r="Z336" s="279"/>
      <c r="AA336" s="279"/>
      <c r="AB336" s="279">
        <f>IF('Calc (ex-animal)'!$F$67=1,"",SUM(AB331:AB335))</f>
        <v>0</v>
      </c>
      <c r="AC336" s="279">
        <f>IF('Calc (ex-animal)'!$F$67=1,"",SUM(AC331:AC335))</f>
        <v>0</v>
      </c>
      <c r="AD336" s="279">
        <f>IF('Calc (ex-animal)'!$F$67=1,"",SUM(AD331:AD335))</f>
        <v>0</v>
      </c>
      <c r="AE336" s="280">
        <f>IF('Calc (ex-animal)'!$F$67=1,"",SUM(AE331:AE335))</f>
        <v>0</v>
      </c>
    </row>
    <row r="337" spans="1:55" x14ac:dyDescent="0.2">
      <c r="A337" s="695"/>
      <c r="B337" s="694" t="s">
        <v>35</v>
      </c>
      <c r="C337" s="254">
        <f>'Calc (ex-animal)'!D68</f>
        <v>0</v>
      </c>
      <c r="D337" s="1355"/>
      <c r="E337" s="1356"/>
      <c r="F337" s="479" t="str">
        <f>IF('Calc (ex-animal)'!$F$63=1,"",IF($C$337=0,"",IF(D337="","",E337/'Calc (ex-animal)'!$E$68*100)))</f>
        <v/>
      </c>
      <c r="G337" s="484" t="str">
        <f>IF($C$337=0,"",IF('Calc (ex-animal)'!$F$63=1,"",IF(D337="","",SUM(H337:O337))))</f>
        <v/>
      </c>
      <c r="H337" s="471" t="str">
        <f>IF('Calc (ex-animal)'!$F$63=1,"",IF(D337="","",(((VLOOKUP($C$337,'Calc (ex-animal)'!$D$68:$Y$72,6,FALSE)-VLOOKUP($C$337,'Calc (ex-animal)'!$D$68:$Y$72,17,FALSE))*F337/100))*VLOOKUP($C$337,'Calc (ex-animal)'!$D$68:$Y$72,7,FALSE)/100*(1-VLOOKUP(D337,'DB technologies'!$N$168:$Y$180,9,FALSE)/100)))</f>
        <v/>
      </c>
      <c r="I337" s="471" t="str">
        <f>IF(D337="","",((VLOOKUP(D337,'DB technologies'!$N$168:$Y$180,2,FALSE)*VLOOKUP($C$337,'DB animal categories'!$C$127:$AC$136,27,FALSE)*E337/1000)/VLOOKUP($C$337,'DB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'!$S$6/100*(1-VLOOKUP(D337,'DB technologies'!$N$168:$Y$180,9,FALSE)/100)))</f>
        <v/>
      </c>
      <c r="J337" s="472" t="str">
        <f>IF(D337="","",((VLOOKUP(D337,'DB technologies'!$N$168:$Y$180,3,FALSE)*VLOOKUP($C$337,'DB animal categories'!$C$127:$AC$136,27,FALSE)*E337/1000)/VLOOKUP($C$337,'DB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'!$S$7/100*(1-VLOOKUP(D337,'DB technologies'!$N$168:$Y$180,9,FALSE)/100)))</f>
        <v/>
      </c>
      <c r="K337" s="472" t="str">
        <f>IF(D337="","",((VLOOKUP(D337,'DB technologies'!$N$168:$Y$180,4,FALSE)*E337*'DB additional information '!$S$8/100*(1-VLOOKUP(D337,'DB technologies'!$N$168:$Y$180,9,FALSE)/100))/VLOOKUP($C$337,'DB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L337" s="471" t="str">
        <f>IF('Calc (ex-animal)'!$F$63=1,"",IF(D337="","",(((VLOOKUP($C$337,'Calc (ex-animal)'!$D$68:$Y$72,6,FALSE)-VLOOKUP($C$337,'Calc (ex-animal)'!$D$68:$Y$72,17,FALSE))*F337/100))*(1-VLOOKUP($C$337,'Calc (ex-animal)'!$D$68:$Y$72,7,FALSE)/100)*(1-VLOOKUP(D337,'DB technologies'!$N$168:$V$180,8,FALSE)/100)))</f>
        <v/>
      </c>
      <c r="M337" s="472" t="str">
        <f>IF(D337="","",((VLOOKUP(D337,'DB technologies'!$N$168:$Y$180,2,FALSE)*VLOOKUP($C$337,'DB animal categories'!$C$127:$AC$136,27,FALSE)*E337/1000)/VLOOKUP($C$337,'DB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'!$S$6/100)*(1-VLOOKUP(D337,'DB technologies'!$N$168:$Y$180,9,FALSE)/100))</f>
        <v/>
      </c>
      <c r="N337" s="472" t="str">
        <f>IF(D337="","",((VLOOKUP(D337,'DB technologies'!$N$168:$Y$180,3,FALSE)*VLOOKUP($C$337,'DB animal categories'!$C$127:$AC$136,27,FALSE)*E337/1000)/VLOOKUP($C$337,'DB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'!$S$7/100)*(1-VLOOKUP(D337,'DB technologies'!$N$168:$Y$180,9,FALSE)/100))</f>
        <v/>
      </c>
      <c r="O337" s="471" t="str">
        <f>IF(D337="","",((VLOOKUP(D337,'DB technologies'!$N$168:$Y$180,4,FALSE)*E337*(1-'DB additional information '!$S$8/100)*(1-VLOOKUP(D337,'DB technologies'!$N$168:$Y$180,8,FALSE)/100))/VLOOKUP($C$337,'DB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P337" s="443" t="str">
        <f>IF(G337=0,0,IF(E337="","",IF(F337="","",IF($C$337=0,"",IF(D337="","",SUM(H337:K337)/G337*100)))))</f>
        <v/>
      </c>
      <c r="Q337" s="473" t="str">
        <f>IF(D337="","",(VLOOKUP(D337,'DB technologies'!$N$168:$Y$180,2,FALSE)*'DB additional information '!$S$6/100*'DB additional information '!$T$6*VLOOKUP($C$337,'DB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R337" s="473" t="str">
        <f>IF(D337="","",(VLOOKUP(D337,'DB technologies'!$N$168:$Y$180,3,FALSE)*'DB additional information '!$S$7/100*'DB additional information '!$T$7*VLOOKUP($C$337,'DB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S337" s="490" t="str">
        <f>IF(D337="","",(VLOOKUP(D337,'DB technologies'!$N$168:$Y$180,4,FALSE)*('DB additional information '!$S$8/100*'DB additional information '!$T$8*E337/1000/1000)))</f>
        <v/>
      </c>
      <c r="T337" s="263" t="str">
        <f>IF($C$337=0,"",IF('Calc (ex-animal)'!$F$63=1,"",IF(D337="","",((VLOOKUP($C$337,'Calc (ex-animal)'!$D$68:$Y$72,10,FALSE)-VLOOKUP($C$337,'Calc (ex-animal)'!$D$68:$Y$72,18,FALSE))*F337/100+Q337+R337+S337)-AC337-AD337-AE337)))</f>
        <v/>
      </c>
      <c r="U337" s="474" t="str">
        <f>IF(D337="","",(VLOOKUP(D337,'DB technologies'!$N$168:$Y$180,2,FALSE)*'DB additional information '!$S$6/100*'DB additional information '!$U$6*VLOOKUP($C$337,'DB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V337" s="420" t="str">
        <f>IF(D337="","",(VLOOKUP(D337,'DB technologies'!$N$168:$Y$180,3,FALSE)*'DB additional information '!$S$7/100*'DB additional information '!$U$7*VLOOKUP($C$337,'DB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W337" s="415" t="str">
        <f>IF(D337="","",(VLOOKUP(D337,'DB technologies'!$N$168:$Y$180,4,FALSE)*('DB additional information '!$S$8/100*'DB additional information '!$U$8*E337/1000/1000)))</f>
        <v/>
      </c>
      <c r="X337" s="259" t="str">
        <f>IF($C$337=0,"",IF('Calc (ex-animal)'!$F$63=1,"",IF(D337="","",((VLOOKUP($C$337,'Calc (ex-animal)'!$D$68:$Y$72,13,FALSE)-VLOOKUP($C$337,'Calc (ex-animal)'!$D$68:$Y$72,19,FALSE))*F337/100+U337+V337+W337))))</f>
        <v/>
      </c>
      <c r="Y337" s="420" t="str">
        <f>IF(D337="","",(VLOOKUP(D337,'DB technologies'!$N$168:$Y$180,2,FALSE)*'DB additional information '!$S$6/100*'DB additional information '!$V$6*VLOOKUP($C$337,'DB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Z337" s="420" t="str">
        <f>IF(D337="","",(VLOOKUP(D337,'DB technologies'!$N$168:$Y$180,3,FALSE)*'DB additional information '!$S$7/100*'DB additional information '!$V$7*VLOOKUP($C$337,'DB animal categories'!$C$127:$AC$136,27,FALSE)*E337/1000/1000)/VLOOKUP($C$337,'DB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AA337" s="420" t="str">
        <f>IF(D337="","",(VLOOKUP(D337,'DB technologies'!$N$168:$Y$180,4,FALSE)*('DB additional information '!$S$8/100*'DB additional information '!$V$8*E337/1000/1000)))</f>
        <v/>
      </c>
      <c r="AB337" s="259" t="str">
        <f>IF($C$337=0,"",IF('Calc (ex-animal)'!$F$63=1,"",IF(D337="","",((VLOOKUP($C$337,'Calc (ex-animal)'!$D$68:$Y$72,16,FALSE)-VLOOKUP($C$337,'Calc (ex-animal)'!$D$68:$Y$72,20,FALSE))*F337/100+Y337+Z337+AA337))))</f>
        <v/>
      </c>
      <c r="AC337" s="259" t="str">
        <f>IF($C$337=0,"",IF('Calc (ex-animal)'!$F$63=1,"",IF(D337="","",VLOOKUP($C$337,'Calc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categories'!$C$127:$AC$136,26,FALSE)/24)*F337/100*VLOOKUP(D337,'DB technologies'!$N$168:$R$180,5,FALSE)/100)))</f>
        <v/>
      </c>
      <c r="AD337" s="259" t="str">
        <f>IF($C$337=0,"",IF('Calc (ex-animal)'!$F$63=1,"",IF(D337="","",VLOOKUP($C$337,'Calc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categories'!$C$127:$AC$136,26,FALSE)/24)*F337/100*VLOOKUP(D337,'DB technologies'!$N$168:$Y$180,6,FALSE)/100)))</f>
        <v/>
      </c>
      <c r="AE337" s="260" t="str">
        <f>IF($C$337=0,"",IF('Calc (ex-animal)'!$F$63=1,"",IF(D337="","",VLOOKUP($C$337,'Calc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categories'!$C$127:$AC$136,26,FALSE)/24)*F337/100*VLOOKUP(D337,'DB technologies'!$N$168:$Y$180,7,FALSE)/100)))</f>
        <v/>
      </c>
      <c r="AI337" s="179" t="str">
        <f>IF(D337="","",VLOOKUP(D337,'DB technologies'!$N$168:$Y$180,10,FALSE))</f>
        <v/>
      </c>
      <c r="AJ337" s="482" t="e">
        <f>VLOOKUP($C$337,'DB animal categories'!$C$127:$AN$136,27,FALSE)-VLOOKUP($C$337,'DB animal categories'!$C$127:$AN$136,26,FALSE)*VLOOKUP($C$337,'DB animal categories'!$C$127:$AN$136,25,FALSE)/24</f>
        <v>#N/A</v>
      </c>
      <c r="AK337" s="453" t="str">
        <f>IF(AI337="","",AL337+AM337)</f>
        <v/>
      </c>
      <c r="AL337" s="453" t="str">
        <f>IF(D337="","",IF(AI337=2,(('Calc (ex-animal)'!$G$68*'DB additional information '!$K$14/100*(1-VLOOKUP(D337,'DB technologies'!$N$168:$Y$180,9,FALSE)/100)*'Calc (ex-housing, ex-storage)'!F337/100+'Calc (ex-animal)'!$H$68*'DB additional information '!$L$14/100*(1-VLOOKUP(D337,'DB technologies'!$N$168:$Y$180,9,FALSE)/100)*'Calc (ex-housing, ex-storage)'!F337/100))/VLOOKUP($C$337,'DB animal categories'!$C$127:$AC$136,27,FALSE)*AJ337+I337+J337+K337,IF(AI337=1,('Calc (ex-animal)'!$H$68*'DB additional information '!$L$14/100*(1-VLOOKUP(D337,'DB technologies'!$N$168:$Y$180,9,FALSE)/100)*'Calc (ex-housing, ex-storage)'!F337/100)/VLOOKUP($C$337,'DB animal categories'!$C$127:$AC$136,27,FALSE)*AJ337,IF(AI337=4,('Calc (ex-animal)'!$G$68*'DB additional information '!$K$14/100+'Calc (ex-animal)'!$H$68*'DB additional information '!$L$14/100)*(1-VLOOKUP(D337,'DB technologies'!$N$168:$Y$180,9,FALSE)/100)*'Calc (ex-housing, ex-storage)'!F337/100*VLOOKUP(D337,'DB technologies'!$N$168:$Y$180,11,FALSE)/100/VLOOKUP($C$337,'DB animal categories'!$C$127:$AC$136,27,FALSE)*AJ337,0))))</f>
        <v/>
      </c>
      <c r="AM337" s="453" t="str">
        <f>IF(D337="","",IF(AI337=2,(('Calc (ex-animal)'!$G$68*(1-'DB additional information '!$K$14/100)*(1-VLOOKUP(D337,'DB technologies'!$N$168:$Y$180,8,FALSE)/100)*'Calc (ex-housing, ex-storage)'!F337/100+'Calc (ex-animal)'!$H$68*(1-'DB additional information '!$L$14/100)*(1-VLOOKUP(D337,'DB technologies'!$N$168:$Y$180,8,FALSE)/100)*'Calc (ex-housing, ex-storage)'!F337/100))/VLOOKUP($C$337,'DB animal categories'!$C$127:$AC$136,27,FALSE)*AJ337+M337+N337+O337,IF(AI337=1,('Calc (ex-animal)'!$H$68*(1-'DB additional information '!$L$14/100)*(1-VLOOKUP(D337,'DB technologies'!$N$168:$Y$180,8,FALSE)/100)*'Calc (ex-housing, ex-storage)'!F337/100)/VLOOKUP($C$337,'DB animal categories'!$C$127:$AC$136,27,FALSE)*AJ337,IF(AI337=4,('Calc (ex-animal)'!$G$68*(1-'DB additional information '!$K$14/100)+'Calc (ex-animal)'!$H$68*(1-'DB additional information '!$L$14/100))*(1-VLOOKUP(D337,'DB technologies'!$N$168:$Y$180,8,FALSE)/100)*'Calc (ex-housing, ex-storage)'!F337/100*VLOOKUP(D337,'DB technologies'!$N$168:$Y$180,11,FALSE)/100/VLOOKUP($C$337,'DB animal categories'!$C$127:$AC$136,27,FALSE)*AJ337,0))))</f>
        <v/>
      </c>
      <c r="AN337" s="453" t="str">
        <f>IF(AI337="","",IF(AL337=0,0,AL337/AK337*100))</f>
        <v/>
      </c>
      <c r="AO337" s="180" t="str">
        <f>IF(D337="","",IF(AI337=2,(('Calc (ex-animal)'!$L$68*'Calc (ex-housing, ex-storage)'!F337/100+'Calc (ex-animal)'!$K$68*'Calc (ex-housing, ex-storage)'!F337/100))/VLOOKUP($C$337,'DB animal categories'!$C$127:$AC$136,27,FALSE)*AJ337+Q337+R337+S337-AC337,IF(AI337=1,('Calc (ex-animal)'!$L$68*'Calc (ex-housing, ex-storage)'!F337/100)/VLOOKUP($C$337,'DB animal categories'!$C$127:$AC$136,27,FALSE)*AJ337-'Calc (ex-housing, ex-storage)'!AC337,IF(AI337=4,('Calc (ex-animal)'!$L$68+'Calc (ex-animal)'!$K$68)*'Calc (ex-housing, ex-storage)'!F337/100*VLOOKUP(D337,'DB technologies'!$N$168:$Y$180,11,FALSE)/100/VLOOKUP($C$337,'DB animal categories'!$C$127:$AC$136,27,FALSE)*AJ337-AC337*VLOOKUP(D337,'DB technologies'!$N$168:$Y$180,11,FALSE)/100,0))))</f>
        <v/>
      </c>
      <c r="AP337" s="180" t="str">
        <f>IF(D337="","",IF(AO337&lt;-0.01,0,IF(AI337=2,(('Calc (ex-animal)'!$L$68*'Calc (ex-housing, ex-storage)'!F337/100+'Calc (ex-animal)'!$K$68*'Calc (ex-housing, ex-storage)'!F337/100))/VLOOKUP($C$337,'DB animal categories'!$C$127:$AC$136,27,FALSE)*AJ337+Q337+R337+S337-AC337,IF(AI337=1,('Calc (ex-animal)'!$L$68*'Calc (ex-housing, ex-storage)'!F337/100)/VLOOKUP($C$337,'DB animal categories'!$C$127:$AC$136,27,FALSE)*AJ337-'Calc (ex-housing, ex-storage)'!AC337,IF(AI337=4,('Calc (ex-animal)'!$L$68+'Calc (ex-animal)'!$K$68)*'Calc (ex-housing, ex-storage)'!F337/100*VLOOKUP(D337,'DB technologies'!$N$168:$Y$180,11,FALSE)/100/VLOOKUP($C$337,'DB animal categories'!$C$127:$AC$136,27,FALSE)*AJ337-AC337*VLOOKUP(D337,'DB technologies'!$N$168:$Y$180,11,FALSE)/100,0)))))</f>
        <v/>
      </c>
      <c r="AQ337" s="180" t="str">
        <f>IF(D337="","",IF(AI337=2,('Calc (ex-animal)'!$O$68*'Calc (ex-housing, ex-storage)'!F337/100+'Calc (ex-animal)'!$N$68*'Calc (ex-housing, ex-storage)'!F337/100)/VLOOKUP($C$337,'DB animal categories'!$C$127:$AC$136,27,FALSE)*AJ337+U337+V337+W337,IF(AI337=1,'Calc (ex-animal)'!$O$68*'Calc (ex-housing, ex-storage)'!F337/100/VLOOKUP($C$337,'DB animal categories'!$C$127:$AC$136,27,FALSE)*AJ337,IF(AI337=4,('Calc (ex-animal)'!$O$68+'Calc (ex-animal)'!$N$68)*'Calc (ex-housing, ex-storage)'!F337/100*VLOOKUP(D337,'DB technologies'!$N$168:$Y$180,11,FALSE)/100/VLOOKUP($C$337,'DB animal categories'!$C$127:$AC$136,27,FALSE)*AJ337,0))))</f>
        <v/>
      </c>
      <c r="AR337" s="180" t="str">
        <f>IF(D337="","",IF(AI337=2,('Calc (ex-animal)'!$R$68*'Calc (ex-housing, ex-storage)'!F337/100+'Calc (ex-animal)'!$Q$68*'Calc (ex-housing, ex-storage)'!F337/100)/VLOOKUP($C$337,'DB animal categories'!$C$127:$AC$136,27,FALSE)*AJ337+Y337+Z337+AA337,IF(AI337=1,'Calc (ex-animal)'!$R$68*'Calc (ex-housing, ex-storage)'!F337/100/VLOOKUP($C$337,'DB animal categories'!$C$127:$AC$136,27,FALSE)*AJ337,IF(AI337=4,('Calc (ex-animal)'!$R$68+'Calc (ex-animal)'!$Q$68)*'Calc (ex-housing, ex-storage)'!F337/100*VLOOKUP(D337,'DB technologies'!$N$168:$Y$180,11,FALSE)/100/VLOOKUP($C$337,'DB animal categories'!$C$127:$AC$136,27,FALSE)*AJ337,0))))</f>
        <v/>
      </c>
      <c r="AS337" s="179" t="str">
        <f>IF(D337="","",VLOOKUP(D337,'DB technologies'!$N$168:$Y$180,10,FALSE))</f>
        <v/>
      </c>
      <c r="AT337" s="453" t="str">
        <f>IF(AS337="","",AU337+AV337)</f>
        <v/>
      </c>
      <c r="AU337" s="453" t="str">
        <f>IF(D337="","",IF(AS337=2,0,IF(AS337=1,'Calc (ex-animal)'!$G$68*'DB additional information '!$K$14/100*(1-VLOOKUP(D337,'DB technologies'!$N$168:$Y$180,8,FALSE)/100)*'Calc (ex-housing, ex-storage)'!F337/100/VLOOKUP($C$337,'DB animal categories'!$C$127:$AC$136,27,FALSE)*AJ337+I337+J337+K337,IF(AS337=5,(('Calc (ex-animal)'!$G$68*'DB additional information '!$K$14/100+'Calc (ex-animal)'!$H$68*'DB additional information '!$L$14/100))*(1-VLOOKUP(D337,'DB technologies'!$N$168:$Y$180,9,FALSE)/100)*'Calc (ex-housing, ex-storage)'!F337/100/VLOOKUP($C$337,'DB animal categories'!$C$127:$AC$136,27,FALSE)*AJ337+I337+J337+K337,IF(AS337=3,('Calc (ex-animal)'!$G$68*'DB additional information '!$K$14/100+'Calc (ex-animal)'!$H$68*'DB additional information '!$L$14/100)*(1-VLOOKUP(D337,'DB technologies'!$N$168:$Y$180,9,FALSE)/100)*'Calc (ex-housing, ex-storage)'!F337/100/VLOOKUP($C$337,'DB animal categories'!$C$127:$AC$136,27,FALSE)*AJ337+I337+J337+K337,IF(AS337=4,('Calc (ex-animal)'!$G$68*'DB additional information '!$K$14/100+'Calc (ex-animal)'!$H$68*'DB additional information '!$L$14/100)*(1-VLOOKUP(D337,'DB technologies'!$N$168:$Y$180,9,FALSE)/100)*'Calc (ex-housing, ex-storage)'!F337/100*VLOOKUP(D337,'DB technologies'!$N$168:$Y$180,12,FALSE)/100/VLOOKUP($C$337,'DB animal categories'!$C$127:$AC$136,27,FALSE)*AJ337+I337+J337+K337,0))))))</f>
        <v/>
      </c>
      <c r="AV337" s="453" t="str">
        <f>IF(D337="","",IF(AS337=2,0,IF(AS337=1,'Calc (ex-animal)'!$G$68*(1-'DB additional information '!$K$14/100)*(1-VLOOKUP(D337,'DB technologies'!$N$168:$Y$180,8,FALSE)/100)*'Calc (ex-housing, ex-storage)'!F337/100/VLOOKUP($C$337,'DB animal categories'!$C$127:$AC$136,27,FALSE)*AJ337+M337+N337+O337,IF(AS337=5,('Calc (ex-animal)'!$G$68*(1-'DB additional information '!$K$14/100)+'Calc (ex-animal)'!$H$68*(1-'DB additional information '!$L$14/100))*(1-VLOOKUP(D337,'DB technologies'!$N$168:$Y$180,8,FALSE)/100)*'Calc (ex-housing, ex-storage)'!F337/100/VLOOKUP($C$337,'DB animal categories'!$C$127:$AC$136,27,FALSE)*AJ337+M337+N337+O337,IF(AS337=3,('Calc (ex-animal)'!$G$68*(1-'DB additional information '!$K$14/100)+'Calc (ex-animal)'!$H$68*(1-'DB additional information '!$L$14/100))*(1-VLOOKUP(D337,'DB technologies'!$N$168:$Y$180,8,FALSE)/100)*'Calc (ex-housing, ex-storage)'!F337/100/VLOOKUP($C$337,'DB animal categories'!$C$127:$AC$136,27,FALSE)*AJ337+M337+N337+O337,IF(AS337=4,('Calc (ex-animal)'!$G$68*(1-'DB additional information '!$K$14/100)+'Calc (ex-animal)'!$H$68*(1-'DB additional information '!$L$14/100))*(1-VLOOKUP(D337,'DB technologies'!$N$168:$Y$180,8,FALSE)/100)*'Calc (ex-housing, ex-storage)'!F337/100*VLOOKUP(D337,'DB technologies'!$N$168:$Y$180,12,FALSE)/100/VLOOKUP($C$337,'DB animal categories'!$C$127:$AC$136,27,FALSE)*AJ337+M337+N337+O337,0))))))</f>
        <v/>
      </c>
      <c r="AW337" s="453" t="str">
        <f>IF(AS337="","",IF(AU337=0,0,AU337/AT337*100))</f>
        <v/>
      </c>
      <c r="AX337" s="180" t="str">
        <f>IF(D337="","",IF(AS337=2,0,IF(AS337=1,'Calc (ex-animal)'!$K$68*'Calc (ex-housing, ex-storage)'!F337/100/VLOOKUP($C$337,'DB animal categories'!$C$127:$AC$136,27,FALSE)*AJ337+Q337+R337+S337,IF(AS337=5,('Calc (ex-animal)'!$K$68+'Calc (ex-animal)'!$L$68)*'Calc (ex-housing, ex-storage)'!F337/100/VLOOKUP($C$337,'DB animal categories'!$C$127:$AC$136,27,FALSE)*AJ337+Q337+R337+S337-'Calc (ex-housing, ex-storage)'!AC337,IF(AS337=3,('Calc (ex-animal)'!$K$68+'Calc (ex-animal)'!$L$68)*'Calc (ex-housing, ex-storage)'!F337/100/VLOOKUP($C$337,'DB animal categories'!$C$127:$AC$136,27,FALSE)*AJ337+Q337+R337+S337-'Calc (ex-housing, ex-storage)'!AC337-AD337-AE337,IF(AI337=4,('Calc (ex-animal)'!$K$68+'Calc (ex-animal)'!$L$68)*'Calc (ex-housing, ex-storage)'!F337/100*VLOOKUP(D337,'DB technologies'!$N$168:$Y$180,12,FALSE)/100/VLOOKUP($C$337,'DB animal categories'!$C$127:$AC$136,27,FALSE)*AJ337+Q337+R337+S337-(VLOOKUP(D337,'DB technologies'!$N$168:$Y$180,12,FALSE)/100*AC337)-AD337-AE337,0))))))</f>
        <v/>
      </c>
      <c r="AY337" s="180" t="str">
        <f>IF(D337="","",IF(AS337=2,0,IF(AS337=1,'Calc (ex-animal)'!$N$68*'Calc (ex-housing, ex-storage)'!F337/100/VLOOKUP($C$337,'DB animal categories'!$C$127:$AC$136,27,FALSE)*AJ337+U337+V337+W337,IF(AS337=5,('Calc (ex-animal)'!$N$68+'Calc (ex-animal)'!$O$68)*'Calc (ex-housing, ex-storage)'!F337/100/VLOOKUP($C$337,'DB animal categories'!$C$127:$AC$136,27,FALSE)*AJ337+U337+V337+W337,IF(AS337=3,('Calc (ex-animal)'!$N$68+'Calc (ex-animal)'!$O$68)*'Calc (ex-housing, ex-storage)'!F337/100/VLOOKUP($C$337,'DB animal categories'!$C$127:$AC$136,27,FALSE)*AJ337+U337+V337+W337,IF(AS337=4,('Calc (ex-animal)'!$N$68+'Calc (ex-animal)'!$O$68)*'Calc (ex-housing, ex-storage)'!F337/100*VLOOKUP(D337,'DB technologies'!$N$168:$Y$180,12,FALSE)/100/VLOOKUP($C$337,'DB animal categories'!$C$127:$AC$136,27,FALSE)*AJ337+U337+V337+W337,0))))))</f>
        <v/>
      </c>
      <c r="AZ337" s="180" t="str">
        <f>IF(D337="","",IF(AS337=2,0,IF(AS337=1,'Calc (ex-animal)'!$Q$68*'Calc (ex-housing, ex-storage)'!F337/100/VLOOKUP($C$337,'DB animal categories'!$C$127:$AC$136,27,FALSE)*AJ337+Y337+Z337+AA337,IF(AS337=5,('Calc (ex-animal)'!$Q$68+'Calc (ex-animal)'!$R$68)*'Calc (ex-housing, ex-storage)'!F337/100/VLOOKUP($C$337,'DB animal categories'!$C$127:$AC$136,27,FALSE)*AJ337+Y337+Z337+AA337,IF(AS337=3,('Calc (ex-animal)'!$Q$68+'Calc (ex-animal)'!$R$68)*'Calc (ex-housing, ex-storage)'!F337/100/VLOOKUP($C$337,'DB animal categories'!$C$127:$AC$136,27,FALSE)*AJ337+Y337+Z337+AA337,IF(AS337=4,('Calc (ex-animal)'!$Q$68+'Calc (ex-animal)'!$R$68)*'Calc (ex-housing, ex-storage)'!F337/100*VLOOKUP(D337,'DB technologies'!$N$168:$Y$180,12,FALSE)/100/VLOOKUP($C$337,'DB animal categories'!$C$127:$AC$136,27,FALSE)*AJ337+Y337+Z337+AA337,0))))))</f>
        <v/>
      </c>
      <c r="BA337" s="506"/>
      <c r="BB337" s="506"/>
      <c r="BC337" s="506"/>
    </row>
    <row r="338" spans="1:55" x14ac:dyDescent="0.2">
      <c r="A338" s="695"/>
      <c r="B338" s="695"/>
      <c r="C338" s="255"/>
      <c r="D338" s="1357"/>
      <c r="E338" s="1358"/>
      <c r="F338" s="480" t="str">
        <f>IF('Calc (ex-animal)'!$F$63=1,"",IF($C$337=0,"",IF(D338="","",E338/'Calc (ex-animal)'!$E$68*100)))</f>
        <v/>
      </c>
      <c r="G338" s="485" t="str">
        <f>IF($C$337=0,"",IF('Calc (ex-animal)'!$F$63=1,"",IF(D338="","",SUM(H338:O338))))</f>
        <v/>
      </c>
      <c r="H338" s="423" t="str">
        <f>IF('Calc (ex-animal)'!$F$63=1,"",IF(D338="","",(((VLOOKUP($C$337,'Calc (ex-animal)'!$D$68:$Y$72,6,FALSE)-VLOOKUP($C$337,'Calc (ex-animal)'!$D$68:$Y$72,17,FALSE))*F338/100))*VLOOKUP($C$337,'Calc (ex-animal)'!$D$68:$Y$72,7,FALSE)/100*(1-VLOOKUP(D338,'DB technologies'!$N$168:$Y$180,9,FALSE)/100)))</f>
        <v/>
      </c>
      <c r="I338" s="423" t="str">
        <f>IF(D338="","",((VLOOKUP(D338,'DB technologies'!$N$168:$Y$180,2,FALSE)*VLOOKUP($C$337,'DB animal categories'!$C$127:$AC$136,27,FALSE)*E338/1000)/VLOOKUP($C$337,'DB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'!$S$6/100*(1-VLOOKUP(D338,'DB technologies'!$N$168:$Y$180,9,FALSE)/100)))</f>
        <v/>
      </c>
      <c r="J338" s="434" t="str">
        <f>IF(D338="","",((VLOOKUP(D338,'DB technologies'!$N$168:$Y$180,3,FALSE)*VLOOKUP($C$337,'DB animal categories'!$C$127:$AC$136,27,FALSE)*E338/1000)/VLOOKUP($C$337,'DB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'!$S$7/100*(1-VLOOKUP(D338,'DB technologies'!$N$168:$Y$180,9,FALSE)/100)))</f>
        <v/>
      </c>
      <c r="K338" s="434" t="str">
        <f>IF(D338="","",((VLOOKUP(D338,'DB technologies'!$N$168:$Y$180,4,FALSE)*E338*'DB additional information '!$S$8/100*(1-VLOOKUP(D338,'DB technologies'!$N$168:$Y$180,9,FALSE)/100))/VLOOKUP($C$337,'DB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L338" s="423" t="str">
        <f>IF('Calc (ex-animal)'!$F$63=1,"",IF(D338="","",(((VLOOKUP($C$337,'Calc (ex-animal)'!$D$68:$Y$72,6,FALSE)-VLOOKUP($C$337,'Calc (ex-animal)'!$D$68:$Y$72,17,FALSE))*F338/100))*(1-VLOOKUP($C$337,'Calc (ex-animal)'!$D$68:$Y$72,7,FALSE)/100)*(1-VLOOKUP(D338,'DB technologies'!$N$168:$V$180,8,FALSE)/100)))</f>
        <v/>
      </c>
      <c r="M338" s="434" t="str">
        <f>IF(D338="","",((VLOOKUP(D338,'DB technologies'!$N$168:$Y$180,2,FALSE)*VLOOKUP($C$337,'DB animal categories'!$C$127:$AC$136,27,FALSE)*E338/1000)/VLOOKUP($C$337,'DB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'!$S$6/100)*(1-VLOOKUP(D338,'DB technologies'!$N$168:$Y$180,9,FALSE)/100))</f>
        <v/>
      </c>
      <c r="N338" s="434" t="str">
        <f>IF(D338="","",((VLOOKUP(D338,'DB technologies'!$N$168:$Y$180,3,FALSE)*VLOOKUP($C$337,'DB animal categories'!$C$127:$AC$136,27,FALSE)*E338/1000)/VLOOKUP($C$337,'DB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'!$S$7/100)*(1-VLOOKUP(D338,'DB technologies'!$N$168:$Y$180,9,FALSE)/100))</f>
        <v/>
      </c>
      <c r="O338" s="423" t="str">
        <f>IF(D338="","",((VLOOKUP(D338,'DB technologies'!$N$168:$Y$180,4,FALSE)*E338*(1-'DB additional information '!$S$8/100)*(1-VLOOKUP(D338,'DB technologies'!$N$168:$Y$180,8,FALSE)/100))/VLOOKUP($C$337,'DB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P338" s="438" t="str">
        <f>IF(G338=0,0,IF(E338="","",IF(F338="","",IF($C$337=0,"",IF(D338="","",SUM(H338:K338)/G338*100)))))</f>
        <v/>
      </c>
      <c r="Q338" s="416" t="str">
        <f>IF(D338="","",(VLOOKUP(D338,'DB technologies'!$N$168:$Y$180,2,FALSE)*'DB additional information '!$S$6/100*'DB additional information '!$T$6*VLOOKUP($C$337,'DB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R338" s="416" t="str">
        <f>IF(D338="","",(VLOOKUP(D338,'DB technologies'!$N$168:$Y$180,3,FALSE)*'DB additional information '!$S$7/100*'DB additional information '!$T$7*VLOOKUP($C$337,'DB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S338" s="491" t="str">
        <f>IF(D338="","",(VLOOKUP(D338,'DB technologies'!$N$168:$Y$180,4,FALSE)*('DB additional information '!$S$8/100*'DB additional information '!$T$8*E338/1000/1000)))</f>
        <v/>
      </c>
      <c r="T338" s="264" t="str">
        <f>IF($C$337=0,"",IF('Calc (ex-animal)'!$F$63=1,"",IF(D338="","",((VLOOKUP($C$337,'Calc (ex-animal)'!$D$68:$Y$72,10,FALSE)-VLOOKUP($C$337,'Calc (ex-animal)'!$D$68:$Y$72,18,FALSE))*F338/100+Q338+R338+S338)-AC338-AD338-AE338)))</f>
        <v/>
      </c>
      <c r="U338" s="422" t="str">
        <f>IF(D338="","",(VLOOKUP(D338,'DB technologies'!$N$168:$Y$180,2,FALSE)*'DB additional information '!$S$6/100*'DB additional information '!$U$6*VLOOKUP($C$337,'DB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V338" s="418" t="str">
        <f>IF(D338="","",(VLOOKUP(D338,'DB technologies'!$N$168:$Y$180,3,FALSE)*'DB additional information '!$S$7/100*'DB additional information '!$U$7*VLOOKUP($C$337,'DB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W338" s="417" t="str">
        <f>IF(D338="","",(VLOOKUP(D338,'DB technologies'!$N$168:$Y$180,4,FALSE)*('DB additional information '!$S$8/100*'DB additional information '!$U$8*E338/1000/1000)))</f>
        <v/>
      </c>
      <c r="X338" s="261" t="str">
        <f>IF($C$337=0,"",IF('Calc (ex-animal)'!$F$63=1,"",IF(D338="","",((VLOOKUP($C$337,'Calc (ex-animal)'!$D$68:$Y$72,13,FALSE)-VLOOKUP($C$337,'Calc (ex-animal)'!$D$68:$Y$72,19,FALSE))*F338/100+U338+V338+W338))))</f>
        <v/>
      </c>
      <c r="Y338" s="418" t="str">
        <f>IF(D338="","",(VLOOKUP(D338,'DB technologies'!$N$168:$Y$180,2,FALSE)*'DB additional information '!$S$6/100*'DB additional information '!$V$6*VLOOKUP($C$337,'DB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Z338" s="418" t="str">
        <f>IF(D338="","",(VLOOKUP(D338,'DB technologies'!$N$168:$Y$180,3,FALSE)*'DB additional information '!$S$7/100*'DB additional information '!$V$7*VLOOKUP($C$337,'DB animal categories'!$C$127:$AC$136,27,FALSE)*E338/1000/1000)/VLOOKUP($C$337,'DB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AA338" s="418" t="str">
        <f>IF(D338="","",(VLOOKUP(D338,'DB technologies'!$N$168:$Y$180,4,FALSE)*('DB additional information '!$S$8/100*'DB additional information '!$V$8*E338/1000/1000)))</f>
        <v/>
      </c>
      <c r="AB338" s="261" t="str">
        <f>IF($C$337=0,"",IF('Calc (ex-animal)'!$F$63=1,"",IF(D338="","",((VLOOKUP($C$337,'Calc (ex-animal)'!$D$68:$Y$72,16,FALSE)-VLOOKUP($C$337,'Calc (ex-animal)'!$D$68:$Y$72,20,FALSE))*F338/100+Y338+Z338+AA338))))</f>
        <v/>
      </c>
      <c r="AC338" s="261" t="str">
        <f>IF($C$337=0,"",IF('Calc (ex-animal)'!$F$63=1,"",IF(D338="","",VLOOKUP($C$337,'Calc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categories'!$C$127:$AC$136,26,FALSE)/24)*F338/100*VLOOKUP(D338,'DB technologies'!$N$168:$R$180,5,FALSE)/100)))</f>
        <v/>
      </c>
      <c r="AD338" s="261" t="str">
        <f>IF($C$337=0,"",IF('Calc (ex-animal)'!$F$63=1,"",IF(D338="","",VLOOKUP($C$337,'Calc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categories'!$C$127:$AC$136,26,FALSE)/24)*F338/100*VLOOKUP(D338,'DB technologies'!$N$168:$Y$180,6,FALSE)/100)))</f>
        <v/>
      </c>
      <c r="AE338" s="262" t="str">
        <f>IF($C$337=0,"",IF('Calc (ex-animal)'!$F$63=1,"",IF(D338="","",VLOOKUP($C$337,'Calc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categories'!$C$127:$AC$136,26,FALSE)/24)*F338/100*VLOOKUP(D338,'DB technologies'!$N$168:$Y$180,7,FALSE)/100)))</f>
        <v/>
      </c>
      <c r="AI338" s="181" t="str">
        <f>IF(D338="","",VLOOKUP(D338,'DB technologies'!$N$168:$Y$180,10,FALSE))</f>
        <v/>
      </c>
      <c r="AJ338" s="449" t="e">
        <f>VLOOKUP($C$337,'DB animal categories'!$C$127:$AN$136,27,FALSE)-VLOOKUP($C$337,'DB animal categories'!$C$127:$AN$136,26,FALSE)*VLOOKUP($C$337,'DB animal categories'!$C$127:$AN$136,25,FALSE)/24</f>
        <v>#N/A</v>
      </c>
      <c r="AK338" s="442" t="str">
        <f>IF(AI338="","",AL338+AM338)</f>
        <v/>
      </c>
      <c r="AL338" s="442" t="str">
        <f>IF(D338="","",IF(AI338=2,(('Calc (ex-animal)'!$G$68*'DB additional information '!$K$14/100*(1-VLOOKUP(D338,'DB technologies'!$N$168:$Y$180,9,FALSE)/100)*'Calc (ex-housing, ex-storage)'!F338/100+'Calc (ex-animal)'!$H$68*'DB additional information '!$L$14/100*(1-VLOOKUP(D338,'DB technologies'!$N$168:$Y$180,9,FALSE)/100)*'Calc (ex-housing, ex-storage)'!F338/100))/VLOOKUP($C$337,'DB animal categories'!$C$127:$AC$136,27,FALSE)*AJ338+I338+J338+K338,IF(AI338=1,('Calc (ex-animal)'!$H$68*'DB additional information '!$L$14/100*(1-VLOOKUP(D338,'DB technologies'!$N$168:$Y$180,9,FALSE)/100)*'Calc (ex-housing, ex-storage)'!F338/100)/VLOOKUP($C$337,'DB animal categories'!$C$127:$AC$136,27,FALSE)*AJ338,IF(AI338=4,('Calc (ex-animal)'!$G$68*'DB additional information '!$K$14/100+'Calc (ex-animal)'!$H$68*'DB additional information '!$L$14/100)*(1-VLOOKUP(D338,'DB technologies'!$N$168:$Y$180,9,FALSE)/100)*'Calc (ex-housing, ex-storage)'!F338/100*VLOOKUP(D338,'DB technologies'!$N$168:$Y$180,11,FALSE)/100/VLOOKUP($C$337,'DB animal categories'!$C$127:$AC$136,27,FALSE)*AJ338,0))))</f>
        <v/>
      </c>
      <c r="AM338" s="442" t="str">
        <f>IF(D338="","",IF(AI338=2,(('Calc (ex-animal)'!$G$68*(1-'DB additional information '!$K$14/100)*(1-VLOOKUP(D338,'DB technologies'!$N$168:$Y$180,8,FALSE)/100)*'Calc (ex-housing, ex-storage)'!F338/100+'Calc (ex-animal)'!$H$68*(1-'DB additional information '!$L$14/100)*(1-VLOOKUP(D338,'DB technologies'!$N$168:$Y$180,8,FALSE)/100)*'Calc (ex-housing, ex-storage)'!F338/100))/VLOOKUP($C$337,'DB animal categories'!$C$127:$AC$136,27,FALSE)*AJ338+M338+N338+O338,IF(AI338=1,('Calc (ex-animal)'!$H$68*(1-'DB additional information '!$L$14/100)*(1-VLOOKUP(D338,'DB technologies'!$N$168:$Y$180,8,FALSE)/100)*'Calc (ex-housing, ex-storage)'!F338/100)/VLOOKUP($C$337,'DB animal categories'!$C$127:$AC$136,27,FALSE)*AJ338,IF(AI338=4,('Calc (ex-animal)'!$G$68*(1-'DB additional information '!$K$14/100)+'Calc (ex-animal)'!$H$68*(1-'DB additional information '!$L$14/100))*(1-VLOOKUP(D338,'DB technologies'!$N$168:$Y$180,8,FALSE)/100)*'Calc (ex-housing, ex-storage)'!F338/100*VLOOKUP(D338,'DB technologies'!$N$168:$Y$180,11,FALSE)/100/VLOOKUP($C$337,'DB animal categories'!$C$127:$AC$136,27,FALSE)*AJ338,0))))</f>
        <v/>
      </c>
      <c r="AN338" s="442" t="str">
        <f>IF(AI338="","",IF(AL338=0,0,AL338/AK338*100))</f>
        <v/>
      </c>
      <c r="AO338" s="182" t="str">
        <f>IF(D338="","",IF(AI338=2,(('Calc (ex-animal)'!$L$68*'Calc (ex-housing, ex-storage)'!F338/100+'Calc (ex-animal)'!$K$68*'Calc (ex-housing, ex-storage)'!F338/100))/VLOOKUP($C$337,'DB animal categories'!$C$127:$AC$136,27,FALSE)*AJ338+Q338+R338+S338-AC338,IF(AI338=1,('Calc (ex-animal)'!$L$68*'Calc (ex-housing, ex-storage)'!F338/100)/VLOOKUP($C$337,'DB animal categories'!$C$127:$AC$136,27,FALSE)*AJ338-'Calc (ex-housing, ex-storage)'!AC338,IF(AI338=4,('Calc (ex-animal)'!$L$68+'Calc (ex-animal)'!$K$68)*'Calc (ex-housing, ex-storage)'!F338/100*VLOOKUP(D338,'DB technologies'!$N$168:$Y$180,11,FALSE)/100/VLOOKUP($C$337,'DB animal categories'!$C$127:$AC$136,27,FALSE)*AJ338-AC338*VLOOKUP(D338,'DB technologies'!$N$168:$Y$180,11,FALSE)/100,0))))</f>
        <v/>
      </c>
      <c r="AP338" s="182" t="str">
        <f>IF(D338="","",IF(AO338&lt;-0.01,0,IF(AI338=2,(('Calc (ex-animal)'!$L$68*'Calc (ex-housing, ex-storage)'!F338/100+'Calc (ex-animal)'!$K$68*'Calc (ex-housing, ex-storage)'!F338/100))/VLOOKUP($C$337,'DB animal categories'!$C$127:$AC$136,27,FALSE)*AJ338+Q338+R338+S338-AC338,IF(AI338=1,('Calc (ex-animal)'!$L$68*'Calc (ex-housing, ex-storage)'!F338/100)/VLOOKUP($C$337,'DB animal categories'!$C$127:$AC$136,27,FALSE)*AJ338-'Calc (ex-housing, ex-storage)'!AC338,IF(AI338=4,('Calc (ex-animal)'!$L$68+'Calc (ex-animal)'!$K$68)*'Calc (ex-housing, ex-storage)'!F338/100*VLOOKUP(D338,'DB technologies'!$N$168:$Y$180,11,FALSE)/100/VLOOKUP($C$337,'DB animal categories'!$C$127:$AC$136,27,FALSE)*AJ338-AC338*VLOOKUP(D338,'DB technologies'!$N$168:$Y$180,11,FALSE)/100,0)))))</f>
        <v/>
      </c>
      <c r="AQ338" s="182" t="str">
        <f>IF(D338="","",IF(AI338=2,('Calc (ex-animal)'!$O$68*'Calc (ex-housing, ex-storage)'!F338/100+'Calc (ex-animal)'!$N$68*'Calc (ex-housing, ex-storage)'!F338/100)/VLOOKUP($C$337,'DB animal categories'!$C$127:$AC$136,27,FALSE)*AJ338+U338+V338+W338,IF(AI338=1,'Calc (ex-animal)'!$O$68*'Calc (ex-housing, ex-storage)'!F338/100/VLOOKUP($C$337,'DB animal categories'!$C$127:$AC$136,27,FALSE)*AJ338,IF(AI338=4,('Calc (ex-animal)'!$O$68+'Calc (ex-animal)'!$N$68)*'Calc (ex-housing, ex-storage)'!F338/100*VLOOKUP(D338,'DB technologies'!$N$168:$Y$180,11,FALSE)/100/VLOOKUP($C$337,'DB animal categories'!$C$127:$AC$136,27,FALSE)*AJ338,0))))</f>
        <v/>
      </c>
      <c r="AR338" s="182" t="str">
        <f>IF(D338="","",IF(AI338=2,('Calc (ex-animal)'!$R$68*'Calc (ex-housing, ex-storage)'!F338/100+'Calc (ex-animal)'!$Q$68*'Calc (ex-housing, ex-storage)'!F338/100)/VLOOKUP($C$337,'DB animal categories'!$C$127:$AC$136,27,FALSE)*AJ338+Y338+Z338+AA338,IF(AI338=1,'Calc (ex-animal)'!$R$68*'Calc (ex-housing, ex-storage)'!F338/100/VLOOKUP($C$337,'DB animal categories'!$C$127:$AC$136,27,FALSE)*AJ338,IF(AI338=4,('Calc (ex-animal)'!$R$68+'Calc (ex-animal)'!$Q$68)*'Calc (ex-housing, ex-storage)'!F338/100*VLOOKUP(D338,'DB technologies'!$N$168:$Y$180,11,FALSE)/100/VLOOKUP($C$337,'DB animal categories'!$C$127:$AC$136,27,FALSE)*AJ338,0))))</f>
        <v/>
      </c>
      <c r="AS338" s="181" t="str">
        <f>IF(D338="","",VLOOKUP(D338,'DB technologies'!$N$168:$Y$180,10,FALSE))</f>
        <v/>
      </c>
      <c r="AT338" s="442" t="str">
        <f>IF(AS338="","",AU338+AV338)</f>
        <v/>
      </c>
      <c r="AU338" s="442" t="str">
        <f>IF(D338="","",IF(AS338=2,0,IF(AS338=1,'Calc (ex-animal)'!$G$68*'DB additional information '!$K$14/100*(1-VLOOKUP(D338,'DB technologies'!$N$168:$Y$180,8,FALSE)/100)*'Calc (ex-housing, ex-storage)'!F338/100/VLOOKUP($C$337,'DB animal categories'!$C$127:$AC$136,27,FALSE)*AJ338+I338+J338+K338,IF(AS338=5,(('Calc (ex-animal)'!$G$68*'DB additional information '!$K$14/100+'Calc (ex-animal)'!$H$68*'DB additional information '!$L$14/100))*(1-VLOOKUP(D338,'DB technologies'!$N$168:$Y$180,9,FALSE)/100)*'Calc (ex-housing, ex-storage)'!F338/100/VLOOKUP($C$337,'DB animal categories'!$C$127:$AC$136,27,FALSE)*AJ338+I338+J338+K338,IF(AS338=3,('Calc (ex-animal)'!$G$68*'DB additional information '!$K$14/100+'Calc (ex-animal)'!$H$68*'DB additional information '!$L$14/100)*(1-VLOOKUP(D338,'DB technologies'!$N$168:$Y$180,9,FALSE)/100)*'Calc (ex-housing, ex-storage)'!F338/100/VLOOKUP($C$337,'DB animal categories'!$C$127:$AC$136,27,FALSE)*AJ338+I338+J338+K338,IF(AS338=4,('Calc (ex-animal)'!$G$68*'DB additional information '!$K$14/100+'Calc (ex-animal)'!$H$68*'DB additional information '!$L$14/100)*(1-VLOOKUP(D338,'DB technologies'!$N$168:$Y$180,9,FALSE)/100)*'Calc (ex-housing, ex-storage)'!F338/100*VLOOKUP(D338,'DB technologies'!$N$168:$Y$180,12,FALSE)/100/VLOOKUP($C$337,'DB animal categories'!$C$127:$AC$136,27,FALSE)*AJ338+I338+J338+K338,0))))))</f>
        <v/>
      </c>
      <c r="AV338" s="442" t="str">
        <f>IF(D338="","",IF(AS338=2,0,IF(AS338=1,'Calc (ex-animal)'!$G$68*(1-'DB additional information '!$K$14/100)*(1-VLOOKUP(D338,'DB technologies'!$N$168:$Y$180,8,FALSE)/100)*'Calc (ex-housing, ex-storage)'!F338/100/VLOOKUP($C$337,'DB animal categories'!$C$127:$AC$136,27,FALSE)*AJ338+M338+N338+O338,IF(AS338=5,('Calc (ex-animal)'!$G$68*(1-'DB additional information '!$K$14/100)+'Calc (ex-animal)'!$H$68*(1-'DB additional information '!$L$14/100))*(1-VLOOKUP(D338,'DB technologies'!$N$168:$Y$180,8,FALSE)/100)*'Calc (ex-housing, ex-storage)'!F338/100/VLOOKUP($C$337,'DB animal categories'!$C$127:$AC$136,27,FALSE)*AJ338+M338+N338+O338,IF(AS338=3,('Calc (ex-animal)'!$G$68*(1-'DB additional information '!$K$14/100)+'Calc (ex-animal)'!$H$68*(1-'DB additional information '!$L$14/100))*(1-VLOOKUP(D338,'DB technologies'!$N$168:$Y$180,8,FALSE)/100)*'Calc (ex-housing, ex-storage)'!F338/100/VLOOKUP($C$337,'DB animal categories'!$C$127:$AC$136,27,FALSE)*AJ338+M338+N338+O338,IF(AS338=4,('Calc (ex-animal)'!$G$68*(1-'DB additional information '!$K$14/100)+'Calc (ex-animal)'!$H$68*(1-'DB additional information '!$L$14/100))*(1-VLOOKUP(D338,'DB technologies'!$N$168:$Y$180,8,FALSE)/100)*'Calc (ex-housing, ex-storage)'!F338/100*VLOOKUP(D338,'DB technologies'!$N$168:$Y$180,12,FALSE)/100/VLOOKUP($C$337,'DB animal categories'!$C$127:$AC$136,27,FALSE)*AJ338+M338+N338+O338,0))))))</f>
        <v/>
      </c>
      <c r="AW338" s="442" t="str">
        <f>IF(AS338="","",IF(AU338=0,0,AU338/AT338*100))</f>
        <v/>
      </c>
      <c r="AX338" s="182" t="str">
        <f>IF(D338="","",IF(AS338=2,0,IF(AS338=1,'Calc (ex-animal)'!$K$68*'Calc (ex-housing, ex-storage)'!F338/100/VLOOKUP($C$337,'DB animal categories'!$C$127:$AC$136,27,FALSE)*AJ338+Q338+R338+S338,IF(AS338=5,('Calc (ex-animal)'!$K$68+'Calc (ex-animal)'!$L$68)*'Calc (ex-housing, ex-storage)'!F338/100/VLOOKUP($C$337,'DB animal categories'!$C$127:$AC$136,27,FALSE)*AJ338+Q338+R338+S338-'Calc (ex-housing, ex-storage)'!AC338,IF(AS338=3,('Calc (ex-animal)'!$K$68+'Calc (ex-animal)'!$L$68)*'Calc (ex-housing, ex-storage)'!F338/100/VLOOKUP($C$337,'DB animal categories'!$C$127:$AC$136,27,FALSE)*AJ338+Q338+R338+S338-'Calc (ex-housing, ex-storage)'!AC338-AD338-AE338,IF(AI338=4,('Calc (ex-animal)'!$K$68+'Calc (ex-animal)'!$L$68)*'Calc (ex-housing, ex-storage)'!F338/100*VLOOKUP(D338,'DB technologies'!$N$168:$Y$180,12,FALSE)/100/VLOOKUP($C$337,'DB animal categories'!$C$127:$AC$136,27,FALSE)*AJ338+Q338+R338+S338-(VLOOKUP(D338,'DB technologies'!$N$168:$Y$180,12,FALSE)/100*AC338)-AD338-AE338,0))))))</f>
        <v/>
      </c>
      <c r="AY338" s="182" t="str">
        <f>IF(D338="","",IF(AS338=2,0,IF(AS338=1,'Calc (ex-animal)'!$N$68*'Calc (ex-housing, ex-storage)'!F338/100/VLOOKUP($C$337,'DB animal categories'!$C$127:$AC$136,27,FALSE)*AJ338+U338+V338+W338,IF(AS338=5,('Calc (ex-animal)'!$N$68+'Calc (ex-animal)'!$O$68)*'Calc (ex-housing, ex-storage)'!F338/100/VLOOKUP($C$337,'DB animal categories'!$C$127:$AC$136,27,FALSE)*AJ338+U338+V338+W338,IF(AS338=3,('Calc (ex-animal)'!$N$68+'Calc (ex-animal)'!$O$68)*'Calc (ex-housing, ex-storage)'!F338/100/VLOOKUP($C$337,'DB animal categories'!$C$127:$AC$136,27,FALSE)*AJ338+U338+V338+W338,IF(AS338=4,('Calc (ex-animal)'!$N$68+'Calc (ex-animal)'!$O$68)*'Calc (ex-housing, ex-storage)'!F338/100*VLOOKUP(D338,'DB technologies'!$N$168:$Y$180,12,FALSE)/100/VLOOKUP($C$337,'DB animal categories'!$C$127:$AC$136,27,FALSE)*AJ338+U338+V338+W338,0))))))</f>
        <v/>
      </c>
      <c r="AZ338" s="182" t="str">
        <f>IF(D338="","",IF(AS338=2,0,IF(AS338=1,'Calc (ex-animal)'!$Q$68*'Calc (ex-housing, ex-storage)'!F338/100/VLOOKUP($C$337,'DB animal categories'!$C$127:$AC$136,27,FALSE)*AJ338+Y338+Z338+AA338,IF(AS338=5,('Calc (ex-animal)'!$Q$68+'Calc (ex-animal)'!$R$68)*'Calc (ex-housing, ex-storage)'!F338/100/VLOOKUP($C$337,'DB animal categories'!$C$127:$AC$136,27,FALSE)*AJ338+Y338+Z338+AA338,IF(AS338=3,('Calc (ex-animal)'!$Q$68+'Calc (ex-animal)'!$R$68)*'Calc (ex-housing, ex-storage)'!F338/100/VLOOKUP($C$337,'DB animal categories'!$C$127:$AC$136,27,FALSE)*AJ338+Y338+Z338+AA338,IF(AS338=4,('Calc (ex-animal)'!$Q$68+'Calc (ex-animal)'!$R$68)*'Calc (ex-housing, ex-storage)'!F338/100*VLOOKUP(D338,'DB technologies'!$N$168:$Y$180,12,FALSE)/100/VLOOKUP($C$337,'DB animal categories'!$C$127:$AC$136,27,FALSE)*AJ338+Y338+Z338+AA338,0))))))</f>
        <v/>
      </c>
      <c r="BA338" s="506"/>
      <c r="BB338" s="506"/>
      <c r="BC338" s="506"/>
    </row>
    <row r="339" spans="1:55" x14ac:dyDescent="0.2">
      <c r="A339" s="695"/>
      <c r="B339" s="695"/>
      <c r="C339" s="255"/>
      <c r="D339" s="1357"/>
      <c r="E339" s="1358"/>
      <c r="F339" s="480" t="str">
        <f>IF('Calc (ex-animal)'!$F$63=1,"",IF($C$337=0,"",IF(D339="","",E339/'Calc (ex-animal)'!$E$68*100)))</f>
        <v/>
      </c>
      <c r="G339" s="485" t="str">
        <f>IF($C$337=0,"",IF('Calc (ex-animal)'!$F$63=1,"",IF(D339="","",SUM(H339:O339))))</f>
        <v/>
      </c>
      <c r="H339" s="423" t="str">
        <f>IF('Calc (ex-animal)'!$F$63=1,"",IF(D339="","",(((VLOOKUP($C$337,'Calc (ex-animal)'!$D$68:$Y$72,6,FALSE)-VLOOKUP($C$337,'Calc (ex-animal)'!$D$68:$Y$72,17,FALSE))*F339/100))*VLOOKUP($C$337,'Calc (ex-animal)'!$D$68:$Y$72,7,FALSE)/100*(1-VLOOKUP(D339,'DB technologies'!$N$168:$Y$180,9,FALSE)/100)))</f>
        <v/>
      </c>
      <c r="I339" s="423" t="str">
        <f>IF(D339="","",((VLOOKUP(D339,'DB technologies'!$N$168:$Y$180,2,FALSE)*VLOOKUP($C$337,'DB animal categories'!$C$127:$AC$136,27,FALSE)*E339/1000)/VLOOKUP($C$337,'DB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'!$S$6/100*(1-VLOOKUP(D339,'DB technologies'!$N$168:$Y$180,9,FALSE)/100)))</f>
        <v/>
      </c>
      <c r="J339" s="434" t="str">
        <f>IF(D339="","",((VLOOKUP(D339,'DB technologies'!$N$168:$Y$180,3,FALSE)*VLOOKUP($C$337,'DB animal categories'!$C$127:$AC$136,27,FALSE)*E339/1000)/VLOOKUP($C$337,'DB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'!$S$7/100*(1-VLOOKUP(D339,'DB technologies'!$N$168:$Y$180,9,FALSE)/100)))</f>
        <v/>
      </c>
      <c r="K339" s="434" t="str">
        <f>IF(D339="","",((VLOOKUP(D339,'DB technologies'!$N$168:$Y$180,4,FALSE)*E339*'DB additional information '!$S$8/100*(1-VLOOKUP(D339,'DB technologies'!$N$168:$Y$180,9,FALSE)/100))/VLOOKUP($C$337,'DB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L339" s="423" t="str">
        <f>IF('Calc (ex-animal)'!$F$63=1,"",IF(D339="","",(((VLOOKUP($C$337,'Calc (ex-animal)'!$D$68:$Y$72,6,FALSE)-VLOOKUP($C$337,'Calc (ex-animal)'!$D$68:$Y$72,17,FALSE))*F339/100))*(1-VLOOKUP($C$337,'Calc (ex-animal)'!$D$68:$Y$72,7,FALSE)/100)*(1-VLOOKUP(D339,'DB technologies'!$N$168:$V$180,8,FALSE)/100)))</f>
        <v/>
      </c>
      <c r="M339" s="434" t="str">
        <f>IF(D339="","",((VLOOKUP(D339,'DB technologies'!$N$168:$Y$180,2,FALSE)*VLOOKUP($C$337,'DB animal categories'!$C$127:$AC$136,27,FALSE)*E339/1000)/VLOOKUP($C$337,'DB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'!$S$6/100)*(1-VLOOKUP(D339,'DB technologies'!$N$168:$Y$180,9,FALSE)/100))</f>
        <v/>
      </c>
      <c r="N339" s="434" t="str">
        <f>IF(D339="","",((VLOOKUP(D339,'DB technologies'!$N$168:$Y$180,3,FALSE)*VLOOKUP($C$337,'DB animal categories'!$C$127:$AC$136,27,FALSE)*E339/1000)/VLOOKUP($C$337,'DB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'!$S$7/100)*(1-VLOOKUP(D339,'DB technologies'!$N$168:$Y$180,9,FALSE)/100))</f>
        <v/>
      </c>
      <c r="O339" s="423" t="str">
        <f>IF(D339="","",((VLOOKUP(D339,'DB technologies'!$N$168:$Y$180,4,FALSE)*E339*(1-'DB additional information '!$S$8/100)*(1-VLOOKUP(D339,'DB technologies'!$N$168:$Y$180,8,FALSE)/100))/VLOOKUP($C$337,'DB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P339" s="438" t="str">
        <f>IF(G339=0,0,IF(E339="","",IF(F339="","",IF($C$337=0,"",IF(D339="","",SUM(H339:K339)/G339*100)))))</f>
        <v/>
      </c>
      <c r="Q339" s="416" t="str">
        <f>IF(D339="","",(VLOOKUP(D339,'DB technologies'!$N$168:$Y$180,2,FALSE)*'DB additional information '!$S$6/100*'DB additional information '!$T$6*VLOOKUP($C$337,'DB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R339" s="416" t="str">
        <f>IF(D339="","",(VLOOKUP(D339,'DB technologies'!$N$168:$Y$180,3,FALSE)*'DB additional information '!$S$7/100*'DB additional information '!$T$7*VLOOKUP($C$337,'DB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S339" s="491" t="str">
        <f>IF(D339="","",(VLOOKUP(D339,'DB technologies'!$N$168:$Y$180,4,FALSE)*('DB additional information '!$S$8/100*'DB additional information '!$T$8*E339/1000/1000)))</f>
        <v/>
      </c>
      <c r="T339" s="264" t="str">
        <f>IF($C$337=0,"",IF('Calc (ex-animal)'!$F$63=1,"",IF(D339="","",((VLOOKUP($C$337,'Calc (ex-animal)'!$D$68:$Y$72,10,FALSE)-VLOOKUP($C$337,'Calc (ex-animal)'!$D$68:$Y$72,18,FALSE))*F339/100+Q339+R339+S339)-AC339-AD339-AE339)))</f>
        <v/>
      </c>
      <c r="U339" s="422" t="str">
        <f>IF(D339="","",(VLOOKUP(D339,'DB technologies'!$N$168:$Y$180,2,FALSE)*'DB additional information '!$S$6/100*'DB additional information '!$U$6*VLOOKUP($C$337,'DB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V339" s="418" t="str">
        <f>IF(D339="","",(VLOOKUP(D339,'DB technologies'!$N$168:$Y$180,3,FALSE)*'DB additional information '!$S$7/100*'DB additional information '!$U$7*VLOOKUP($C$337,'DB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W339" s="417" t="str">
        <f>IF(D339="","",(VLOOKUP(D339,'DB technologies'!$N$168:$Y$180,4,FALSE)*('DB additional information '!$S$8/100*'DB additional information '!$U$8*E339/1000/1000)))</f>
        <v/>
      </c>
      <c r="X339" s="261" t="str">
        <f>IF($C$337=0,"",IF('Calc (ex-animal)'!$F$63=1,"",IF(D339="","",((VLOOKUP($C$337,'Calc (ex-animal)'!$D$68:$Y$72,13,FALSE)-VLOOKUP($C$337,'Calc (ex-animal)'!$D$68:$Y$72,19,FALSE))*F339/100+U339+V339+W339))))</f>
        <v/>
      </c>
      <c r="Y339" s="418" t="str">
        <f>IF(D339="","",(VLOOKUP(D339,'DB technologies'!$N$168:$Y$180,2,FALSE)*'DB additional information '!$S$6/100*'DB additional information '!$V$6*VLOOKUP($C$337,'DB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Z339" s="418" t="str">
        <f>IF(D339="","",(VLOOKUP(D339,'DB technologies'!$N$168:$Y$180,3,FALSE)*'DB additional information '!$S$7/100*'DB additional information '!$V$7*VLOOKUP($C$337,'DB animal categories'!$C$127:$AC$136,27,FALSE)*E339/1000/1000)/VLOOKUP($C$337,'DB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AA339" s="418" t="str">
        <f>IF(D339="","",(VLOOKUP(D339,'DB technologies'!$N$168:$Y$180,4,FALSE)*('DB additional information '!$S$8/100*'DB additional information '!$V$8*E339/1000/1000)))</f>
        <v/>
      </c>
      <c r="AB339" s="261" t="str">
        <f>IF($C$337=0,"",IF('Calc (ex-animal)'!$F$63=1,"",IF(D339="","",((VLOOKUP($C$337,'Calc (ex-animal)'!$D$68:$Y$72,16,FALSE)-VLOOKUP($C$337,'Calc (ex-animal)'!$D$68:$Y$72,20,FALSE))*F339/100+Y339+Z339+AA339))))</f>
        <v/>
      </c>
      <c r="AC339" s="261" t="str">
        <f>IF($C$337=0,"",IF('Calc (ex-animal)'!$F$63=1,"",IF(D339="","",VLOOKUP($C$337,'Calc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categories'!$C$127:$AC$136,26,FALSE)/24)*F339/100*VLOOKUP(D339,'DB technologies'!$N$168:$R$180,5,FALSE)/100)))</f>
        <v/>
      </c>
      <c r="AD339" s="261" t="str">
        <f>IF($C$337=0,"",IF('Calc (ex-animal)'!$F$63=1,"",IF(D339="","",VLOOKUP($C$337,'Calc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categories'!$C$127:$AC$136,26,FALSE)/24)*F339/100*VLOOKUP(D339,'DB technologies'!$N$168:$Y$180,6,FALSE)/100)))</f>
        <v/>
      </c>
      <c r="AE339" s="262" t="str">
        <f>IF($C$337=0,"",IF('Calc (ex-animal)'!$F$63=1,"",IF(D339="","",VLOOKUP($C$337,'Calc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categories'!$C$127:$AC$136,26,FALSE)/24)*F339/100*VLOOKUP(D339,'DB technologies'!$N$168:$Y$180,7,FALSE)/100)))</f>
        <v/>
      </c>
      <c r="AI339" s="181" t="str">
        <f>IF(D339="","",VLOOKUP(D339,'DB technologies'!$N$168:$Y$180,10,FALSE))</f>
        <v/>
      </c>
      <c r="AJ339" s="449" t="e">
        <f>VLOOKUP($C$337,'DB animal categories'!$C$127:$AN$136,27,FALSE)-VLOOKUP($C$337,'DB animal categories'!$C$127:$AN$136,26,FALSE)*VLOOKUP($C$337,'DB animal categories'!$C$127:$AN$136,25,FALSE)/24</f>
        <v>#N/A</v>
      </c>
      <c r="AK339" s="442" t="str">
        <f>IF(AI339="","",AL339+AM339)</f>
        <v/>
      </c>
      <c r="AL339" s="442" t="str">
        <f>IF(D339="","",IF(AI339=2,(('Calc (ex-animal)'!$G$68*'DB additional information '!$K$14/100*(1-VLOOKUP(D339,'DB technologies'!$N$168:$Y$180,9,FALSE)/100)*'Calc (ex-housing, ex-storage)'!F339/100+'Calc (ex-animal)'!$H$68*'DB additional information '!$L$14/100*(1-VLOOKUP(D339,'DB technologies'!$N$168:$Y$180,9,FALSE)/100)*'Calc (ex-housing, ex-storage)'!F339/100))/VLOOKUP($C$337,'DB animal categories'!$C$127:$AC$136,27,FALSE)*AJ339+I339+J339+K339,IF(AI339=1,('Calc (ex-animal)'!$H$68*'DB additional information '!$L$14/100*(1-VLOOKUP(D339,'DB technologies'!$N$168:$Y$180,9,FALSE)/100)*'Calc (ex-housing, ex-storage)'!F339/100)/VLOOKUP($C$337,'DB animal categories'!$C$127:$AC$136,27,FALSE)*AJ339,IF(AI339=4,('Calc (ex-animal)'!$G$68*'DB additional information '!$K$14/100+'Calc (ex-animal)'!$H$68*'DB additional information '!$L$14/100)*(1-VLOOKUP(D339,'DB technologies'!$N$168:$Y$180,9,FALSE)/100)*'Calc (ex-housing, ex-storage)'!F339/100*VLOOKUP(D339,'DB technologies'!$N$168:$Y$180,11,FALSE)/100/VLOOKUP($C$337,'DB animal categories'!$C$127:$AC$136,27,FALSE)*AJ339,0))))</f>
        <v/>
      </c>
      <c r="AM339" s="442" t="str">
        <f>IF(D339="","",IF(AI339=2,(('Calc (ex-animal)'!$G$68*(1-'DB additional information '!$K$14/100)*(1-VLOOKUP(D339,'DB technologies'!$N$168:$Y$180,8,FALSE)/100)*'Calc (ex-housing, ex-storage)'!F339/100+'Calc (ex-animal)'!$H$68*(1-'DB additional information '!$L$14/100)*(1-VLOOKUP(D339,'DB technologies'!$N$168:$Y$180,8,FALSE)/100)*'Calc (ex-housing, ex-storage)'!F339/100))/VLOOKUP($C$337,'DB animal categories'!$C$127:$AC$136,27,FALSE)*AJ339+M339+N339+O339,IF(AI339=1,('Calc (ex-animal)'!$H$68*(1-'DB additional information '!$L$14/100)*(1-VLOOKUP(D339,'DB technologies'!$N$168:$Y$180,8,FALSE)/100)*'Calc (ex-housing, ex-storage)'!F339/100)/VLOOKUP($C$337,'DB animal categories'!$C$127:$AC$136,27,FALSE)*AJ339,IF(AI339=4,('Calc (ex-animal)'!$G$68*(1-'DB additional information '!$K$14/100)+'Calc (ex-animal)'!$H$68*(1-'DB additional information '!$L$14/100))*(1-VLOOKUP(D339,'DB technologies'!$N$168:$Y$180,8,FALSE)/100)*'Calc (ex-housing, ex-storage)'!F339/100*VLOOKUP(D339,'DB technologies'!$N$168:$Y$180,11,FALSE)/100/VLOOKUP($C$337,'DB animal categories'!$C$127:$AC$136,27,FALSE)*AJ339,0))))</f>
        <v/>
      </c>
      <c r="AN339" s="442" t="str">
        <f>IF(AI339="","",IF(AL339=0,0,AL339/AK339*100))</f>
        <v/>
      </c>
      <c r="AO339" s="182" t="str">
        <f>IF(D339="","",IF(AI339=2,(('Calc (ex-animal)'!$L$68*'Calc (ex-housing, ex-storage)'!F339/100+'Calc (ex-animal)'!$K$68*'Calc (ex-housing, ex-storage)'!F339/100))/VLOOKUP($C$337,'DB animal categories'!$C$127:$AC$136,27,FALSE)*AJ339+Q339+R339+S339-AC339,IF(AI339=1,('Calc (ex-animal)'!$L$68*'Calc (ex-housing, ex-storage)'!F339/100)/VLOOKUP($C$337,'DB animal categories'!$C$127:$AC$136,27,FALSE)*AJ339-'Calc (ex-housing, ex-storage)'!AC339,IF(AI339=4,('Calc (ex-animal)'!$L$68+'Calc (ex-animal)'!$K$68)*'Calc (ex-housing, ex-storage)'!F339/100*VLOOKUP(D339,'DB technologies'!$N$168:$Y$180,11,FALSE)/100/VLOOKUP($C$337,'DB animal categories'!$C$127:$AC$136,27,FALSE)*AJ339-AC339*VLOOKUP(D339,'DB technologies'!$N$168:$Y$180,11,FALSE)/100,0))))</f>
        <v/>
      </c>
      <c r="AP339" s="182" t="str">
        <f>IF(D339="","",IF(AO339&lt;-0.01,0,IF(AI339=2,(('Calc (ex-animal)'!$L$68*'Calc (ex-housing, ex-storage)'!F339/100+'Calc (ex-animal)'!$K$68*'Calc (ex-housing, ex-storage)'!F339/100))/VLOOKUP($C$337,'DB animal categories'!$C$127:$AC$136,27,FALSE)*AJ339+Q339+R339+S339-AC339,IF(AI339=1,('Calc (ex-animal)'!$L$68*'Calc (ex-housing, ex-storage)'!F339/100)/VLOOKUP($C$337,'DB animal categories'!$C$127:$AC$136,27,FALSE)*AJ339-'Calc (ex-housing, ex-storage)'!AC339,IF(AI339=4,('Calc (ex-animal)'!$L$68+'Calc (ex-animal)'!$K$68)*'Calc (ex-housing, ex-storage)'!F339/100*VLOOKUP(D339,'DB technologies'!$N$168:$Y$180,11,FALSE)/100/VLOOKUP($C$337,'DB animal categories'!$C$127:$AC$136,27,FALSE)*AJ339-AC339*VLOOKUP(D339,'DB technologies'!$N$168:$Y$180,11,FALSE)/100,0)))))</f>
        <v/>
      </c>
      <c r="AQ339" s="182" t="str">
        <f>IF(D339="","",IF(AI339=2,('Calc (ex-animal)'!$O$68*'Calc (ex-housing, ex-storage)'!F339/100+'Calc (ex-animal)'!$N$68*'Calc (ex-housing, ex-storage)'!F339/100)/VLOOKUP($C$337,'DB animal categories'!$C$127:$AC$136,27,FALSE)*AJ339+U339+V339+W339,IF(AI339=1,'Calc (ex-animal)'!$O$68*'Calc (ex-housing, ex-storage)'!F339/100/VLOOKUP($C$337,'DB animal categories'!$C$127:$AC$136,27,FALSE)*AJ339,IF(AI339=4,('Calc (ex-animal)'!$O$68+'Calc (ex-animal)'!$N$68)*'Calc (ex-housing, ex-storage)'!F339/100*VLOOKUP(D339,'DB technologies'!$N$168:$Y$180,11,FALSE)/100/VLOOKUP($C$337,'DB animal categories'!$C$127:$AC$136,27,FALSE)*AJ339,0))))</f>
        <v/>
      </c>
      <c r="AR339" s="182" t="str">
        <f>IF(D339="","",IF(AI339=2,('Calc (ex-animal)'!$R$68*'Calc (ex-housing, ex-storage)'!F339/100+'Calc (ex-animal)'!$Q$68*'Calc (ex-housing, ex-storage)'!F339/100)/VLOOKUP($C$337,'DB animal categories'!$C$127:$AC$136,27,FALSE)*AJ339+Y339+Z339+AA339,IF(AI339=1,'Calc (ex-animal)'!$R$68*'Calc (ex-housing, ex-storage)'!F339/100/VLOOKUP($C$337,'DB animal categories'!$C$127:$AC$136,27,FALSE)*AJ339,IF(AI339=4,('Calc (ex-animal)'!$R$68+'Calc (ex-animal)'!$Q$68)*'Calc (ex-housing, ex-storage)'!F339/100*VLOOKUP(D339,'DB technologies'!$N$168:$Y$180,11,FALSE)/100/VLOOKUP($C$337,'DB animal categories'!$C$127:$AC$136,27,FALSE)*AJ339,0))))</f>
        <v/>
      </c>
      <c r="AS339" s="181" t="str">
        <f>IF(D339="","",VLOOKUP(D339,'DB technologies'!$N$168:$Y$180,10,FALSE))</f>
        <v/>
      </c>
      <c r="AT339" s="442" t="str">
        <f>IF(AS339="","",AU339+AV339)</f>
        <v/>
      </c>
      <c r="AU339" s="442" t="str">
        <f>IF(D339="","",IF(AS339=2,0,IF(AS339=1,'Calc (ex-animal)'!$G$68*'DB additional information '!$K$14/100*(1-VLOOKUP(D339,'DB technologies'!$N$168:$Y$180,8,FALSE)/100)*'Calc (ex-housing, ex-storage)'!F339/100/VLOOKUP($C$337,'DB animal categories'!$C$127:$AC$136,27,FALSE)*AJ339+I339+J339+K339,IF(AS339=5,(('Calc (ex-animal)'!$G$68*'DB additional information '!$K$14/100+'Calc (ex-animal)'!$H$68*'DB additional information '!$L$14/100))*(1-VLOOKUP(D339,'DB technologies'!$N$168:$Y$180,9,FALSE)/100)*'Calc (ex-housing, ex-storage)'!F339/100/VLOOKUP($C$337,'DB animal categories'!$C$127:$AC$136,27,FALSE)*AJ339+I339+J339+K339,IF(AS339=3,('Calc (ex-animal)'!$G$68*'DB additional information '!$K$14/100+'Calc (ex-animal)'!$H$68*'DB additional information '!$L$14/100)*(1-VLOOKUP(D339,'DB technologies'!$N$168:$Y$180,9,FALSE)/100)*'Calc (ex-housing, ex-storage)'!F339/100/VLOOKUP($C$337,'DB animal categories'!$C$127:$AC$136,27,FALSE)*AJ339+I339+J339+K339,IF(AS339=4,('Calc (ex-animal)'!$G$68*'DB additional information '!$K$14/100+'Calc (ex-animal)'!$H$68*'DB additional information '!$L$14/100)*(1-VLOOKUP(D339,'DB technologies'!$N$168:$Y$180,9,FALSE)/100)*'Calc (ex-housing, ex-storage)'!F339/100*VLOOKUP(D339,'DB technologies'!$N$168:$Y$180,12,FALSE)/100/VLOOKUP($C$337,'DB animal categories'!$C$127:$AC$136,27,FALSE)*AJ339+I339+J339+K339,0))))))</f>
        <v/>
      </c>
      <c r="AV339" s="442" t="str">
        <f>IF(D339="","",IF(AS339=2,0,IF(AS339=1,'Calc (ex-animal)'!$G$68*(1-'DB additional information '!$K$14/100)*(1-VLOOKUP(D339,'DB technologies'!$N$168:$Y$180,8,FALSE)/100)*'Calc (ex-housing, ex-storage)'!F339/100/VLOOKUP($C$337,'DB animal categories'!$C$127:$AC$136,27,FALSE)*AJ339+M339+N339+O339,IF(AS339=5,('Calc (ex-animal)'!$G$68*(1-'DB additional information '!$K$14/100)+'Calc (ex-animal)'!$H$68*(1-'DB additional information '!$L$14/100))*(1-VLOOKUP(D339,'DB technologies'!$N$168:$Y$180,8,FALSE)/100)*'Calc (ex-housing, ex-storage)'!F339/100/VLOOKUP($C$337,'DB animal categories'!$C$127:$AC$136,27,FALSE)*AJ339+M339+N339+O339,IF(AS339=3,('Calc (ex-animal)'!$G$68*(1-'DB additional information '!$K$14/100)+'Calc (ex-animal)'!$H$68*(1-'DB additional information '!$L$14/100))*(1-VLOOKUP(D339,'DB technologies'!$N$168:$Y$180,8,FALSE)/100)*'Calc (ex-housing, ex-storage)'!F339/100/VLOOKUP($C$337,'DB animal categories'!$C$127:$AC$136,27,FALSE)*AJ339+M339+N339+O339,IF(AS339=4,('Calc (ex-animal)'!$G$68*(1-'DB additional information '!$K$14/100)+'Calc (ex-animal)'!$H$68*(1-'DB additional information '!$L$14/100))*(1-VLOOKUP(D339,'DB technologies'!$N$168:$Y$180,8,FALSE)/100)*'Calc (ex-housing, ex-storage)'!F339/100*VLOOKUP(D339,'DB technologies'!$N$168:$Y$180,12,FALSE)/100/VLOOKUP($C$337,'DB animal categories'!$C$127:$AC$136,27,FALSE)*AJ339+M339+N339+O339,0))))))</f>
        <v/>
      </c>
      <c r="AW339" s="442" t="str">
        <f>IF(AS339="","",IF(AU339=0,0,AU339/AT339*100))</f>
        <v/>
      </c>
      <c r="AX339" s="182" t="str">
        <f>IF(D339="","",IF(AS339=2,0,IF(AS339=1,'Calc (ex-animal)'!$K$68*'Calc (ex-housing, ex-storage)'!F339/100/VLOOKUP($C$337,'DB animal categories'!$C$127:$AC$136,27,FALSE)*AJ339+Q339+R339+S339,IF(AS339=5,('Calc (ex-animal)'!$K$68+'Calc (ex-animal)'!$L$68)*'Calc (ex-housing, ex-storage)'!F339/100/VLOOKUP($C$337,'DB animal categories'!$C$127:$AC$136,27,FALSE)*AJ339+Q339+R339+S339-'Calc (ex-housing, ex-storage)'!AC339,IF(AS339=3,('Calc (ex-animal)'!$K$68+'Calc (ex-animal)'!$L$68)*'Calc (ex-housing, ex-storage)'!F339/100/VLOOKUP($C$337,'DB animal categories'!$C$127:$AC$136,27,FALSE)*AJ339+Q339+R339+S339-'Calc (ex-housing, ex-storage)'!AC339-AD339-AE339,IF(AI339=4,('Calc (ex-animal)'!$K$68+'Calc (ex-animal)'!$L$68)*'Calc (ex-housing, ex-storage)'!F339/100*VLOOKUP(D339,'DB technologies'!$N$168:$Y$180,12,FALSE)/100/VLOOKUP($C$337,'DB animal categories'!$C$127:$AC$136,27,FALSE)*AJ339+Q339+R339+S339-(VLOOKUP(D339,'DB technologies'!$N$168:$Y$180,12,FALSE)/100*AC339)-AD339-AE339,0))))))</f>
        <v/>
      </c>
      <c r="AY339" s="182" t="str">
        <f>IF(D339="","",IF(AS339=2,0,IF(AS339=1,'Calc (ex-animal)'!$N$68*'Calc (ex-housing, ex-storage)'!F339/100/VLOOKUP($C$337,'DB animal categories'!$C$127:$AC$136,27,FALSE)*AJ339+U339+V339+W339,IF(AS339=5,('Calc (ex-animal)'!$N$68+'Calc (ex-animal)'!$O$68)*'Calc (ex-housing, ex-storage)'!F339/100/VLOOKUP($C$337,'DB animal categories'!$C$127:$AC$136,27,FALSE)*AJ339+U339+V339+W339,IF(AS339=3,('Calc (ex-animal)'!$N$68+'Calc (ex-animal)'!$O$68)*'Calc (ex-housing, ex-storage)'!F339/100/VLOOKUP($C$337,'DB animal categories'!$C$127:$AC$136,27,FALSE)*AJ339+U339+V339+W339,IF(AS339=4,('Calc (ex-animal)'!$N$68+'Calc (ex-animal)'!$O$68)*'Calc (ex-housing, ex-storage)'!F339/100*VLOOKUP(D339,'DB technologies'!$N$168:$Y$180,12,FALSE)/100/VLOOKUP($C$337,'DB animal categories'!$C$127:$AC$136,27,FALSE)*AJ339+U339+V339+W339,0))))))</f>
        <v/>
      </c>
      <c r="AZ339" s="182" t="str">
        <f>IF(D339="","",IF(AS339=2,0,IF(AS339=1,'Calc (ex-animal)'!$Q$68*'Calc (ex-housing, ex-storage)'!F339/100/VLOOKUP($C$337,'DB animal categories'!$C$127:$AC$136,27,FALSE)*AJ339+Y339+Z339+AA339,IF(AS339=5,('Calc (ex-animal)'!$Q$68+'Calc (ex-animal)'!$R$68)*'Calc (ex-housing, ex-storage)'!F339/100/VLOOKUP($C$337,'DB animal categories'!$C$127:$AC$136,27,FALSE)*AJ339+Y339+Z339+AA339,IF(AS339=3,('Calc (ex-animal)'!$Q$68+'Calc (ex-animal)'!$R$68)*'Calc (ex-housing, ex-storage)'!F339/100/VLOOKUP($C$337,'DB animal categories'!$C$127:$AC$136,27,FALSE)*AJ339+Y339+Z339+AA339,IF(AS339=4,('Calc (ex-animal)'!$Q$68+'Calc (ex-animal)'!$R$68)*'Calc (ex-housing, ex-storage)'!F339/100*VLOOKUP(D339,'DB technologies'!$N$168:$Y$180,12,FALSE)/100/VLOOKUP($C$337,'DB animal categories'!$C$127:$AC$136,27,FALSE)*AJ339+Y339+Z339+AA339,0))))))</f>
        <v/>
      </c>
      <c r="BA339" s="506"/>
      <c r="BB339" s="506"/>
      <c r="BC339" s="506"/>
    </row>
    <row r="340" spans="1:55" x14ac:dyDescent="0.2">
      <c r="A340" s="695"/>
      <c r="B340" s="695"/>
      <c r="C340" s="255"/>
      <c r="D340" s="1357"/>
      <c r="E340" s="1358"/>
      <c r="F340" s="480" t="str">
        <f>IF('Calc (ex-animal)'!$F$63=1,"",IF($C$337=0,"",IF(D340="","",E340/'Calc (ex-animal)'!$E$68*100)))</f>
        <v/>
      </c>
      <c r="G340" s="485" t="str">
        <f>IF($C$337=0,"",IF('Calc (ex-animal)'!$F$63=1,"",IF(D340="","",SUM(H340:O340))))</f>
        <v/>
      </c>
      <c r="H340" s="423" t="str">
        <f>IF('Calc (ex-animal)'!$F$63=1,"",IF(D340="","",(((VLOOKUP($C$337,'Calc (ex-animal)'!$D$68:$Y$72,6,FALSE)-VLOOKUP($C$337,'Calc (ex-animal)'!$D$68:$Y$72,17,FALSE))*F340/100))*VLOOKUP($C$337,'Calc (ex-animal)'!$D$68:$Y$72,7,FALSE)/100*(1-VLOOKUP(D340,'DB technologies'!$N$168:$Y$180,9,FALSE)/100)))</f>
        <v/>
      </c>
      <c r="I340" s="423" t="str">
        <f>IF(D340="","",((VLOOKUP(D340,'DB technologies'!$N$168:$Y$180,2,FALSE)*VLOOKUP($C$337,'DB animal categories'!$C$127:$AC$136,27,FALSE)*E340/1000)/VLOOKUP($C$337,'DB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'!$S$6/100*(1-VLOOKUP(D340,'DB technologies'!$N$168:$Y$180,9,FALSE)/100)))</f>
        <v/>
      </c>
      <c r="J340" s="434" t="str">
        <f>IF(D340="","",((VLOOKUP(D340,'DB technologies'!$N$168:$Y$180,3,FALSE)*VLOOKUP($C$337,'DB animal categories'!$C$127:$AC$136,27,FALSE)*E340/1000)/VLOOKUP($C$337,'DB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'!$S$7/100*(1-VLOOKUP(D340,'DB technologies'!$N$168:$Y$180,9,FALSE)/100)))</f>
        <v/>
      </c>
      <c r="K340" s="434" t="str">
        <f>IF(D340="","",((VLOOKUP(D340,'DB technologies'!$N$168:$Y$180,4,FALSE)*E340*'DB additional information '!$S$8/100*(1-VLOOKUP(D340,'DB technologies'!$N$168:$Y$180,9,FALSE)/100))/VLOOKUP($C$337,'DB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L340" s="423" t="str">
        <f>IF('Calc (ex-animal)'!$F$63=1,"",IF(D340="","",(((VLOOKUP($C$337,'Calc (ex-animal)'!$D$68:$Y$72,6,FALSE)-VLOOKUP($C$337,'Calc (ex-animal)'!$D$68:$Y$72,17,FALSE))*F340/100))*(1-VLOOKUP($C$337,'Calc (ex-animal)'!$D$68:$Y$72,7,FALSE)/100)*(1-VLOOKUP(D340,'DB technologies'!$N$168:$V$180,8,FALSE)/100)))</f>
        <v/>
      </c>
      <c r="M340" s="434" t="str">
        <f>IF(D340="","",((VLOOKUP(D340,'DB technologies'!$N$168:$Y$180,2,FALSE)*VLOOKUP($C$337,'DB animal categories'!$C$127:$AC$136,27,FALSE)*E340/1000)/VLOOKUP($C$337,'DB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'!$S$6/100)*(1-VLOOKUP(D340,'DB technologies'!$N$168:$Y$180,9,FALSE)/100))</f>
        <v/>
      </c>
      <c r="N340" s="434" t="str">
        <f>IF(D340="","",((VLOOKUP(D340,'DB technologies'!$N$168:$Y$180,3,FALSE)*VLOOKUP($C$337,'DB animal categories'!$C$127:$AC$136,27,FALSE)*E340/1000)/VLOOKUP($C$337,'DB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'!$S$7/100)*(1-VLOOKUP(D340,'DB technologies'!$N$168:$Y$180,9,FALSE)/100))</f>
        <v/>
      </c>
      <c r="O340" s="423" t="str">
        <f>IF(D340="","",((VLOOKUP(D340,'DB technologies'!$N$168:$Y$180,4,FALSE)*E340*(1-'DB additional information '!$S$8/100)*(1-VLOOKUP(D340,'DB technologies'!$N$168:$Y$180,8,FALSE)/100))/VLOOKUP($C$337,'DB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P340" s="438" t="str">
        <f>IF(G340=0,0,IF(E340="","",IF(F340="","",IF($C$337=0,"",IF(D340="","",SUM(H340:K340)/G340*100)))))</f>
        <v/>
      </c>
      <c r="Q340" s="416" t="str">
        <f>IF(D340="","",(VLOOKUP(D340,'DB technologies'!$N$168:$Y$180,2,FALSE)*'DB additional information '!$S$6/100*'DB additional information '!$T$6*VLOOKUP($C$337,'DB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R340" s="416" t="str">
        <f>IF(D340="","",(VLOOKUP(D340,'DB technologies'!$N$168:$Y$180,3,FALSE)*'DB additional information '!$S$7/100*'DB additional information '!$T$7*VLOOKUP($C$337,'DB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S340" s="491" t="str">
        <f>IF(D340="","",(VLOOKUP(D340,'DB technologies'!$N$168:$Y$180,4,FALSE)*('DB additional information '!$S$8/100*'DB additional information '!$T$8*E340/1000/1000)))</f>
        <v/>
      </c>
      <c r="T340" s="264" t="str">
        <f>IF($C$337=0,"",IF('Calc (ex-animal)'!$F$63=1,"",IF(D340="","",((VLOOKUP($C$337,'Calc (ex-animal)'!$D$68:$Y$72,10,FALSE)-VLOOKUP($C$337,'Calc (ex-animal)'!$D$68:$Y$72,18,FALSE))*F340/100+Q340+R340+S340)-AC340-AD340-AE340)))</f>
        <v/>
      </c>
      <c r="U340" s="422" t="str">
        <f>IF(D340="","",(VLOOKUP(D340,'DB technologies'!$N$168:$Y$180,2,FALSE)*'DB additional information '!$S$6/100*'DB additional information '!$U$6*VLOOKUP($C$337,'DB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V340" s="418" t="str">
        <f>IF(D340="","",(VLOOKUP(D340,'DB technologies'!$N$168:$Y$180,3,FALSE)*'DB additional information '!$S$7/100*'DB additional information '!$U$7*VLOOKUP($C$337,'DB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W340" s="417" t="str">
        <f>IF(D340="","",(VLOOKUP(D340,'DB technologies'!$N$168:$Y$180,4,FALSE)*('DB additional information '!$S$8/100*'DB additional information '!$U$8*E340/1000/1000)))</f>
        <v/>
      </c>
      <c r="X340" s="261" t="str">
        <f>IF($C$337=0,"",IF('Calc (ex-animal)'!$F$63=1,"",IF(D340="","",((VLOOKUP($C$337,'Calc (ex-animal)'!$D$68:$Y$72,13,FALSE)-VLOOKUP($C$337,'Calc (ex-animal)'!$D$68:$Y$72,19,FALSE))*F340/100+U340+V340+W340))))</f>
        <v/>
      </c>
      <c r="Y340" s="418" t="str">
        <f>IF(D340="","",(VLOOKUP(D340,'DB technologies'!$N$168:$Y$180,2,FALSE)*'DB additional information '!$S$6/100*'DB additional information '!$V$6*VLOOKUP($C$337,'DB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Z340" s="418" t="str">
        <f>IF(D340="","",(VLOOKUP(D340,'DB technologies'!$N$168:$Y$180,3,FALSE)*'DB additional information '!$S$7/100*'DB additional information '!$V$7*VLOOKUP($C$337,'DB animal categories'!$C$127:$AC$136,27,FALSE)*E340/1000/1000)/VLOOKUP($C$337,'DB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AA340" s="418" t="str">
        <f>IF(D340="","",(VLOOKUP(D340,'DB technologies'!$N$168:$Y$180,4,FALSE)*('DB additional information '!$S$8/100*'DB additional information '!$V$8*E340/1000/1000)))</f>
        <v/>
      </c>
      <c r="AB340" s="261" t="str">
        <f>IF($C$337=0,"",IF('Calc (ex-animal)'!$F$63=1,"",IF(D340="","",((VLOOKUP($C$337,'Calc (ex-animal)'!$D$68:$Y$72,16,FALSE)-VLOOKUP($C$337,'Calc (ex-animal)'!$D$68:$Y$72,20,FALSE))*F340/100+Y340+Z340+AA340))))</f>
        <v/>
      </c>
      <c r="AC340" s="261" t="str">
        <f>IF($C$337=0,"",IF('Calc (ex-animal)'!$F$63=1,"",IF(D340="","",VLOOKUP($C$337,'Calc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categories'!$C$127:$AC$136,26,FALSE)/24)*F340/100*VLOOKUP(D340,'DB technologies'!$N$168:$R$180,5,FALSE)/100)))</f>
        <v/>
      </c>
      <c r="AD340" s="261" t="str">
        <f>IF($C$337=0,"",IF('Calc (ex-animal)'!$F$63=1,"",IF(D340="","",VLOOKUP($C$337,'Calc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categories'!$C$127:$AC$136,26,FALSE)/24)*F340/100*VLOOKUP(D340,'DB technologies'!$N$168:$Y$180,6,FALSE)/100)))</f>
        <v/>
      </c>
      <c r="AE340" s="262" t="str">
        <f>IF($C$337=0,"",IF('Calc (ex-animal)'!$F$63=1,"",IF(D340="","",VLOOKUP($C$337,'Calc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categories'!$C$127:$AC$136,26,FALSE)/24)*F340/100*VLOOKUP(D340,'DB technologies'!$N$168:$Y$180,7,FALSE)/100)))</f>
        <v/>
      </c>
      <c r="AI340" s="181" t="str">
        <f>IF(D340="","",VLOOKUP(D340,'DB technologies'!$N$168:$Y$180,10,FALSE))</f>
        <v/>
      </c>
      <c r="AJ340" s="449" t="e">
        <f>VLOOKUP($C$337,'DB animal categories'!$C$127:$AN$136,27,FALSE)-VLOOKUP($C$337,'DB animal categories'!$C$127:$AN$136,26,FALSE)*VLOOKUP($C$337,'DB animal categories'!$C$127:$AN$136,25,FALSE)/24</f>
        <v>#N/A</v>
      </c>
      <c r="AK340" s="442" t="str">
        <f>IF(AI340="","",AL340+AM340)</f>
        <v/>
      </c>
      <c r="AL340" s="442" t="str">
        <f>IF(D340="","",IF(AI340=2,(('Calc (ex-animal)'!$G$68*'DB additional information '!$K$14/100*(1-VLOOKUP(D340,'DB technologies'!$N$168:$Y$180,9,FALSE)/100)*'Calc (ex-housing, ex-storage)'!F340/100+'Calc (ex-animal)'!$H$68*'DB additional information '!$L$14/100*(1-VLOOKUP(D340,'DB technologies'!$N$168:$Y$180,9,FALSE)/100)*'Calc (ex-housing, ex-storage)'!F340/100))/VLOOKUP($C$337,'DB animal categories'!$C$127:$AC$136,27,FALSE)*AJ340+I340+J340+K340,IF(AI340=1,('Calc (ex-animal)'!$H$68*'DB additional information '!$L$14/100*(1-VLOOKUP(D340,'DB technologies'!$N$168:$Y$180,9,FALSE)/100)*'Calc (ex-housing, ex-storage)'!F340/100)/VLOOKUP($C$337,'DB animal categories'!$C$127:$AC$136,27,FALSE)*AJ340,IF(AI340=4,('Calc (ex-animal)'!$G$68*'DB additional information '!$K$14/100+'Calc (ex-animal)'!$H$68*'DB additional information '!$L$14/100)*(1-VLOOKUP(D340,'DB technologies'!$N$168:$Y$180,9,FALSE)/100)*'Calc (ex-housing, ex-storage)'!F340/100*VLOOKUP(D340,'DB technologies'!$N$168:$Y$180,11,FALSE)/100/VLOOKUP($C$337,'DB animal categories'!$C$127:$AC$136,27,FALSE)*AJ340,0))))</f>
        <v/>
      </c>
      <c r="AM340" s="442" t="str">
        <f>IF(D340="","",IF(AI340=2,(('Calc (ex-animal)'!$G$68*(1-'DB additional information '!$K$14/100)*(1-VLOOKUP(D340,'DB technologies'!$N$168:$Y$180,8,FALSE)/100)*'Calc (ex-housing, ex-storage)'!F340/100+'Calc (ex-animal)'!$H$68*(1-'DB additional information '!$L$14/100)*(1-VLOOKUP(D340,'DB technologies'!$N$168:$Y$180,8,FALSE)/100)*'Calc (ex-housing, ex-storage)'!F340/100))/VLOOKUP($C$337,'DB animal categories'!$C$127:$AC$136,27,FALSE)*AJ340+M340+N340+O340,IF(AI340=1,('Calc (ex-animal)'!$H$68*(1-'DB additional information '!$L$14/100)*(1-VLOOKUP(D340,'DB technologies'!$N$168:$Y$180,8,FALSE)/100)*'Calc (ex-housing, ex-storage)'!F340/100)/VLOOKUP($C$337,'DB animal categories'!$C$127:$AC$136,27,FALSE)*AJ340,IF(AI340=4,('Calc (ex-animal)'!$G$68*(1-'DB additional information '!$K$14/100)+'Calc (ex-animal)'!$H$68*(1-'DB additional information '!$L$14/100))*(1-VLOOKUP(D340,'DB technologies'!$N$168:$Y$180,8,FALSE)/100)*'Calc (ex-housing, ex-storage)'!F340/100*VLOOKUP(D340,'DB technologies'!$N$168:$Y$180,11,FALSE)/100/VLOOKUP($C$337,'DB animal categories'!$C$127:$AC$136,27,FALSE)*AJ340,0))))</f>
        <v/>
      </c>
      <c r="AN340" s="442" t="str">
        <f>IF(AI340="","",IF(AL340=0,0,AL340/AK340*100))</f>
        <v/>
      </c>
      <c r="AO340" s="182" t="str">
        <f>IF(D340="","",IF(AI340=2,(('Calc (ex-animal)'!$L$68*'Calc (ex-housing, ex-storage)'!F340/100+'Calc (ex-animal)'!$K$68*'Calc (ex-housing, ex-storage)'!F340/100))/VLOOKUP($C$337,'DB animal categories'!$C$127:$AC$136,27,FALSE)*AJ340+Q340+R340+S340-AC340,IF(AI340=1,('Calc (ex-animal)'!$L$68*'Calc (ex-housing, ex-storage)'!F340/100)/VLOOKUP($C$337,'DB animal categories'!$C$127:$AC$136,27,FALSE)*AJ340-'Calc (ex-housing, ex-storage)'!AC340,IF(AI340=4,('Calc (ex-animal)'!$L$68+'Calc (ex-animal)'!$K$68)*'Calc (ex-housing, ex-storage)'!F340/100*VLOOKUP(D340,'DB technologies'!$N$168:$Y$180,11,FALSE)/100/VLOOKUP($C$337,'DB animal categories'!$C$127:$AC$136,27,FALSE)*AJ340-AC340*VLOOKUP(D340,'DB technologies'!$N$168:$Y$180,11,FALSE)/100,0))))</f>
        <v/>
      </c>
      <c r="AP340" s="182" t="str">
        <f>IF(D340="","",IF(AO340&lt;-0.01,0,IF(AI340=2,(('Calc (ex-animal)'!$L$68*'Calc (ex-housing, ex-storage)'!F340/100+'Calc (ex-animal)'!$K$68*'Calc (ex-housing, ex-storage)'!F340/100))/VLOOKUP($C$337,'DB animal categories'!$C$127:$AC$136,27,FALSE)*AJ340+Q340+R340+S340-AC340,IF(AI340=1,('Calc (ex-animal)'!$L$68*'Calc (ex-housing, ex-storage)'!F340/100)/VLOOKUP($C$337,'DB animal categories'!$C$127:$AC$136,27,FALSE)*AJ340-'Calc (ex-housing, ex-storage)'!AC340,IF(AI340=4,('Calc (ex-animal)'!$L$68+'Calc (ex-animal)'!$K$68)*'Calc (ex-housing, ex-storage)'!F340/100*VLOOKUP(D340,'DB technologies'!$N$168:$Y$180,11,FALSE)/100/VLOOKUP($C$337,'DB animal categories'!$C$127:$AC$136,27,FALSE)*AJ340-AC340*VLOOKUP(D340,'DB technologies'!$N$168:$Y$180,11,FALSE)/100,0)))))</f>
        <v/>
      </c>
      <c r="AQ340" s="182" t="str">
        <f>IF(D340="","",IF(AI340=2,('Calc (ex-animal)'!$O$68*'Calc (ex-housing, ex-storage)'!F340/100+'Calc (ex-animal)'!$N$68*'Calc (ex-housing, ex-storage)'!F340/100)/VLOOKUP($C$337,'DB animal categories'!$C$127:$AC$136,27,FALSE)*AJ340+U340+V340+W340,IF(AI340=1,'Calc (ex-animal)'!$O$68*'Calc (ex-housing, ex-storage)'!F340/100/VLOOKUP($C$337,'DB animal categories'!$C$127:$AC$136,27,FALSE)*AJ340,IF(AI340=4,('Calc (ex-animal)'!$O$68+'Calc (ex-animal)'!$N$68)*'Calc (ex-housing, ex-storage)'!F340/100*VLOOKUP(D340,'DB technologies'!$N$168:$Y$180,11,FALSE)/100/VLOOKUP($C$337,'DB animal categories'!$C$127:$AC$136,27,FALSE)*AJ340,0))))</f>
        <v/>
      </c>
      <c r="AR340" s="182" t="str">
        <f>IF(D340="","",IF(AI340=2,('Calc (ex-animal)'!$R$68*'Calc (ex-housing, ex-storage)'!F340/100+'Calc (ex-animal)'!$Q$68*'Calc (ex-housing, ex-storage)'!F340/100)/VLOOKUP($C$337,'DB animal categories'!$C$127:$AC$136,27,FALSE)*AJ340+Y340+Z340+AA340,IF(AI340=1,'Calc (ex-animal)'!$R$68*'Calc (ex-housing, ex-storage)'!F340/100/VLOOKUP($C$337,'DB animal categories'!$C$127:$AC$136,27,FALSE)*AJ340,IF(AI340=4,('Calc (ex-animal)'!$R$68+'Calc (ex-animal)'!$Q$68)*'Calc (ex-housing, ex-storage)'!F340/100*VLOOKUP(D340,'DB technologies'!$N$168:$Y$180,11,FALSE)/100/VLOOKUP($C$337,'DB animal categories'!$C$127:$AC$136,27,FALSE)*AJ340,0))))</f>
        <v/>
      </c>
      <c r="AS340" s="181" t="str">
        <f>IF(D340="","",VLOOKUP(D340,'DB technologies'!$N$168:$Y$180,10,FALSE))</f>
        <v/>
      </c>
      <c r="AT340" s="442" t="str">
        <f>IF(AS340="","",AU340+AV340)</f>
        <v/>
      </c>
      <c r="AU340" s="442" t="str">
        <f>IF(D340="","",IF(AS340=2,0,IF(AS340=1,'Calc (ex-animal)'!$G$68*'DB additional information '!$K$14/100*(1-VLOOKUP(D340,'DB technologies'!$N$168:$Y$180,8,FALSE)/100)*'Calc (ex-housing, ex-storage)'!F340/100/VLOOKUP($C$337,'DB animal categories'!$C$127:$AC$136,27,FALSE)*AJ340+I340+J340+K340,IF(AS340=5,(('Calc (ex-animal)'!$G$68*'DB additional information '!$K$14/100+'Calc (ex-animal)'!$H$68*'DB additional information '!$L$14/100))*(1-VLOOKUP(D340,'DB technologies'!$N$168:$Y$180,9,FALSE)/100)*'Calc (ex-housing, ex-storage)'!F340/100/VLOOKUP($C$337,'DB animal categories'!$C$127:$AC$136,27,FALSE)*AJ340+I340+J340+K340,IF(AS340=3,('Calc (ex-animal)'!$G$68*'DB additional information '!$K$14/100+'Calc (ex-animal)'!$H$68*'DB additional information '!$L$14/100)*(1-VLOOKUP(D340,'DB technologies'!$N$168:$Y$180,9,FALSE)/100)*'Calc (ex-housing, ex-storage)'!F340/100/VLOOKUP($C$337,'DB animal categories'!$C$127:$AC$136,27,FALSE)*AJ340+I340+J340+K340,IF(AS340=4,('Calc (ex-animal)'!$G$68*'DB additional information '!$K$14/100+'Calc (ex-animal)'!$H$68*'DB additional information '!$L$14/100)*(1-VLOOKUP(D340,'DB technologies'!$N$168:$Y$180,9,FALSE)/100)*'Calc (ex-housing, ex-storage)'!F340/100*VLOOKUP(D340,'DB technologies'!$N$168:$Y$180,12,FALSE)/100/VLOOKUP($C$337,'DB animal categories'!$C$127:$AC$136,27,FALSE)*AJ340+I340+J340+K340,0))))))</f>
        <v/>
      </c>
      <c r="AV340" s="442" t="str">
        <f>IF(D340="","",IF(AS340=2,0,IF(AS340=1,'Calc (ex-animal)'!$G$68*(1-'DB additional information '!$K$14/100)*(1-VLOOKUP(D340,'DB technologies'!$N$168:$Y$180,8,FALSE)/100)*'Calc (ex-housing, ex-storage)'!F340/100/VLOOKUP($C$337,'DB animal categories'!$C$127:$AC$136,27,FALSE)*AJ340+M340+N340+O340,IF(AS340=5,('Calc (ex-animal)'!$G$68*(1-'DB additional information '!$K$14/100)+'Calc (ex-animal)'!$H$68*(1-'DB additional information '!$L$14/100))*(1-VLOOKUP(D340,'DB technologies'!$N$168:$Y$180,8,FALSE)/100)*'Calc (ex-housing, ex-storage)'!F340/100/VLOOKUP($C$337,'DB animal categories'!$C$127:$AC$136,27,FALSE)*AJ340+M340+N340+O340,IF(AS340=3,('Calc (ex-animal)'!$G$68*(1-'DB additional information '!$K$14/100)+'Calc (ex-animal)'!$H$68*(1-'DB additional information '!$L$14/100))*(1-VLOOKUP(D340,'DB technologies'!$N$168:$Y$180,8,FALSE)/100)*'Calc (ex-housing, ex-storage)'!F340/100/VLOOKUP($C$337,'DB animal categories'!$C$127:$AC$136,27,FALSE)*AJ340+M340+N340+O340,IF(AS340=4,('Calc (ex-animal)'!$G$68*(1-'DB additional information '!$K$14/100)+'Calc (ex-animal)'!$H$68*(1-'DB additional information '!$L$14/100))*(1-VLOOKUP(D340,'DB technologies'!$N$168:$Y$180,8,FALSE)/100)*'Calc (ex-housing, ex-storage)'!F340/100*VLOOKUP(D340,'DB technologies'!$N$168:$Y$180,12,FALSE)/100/VLOOKUP($C$337,'DB animal categories'!$C$127:$AC$136,27,FALSE)*AJ340+M340+N340+O340,0))))))</f>
        <v/>
      </c>
      <c r="AW340" s="442" t="str">
        <f>IF(AS340="","",IF(AU340=0,0,AU340/AT340*100))</f>
        <v/>
      </c>
      <c r="AX340" s="182" t="str">
        <f>IF(D340="","",IF(AS340=2,0,IF(AS340=1,'Calc (ex-animal)'!$K$68*'Calc (ex-housing, ex-storage)'!F340/100/VLOOKUP($C$337,'DB animal categories'!$C$127:$AC$136,27,FALSE)*AJ340+Q340+R340+S340,IF(AS340=5,('Calc (ex-animal)'!$K$68+'Calc (ex-animal)'!$L$68)*'Calc (ex-housing, ex-storage)'!F340/100/VLOOKUP($C$337,'DB animal categories'!$C$127:$AC$136,27,FALSE)*AJ340+Q340+R340+S340-'Calc (ex-housing, ex-storage)'!AC340,IF(AS340=3,('Calc (ex-animal)'!$K$68+'Calc (ex-animal)'!$L$68)*'Calc (ex-housing, ex-storage)'!F340/100/VLOOKUP($C$337,'DB animal categories'!$C$127:$AC$136,27,FALSE)*AJ340+Q340+R340+S340-'Calc (ex-housing, ex-storage)'!AC340-AD340-AE340,IF(AI340=4,('Calc (ex-animal)'!$K$68+'Calc (ex-animal)'!$L$68)*'Calc (ex-housing, ex-storage)'!F340/100*VLOOKUP(D340,'DB technologies'!$N$168:$Y$180,12,FALSE)/100/VLOOKUP($C$337,'DB animal categories'!$C$127:$AC$136,27,FALSE)*AJ340+Q340+R340+S340-(VLOOKUP(D340,'DB technologies'!$N$168:$Y$180,12,FALSE)/100*AC340)-AD340-AE340,0))))))</f>
        <v/>
      </c>
      <c r="AY340" s="182" t="str">
        <f>IF(D340="","",IF(AS340=2,0,IF(AS340=1,'Calc (ex-animal)'!$N$68*'Calc (ex-housing, ex-storage)'!F340/100/VLOOKUP($C$337,'DB animal categories'!$C$127:$AC$136,27,FALSE)*AJ340+U340+V340+W340,IF(AS340=5,('Calc (ex-animal)'!$N$68+'Calc (ex-animal)'!$O$68)*'Calc (ex-housing, ex-storage)'!F340/100/VLOOKUP($C$337,'DB animal categories'!$C$127:$AC$136,27,FALSE)*AJ340+U340+V340+W340,IF(AS340=3,('Calc (ex-animal)'!$N$68+'Calc (ex-animal)'!$O$68)*'Calc (ex-housing, ex-storage)'!F340/100/VLOOKUP($C$337,'DB animal categories'!$C$127:$AC$136,27,FALSE)*AJ340+U340+V340+W340,IF(AS340=4,('Calc (ex-animal)'!$N$68+'Calc (ex-animal)'!$O$68)*'Calc (ex-housing, ex-storage)'!F340/100*VLOOKUP(D340,'DB technologies'!$N$168:$Y$180,12,FALSE)/100/VLOOKUP($C$337,'DB animal categories'!$C$127:$AC$136,27,FALSE)*AJ340+U340+V340+W340,0))))))</f>
        <v/>
      </c>
      <c r="AZ340" s="182" t="str">
        <f>IF(D340="","",IF(AS340=2,0,IF(AS340=1,'Calc (ex-animal)'!$Q$68*'Calc (ex-housing, ex-storage)'!F340/100/VLOOKUP($C$337,'DB animal categories'!$C$127:$AC$136,27,FALSE)*AJ340+Y340+Z340+AA340,IF(AS340=5,('Calc (ex-animal)'!$Q$68+'Calc (ex-animal)'!$R$68)*'Calc (ex-housing, ex-storage)'!F340/100/VLOOKUP($C$337,'DB animal categories'!$C$127:$AC$136,27,FALSE)*AJ340+Y340+Z340+AA340,IF(AS340=3,('Calc (ex-animal)'!$Q$68+'Calc (ex-animal)'!$R$68)*'Calc (ex-housing, ex-storage)'!F340/100/VLOOKUP($C$337,'DB animal categories'!$C$127:$AC$136,27,FALSE)*AJ340+Y340+Z340+AA340,IF(AS340=4,('Calc (ex-animal)'!$Q$68+'Calc (ex-animal)'!$R$68)*'Calc (ex-housing, ex-storage)'!F340/100*VLOOKUP(D340,'DB technologies'!$N$168:$Y$180,12,FALSE)/100/VLOOKUP($C$337,'DB animal categories'!$C$127:$AC$136,27,FALSE)*AJ340+Y340+Z340+AA340,0))))))</f>
        <v/>
      </c>
      <c r="BA340" s="506"/>
      <c r="BB340" s="506"/>
      <c r="BC340" s="506"/>
    </row>
    <row r="341" spans="1:55" ht="12" thickBot="1" x14ac:dyDescent="0.25">
      <c r="A341" s="695"/>
      <c r="B341" s="695"/>
      <c r="C341" s="255"/>
      <c r="D341" s="1359"/>
      <c r="E341" s="1360"/>
      <c r="F341" s="481" t="str">
        <f>IF('Calc (ex-animal)'!$F$63=1,"",IF($C$337=0,"",IF(D341="","",E341/'Calc (ex-animal)'!$E$68*100)))</f>
        <v/>
      </c>
      <c r="G341" s="483" t="str">
        <f>IF($C$337=0,"",IF('Calc (ex-animal)'!$F$63=1,"",IF(D341="","",SUM(H341:O341))))</f>
        <v/>
      </c>
      <c r="H341" s="445" t="str">
        <f>IF('Calc (ex-animal)'!$F$63=1,"",IF(D341="","",(((VLOOKUP($C$337,'Calc (ex-animal)'!$D$68:$Y$72,6,FALSE)-VLOOKUP($C$337,'Calc (ex-animal)'!$D$68:$Y$72,17,FALSE))*F341/100))*VLOOKUP($C$337,'Calc (ex-animal)'!$D$68:$Y$72,7,FALSE)/100*(1-VLOOKUP(D341,'DB technologies'!$N$168:$Y$180,9,FALSE)/100)))</f>
        <v/>
      </c>
      <c r="I341" s="445" t="str">
        <f>IF(D341="","",((VLOOKUP(D341,'DB technologies'!$N$168:$Y$180,2,FALSE)*VLOOKUP($C$337,'DB animal categories'!$C$127:$AC$136,27,FALSE)*E341/1000)/VLOOKUP($C$337,'DB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'!$S$6/100*(1-VLOOKUP(D341,'DB technologies'!$N$168:$Y$180,9,FALSE)/100)))</f>
        <v/>
      </c>
      <c r="J341" s="446" t="str">
        <f>IF(D341="","",((VLOOKUP(D341,'DB technologies'!$N$168:$Y$180,3,FALSE)*VLOOKUP($C$337,'DB animal categories'!$C$127:$AC$136,27,FALSE)*E341/1000)/VLOOKUP($C$337,'DB animal categories'!$C$127:$AC$136,27,FALSE)*(VLOOKUP($C$337,'DB animal categories'!$C$127:$AC$136,27,FALSE)-(VLOOKUP($C$337,'DB animal categories'!$C$127:$AC$136,25,FALSE)*VLOOKUP($C$337,'DB animal categories'!$C$127:$AC$136,26,FALSE)/24))*'DB additional information '!$S$7/100*(1-VLOOKUP(D341,'DB technologies'!$N$168:$Y$180,9,FALSE)/100)))</f>
        <v/>
      </c>
      <c r="K341" s="446" t="str">
        <f>IF(D341="","",((VLOOKUP(D341,'DB technologies'!$N$168:$Y$180,4,FALSE)*E341*'DB additional information '!$S$8/100*(1-VLOOKUP(D341,'DB technologies'!$N$168:$Y$180,9,FALSE)/100))/VLOOKUP($C$337,'DB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L341" s="445" t="str">
        <f>IF('Calc (ex-animal)'!$F$63=1,"",IF(D341="","",(((VLOOKUP($C$337,'Calc (ex-animal)'!$D$68:$Y$72,6,FALSE)-VLOOKUP($C$337,'Calc (ex-animal)'!$D$68:$Y$72,17,FALSE))*F341/100))*(1-VLOOKUP($C$337,'Calc (ex-animal)'!$D$68:$Y$72,7,FALSE)/100)*(1-VLOOKUP(D341,'DB technologies'!$N$168:$V$180,8,FALSE)/100)))</f>
        <v/>
      </c>
      <c r="M341" s="446" t="str">
        <f>IF(D341="","",((VLOOKUP(D341,'DB technologies'!$N$168:$Y$180,2,FALSE)*VLOOKUP($C$337,'DB animal categories'!$C$127:$AC$136,27,FALSE)*E341/1000)/VLOOKUP($C$337,'DB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'!$S$6/100)*(1-VLOOKUP(D341,'DB technologies'!$N$168:$Y$180,9,FALSE)/100))</f>
        <v/>
      </c>
      <c r="N341" s="446" t="str">
        <f>IF(D341="","",((VLOOKUP(D341,'DB technologies'!$N$168:$Y$180,3,FALSE)*VLOOKUP($C$337,'DB animal categories'!$C$127:$AC$136,27,FALSE)*E341/1000)/VLOOKUP($C$337,'DB animal categories'!$C$127:$AC$136,27,FALSE)*(VLOOKUP($C$337,'DB animal categories'!$C$127:$AC$136,27,FALSE)-VLOOKUP($C$337,'DB animal categories'!$C$127:$AC$136,25,FALSE)*VLOOKUP($C$337,'DB animal categories'!$C$127:$AC$136,26,FALSE)/24))*(1-'DB additional information '!$S$7/100)*(1-VLOOKUP(D341,'DB technologies'!$N$168:$Y$180,9,FALSE)/100))</f>
        <v/>
      </c>
      <c r="O341" s="445" t="str">
        <f>IF(D341="","",((VLOOKUP(D341,'DB technologies'!$N$168:$Y$180,4,FALSE)*E341*(1-'DB additional information '!$S$8/100)*(1-VLOOKUP(D341,'DB technologies'!$N$168:$Y$180,8,FALSE)/100))/VLOOKUP($C$337,'DB animal categories'!$C$127:$AC$136,27,FALSE)*(VLOOKUP($C$337,'DB animal categories'!$C$127:$AC$136,27,FALSE)-VLOOKUP($C$337,'DB animal categories'!$C$127:$AC$136,25,FALSE)*VLOOKUP($C$337,'DB animal categories'!$C$127:$AC$136,26,FALSE)/24)))</f>
        <v/>
      </c>
      <c r="P341" s="444" t="str">
        <f>IF(G341=0,0,IF(E341="","",IF(F341="","",IF($C$337=0,"",IF(D341="","",SUM(H341:K341)/G341*100)))))</f>
        <v/>
      </c>
      <c r="Q341" s="476" t="str">
        <f>IF(D341="","",(VLOOKUP(D341,'DB technologies'!$N$168:$Y$180,2,FALSE)*'DB additional information '!$S$6/100*'DB additional information '!$T$6*VLOOKUP($C$337,'DB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R341" s="476" t="str">
        <f>IF(D341="","",(VLOOKUP(D341,'DB technologies'!$N$168:$Y$180,3,FALSE)*'DB additional information '!$S$7/100*'DB additional information '!$T$7*VLOOKUP($C$337,'DB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S341" s="494" t="str">
        <f>IF(D341="","",(VLOOKUP(D341,'DB technologies'!$N$168:$Y$180,4,FALSE)*('DB additional information '!$S$8/100*'DB additional information '!$T$8*E341/1000/1000)))</f>
        <v/>
      </c>
      <c r="T341" s="266" t="str">
        <f>IF($C$337=0,"",IF('Calc (ex-animal)'!$F$63=1,"",IF(D341="","",((VLOOKUP($C$337,'Calc (ex-animal)'!$D$68:$Y$72,10,FALSE)-VLOOKUP($C$337,'Calc (ex-animal)'!$D$68:$Y$72,18,FALSE))*F341/100+Q341+R341+S341)-AC341-AD341-AE341)))</f>
        <v/>
      </c>
      <c r="U341" s="477" t="str">
        <f>IF(D341="","",(VLOOKUP(D341,'DB technologies'!$N$168:$Y$180,2,FALSE)*'DB additional information '!$S$6/100*'DB additional information '!$U$6*VLOOKUP($C$337,'DB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V341" s="433" t="str">
        <f>IF(D341="","",(VLOOKUP(D341,'DB technologies'!$N$168:$Y$180,3,FALSE)*'DB additional information '!$S$7/100*'DB additional information '!$U$7*VLOOKUP($C$337,'DB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W341" s="475" t="str">
        <f>IF(D341="","",(VLOOKUP(D341,'DB technologies'!$N$168:$Y$180,4,FALSE)*('DB additional information '!$S$8/100*'DB additional information '!$U$8*E341/1000/1000)))</f>
        <v/>
      </c>
      <c r="X341" s="267" t="str">
        <f>IF($C$337=0,"",IF('Calc (ex-animal)'!$F$63=1,"",IF(D341="","",((VLOOKUP($C$337,'Calc (ex-animal)'!$D$68:$Y$72,13,FALSE)-VLOOKUP($C$337,'Calc (ex-animal)'!$D$68:$Y$72,19,FALSE))*F341/100+U341+V341+W341))))</f>
        <v/>
      </c>
      <c r="Y341" s="433" t="str">
        <f>IF(D341="","",(VLOOKUP(D341,'DB technologies'!$N$168:$Y$180,2,FALSE)*'DB additional information '!$S$6/100*'DB additional information '!$V$6*VLOOKUP($C$337,'DB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Z341" s="433" t="str">
        <f>IF(D341="","",(VLOOKUP(D341,'DB technologies'!$N$168:$Y$180,3,FALSE)*'DB additional information '!$S$7/100*'DB additional information '!$V$7*VLOOKUP($C$337,'DB animal categories'!$C$127:$AC$136,27,FALSE)*E341/1000/1000)/VLOOKUP($C$337,'DB animal categories'!$C$127:$AC$136,27,FALSE)*(VLOOKUP($C$337,'DB animal categories'!$C$127:$AC$136,27,FALSE)-VLOOKUP($C$337,'DB animal categories'!$C$127:$AC$136,25,FALSE)*VLOOKUP($C$337,'DB animal categories'!$C$127:$AC$136,26,FALSE)/24))</f>
        <v/>
      </c>
      <c r="AA341" s="433" t="str">
        <f>IF(D341="","",(VLOOKUP(D341,'DB technologies'!$N$168:$Y$180,4,FALSE)*('DB additional information '!$S$8/100*'DB additional information '!$V$8*E341/1000/1000)))</f>
        <v/>
      </c>
      <c r="AB341" s="267" t="str">
        <f>IF($C$337=0,"",IF('Calc (ex-animal)'!$F$63=1,"",IF(D341="","",((VLOOKUP($C$337,'Calc (ex-animal)'!$D$68:$Y$72,16,FALSE)-VLOOKUP($C$337,'Calc (ex-animal)'!$D$68:$Y$72,20,FALSE))*F341/100+Y341+Z341+AA341))))</f>
        <v/>
      </c>
      <c r="AC341" s="267" t="str">
        <f>IF($C$337=0,"",IF('Calc (ex-animal)'!$F$63=1,"",IF(D341="","",VLOOKUP($C$337,'Calc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categories'!$C$127:$AC$136,26,FALSE)/24)*F341/100*VLOOKUP(D341,'DB technologies'!$N$168:$R$180,5,FALSE)/100)))</f>
        <v/>
      </c>
      <c r="AD341" s="267" t="str">
        <f>IF($C$337=0,"",IF('Calc (ex-animal)'!$F$63=1,"",IF(D341="","",VLOOKUP($C$337,'Calc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categories'!$C$127:$AC$136,26,FALSE)/24)*F341/100*VLOOKUP(D341,'DB technologies'!$N$168:$Y$180,6,FALSE)/100)))</f>
        <v/>
      </c>
      <c r="AE341" s="268" t="str">
        <f>IF($C$337=0,"",IF('Calc (ex-animal)'!$F$63=1,"",IF(D341="","",VLOOKUP($C$337,'Calc (ex-animal)'!$D$68:$Y$72,10,FALSE)/VLOOKUP($C$337,'DB animal categories'!$C$127:$AC$136,27,FALSE)*(VLOOKUP($C$337,'DB animal categories'!$C$127:$AC$136,27,FALSE)-VLOOKUP($C$337,'DB animal categories'!$C$127:$AC$136,25,FALSE)*VLOOKUP($C$337,'DB animal categories'!$C$127:$AC$136,26,FALSE)/24)*F341/100*VLOOKUP(D341,'DB technologies'!$N$168:$Y$180,7,FALSE)/100)))</f>
        <v/>
      </c>
      <c r="AI341" s="183" t="str">
        <f>IF(D341="","",VLOOKUP(D341,'DB technologies'!$N$168:$Y$180,10,FALSE))</f>
        <v/>
      </c>
      <c r="AJ341" s="451" t="e">
        <f>VLOOKUP($C$337,'DB animal categories'!$C$127:$AN$136,27,FALSE)-VLOOKUP($C$337,'DB animal categories'!$C$127:$AN$136,26,FALSE)*VLOOKUP($C$337,'DB animal categories'!$C$127:$AN$136,25,FALSE)/24</f>
        <v>#N/A</v>
      </c>
      <c r="AK341" s="452" t="str">
        <f>IF(AI341="","",AL341+AM341)</f>
        <v/>
      </c>
      <c r="AL341" s="452" t="str">
        <f>IF(D341="","",IF(AI341=2,(('Calc (ex-animal)'!$G$68*'DB additional information '!$K$14/100*(1-VLOOKUP(D341,'DB technologies'!$N$168:$Y$180,9,FALSE)/100)*'Calc (ex-housing, ex-storage)'!F341/100+'Calc (ex-animal)'!$H$68*'DB additional information '!$L$14/100*(1-VLOOKUP(D341,'DB technologies'!$N$168:$Y$180,9,FALSE)/100)*'Calc (ex-housing, ex-storage)'!F341/100))/VLOOKUP($C$337,'DB animal categories'!$C$127:$AC$136,27,FALSE)*AJ341+I341+J341+K341,IF(AI341=1,('Calc (ex-animal)'!$H$68*'DB additional information '!$L$14/100*(1-VLOOKUP(D341,'DB technologies'!$N$168:$Y$180,9,FALSE)/100)*'Calc (ex-housing, ex-storage)'!F341/100)/VLOOKUP($C$337,'DB animal categories'!$C$127:$AC$136,27,FALSE)*AJ341,IF(AI341=4,('Calc (ex-animal)'!$G$68*'DB additional information '!$K$14/100+'Calc (ex-animal)'!$H$68*'DB additional information '!$L$14/100)*(1-VLOOKUP(D341,'DB technologies'!$N$168:$Y$180,9,FALSE)/100)*'Calc (ex-housing, ex-storage)'!F341/100*VLOOKUP(D341,'DB technologies'!$N$168:$Y$180,11,FALSE)/100/VLOOKUP($C$337,'DB animal categories'!$C$127:$AC$136,27,FALSE)*AJ341,0))))</f>
        <v/>
      </c>
      <c r="AM341" s="452" t="str">
        <f>IF(D341="","",IF(AI341=2,(('Calc (ex-animal)'!$G$68*(1-'DB additional information '!$K$14/100)*(1-VLOOKUP(D341,'DB technologies'!$N$168:$Y$180,8,FALSE)/100)*'Calc (ex-housing, ex-storage)'!F341/100+'Calc (ex-animal)'!$H$68*(1-'DB additional information '!$L$14/100)*(1-VLOOKUP(D341,'DB technologies'!$N$168:$Y$180,8,FALSE)/100)*'Calc (ex-housing, ex-storage)'!F341/100))/VLOOKUP($C$337,'DB animal categories'!$C$127:$AC$136,27,FALSE)*AJ341+M341+N341+O341,IF(AI341=1,('Calc (ex-animal)'!$H$68*(1-'DB additional information '!$L$14/100)*(1-VLOOKUP(D341,'DB technologies'!$N$168:$Y$180,8,FALSE)/100)*'Calc (ex-housing, ex-storage)'!F341/100)/VLOOKUP($C$337,'DB animal categories'!$C$127:$AC$136,27,FALSE)*AJ341,IF(AI341=4,('Calc (ex-animal)'!$G$68*(1-'DB additional information '!$K$14/100)+'Calc (ex-animal)'!$H$68*(1-'DB additional information '!$L$14/100))*(1-VLOOKUP(D341,'DB technologies'!$N$168:$Y$180,8,FALSE)/100)*'Calc (ex-housing, ex-storage)'!F341/100*VLOOKUP(D341,'DB technologies'!$N$168:$Y$180,11,FALSE)/100/VLOOKUP($C$337,'DB animal categories'!$C$127:$AC$136,27,FALSE)*AJ341,0))))</f>
        <v/>
      </c>
      <c r="AN341" s="452" t="str">
        <f>IF(AI341="","",IF(AL341=0,0,AL341/AK341*100))</f>
        <v/>
      </c>
      <c r="AO341" s="184" t="str">
        <f>IF(D341="","",IF(AI341=2,(('Calc (ex-animal)'!$L$68*'Calc (ex-housing, ex-storage)'!F341/100+'Calc (ex-animal)'!$K$68*'Calc (ex-housing, ex-storage)'!F341/100))/VLOOKUP($C$337,'DB animal categories'!$C$127:$AC$136,27,FALSE)*AJ341+Q341+R341+S341-AC341,IF(AI341=1,('Calc (ex-animal)'!$L$68*'Calc (ex-housing, ex-storage)'!F341/100)/VLOOKUP($C$337,'DB animal categories'!$C$127:$AC$136,27,FALSE)*AJ341-'Calc (ex-housing, ex-storage)'!AC341,IF(AI341=4,('Calc (ex-animal)'!$L$68+'Calc (ex-animal)'!$K$68)*'Calc (ex-housing, ex-storage)'!F341/100*VLOOKUP(D341,'DB technologies'!$N$168:$Y$180,11,FALSE)/100/VLOOKUP($C$337,'DB animal categories'!$C$127:$AC$136,27,FALSE)*AJ341-AC341*VLOOKUP(D341,'DB technologies'!$N$168:$Y$180,11,FALSE)/100,0))))</f>
        <v/>
      </c>
      <c r="AP341" s="184" t="str">
        <f>IF(D341="","",IF(AO341&lt;-0.01,0,IF(AI341=2,(('Calc (ex-animal)'!$L$68*'Calc (ex-housing, ex-storage)'!F341/100+'Calc (ex-animal)'!$K$68*'Calc (ex-housing, ex-storage)'!F341/100))/VLOOKUP($C$337,'DB animal categories'!$C$127:$AC$136,27,FALSE)*AJ341+Q341+R341+S341-AC341,IF(AI341=1,('Calc (ex-animal)'!$L$68*'Calc (ex-housing, ex-storage)'!F341/100)/VLOOKUP($C$337,'DB animal categories'!$C$127:$AC$136,27,FALSE)*AJ341-'Calc (ex-housing, ex-storage)'!AC341,IF(AI341=4,('Calc (ex-animal)'!$L$68+'Calc (ex-animal)'!$K$68)*'Calc (ex-housing, ex-storage)'!F341/100*VLOOKUP(D341,'DB technologies'!$N$168:$Y$180,11,FALSE)/100/VLOOKUP($C$337,'DB animal categories'!$C$127:$AC$136,27,FALSE)*AJ341-AC341*VLOOKUP(D341,'DB technologies'!$N$168:$Y$180,11,FALSE)/100,0)))))</f>
        <v/>
      </c>
      <c r="AQ341" s="184" t="str">
        <f>IF(D341="","",IF(AI341=2,('Calc (ex-animal)'!$O$68*'Calc (ex-housing, ex-storage)'!F341/100+'Calc (ex-animal)'!$N$68*'Calc (ex-housing, ex-storage)'!F341/100)/VLOOKUP($C$337,'DB animal categories'!$C$127:$AC$136,27,FALSE)*AJ341+U341+V341+W341,IF(AI341=1,'Calc (ex-animal)'!$O$68*'Calc (ex-housing, ex-storage)'!F341/100/VLOOKUP($C$337,'DB animal categories'!$C$127:$AC$136,27,FALSE)*AJ341,IF(AI341=4,('Calc (ex-animal)'!$O$68+'Calc (ex-animal)'!$N$68)*'Calc (ex-housing, ex-storage)'!F341/100*VLOOKUP(D341,'DB technologies'!$N$168:$Y$180,11,FALSE)/100/VLOOKUP($C$337,'DB animal categories'!$C$127:$AC$136,27,FALSE)*AJ341,0))))</f>
        <v/>
      </c>
      <c r="AR341" s="184" t="str">
        <f>IF(D341="","",IF(AI341=2,('Calc (ex-animal)'!$R$68*'Calc (ex-housing, ex-storage)'!F341/100+'Calc (ex-animal)'!$Q$68*'Calc (ex-housing, ex-storage)'!F341/100)/VLOOKUP($C$337,'DB animal categories'!$C$127:$AC$136,27,FALSE)*AJ341+Y341+Z341+AA341,IF(AI341=1,'Calc (ex-animal)'!$R$68*'Calc (ex-housing, ex-storage)'!F341/100/VLOOKUP($C$337,'DB animal categories'!$C$127:$AC$136,27,FALSE)*AJ341,IF(AI341=4,('Calc (ex-animal)'!$R$68+'Calc (ex-animal)'!$Q$68)*'Calc (ex-housing, ex-storage)'!F341/100*VLOOKUP(D341,'DB technologies'!$N$168:$Y$180,11,FALSE)/100/VLOOKUP($C$337,'DB animal categories'!$C$127:$AC$136,27,FALSE)*AJ341,0))))</f>
        <v/>
      </c>
      <c r="AS341" s="183" t="str">
        <f>IF(D341="","",VLOOKUP(D341,'DB technologies'!$N$168:$Y$180,10,FALSE))</f>
        <v/>
      </c>
      <c r="AT341" s="452" t="str">
        <f>IF(AS341="","",AU341+AV341)</f>
        <v/>
      </c>
      <c r="AU341" s="452" t="str">
        <f>IF(D341="","",IF(AS341=2,0,IF(AS341=1,'Calc (ex-animal)'!$G$68*'DB additional information '!$K$14/100*(1-VLOOKUP(D341,'DB technologies'!$N$168:$Y$180,8,FALSE)/100)*'Calc (ex-housing, ex-storage)'!F341/100/VLOOKUP($C$337,'DB animal categories'!$C$127:$AC$136,27,FALSE)*AJ341+I341+J341+K341,IF(AS341=5,(('Calc (ex-animal)'!$G$68*'DB additional information '!$K$14/100+'Calc (ex-animal)'!$H$68*'DB additional information '!$L$14/100))*(1-VLOOKUP(D341,'DB technologies'!$N$168:$Y$180,9,FALSE)/100)*'Calc (ex-housing, ex-storage)'!F341/100/VLOOKUP($C$337,'DB animal categories'!$C$127:$AC$136,27,FALSE)*AJ341+I341+J341+K341,IF(AS341=3,('Calc (ex-animal)'!$G$68*'DB additional information '!$K$14/100+'Calc (ex-animal)'!$H$68*'DB additional information '!$L$14/100)*(1-VLOOKUP(D341,'DB technologies'!$N$168:$Y$180,9,FALSE)/100)*'Calc (ex-housing, ex-storage)'!F341/100/VLOOKUP($C$337,'DB animal categories'!$C$127:$AC$136,27,FALSE)*AJ341+I341+J341+K341,IF(AS341=4,('Calc (ex-animal)'!$G$68*'DB additional information '!$K$14/100+'Calc (ex-animal)'!$H$68*'DB additional information '!$L$14/100)*(1-VLOOKUP(D341,'DB technologies'!$N$168:$Y$180,9,FALSE)/100)*'Calc (ex-housing, ex-storage)'!F341/100*VLOOKUP(D341,'DB technologies'!$N$168:$Y$180,12,FALSE)/100/VLOOKUP($C$337,'DB animal categories'!$C$127:$AC$136,27,FALSE)*AJ341+I341+J341+K341,0))))))</f>
        <v/>
      </c>
      <c r="AV341" s="452" t="str">
        <f>IF(D341="","",IF(AS341=2,0,IF(AS341=1,'Calc (ex-animal)'!$G$68*(1-'DB additional information '!$K$14/100)*(1-VLOOKUP(D341,'DB technologies'!$N$168:$Y$180,8,FALSE)/100)*'Calc (ex-housing, ex-storage)'!F341/100/VLOOKUP($C$337,'DB animal categories'!$C$127:$AC$136,27,FALSE)*AJ341+M341+N341+O341,IF(AS341=5,('Calc (ex-animal)'!$G$68*(1-'DB additional information '!$K$14/100)+'Calc (ex-animal)'!$H$68*(1-'DB additional information '!$L$14/100))*(1-VLOOKUP(D341,'DB technologies'!$N$168:$Y$180,8,FALSE)/100)*'Calc (ex-housing, ex-storage)'!F341/100/VLOOKUP($C$337,'DB animal categories'!$C$127:$AC$136,27,FALSE)*AJ341+M341+N341+O341,IF(AS341=3,('Calc (ex-animal)'!$G$68*(1-'DB additional information '!$K$14/100)+'Calc (ex-animal)'!$H$68*(1-'DB additional information '!$L$14/100))*(1-VLOOKUP(D341,'DB technologies'!$N$168:$Y$180,8,FALSE)/100)*'Calc (ex-housing, ex-storage)'!F341/100/VLOOKUP($C$337,'DB animal categories'!$C$127:$AC$136,27,FALSE)*AJ341+M341+N341+O341,IF(AS341=4,('Calc (ex-animal)'!$G$68*(1-'DB additional information '!$K$14/100)+'Calc (ex-animal)'!$H$68*(1-'DB additional information '!$L$14/100))*(1-VLOOKUP(D341,'DB technologies'!$N$168:$Y$180,8,FALSE)/100)*'Calc (ex-housing, ex-storage)'!F341/100*VLOOKUP(D341,'DB technologies'!$N$168:$Y$180,12,FALSE)/100/VLOOKUP($C$337,'DB animal categories'!$C$127:$AC$136,27,FALSE)*AJ341+M341+N341+O341,0))))))</f>
        <v/>
      </c>
      <c r="AW341" s="452" t="str">
        <f>IF(AS341="","",IF(AU341=0,0,AU341/AT341*100))</f>
        <v/>
      </c>
      <c r="AX341" s="184" t="str">
        <f>IF(D341="","",IF(AS341=2,0,IF(AS341=1,'Calc (ex-animal)'!$K$68*'Calc (ex-housing, ex-storage)'!F341/100/VLOOKUP($C$337,'DB animal categories'!$C$127:$AC$136,27,FALSE)*AJ341+Q341+R341+S341,IF(AS341=5,('Calc (ex-animal)'!$K$68+'Calc (ex-animal)'!$L$68)*'Calc (ex-housing, ex-storage)'!F341/100/VLOOKUP($C$337,'DB animal categories'!$C$127:$AC$136,27,FALSE)*AJ341+Q341+R341+S341-'Calc (ex-housing, ex-storage)'!AC341,IF(AS341=3,('Calc (ex-animal)'!$K$68+'Calc (ex-animal)'!$L$68)*'Calc (ex-housing, ex-storage)'!F341/100/VLOOKUP($C$337,'DB animal categories'!$C$127:$AC$136,27,FALSE)*AJ341+Q341+R341+S341-'Calc (ex-housing, ex-storage)'!AC341-AD341-AE341,IF(AI341=4,('Calc (ex-animal)'!$K$68+'Calc (ex-animal)'!$L$68)*'Calc (ex-housing, ex-storage)'!F341/100*VLOOKUP(D341,'DB technologies'!$N$168:$Y$180,12,FALSE)/100/VLOOKUP($C$337,'DB animal categories'!$C$127:$AC$136,27,FALSE)*AJ341+Q341+R341+S341-(VLOOKUP(D341,'DB technologies'!$N$168:$Y$180,12,FALSE)/100*AC341)-AD341-AE341,0))))))</f>
        <v/>
      </c>
      <c r="AY341" s="184" t="str">
        <f>IF(D341="","",IF(AS341=2,0,IF(AS341=1,'Calc (ex-animal)'!$N$68*'Calc (ex-housing, ex-storage)'!F341/100/VLOOKUP($C$337,'DB animal categories'!$C$127:$AC$136,27,FALSE)*AJ341+U341+V341+W341,IF(AS341=5,('Calc (ex-animal)'!$N$68+'Calc (ex-animal)'!$O$68)*'Calc (ex-housing, ex-storage)'!F341/100/VLOOKUP($C$337,'DB animal categories'!$C$127:$AC$136,27,FALSE)*AJ341+U341+V341+W341,IF(AS341=3,('Calc (ex-animal)'!$N$68+'Calc (ex-animal)'!$O$68)*'Calc (ex-housing, ex-storage)'!F341/100/VLOOKUP($C$337,'DB animal categories'!$C$127:$AC$136,27,FALSE)*AJ341+U341+V341+W341,IF(AS341=4,('Calc (ex-animal)'!$N$68+'Calc (ex-animal)'!$O$68)*'Calc (ex-housing, ex-storage)'!F341/100*VLOOKUP(D341,'DB technologies'!$N$168:$Y$180,12,FALSE)/100/VLOOKUP($C$337,'DB animal categories'!$C$127:$AC$136,27,FALSE)*AJ341+U341+V341+W341,0))))))</f>
        <v/>
      </c>
      <c r="AZ341" s="184" t="str">
        <f>IF(D341="","",IF(AS341=2,0,IF(AS341=1,'Calc (ex-animal)'!$Q$68*'Calc (ex-housing, ex-storage)'!F341/100/VLOOKUP($C$337,'DB animal categories'!$C$127:$AC$136,27,FALSE)*AJ341+Y341+Z341+AA341,IF(AS341=5,('Calc (ex-animal)'!$Q$68+'Calc (ex-animal)'!$R$68)*'Calc (ex-housing, ex-storage)'!F341/100/VLOOKUP($C$337,'DB animal categories'!$C$127:$AC$136,27,FALSE)*AJ341+Y341+Z341+AA341,IF(AS341=3,('Calc (ex-animal)'!$Q$68+'Calc (ex-animal)'!$R$68)*'Calc (ex-housing, ex-storage)'!F341/100/VLOOKUP($C$337,'DB animal categories'!$C$127:$AC$136,27,FALSE)*AJ341+Y341+Z341+AA341,IF(AS341=4,('Calc (ex-animal)'!$Q$68+'Calc (ex-animal)'!$R$68)*'Calc (ex-housing, ex-storage)'!F341/100*VLOOKUP(D341,'DB technologies'!$N$168:$Y$180,12,FALSE)/100/VLOOKUP($C$337,'DB animal categories'!$C$127:$AC$136,27,FALSE)*AJ341+Y341+Z341+AA341,0))))))</f>
        <v/>
      </c>
      <c r="BA341" s="506"/>
      <c r="BB341" s="506"/>
      <c r="BC341" s="506"/>
    </row>
    <row r="342" spans="1:55" ht="12" thickBot="1" x14ac:dyDescent="0.25">
      <c r="A342" s="695"/>
      <c r="B342" s="695"/>
      <c r="C342" s="252"/>
      <c r="D342" s="269" t="s">
        <v>58</v>
      </c>
      <c r="E342" s="270">
        <f>IF(F342&lt;=100,SUM(E337:E341),"ERROR")</f>
        <v>0</v>
      </c>
      <c r="F342" s="283">
        <f>IF(SUM(F337:F341) &lt;=100,SUM(F337:F341),"ERROR, SUM&gt;100%")</f>
        <v>0</v>
      </c>
      <c r="G342" s="550">
        <f>IF('Calc (ex-animal)'!$F$63=1,"",SUM(G337:G341))</f>
        <v>0</v>
      </c>
      <c r="H342" s="418">
        <f>IF('Calc (ex-animal)'!$F$8=1,"",SUM(H337:H341))</f>
        <v>0</v>
      </c>
      <c r="I342" s="418">
        <f>IF('Calc (ex-animal)'!$F$8=1,"",SUM(I337:I341))</f>
        <v>0</v>
      </c>
      <c r="J342" s="418">
        <f>IF('Calc (ex-animal)'!$F$8=1,"",SUM(J337:J341))</f>
        <v>0</v>
      </c>
      <c r="K342" s="418">
        <f>IF('Calc (ex-animal)'!$F$8=1,"",SUM(K337:K341))</f>
        <v>0</v>
      </c>
      <c r="L342" s="418">
        <f>IF('Calc (ex-animal)'!$F$8=1,"",SUM(L337:L341))</f>
        <v>0</v>
      </c>
      <c r="M342" s="551"/>
      <c r="N342" s="551"/>
      <c r="O342" s="551"/>
      <c r="P342" s="552">
        <f>IF(G342=0,0,IF('Calc (ex-animal)'!$F$63=1,"",IF(D342="","",SUM(H342:K342)/G342*100)))</f>
        <v>0</v>
      </c>
      <c r="Q342" s="394"/>
      <c r="R342" s="394"/>
      <c r="S342" s="394"/>
      <c r="T342" s="285">
        <f>IF('Calc (ex-animal)'!$F$68=1,"",SUM(T337:T341))</f>
        <v>0</v>
      </c>
      <c r="U342" s="286"/>
      <c r="V342" s="286"/>
      <c r="W342" s="286"/>
      <c r="X342" s="286">
        <f>IF('Calc (ex-animal)'!$F$68=1,"",SUM(X337:X341))</f>
        <v>0</v>
      </c>
      <c r="Y342" s="286"/>
      <c r="Z342" s="286"/>
      <c r="AA342" s="286"/>
      <c r="AB342" s="286">
        <f>IF('Calc (ex-animal)'!$F$68=1,"",SUM(AB337:AB341))</f>
        <v>0</v>
      </c>
      <c r="AC342" s="286">
        <f>IF('Calc (ex-animal)'!$F$68=1,"",SUM(AC337:AC341))</f>
        <v>0</v>
      </c>
      <c r="AD342" s="286">
        <f>IF('Calc (ex-animal)'!$F$68=1,"",SUM(AD337:AD341))</f>
        <v>0</v>
      </c>
      <c r="AE342" s="287">
        <f>IF('Calc (ex-animal)'!$F$68=1,"",SUM(AE337:AE341))</f>
        <v>0</v>
      </c>
    </row>
    <row r="343" spans="1:55" x14ac:dyDescent="0.2">
      <c r="A343" s="695"/>
      <c r="B343" s="695"/>
      <c r="C343" s="250">
        <f>'Calc (ex-animal)'!D69</f>
        <v>0</v>
      </c>
      <c r="D343" s="1355"/>
      <c r="E343" s="1356"/>
      <c r="F343" s="479" t="str">
        <f>IF('Calc (ex-animal)'!$F$63=1,"",IF($C$343=0,"",IF(D343="","",E343/'Calc (ex-animal)'!$E$69*100)))</f>
        <v/>
      </c>
      <c r="G343" s="484" t="str">
        <f>IF($C$343=0,"",IF('Calc (ex-animal)'!$F$63=1,"",IF(D343="","",SUM(H343:O343))))</f>
        <v/>
      </c>
      <c r="H343" s="471" t="str">
        <f>IF('Calc (ex-animal)'!$F$63=1,"",IF(D343="","",(((VLOOKUP($C$343,'Calc (ex-animal)'!$D$68:$Y$72,6,FALSE)-VLOOKUP($C$343,'Calc (ex-animal)'!$D$68:$Y$72,17,FALSE))*F343/100))*VLOOKUP($C$343,'Calc (ex-animal)'!$D$68:$Y$72,7,FALSE)/100*(1-VLOOKUP(D343,'DB technologies'!$N$168:$Y$180,9,FALSE)/100)))</f>
        <v/>
      </c>
      <c r="I343" s="471" t="str">
        <f>IF(D343="","",((VLOOKUP(D343,'DB technologies'!$N$168:$Y$180,2,FALSE)*VLOOKUP($C$343,'DB animal categories'!$C$127:$AC$136,27,FALSE)*E343/1000)/VLOOKUP($C$343,'DB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'!$S$6/100*(1-VLOOKUP(D343,'DB technologies'!$N$168:$Y$180,9,FALSE)/100)))</f>
        <v/>
      </c>
      <c r="J343" s="472" t="str">
        <f>IF(D343="","",((VLOOKUP(D343,'DB technologies'!$N$168:$Y$180,3,FALSE)*VLOOKUP($C$343,'DB animal categories'!$C$127:$AC$136,27,FALSE)*E343/1000)/VLOOKUP($C$343,'DB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'!$S$7/100*(1-VLOOKUP(D343,'DB technologies'!$N$168:$Y$180,9,FALSE)/100)))</f>
        <v/>
      </c>
      <c r="K343" s="472" t="str">
        <f>IF(D343="","",((VLOOKUP(D343,'DB technologies'!$N$168:$Y$180,4,FALSE)*E343*'DB additional information '!$S$8/100*(1-VLOOKUP(D343,'DB technologies'!$N$168:$Y$180,9,FALSE)/100))/VLOOKUP($C$343,'DB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L343" s="471" t="str">
        <f>IF('Calc (ex-animal)'!$F$63=1,"",IF(D343="","",(((VLOOKUP($C$343,'Calc (ex-animal)'!$D$68:$Y$72,6,FALSE)-VLOOKUP($C$343,'Calc (ex-animal)'!$D$68:$Y$72,17,FALSE))*F343/100))*(1-VLOOKUP($C$343,'Calc (ex-animal)'!$D$68:$Y$72,7,FALSE)/100)*(1-VLOOKUP(D343,'DB technologies'!$N$168:$V$180,8,FALSE)/100)))</f>
        <v/>
      </c>
      <c r="M343" s="472" t="str">
        <f>IF(D343="","",((VLOOKUP(D343,'DB technologies'!$N$168:$Y$180,2,FALSE)*VLOOKUP($C$343,'DB animal categories'!$C$127:$AC$136,27,FALSE)*E343/1000)/VLOOKUP($C$343,'DB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'!$S$6/100)*(1-VLOOKUP(D343,'DB technologies'!$N$168:$Y$180,9,FALSE)/100))</f>
        <v/>
      </c>
      <c r="N343" s="472" t="str">
        <f>IF(D343="","",((VLOOKUP(D343,'DB technologies'!$N$168:$Y$180,3,FALSE)*VLOOKUP($C$343,'DB animal categories'!$C$127:$AC$136,27,FALSE)*E343/1000)/VLOOKUP($C$343,'DB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'!$S$7/100)*(1-VLOOKUP(D343,'DB technologies'!$N$168:$Y$180,9,FALSE)/100))</f>
        <v/>
      </c>
      <c r="O343" s="471" t="str">
        <f>IF(D343="","",((VLOOKUP(D343,'DB technologies'!$N$168:$Y$180,4,FALSE)*E343*(1-'DB additional information '!$S$8/100)*(1-VLOOKUP(D343,'DB technologies'!$N$168:$Y$180,8,FALSE)/100))/VLOOKUP($C$343,'DB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P343" s="443" t="str">
        <f>IF(G343=0,0,IF(E343="","",IF(F343="","",IF($C$343=0,"",IF(D343="","",SUM(H343:K343)/G343*100)))))</f>
        <v/>
      </c>
      <c r="Q343" s="473" t="str">
        <f>IF(D343="","",(VLOOKUP(D343,'DB technologies'!$N$168:$Y$180,2,FALSE)*'DB additional information '!$S$6/100*'DB additional information '!$T$6*VLOOKUP($C$343,'DB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R343" s="473" t="str">
        <f>IF(D343="","",(VLOOKUP(D343,'DB technologies'!$N$168:$Y$180,3,FALSE)*'DB additional information '!$S$7/100*'DB additional information '!$T$7*VLOOKUP($C$343,'DB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S343" s="490" t="str">
        <f>IF(D343="","",(VLOOKUP(D343,'DB technologies'!$N$168:$Y$180,4,FALSE)*('DB additional information '!$S$8/100*'DB additional information '!$T$8*E343/1000/1000)))</f>
        <v/>
      </c>
      <c r="T343" s="263" t="str">
        <f>IF($C$343=0,"",IF('Calc (ex-animal)'!$F$63=1,"",IF(D343="","",((VLOOKUP($C$343,'Calc (ex-animal)'!$D$68:$Y$72,10,FALSE)-VLOOKUP($C$343,'Calc (ex-animal)'!$D$68:$Y$72,18,FALSE))*F343/100+Q343+R343+S343)-AC343-AD343-AE343)))</f>
        <v/>
      </c>
      <c r="U343" s="474" t="str">
        <f>IF(D343="","",(VLOOKUP(D343,'DB technologies'!$N$168:$Y$180,2,FALSE)*'DB additional information '!$S$6/100*'DB additional information '!$U$6*VLOOKUP($C$343,'DB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V343" s="420" t="str">
        <f>IF(D343="","",(VLOOKUP(D343,'DB technologies'!$N$168:$Y$180,3,FALSE)*'DB additional information '!$S$7/100*'DB additional information '!$U$7*VLOOKUP($C$343,'DB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W343" s="415" t="str">
        <f>IF(D343="","",(VLOOKUP(D343,'DB technologies'!$N$168:$Y$180,4,FALSE)*('DB additional information '!$S$8/100*'DB additional information '!$U$8*E343/1000/1000)))</f>
        <v/>
      </c>
      <c r="X343" s="259" t="str">
        <f>IF($C$343=0,"",IF('Calc (ex-animal)'!$F$63=1,"",IF(D343="","",((VLOOKUP($C$343,'Calc (ex-animal)'!$D$68:$Y$72,13,FALSE)-VLOOKUP($C$343,'Calc (ex-animal)'!$D$68:$Y$72,19,FALSE))*F343/100+U343+V343+W343))))</f>
        <v/>
      </c>
      <c r="Y343" s="420" t="str">
        <f>IF(D343="","",(VLOOKUP(D343,'DB technologies'!$N$168:$Y$180,2,FALSE)*'DB additional information '!$S$6/100*'DB additional information '!$V$6*VLOOKUP($C$343,'DB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Z343" s="420" t="str">
        <f>IF(D343="","",(VLOOKUP(D343,'DB technologies'!$N$168:$Y$180,3,FALSE)*'DB additional information '!$S$7/100*'DB additional information '!$V$7*VLOOKUP($C$343,'DB animal categories'!$C$127:$AC$136,27,FALSE)*E343/1000/1000)/VLOOKUP($C$343,'DB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AA343" s="420" t="str">
        <f>IF(D343="","",(VLOOKUP(D343,'DB technologies'!$N$168:$Y$180,4,FALSE)*('DB additional information '!$S$8/100*'DB additional information '!$V$8*E343/1000/1000)))</f>
        <v/>
      </c>
      <c r="AB343" s="259" t="str">
        <f>IF($C$343=0,"",IF('Calc (ex-animal)'!$F$63=1,"",IF(D343="","",((VLOOKUP($C$343,'Calc (ex-animal)'!$D$68:$Y$72,16,FALSE)-VLOOKUP($C$343,'Calc (ex-animal)'!$D$68:$Y$72,20,FALSE))*F343/100+Y343+Z343+AA343))))</f>
        <v/>
      </c>
      <c r="AC343" s="259" t="str">
        <f>IF($C$343=0,"",IF('Calc (ex-animal)'!$F$63=1,"",IF(D343="","",VLOOKUP($C$343,'Calc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categories'!$C$127:$AC$136,26,FALSE)/24)*F343/100*VLOOKUP(D343,'DB technologies'!$N$168:$R$180,5,FALSE)/100)))</f>
        <v/>
      </c>
      <c r="AD343" s="259" t="str">
        <f>IF($C$343=0,"",IF('Calc (ex-animal)'!$F$63=1,"",IF(D343="","",VLOOKUP($C$343,'Calc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categories'!$C$127:$AC$136,26,FALSE)/24)*F343/100*VLOOKUP(D343,'DB technologies'!$N$168:$Y$180,6,FALSE)/100)))</f>
        <v/>
      </c>
      <c r="AE343" s="260" t="str">
        <f>IF($C$343=0,"",IF('Calc (ex-animal)'!$F$63=1,"",IF(D343="","",VLOOKUP($C$343,'Calc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categories'!$C$127:$AC$136,26,FALSE)/24)*F343/100*VLOOKUP(D343,'DB technologies'!$N$168:$Y$180,7,FALSE)/100)))</f>
        <v/>
      </c>
      <c r="AI343" s="179" t="str">
        <f>IF(D343="","",VLOOKUP(D343,'DB technologies'!$N$168:$Y$180,10,FALSE))</f>
        <v/>
      </c>
      <c r="AJ343" s="482" t="e">
        <f>VLOOKUP($C$343,'DB animal categories'!$C$127:$AN$136,27,FALSE)-VLOOKUP($C$343,'DB animal categories'!$C$127:$AN$136,26,FALSE)*VLOOKUP($C$343,'DB animal categories'!$C$127:$AN$136,25,FALSE)/24</f>
        <v>#N/A</v>
      </c>
      <c r="AK343" s="453" t="str">
        <f>IF(AI343="","",AL343+AM343)</f>
        <v/>
      </c>
      <c r="AL343" s="453" t="str">
        <f>IF(D343="","",IF(AI343=2,(('Calc (ex-animal)'!$G$69*'DB additional information '!$K$14/100*(1-VLOOKUP(D343,'DB technologies'!$N$168:$Y$180,9,FALSE)/100)*'Calc (ex-housing, ex-storage)'!F343/100+'Calc (ex-animal)'!$H$69*'DB additional information '!$L$14/100*(1-VLOOKUP(D343,'DB technologies'!$N$168:$Y$180,9,FALSE)/100)*'Calc (ex-housing, ex-storage)'!F343/100))/VLOOKUP($C$343,'DB animal categories'!$C$127:$AC$136,27,FALSE)*AJ343+I343+J343+K343,IF(AI343=1,('Calc (ex-animal)'!$H$69*'DB additional information '!$L$14/100*(1-VLOOKUP(D343,'DB technologies'!$N$168:$Y$180,9,FALSE)/100)*'Calc (ex-housing, ex-storage)'!F343/100)/VLOOKUP($C$343,'DB animal categories'!$C$127:$AC$136,27,FALSE)*AJ343,IF(AI343=4,('Calc (ex-animal)'!$G$69*'DB additional information '!$K$14/100+'Calc (ex-animal)'!$H$69*'DB additional information '!$L$14/100)*(1-VLOOKUP(D343,'DB technologies'!$N$168:$Y$180,9,FALSE)/100)*'Calc (ex-housing, ex-storage)'!F343/100*VLOOKUP(D343,'DB technologies'!$N$168:$Y$180,11,FALSE)/100/VLOOKUP($C$343,'DB animal categories'!$C$127:$AC$136,27,FALSE)*AJ343,0))))</f>
        <v/>
      </c>
      <c r="AM343" s="453" t="str">
        <f>IF(D343="","",IF(AI343=2,(('Calc (ex-animal)'!$G$69*(1-'DB additional information '!$K$14/100)*(1-VLOOKUP(D343,'DB technologies'!$N$168:$Y$180,8,FALSE)/100)*'Calc (ex-housing, ex-storage)'!F343/100+'Calc (ex-animal)'!$H$69*(1-'DB additional information '!$L$14/100)*(1-VLOOKUP(D343,'DB technologies'!$N$168:$Y$180,8,FALSE)/100)*'Calc (ex-housing, ex-storage)'!F343/100))/VLOOKUP($C$343,'DB animal categories'!$C$127:$AC$136,27,FALSE)*AJ343+M343+N343+O343,IF(AI343=1,('Calc (ex-animal)'!$H$69*(1-'DB additional information '!$L$14/100)*(1-VLOOKUP(D343,'DB technologies'!$N$168:$Y$180,8,FALSE)/100)*'Calc (ex-housing, ex-storage)'!F343/100)/VLOOKUP($C$343,'DB animal categories'!$C$127:$AC$136,27,FALSE)*AJ343,IF(AI343=4,('Calc (ex-animal)'!$G$69*(1-'DB additional information '!$K$14/100)+'Calc (ex-animal)'!$H$69*(1-'DB additional information '!$L$14/100))*(1-VLOOKUP(D343,'DB technologies'!$N$168:$Y$180,8,FALSE)/100)*'Calc (ex-housing, ex-storage)'!F343/100*VLOOKUP(D343,'DB technologies'!$N$168:$Y$180,11,FALSE)/100/VLOOKUP($C$343,'DB animal categories'!$C$127:$AC$136,27,FALSE)*AJ343,0))))</f>
        <v/>
      </c>
      <c r="AN343" s="453" t="str">
        <f>IF(AI343="","",IF(AL343=0,0,AL343/AK343*100))</f>
        <v/>
      </c>
      <c r="AO343" s="180" t="str">
        <f>IF(D343="","",IF(AI343=2,(('Calc (ex-animal)'!$L$69*'Calc (ex-housing, ex-storage)'!F343/100+'Calc (ex-animal)'!$K$69*'Calc (ex-housing, ex-storage)'!F343/100))/VLOOKUP($C$343,'DB animal categories'!$C$127:$AC$136,27,FALSE)*AJ343+Q343+R343+S343-AC343,IF(AI343=1,('Calc (ex-animal)'!$L$69*'Calc (ex-housing, ex-storage)'!F343/100)/VLOOKUP($C$343,'DB animal categories'!$C$127:$AC$136,27,FALSE)*AJ343-'Calc (ex-housing, ex-storage)'!AC343,IF(AI343=4,('Calc (ex-animal)'!$L$69+'Calc (ex-animal)'!$K$69)*'Calc (ex-housing, ex-storage)'!F343/100*VLOOKUP(D343,'DB technologies'!$N$168:$Y$180,11,FALSE)/100/VLOOKUP($C$343,'DB animal categories'!$C$127:$AC$136,27,FALSE)*AJ343-AC343*VLOOKUP(D343,'DB technologies'!$N$168:$Y$180,11,FALSE)/100,0))))</f>
        <v/>
      </c>
      <c r="AP343" s="180" t="str">
        <f>IF(D343="","",IF(AO343&lt;-0.01,0,IF(AI343=2,(('Calc (ex-animal)'!$L$69*'Calc (ex-housing, ex-storage)'!F343/100+'Calc (ex-animal)'!$K$69*'Calc (ex-housing, ex-storage)'!F343/100))/VLOOKUP($C$343,'DB animal categories'!$C$127:$AC$136,27,FALSE)*AJ343+Q343+R343+S343-AC343,IF(AI343=1,('Calc (ex-animal)'!$L$69*'Calc (ex-housing, ex-storage)'!F343/100)/VLOOKUP($C$343,'DB animal categories'!$C$127:$AC$136,27,FALSE)*AJ343-'Calc (ex-housing, ex-storage)'!AC343,IF(AI343=4,('Calc (ex-animal)'!$L$69+'Calc (ex-animal)'!$K$69)*'Calc (ex-housing, ex-storage)'!F343/100*VLOOKUP(D343,'DB technologies'!$N$168:$Y$180,11,FALSE)/100/VLOOKUP($C$343,'DB animal categories'!$C$127:$AC$136,27,FALSE)*AJ343-AC343*VLOOKUP(D343,'DB technologies'!$N$168:$Y$180,11,FALSE)/100,0)))))</f>
        <v/>
      </c>
      <c r="AQ343" s="180" t="str">
        <f>IF(D343="","",IF(AI343=2,('Calc (ex-animal)'!$O$69*'Calc (ex-housing, ex-storage)'!F343/100+'Calc (ex-animal)'!$N$69*'Calc (ex-housing, ex-storage)'!F343/100)/VLOOKUP($C$343,'DB animal categories'!$C$127:$AC$136,27,FALSE)*AJ343+U343+V343+W343,IF(AI343=1,'Calc (ex-animal)'!$O$69*'Calc (ex-housing, ex-storage)'!F343/100/VLOOKUP($C$343,'DB animal categories'!$C$127:$AC$136,27,FALSE)*AJ343,IF(AI343=4,('Calc (ex-animal)'!$O$69+'Calc (ex-animal)'!$N$69)*'Calc (ex-housing, ex-storage)'!F343/100*VLOOKUP(D343,'DB technologies'!$N$168:$Y$180,11,FALSE)/100/VLOOKUP($C$343,'DB animal categories'!$C$127:$AC$136,27,FALSE)*AJ343,0))))</f>
        <v/>
      </c>
      <c r="AR343" s="180" t="str">
        <f>IF(D343="","",IF(AI343=2,('Calc (ex-animal)'!$R$69*'Calc (ex-housing, ex-storage)'!F343/100+'Calc (ex-animal)'!$Q$69*'Calc (ex-housing, ex-storage)'!F343/100)/VLOOKUP($C$343,'DB animal categories'!$C$127:$AC$136,27,FALSE)*AJ343+Y343+Z343+AA343,IF(AI343=1,'Calc (ex-animal)'!$R$69*'Calc (ex-housing, ex-storage)'!F343/100/VLOOKUP($C$343,'DB animal categories'!$C$127:$AC$136,27,FALSE)*AJ343,IF(AI343=4,('Calc (ex-animal)'!$R$69+'Calc (ex-animal)'!$Q$69)*'Calc (ex-housing, ex-storage)'!F343/100*VLOOKUP(D343,'DB technologies'!$N$168:$Y$180,11,FALSE)/100/VLOOKUP($C$343,'DB animal categories'!$C$127:$AC$136,27,FALSE)*AJ343,0))))</f>
        <v/>
      </c>
      <c r="AS343" s="179" t="str">
        <f>IF(D343="","",VLOOKUP(D343,'DB technologies'!$N$168:$Y$180,10,FALSE))</f>
        <v/>
      </c>
      <c r="AT343" s="453" t="str">
        <f>IF(AS343="","",AU343+AV343)</f>
        <v/>
      </c>
      <c r="AU343" s="453" t="str">
        <f>IF(D343="","",IF(AS343=2,0,IF(AS343=1,'Calc (ex-animal)'!$G$69*'DB additional information '!$K$14/100*(1-VLOOKUP(D343,'DB technologies'!$N$168:$Y$180,8,FALSE)/100)*'Calc (ex-housing, ex-storage)'!F343/100/VLOOKUP($C$343,'DB animal categories'!$C$127:$AC$136,27,FALSE)*AJ343+I343+J343+K343,IF(AS343=5,(('Calc (ex-animal)'!$G$69*'DB additional information '!$K$14/100+'Calc (ex-animal)'!$H$69*'DB additional information '!$L$14/100))*(1-VLOOKUP(D343,'DB technologies'!$N$168:$Y$180,9,FALSE)/100)*'Calc (ex-housing, ex-storage)'!F343/100/VLOOKUP($C$343,'DB animal categories'!$C$127:$AC$136,27,FALSE)*AJ343+I343+J343+K343,IF(AS343=3,('Calc (ex-animal)'!$G$69*'DB additional information '!$K$14/100+'Calc (ex-animal)'!$H$69*'DB additional information '!$L$14/100)*(1-VLOOKUP(D343,'DB technologies'!$N$168:$Y$180,9,FALSE)/100)*'Calc (ex-housing, ex-storage)'!F343/100/VLOOKUP($C$343,'DB animal categories'!$C$127:$AC$136,27,FALSE)*AJ343+I343+J343+K343,IF(AS343=4,('Calc (ex-animal)'!$G$69*'DB additional information '!$K$14/100+'Calc (ex-animal)'!$H$69*'DB additional information '!$L$14/100)*(1-VLOOKUP(D343,'DB technologies'!$N$168:$Y$180,9,FALSE)/100)*'Calc (ex-housing, ex-storage)'!F343/100*VLOOKUP(D343,'DB technologies'!$N$168:$Y$180,12,FALSE)/100/VLOOKUP($C$343,'DB animal categories'!$C$127:$AC$136,27,FALSE)*AJ343+I343+J343+K343,0))))))</f>
        <v/>
      </c>
      <c r="AV343" s="453" t="str">
        <f>IF(D343="","",IF(AS343=2,0,IF(AS343=1,'Calc (ex-animal)'!$G$69*(1-'DB additional information '!$K$14/100)*(1-VLOOKUP(D343,'DB technologies'!$N$168:$Y$180,8,FALSE)/100)*'Calc (ex-housing, ex-storage)'!F343/100/VLOOKUP($C$343,'DB animal categories'!$C$127:$AC$136,27,FALSE)*AJ343+M343+N343+O343,IF(AS343=5,('Calc (ex-animal)'!$G$69*(1-'DB additional information '!$K$14/100)+'Calc (ex-animal)'!$H$69*(1-'DB additional information '!$L$14/100))*(1-VLOOKUP(D343,'DB technologies'!$N$168:$Y$180,8,FALSE)/100)*'Calc (ex-housing, ex-storage)'!F343/100/VLOOKUP($C$343,'DB animal categories'!$C$127:$AC$136,27,FALSE)*AJ343+M343+N343+O343,IF(AS343=3,('Calc (ex-animal)'!$G$69*(1-'DB additional information '!$K$14/100)+'Calc (ex-animal)'!$H$69*(1-'DB additional information '!$L$14/100))*(1-VLOOKUP(D343,'DB technologies'!$N$168:$Y$180,8,FALSE)/100)*'Calc (ex-housing, ex-storage)'!F343/100/VLOOKUP($C$343,'DB animal categories'!$C$127:$AC$136,27,FALSE)*AJ343+M343+N343+O343,IF(AS343=4,('Calc (ex-animal)'!$G$69*(1-'DB additional information '!$K$14/100)+'Calc (ex-animal)'!$H$69*(1-'DB additional information '!$L$14/100))*(1-VLOOKUP(D343,'DB technologies'!$N$168:$Y$180,8,FALSE)/100)*'Calc (ex-housing, ex-storage)'!F343/100*VLOOKUP(D343,'DB technologies'!$N$168:$Y$180,12,FALSE)/100/VLOOKUP($C$343,'DB animal categories'!$C$127:$AC$136,27,FALSE)*AJ343+M343+N343+O343,0))))))</f>
        <v/>
      </c>
      <c r="AW343" s="453" t="str">
        <f>IF(AS343="","",IF(AU343=0,0,AU343/AT343*100))</f>
        <v/>
      </c>
      <c r="AX343" s="180" t="str">
        <f>IF(D343="","",IF(AS343=2,0,IF(AS343=1,'Calc (ex-animal)'!$K$69*'Calc (ex-housing, ex-storage)'!F343/100/VLOOKUP($C$343,'DB animal categories'!$C$127:$AC$136,27,FALSE)*AJ343+Q343+R343+S343,IF(AS343=5,('Calc (ex-animal)'!$K$69+'Calc (ex-animal)'!$L$69)*'Calc (ex-housing, ex-storage)'!F343/100/VLOOKUP($C$343,'DB animal categories'!$C$127:$AC$136,27,FALSE)*AJ343+Q343+R343+S343-'Calc (ex-housing, ex-storage)'!AC343,IF(AS343=3,('Calc (ex-animal)'!$K$69+'Calc (ex-animal)'!$L$69)*'Calc (ex-housing, ex-storage)'!F343/100/VLOOKUP($C$343,'DB animal categories'!$C$127:$AC$136,27,FALSE)*AJ343+Q343+R343+S343-'Calc (ex-housing, ex-storage)'!AC343-AD343-AE343,IF(AI343=4,('Calc (ex-animal)'!$K$69+'Calc (ex-animal)'!$L$69)*'Calc (ex-housing, ex-storage)'!F343/100*VLOOKUP(D343,'DB technologies'!$N$168:$Y$180,12,FALSE)/100/VLOOKUP($C$343,'DB animal categories'!$C$127:$AC$136,27,FALSE)*AJ343+Q343+R343+S343-(VLOOKUP(D343,'DB technologies'!$N$168:$Y$180,12,FALSE)/100*AC343)-AD343-AE343,0))))))</f>
        <v/>
      </c>
      <c r="AY343" s="180" t="str">
        <f>IF(D343="","",IF(AS343=2,0,IF(AS343=1,'Calc (ex-animal)'!$N$69*'Calc (ex-housing, ex-storage)'!F343/100/VLOOKUP($C$343,'DB animal categories'!$C$127:$AC$136,27,FALSE)*AJ343+U343+V343+W343,IF(AS343=5,('Calc (ex-animal)'!$N$69+'Calc (ex-animal)'!$O$69)*'Calc (ex-housing, ex-storage)'!F343/100/VLOOKUP($C$343,'DB animal categories'!$C$127:$AC$136,27,FALSE)*AJ343+U343+V343+W343,IF(AS343=3,('Calc (ex-animal)'!$N$69+'Calc (ex-animal)'!$O$69)*'Calc (ex-housing, ex-storage)'!F343/100/VLOOKUP($C$343,'DB animal categories'!$C$127:$AC$136,27,FALSE)*AJ343+U343+V343+W343,IF(AS343=4,('Calc (ex-animal)'!$N$69+'Calc (ex-animal)'!$O$69)*'Calc (ex-housing, ex-storage)'!F343/100*VLOOKUP(D343,'DB technologies'!$N$168:$Y$180,12,FALSE)/100/VLOOKUP($C$343,'DB animal categories'!$C$127:$AC$136,27,FALSE)*AJ343+U343+V343+W343,0))))))</f>
        <v/>
      </c>
      <c r="AZ343" s="180" t="str">
        <f>IF(D343="","",IF(AS343=2,0,IF(AS343=1,'Calc (ex-animal)'!$Q$69*'Calc (ex-housing, ex-storage)'!F343/100/VLOOKUP($C$343,'DB animal categories'!$C$127:$AC$136,27,FALSE)*AJ343+Y343+Z343+AA343,IF(AS343=5,('Calc (ex-animal)'!$Q$69+'Calc (ex-animal)'!$R$69)*'Calc (ex-housing, ex-storage)'!F343/100/VLOOKUP($C$343,'DB animal categories'!$C$127:$AC$136,27,FALSE)*AJ343+Y343+Z343+AA343,IF(AS343=3,('Calc (ex-animal)'!$Q$69+'Calc (ex-animal)'!$R$69)*'Calc (ex-housing, ex-storage)'!F343/100/VLOOKUP($C$343,'DB animal categories'!$C$127:$AC$136,27,FALSE)*AJ343+Y343+Z343+AA343,IF(AS343=4,('Calc (ex-animal)'!$Q$69+'Calc (ex-animal)'!$R$69)*'Calc (ex-housing, ex-storage)'!F343/100*VLOOKUP(D343,'DB technologies'!$N$168:$Y$180,12,FALSE)/100/VLOOKUP($C$343,'DB animal categories'!$C$127:$AC$136,27,FALSE)*AJ343+Y343+Z343+AA343,0))))))</f>
        <v/>
      </c>
      <c r="BA343" s="506"/>
      <c r="BB343" s="506"/>
      <c r="BC343" s="506"/>
    </row>
    <row r="344" spans="1:55" x14ac:dyDescent="0.2">
      <c r="A344" s="695"/>
      <c r="B344" s="695"/>
      <c r="C344" s="251"/>
      <c r="D344" s="1357"/>
      <c r="E344" s="1358"/>
      <c r="F344" s="480" t="str">
        <f>IF('Calc (ex-animal)'!$F$63=1,"",IF($C$343=0,"",IF(D344="","",E344/'Calc (ex-animal)'!$E$69*100)))</f>
        <v/>
      </c>
      <c r="G344" s="485" t="str">
        <f>IF($C$343=0,"",IF('Calc (ex-animal)'!$F$63=1,"",IF(D344="","",SUM(H344:O344))))</f>
        <v/>
      </c>
      <c r="H344" s="423" t="str">
        <f>IF('Calc (ex-animal)'!$F$63=1,"",IF(D344="","",(((VLOOKUP($C$343,'Calc (ex-animal)'!$D$68:$Y$72,6,FALSE)-VLOOKUP($C$343,'Calc (ex-animal)'!$D$68:$Y$72,17,FALSE))*F344/100))*VLOOKUP($C$343,'Calc (ex-animal)'!$D$68:$Y$72,7,FALSE)/100*(1-VLOOKUP(D344,'DB technologies'!$N$168:$Y$180,9,FALSE)/100)))</f>
        <v/>
      </c>
      <c r="I344" s="423" t="str">
        <f>IF(D344="","",((VLOOKUP(D344,'DB technologies'!$N$168:$Y$180,2,FALSE)*VLOOKUP($C$343,'DB animal categories'!$C$127:$AC$136,27,FALSE)*E344/1000)/VLOOKUP($C$343,'DB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'!$S$6/100*(1-VLOOKUP(D344,'DB technologies'!$N$168:$Y$180,9,FALSE)/100)))</f>
        <v/>
      </c>
      <c r="J344" s="434" t="str">
        <f>IF(D344="","",((VLOOKUP(D344,'DB technologies'!$N$168:$Y$180,3,FALSE)*VLOOKUP($C$343,'DB animal categories'!$C$127:$AC$136,27,FALSE)*E344/1000)/VLOOKUP($C$343,'DB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'!$S$7/100*(1-VLOOKUP(D344,'DB technologies'!$N$168:$Y$180,9,FALSE)/100)))</f>
        <v/>
      </c>
      <c r="K344" s="434" t="str">
        <f>IF(D344="","",((VLOOKUP(D344,'DB technologies'!$N$168:$Y$180,4,FALSE)*E344*'DB additional information '!$S$8/100*(1-VLOOKUP(D344,'DB technologies'!$N$168:$Y$180,9,FALSE)/100))/VLOOKUP($C$343,'DB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L344" s="423" t="str">
        <f>IF('Calc (ex-animal)'!$F$63=1,"",IF(D344="","",(((VLOOKUP($C$343,'Calc (ex-animal)'!$D$68:$Y$72,6,FALSE)-VLOOKUP($C$343,'Calc (ex-animal)'!$D$68:$Y$72,17,FALSE))*F344/100))*(1-VLOOKUP($C$343,'Calc (ex-animal)'!$D$68:$Y$72,7,FALSE)/100)*(1-VLOOKUP(D344,'DB technologies'!$N$168:$V$180,8,FALSE)/100)))</f>
        <v/>
      </c>
      <c r="M344" s="434" t="str">
        <f>IF(D344="","",((VLOOKUP(D344,'DB technologies'!$N$168:$Y$180,2,FALSE)*VLOOKUP($C$343,'DB animal categories'!$C$127:$AC$136,27,FALSE)*E344/1000)/VLOOKUP($C$343,'DB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'!$S$6/100)*(1-VLOOKUP(D344,'DB technologies'!$N$168:$Y$180,9,FALSE)/100))</f>
        <v/>
      </c>
      <c r="N344" s="434" t="str">
        <f>IF(D344="","",((VLOOKUP(D344,'DB technologies'!$N$168:$Y$180,3,FALSE)*VLOOKUP($C$343,'DB animal categories'!$C$127:$AC$136,27,FALSE)*E344/1000)/VLOOKUP($C$343,'DB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'!$S$7/100)*(1-VLOOKUP(D344,'DB technologies'!$N$168:$Y$180,9,FALSE)/100))</f>
        <v/>
      </c>
      <c r="O344" s="423" t="str">
        <f>IF(D344="","",((VLOOKUP(D344,'DB technologies'!$N$168:$Y$180,4,FALSE)*E344*(1-'DB additional information '!$S$8/100)*(1-VLOOKUP(D344,'DB technologies'!$N$168:$Y$180,8,FALSE)/100))/VLOOKUP($C$343,'DB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P344" s="438" t="str">
        <f>IF(G344=0,0,IF(E344="","",IF(F344="","",IF($C$343=0,"",IF(D344="","",SUM(H344:K344)/G344*100)))))</f>
        <v/>
      </c>
      <c r="Q344" s="416" t="str">
        <f>IF(D344="","",(VLOOKUP(D344,'DB technologies'!$N$168:$Y$180,2,FALSE)*'DB additional information '!$S$6/100*'DB additional information '!$T$6*VLOOKUP($C$343,'DB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R344" s="416" t="str">
        <f>IF(D344="","",(VLOOKUP(D344,'DB technologies'!$N$168:$Y$180,3,FALSE)*'DB additional information '!$S$7/100*'DB additional information '!$T$7*VLOOKUP($C$343,'DB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S344" s="491" t="str">
        <f>IF(D344="","",(VLOOKUP(D344,'DB technologies'!$N$168:$Y$180,4,FALSE)*('DB additional information '!$S$8/100*'DB additional information '!$T$8*E344/1000/1000)))</f>
        <v/>
      </c>
      <c r="T344" s="264" t="str">
        <f>IF($C$343=0,"",IF('Calc (ex-animal)'!$F$63=1,"",IF(D344="","",((VLOOKUP($C$343,'Calc (ex-animal)'!$D$68:$Y$72,10,FALSE)-VLOOKUP($C$343,'Calc (ex-animal)'!$D$68:$Y$72,18,FALSE))*F344/100+Q344+R344+S344)-AC344-AD344-AE344)))</f>
        <v/>
      </c>
      <c r="U344" s="422" t="str">
        <f>IF(D344="","",(VLOOKUP(D344,'DB technologies'!$N$168:$Y$180,2,FALSE)*'DB additional information '!$S$6/100*'DB additional information '!$U$6*VLOOKUP($C$343,'DB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V344" s="418" t="str">
        <f>IF(D344="","",(VLOOKUP(D344,'DB technologies'!$N$168:$Y$180,3,FALSE)*'DB additional information '!$S$7/100*'DB additional information '!$U$7*VLOOKUP($C$343,'DB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W344" s="417" t="str">
        <f>IF(D344="","",(VLOOKUP(D344,'DB technologies'!$N$168:$Y$180,4,FALSE)*('DB additional information '!$S$8/100*'DB additional information '!$U$8*E344/1000/1000)))</f>
        <v/>
      </c>
      <c r="X344" s="261" t="str">
        <f>IF($C$343=0,"",IF('Calc (ex-animal)'!$F$63=1,"",IF(D344="","",((VLOOKUP($C$343,'Calc (ex-animal)'!$D$68:$Y$72,13,FALSE)-VLOOKUP($C$343,'Calc (ex-animal)'!$D$68:$Y$72,19,FALSE))*F344/100+U344+V344+W344))))</f>
        <v/>
      </c>
      <c r="Y344" s="418" t="str">
        <f>IF(D344="","",(VLOOKUP(D344,'DB technologies'!$N$168:$Y$180,2,FALSE)*'DB additional information '!$S$6/100*'DB additional information '!$V$6*VLOOKUP($C$343,'DB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Z344" s="418" t="str">
        <f>IF(D344="","",(VLOOKUP(D344,'DB technologies'!$N$168:$Y$180,3,FALSE)*'DB additional information '!$S$7/100*'DB additional information '!$V$7*VLOOKUP($C$343,'DB animal categories'!$C$127:$AC$136,27,FALSE)*E344/1000/1000)/VLOOKUP($C$343,'DB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AA344" s="418" t="str">
        <f>IF(D344="","",(VLOOKUP(D344,'DB technologies'!$N$168:$Y$180,4,FALSE)*('DB additional information '!$S$8/100*'DB additional information '!$V$8*E344/1000/1000)))</f>
        <v/>
      </c>
      <c r="AB344" s="261" t="str">
        <f>IF($C$343=0,"",IF('Calc (ex-animal)'!$F$63=1,"",IF(D344="","",((VLOOKUP($C$343,'Calc (ex-animal)'!$D$68:$Y$72,16,FALSE)-VLOOKUP($C$343,'Calc (ex-animal)'!$D$68:$Y$72,20,FALSE))*F344/100+Y344+Z344+AA344))))</f>
        <v/>
      </c>
      <c r="AC344" s="261" t="str">
        <f>IF($C$343=0,"",IF('Calc (ex-animal)'!$F$63=1,"",IF(D344="","",VLOOKUP($C$343,'Calc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categories'!$C$127:$AC$136,26,FALSE)/24)*F344/100*VLOOKUP(D344,'DB technologies'!$N$168:$R$180,5,FALSE)/100)))</f>
        <v/>
      </c>
      <c r="AD344" s="261" t="str">
        <f>IF($C$343=0,"",IF('Calc (ex-animal)'!$F$63=1,"",IF(D344="","",VLOOKUP($C$343,'Calc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categories'!$C$127:$AC$136,26,FALSE)/24)*F344/100*VLOOKUP(D344,'DB technologies'!$N$168:$Y$180,6,FALSE)/100)))</f>
        <v/>
      </c>
      <c r="AE344" s="262" t="str">
        <f>IF($C$343=0,"",IF('Calc (ex-animal)'!$F$63=1,"",IF(D344="","",VLOOKUP($C$343,'Calc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categories'!$C$127:$AC$136,26,FALSE)/24)*F344/100*VLOOKUP(D344,'DB technologies'!$N$168:$Y$180,7,FALSE)/100)))</f>
        <v/>
      </c>
      <c r="AI344" s="181" t="str">
        <f>IF(D344="","",VLOOKUP(D344,'DB technologies'!$N$168:$Y$180,10,FALSE))</f>
        <v/>
      </c>
      <c r="AJ344" s="449" t="e">
        <f>VLOOKUP($C$343,'DB animal categories'!$C$127:$AN$136,27,FALSE)-VLOOKUP($C$343,'DB animal categories'!$C$127:$AN$136,26,FALSE)*VLOOKUP($C$343,'DB animal categories'!$C$127:$AN$136,25,FALSE)/24</f>
        <v>#N/A</v>
      </c>
      <c r="AK344" s="442" t="str">
        <f>IF(AI344="","",AL344+AM344)</f>
        <v/>
      </c>
      <c r="AL344" s="442" t="str">
        <f>IF(D344="","",IF(AI344=2,(('Calc (ex-animal)'!$G$69*'DB additional information '!$K$14/100*(1-VLOOKUP(D344,'DB technologies'!$N$168:$Y$180,9,FALSE)/100)*'Calc (ex-housing, ex-storage)'!F344/100+'Calc (ex-animal)'!$H$69*'DB additional information '!$L$14/100*(1-VLOOKUP(D344,'DB technologies'!$N$168:$Y$180,9,FALSE)/100)*'Calc (ex-housing, ex-storage)'!F344/100))/VLOOKUP($C$343,'DB animal categories'!$C$127:$AC$136,27,FALSE)*AJ344+I344+J344+K344,IF(AI344=1,('Calc (ex-animal)'!$H$69*'DB additional information '!$L$14/100*(1-VLOOKUP(D344,'DB technologies'!$N$168:$Y$180,9,FALSE)/100)*'Calc (ex-housing, ex-storage)'!F344/100)/VLOOKUP($C$343,'DB animal categories'!$C$127:$AC$136,27,FALSE)*AJ344,IF(AI344=4,('Calc (ex-animal)'!$G$69*'DB additional information '!$K$14/100+'Calc (ex-animal)'!$H$69*'DB additional information '!$L$14/100)*(1-VLOOKUP(D344,'DB technologies'!$N$168:$Y$180,9,FALSE)/100)*'Calc (ex-housing, ex-storage)'!F344/100*VLOOKUP(D344,'DB technologies'!$N$168:$Y$180,11,FALSE)/100/VLOOKUP($C$343,'DB animal categories'!$C$127:$AC$136,27,FALSE)*AJ344,0))))</f>
        <v/>
      </c>
      <c r="AM344" s="442" t="str">
        <f>IF(D344="","",IF(AI344=2,(('Calc (ex-animal)'!$G$69*(1-'DB additional information '!$K$14/100)*(1-VLOOKUP(D344,'DB technologies'!$N$168:$Y$180,8,FALSE)/100)*'Calc (ex-housing, ex-storage)'!F344/100+'Calc (ex-animal)'!$H$69*(1-'DB additional information '!$L$14/100)*(1-VLOOKUP(D344,'DB technologies'!$N$168:$Y$180,8,FALSE)/100)*'Calc (ex-housing, ex-storage)'!F344/100))/VLOOKUP($C$343,'DB animal categories'!$C$127:$AC$136,27,FALSE)*AJ344+M344+N344+O344,IF(AI344=1,('Calc (ex-animal)'!$H$69*(1-'DB additional information '!$L$14/100)*(1-VLOOKUP(D344,'DB technologies'!$N$168:$Y$180,8,FALSE)/100)*'Calc (ex-housing, ex-storage)'!F344/100)/VLOOKUP($C$343,'DB animal categories'!$C$127:$AC$136,27,FALSE)*AJ344,IF(AI344=4,('Calc (ex-animal)'!$G$69*(1-'DB additional information '!$K$14/100)+'Calc (ex-animal)'!$H$69*(1-'DB additional information '!$L$14/100))*(1-VLOOKUP(D344,'DB technologies'!$N$168:$Y$180,8,FALSE)/100)*'Calc (ex-housing, ex-storage)'!F344/100*VLOOKUP(D344,'DB technologies'!$N$168:$Y$180,11,FALSE)/100/VLOOKUP($C$343,'DB animal categories'!$C$127:$AC$136,27,FALSE)*AJ344,0))))</f>
        <v/>
      </c>
      <c r="AN344" s="442" t="str">
        <f>IF(AI344="","",IF(AL344=0,0,AL344/AK344*100))</f>
        <v/>
      </c>
      <c r="AO344" s="182" t="str">
        <f>IF(D344="","",IF(AI344=2,(('Calc (ex-animal)'!$L$69*'Calc (ex-housing, ex-storage)'!F344/100+'Calc (ex-animal)'!$K$69*'Calc (ex-housing, ex-storage)'!F344/100))/VLOOKUP($C$343,'DB animal categories'!$C$127:$AC$136,27,FALSE)*AJ344+Q344+R344+S344-AC344,IF(AI344=1,('Calc (ex-animal)'!$L$69*'Calc (ex-housing, ex-storage)'!F344/100)/VLOOKUP($C$343,'DB animal categories'!$C$127:$AC$136,27,FALSE)*AJ344-'Calc (ex-housing, ex-storage)'!AC344,IF(AI344=4,('Calc (ex-animal)'!$L$69+'Calc (ex-animal)'!$K$69)*'Calc (ex-housing, ex-storage)'!F344/100*VLOOKUP(D344,'DB technologies'!$N$168:$Y$180,11,FALSE)/100/VLOOKUP($C$343,'DB animal categories'!$C$127:$AC$136,27,FALSE)*AJ344-AC344*VLOOKUP(D344,'DB technologies'!$N$168:$Y$180,11,FALSE)/100,0))))</f>
        <v/>
      </c>
      <c r="AP344" s="182" t="str">
        <f>IF(D344="","",IF(AO344&lt;-0.01,0,IF(AI344=2,(('Calc (ex-animal)'!$L$69*'Calc (ex-housing, ex-storage)'!F344/100+'Calc (ex-animal)'!$K$69*'Calc (ex-housing, ex-storage)'!F344/100))/VLOOKUP($C$343,'DB animal categories'!$C$127:$AC$136,27,FALSE)*AJ344+Q344+R344+S344-AC344,IF(AI344=1,('Calc (ex-animal)'!$L$69*'Calc (ex-housing, ex-storage)'!F344/100)/VLOOKUP($C$343,'DB animal categories'!$C$127:$AC$136,27,FALSE)*AJ344-'Calc (ex-housing, ex-storage)'!AC344,IF(AI344=4,('Calc (ex-animal)'!$L$69+'Calc (ex-animal)'!$K$69)*'Calc (ex-housing, ex-storage)'!F344/100*VLOOKUP(D344,'DB technologies'!$N$168:$Y$180,11,FALSE)/100/VLOOKUP($C$343,'DB animal categories'!$C$127:$AC$136,27,FALSE)*AJ344-AC344*VLOOKUP(D344,'DB technologies'!$N$168:$Y$180,11,FALSE)/100,0)))))</f>
        <v/>
      </c>
      <c r="AQ344" s="182" t="str">
        <f>IF(D344="","",IF(AI344=2,('Calc (ex-animal)'!$O$69*'Calc (ex-housing, ex-storage)'!F344/100+'Calc (ex-animal)'!$N$69*'Calc (ex-housing, ex-storage)'!F344/100)/VLOOKUP($C$343,'DB animal categories'!$C$127:$AC$136,27,FALSE)*AJ344+U344+V344+W344,IF(AI344=1,'Calc (ex-animal)'!$O$69*'Calc (ex-housing, ex-storage)'!F344/100/VLOOKUP($C$343,'DB animal categories'!$C$127:$AC$136,27,FALSE)*AJ344,IF(AI344=4,('Calc (ex-animal)'!$O$69+'Calc (ex-animal)'!$N$69)*'Calc (ex-housing, ex-storage)'!F344/100*VLOOKUP(D344,'DB technologies'!$N$168:$Y$180,11,FALSE)/100/VLOOKUP($C$343,'DB animal categories'!$C$127:$AC$136,27,FALSE)*AJ344,0))))</f>
        <v/>
      </c>
      <c r="AR344" s="182" t="str">
        <f>IF(D344="","",IF(AI344=2,('Calc (ex-animal)'!$R$69*'Calc (ex-housing, ex-storage)'!F344/100+'Calc (ex-animal)'!$Q$69*'Calc (ex-housing, ex-storage)'!F344/100)/VLOOKUP($C$343,'DB animal categories'!$C$127:$AC$136,27,FALSE)*AJ344+Y344+Z344+AA344,IF(AI344=1,'Calc (ex-animal)'!$R$69*'Calc (ex-housing, ex-storage)'!F344/100/VLOOKUP($C$343,'DB animal categories'!$C$127:$AC$136,27,FALSE)*AJ344,IF(AI344=4,('Calc (ex-animal)'!$R$69+'Calc (ex-animal)'!$Q$69)*'Calc (ex-housing, ex-storage)'!F344/100*VLOOKUP(D344,'DB technologies'!$N$168:$Y$180,11,FALSE)/100/VLOOKUP($C$343,'DB animal categories'!$C$127:$AC$136,27,FALSE)*AJ344,0))))</f>
        <v/>
      </c>
      <c r="AS344" s="181" t="str">
        <f>IF(D344="","",VLOOKUP(D344,'DB technologies'!$N$168:$Y$180,10,FALSE))</f>
        <v/>
      </c>
      <c r="AT344" s="442" t="str">
        <f>IF(AS344="","",AU344+AV344)</f>
        <v/>
      </c>
      <c r="AU344" s="442" t="str">
        <f>IF(D344="","",IF(AS344=2,0,IF(AS344=1,'Calc (ex-animal)'!$G$69*'DB additional information '!$K$14/100*(1-VLOOKUP(D344,'DB technologies'!$N$168:$Y$180,8,FALSE)/100)*'Calc (ex-housing, ex-storage)'!F344/100/VLOOKUP($C$343,'DB animal categories'!$C$127:$AC$136,27,FALSE)*AJ344+I344+J344+K344,IF(AS344=5,(('Calc (ex-animal)'!$G$69*'DB additional information '!$K$14/100+'Calc (ex-animal)'!$H$69*'DB additional information '!$L$14/100))*(1-VLOOKUP(D344,'DB technologies'!$N$168:$Y$180,9,FALSE)/100)*'Calc (ex-housing, ex-storage)'!F344/100/VLOOKUP($C$343,'DB animal categories'!$C$127:$AC$136,27,FALSE)*AJ344+I344+J344+K344,IF(AS344=3,('Calc (ex-animal)'!$G$69*'DB additional information '!$K$14/100+'Calc (ex-animal)'!$H$69*'DB additional information '!$L$14/100)*(1-VLOOKUP(D344,'DB technologies'!$N$168:$Y$180,9,FALSE)/100)*'Calc (ex-housing, ex-storage)'!F344/100/VLOOKUP($C$343,'DB animal categories'!$C$127:$AC$136,27,FALSE)*AJ344+I344+J344+K344,IF(AS344=4,('Calc (ex-animal)'!$G$69*'DB additional information '!$K$14/100+'Calc (ex-animal)'!$H$69*'DB additional information '!$L$14/100)*(1-VLOOKUP(D344,'DB technologies'!$N$168:$Y$180,9,FALSE)/100)*'Calc (ex-housing, ex-storage)'!F344/100*VLOOKUP(D344,'DB technologies'!$N$168:$Y$180,12,FALSE)/100/VLOOKUP($C$343,'DB animal categories'!$C$127:$AC$136,27,FALSE)*AJ344+I344+J344+K344,0))))))</f>
        <v/>
      </c>
      <c r="AV344" s="442" t="str">
        <f>IF(D344="","",IF(AS344=2,0,IF(AS344=1,'Calc (ex-animal)'!$G$69*(1-'DB additional information '!$K$14/100)*(1-VLOOKUP(D344,'DB technologies'!$N$168:$Y$180,8,FALSE)/100)*'Calc (ex-housing, ex-storage)'!F344/100/VLOOKUP($C$343,'DB animal categories'!$C$127:$AC$136,27,FALSE)*AJ344+M344+N344+O344,IF(AS344=5,('Calc (ex-animal)'!$G$69*(1-'DB additional information '!$K$14/100)+'Calc (ex-animal)'!$H$69*(1-'DB additional information '!$L$14/100))*(1-VLOOKUP(D344,'DB technologies'!$N$168:$Y$180,8,FALSE)/100)*'Calc (ex-housing, ex-storage)'!F344/100/VLOOKUP($C$343,'DB animal categories'!$C$127:$AC$136,27,FALSE)*AJ344+M344+N344+O344,IF(AS344=3,('Calc (ex-animal)'!$G$69*(1-'DB additional information '!$K$14/100)+'Calc (ex-animal)'!$H$69*(1-'DB additional information '!$L$14/100))*(1-VLOOKUP(D344,'DB technologies'!$N$168:$Y$180,8,FALSE)/100)*'Calc (ex-housing, ex-storage)'!F344/100/VLOOKUP($C$343,'DB animal categories'!$C$127:$AC$136,27,FALSE)*AJ344+M344+N344+O344,IF(AS344=4,('Calc (ex-animal)'!$G$69*(1-'DB additional information '!$K$14/100)+'Calc (ex-animal)'!$H$69*(1-'DB additional information '!$L$14/100))*(1-VLOOKUP(D344,'DB technologies'!$N$168:$Y$180,8,FALSE)/100)*'Calc (ex-housing, ex-storage)'!F344/100*VLOOKUP(D344,'DB technologies'!$N$168:$Y$180,12,FALSE)/100/VLOOKUP($C$343,'DB animal categories'!$C$127:$AC$136,27,FALSE)*AJ344+M344+N344+O344,0))))))</f>
        <v/>
      </c>
      <c r="AW344" s="442" t="str">
        <f>IF(AS344="","",IF(AU344=0,0,AU344/AT344*100))</f>
        <v/>
      </c>
      <c r="AX344" s="182" t="str">
        <f>IF(D344="","",IF(AS344=2,0,IF(AS344=1,'Calc (ex-animal)'!$K$69*'Calc (ex-housing, ex-storage)'!F344/100/VLOOKUP($C$343,'DB animal categories'!$C$127:$AC$136,27,FALSE)*AJ344+Q344+R344+S344,IF(AS344=5,('Calc (ex-animal)'!$K$69+'Calc (ex-animal)'!$L$69)*'Calc (ex-housing, ex-storage)'!F344/100/VLOOKUP($C$343,'DB animal categories'!$C$127:$AC$136,27,FALSE)*AJ344+Q344+R344+S344-'Calc (ex-housing, ex-storage)'!AC344,IF(AS344=3,('Calc (ex-animal)'!$K$69+'Calc (ex-animal)'!$L$69)*'Calc (ex-housing, ex-storage)'!F344/100/VLOOKUP($C$343,'DB animal categories'!$C$127:$AC$136,27,FALSE)*AJ344+Q344+R344+S344-'Calc (ex-housing, ex-storage)'!AC344-AD344-AE344,IF(AI344=4,('Calc (ex-animal)'!$K$69+'Calc (ex-animal)'!$L$69)*'Calc (ex-housing, ex-storage)'!F344/100*VLOOKUP(D344,'DB technologies'!$N$168:$Y$180,12,FALSE)/100/VLOOKUP($C$343,'DB animal categories'!$C$127:$AC$136,27,FALSE)*AJ344+Q344+R344+S344-(VLOOKUP(D344,'DB technologies'!$N$168:$Y$180,12,FALSE)/100*AC344)-AD344-AE344,0))))))</f>
        <v/>
      </c>
      <c r="AY344" s="182" t="str">
        <f>IF(D344="","",IF(AS344=2,0,IF(AS344=1,'Calc (ex-animal)'!$N$69*'Calc (ex-housing, ex-storage)'!F344/100/VLOOKUP($C$343,'DB animal categories'!$C$127:$AC$136,27,FALSE)*AJ344+U344+V344+W344,IF(AS344=5,('Calc (ex-animal)'!$N$69+'Calc (ex-animal)'!$O$69)*'Calc (ex-housing, ex-storage)'!F344/100/VLOOKUP($C$343,'DB animal categories'!$C$127:$AC$136,27,FALSE)*AJ344+U344+V344+W344,IF(AS344=3,('Calc (ex-animal)'!$N$69+'Calc (ex-animal)'!$O$69)*'Calc (ex-housing, ex-storage)'!F344/100/VLOOKUP($C$343,'DB animal categories'!$C$127:$AC$136,27,FALSE)*AJ344+U344+V344+W344,IF(AS344=4,('Calc (ex-animal)'!$N$69+'Calc (ex-animal)'!$O$69)*'Calc (ex-housing, ex-storage)'!F344/100*VLOOKUP(D344,'DB technologies'!$N$168:$Y$180,12,FALSE)/100/VLOOKUP($C$343,'DB animal categories'!$C$127:$AC$136,27,FALSE)*AJ344+U344+V344+W344,0))))))</f>
        <v/>
      </c>
      <c r="AZ344" s="182" t="str">
        <f>IF(D344="","",IF(AS344=2,0,IF(AS344=1,'Calc (ex-animal)'!$Q$69*'Calc (ex-housing, ex-storage)'!F344/100/VLOOKUP($C$343,'DB animal categories'!$C$127:$AC$136,27,FALSE)*AJ344+Y344+Z344+AA344,IF(AS344=5,('Calc (ex-animal)'!$Q$69+'Calc (ex-animal)'!$R$69)*'Calc (ex-housing, ex-storage)'!F344/100/VLOOKUP($C$343,'DB animal categories'!$C$127:$AC$136,27,FALSE)*AJ344+Y344+Z344+AA344,IF(AS344=3,('Calc (ex-animal)'!$Q$69+'Calc (ex-animal)'!$R$69)*'Calc (ex-housing, ex-storage)'!F344/100/VLOOKUP($C$343,'DB animal categories'!$C$127:$AC$136,27,FALSE)*AJ344+Y344+Z344+AA344,IF(AS344=4,('Calc (ex-animal)'!$Q$69+'Calc (ex-animal)'!$R$69)*'Calc (ex-housing, ex-storage)'!F344/100*VLOOKUP(D344,'DB technologies'!$N$168:$Y$180,12,FALSE)/100/VLOOKUP($C$343,'DB animal categories'!$C$127:$AC$136,27,FALSE)*AJ344+Y344+Z344+AA344,0))))))</f>
        <v/>
      </c>
      <c r="BA344" s="506"/>
      <c r="BB344" s="506"/>
      <c r="BC344" s="506"/>
    </row>
    <row r="345" spans="1:55" x14ac:dyDescent="0.2">
      <c r="A345" s="695"/>
      <c r="B345" s="695"/>
      <c r="C345" s="251"/>
      <c r="D345" s="1357"/>
      <c r="E345" s="1358"/>
      <c r="F345" s="480" t="str">
        <f>IF('Calc (ex-animal)'!$F$63=1,"",IF($C$343=0,"",IF(D345="","",E345/'Calc (ex-animal)'!$E$69*100)))</f>
        <v/>
      </c>
      <c r="G345" s="485" t="str">
        <f>IF($C$343=0,"",IF('Calc (ex-animal)'!$F$63=1,"",IF(D345="","",SUM(H345:O345))))</f>
        <v/>
      </c>
      <c r="H345" s="423" t="str">
        <f>IF('Calc (ex-animal)'!$F$63=1,"",IF(D345="","",(((VLOOKUP($C$343,'Calc (ex-animal)'!$D$68:$Y$72,6,FALSE)-VLOOKUP($C$343,'Calc (ex-animal)'!$D$68:$Y$72,17,FALSE))*F345/100))*VLOOKUP($C$343,'Calc (ex-animal)'!$D$68:$Y$72,7,FALSE)/100*(1-VLOOKUP(D345,'DB technologies'!$N$168:$Y$180,9,FALSE)/100)))</f>
        <v/>
      </c>
      <c r="I345" s="423" t="str">
        <f>IF(D345="","",((VLOOKUP(D345,'DB technologies'!$N$168:$Y$180,2,FALSE)*VLOOKUP($C$343,'DB animal categories'!$C$127:$AC$136,27,FALSE)*E345/1000)/VLOOKUP($C$343,'DB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'!$S$6/100*(1-VLOOKUP(D345,'DB technologies'!$N$168:$Y$180,9,FALSE)/100)))</f>
        <v/>
      </c>
      <c r="J345" s="434" t="str">
        <f>IF(D345="","",((VLOOKUP(D345,'DB technologies'!$N$168:$Y$180,3,FALSE)*VLOOKUP($C$343,'DB animal categories'!$C$127:$AC$136,27,FALSE)*E345/1000)/VLOOKUP($C$343,'DB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'!$S$7/100*(1-VLOOKUP(D345,'DB technologies'!$N$168:$Y$180,9,FALSE)/100)))</f>
        <v/>
      </c>
      <c r="K345" s="434" t="str">
        <f>IF(D345="","",((VLOOKUP(D345,'DB technologies'!$N$168:$Y$180,4,FALSE)*E345*'DB additional information '!$S$8/100*(1-VLOOKUP(D345,'DB technologies'!$N$168:$Y$180,9,FALSE)/100))/VLOOKUP($C$343,'DB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L345" s="423" t="str">
        <f>IF('Calc (ex-animal)'!$F$63=1,"",IF(D345="","",(((VLOOKUP($C$343,'Calc (ex-animal)'!$D$68:$Y$72,6,FALSE)-VLOOKUP($C$343,'Calc (ex-animal)'!$D$68:$Y$72,17,FALSE))*F345/100))*(1-VLOOKUP($C$343,'Calc (ex-animal)'!$D$68:$Y$72,7,FALSE)/100)*(1-VLOOKUP(D345,'DB technologies'!$N$168:$V$180,8,FALSE)/100)))</f>
        <v/>
      </c>
      <c r="M345" s="434" t="str">
        <f>IF(D345="","",((VLOOKUP(D345,'DB technologies'!$N$168:$Y$180,2,FALSE)*VLOOKUP($C$343,'DB animal categories'!$C$127:$AC$136,27,FALSE)*E345/1000)/VLOOKUP($C$343,'DB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'!$S$6/100)*(1-VLOOKUP(D345,'DB technologies'!$N$168:$Y$180,9,FALSE)/100))</f>
        <v/>
      </c>
      <c r="N345" s="434" t="str">
        <f>IF(D345="","",((VLOOKUP(D345,'DB technologies'!$N$168:$Y$180,3,FALSE)*VLOOKUP($C$343,'DB animal categories'!$C$127:$AC$136,27,FALSE)*E345/1000)/VLOOKUP($C$343,'DB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'!$S$7/100)*(1-VLOOKUP(D345,'DB technologies'!$N$168:$Y$180,9,FALSE)/100))</f>
        <v/>
      </c>
      <c r="O345" s="423" t="str">
        <f>IF(D345="","",((VLOOKUP(D345,'DB technologies'!$N$168:$Y$180,4,FALSE)*E345*(1-'DB additional information '!$S$8/100)*(1-VLOOKUP(D345,'DB technologies'!$N$168:$Y$180,8,FALSE)/100))/VLOOKUP($C$343,'DB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P345" s="438" t="str">
        <f>IF(G345=0,0,IF(E345="","",IF(F345="","",IF($C$343=0,"",IF(D345="","",SUM(H345:K345)/G345*100)))))</f>
        <v/>
      </c>
      <c r="Q345" s="416" t="str">
        <f>IF(D345="","",(VLOOKUP(D345,'DB technologies'!$N$168:$Y$180,2,FALSE)*'DB additional information '!$S$6/100*'DB additional information '!$T$6*VLOOKUP($C$343,'DB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R345" s="416" t="str">
        <f>IF(D345="","",(VLOOKUP(D345,'DB technologies'!$N$168:$Y$180,3,FALSE)*'DB additional information '!$S$7/100*'DB additional information '!$T$7*VLOOKUP($C$343,'DB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S345" s="491" t="str">
        <f>IF(D345="","",(VLOOKUP(D345,'DB technologies'!$N$168:$Y$180,4,FALSE)*('DB additional information '!$S$8/100*'DB additional information '!$T$8*E345/1000/1000)))</f>
        <v/>
      </c>
      <c r="T345" s="264" t="str">
        <f>IF($C$343=0,"",IF('Calc (ex-animal)'!$F$63=1,"",IF(D345="","",((VLOOKUP($C$343,'Calc (ex-animal)'!$D$68:$Y$72,10,FALSE)-VLOOKUP($C$343,'Calc (ex-animal)'!$D$68:$Y$72,18,FALSE))*F345/100+Q345+R345+S345)-AC345-AD345-AE345)))</f>
        <v/>
      </c>
      <c r="U345" s="422" t="str">
        <f>IF(D345="","",(VLOOKUP(D345,'DB technologies'!$N$168:$Y$180,2,FALSE)*'DB additional information '!$S$6/100*'DB additional information '!$U$6*VLOOKUP($C$343,'DB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V345" s="418" t="str">
        <f>IF(D345="","",(VLOOKUP(D345,'DB technologies'!$N$168:$Y$180,3,FALSE)*'DB additional information '!$S$7/100*'DB additional information '!$U$7*VLOOKUP($C$343,'DB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W345" s="417" t="str">
        <f>IF(D345="","",(VLOOKUP(D345,'DB technologies'!$N$168:$Y$180,4,FALSE)*('DB additional information '!$S$8/100*'DB additional information '!$U$8*E345/1000/1000)))</f>
        <v/>
      </c>
      <c r="X345" s="261" t="str">
        <f>IF($C$343=0,"",IF('Calc (ex-animal)'!$F$63=1,"",IF(D345="","",((VLOOKUP($C$343,'Calc (ex-animal)'!$D$68:$Y$72,13,FALSE)-VLOOKUP($C$343,'Calc (ex-animal)'!$D$68:$Y$72,19,FALSE))*F345/100+U345+V345+W345))))</f>
        <v/>
      </c>
      <c r="Y345" s="418" t="str">
        <f>IF(D345="","",(VLOOKUP(D345,'DB technologies'!$N$168:$Y$180,2,FALSE)*'DB additional information '!$S$6/100*'DB additional information '!$V$6*VLOOKUP($C$343,'DB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Z345" s="418" t="str">
        <f>IF(D345="","",(VLOOKUP(D345,'DB technologies'!$N$168:$Y$180,3,FALSE)*'DB additional information '!$S$7/100*'DB additional information '!$V$7*VLOOKUP($C$343,'DB animal categories'!$C$127:$AC$136,27,FALSE)*E345/1000/1000)/VLOOKUP($C$343,'DB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AA345" s="418" t="str">
        <f>IF(D345="","",(VLOOKUP(D345,'DB technologies'!$N$168:$Y$180,4,FALSE)*('DB additional information '!$S$8/100*'DB additional information '!$V$8*E345/1000/1000)))</f>
        <v/>
      </c>
      <c r="AB345" s="261" t="str">
        <f>IF($C$343=0,"",IF('Calc (ex-animal)'!$F$63=1,"",IF(D345="","",((VLOOKUP($C$343,'Calc (ex-animal)'!$D$68:$Y$72,16,FALSE)-VLOOKUP($C$343,'Calc (ex-animal)'!$D$68:$Y$72,20,FALSE))*F345/100+Y345+Z345+AA345))))</f>
        <v/>
      </c>
      <c r="AC345" s="261" t="str">
        <f>IF($C$343=0,"",IF('Calc (ex-animal)'!$F$63=1,"",IF(D345="","",VLOOKUP($C$343,'Calc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categories'!$C$127:$AC$136,26,FALSE)/24)*F345/100*VLOOKUP(D345,'DB technologies'!$N$168:$R$180,5,FALSE)/100)))</f>
        <v/>
      </c>
      <c r="AD345" s="261" t="str">
        <f>IF($C$343=0,"",IF('Calc (ex-animal)'!$F$63=1,"",IF(D345="","",VLOOKUP($C$343,'Calc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categories'!$C$127:$AC$136,26,FALSE)/24)*F345/100*VLOOKUP(D345,'DB technologies'!$N$168:$Y$180,6,FALSE)/100)))</f>
        <v/>
      </c>
      <c r="AE345" s="262" t="str">
        <f>IF($C$343=0,"",IF('Calc (ex-animal)'!$F$63=1,"",IF(D345="","",VLOOKUP($C$343,'Calc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categories'!$C$127:$AC$136,26,FALSE)/24)*F345/100*VLOOKUP(D345,'DB technologies'!$N$168:$Y$180,7,FALSE)/100)))</f>
        <v/>
      </c>
      <c r="AI345" s="181" t="str">
        <f>IF(D345="","",VLOOKUP(D345,'DB technologies'!$N$168:$Y$180,10,FALSE))</f>
        <v/>
      </c>
      <c r="AJ345" s="449" t="e">
        <f>VLOOKUP($C$343,'DB animal categories'!$C$127:$AN$136,27,FALSE)-VLOOKUP($C$343,'DB animal categories'!$C$127:$AN$136,26,FALSE)*VLOOKUP($C$343,'DB animal categories'!$C$127:$AN$136,25,FALSE)/24</f>
        <v>#N/A</v>
      </c>
      <c r="AK345" s="442" t="str">
        <f>IF(AI345="","",AL345+AM345)</f>
        <v/>
      </c>
      <c r="AL345" s="442" t="str">
        <f>IF(D345="","",IF(AI345=2,(('Calc (ex-animal)'!$G$69*'DB additional information '!$K$14/100*(1-VLOOKUP(D345,'DB technologies'!$N$168:$Y$180,9,FALSE)/100)*'Calc (ex-housing, ex-storage)'!F345/100+'Calc (ex-animal)'!$H$69*'DB additional information '!$L$14/100*(1-VLOOKUP(D345,'DB technologies'!$N$168:$Y$180,9,FALSE)/100)*'Calc (ex-housing, ex-storage)'!F345/100))/VLOOKUP($C$343,'DB animal categories'!$C$127:$AC$136,27,FALSE)*AJ345+I345+J345+K345,IF(AI345=1,('Calc (ex-animal)'!$H$69*'DB additional information '!$L$14/100*(1-VLOOKUP(D345,'DB technologies'!$N$168:$Y$180,9,FALSE)/100)*'Calc (ex-housing, ex-storage)'!F345/100)/VLOOKUP($C$343,'DB animal categories'!$C$127:$AC$136,27,FALSE)*AJ345,IF(AI345=4,('Calc (ex-animal)'!$G$69*'DB additional information '!$K$14/100+'Calc (ex-animal)'!$H$69*'DB additional information '!$L$14/100)*(1-VLOOKUP(D345,'DB technologies'!$N$168:$Y$180,9,FALSE)/100)*'Calc (ex-housing, ex-storage)'!F345/100*VLOOKUP(D345,'DB technologies'!$N$168:$Y$180,11,FALSE)/100/VLOOKUP($C$343,'DB animal categories'!$C$127:$AC$136,27,FALSE)*AJ345,0))))</f>
        <v/>
      </c>
      <c r="AM345" s="442" t="str">
        <f>IF(D345="","",IF(AI345=2,(('Calc (ex-animal)'!$G$69*(1-'DB additional information '!$K$14/100)*(1-VLOOKUP(D345,'DB technologies'!$N$168:$Y$180,8,FALSE)/100)*'Calc (ex-housing, ex-storage)'!F345/100+'Calc (ex-animal)'!$H$69*(1-'DB additional information '!$L$14/100)*(1-VLOOKUP(D345,'DB technologies'!$N$168:$Y$180,8,FALSE)/100)*'Calc (ex-housing, ex-storage)'!F345/100))/VLOOKUP($C$343,'DB animal categories'!$C$127:$AC$136,27,FALSE)*AJ345+M345+N345+O345,IF(AI345=1,('Calc (ex-animal)'!$H$69*(1-'DB additional information '!$L$14/100)*(1-VLOOKUP(D345,'DB technologies'!$N$168:$Y$180,8,FALSE)/100)*'Calc (ex-housing, ex-storage)'!F345/100)/VLOOKUP($C$343,'DB animal categories'!$C$127:$AC$136,27,FALSE)*AJ345,IF(AI345=4,('Calc (ex-animal)'!$G$69*(1-'DB additional information '!$K$14/100)+'Calc (ex-animal)'!$H$69*(1-'DB additional information '!$L$14/100))*(1-VLOOKUP(D345,'DB technologies'!$N$168:$Y$180,8,FALSE)/100)*'Calc (ex-housing, ex-storage)'!F345/100*VLOOKUP(D345,'DB technologies'!$N$168:$Y$180,11,FALSE)/100/VLOOKUP($C$343,'DB animal categories'!$C$127:$AC$136,27,FALSE)*AJ345,0))))</f>
        <v/>
      </c>
      <c r="AN345" s="442" t="str">
        <f>IF(AI345="","",IF(AL345=0,0,AL345/AK345*100))</f>
        <v/>
      </c>
      <c r="AO345" s="182" t="str">
        <f>IF(D345="","",IF(AI345=2,(('Calc (ex-animal)'!$L$69*'Calc (ex-housing, ex-storage)'!F345/100+'Calc (ex-animal)'!$K$69*'Calc (ex-housing, ex-storage)'!F345/100))/VLOOKUP($C$343,'DB animal categories'!$C$127:$AC$136,27,FALSE)*AJ345+Q345+R345+S345-AC345,IF(AI345=1,('Calc (ex-animal)'!$L$69*'Calc (ex-housing, ex-storage)'!F345/100)/VLOOKUP($C$343,'DB animal categories'!$C$127:$AC$136,27,FALSE)*AJ345-'Calc (ex-housing, ex-storage)'!AC345,IF(AI345=4,('Calc (ex-animal)'!$L$69+'Calc (ex-animal)'!$K$69)*'Calc (ex-housing, ex-storage)'!F345/100*VLOOKUP(D345,'DB technologies'!$N$168:$Y$180,11,FALSE)/100/VLOOKUP($C$343,'DB animal categories'!$C$127:$AC$136,27,FALSE)*AJ345-AC345*VLOOKUP(D345,'DB technologies'!$N$168:$Y$180,11,FALSE)/100,0))))</f>
        <v/>
      </c>
      <c r="AP345" s="182" t="str">
        <f>IF(D345="","",IF(AO345&lt;-0.01,0,IF(AI345=2,(('Calc (ex-animal)'!$L$69*'Calc (ex-housing, ex-storage)'!F345/100+'Calc (ex-animal)'!$K$69*'Calc (ex-housing, ex-storage)'!F345/100))/VLOOKUP($C$343,'DB animal categories'!$C$127:$AC$136,27,FALSE)*AJ345+Q345+R345+S345-AC345,IF(AI345=1,('Calc (ex-animal)'!$L$69*'Calc (ex-housing, ex-storage)'!F345/100)/VLOOKUP($C$343,'DB animal categories'!$C$127:$AC$136,27,FALSE)*AJ345-'Calc (ex-housing, ex-storage)'!AC345,IF(AI345=4,('Calc (ex-animal)'!$L$69+'Calc (ex-animal)'!$K$69)*'Calc (ex-housing, ex-storage)'!F345/100*VLOOKUP(D345,'DB technologies'!$N$168:$Y$180,11,FALSE)/100/VLOOKUP($C$343,'DB animal categories'!$C$127:$AC$136,27,FALSE)*AJ345-AC345*VLOOKUP(D345,'DB technologies'!$N$168:$Y$180,11,FALSE)/100,0)))))</f>
        <v/>
      </c>
      <c r="AQ345" s="182" t="str">
        <f>IF(D345="","",IF(AI345=2,('Calc (ex-animal)'!$O$69*'Calc (ex-housing, ex-storage)'!F345/100+'Calc (ex-animal)'!$N$69*'Calc (ex-housing, ex-storage)'!F345/100)/VLOOKUP($C$343,'DB animal categories'!$C$127:$AC$136,27,FALSE)*AJ345+U345+V345+W345,IF(AI345=1,'Calc (ex-animal)'!$O$69*'Calc (ex-housing, ex-storage)'!F345/100/VLOOKUP($C$343,'DB animal categories'!$C$127:$AC$136,27,FALSE)*AJ345,IF(AI345=4,('Calc (ex-animal)'!$O$69+'Calc (ex-animal)'!$N$69)*'Calc (ex-housing, ex-storage)'!F345/100*VLOOKUP(D345,'DB technologies'!$N$168:$Y$180,11,FALSE)/100/VLOOKUP($C$343,'DB animal categories'!$C$127:$AC$136,27,FALSE)*AJ345,0))))</f>
        <v/>
      </c>
      <c r="AR345" s="182" t="str">
        <f>IF(D345="","",IF(AI345=2,('Calc (ex-animal)'!$R$69*'Calc (ex-housing, ex-storage)'!F345/100+'Calc (ex-animal)'!$Q$69*'Calc (ex-housing, ex-storage)'!F345/100)/VLOOKUP($C$343,'DB animal categories'!$C$127:$AC$136,27,FALSE)*AJ345+Y345+Z345+AA345,IF(AI345=1,'Calc (ex-animal)'!$R$69*'Calc (ex-housing, ex-storage)'!F345/100/VLOOKUP($C$343,'DB animal categories'!$C$127:$AC$136,27,FALSE)*AJ345,IF(AI345=4,('Calc (ex-animal)'!$R$69+'Calc (ex-animal)'!$Q$69)*'Calc (ex-housing, ex-storage)'!F345/100*VLOOKUP(D345,'DB technologies'!$N$168:$Y$180,11,FALSE)/100/VLOOKUP($C$343,'DB animal categories'!$C$127:$AC$136,27,FALSE)*AJ345,0))))</f>
        <v/>
      </c>
      <c r="AS345" s="181" t="str">
        <f>IF(D345="","",VLOOKUP(D345,'DB technologies'!$N$168:$Y$180,10,FALSE))</f>
        <v/>
      </c>
      <c r="AT345" s="442" t="str">
        <f>IF(AS345="","",AU345+AV345)</f>
        <v/>
      </c>
      <c r="AU345" s="442" t="str">
        <f>IF(D345="","",IF(AS345=2,0,IF(AS345=1,'Calc (ex-animal)'!$G$69*'DB additional information '!$K$14/100*(1-VLOOKUP(D345,'DB technologies'!$N$168:$Y$180,8,FALSE)/100)*'Calc (ex-housing, ex-storage)'!F345/100/VLOOKUP($C$343,'DB animal categories'!$C$127:$AC$136,27,FALSE)*AJ345+I345+J345+K345,IF(AS345=5,(('Calc (ex-animal)'!$G$69*'DB additional information '!$K$14/100+'Calc (ex-animal)'!$H$69*'DB additional information '!$L$14/100))*(1-VLOOKUP(D345,'DB technologies'!$N$168:$Y$180,9,FALSE)/100)*'Calc (ex-housing, ex-storage)'!F345/100/VLOOKUP($C$343,'DB animal categories'!$C$127:$AC$136,27,FALSE)*AJ345+I345+J345+K345,IF(AS345=3,('Calc (ex-animal)'!$G$69*'DB additional information '!$K$14/100+'Calc (ex-animal)'!$H$69*'DB additional information '!$L$14/100)*(1-VLOOKUP(D345,'DB technologies'!$N$168:$Y$180,9,FALSE)/100)*'Calc (ex-housing, ex-storage)'!F345/100/VLOOKUP($C$343,'DB animal categories'!$C$127:$AC$136,27,FALSE)*AJ345+I345+J345+K345,IF(AS345=4,('Calc (ex-animal)'!$G$69*'DB additional information '!$K$14/100+'Calc (ex-animal)'!$H$69*'DB additional information '!$L$14/100)*(1-VLOOKUP(D345,'DB technologies'!$N$168:$Y$180,9,FALSE)/100)*'Calc (ex-housing, ex-storage)'!F345/100*VLOOKUP(D345,'DB technologies'!$N$168:$Y$180,12,FALSE)/100/VLOOKUP($C$343,'DB animal categories'!$C$127:$AC$136,27,FALSE)*AJ345+I345+J345+K345,0))))))</f>
        <v/>
      </c>
      <c r="AV345" s="442" t="str">
        <f>IF(D345="","",IF(AS345=2,0,IF(AS345=1,'Calc (ex-animal)'!$G$69*(1-'DB additional information '!$K$14/100)*(1-VLOOKUP(D345,'DB technologies'!$N$168:$Y$180,8,FALSE)/100)*'Calc (ex-housing, ex-storage)'!F345/100/VLOOKUP($C$343,'DB animal categories'!$C$127:$AC$136,27,FALSE)*AJ345+M345+N345+O345,IF(AS345=5,('Calc (ex-animal)'!$G$69*(1-'DB additional information '!$K$14/100)+'Calc (ex-animal)'!$H$69*(1-'DB additional information '!$L$14/100))*(1-VLOOKUP(D345,'DB technologies'!$N$168:$Y$180,8,FALSE)/100)*'Calc (ex-housing, ex-storage)'!F345/100/VLOOKUP($C$343,'DB animal categories'!$C$127:$AC$136,27,FALSE)*AJ345+M345+N345+O345,IF(AS345=3,('Calc (ex-animal)'!$G$69*(1-'DB additional information '!$K$14/100)+'Calc (ex-animal)'!$H$69*(1-'DB additional information '!$L$14/100))*(1-VLOOKUP(D345,'DB technologies'!$N$168:$Y$180,8,FALSE)/100)*'Calc (ex-housing, ex-storage)'!F345/100/VLOOKUP($C$343,'DB animal categories'!$C$127:$AC$136,27,FALSE)*AJ345+M345+N345+O345,IF(AS345=4,('Calc (ex-animal)'!$G$69*(1-'DB additional information '!$K$14/100)+'Calc (ex-animal)'!$H$69*(1-'DB additional information '!$L$14/100))*(1-VLOOKUP(D345,'DB technologies'!$N$168:$Y$180,8,FALSE)/100)*'Calc (ex-housing, ex-storage)'!F345/100*VLOOKUP(D345,'DB technologies'!$N$168:$Y$180,12,FALSE)/100/VLOOKUP($C$343,'DB animal categories'!$C$127:$AC$136,27,FALSE)*AJ345+M345+N345+O345,0))))))</f>
        <v/>
      </c>
      <c r="AW345" s="442" t="str">
        <f>IF(AS345="","",IF(AU345=0,0,AU345/AT345*100))</f>
        <v/>
      </c>
      <c r="AX345" s="182" t="str">
        <f>IF(D345="","",IF(AS345=2,0,IF(AS345=1,'Calc (ex-animal)'!$K$69*'Calc (ex-housing, ex-storage)'!F345/100/VLOOKUP($C$343,'DB animal categories'!$C$127:$AC$136,27,FALSE)*AJ345+Q345+R345+S345,IF(AS345=5,('Calc (ex-animal)'!$K$69+'Calc (ex-animal)'!$L$69)*'Calc (ex-housing, ex-storage)'!F345/100/VLOOKUP($C$343,'DB animal categories'!$C$127:$AC$136,27,FALSE)*AJ345+Q345+R345+S345-'Calc (ex-housing, ex-storage)'!AC345,IF(AS345=3,('Calc (ex-animal)'!$K$69+'Calc (ex-animal)'!$L$69)*'Calc (ex-housing, ex-storage)'!F345/100/VLOOKUP($C$343,'DB animal categories'!$C$127:$AC$136,27,FALSE)*AJ345+Q345+R345+S345-'Calc (ex-housing, ex-storage)'!AC345-AD345-AE345,IF(AI345=4,('Calc (ex-animal)'!$K$69+'Calc (ex-animal)'!$L$69)*'Calc (ex-housing, ex-storage)'!F345/100*VLOOKUP(D345,'DB technologies'!$N$168:$Y$180,12,FALSE)/100/VLOOKUP($C$343,'DB animal categories'!$C$127:$AC$136,27,FALSE)*AJ345+Q345+R345+S345-(VLOOKUP(D345,'DB technologies'!$N$168:$Y$180,12,FALSE)/100*AC345)-AD345-AE345,0))))))</f>
        <v/>
      </c>
      <c r="AY345" s="182" t="str">
        <f>IF(D345="","",IF(AS345=2,0,IF(AS345=1,'Calc (ex-animal)'!$N$69*'Calc (ex-housing, ex-storage)'!F345/100/VLOOKUP($C$343,'DB animal categories'!$C$127:$AC$136,27,FALSE)*AJ345+U345+V345+W345,IF(AS345=5,('Calc (ex-animal)'!$N$69+'Calc (ex-animal)'!$O$69)*'Calc (ex-housing, ex-storage)'!F345/100/VLOOKUP($C$343,'DB animal categories'!$C$127:$AC$136,27,FALSE)*AJ345+U345+V345+W345,IF(AS345=3,('Calc (ex-animal)'!$N$69+'Calc (ex-animal)'!$O$69)*'Calc (ex-housing, ex-storage)'!F345/100/VLOOKUP($C$343,'DB animal categories'!$C$127:$AC$136,27,FALSE)*AJ345+U345+V345+W345,IF(AS345=4,('Calc (ex-animal)'!$N$69+'Calc (ex-animal)'!$O$69)*'Calc (ex-housing, ex-storage)'!F345/100*VLOOKUP(D345,'DB technologies'!$N$168:$Y$180,12,FALSE)/100/VLOOKUP($C$343,'DB animal categories'!$C$127:$AC$136,27,FALSE)*AJ345+U345+V345+W345,0))))))</f>
        <v/>
      </c>
      <c r="AZ345" s="182" t="str">
        <f>IF(D345="","",IF(AS345=2,0,IF(AS345=1,'Calc (ex-animal)'!$Q$69*'Calc (ex-housing, ex-storage)'!F345/100/VLOOKUP($C$343,'DB animal categories'!$C$127:$AC$136,27,FALSE)*AJ345+Y345+Z345+AA345,IF(AS345=5,('Calc (ex-animal)'!$Q$69+'Calc (ex-animal)'!$R$69)*'Calc (ex-housing, ex-storage)'!F345/100/VLOOKUP($C$343,'DB animal categories'!$C$127:$AC$136,27,FALSE)*AJ345+Y345+Z345+AA345,IF(AS345=3,('Calc (ex-animal)'!$Q$69+'Calc (ex-animal)'!$R$69)*'Calc (ex-housing, ex-storage)'!F345/100/VLOOKUP($C$343,'DB animal categories'!$C$127:$AC$136,27,FALSE)*AJ345+Y345+Z345+AA345,IF(AS345=4,('Calc (ex-animal)'!$Q$69+'Calc (ex-animal)'!$R$69)*'Calc (ex-housing, ex-storage)'!F345/100*VLOOKUP(D345,'DB technologies'!$N$168:$Y$180,12,FALSE)/100/VLOOKUP($C$343,'DB animal categories'!$C$127:$AC$136,27,FALSE)*AJ345+Y345+Z345+AA345,0))))))</f>
        <v/>
      </c>
      <c r="BA345" s="506"/>
      <c r="BB345" s="506"/>
      <c r="BC345" s="506"/>
    </row>
    <row r="346" spans="1:55" x14ac:dyDescent="0.2">
      <c r="A346" s="695"/>
      <c r="B346" s="695"/>
      <c r="C346" s="251"/>
      <c r="D346" s="1357"/>
      <c r="E346" s="1358"/>
      <c r="F346" s="480" t="str">
        <f>IF('Calc (ex-animal)'!$F$63=1,"",IF($C$343=0,"",IF(D346="","",E346/'Calc (ex-animal)'!$E$69*100)))</f>
        <v/>
      </c>
      <c r="G346" s="485" t="str">
        <f>IF($C$343=0,"",IF('Calc (ex-animal)'!$F$63=1,"",IF(D346="","",SUM(H346:O346))))</f>
        <v/>
      </c>
      <c r="H346" s="423" t="str">
        <f>IF('Calc (ex-animal)'!$F$63=1,"",IF(D346="","",(((VLOOKUP($C$343,'Calc (ex-animal)'!$D$68:$Y$72,6,FALSE)-VLOOKUP($C$343,'Calc (ex-animal)'!$D$68:$Y$72,17,FALSE))*F346/100))*VLOOKUP($C$343,'Calc (ex-animal)'!$D$68:$Y$72,7,FALSE)/100*(1-VLOOKUP(D346,'DB technologies'!$N$168:$Y$180,9,FALSE)/100)))</f>
        <v/>
      </c>
      <c r="I346" s="423" t="str">
        <f>IF(D346="","",((VLOOKUP(D346,'DB technologies'!$N$168:$Y$180,2,FALSE)*VLOOKUP($C$343,'DB animal categories'!$C$127:$AC$136,27,FALSE)*E346/1000)/VLOOKUP($C$343,'DB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'!$S$6/100*(1-VLOOKUP(D346,'DB technologies'!$N$168:$Y$180,9,FALSE)/100)))</f>
        <v/>
      </c>
      <c r="J346" s="434" t="str">
        <f>IF(D346="","",((VLOOKUP(D346,'DB technologies'!$N$168:$Y$180,3,FALSE)*VLOOKUP($C$343,'DB animal categories'!$C$127:$AC$136,27,FALSE)*E346/1000)/VLOOKUP($C$343,'DB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'!$S$7/100*(1-VLOOKUP(D346,'DB technologies'!$N$168:$Y$180,9,FALSE)/100)))</f>
        <v/>
      </c>
      <c r="K346" s="434" t="str">
        <f>IF(D346="","",((VLOOKUP(D346,'DB technologies'!$N$168:$Y$180,4,FALSE)*E346*'DB additional information '!$S$8/100*(1-VLOOKUP(D346,'DB technologies'!$N$168:$Y$180,9,FALSE)/100))/VLOOKUP($C$343,'DB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L346" s="423" t="str">
        <f>IF('Calc (ex-animal)'!$F$63=1,"",IF(D346="","",(((VLOOKUP($C$343,'Calc (ex-animal)'!$D$68:$Y$72,6,FALSE)-VLOOKUP($C$343,'Calc (ex-animal)'!$D$68:$Y$72,17,FALSE))*F346/100))*(1-VLOOKUP($C$343,'Calc (ex-animal)'!$D$68:$Y$72,7,FALSE)/100)*(1-VLOOKUP(D346,'DB technologies'!$N$168:$V$180,8,FALSE)/100)))</f>
        <v/>
      </c>
      <c r="M346" s="434" t="str">
        <f>IF(D346="","",((VLOOKUP(D346,'DB technologies'!$N$168:$Y$180,2,FALSE)*VLOOKUP($C$343,'DB animal categories'!$C$127:$AC$136,27,FALSE)*E346/1000)/VLOOKUP($C$343,'DB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'!$S$6/100)*(1-VLOOKUP(D346,'DB technologies'!$N$168:$Y$180,9,FALSE)/100))</f>
        <v/>
      </c>
      <c r="N346" s="434" t="str">
        <f>IF(D346="","",((VLOOKUP(D346,'DB technologies'!$N$168:$Y$180,3,FALSE)*VLOOKUP($C$343,'DB animal categories'!$C$127:$AC$136,27,FALSE)*E346/1000)/VLOOKUP($C$343,'DB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'!$S$7/100)*(1-VLOOKUP(D346,'DB technologies'!$N$168:$Y$180,9,FALSE)/100))</f>
        <v/>
      </c>
      <c r="O346" s="423" t="str">
        <f>IF(D346="","",((VLOOKUP(D346,'DB technologies'!$N$168:$Y$180,4,FALSE)*E346*(1-'DB additional information '!$S$8/100)*(1-VLOOKUP(D346,'DB technologies'!$N$168:$Y$180,8,FALSE)/100))/VLOOKUP($C$343,'DB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P346" s="438" t="str">
        <f>IF(G346=0,0,IF(E346="","",IF(F346="","",IF($C$343=0,"",IF(D346="","",SUM(H346:K346)/G346*100)))))</f>
        <v/>
      </c>
      <c r="Q346" s="416" t="str">
        <f>IF(D346="","",(VLOOKUP(D346,'DB technologies'!$N$168:$Y$180,2,FALSE)*'DB additional information '!$S$6/100*'DB additional information '!$T$6*VLOOKUP($C$343,'DB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R346" s="416" t="str">
        <f>IF(D346="","",(VLOOKUP(D346,'DB technologies'!$N$168:$Y$180,3,FALSE)*'DB additional information '!$S$7/100*'DB additional information '!$T$7*VLOOKUP($C$343,'DB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S346" s="491" t="str">
        <f>IF(D346="","",(VLOOKUP(D346,'DB technologies'!$N$168:$Y$180,4,FALSE)*('DB additional information '!$S$8/100*'DB additional information '!$T$8*E346/1000/1000)))</f>
        <v/>
      </c>
      <c r="T346" s="264" t="str">
        <f>IF($C$343=0,"",IF('Calc (ex-animal)'!$F$63=1,"",IF(D346="","",((VLOOKUP($C$343,'Calc (ex-animal)'!$D$68:$Y$72,10,FALSE)-VLOOKUP($C$343,'Calc (ex-animal)'!$D$68:$Y$72,18,FALSE))*F346/100+Q346+R346+S346)-AC346-AD346-AE346)))</f>
        <v/>
      </c>
      <c r="U346" s="422" t="str">
        <f>IF(D346="","",(VLOOKUP(D346,'DB technologies'!$N$168:$Y$180,2,FALSE)*'DB additional information '!$S$6/100*'DB additional information '!$U$6*VLOOKUP($C$343,'DB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V346" s="418" t="str">
        <f>IF(D346="","",(VLOOKUP(D346,'DB technologies'!$N$168:$Y$180,3,FALSE)*'DB additional information '!$S$7/100*'DB additional information '!$U$7*VLOOKUP($C$343,'DB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W346" s="417" t="str">
        <f>IF(D346="","",(VLOOKUP(D346,'DB technologies'!$N$168:$Y$180,4,FALSE)*('DB additional information '!$S$8/100*'DB additional information '!$U$8*E346/1000/1000)))</f>
        <v/>
      </c>
      <c r="X346" s="261" t="str">
        <f>IF($C$343=0,"",IF('Calc (ex-animal)'!$F$63=1,"",IF(D346="","",((VLOOKUP($C$343,'Calc (ex-animal)'!$D$68:$Y$72,13,FALSE)-VLOOKUP($C$343,'Calc (ex-animal)'!$D$68:$Y$72,19,FALSE))*F346/100+U346+V346+W346))))</f>
        <v/>
      </c>
      <c r="Y346" s="418" t="str">
        <f>IF(D346="","",(VLOOKUP(D346,'DB technologies'!$N$168:$Y$180,2,FALSE)*'DB additional information '!$S$6/100*'DB additional information '!$V$6*VLOOKUP($C$343,'DB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Z346" s="418" t="str">
        <f>IF(D346="","",(VLOOKUP(D346,'DB technologies'!$N$168:$Y$180,3,FALSE)*'DB additional information '!$S$7/100*'DB additional information '!$V$7*VLOOKUP($C$343,'DB animal categories'!$C$127:$AC$136,27,FALSE)*E346/1000/1000)/VLOOKUP($C$343,'DB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AA346" s="418" t="str">
        <f>IF(D346="","",(VLOOKUP(D346,'DB technologies'!$N$168:$Y$180,4,FALSE)*('DB additional information '!$S$8/100*'DB additional information '!$V$8*E346/1000/1000)))</f>
        <v/>
      </c>
      <c r="AB346" s="261" t="str">
        <f>IF($C$343=0,"",IF('Calc (ex-animal)'!$F$63=1,"",IF(D346="","",((VLOOKUP($C$343,'Calc (ex-animal)'!$D$68:$Y$72,16,FALSE)-VLOOKUP($C$343,'Calc (ex-animal)'!$D$68:$Y$72,20,FALSE))*F346/100+Y346+Z346+AA346))))</f>
        <v/>
      </c>
      <c r="AC346" s="261" t="str">
        <f>IF($C$343=0,"",IF('Calc (ex-animal)'!$F$63=1,"",IF(D346="","",VLOOKUP($C$343,'Calc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categories'!$C$127:$AC$136,26,FALSE)/24)*F346/100*VLOOKUP(D346,'DB technologies'!$N$168:$R$180,5,FALSE)/100)))</f>
        <v/>
      </c>
      <c r="AD346" s="261" t="str">
        <f>IF($C$343=0,"",IF('Calc (ex-animal)'!$F$63=1,"",IF(D346="","",VLOOKUP($C$343,'Calc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categories'!$C$127:$AC$136,26,FALSE)/24)*F346/100*VLOOKUP(D346,'DB technologies'!$N$168:$Y$180,6,FALSE)/100)))</f>
        <v/>
      </c>
      <c r="AE346" s="262" t="str">
        <f>IF($C$343=0,"",IF('Calc (ex-animal)'!$F$63=1,"",IF(D346="","",VLOOKUP($C$343,'Calc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categories'!$C$127:$AC$136,26,FALSE)/24)*F346/100*VLOOKUP(D346,'DB technologies'!$N$168:$Y$180,7,FALSE)/100)))</f>
        <v/>
      </c>
      <c r="AI346" s="181" t="str">
        <f>IF(D346="","",VLOOKUP(D346,'DB technologies'!$N$168:$Y$180,10,FALSE))</f>
        <v/>
      </c>
      <c r="AJ346" s="449" t="e">
        <f>VLOOKUP($C$343,'DB animal categories'!$C$127:$AN$136,27,FALSE)-VLOOKUP($C$343,'DB animal categories'!$C$127:$AN$136,26,FALSE)*VLOOKUP($C$343,'DB animal categories'!$C$127:$AN$136,25,FALSE)/24</f>
        <v>#N/A</v>
      </c>
      <c r="AK346" s="442" t="str">
        <f>IF(AI346="","",AL346+AM346)</f>
        <v/>
      </c>
      <c r="AL346" s="442" t="str">
        <f>IF(D346="","",IF(AI346=2,(('Calc (ex-animal)'!$G$69*'DB additional information '!$K$14/100*(1-VLOOKUP(D346,'DB technologies'!$N$168:$Y$180,9,FALSE)/100)*'Calc (ex-housing, ex-storage)'!F346/100+'Calc (ex-animal)'!$H$69*'DB additional information '!$L$14/100*(1-VLOOKUP(D346,'DB technologies'!$N$168:$Y$180,9,FALSE)/100)*'Calc (ex-housing, ex-storage)'!F346/100))/VLOOKUP($C$343,'DB animal categories'!$C$127:$AC$136,27,FALSE)*AJ346+I346+J346+K346,IF(AI346=1,('Calc (ex-animal)'!$H$69*'DB additional information '!$L$14/100*(1-VLOOKUP(D346,'DB technologies'!$N$168:$Y$180,9,FALSE)/100)*'Calc (ex-housing, ex-storage)'!F346/100)/VLOOKUP($C$343,'DB animal categories'!$C$127:$AC$136,27,FALSE)*AJ346,IF(AI346=4,('Calc (ex-animal)'!$G$69*'DB additional information '!$K$14/100+'Calc (ex-animal)'!$H$69*'DB additional information '!$L$14/100)*(1-VLOOKUP(D346,'DB technologies'!$N$168:$Y$180,9,FALSE)/100)*'Calc (ex-housing, ex-storage)'!F346/100*VLOOKUP(D346,'DB technologies'!$N$168:$Y$180,11,FALSE)/100/VLOOKUP($C$343,'DB animal categories'!$C$127:$AC$136,27,FALSE)*AJ346,0))))</f>
        <v/>
      </c>
      <c r="AM346" s="442" t="str">
        <f>IF(D346="","",IF(AI346=2,(('Calc (ex-animal)'!$G$69*(1-'DB additional information '!$K$14/100)*(1-VLOOKUP(D346,'DB technologies'!$N$168:$Y$180,8,FALSE)/100)*'Calc (ex-housing, ex-storage)'!F346/100+'Calc (ex-animal)'!$H$69*(1-'DB additional information '!$L$14/100)*(1-VLOOKUP(D346,'DB technologies'!$N$168:$Y$180,8,FALSE)/100)*'Calc (ex-housing, ex-storage)'!F346/100))/VLOOKUP($C$343,'DB animal categories'!$C$127:$AC$136,27,FALSE)*AJ346+M346+N346+O346,IF(AI346=1,('Calc (ex-animal)'!$H$69*(1-'DB additional information '!$L$14/100)*(1-VLOOKUP(D346,'DB technologies'!$N$168:$Y$180,8,FALSE)/100)*'Calc (ex-housing, ex-storage)'!F346/100)/VLOOKUP($C$343,'DB animal categories'!$C$127:$AC$136,27,FALSE)*AJ346,IF(AI346=4,('Calc (ex-animal)'!$G$69*(1-'DB additional information '!$K$14/100)+'Calc (ex-animal)'!$H$69*(1-'DB additional information '!$L$14/100))*(1-VLOOKUP(D346,'DB technologies'!$N$168:$Y$180,8,FALSE)/100)*'Calc (ex-housing, ex-storage)'!F346/100*VLOOKUP(D346,'DB technologies'!$N$168:$Y$180,11,FALSE)/100/VLOOKUP($C$343,'DB animal categories'!$C$127:$AC$136,27,FALSE)*AJ346,0))))</f>
        <v/>
      </c>
      <c r="AN346" s="442" t="str">
        <f>IF(AI346="","",IF(AL346=0,0,AL346/AK346*100))</f>
        <v/>
      </c>
      <c r="AO346" s="182" t="str">
        <f>IF(D346="","",IF(AI346=2,(('Calc (ex-animal)'!$L$69*'Calc (ex-housing, ex-storage)'!F346/100+'Calc (ex-animal)'!$K$69*'Calc (ex-housing, ex-storage)'!F346/100))/VLOOKUP($C$343,'DB animal categories'!$C$127:$AC$136,27,FALSE)*AJ346+Q346+R346+S346-AC346,IF(AI346=1,('Calc (ex-animal)'!$L$69*'Calc (ex-housing, ex-storage)'!F346/100)/VLOOKUP($C$343,'DB animal categories'!$C$127:$AC$136,27,FALSE)*AJ346-'Calc (ex-housing, ex-storage)'!AC346,IF(AI346=4,('Calc (ex-animal)'!$L$69+'Calc (ex-animal)'!$K$69)*'Calc (ex-housing, ex-storage)'!F346/100*VLOOKUP(D346,'DB technologies'!$N$168:$Y$180,11,FALSE)/100/VLOOKUP($C$343,'DB animal categories'!$C$127:$AC$136,27,FALSE)*AJ346-AC346*VLOOKUP(D346,'DB technologies'!$N$168:$Y$180,11,FALSE)/100,0))))</f>
        <v/>
      </c>
      <c r="AP346" s="182" t="str">
        <f>IF(D346="","",IF(AO346&lt;-0.01,0,IF(AI346=2,(('Calc (ex-animal)'!$L$69*'Calc (ex-housing, ex-storage)'!F346/100+'Calc (ex-animal)'!$K$69*'Calc (ex-housing, ex-storage)'!F346/100))/VLOOKUP($C$343,'DB animal categories'!$C$127:$AC$136,27,FALSE)*AJ346+Q346+R346+S346-AC346,IF(AI346=1,('Calc (ex-animal)'!$L$69*'Calc (ex-housing, ex-storage)'!F346/100)/VLOOKUP($C$343,'DB animal categories'!$C$127:$AC$136,27,FALSE)*AJ346-'Calc (ex-housing, ex-storage)'!AC346,IF(AI346=4,('Calc (ex-animal)'!$L$69+'Calc (ex-animal)'!$K$69)*'Calc (ex-housing, ex-storage)'!F346/100*VLOOKUP(D346,'DB technologies'!$N$168:$Y$180,11,FALSE)/100/VLOOKUP($C$343,'DB animal categories'!$C$127:$AC$136,27,FALSE)*AJ346-AC346*VLOOKUP(D346,'DB technologies'!$N$168:$Y$180,11,FALSE)/100,0)))))</f>
        <v/>
      </c>
      <c r="AQ346" s="182" t="str">
        <f>IF(D346="","",IF(AI346=2,('Calc (ex-animal)'!$O$69*'Calc (ex-housing, ex-storage)'!F346/100+'Calc (ex-animal)'!$N$69*'Calc (ex-housing, ex-storage)'!F346/100)/VLOOKUP($C$343,'DB animal categories'!$C$127:$AC$136,27,FALSE)*AJ346+U346+V346+W346,IF(AI346=1,'Calc (ex-animal)'!$O$69*'Calc (ex-housing, ex-storage)'!F346/100/VLOOKUP($C$343,'DB animal categories'!$C$127:$AC$136,27,FALSE)*AJ346,IF(AI346=4,('Calc (ex-animal)'!$O$69+'Calc (ex-animal)'!$N$69)*'Calc (ex-housing, ex-storage)'!F346/100*VLOOKUP(D346,'DB technologies'!$N$168:$Y$180,11,FALSE)/100/VLOOKUP($C$343,'DB animal categories'!$C$127:$AC$136,27,FALSE)*AJ346,0))))</f>
        <v/>
      </c>
      <c r="AR346" s="182" t="str">
        <f>IF(D346="","",IF(AI346=2,('Calc (ex-animal)'!$R$69*'Calc (ex-housing, ex-storage)'!F346/100+'Calc (ex-animal)'!$Q$69*'Calc (ex-housing, ex-storage)'!F346/100)/VLOOKUP($C$343,'DB animal categories'!$C$127:$AC$136,27,FALSE)*AJ346+Y346+Z346+AA346,IF(AI346=1,'Calc (ex-animal)'!$R$69*'Calc (ex-housing, ex-storage)'!F346/100/VLOOKUP($C$343,'DB animal categories'!$C$127:$AC$136,27,FALSE)*AJ346,IF(AI346=4,('Calc (ex-animal)'!$R$69+'Calc (ex-animal)'!$Q$69)*'Calc (ex-housing, ex-storage)'!F346/100*VLOOKUP(D346,'DB technologies'!$N$168:$Y$180,11,FALSE)/100/VLOOKUP($C$343,'DB animal categories'!$C$127:$AC$136,27,FALSE)*AJ346,0))))</f>
        <v/>
      </c>
      <c r="AS346" s="181" t="str">
        <f>IF(D346="","",VLOOKUP(D346,'DB technologies'!$N$168:$Y$180,10,FALSE))</f>
        <v/>
      </c>
      <c r="AT346" s="442" t="str">
        <f>IF(AS346="","",AU346+AV346)</f>
        <v/>
      </c>
      <c r="AU346" s="442" t="str">
        <f>IF(D346="","",IF(AS346=2,0,IF(AS346=1,'Calc (ex-animal)'!$G$69*'DB additional information '!$K$14/100*(1-VLOOKUP(D346,'DB technologies'!$N$168:$Y$180,8,FALSE)/100)*'Calc (ex-housing, ex-storage)'!F346/100/VLOOKUP($C$343,'DB animal categories'!$C$127:$AC$136,27,FALSE)*AJ346+I346+J346+K346,IF(AS346=5,(('Calc (ex-animal)'!$G$69*'DB additional information '!$K$14/100+'Calc (ex-animal)'!$H$69*'DB additional information '!$L$14/100))*(1-VLOOKUP(D346,'DB technologies'!$N$168:$Y$180,9,FALSE)/100)*'Calc (ex-housing, ex-storage)'!F346/100/VLOOKUP($C$343,'DB animal categories'!$C$127:$AC$136,27,FALSE)*AJ346+I346+J346+K346,IF(AS346=3,('Calc (ex-animal)'!$G$69*'DB additional information '!$K$14/100+'Calc (ex-animal)'!$H$69*'DB additional information '!$L$14/100)*(1-VLOOKUP(D346,'DB technologies'!$N$168:$Y$180,9,FALSE)/100)*'Calc (ex-housing, ex-storage)'!F346/100/VLOOKUP($C$343,'DB animal categories'!$C$127:$AC$136,27,FALSE)*AJ346+I346+J346+K346,IF(AS346=4,('Calc (ex-animal)'!$G$69*'DB additional information '!$K$14/100+'Calc (ex-animal)'!$H$69*'DB additional information '!$L$14/100)*(1-VLOOKUP(D346,'DB technologies'!$N$168:$Y$180,9,FALSE)/100)*'Calc (ex-housing, ex-storage)'!F346/100*VLOOKUP(D346,'DB technologies'!$N$168:$Y$180,12,FALSE)/100/VLOOKUP($C$343,'DB animal categories'!$C$127:$AC$136,27,FALSE)*AJ346+I346+J346+K346,0))))))</f>
        <v/>
      </c>
      <c r="AV346" s="442" t="str">
        <f>IF(D346="","",IF(AS346=2,0,IF(AS346=1,'Calc (ex-animal)'!$G$69*(1-'DB additional information '!$K$14/100)*(1-VLOOKUP(D346,'DB technologies'!$N$168:$Y$180,8,FALSE)/100)*'Calc (ex-housing, ex-storage)'!F346/100/VLOOKUP($C$343,'DB animal categories'!$C$127:$AC$136,27,FALSE)*AJ346+M346+N346+O346,IF(AS346=5,('Calc (ex-animal)'!$G$69*(1-'DB additional information '!$K$14/100)+'Calc (ex-animal)'!$H$69*(1-'DB additional information '!$L$14/100))*(1-VLOOKUP(D346,'DB technologies'!$N$168:$Y$180,8,FALSE)/100)*'Calc (ex-housing, ex-storage)'!F346/100/VLOOKUP($C$343,'DB animal categories'!$C$127:$AC$136,27,FALSE)*AJ346+M346+N346+O346,IF(AS346=3,('Calc (ex-animal)'!$G$69*(1-'DB additional information '!$K$14/100)+'Calc (ex-animal)'!$H$69*(1-'DB additional information '!$L$14/100))*(1-VLOOKUP(D346,'DB technologies'!$N$168:$Y$180,8,FALSE)/100)*'Calc (ex-housing, ex-storage)'!F346/100/VLOOKUP($C$343,'DB animal categories'!$C$127:$AC$136,27,FALSE)*AJ346+M346+N346+O346,IF(AS346=4,('Calc (ex-animal)'!$G$69*(1-'DB additional information '!$K$14/100)+'Calc (ex-animal)'!$H$69*(1-'DB additional information '!$L$14/100))*(1-VLOOKUP(D346,'DB technologies'!$N$168:$Y$180,8,FALSE)/100)*'Calc (ex-housing, ex-storage)'!F346/100*VLOOKUP(D346,'DB technologies'!$N$168:$Y$180,12,FALSE)/100/VLOOKUP($C$343,'DB animal categories'!$C$127:$AC$136,27,FALSE)*AJ346+M346+N346+O346,0))))))</f>
        <v/>
      </c>
      <c r="AW346" s="442" t="str">
        <f>IF(AS346="","",IF(AU346=0,0,AU346/AT346*100))</f>
        <v/>
      </c>
      <c r="AX346" s="182" t="str">
        <f>IF(D346="","",IF(AS346=2,0,IF(AS346=1,'Calc (ex-animal)'!$K$69*'Calc (ex-housing, ex-storage)'!F346/100/VLOOKUP($C$343,'DB animal categories'!$C$127:$AC$136,27,FALSE)*AJ346+Q346+R346+S346,IF(AS346=5,('Calc (ex-animal)'!$K$69+'Calc (ex-animal)'!$L$69)*'Calc (ex-housing, ex-storage)'!F346/100/VLOOKUP($C$343,'DB animal categories'!$C$127:$AC$136,27,FALSE)*AJ346+Q346+R346+S346-'Calc (ex-housing, ex-storage)'!AC346,IF(AS346=3,('Calc (ex-animal)'!$K$69+'Calc (ex-animal)'!$L$69)*'Calc (ex-housing, ex-storage)'!F346/100/VLOOKUP($C$343,'DB animal categories'!$C$127:$AC$136,27,FALSE)*AJ346+Q346+R346+S346-'Calc (ex-housing, ex-storage)'!AC346-AD346-AE346,IF(AI346=4,('Calc (ex-animal)'!$K$69+'Calc (ex-animal)'!$L$69)*'Calc (ex-housing, ex-storage)'!F346/100*VLOOKUP(D346,'DB technologies'!$N$168:$Y$180,12,FALSE)/100/VLOOKUP($C$343,'DB animal categories'!$C$127:$AC$136,27,FALSE)*AJ346+Q346+R346+S346-(VLOOKUP(D346,'DB technologies'!$N$168:$Y$180,12,FALSE)/100*AC346)-AD346-AE346,0))))))</f>
        <v/>
      </c>
      <c r="AY346" s="182" t="str">
        <f>IF(D346="","",IF(AS346=2,0,IF(AS346=1,'Calc (ex-animal)'!$N$69*'Calc (ex-housing, ex-storage)'!F346/100/VLOOKUP($C$343,'DB animal categories'!$C$127:$AC$136,27,FALSE)*AJ346+U346+V346+W346,IF(AS346=5,('Calc (ex-animal)'!$N$69+'Calc (ex-animal)'!$O$69)*'Calc (ex-housing, ex-storage)'!F346/100/VLOOKUP($C$343,'DB animal categories'!$C$127:$AC$136,27,FALSE)*AJ346+U346+V346+W346,IF(AS346=3,('Calc (ex-animal)'!$N$69+'Calc (ex-animal)'!$O$69)*'Calc (ex-housing, ex-storage)'!F346/100/VLOOKUP($C$343,'DB animal categories'!$C$127:$AC$136,27,FALSE)*AJ346+U346+V346+W346,IF(AS346=4,('Calc (ex-animal)'!$N$69+'Calc (ex-animal)'!$O$69)*'Calc (ex-housing, ex-storage)'!F346/100*VLOOKUP(D346,'DB technologies'!$N$168:$Y$180,12,FALSE)/100/VLOOKUP($C$343,'DB animal categories'!$C$127:$AC$136,27,FALSE)*AJ346+U346+V346+W346,0))))))</f>
        <v/>
      </c>
      <c r="AZ346" s="182" t="str">
        <f>IF(D346="","",IF(AS346=2,0,IF(AS346=1,'Calc (ex-animal)'!$Q$69*'Calc (ex-housing, ex-storage)'!F346/100/VLOOKUP($C$343,'DB animal categories'!$C$127:$AC$136,27,FALSE)*AJ346+Y346+Z346+AA346,IF(AS346=5,('Calc (ex-animal)'!$Q$69+'Calc (ex-animal)'!$R$69)*'Calc (ex-housing, ex-storage)'!F346/100/VLOOKUP($C$343,'DB animal categories'!$C$127:$AC$136,27,FALSE)*AJ346+Y346+Z346+AA346,IF(AS346=3,('Calc (ex-animal)'!$Q$69+'Calc (ex-animal)'!$R$69)*'Calc (ex-housing, ex-storage)'!F346/100/VLOOKUP($C$343,'DB animal categories'!$C$127:$AC$136,27,FALSE)*AJ346+Y346+Z346+AA346,IF(AS346=4,('Calc (ex-animal)'!$Q$69+'Calc (ex-animal)'!$R$69)*'Calc (ex-housing, ex-storage)'!F346/100*VLOOKUP(D346,'DB technologies'!$N$168:$Y$180,12,FALSE)/100/VLOOKUP($C$343,'DB animal categories'!$C$127:$AC$136,27,FALSE)*AJ346+Y346+Z346+AA346,0))))))</f>
        <v/>
      </c>
      <c r="BA346" s="506"/>
      <c r="BB346" s="506"/>
      <c r="BC346" s="506"/>
    </row>
    <row r="347" spans="1:55" ht="12" thickBot="1" x14ac:dyDescent="0.25">
      <c r="A347" s="695"/>
      <c r="B347" s="695"/>
      <c r="C347" s="251"/>
      <c r="D347" s="1359"/>
      <c r="E347" s="1360"/>
      <c r="F347" s="481" t="str">
        <f>IF('Calc (ex-animal)'!$F$63=1,"",IF($C$343=0,"",IF(D347="","",E347/'Calc (ex-animal)'!$E$69*100)))</f>
        <v/>
      </c>
      <c r="G347" s="483" t="str">
        <f>IF($C$343=0,"",IF('Calc (ex-animal)'!$F$63=1,"",IF(D347="","",SUM(H347:O347))))</f>
        <v/>
      </c>
      <c r="H347" s="445" t="str">
        <f>IF('Calc (ex-animal)'!$F$63=1,"",IF(D347="","",(((VLOOKUP($C$343,'Calc (ex-animal)'!$D$68:$Y$72,6,FALSE)-VLOOKUP($C$343,'Calc (ex-animal)'!$D$68:$Y$72,17,FALSE))*F347/100))*VLOOKUP($C$343,'Calc (ex-animal)'!$D$68:$Y$72,7,FALSE)/100*(1-VLOOKUP(D347,'DB technologies'!$N$168:$Y$180,9,FALSE)/100)))</f>
        <v/>
      </c>
      <c r="I347" s="445" t="str">
        <f>IF(D347="","",((VLOOKUP(D347,'DB technologies'!$N$168:$Y$180,2,FALSE)*VLOOKUP($C$343,'DB animal categories'!$C$127:$AC$136,27,FALSE)*E347/1000)/VLOOKUP($C$343,'DB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'!$S$6/100*(1-VLOOKUP(D347,'DB technologies'!$N$168:$Y$180,9,FALSE)/100)))</f>
        <v/>
      </c>
      <c r="J347" s="446" t="str">
        <f>IF(D347="","",((VLOOKUP(D347,'DB technologies'!$N$168:$Y$180,3,FALSE)*VLOOKUP($C$343,'DB animal categories'!$C$127:$AC$136,27,FALSE)*E347/1000)/VLOOKUP($C$343,'DB animal categories'!$C$127:$AC$136,27,FALSE)*(VLOOKUP($C$343,'DB animal categories'!$C$127:$AC$136,27,FALSE)-(VLOOKUP($C$343,'DB animal categories'!$C$127:$AC$136,25,FALSE)*VLOOKUP($C$343,'DB animal categories'!$C$127:$AC$136,26,FALSE)/24))*'DB additional information '!$S$7/100*(1-VLOOKUP(D347,'DB technologies'!$N$168:$Y$180,9,FALSE)/100)))</f>
        <v/>
      </c>
      <c r="K347" s="446" t="str">
        <f>IF(D347="","",((VLOOKUP(D347,'DB technologies'!$N$168:$Y$180,4,FALSE)*E347*'DB additional information '!$S$8/100*(1-VLOOKUP(D347,'DB technologies'!$N$168:$Y$180,9,FALSE)/100))/VLOOKUP($C$343,'DB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L347" s="445" t="str">
        <f>IF('Calc (ex-animal)'!$F$63=1,"",IF(D347="","",(((VLOOKUP($C$343,'Calc (ex-animal)'!$D$68:$Y$72,6,FALSE)-VLOOKUP($C$343,'Calc (ex-animal)'!$D$68:$Y$72,17,FALSE))*F347/100))*(1-VLOOKUP($C$343,'Calc (ex-animal)'!$D$68:$Y$72,7,FALSE)/100)*(1-VLOOKUP(D347,'DB technologies'!$N$168:$V$180,8,FALSE)/100)))</f>
        <v/>
      </c>
      <c r="M347" s="446" t="str">
        <f>IF(D347="","",((VLOOKUP(D347,'DB technologies'!$N$168:$Y$180,2,FALSE)*VLOOKUP($C$343,'DB animal categories'!$C$127:$AC$136,27,FALSE)*E347/1000)/VLOOKUP($C$343,'DB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'!$S$6/100)*(1-VLOOKUP(D347,'DB technologies'!$N$168:$Y$180,9,FALSE)/100))</f>
        <v/>
      </c>
      <c r="N347" s="446" t="str">
        <f>IF(D347="","",((VLOOKUP(D347,'DB technologies'!$N$168:$Y$180,3,FALSE)*VLOOKUP($C$343,'DB animal categories'!$C$127:$AC$136,27,FALSE)*E347/1000)/VLOOKUP($C$343,'DB animal categories'!$C$127:$AC$136,27,FALSE)*(VLOOKUP($C$343,'DB animal categories'!$C$127:$AC$136,27,FALSE)-VLOOKUP($C$343,'DB animal categories'!$C$127:$AC$136,25,FALSE)*VLOOKUP($C$343,'DB animal categories'!$C$127:$AC$136,26,FALSE)/24))*(1-'DB additional information '!$S$7/100)*(1-VLOOKUP(D347,'DB technologies'!$N$168:$Y$180,9,FALSE)/100))</f>
        <v/>
      </c>
      <c r="O347" s="445" t="str">
        <f>IF(D347="","",((VLOOKUP(D347,'DB technologies'!$N$168:$Y$180,4,FALSE)*E347*(1-'DB additional information '!$S$8/100)*(1-VLOOKUP(D347,'DB technologies'!$N$168:$Y$180,8,FALSE)/100))/VLOOKUP($C$343,'DB animal categories'!$C$127:$AC$136,27,FALSE)*(VLOOKUP($C$343,'DB animal categories'!$C$127:$AC$136,27,FALSE)-VLOOKUP($C$343,'DB animal categories'!$C$127:$AC$136,25,FALSE)*VLOOKUP($C$343,'DB animal categories'!$C$127:$AC$136,26,FALSE)/24)))</f>
        <v/>
      </c>
      <c r="P347" s="444" t="str">
        <f>IF(G347=0,0,IF(E347="","",IF(F347="","",IF($C$343=0,"",IF(D347="","",SUM(H347:K347)/G347*100)))))</f>
        <v/>
      </c>
      <c r="Q347" s="476" t="str">
        <f>IF(D347="","",(VLOOKUP(D347,'DB technologies'!$N$168:$Y$180,2,FALSE)*'DB additional information '!$S$6/100*'DB additional information '!$T$6*VLOOKUP($C$343,'DB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R347" s="476" t="str">
        <f>IF(D347="","",(VLOOKUP(D347,'DB technologies'!$N$168:$Y$180,3,FALSE)*'DB additional information '!$S$7/100*'DB additional information '!$T$7*VLOOKUP($C$343,'DB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S347" s="494" t="str">
        <f>IF(D347="","",(VLOOKUP(D347,'DB technologies'!$N$168:$Y$180,4,FALSE)*('DB additional information '!$S$8/100*'DB additional information '!$T$8*E347/1000/1000)))</f>
        <v/>
      </c>
      <c r="T347" s="266" t="str">
        <f>IF($C$343=0,"",IF('Calc (ex-animal)'!$F$63=1,"",IF(D347="","",((VLOOKUP($C$343,'Calc (ex-animal)'!$D$68:$Y$72,10,FALSE)-VLOOKUP($C$343,'Calc (ex-animal)'!$D$68:$Y$72,18,FALSE))*F347/100+Q347+R347+S347)-AC347-AD347-AE347)))</f>
        <v/>
      </c>
      <c r="U347" s="477" t="str">
        <f>IF(D347="","",(VLOOKUP(D347,'DB technologies'!$N$168:$Y$180,2,FALSE)*'DB additional information '!$S$6/100*'DB additional information '!$U$6*VLOOKUP($C$343,'DB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V347" s="433" t="str">
        <f>IF(D347="","",(VLOOKUP(D347,'DB technologies'!$N$168:$Y$180,3,FALSE)*'DB additional information '!$S$7/100*'DB additional information '!$U$7*VLOOKUP($C$343,'DB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W347" s="475" t="str">
        <f>IF(D347="","",(VLOOKUP(D347,'DB technologies'!$N$168:$Y$180,4,FALSE)*('DB additional information '!$S$8/100*'DB additional information '!$U$8*E347/1000/1000)))</f>
        <v/>
      </c>
      <c r="X347" s="267" t="str">
        <f>IF($C$343=0,"",IF('Calc (ex-animal)'!$F$63=1,"",IF(D347="","",((VLOOKUP($C$343,'Calc (ex-animal)'!$D$68:$Y$72,13,FALSE)-VLOOKUP($C$343,'Calc (ex-animal)'!$D$68:$Y$72,19,FALSE))*F347/100+U347+V347+W347))))</f>
        <v/>
      </c>
      <c r="Y347" s="433" t="str">
        <f>IF(D347="","",(VLOOKUP(D347,'DB technologies'!$N$168:$Y$180,2,FALSE)*'DB additional information '!$S$6/100*'DB additional information '!$V$6*VLOOKUP($C$343,'DB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Z347" s="433" t="str">
        <f>IF(D347="","",(VLOOKUP(D347,'DB technologies'!$N$168:$Y$180,3,FALSE)*'DB additional information '!$S$7/100*'DB additional information '!$V$7*VLOOKUP($C$343,'DB animal categories'!$C$127:$AC$136,27,FALSE)*E347/1000/1000)/VLOOKUP($C$343,'DB animal categories'!$C$127:$AC$136,27,FALSE)*(VLOOKUP($C$343,'DB animal categories'!$C$127:$AC$136,27,FALSE)-VLOOKUP($C$343,'DB animal categories'!$C$127:$AC$136,25,FALSE)*VLOOKUP($C$343,'DB animal categories'!$C$127:$AC$136,26,FALSE)/24))</f>
        <v/>
      </c>
      <c r="AA347" s="433" t="str">
        <f>IF(D347="","",(VLOOKUP(D347,'DB technologies'!$N$168:$Y$180,4,FALSE)*('DB additional information '!$S$8/100*'DB additional information '!$V$8*E347/1000/1000)))</f>
        <v/>
      </c>
      <c r="AB347" s="267" t="str">
        <f>IF($C$343=0,"",IF('Calc (ex-animal)'!$F$63=1,"",IF(D347="","",((VLOOKUP($C$343,'Calc (ex-animal)'!$D$68:$Y$72,16,FALSE)-VLOOKUP($C$343,'Calc (ex-animal)'!$D$68:$Y$72,20,FALSE))*F347/100+Y347+Z347+AA347))))</f>
        <v/>
      </c>
      <c r="AC347" s="267" t="str">
        <f>IF($C$343=0,"",IF('Calc (ex-animal)'!$F$63=1,"",IF(D347="","",VLOOKUP($C$343,'Calc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categories'!$C$127:$AC$136,26,FALSE)/24)*F347/100*VLOOKUP(D347,'DB technologies'!$N$168:$R$180,5,FALSE)/100)))</f>
        <v/>
      </c>
      <c r="AD347" s="267" t="str">
        <f>IF($C$343=0,"",IF('Calc (ex-animal)'!$F$63=1,"",IF(D347="","",VLOOKUP($C$343,'Calc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categories'!$C$127:$AC$136,26,FALSE)/24)*F347/100*VLOOKUP(D347,'DB technologies'!$N$168:$Y$180,6,FALSE)/100)))</f>
        <v/>
      </c>
      <c r="AE347" s="268" t="str">
        <f>IF($C$343=0,"",IF('Calc (ex-animal)'!$F$63=1,"",IF(D347="","",VLOOKUP($C$343,'Calc (ex-animal)'!$D$68:$Y$72,10,FALSE)/VLOOKUP($C$343,'DB animal categories'!$C$127:$AC$136,27,FALSE)*(VLOOKUP($C$343,'DB animal categories'!$C$127:$AC$136,27,FALSE)-VLOOKUP($C$343,'DB animal categories'!$C$127:$AC$136,25,FALSE)*VLOOKUP($C$343,'DB animal categories'!$C$127:$AC$136,26,FALSE)/24)*F347/100*VLOOKUP(D347,'DB technologies'!$N$168:$Y$180,7,FALSE)/100)))</f>
        <v/>
      </c>
      <c r="AI347" s="183" t="str">
        <f>IF(D347="","",VLOOKUP(D347,'DB technologies'!$N$168:$Y$180,10,FALSE))</f>
        <v/>
      </c>
      <c r="AJ347" s="451" t="e">
        <f>VLOOKUP($C$343,'DB animal categories'!$C$127:$AN$136,27,FALSE)-VLOOKUP($C$343,'DB animal categories'!$C$127:$AN$136,26,FALSE)*VLOOKUP($C$343,'DB animal categories'!$C$127:$AN$136,25,FALSE)/24</f>
        <v>#N/A</v>
      </c>
      <c r="AK347" s="452" t="str">
        <f>IF(AI347="","",AL347+AM347)</f>
        <v/>
      </c>
      <c r="AL347" s="452" t="str">
        <f>IF(D347="","",IF(AI347=2,(('Calc (ex-animal)'!$G$69*'DB additional information '!$K$14/100*(1-VLOOKUP(D347,'DB technologies'!$N$168:$Y$180,9,FALSE)/100)*'Calc (ex-housing, ex-storage)'!F347/100+'Calc (ex-animal)'!$H$69*'DB additional information '!$L$14/100*(1-VLOOKUP(D347,'DB technologies'!$N$168:$Y$180,9,FALSE)/100)*'Calc (ex-housing, ex-storage)'!F347/100))/VLOOKUP($C$343,'DB animal categories'!$C$127:$AC$136,27,FALSE)*AJ347+I347+J347+K347,IF(AI347=1,('Calc (ex-animal)'!$H$69*'DB additional information '!$L$14/100*(1-VLOOKUP(D347,'DB technologies'!$N$168:$Y$180,9,FALSE)/100)*'Calc (ex-housing, ex-storage)'!F347/100)/VLOOKUP($C$343,'DB animal categories'!$C$127:$AC$136,27,FALSE)*AJ347,IF(AI347=4,('Calc (ex-animal)'!$G$69*'DB additional information '!$K$14/100+'Calc (ex-animal)'!$H$69*'DB additional information '!$L$14/100)*(1-VLOOKUP(D347,'DB technologies'!$N$168:$Y$180,9,FALSE)/100)*'Calc (ex-housing, ex-storage)'!F347/100*VLOOKUP(D347,'DB technologies'!$N$168:$Y$180,11,FALSE)/100/VLOOKUP($C$343,'DB animal categories'!$C$127:$AC$136,27,FALSE)*AJ347,0))))</f>
        <v/>
      </c>
      <c r="AM347" s="452" t="str">
        <f>IF(D347="","",IF(AI347=2,(('Calc (ex-animal)'!$G$69*(1-'DB additional information '!$K$14/100)*(1-VLOOKUP(D347,'DB technologies'!$N$168:$Y$180,8,FALSE)/100)*'Calc (ex-housing, ex-storage)'!F347/100+'Calc (ex-animal)'!$H$69*(1-'DB additional information '!$L$14/100)*(1-VLOOKUP(D347,'DB technologies'!$N$168:$Y$180,8,FALSE)/100)*'Calc (ex-housing, ex-storage)'!F347/100))/VLOOKUP($C$343,'DB animal categories'!$C$127:$AC$136,27,FALSE)*AJ347+M347+N347+O347,IF(AI347=1,('Calc (ex-animal)'!$H$69*(1-'DB additional information '!$L$14/100)*(1-VLOOKUP(D347,'DB technologies'!$N$168:$Y$180,8,FALSE)/100)*'Calc (ex-housing, ex-storage)'!F347/100)/VLOOKUP($C$343,'DB animal categories'!$C$127:$AC$136,27,FALSE)*AJ347,IF(AI347=4,('Calc (ex-animal)'!$G$69*(1-'DB additional information '!$K$14/100)+'Calc (ex-animal)'!$H$69*(1-'DB additional information '!$L$14/100))*(1-VLOOKUP(D347,'DB technologies'!$N$168:$Y$180,8,FALSE)/100)*'Calc (ex-housing, ex-storage)'!F347/100*VLOOKUP(D347,'DB technologies'!$N$168:$Y$180,11,FALSE)/100/VLOOKUP($C$343,'DB animal categories'!$C$127:$AC$136,27,FALSE)*AJ347,0))))</f>
        <v/>
      </c>
      <c r="AN347" s="452" t="str">
        <f>IF(AI347="","",IF(AL347=0,0,AL347/AK347*100))</f>
        <v/>
      </c>
      <c r="AO347" s="184" t="str">
        <f>IF(D347="","",IF(AI347=2,(('Calc (ex-animal)'!$L$69*'Calc (ex-housing, ex-storage)'!F347/100+'Calc (ex-animal)'!$K$69*'Calc (ex-housing, ex-storage)'!F347/100))/VLOOKUP($C$343,'DB animal categories'!$C$127:$AC$136,27,FALSE)*AJ347+Q347+R347+S347-AC347,IF(AI347=1,('Calc (ex-animal)'!$L$69*'Calc (ex-housing, ex-storage)'!F347/100)/VLOOKUP($C$343,'DB animal categories'!$C$127:$AC$136,27,FALSE)*AJ347-'Calc (ex-housing, ex-storage)'!AC347,IF(AI347=4,('Calc (ex-animal)'!$L$69+'Calc (ex-animal)'!$K$69)*'Calc (ex-housing, ex-storage)'!F347/100*VLOOKUP(D347,'DB technologies'!$N$168:$Y$180,11,FALSE)/100/VLOOKUP($C$343,'DB animal categories'!$C$127:$AC$136,27,FALSE)*AJ347-AC347*VLOOKUP(D347,'DB technologies'!$N$168:$Y$180,11,FALSE)/100,0))))</f>
        <v/>
      </c>
      <c r="AP347" s="184" t="str">
        <f>IF(D347="","",IF(AO347&lt;-0.01,0,IF(AI347=2,(('Calc (ex-animal)'!$L$69*'Calc (ex-housing, ex-storage)'!F347/100+'Calc (ex-animal)'!$K$69*'Calc (ex-housing, ex-storage)'!F347/100))/VLOOKUP($C$343,'DB animal categories'!$C$127:$AC$136,27,FALSE)*AJ347+Q347+R347+S347-AC347,IF(AI347=1,('Calc (ex-animal)'!$L$69*'Calc (ex-housing, ex-storage)'!F347/100)/VLOOKUP($C$343,'DB animal categories'!$C$127:$AC$136,27,FALSE)*AJ347-'Calc (ex-housing, ex-storage)'!AC347,IF(AI347=4,('Calc (ex-animal)'!$L$69+'Calc (ex-animal)'!$K$69)*'Calc (ex-housing, ex-storage)'!F347/100*VLOOKUP(D347,'DB technologies'!$N$168:$Y$180,11,FALSE)/100/VLOOKUP($C$343,'DB animal categories'!$C$127:$AC$136,27,FALSE)*AJ347-AC347*VLOOKUP(D347,'DB technologies'!$N$168:$Y$180,11,FALSE)/100,0)))))</f>
        <v/>
      </c>
      <c r="AQ347" s="184" t="str">
        <f>IF(D347="","",IF(AI347=2,('Calc (ex-animal)'!$O$69*'Calc (ex-housing, ex-storage)'!F347/100+'Calc (ex-animal)'!$N$69*'Calc (ex-housing, ex-storage)'!F347/100)/VLOOKUP($C$343,'DB animal categories'!$C$127:$AC$136,27,FALSE)*AJ347+U347+V347+W347,IF(AI347=1,'Calc (ex-animal)'!$O$69*'Calc (ex-housing, ex-storage)'!F347/100/VLOOKUP($C$343,'DB animal categories'!$C$127:$AC$136,27,FALSE)*AJ347,IF(AI347=4,('Calc (ex-animal)'!$O$69+'Calc (ex-animal)'!$N$69)*'Calc (ex-housing, ex-storage)'!F347/100*VLOOKUP(D347,'DB technologies'!$N$168:$Y$180,11,FALSE)/100/VLOOKUP($C$343,'DB animal categories'!$C$127:$AC$136,27,FALSE)*AJ347,0))))</f>
        <v/>
      </c>
      <c r="AR347" s="184" t="str">
        <f>IF(D347="","",IF(AI347=2,('Calc (ex-animal)'!$R$69*'Calc (ex-housing, ex-storage)'!F347/100+'Calc (ex-animal)'!$Q$69*'Calc (ex-housing, ex-storage)'!F347/100)/VLOOKUP($C$343,'DB animal categories'!$C$127:$AC$136,27,FALSE)*AJ347+Y347+Z347+AA347,IF(AI347=1,'Calc (ex-animal)'!$R$69*'Calc (ex-housing, ex-storage)'!F347/100/VLOOKUP($C$343,'DB animal categories'!$C$127:$AC$136,27,FALSE)*AJ347,IF(AI347=4,('Calc (ex-animal)'!$R$69+'Calc (ex-animal)'!$Q$69)*'Calc (ex-housing, ex-storage)'!F347/100*VLOOKUP(D347,'DB technologies'!$N$168:$Y$180,11,FALSE)/100/VLOOKUP($C$343,'DB animal categories'!$C$127:$AC$136,27,FALSE)*AJ347,0))))</f>
        <v/>
      </c>
      <c r="AS347" s="183" t="str">
        <f>IF(D347="","",VLOOKUP(D347,'DB technologies'!$N$168:$Y$180,10,FALSE))</f>
        <v/>
      </c>
      <c r="AT347" s="452" t="str">
        <f>IF(AS347="","",AU347+AV347)</f>
        <v/>
      </c>
      <c r="AU347" s="452" t="str">
        <f>IF(D347="","",IF(AS347=2,0,IF(AS347=1,'Calc (ex-animal)'!$G$69*'DB additional information '!$K$14/100*(1-VLOOKUP(D347,'DB technologies'!$N$168:$Y$180,8,FALSE)/100)*'Calc (ex-housing, ex-storage)'!F347/100/VLOOKUP($C$343,'DB animal categories'!$C$127:$AC$136,27,FALSE)*AJ347+I347+J347+K347,IF(AS347=5,(('Calc (ex-animal)'!$G$69*'DB additional information '!$K$14/100+'Calc (ex-animal)'!$H$69*'DB additional information '!$L$14/100))*(1-VLOOKUP(D347,'DB technologies'!$N$168:$Y$180,9,FALSE)/100)*'Calc (ex-housing, ex-storage)'!F347/100/VLOOKUP($C$343,'DB animal categories'!$C$127:$AC$136,27,FALSE)*AJ347+I347+J347+K347,IF(AS347=3,('Calc (ex-animal)'!$G$69*'DB additional information '!$K$14/100+'Calc (ex-animal)'!$H$69*'DB additional information '!$L$14/100)*(1-VLOOKUP(D347,'DB technologies'!$N$168:$Y$180,9,FALSE)/100)*'Calc (ex-housing, ex-storage)'!F347/100/VLOOKUP($C$343,'DB animal categories'!$C$127:$AC$136,27,FALSE)*AJ347+I347+J347+K347,IF(AS347=4,('Calc (ex-animal)'!$G$69*'DB additional information '!$K$14/100+'Calc (ex-animal)'!$H$69*'DB additional information '!$L$14/100)*(1-VLOOKUP(D347,'DB technologies'!$N$168:$Y$180,9,FALSE)/100)*'Calc (ex-housing, ex-storage)'!F347/100*VLOOKUP(D347,'DB technologies'!$N$168:$Y$180,12,FALSE)/100/VLOOKUP($C$343,'DB animal categories'!$C$127:$AC$136,27,FALSE)*AJ347+I347+J347+K347,0))))))</f>
        <v/>
      </c>
      <c r="AV347" s="452" t="str">
        <f>IF(D347="","",IF(AS347=2,0,IF(AS347=1,'Calc (ex-animal)'!$G$69*(1-'DB additional information '!$K$14/100)*(1-VLOOKUP(D347,'DB technologies'!$N$168:$Y$180,8,FALSE)/100)*'Calc (ex-housing, ex-storage)'!F347/100/VLOOKUP($C$343,'DB animal categories'!$C$127:$AC$136,27,FALSE)*AJ347+M347+N347+O347,IF(AS347=5,('Calc (ex-animal)'!$G$69*(1-'DB additional information '!$K$14/100)+'Calc (ex-animal)'!$H$69*(1-'DB additional information '!$L$14/100))*(1-VLOOKUP(D347,'DB technologies'!$N$168:$Y$180,8,FALSE)/100)*'Calc (ex-housing, ex-storage)'!F347/100/VLOOKUP($C$343,'DB animal categories'!$C$127:$AC$136,27,FALSE)*AJ347+M347+N347+O347,IF(AS347=3,('Calc (ex-animal)'!$G$69*(1-'DB additional information '!$K$14/100)+'Calc (ex-animal)'!$H$69*(1-'DB additional information '!$L$14/100))*(1-VLOOKUP(D347,'DB technologies'!$N$168:$Y$180,8,FALSE)/100)*'Calc (ex-housing, ex-storage)'!F347/100/VLOOKUP($C$343,'DB animal categories'!$C$127:$AC$136,27,FALSE)*AJ347+M347+N347+O347,IF(AS347=4,('Calc (ex-animal)'!$G$69*(1-'DB additional information '!$K$14/100)+'Calc (ex-animal)'!$H$69*(1-'DB additional information '!$L$14/100))*(1-VLOOKUP(D347,'DB technologies'!$N$168:$Y$180,8,FALSE)/100)*'Calc (ex-housing, ex-storage)'!F347/100*VLOOKUP(D347,'DB technologies'!$N$168:$Y$180,12,FALSE)/100/VLOOKUP($C$343,'DB animal categories'!$C$127:$AC$136,27,FALSE)*AJ347+M347+N347+O347,0))))))</f>
        <v/>
      </c>
      <c r="AW347" s="452" t="str">
        <f>IF(AS347="","",IF(AU347=0,0,AU347/AT347*100))</f>
        <v/>
      </c>
      <c r="AX347" s="184" t="str">
        <f>IF(D347="","",IF(AS347=2,0,IF(AS347=1,'Calc (ex-animal)'!$K$69*'Calc (ex-housing, ex-storage)'!F347/100/VLOOKUP($C$343,'DB animal categories'!$C$127:$AC$136,27,FALSE)*AJ347+Q347+R347+S347,IF(AS347=5,('Calc (ex-animal)'!$K$69+'Calc (ex-animal)'!$L$69)*'Calc (ex-housing, ex-storage)'!F347/100/VLOOKUP($C$343,'DB animal categories'!$C$127:$AC$136,27,FALSE)*AJ347+Q347+R347+S347-'Calc (ex-housing, ex-storage)'!AC347,IF(AS347=3,('Calc (ex-animal)'!$K$69+'Calc (ex-animal)'!$L$69)*'Calc (ex-housing, ex-storage)'!F347/100/VLOOKUP($C$343,'DB animal categories'!$C$127:$AC$136,27,FALSE)*AJ347+Q347+R347+S347-'Calc (ex-housing, ex-storage)'!AC347-AD347-AE347,IF(AI347=4,('Calc (ex-animal)'!$K$69+'Calc (ex-animal)'!$L$69)*'Calc (ex-housing, ex-storage)'!F347/100*VLOOKUP(D347,'DB technologies'!$N$168:$Y$180,12,FALSE)/100/VLOOKUP($C$343,'DB animal categories'!$C$127:$AC$136,27,FALSE)*AJ347+Q347+R347+S347-(VLOOKUP(D347,'DB technologies'!$N$168:$Y$180,12,FALSE)/100*AC347)-AD347-AE347,0))))))</f>
        <v/>
      </c>
      <c r="AY347" s="184" t="str">
        <f>IF(D347="","",IF(AS347=2,0,IF(AS347=1,'Calc (ex-animal)'!$N$69*'Calc (ex-housing, ex-storage)'!F347/100/VLOOKUP($C$343,'DB animal categories'!$C$127:$AC$136,27,FALSE)*AJ347+U347+V347+W347,IF(AS347=5,('Calc (ex-animal)'!$N$69+'Calc (ex-animal)'!$O$69)*'Calc (ex-housing, ex-storage)'!F347/100/VLOOKUP($C$343,'DB animal categories'!$C$127:$AC$136,27,FALSE)*AJ347+U347+V347+W347,IF(AS347=3,('Calc (ex-animal)'!$N$69+'Calc (ex-animal)'!$O$69)*'Calc (ex-housing, ex-storage)'!F347/100/VLOOKUP($C$343,'DB animal categories'!$C$127:$AC$136,27,FALSE)*AJ347+U347+V347+W347,IF(AS347=4,('Calc (ex-animal)'!$N$69+'Calc (ex-animal)'!$O$69)*'Calc (ex-housing, ex-storage)'!F347/100*VLOOKUP(D347,'DB technologies'!$N$168:$Y$180,12,FALSE)/100/VLOOKUP($C$343,'DB animal categories'!$C$127:$AC$136,27,FALSE)*AJ347+U347+V347+W347,0))))))</f>
        <v/>
      </c>
      <c r="AZ347" s="184" t="str">
        <f>IF(D347="","",IF(AS347=2,0,IF(AS347=1,'Calc (ex-animal)'!$Q$69*'Calc (ex-housing, ex-storage)'!F347/100/VLOOKUP($C$343,'DB animal categories'!$C$127:$AC$136,27,FALSE)*AJ347+Y347+Z347+AA347,IF(AS347=5,('Calc (ex-animal)'!$Q$69+'Calc (ex-animal)'!$R$69)*'Calc (ex-housing, ex-storage)'!F347/100/VLOOKUP($C$343,'DB animal categories'!$C$127:$AC$136,27,FALSE)*AJ347+Y347+Z347+AA347,IF(AS347=3,('Calc (ex-animal)'!$Q$69+'Calc (ex-animal)'!$R$69)*'Calc (ex-housing, ex-storage)'!F347/100/VLOOKUP($C$343,'DB animal categories'!$C$127:$AC$136,27,FALSE)*AJ347+Y347+Z347+AA347,IF(AS347=4,('Calc (ex-animal)'!$Q$69+'Calc (ex-animal)'!$R$69)*'Calc (ex-housing, ex-storage)'!F347/100*VLOOKUP(D347,'DB technologies'!$N$168:$Y$180,12,FALSE)/100/VLOOKUP($C$343,'DB animal categories'!$C$127:$AC$136,27,FALSE)*AJ347+Y347+Z347+AA347,0))))))</f>
        <v/>
      </c>
      <c r="BA347" s="506"/>
      <c r="BB347" s="506"/>
      <c r="BC347" s="506"/>
    </row>
    <row r="348" spans="1:55" ht="12" thickBot="1" x14ac:dyDescent="0.25">
      <c r="A348" s="695"/>
      <c r="B348" s="695"/>
      <c r="C348" s="252"/>
      <c r="D348" s="269" t="s">
        <v>58</v>
      </c>
      <c r="E348" s="270">
        <f>IF(F348&lt;=100,SUM(E343:E347),"ERROR")</f>
        <v>0</v>
      </c>
      <c r="F348" s="284">
        <f>IF(SUM(F343:F347) &lt;=100,SUM(F343:F347),"ERROR, SUM&gt;100%")</f>
        <v>0</v>
      </c>
      <c r="G348" s="550">
        <f>IF('Calc (ex-animal)'!$F$63=1,"",SUM(G343:G347))</f>
        <v>0</v>
      </c>
      <c r="H348" s="418">
        <f>IF('Calc (ex-animal)'!$F$8=1,"",SUM(H343:H347))</f>
        <v>0</v>
      </c>
      <c r="I348" s="418">
        <f>IF('Calc (ex-animal)'!$F$8=1,"",SUM(I343:I347))</f>
        <v>0</v>
      </c>
      <c r="J348" s="418">
        <f>IF('Calc (ex-animal)'!$F$8=1,"",SUM(J343:J347))</f>
        <v>0</v>
      </c>
      <c r="K348" s="418">
        <f>IF('Calc (ex-animal)'!$F$8=1,"",SUM(K343:K347))</f>
        <v>0</v>
      </c>
      <c r="L348" s="418">
        <f>IF('Calc (ex-animal)'!$F$8=1,"",SUM(L343:L347))</f>
        <v>0</v>
      </c>
      <c r="M348" s="551"/>
      <c r="N348" s="551"/>
      <c r="O348" s="551"/>
      <c r="P348" s="552">
        <f>IF(G348=0,0,IF('Calc (ex-animal)'!$F$63=1,"",IF(D348="","",SUM(H348:K348)/G348*100)))</f>
        <v>0</v>
      </c>
      <c r="Q348" s="394"/>
      <c r="R348" s="394"/>
      <c r="S348" s="394"/>
      <c r="T348" s="394"/>
      <c r="U348" s="286"/>
      <c r="V348" s="286"/>
      <c r="W348" s="286"/>
      <c r="X348" s="286">
        <f>IF('Calc (ex-animal)'!$F$69=1,"",SUM(X343:X347))</f>
        <v>0</v>
      </c>
      <c r="Y348" s="286"/>
      <c r="Z348" s="286"/>
      <c r="AA348" s="286"/>
      <c r="AB348" s="286">
        <f>IF('Calc (ex-animal)'!$F$69=1,"",SUM(AB343:AB347))</f>
        <v>0</v>
      </c>
      <c r="AC348" s="286">
        <f>IF('Calc (ex-animal)'!$F$69=1,"",SUM(AC343:AC347))</f>
        <v>0</v>
      </c>
      <c r="AD348" s="286">
        <f>IF('Calc (ex-animal)'!$F$69=1,"",SUM(AD343:AD347))</f>
        <v>0</v>
      </c>
      <c r="AE348" s="287">
        <f>IF('Calc (ex-animal)'!$F$69=1,"",SUM(AE343:AE347))</f>
        <v>0</v>
      </c>
    </row>
    <row r="349" spans="1:55" x14ac:dyDescent="0.2">
      <c r="A349" s="695"/>
      <c r="B349" s="695"/>
      <c r="C349" s="250">
        <f>'Calc (ex-animal)'!D70</f>
        <v>0</v>
      </c>
      <c r="D349" s="1355"/>
      <c r="E349" s="1356"/>
      <c r="F349" s="479" t="str">
        <f>IF('Calc (ex-animal)'!$F$63=1,"",IF($C$349=0,"",IF(D349="","",E349/'Calc (ex-animal)'!$E$70*100)))</f>
        <v/>
      </c>
      <c r="G349" s="484" t="str">
        <f>IF($C$349=0,"",IF('Calc (ex-animal)'!$F$63=1,"",IF(D349="","",SUM(H349:O349))))</f>
        <v/>
      </c>
      <c r="H349" s="471" t="str">
        <f>IF('Calc (ex-animal)'!$F$63=1,"",IF(D349="","",(((VLOOKUP($C$349,'Calc (ex-animal)'!$D$68:$Y$72,6,FALSE)-VLOOKUP($C$349,'Calc (ex-animal)'!$D$68:$Y$72,17,FALSE))*F349/100))*VLOOKUP($C$349,'Calc (ex-animal)'!$D$68:$Y$72,7,FALSE)/100*(1-VLOOKUP(D349,'DB technologies'!$N$168:$Y$180,9,FALSE)/100)))</f>
        <v/>
      </c>
      <c r="I349" s="471" t="str">
        <f>IF(D349="","",((VLOOKUP(D349,'DB technologies'!$N$168:$Y$180,2,FALSE)*VLOOKUP($C$349,'DB animal categories'!$C$127:$AC$136,27,FALSE)*E349/1000)/VLOOKUP($C$349,'DB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'!$S$6/100*(1-VLOOKUP(D349,'DB technologies'!$N$168:$Y$180,9,FALSE)/100)))</f>
        <v/>
      </c>
      <c r="J349" s="472" t="str">
        <f>IF(D349="","",((VLOOKUP(D349,'DB technologies'!$N$168:$Y$180,3,FALSE)*VLOOKUP($C$349,'DB animal categories'!$C$127:$AC$136,27,FALSE)*E349/1000)/VLOOKUP($C$349,'DB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'!$S$7/100*(1-VLOOKUP(D349,'DB technologies'!$N$168:$Y$180,9,FALSE)/100)))</f>
        <v/>
      </c>
      <c r="K349" s="472" t="str">
        <f>IF(D349="","",((VLOOKUP(D349,'DB technologies'!$N$168:$Y$180,4,FALSE)*E349*'DB additional information '!$S$8/100*(1-VLOOKUP(D349,'DB technologies'!$N$168:$Y$180,9,FALSE)/100))/VLOOKUP($C$349,'DB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L349" s="471" t="str">
        <f>IF('Calc (ex-animal)'!$F$63=1,"",IF(D349="","",(((VLOOKUP($C$349,'Calc (ex-animal)'!$D$68:$Y$72,6,FALSE)-VLOOKUP($C$349,'Calc (ex-animal)'!$D$68:$Y$72,17,FALSE))*F349/100))*(1-VLOOKUP($C$349,'Calc (ex-animal)'!$D$68:$Y$72,7,FALSE)/100)*(1-VLOOKUP(D349,'DB technologies'!$N$168:$V$180,8,FALSE)/100)))</f>
        <v/>
      </c>
      <c r="M349" s="472" t="str">
        <f>IF(D349="","",((VLOOKUP(D349,'DB technologies'!$N$168:$Y$180,2,FALSE)*VLOOKUP($C$349,'DB animal categories'!$C$127:$AC$136,27,FALSE)*E349/1000)/VLOOKUP($C$349,'DB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'!$S$6/100)*(1-VLOOKUP(D349,'DB technologies'!$N$168:$Y$180,9,FALSE)/100))</f>
        <v/>
      </c>
      <c r="N349" s="472" t="str">
        <f>IF(D349="","",((VLOOKUP(D349,'DB technologies'!$N$168:$Y$180,3,FALSE)*VLOOKUP($C$349,'DB animal categories'!$C$127:$AC$136,27,FALSE)*E349/1000)/VLOOKUP($C$349,'DB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'!$S$7/100)*(1-VLOOKUP(D349,'DB technologies'!$N$168:$Y$180,9,FALSE)/100))</f>
        <v/>
      </c>
      <c r="O349" s="471" t="str">
        <f>IF(D349="","",((VLOOKUP(D349,'DB technologies'!$N$168:$Y$180,4,FALSE)*E349*(1-'DB additional information '!$S$8/100)*(1-VLOOKUP(D349,'DB technologies'!$N$168:$Y$180,8,FALSE)/100))/VLOOKUP($C$349,'DB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P349" s="443" t="str">
        <f>IF(G349=0,0,IF(E349="","",IF(F349="","",IF($C$349=0,"",IF(D349="","",SUM(H349:K349)/G349*100)))))</f>
        <v/>
      </c>
      <c r="Q349" s="473" t="str">
        <f>IF(D349="","",(VLOOKUP(D349,'DB technologies'!$N$168:$Y$180,2,FALSE)*'DB additional information '!$S$6/100*'DB additional information '!$T$6*VLOOKUP($C$349,'DB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R349" s="473" t="str">
        <f>IF(D349="","",(VLOOKUP(D349,'DB technologies'!$N$168:$Y$180,3,FALSE)*'DB additional information '!$S$7/100*'DB additional information '!$T$7*VLOOKUP($C$349,'DB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S349" s="490" t="str">
        <f>IF(D349="","",(VLOOKUP(D349,'DB technologies'!$N$168:$Y$180,4,FALSE)*('DB additional information '!$S$8/100*'DB additional information '!$T$8*E349/1000/1000)))</f>
        <v/>
      </c>
      <c r="T349" s="263" t="str">
        <f>IF($C$349=0,"",IF('Calc (ex-animal)'!$F$63=1,"",IF(D349="","",((VLOOKUP($C$349,'Calc (ex-animal)'!$D$68:$Y$72,10,FALSE)-VLOOKUP($C$349,'Calc (ex-animal)'!$D$68:$Y$72,18,FALSE))*F349/100+Q349+R349+S349)-AC349-AD349-AE349)))</f>
        <v/>
      </c>
      <c r="U349" s="474" t="str">
        <f>IF(D349="","",(VLOOKUP(D349,'DB technologies'!$N$168:$Y$180,2,FALSE)*'DB additional information '!$S$6/100*'DB additional information '!$U$6*VLOOKUP($C$349,'DB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V349" s="420" t="str">
        <f>IF(D349="","",(VLOOKUP(D349,'DB technologies'!$N$168:$Y$180,3,FALSE)*'DB additional information '!$S$7/100*'DB additional information '!$U$7*VLOOKUP($C$349,'DB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W349" s="415" t="str">
        <f>IF(D349="","",(VLOOKUP(D349,'DB technologies'!$N$168:$Y$180,4,FALSE)*('DB additional information '!$S$8/100*'DB additional information '!$U$8*E349/1000/1000)))</f>
        <v/>
      </c>
      <c r="X349" s="259" t="str">
        <f>IF($C$349=0,"",IF('Calc (ex-animal)'!$F$63=1,"",IF(D349="","",((VLOOKUP($C$349,'Calc (ex-animal)'!$D$68:$Y$72,13,FALSE)-VLOOKUP($C$349,'Calc (ex-animal)'!$D$68:$Y$72,19,FALSE))*F349/100+U349+V349+W349))))</f>
        <v/>
      </c>
      <c r="Y349" s="420" t="str">
        <f>IF(D349="","",(VLOOKUP(D349,'DB technologies'!$N$168:$Y$180,2,FALSE)*'DB additional information '!$S$6/100*'DB additional information '!$V$6*VLOOKUP($C$349,'DB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Z349" s="420" t="str">
        <f>IF(D349="","",(VLOOKUP(D349,'DB technologies'!$N$168:$Y$180,3,FALSE)*'DB additional information '!$S$7/100*'DB additional information '!$V$7*VLOOKUP($C$349,'DB animal categories'!$C$127:$AC$136,27,FALSE)*E349/1000/1000)/VLOOKUP($C$349,'DB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AA349" s="420" t="str">
        <f>IF(D349="","",(VLOOKUP(D349,'DB technologies'!$N$168:$Y$180,4,FALSE)*('DB additional information '!$S$8/100*'DB additional information '!$V$8*E349/1000/1000)))</f>
        <v/>
      </c>
      <c r="AB349" s="259" t="str">
        <f>IF($C$349=0,"",IF('Calc (ex-animal)'!$F$63=1,"",IF(D349="","",((VLOOKUP($C$349,'Calc (ex-animal)'!$D$68:$Y$72,16,FALSE)-VLOOKUP($C$349,'Calc (ex-animal)'!$D$68:$Y$72,20,FALSE))*F349/100+Y349+Z349+AA349))))</f>
        <v/>
      </c>
      <c r="AC349" s="259" t="str">
        <f>IF($C$349=0,"",IF('Calc (ex-animal)'!$F$63=1,"",IF(D349="","",VLOOKUP($C$349,'Calc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categories'!$C$127:$AC$136,26,FALSE)/24)*F349/100*VLOOKUP(D349,'DB technologies'!$N$168:$R$180,5,FALSE)/100)))</f>
        <v/>
      </c>
      <c r="AD349" s="259" t="str">
        <f>IF($C$349=0,"",IF('Calc (ex-animal)'!$F$63=1,"",IF(D349="","",VLOOKUP($C$349,'Calc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categories'!$C$127:$AC$136,26,FALSE)/24)*F349/100*VLOOKUP(D349,'DB technologies'!$N$168:$Y$180,6,FALSE)/100)))</f>
        <v/>
      </c>
      <c r="AE349" s="260" t="str">
        <f>IF($C$349=0,"",IF('Calc (ex-animal)'!$F$63=1,"",IF(D349="","",VLOOKUP($C$349,'Calc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categories'!$C$127:$AC$136,26,FALSE)/24)*F349/100*VLOOKUP(D349,'DB technologies'!$N$168:$Y$180,7,FALSE)/100)))</f>
        <v/>
      </c>
      <c r="AI349" s="179" t="str">
        <f>IF(D349="","",VLOOKUP(D349,'DB technologies'!$N$168:$Y$180,10,FALSE))</f>
        <v/>
      </c>
      <c r="AJ349" s="482" t="e">
        <f>VLOOKUP($C$349,'DB animal categories'!$C$127:$AN$136,27,FALSE)-VLOOKUP($C$349,'DB animal categories'!$C$127:$AN$136,26,FALSE)*VLOOKUP($C$349,'DB animal categories'!$C$127:$AN$136,25,FALSE)/24</f>
        <v>#N/A</v>
      </c>
      <c r="AK349" s="453" t="str">
        <f>IF(AI349="","",AL349+AM349)</f>
        <v/>
      </c>
      <c r="AL349" s="453" t="str">
        <f>IF(D349="","",IF(AI349=2,(('Calc (ex-animal)'!$G$70*'DB additional information '!$K$14/100*(1-VLOOKUP(D349,'DB technologies'!$N$168:$Y$180,9,FALSE)/100)*'Calc (ex-housing, ex-storage)'!F349/100+'Calc (ex-animal)'!$H$70*'DB additional information '!$L$14/100*(1-VLOOKUP(D349,'DB technologies'!$N$168:$Y$180,9,FALSE)/100)*'Calc (ex-housing, ex-storage)'!F349/100))/VLOOKUP($C$349,'DB animal categories'!$C$127:$AC$136,27,FALSE)*AJ349+I349+J349+K349,IF(AI349=1,('Calc (ex-animal)'!$H$70*'DB additional information '!$L$14/100*(1-VLOOKUP(D349,'DB technologies'!$N$168:$Y$180,9,FALSE)/100)*'Calc (ex-housing, ex-storage)'!F349/100)/VLOOKUP($C$349,'DB animal categories'!$C$127:$AC$136,27,FALSE)*AJ349,IF(AI349=4,('Calc (ex-animal)'!$G$70*'DB additional information '!$K$14/100+'Calc (ex-animal)'!$H$70*'DB additional information '!$L$14/100)*(1-VLOOKUP(D349,'DB technologies'!$N$168:$Y$180,9,FALSE)/100)*'Calc (ex-housing, ex-storage)'!F349/100*VLOOKUP(D349,'DB technologies'!$N$168:$Y$180,11,FALSE)/100/VLOOKUP($C$349,'DB animal categories'!$C$127:$AC$136,27,FALSE)*AJ349,0))))</f>
        <v/>
      </c>
      <c r="AM349" s="453" t="str">
        <f>IF(D349="","",IF(AI349=2,(('Calc (ex-animal)'!$G$70*(1-'DB additional information '!$K$14/100)*(1-VLOOKUP(D349,'DB technologies'!$N$168:$Y$180,8,FALSE)/100)*'Calc (ex-housing, ex-storage)'!F349/100+'Calc (ex-animal)'!$H$70*(1-'DB additional information '!$L$14/100)*(1-VLOOKUP(D349,'DB technologies'!$N$168:$Y$180,8,FALSE)/100)*'Calc (ex-housing, ex-storage)'!F349/100))/VLOOKUP($C$349,'DB animal categories'!$C$127:$AC$136,27,FALSE)*AJ349+M349+N349+O349,IF(AI349=1,('Calc (ex-animal)'!$H$70*(1-'DB additional information '!$L$14/100)*(1-VLOOKUP(D349,'DB technologies'!$N$168:$Y$180,8,FALSE)/100)*'Calc (ex-housing, ex-storage)'!F349/100)/VLOOKUP($C$349,'DB animal categories'!$C$127:$AC$136,27,FALSE)*AJ349,IF(AI349=4,('Calc (ex-animal)'!$G$70*(1-'DB additional information '!$K$14/100)+'Calc (ex-animal)'!$H$70*(1-'DB additional information '!$L$14/100))*(1-VLOOKUP(D349,'DB technologies'!$N$168:$Y$180,8,FALSE)/100)*'Calc (ex-housing, ex-storage)'!F349/100*VLOOKUP(D349,'DB technologies'!$N$168:$Y$180,11,FALSE)/100/VLOOKUP($C$349,'DB animal categories'!$C$127:$AC$136,27,FALSE)*AJ349,0))))</f>
        <v/>
      </c>
      <c r="AN349" s="453" t="str">
        <f>IF(AI349="","",IF(AL349=0,0,AL349/AK349*100))</f>
        <v/>
      </c>
      <c r="AO349" s="180" t="str">
        <f>IF(D349="","",IF(AI349=2,(('Calc (ex-animal)'!$L$70*'Calc (ex-housing, ex-storage)'!F349/100+'Calc (ex-animal)'!$K$70*'Calc (ex-housing, ex-storage)'!F349/100))/VLOOKUP($C$349,'DB animal categories'!$C$127:$AC$136,27,FALSE)*AJ349+Q349+R349+S349-AC349,IF(AI349=1,('Calc (ex-animal)'!$L$70*'Calc (ex-housing, ex-storage)'!F349/100)/VLOOKUP($C$349,'DB animal categories'!$C$127:$AC$136,27,FALSE)*AJ349-'Calc (ex-housing, ex-storage)'!AC349,IF(AI349=4,('Calc (ex-animal)'!$L$70+'Calc (ex-animal)'!$K$70)*'Calc (ex-housing, ex-storage)'!F349/100*VLOOKUP(D349,'DB technologies'!$N$168:$Y$180,11,FALSE)/100/VLOOKUP($C$349,'DB animal categories'!$C$127:$AC$136,27,FALSE)*AJ349-AC349*VLOOKUP(D349,'DB technologies'!$N$168:$Y$180,11,FALSE)/100,0))))</f>
        <v/>
      </c>
      <c r="AP349" s="180" t="str">
        <f>IF(D349="","",IF(AO349&lt;-0.01,0,IF(AI349=2,(('Calc (ex-animal)'!$L$70*'Calc (ex-housing, ex-storage)'!F349/100+'Calc (ex-animal)'!$K$70*'Calc (ex-housing, ex-storage)'!F349/100))/VLOOKUP($C$349,'DB animal categories'!$C$127:$AC$136,27,FALSE)*AJ349+Q349+R349+S349-AC349,IF(AI349=1,('Calc (ex-animal)'!$L$70*'Calc (ex-housing, ex-storage)'!F349/100)/VLOOKUP($C$349,'DB animal categories'!$C$127:$AC$136,27,FALSE)*AJ349-'Calc (ex-housing, ex-storage)'!AC349,IF(AI349=4,('Calc (ex-animal)'!$L$70+'Calc (ex-animal)'!$K$70)*'Calc (ex-housing, ex-storage)'!F349/100*VLOOKUP(D349,'DB technologies'!$N$168:$Y$180,11,FALSE)/100/VLOOKUP($C$349,'DB animal categories'!$C$127:$AC$136,27,FALSE)*AJ349-AC349*VLOOKUP(D349,'DB technologies'!$N$168:$Y$180,11,FALSE)/100,0)))))</f>
        <v/>
      </c>
      <c r="AQ349" s="180" t="str">
        <f>IF(D349="","",IF(AI349=2,('Calc (ex-animal)'!$O$70*'Calc (ex-housing, ex-storage)'!F349/100+'Calc (ex-animal)'!$N$70*'Calc (ex-housing, ex-storage)'!F349/100)/VLOOKUP($C$349,'DB animal categories'!$C$127:$AC$136,27,FALSE)*AJ349+U349+V349+W349,IF(AI349=1,'Calc (ex-animal)'!$O$70*'Calc (ex-housing, ex-storage)'!F349/100/VLOOKUP($C$349,'DB animal categories'!$C$127:$AC$136,27,FALSE)*AJ349,IF(AI349=4,('Calc (ex-animal)'!$O$70+'Calc (ex-animal)'!$N$70)*'Calc (ex-housing, ex-storage)'!F349/100*VLOOKUP(D349,'DB technologies'!$N$168:$Y$180,11,FALSE)/100/VLOOKUP($C$349,'DB animal categories'!$C$127:$AC$136,27,FALSE)*AJ349,0))))</f>
        <v/>
      </c>
      <c r="AR349" s="180" t="str">
        <f>IF(D349="","",IF(AI349=2,('Calc (ex-animal)'!$R$70*'Calc (ex-housing, ex-storage)'!F349/100+'Calc (ex-animal)'!$Q$70*'Calc (ex-housing, ex-storage)'!F349/100)/VLOOKUP($C$349,'DB animal categories'!$C$127:$AC$136,27,FALSE)*AJ349+Y349+Z349+AA349,IF(AI349=1,'Calc (ex-animal)'!$R$70*'Calc (ex-housing, ex-storage)'!F349/100/VLOOKUP($C$349,'DB animal categories'!$C$127:$AC$136,27,FALSE)*AJ349,IF(AI349=4,('Calc (ex-animal)'!$R$70+'Calc (ex-animal)'!$Q$70)*'Calc (ex-housing, ex-storage)'!F349/100*VLOOKUP(D349,'DB technologies'!$N$168:$Y$180,11,FALSE)/100/VLOOKUP($C$349,'DB animal categories'!$C$127:$AC$136,27,FALSE)*AJ349,0))))</f>
        <v/>
      </c>
      <c r="AS349" s="179" t="str">
        <f>IF(D349="","",VLOOKUP(D349,'DB technologies'!$N$168:$Y$180,10,FALSE))</f>
        <v/>
      </c>
      <c r="AT349" s="453" t="str">
        <f>IF(AS349="","",AU349+AV349)</f>
        <v/>
      </c>
      <c r="AU349" s="453" t="str">
        <f>IF(D349="","",IF(AS349=2,0,IF(AS349=1,'Calc (ex-animal)'!$G$70*'DB additional information '!$K$14/100*(1-VLOOKUP(D349,'DB technologies'!$N$168:$Y$180,8,FALSE)/100)*'Calc (ex-housing, ex-storage)'!F349/100/VLOOKUP($C$349,'DB animal categories'!$C$127:$AC$136,27,FALSE)*AJ349+I349+J349+K349,IF(AS349=5,(('Calc (ex-animal)'!$G$70*'DB additional information '!$K$14/100+'Calc (ex-animal)'!$H$70*'DB additional information '!$L$14/100))*(1-VLOOKUP(D349,'DB technologies'!$N$168:$Y$180,9,FALSE)/100)*'Calc (ex-housing, ex-storage)'!F349/100/VLOOKUP($C$349,'DB animal categories'!$C$127:$AC$136,27,FALSE)*AJ349+I349+J349+K349,IF(AS349=3,('Calc (ex-animal)'!$G$70*'DB additional information '!$K$14/100+'Calc (ex-animal)'!$H$70*'DB additional information '!$L$14/100)*(1-VLOOKUP(D349,'DB technologies'!$N$168:$Y$180,9,FALSE)/100)*'Calc (ex-housing, ex-storage)'!F349/100/VLOOKUP($C$349,'DB animal categories'!$C$127:$AC$136,27,FALSE)*AJ349+I349+J349+K349,IF(AS349=4,('Calc (ex-animal)'!$G$70*'DB additional information '!$K$14/100+'Calc (ex-animal)'!$H$70*'DB additional information '!$L$14/100)*(1-VLOOKUP(D349,'DB technologies'!$N$168:$Y$180,9,FALSE)/100)*'Calc (ex-housing, ex-storage)'!F349/100*VLOOKUP(D349,'DB technologies'!$N$168:$Y$180,12,FALSE)/100/VLOOKUP($C$349,'DB animal categories'!$C$127:$AC$136,27,FALSE)*AJ349+I349+J349+K349,0))))))</f>
        <v/>
      </c>
      <c r="AV349" s="453" t="str">
        <f>IF(D349="","",IF(AS349=2,0,IF(AS349=1,'Calc (ex-animal)'!$G$70*(1-'DB additional information '!$K$14/100)*(1-VLOOKUP(D349,'DB technologies'!$N$168:$Y$180,8,FALSE)/100)*'Calc (ex-housing, ex-storage)'!F349/100/VLOOKUP($C$349,'DB animal categories'!$C$127:$AC$136,27,FALSE)*AJ349+M349+N349+O349,IF(AS349=5,('Calc (ex-animal)'!$G$70*(1-'DB additional information '!$K$14/100)+'Calc (ex-animal)'!$H$70*(1-'DB additional information '!$L$14/100))*(1-VLOOKUP(D349,'DB technologies'!$N$168:$Y$180,8,FALSE)/100)*'Calc (ex-housing, ex-storage)'!F349/100/VLOOKUP($C$349,'DB animal categories'!$C$127:$AC$136,27,FALSE)*AJ349+M349+N349+O349,IF(AS349=3,('Calc (ex-animal)'!$G$70*(1-'DB additional information '!$K$14/100)+'Calc (ex-animal)'!$H$70*(1-'DB additional information '!$L$14/100))*(1-VLOOKUP(D349,'DB technologies'!$N$168:$Y$180,8,FALSE)/100)*'Calc (ex-housing, ex-storage)'!F349/100/VLOOKUP($C$349,'DB animal categories'!$C$127:$AC$136,27,FALSE)*AJ349+M349+N349+O349,IF(AS349=4,('Calc (ex-animal)'!$G$70*(1-'DB additional information '!$K$14/100)+'Calc (ex-animal)'!$H$70*(1-'DB additional information '!$L$14/100))*(1-VLOOKUP(D349,'DB technologies'!$N$168:$Y$180,8,FALSE)/100)*'Calc (ex-housing, ex-storage)'!F349/100*VLOOKUP(D349,'DB technologies'!$N$168:$Y$180,12,FALSE)/100/VLOOKUP($C$349,'DB animal categories'!$C$127:$AC$136,27,FALSE)*AJ349+M349+N349+O349,0))))))</f>
        <v/>
      </c>
      <c r="AW349" s="453" t="str">
        <f>IF(AS349="","",IF(AU349=0,0,AU349/AT349*100))</f>
        <v/>
      </c>
      <c r="AX349" s="180" t="str">
        <f>IF(D349="","",IF(AS349=2,0,IF(AS349=1,'Calc (ex-animal)'!$K$70*'Calc (ex-housing, ex-storage)'!F349/100/VLOOKUP($C$349,'DB animal categories'!$C$127:$AC$136,27,FALSE)*AJ349+Q349+R349+S349,IF(AS349=5,('Calc (ex-animal)'!$K$70+'Calc (ex-animal)'!$L$70)*'Calc (ex-housing, ex-storage)'!F349/100/VLOOKUP($C$349,'DB animal categories'!$C$127:$AC$136,27,FALSE)*AJ349+Q349+R349+S349-'Calc (ex-housing, ex-storage)'!AC349,IF(AS349=3,('Calc (ex-animal)'!$K$70+'Calc (ex-animal)'!$L$70)*'Calc (ex-housing, ex-storage)'!F349/100/VLOOKUP($C$349,'DB animal categories'!$C$127:$AC$136,27,FALSE)*AJ349+Q349+R349+S349-'Calc (ex-housing, ex-storage)'!AC349-AD349-AE349,IF(AI349=4,('Calc (ex-animal)'!$K$70+'Calc (ex-animal)'!$L$70)*'Calc (ex-housing, ex-storage)'!F349/100*VLOOKUP(D349,'DB technologies'!$N$168:$Y$180,12,FALSE)/100/VLOOKUP($C$349,'DB animal categories'!$C$127:$AC$136,27,FALSE)*AJ349+Q349+R349+S349-(VLOOKUP(D349,'DB technologies'!$N$168:$Y$180,12,FALSE)/100*AC349)-AD349-AE349,0))))))</f>
        <v/>
      </c>
      <c r="AY349" s="180" t="str">
        <f>IF(D349="","",IF(AS349=2,0,IF(AS349=1,'Calc (ex-animal)'!$N$70*'Calc (ex-housing, ex-storage)'!F349/100/VLOOKUP($C$349,'DB animal categories'!$C$127:$AC$136,27,FALSE)*AJ349+U349+V349+W349,IF(AS349=5,('Calc (ex-animal)'!$N$70+'Calc (ex-animal)'!$O$70)*'Calc (ex-housing, ex-storage)'!F349/100/VLOOKUP($C$349,'DB animal categories'!$C$127:$AC$136,27,FALSE)*AJ349+U349+V349+W349,IF(AS349=3,('Calc (ex-animal)'!$N$70+'Calc (ex-animal)'!$O$70)*'Calc (ex-housing, ex-storage)'!F349/100/VLOOKUP($C$349,'DB animal categories'!$C$127:$AC$136,27,FALSE)*AJ349+U349+V349+W349,IF(AS349=4,('Calc (ex-animal)'!$N$70+'Calc (ex-animal)'!$O$70)*'Calc (ex-housing, ex-storage)'!F349/100*VLOOKUP(D349,'DB technologies'!$N$168:$Y$180,12,FALSE)/100/VLOOKUP($C$349,'DB animal categories'!$C$127:$AC$136,27,FALSE)*AJ349+U349+V349+W349,0))))))</f>
        <v/>
      </c>
      <c r="AZ349" s="180" t="str">
        <f>IF(D349="","",IF(AS349=2,0,IF(AS349=1,'Calc (ex-animal)'!$Q$70*'Calc (ex-housing, ex-storage)'!F349/100/VLOOKUP($C$349,'DB animal categories'!$C$127:$AC$136,27,FALSE)*AJ349+Y349+Z349+AA349,IF(AS349=5,('Calc (ex-animal)'!$Q$70+'Calc (ex-animal)'!$R$70)*'Calc (ex-housing, ex-storage)'!F349/100/VLOOKUP($C$349,'DB animal categories'!$C$127:$AC$136,27,FALSE)*AJ349+Y349+Z349+AA349,IF(AS349=3,('Calc (ex-animal)'!$Q$70+'Calc (ex-animal)'!$R$70)*'Calc (ex-housing, ex-storage)'!F349/100/VLOOKUP($C$349,'DB animal categories'!$C$127:$AC$136,27,FALSE)*AJ349+Y349+Z349+AA349,IF(AS349=4,('Calc (ex-animal)'!$Q$70+'Calc (ex-animal)'!$R$70)*'Calc (ex-housing, ex-storage)'!F349/100*VLOOKUP(D349,'DB technologies'!$N$168:$Y$180,12,FALSE)/100/VLOOKUP($C$349,'DB animal categories'!$C$127:$AC$136,27,FALSE)*AJ349+Y349+Z349+AA349,0))))))</f>
        <v/>
      </c>
      <c r="BA349" s="506"/>
      <c r="BB349" s="506"/>
      <c r="BC349" s="506"/>
    </row>
    <row r="350" spans="1:55" x14ac:dyDescent="0.2">
      <c r="A350" s="695"/>
      <c r="B350" s="695"/>
      <c r="C350" s="251"/>
      <c r="D350" s="1357"/>
      <c r="E350" s="1358"/>
      <c r="F350" s="480" t="str">
        <f>IF('Calc (ex-animal)'!$F$63=1,"",IF($C$349=0,"",IF(D350="","",E350/'Calc (ex-animal)'!$E$70*100)))</f>
        <v/>
      </c>
      <c r="G350" s="485" t="str">
        <f>IF($C$349=0,"",IF('Calc (ex-animal)'!$F$63=1,"",IF(D350="","",SUM(H350:O350))))</f>
        <v/>
      </c>
      <c r="H350" s="423" t="str">
        <f>IF('Calc (ex-animal)'!$F$63=1,"",IF(D350="","",(((VLOOKUP($C$349,'Calc (ex-animal)'!$D$68:$Y$72,6,FALSE)-VLOOKUP($C$349,'Calc (ex-animal)'!$D$68:$Y$72,17,FALSE))*F350/100))*VLOOKUP($C$349,'Calc (ex-animal)'!$D$68:$Y$72,7,FALSE)/100*(1-VLOOKUP(D350,'DB technologies'!$N$168:$Y$180,9,FALSE)/100)))</f>
        <v/>
      </c>
      <c r="I350" s="423" t="str">
        <f>IF(D350="","",((VLOOKUP(D350,'DB technologies'!$N$168:$Y$180,2,FALSE)*VLOOKUP($C$349,'DB animal categories'!$C$127:$AC$136,27,FALSE)*E350/1000)/VLOOKUP($C$349,'DB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'!$S$6/100*(1-VLOOKUP(D350,'DB technologies'!$N$168:$Y$180,9,FALSE)/100)))</f>
        <v/>
      </c>
      <c r="J350" s="434" t="str">
        <f>IF(D350="","",((VLOOKUP(D350,'DB technologies'!$N$168:$Y$180,3,FALSE)*VLOOKUP($C$349,'DB animal categories'!$C$127:$AC$136,27,FALSE)*E350/1000)/VLOOKUP($C$349,'DB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'!$S$7/100*(1-VLOOKUP(D350,'DB technologies'!$N$168:$Y$180,9,FALSE)/100)))</f>
        <v/>
      </c>
      <c r="K350" s="434" t="str">
        <f>IF(D350="","",((VLOOKUP(D350,'DB technologies'!$N$168:$Y$180,4,FALSE)*E350*'DB additional information '!$S$8/100*(1-VLOOKUP(D350,'DB technologies'!$N$168:$Y$180,9,FALSE)/100))/VLOOKUP($C$349,'DB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L350" s="423" t="str">
        <f>IF('Calc (ex-animal)'!$F$63=1,"",IF(D350="","",(((VLOOKUP($C$349,'Calc (ex-animal)'!$D$68:$Y$72,6,FALSE)-VLOOKUP($C$349,'Calc (ex-animal)'!$D$68:$Y$72,17,FALSE))*F350/100))*(1-VLOOKUP($C$349,'Calc (ex-animal)'!$D$68:$Y$72,7,FALSE)/100)*(1-VLOOKUP(D350,'DB technologies'!$N$168:$V$180,8,FALSE)/100)))</f>
        <v/>
      </c>
      <c r="M350" s="434" t="str">
        <f>IF(D350="","",((VLOOKUP(D350,'DB technologies'!$N$168:$Y$180,2,FALSE)*VLOOKUP($C$349,'DB animal categories'!$C$127:$AC$136,27,FALSE)*E350/1000)/VLOOKUP($C$349,'DB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'!$S$6/100)*(1-VLOOKUP(D350,'DB technologies'!$N$168:$Y$180,9,FALSE)/100))</f>
        <v/>
      </c>
      <c r="N350" s="434" t="str">
        <f>IF(D350="","",((VLOOKUP(D350,'DB technologies'!$N$168:$Y$180,3,FALSE)*VLOOKUP($C$349,'DB animal categories'!$C$127:$AC$136,27,FALSE)*E350/1000)/VLOOKUP($C$349,'DB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'!$S$7/100)*(1-VLOOKUP(D350,'DB technologies'!$N$168:$Y$180,9,FALSE)/100))</f>
        <v/>
      </c>
      <c r="O350" s="423" t="str">
        <f>IF(D350="","",((VLOOKUP(D350,'DB technologies'!$N$168:$Y$180,4,FALSE)*E350*(1-'DB additional information '!$S$8/100)*(1-VLOOKUP(D350,'DB technologies'!$N$168:$Y$180,8,FALSE)/100))/VLOOKUP($C$349,'DB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P350" s="438" t="str">
        <f>IF(G350=0,0,IF(E350="","",IF(F350="","",IF($C$349=0,"",IF(D350="","",SUM(H350:K350)/G350*100)))))</f>
        <v/>
      </c>
      <c r="Q350" s="416" t="str">
        <f>IF(D350="","",(VLOOKUP(D350,'DB technologies'!$N$168:$Y$180,2,FALSE)*'DB additional information '!$S$6/100*'DB additional information '!$T$6*VLOOKUP($C$349,'DB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R350" s="416" t="str">
        <f>IF(D350="","",(VLOOKUP(D350,'DB technologies'!$N$168:$Y$180,3,FALSE)*'DB additional information '!$S$7/100*'DB additional information '!$T$7*VLOOKUP($C$349,'DB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S350" s="491" t="str">
        <f>IF(D350="","",(VLOOKUP(D350,'DB technologies'!$N$168:$Y$180,4,FALSE)*('DB additional information '!$S$8/100*'DB additional information '!$T$8*E350/1000/1000)))</f>
        <v/>
      </c>
      <c r="T350" s="264" t="str">
        <f>IF($C$349=0,"",IF('Calc (ex-animal)'!$F$63=1,"",IF(D350="","",((VLOOKUP($C$349,'Calc (ex-animal)'!$D$68:$Y$72,10,FALSE)-VLOOKUP($C$349,'Calc (ex-animal)'!$D$68:$Y$72,18,FALSE))*F350/100+Q350+R350+S350)-AC350-AD350-AE350)))</f>
        <v/>
      </c>
      <c r="U350" s="422" t="str">
        <f>IF(D350="","",(VLOOKUP(D350,'DB technologies'!$N$168:$Y$180,2,FALSE)*'DB additional information '!$S$6/100*'DB additional information '!$U$6*VLOOKUP($C$349,'DB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V350" s="418" t="str">
        <f>IF(D350="","",(VLOOKUP(D350,'DB technologies'!$N$168:$Y$180,3,FALSE)*'DB additional information '!$S$7/100*'DB additional information '!$U$7*VLOOKUP($C$349,'DB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W350" s="417" t="str">
        <f>IF(D350="","",(VLOOKUP(D350,'DB technologies'!$N$168:$Y$180,4,FALSE)*('DB additional information '!$S$8/100*'DB additional information '!$U$8*E350/1000/1000)))</f>
        <v/>
      </c>
      <c r="X350" s="261" t="str">
        <f>IF($C$349=0,"",IF('Calc (ex-animal)'!$F$63=1,"",IF(D350="","",((VLOOKUP($C$349,'Calc (ex-animal)'!$D$68:$Y$72,13,FALSE)-VLOOKUP($C$349,'Calc (ex-animal)'!$D$68:$Y$72,19,FALSE))*F350/100+U350+V350+W350))))</f>
        <v/>
      </c>
      <c r="Y350" s="418" t="str">
        <f>IF(D350="","",(VLOOKUP(D350,'DB technologies'!$N$168:$Y$180,2,FALSE)*'DB additional information '!$S$6/100*'DB additional information '!$V$6*VLOOKUP($C$349,'DB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Z350" s="418" t="str">
        <f>IF(D350="","",(VLOOKUP(D350,'DB technologies'!$N$168:$Y$180,3,FALSE)*'DB additional information '!$S$7/100*'DB additional information '!$V$7*VLOOKUP($C$349,'DB animal categories'!$C$127:$AC$136,27,FALSE)*E350/1000/1000)/VLOOKUP($C$349,'DB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AA350" s="418" t="str">
        <f>IF(D350="","",(VLOOKUP(D350,'DB technologies'!$N$168:$Y$180,4,FALSE)*('DB additional information '!$S$8/100*'DB additional information '!$V$8*E350/1000/1000)))</f>
        <v/>
      </c>
      <c r="AB350" s="261" t="str">
        <f>IF($C$349=0,"",IF('Calc (ex-animal)'!$F$63=1,"",IF(D350="","",((VLOOKUP($C$349,'Calc (ex-animal)'!$D$68:$Y$72,16,FALSE)-VLOOKUP($C$349,'Calc (ex-animal)'!$D$68:$Y$72,20,FALSE))*F350/100+Y350+Z350+AA350))))</f>
        <v/>
      </c>
      <c r="AC350" s="261" t="str">
        <f>IF($C$349=0,"",IF('Calc (ex-animal)'!$F$63=1,"",IF(D350="","",VLOOKUP($C$349,'Calc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categories'!$C$127:$AC$136,26,FALSE)/24)*F350/100*VLOOKUP(D350,'DB technologies'!$N$168:$R$180,5,FALSE)/100)))</f>
        <v/>
      </c>
      <c r="AD350" s="261" t="str">
        <f>IF($C$349=0,"",IF('Calc (ex-animal)'!$F$63=1,"",IF(D350="","",VLOOKUP($C$349,'Calc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categories'!$C$127:$AC$136,26,FALSE)/24)*F350/100*VLOOKUP(D350,'DB technologies'!$N$168:$Y$180,6,FALSE)/100)))</f>
        <v/>
      </c>
      <c r="AE350" s="262" t="str">
        <f>IF($C$349=0,"",IF('Calc (ex-animal)'!$F$63=1,"",IF(D350="","",VLOOKUP($C$349,'Calc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categories'!$C$127:$AC$136,26,FALSE)/24)*F350/100*VLOOKUP(D350,'DB technologies'!$N$168:$Y$180,7,FALSE)/100)))</f>
        <v/>
      </c>
      <c r="AI350" s="181" t="str">
        <f>IF(D350="","",VLOOKUP(D350,'DB technologies'!$N$168:$Y$180,10,FALSE))</f>
        <v/>
      </c>
      <c r="AJ350" s="449" t="e">
        <f>VLOOKUP($C$349,'DB animal categories'!$C$127:$AN$136,27,FALSE)-VLOOKUP($C$349,'DB animal categories'!$C$127:$AN$136,26,FALSE)*VLOOKUP($C$349,'DB animal categories'!$C$127:$AN$136,25,FALSE)/24</f>
        <v>#N/A</v>
      </c>
      <c r="AK350" s="442" t="str">
        <f>IF(AI350="","",AL350+AM350)</f>
        <v/>
      </c>
      <c r="AL350" s="442" t="str">
        <f>IF(D350="","",IF(AI350=2,(('Calc (ex-animal)'!$G$70*'DB additional information '!$K$14/100*(1-VLOOKUP(D350,'DB technologies'!$N$168:$Y$180,9,FALSE)/100)*'Calc (ex-housing, ex-storage)'!F350/100+'Calc (ex-animal)'!$H$70*'DB additional information '!$L$14/100*(1-VLOOKUP(D350,'DB technologies'!$N$168:$Y$180,9,FALSE)/100)*'Calc (ex-housing, ex-storage)'!F350/100))/VLOOKUP($C$349,'DB animal categories'!$C$127:$AC$136,27,FALSE)*AJ350+I350+J350+K350,IF(AI350=1,('Calc (ex-animal)'!$H$70*'DB additional information '!$L$14/100*(1-VLOOKUP(D350,'DB technologies'!$N$168:$Y$180,9,FALSE)/100)*'Calc (ex-housing, ex-storage)'!F350/100)/VLOOKUP($C$349,'DB animal categories'!$C$127:$AC$136,27,FALSE)*AJ350,IF(AI350=4,('Calc (ex-animal)'!$G$70*'DB additional information '!$K$14/100+'Calc (ex-animal)'!$H$70*'DB additional information '!$L$14/100)*(1-VLOOKUP(D350,'DB technologies'!$N$168:$Y$180,9,FALSE)/100)*'Calc (ex-housing, ex-storage)'!F350/100*VLOOKUP(D350,'DB technologies'!$N$168:$Y$180,11,FALSE)/100/VLOOKUP($C$349,'DB animal categories'!$C$127:$AC$136,27,FALSE)*AJ350,0))))</f>
        <v/>
      </c>
      <c r="AM350" s="442" t="str">
        <f>IF(D350="","",IF(AI350=2,(('Calc (ex-animal)'!$G$70*(1-'DB additional information '!$K$14/100)*(1-VLOOKUP(D350,'DB technologies'!$N$168:$Y$180,8,FALSE)/100)*'Calc (ex-housing, ex-storage)'!F350/100+'Calc (ex-animal)'!$H$70*(1-'DB additional information '!$L$14/100)*(1-VLOOKUP(D350,'DB technologies'!$N$168:$Y$180,8,FALSE)/100)*'Calc (ex-housing, ex-storage)'!F350/100))/VLOOKUP($C$349,'DB animal categories'!$C$127:$AC$136,27,FALSE)*AJ350+M350+N350+O350,IF(AI350=1,('Calc (ex-animal)'!$H$70*(1-'DB additional information '!$L$14/100)*(1-VLOOKUP(D350,'DB technologies'!$N$168:$Y$180,8,FALSE)/100)*'Calc (ex-housing, ex-storage)'!F350/100)/VLOOKUP($C$349,'DB animal categories'!$C$127:$AC$136,27,FALSE)*AJ350,IF(AI350=4,('Calc (ex-animal)'!$G$70*(1-'DB additional information '!$K$14/100)+'Calc (ex-animal)'!$H$70*(1-'DB additional information '!$L$14/100))*(1-VLOOKUP(D350,'DB technologies'!$N$168:$Y$180,8,FALSE)/100)*'Calc (ex-housing, ex-storage)'!F350/100*VLOOKUP(D350,'DB technologies'!$N$168:$Y$180,11,FALSE)/100/VLOOKUP($C$349,'DB animal categories'!$C$127:$AC$136,27,FALSE)*AJ350,0))))</f>
        <v/>
      </c>
      <c r="AN350" s="442" t="str">
        <f>IF(AI350="","",IF(AL350=0,0,AL350/AK350*100))</f>
        <v/>
      </c>
      <c r="AO350" s="182" t="str">
        <f>IF(D350="","",IF(AI350=2,(('Calc (ex-animal)'!$L$70*'Calc (ex-housing, ex-storage)'!F350/100+'Calc (ex-animal)'!$K$70*'Calc (ex-housing, ex-storage)'!F350/100))/VLOOKUP($C$349,'DB animal categories'!$C$127:$AC$136,27,FALSE)*AJ350+Q350+R350+S350-AC350,IF(AI350=1,('Calc (ex-animal)'!$L$70*'Calc (ex-housing, ex-storage)'!F350/100)/VLOOKUP($C$349,'DB animal categories'!$C$127:$AC$136,27,FALSE)*AJ350-'Calc (ex-housing, ex-storage)'!AC350,IF(AI350=4,('Calc (ex-animal)'!$L$70+'Calc (ex-animal)'!$K$70)*'Calc (ex-housing, ex-storage)'!F350/100*VLOOKUP(D350,'DB technologies'!$N$168:$Y$180,11,FALSE)/100/VLOOKUP($C$349,'DB animal categories'!$C$127:$AC$136,27,FALSE)*AJ350-AC350*VLOOKUP(D350,'DB technologies'!$N$168:$Y$180,11,FALSE)/100,0))))</f>
        <v/>
      </c>
      <c r="AP350" s="182" t="str">
        <f>IF(D350="","",IF(AO350&lt;-0.01,0,IF(AI350=2,(('Calc (ex-animal)'!$L$70*'Calc (ex-housing, ex-storage)'!F350/100+'Calc (ex-animal)'!$K$70*'Calc (ex-housing, ex-storage)'!F350/100))/VLOOKUP($C$349,'DB animal categories'!$C$127:$AC$136,27,FALSE)*AJ350+Q350+R350+S350-AC350,IF(AI350=1,('Calc (ex-animal)'!$L$70*'Calc (ex-housing, ex-storage)'!F350/100)/VLOOKUP($C$349,'DB animal categories'!$C$127:$AC$136,27,FALSE)*AJ350-'Calc (ex-housing, ex-storage)'!AC350,IF(AI350=4,('Calc (ex-animal)'!$L$70+'Calc (ex-animal)'!$K$70)*'Calc (ex-housing, ex-storage)'!F350/100*VLOOKUP(D350,'DB technologies'!$N$168:$Y$180,11,FALSE)/100/VLOOKUP($C$349,'DB animal categories'!$C$127:$AC$136,27,FALSE)*AJ350-AC350*VLOOKUP(D350,'DB technologies'!$N$168:$Y$180,11,FALSE)/100,0)))))</f>
        <v/>
      </c>
      <c r="AQ350" s="182" t="str">
        <f>IF(D350="","",IF(AI350=2,('Calc (ex-animal)'!$O$70*'Calc (ex-housing, ex-storage)'!F350/100+'Calc (ex-animal)'!$N$70*'Calc (ex-housing, ex-storage)'!F350/100)/VLOOKUP($C$349,'DB animal categories'!$C$127:$AC$136,27,FALSE)*AJ350+U350+V350+W350,IF(AI350=1,'Calc (ex-animal)'!$O$70*'Calc (ex-housing, ex-storage)'!F350/100/VLOOKUP($C$349,'DB animal categories'!$C$127:$AC$136,27,FALSE)*AJ350,IF(AI350=4,('Calc (ex-animal)'!$O$70+'Calc (ex-animal)'!$N$70)*'Calc (ex-housing, ex-storage)'!F350/100*VLOOKUP(D350,'DB technologies'!$N$168:$Y$180,11,FALSE)/100/VLOOKUP($C$349,'DB animal categories'!$C$127:$AC$136,27,FALSE)*AJ350,0))))</f>
        <v/>
      </c>
      <c r="AR350" s="182" t="str">
        <f>IF(D350="","",IF(AI350=2,('Calc (ex-animal)'!$R$70*'Calc (ex-housing, ex-storage)'!F350/100+'Calc (ex-animal)'!$Q$70*'Calc (ex-housing, ex-storage)'!F350/100)/VLOOKUP($C$349,'DB animal categories'!$C$127:$AC$136,27,FALSE)*AJ350+Y350+Z350+AA350,IF(AI350=1,'Calc (ex-animal)'!$R$70*'Calc (ex-housing, ex-storage)'!F350/100/VLOOKUP($C$349,'DB animal categories'!$C$127:$AC$136,27,FALSE)*AJ350,IF(AI350=4,('Calc (ex-animal)'!$R$70+'Calc (ex-animal)'!$Q$70)*'Calc (ex-housing, ex-storage)'!F350/100*VLOOKUP(D350,'DB technologies'!$N$168:$Y$180,11,FALSE)/100/VLOOKUP($C$349,'DB animal categories'!$C$127:$AC$136,27,FALSE)*AJ350,0))))</f>
        <v/>
      </c>
      <c r="AS350" s="181" t="str">
        <f>IF(D350="","",VLOOKUP(D350,'DB technologies'!$N$168:$Y$180,10,FALSE))</f>
        <v/>
      </c>
      <c r="AT350" s="442" t="str">
        <f>IF(AS350="","",AU350+AV350)</f>
        <v/>
      </c>
      <c r="AU350" s="442" t="str">
        <f>IF(D350="","",IF(AS350=2,0,IF(AS350=1,'Calc (ex-animal)'!$G$70*'DB additional information '!$K$14/100*(1-VLOOKUP(D350,'DB technologies'!$N$168:$Y$180,8,FALSE)/100)*'Calc (ex-housing, ex-storage)'!F350/100/VLOOKUP($C$349,'DB animal categories'!$C$127:$AC$136,27,FALSE)*AJ350+I350+J350+K350,IF(AS350=5,(('Calc (ex-animal)'!$G$70*'DB additional information '!$K$14/100+'Calc (ex-animal)'!$H$70*'DB additional information '!$L$14/100))*(1-VLOOKUP(D350,'DB technologies'!$N$168:$Y$180,9,FALSE)/100)*'Calc (ex-housing, ex-storage)'!F350/100/VLOOKUP($C$349,'DB animal categories'!$C$127:$AC$136,27,FALSE)*AJ350+I350+J350+K350,IF(AS350=3,('Calc (ex-animal)'!$G$70*'DB additional information '!$K$14/100+'Calc (ex-animal)'!$H$70*'DB additional information '!$L$14/100)*(1-VLOOKUP(D350,'DB technologies'!$N$168:$Y$180,9,FALSE)/100)*'Calc (ex-housing, ex-storage)'!F350/100/VLOOKUP($C$349,'DB animal categories'!$C$127:$AC$136,27,FALSE)*AJ350+I350+J350+K350,IF(AS350=4,('Calc (ex-animal)'!$G$70*'DB additional information '!$K$14/100+'Calc (ex-animal)'!$H$70*'DB additional information '!$L$14/100)*(1-VLOOKUP(D350,'DB technologies'!$N$168:$Y$180,9,FALSE)/100)*'Calc (ex-housing, ex-storage)'!F350/100*VLOOKUP(D350,'DB technologies'!$N$168:$Y$180,12,FALSE)/100/VLOOKUP($C$349,'DB animal categories'!$C$127:$AC$136,27,FALSE)*AJ350+I350+J350+K350,0))))))</f>
        <v/>
      </c>
      <c r="AV350" s="442" t="str">
        <f>IF(D350="","",IF(AS350=2,0,IF(AS350=1,'Calc (ex-animal)'!$G$70*(1-'DB additional information '!$K$14/100)*(1-VLOOKUP(D350,'DB technologies'!$N$168:$Y$180,8,FALSE)/100)*'Calc (ex-housing, ex-storage)'!F350/100/VLOOKUP($C$349,'DB animal categories'!$C$127:$AC$136,27,FALSE)*AJ350+M350+N350+O350,IF(AS350=5,('Calc (ex-animal)'!$G$70*(1-'DB additional information '!$K$14/100)+'Calc (ex-animal)'!$H$70*(1-'DB additional information '!$L$14/100))*(1-VLOOKUP(D350,'DB technologies'!$N$168:$Y$180,8,FALSE)/100)*'Calc (ex-housing, ex-storage)'!F350/100/VLOOKUP($C$349,'DB animal categories'!$C$127:$AC$136,27,FALSE)*AJ350+M350+N350+O350,IF(AS350=3,('Calc (ex-animal)'!$G$70*(1-'DB additional information '!$K$14/100)+'Calc (ex-animal)'!$H$70*(1-'DB additional information '!$L$14/100))*(1-VLOOKUP(D350,'DB technologies'!$N$168:$Y$180,8,FALSE)/100)*'Calc (ex-housing, ex-storage)'!F350/100/VLOOKUP($C$349,'DB animal categories'!$C$127:$AC$136,27,FALSE)*AJ350+M350+N350+O350,IF(AS350=4,('Calc (ex-animal)'!$G$70*(1-'DB additional information '!$K$14/100)+'Calc (ex-animal)'!$H$70*(1-'DB additional information '!$L$14/100))*(1-VLOOKUP(D350,'DB technologies'!$N$168:$Y$180,8,FALSE)/100)*'Calc (ex-housing, ex-storage)'!F350/100*VLOOKUP(D350,'DB technologies'!$N$168:$Y$180,12,FALSE)/100/VLOOKUP($C$349,'DB animal categories'!$C$127:$AC$136,27,FALSE)*AJ350+M350+N350+O350,0))))))</f>
        <v/>
      </c>
      <c r="AW350" s="442" t="str">
        <f>IF(AS350="","",IF(AU350=0,0,AU350/AT350*100))</f>
        <v/>
      </c>
      <c r="AX350" s="182" t="str">
        <f>IF(D350="","",IF(AS350=2,0,IF(AS350=1,'Calc (ex-animal)'!$K$70*'Calc (ex-housing, ex-storage)'!F350/100/VLOOKUP($C$349,'DB animal categories'!$C$127:$AC$136,27,FALSE)*AJ350+Q350+R350+S350,IF(AS350=5,('Calc (ex-animal)'!$K$70+'Calc (ex-animal)'!$L$70)*'Calc (ex-housing, ex-storage)'!F350/100/VLOOKUP($C$349,'DB animal categories'!$C$127:$AC$136,27,FALSE)*AJ350+Q350+R350+S350-'Calc (ex-housing, ex-storage)'!AC350,IF(AS350=3,('Calc (ex-animal)'!$K$70+'Calc (ex-animal)'!$L$70)*'Calc (ex-housing, ex-storage)'!F350/100/VLOOKUP($C$349,'DB animal categories'!$C$127:$AC$136,27,FALSE)*AJ350+Q350+R350+S350-'Calc (ex-housing, ex-storage)'!AC350-AD350-AE350,IF(AI350=4,('Calc (ex-animal)'!$K$70+'Calc (ex-animal)'!$L$70)*'Calc (ex-housing, ex-storage)'!F350/100*VLOOKUP(D350,'DB technologies'!$N$168:$Y$180,12,FALSE)/100/VLOOKUP($C$349,'DB animal categories'!$C$127:$AC$136,27,FALSE)*AJ350+Q350+R350+S350-(VLOOKUP(D350,'DB technologies'!$N$168:$Y$180,12,FALSE)/100*AC350)-AD350-AE350,0))))))</f>
        <v/>
      </c>
      <c r="AY350" s="182" t="str">
        <f>IF(D350="","",IF(AS350=2,0,IF(AS350=1,'Calc (ex-animal)'!$N$70*'Calc (ex-housing, ex-storage)'!F350/100/VLOOKUP($C$349,'DB animal categories'!$C$127:$AC$136,27,FALSE)*AJ350+U350+V350+W350,IF(AS350=5,('Calc (ex-animal)'!$N$70+'Calc (ex-animal)'!$O$70)*'Calc (ex-housing, ex-storage)'!F350/100/VLOOKUP($C$349,'DB animal categories'!$C$127:$AC$136,27,FALSE)*AJ350+U350+V350+W350,IF(AS350=3,('Calc (ex-animal)'!$N$70+'Calc (ex-animal)'!$O$70)*'Calc (ex-housing, ex-storage)'!F350/100/VLOOKUP($C$349,'DB animal categories'!$C$127:$AC$136,27,FALSE)*AJ350+U350+V350+W350,IF(AS350=4,('Calc (ex-animal)'!$N$70+'Calc (ex-animal)'!$O$70)*'Calc (ex-housing, ex-storage)'!F350/100*VLOOKUP(D350,'DB technologies'!$N$168:$Y$180,12,FALSE)/100/VLOOKUP($C$349,'DB animal categories'!$C$127:$AC$136,27,FALSE)*AJ350+U350+V350+W350,0))))))</f>
        <v/>
      </c>
      <c r="AZ350" s="182" t="str">
        <f>IF(D350="","",IF(AS350=2,0,IF(AS350=1,'Calc (ex-animal)'!$Q$70*'Calc (ex-housing, ex-storage)'!F350/100/VLOOKUP($C$349,'DB animal categories'!$C$127:$AC$136,27,FALSE)*AJ350+Y350+Z350+AA350,IF(AS350=5,('Calc (ex-animal)'!$Q$70+'Calc (ex-animal)'!$R$70)*'Calc (ex-housing, ex-storage)'!F350/100/VLOOKUP($C$349,'DB animal categories'!$C$127:$AC$136,27,FALSE)*AJ350+Y350+Z350+AA350,IF(AS350=3,('Calc (ex-animal)'!$Q$70+'Calc (ex-animal)'!$R$70)*'Calc (ex-housing, ex-storage)'!F350/100/VLOOKUP($C$349,'DB animal categories'!$C$127:$AC$136,27,FALSE)*AJ350+Y350+Z350+AA350,IF(AS350=4,('Calc (ex-animal)'!$Q$70+'Calc (ex-animal)'!$R$70)*'Calc (ex-housing, ex-storage)'!F350/100*VLOOKUP(D350,'DB technologies'!$N$168:$Y$180,12,FALSE)/100/VLOOKUP($C$349,'DB animal categories'!$C$127:$AC$136,27,FALSE)*AJ350+Y350+Z350+AA350,0))))))</f>
        <v/>
      </c>
      <c r="BA350" s="506"/>
      <c r="BB350" s="506"/>
      <c r="BC350" s="506"/>
    </row>
    <row r="351" spans="1:55" x14ac:dyDescent="0.2">
      <c r="A351" s="695"/>
      <c r="B351" s="695"/>
      <c r="C351" s="251"/>
      <c r="D351" s="1357"/>
      <c r="E351" s="1358"/>
      <c r="F351" s="480" t="str">
        <f>IF('Calc (ex-animal)'!$F$63=1,"",IF($C$349=0,"",IF(D351="","",E351/'Calc (ex-animal)'!$E$70*100)))</f>
        <v/>
      </c>
      <c r="G351" s="485" t="str">
        <f>IF($C$349=0,"",IF('Calc (ex-animal)'!$F$63=1,"",IF(D351="","",SUM(H351:O351))))</f>
        <v/>
      </c>
      <c r="H351" s="423" t="str">
        <f>IF('Calc (ex-animal)'!$F$63=1,"",IF(D351="","",(((VLOOKUP($C$349,'Calc (ex-animal)'!$D$68:$Y$72,6,FALSE)-VLOOKUP($C$349,'Calc (ex-animal)'!$D$68:$Y$72,17,FALSE))*F351/100))*VLOOKUP($C$349,'Calc (ex-animal)'!$D$68:$Y$72,7,FALSE)/100*(1-VLOOKUP(D351,'DB technologies'!$N$168:$Y$180,9,FALSE)/100)))</f>
        <v/>
      </c>
      <c r="I351" s="423" t="str">
        <f>IF(D351="","",((VLOOKUP(D351,'DB technologies'!$N$168:$Y$180,2,FALSE)*VLOOKUP($C$349,'DB animal categories'!$C$127:$AC$136,27,FALSE)*E351/1000)/VLOOKUP($C$349,'DB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'!$S$6/100*(1-VLOOKUP(D351,'DB technologies'!$N$168:$Y$180,9,FALSE)/100)))</f>
        <v/>
      </c>
      <c r="J351" s="434" t="str">
        <f>IF(D351="","",((VLOOKUP(D351,'DB technologies'!$N$168:$Y$180,3,FALSE)*VLOOKUP($C$349,'DB animal categories'!$C$127:$AC$136,27,FALSE)*E351/1000)/VLOOKUP($C$349,'DB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'!$S$7/100*(1-VLOOKUP(D351,'DB technologies'!$N$168:$Y$180,9,FALSE)/100)))</f>
        <v/>
      </c>
      <c r="K351" s="434" t="str">
        <f>IF(D351="","",((VLOOKUP(D351,'DB technologies'!$N$168:$Y$180,4,FALSE)*E351*'DB additional information '!$S$8/100*(1-VLOOKUP(D351,'DB technologies'!$N$168:$Y$180,9,FALSE)/100))/VLOOKUP($C$349,'DB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L351" s="423" t="str">
        <f>IF('Calc (ex-animal)'!$F$63=1,"",IF(D351="","",(((VLOOKUP($C$349,'Calc (ex-animal)'!$D$68:$Y$72,6,FALSE)-VLOOKUP($C$349,'Calc (ex-animal)'!$D$68:$Y$72,17,FALSE))*F351/100))*(1-VLOOKUP($C$349,'Calc (ex-animal)'!$D$68:$Y$72,7,FALSE)/100)*(1-VLOOKUP(D351,'DB technologies'!$N$168:$V$180,8,FALSE)/100)))</f>
        <v/>
      </c>
      <c r="M351" s="434" t="str">
        <f>IF(D351="","",((VLOOKUP(D351,'DB technologies'!$N$168:$Y$180,2,FALSE)*VLOOKUP($C$349,'DB animal categories'!$C$127:$AC$136,27,FALSE)*E351/1000)/VLOOKUP($C$349,'DB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'!$S$6/100)*(1-VLOOKUP(D351,'DB technologies'!$N$168:$Y$180,9,FALSE)/100))</f>
        <v/>
      </c>
      <c r="N351" s="434" t="str">
        <f>IF(D351="","",((VLOOKUP(D351,'DB technologies'!$N$168:$Y$180,3,FALSE)*VLOOKUP($C$349,'DB animal categories'!$C$127:$AC$136,27,FALSE)*E351/1000)/VLOOKUP($C$349,'DB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'!$S$7/100)*(1-VLOOKUP(D351,'DB technologies'!$N$168:$Y$180,9,FALSE)/100))</f>
        <v/>
      </c>
      <c r="O351" s="423" t="str">
        <f>IF(D351="","",((VLOOKUP(D351,'DB technologies'!$N$168:$Y$180,4,FALSE)*E351*(1-'DB additional information '!$S$8/100)*(1-VLOOKUP(D351,'DB technologies'!$N$168:$Y$180,8,FALSE)/100))/VLOOKUP($C$349,'DB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P351" s="438" t="str">
        <f>IF(G351=0,0,IF(E351="","",IF(F351="","",IF($C$349=0,"",IF(D351="","",SUM(H351:K351)/G351*100)))))</f>
        <v/>
      </c>
      <c r="Q351" s="416" t="str">
        <f>IF(D351="","",(VLOOKUP(D351,'DB technologies'!$N$168:$Y$180,2,FALSE)*'DB additional information '!$S$6/100*'DB additional information '!$T$6*VLOOKUP($C$349,'DB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R351" s="416" t="str">
        <f>IF(D351="","",(VLOOKUP(D351,'DB technologies'!$N$168:$Y$180,3,FALSE)*'DB additional information '!$S$7/100*'DB additional information '!$T$7*VLOOKUP($C$349,'DB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S351" s="491" t="str">
        <f>IF(D351="","",(VLOOKUP(D351,'DB technologies'!$N$168:$Y$180,4,FALSE)*('DB additional information '!$S$8/100*'DB additional information '!$T$8*E351/1000/1000)))</f>
        <v/>
      </c>
      <c r="T351" s="264" t="str">
        <f>IF($C$349=0,"",IF('Calc (ex-animal)'!$F$63=1,"",IF(D351="","",((VLOOKUP($C$349,'Calc (ex-animal)'!$D$68:$Y$72,10,FALSE)-VLOOKUP($C$349,'Calc (ex-animal)'!$D$68:$Y$72,18,FALSE))*F351/100+Q351+R351+S351)-AC351-AD351-AE351)))</f>
        <v/>
      </c>
      <c r="U351" s="422" t="str">
        <f>IF(D351="","",(VLOOKUP(D351,'DB technologies'!$N$168:$Y$180,2,FALSE)*'DB additional information '!$S$6/100*'DB additional information '!$U$6*VLOOKUP($C$349,'DB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V351" s="418" t="str">
        <f>IF(D351="","",(VLOOKUP(D351,'DB technologies'!$N$168:$Y$180,3,FALSE)*'DB additional information '!$S$7/100*'DB additional information '!$U$7*VLOOKUP($C$349,'DB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W351" s="417" t="str">
        <f>IF(D351="","",(VLOOKUP(D351,'DB technologies'!$N$168:$Y$180,4,FALSE)*('DB additional information '!$S$8/100*'DB additional information '!$U$8*E351/1000/1000)))</f>
        <v/>
      </c>
      <c r="X351" s="261" t="str">
        <f>IF($C$349=0,"",IF('Calc (ex-animal)'!$F$63=1,"",IF(D351="","",((VLOOKUP($C$349,'Calc (ex-animal)'!$D$68:$Y$72,13,FALSE)-VLOOKUP($C$349,'Calc (ex-animal)'!$D$68:$Y$72,19,FALSE))*F351/100+U351+V351+W351))))</f>
        <v/>
      </c>
      <c r="Y351" s="418" t="str">
        <f>IF(D351="","",(VLOOKUP(D351,'DB technologies'!$N$168:$Y$180,2,FALSE)*'DB additional information '!$S$6/100*'DB additional information '!$V$6*VLOOKUP($C$349,'DB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Z351" s="418" t="str">
        <f>IF(D351="","",(VLOOKUP(D351,'DB technologies'!$N$168:$Y$180,3,FALSE)*'DB additional information '!$S$7/100*'DB additional information '!$V$7*VLOOKUP($C$349,'DB animal categories'!$C$127:$AC$136,27,FALSE)*E351/1000/1000)/VLOOKUP($C$349,'DB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AA351" s="418" t="str">
        <f>IF(D351="","",(VLOOKUP(D351,'DB technologies'!$N$168:$Y$180,4,FALSE)*('DB additional information '!$S$8/100*'DB additional information '!$V$8*E351/1000/1000)))</f>
        <v/>
      </c>
      <c r="AB351" s="261" t="str">
        <f>IF($C$349=0,"",IF('Calc (ex-animal)'!$F$63=1,"",IF(D351="","",((VLOOKUP($C$349,'Calc (ex-animal)'!$D$68:$Y$72,16,FALSE)-VLOOKUP($C$349,'Calc (ex-animal)'!$D$68:$Y$72,20,FALSE))*F351/100+Y351+Z351+AA351))))</f>
        <v/>
      </c>
      <c r="AC351" s="261" t="str">
        <f>IF($C$349=0,"",IF('Calc (ex-animal)'!$F$63=1,"",IF(D351="","",VLOOKUP($C$349,'Calc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categories'!$C$127:$AC$136,26,FALSE)/24)*F351/100*VLOOKUP(D351,'DB technologies'!$N$168:$R$180,5,FALSE)/100)))</f>
        <v/>
      </c>
      <c r="AD351" s="261" t="str">
        <f>IF($C$349=0,"",IF('Calc (ex-animal)'!$F$63=1,"",IF(D351="","",VLOOKUP($C$349,'Calc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categories'!$C$127:$AC$136,26,FALSE)/24)*F351/100*VLOOKUP(D351,'DB technologies'!$N$168:$Y$180,6,FALSE)/100)))</f>
        <v/>
      </c>
      <c r="AE351" s="262" t="str">
        <f>IF($C$349=0,"",IF('Calc (ex-animal)'!$F$63=1,"",IF(D351="","",VLOOKUP($C$349,'Calc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categories'!$C$127:$AC$136,26,FALSE)/24)*F351/100*VLOOKUP(D351,'DB technologies'!$N$168:$Y$180,7,FALSE)/100)))</f>
        <v/>
      </c>
      <c r="AI351" s="181" t="str">
        <f>IF(D351="","",VLOOKUP(D351,'DB technologies'!$N$168:$Y$180,10,FALSE))</f>
        <v/>
      </c>
      <c r="AJ351" s="449" t="e">
        <f>VLOOKUP($C$349,'DB animal categories'!$C$127:$AN$136,27,FALSE)-VLOOKUP($C$349,'DB animal categories'!$C$127:$AN$136,26,FALSE)*VLOOKUP($C$349,'DB animal categories'!$C$127:$AN$136,25,FALSE)/24</f>
        <v>#N/A</v>
      </c>
      <c r="AK351" s="442" t="str">
        <f>IF(AI351="","",AL351+AM351)</f>
        <v/>
      </c>
      <c r="AL351" s="442" t="str">
        <f>IF(D351="","",IF(AI351=2,(('Calc (ex-animal)'!$G$70*'DB additional information '!$K$14/100*(1-VLOOKUP(D351,'DB technologies'!$N$168:$Y$180,9,FALSE)/100)*'Calc (ex-housing, ex-storage)'!F351/100+'Calc (ex-animal)'!$H$70*'DB additional information '!$L$14/100*(1-VLOOKUP(D351,'DB technologies'!$N$168:$Y$180,9,FALSE)/100)*'Calc (ex-housing, ex-storage)'!F351/100))/VLOOKUP($C$349,'DB animal categories'!$C$127:$AC$136,27,FALSE)*AJ351+I351+J351+K351,IF(AI351=1,('Calc (ex-animal)'!$H$70*'DB additional information '!$L$14/100*(1-VLOOKUP(D351,'DB technologies'!$N$168:$Y$180,9,FALSE)/100)*'Calc (ex-housing, ex-storage)'!F351/100)/VLOOKUP($C$349,'DB animal categories'!$C$127:$AC$136,27,FALSE)*AJ351,IF(AI351=4,('Calc (ex-animal)'!$G$70*'DB additional information '!$K$14/100+'Calc (ex-animal)'!$H$70*'DB additional information '!$L$14/100)*(1-VLOOKUP(D351,'DB technologies'!$N$168:$Y$180,9,FALSE)/100)*'Calc (ex-housing, ex-storage)'!F351/100*VLOOKUP(D351,'DB technologies'!$N$168:$Y$180,11,FALSE)/100/VLOOKUP($C$349,'DB animal categories'!$C$127:$AC$136,27,FALSE)*AJ351,0))))</f>
        <v/>
      </c>
      <c r="AM351" s="442" t="str">
        <f>IF(D351="","",IF(AI351=2,(('Calc (ex-animal)'!$G$70*(1-'DB additional information '!$K$14/100)*(1-VLOOKUP(D351,'DB technologies'!$N$168:$Y$180,8,FALSE)/100)*'Calc (ex-housing, ex-storage)'!F351/100+'Calc (ex-animal)'!$H$70*(1-'DB additional information '!$L$14/100)*(1-VLOOKUP(D351,'DB technologies'!$N$168:$Y$180,8,FALSE)/100)*'Calc (ex-housing, ex-storage)'!F351/100))/VLOOKUP($C$349,'DB animal categories'!$C$127:$AC$136,27,FALSE)*AJ351+M351+N351+O351,IF(AI351=1,('Calc (ex-animal)'!$H$70*(1-'DB additional information '!$L$14/100)*(1-VLOOKUP(D351,'DB technologies'!$N$168:$Y$180,8,FALSE)/100)*'Calc (ex-housing, ex-storage)'!F351/100)/VLOOKUP($C$349,'DB animal categories'!$C$127:$AC$136,27,FALSE)*AJ351,IF(AI351=4,('Calc (ex-animal)'!$G$70*(1-'DB additional information '!$K$14/100)+'Calc (ex-animal)'!$H$70*(1-'DB additional information '!$L$14/100))*(1-VLOOKUP(D351,'DB technologies'!$N$168:$Y$180,8,FALSE)/100)*'Calc (ex-housing, ex-storage)'!F351/100*VLOOKUP(D351,'DB technologies'!$N$168:$Y$180,11,FALSE)/100/VLOOKUP($C$349,'DB animal categories'!$C$127:$AC$136,27,FALSE)*AJ351,0))))</f>
        <v/>
      </c>
      <c r="AN351" s="442" t="str">
        <f>IF(AI351="","",IF(AL351=0,0,AL351/AK351*100))</f>
        <v/>
      </c>
      <c r="AO351" s="182" t="str">
        <f>IF(D351="","",IF(AI351=2,(('Calc (ex-animal)'!$L$70*'Calc (ex-housing, ex-storage)'!F351/100+'Calc (ex-animal)'!$K$70*'Calc (ex-housing, ex-storage)'!F351/100))/VLOOKUP($C$349,'DB animal categories'!$C$127:$AC$136,27,FALSE)*AJ351+Q351+R351+S351-AC351,IF(AI351=1,('Calc (ex-animal)'!$L$70*'Calc (ex-housing, ex-storage)'!F351/100)/VLOOKUP($C$349,'DB animal categories'!$C$127:$AC$136,27,FALSE)*AJ351-'Calc (ex-housing, ex-storage)'!AC351,IF(AI351=4,('Calc (ex-animal)'!$L$70+'Calc (ex-animal)'!$K$70)*'Calc (ex-housing, ex-storage)'!F351/100*VLOOKUP(D351,'DB technologies'!$N$168:$Y$180,11,FALSE)/100/VLOOKUP($C$349,'DB animal categories'!$C$127:$AC$136,27,FALSE)*AJ351-AC351*VLOOKUP(D351,'DB technologies'!$N$168:$Y$180,11,FALSE)/100,0))))</f>
        <v/>
      </c>
      <c r="AP351" s="182" t="str">
        <f>IF(D351="","",IF(AO351&lt;-0.01,0,IF(AI351=2,(('Calc (ex-animal)'!$L$70*'Calc (ex-housing, ex-storage)'!F351/100+'Calc (ex-animal)'!$K$70*'Calc (ex-housing, ex-storage)'!F351/100))/VLOOKUP($C$349,'DB animal categories'!$C$127:$AC$136,27,FALSE)*AJ351+Q351+R351+S351-AC351,IF(AI351=1,('Calc (ex-animal)'!$L$70*'Calc (ex-housing, ex-storage)'!F351/100)/VLOOKUP($C$349,'DB animal categories'!$C$127:$AC$136,27,FALSE)*AJ351-'Calc (ex-housing, ex-storage)'!AC351,IF(AI351=4,('Calc (ex-animal)'!$L$70+'Calc (ex-animal)'!$K$70)*'Calc (ex-housing, ex-storage)'!F351/100*VLOOKUP(D351,'DB technologies'!$N$168:$Y$180,11,FALSE)/100/VLOOKUP($C$349,'DB animal categories'!$C$127:$AC$136,27,FALSE)*AJ351-AC351*VLOOKUP(D351,'DB technologies'!$N$168:$Y$180,11,FALSE)/100,0)))))</f>
        <v/>
      </c>
      <c r="AQ351" s="182" t="str">
        <f>IF(D351="","",IF(AI351=2,('Calc (ex-animal)'!$O$70*'Calc (ex-housing, ex-storage)'!F351/100+'Calc (ex-animal)'!$N$70*'Calc (ex-housing, ex-storage)'!F351/100)/VLOOKUP($C$349,'DB animal categories'!$C$127:$AC$136,27,FALSE)*AJ351+U351+V351+W351,IF(AI351=1,'Calc (ex-animal)'!$O$70*'Calc (ex-housing, ex-storage)'!F351/100/VLOOKUP($C$349,'DB animal categories'!$C$127:$AC$136,27,FALSE)*AJ351,IF(AI351=4,('Calc (ex-animal)'!$O$70+'Calc (ex-animal)'!$N$70)*'Calc (ex-housing, ex-storage)'!F351/100*VLOOKUP(D351,'DB technologies'!$N$168:$Y$180,11,FALSE)/100/VLOOKUP($C$349,'DB animal categories'!$C$127:$AC$136,27,FALSE)*AJ351,0))))</f>
        <v/>
      </c>
      <c r="AR351" s="182" t="str">
        <f>IF(D351="","",IF(AI351=2,('Calc (ex-animal)'!$R$70*'Calc (ex-housing, ex-storage)'!F351/100+'Calc (ex-animal)'!$Q$70*'Calc (ex-housing, ex-storage)'!F351/100)/VLOOKUP($C$349,'DB animal categories'!$C$127:$AC$136,27,FALSE)*AJ351+Y351+Z351+AA351,IF(AI351=1,'Calc (ex-animal)'!$R$70*'Calc (ex-housing, ex-storage)'!F351/100/VLOOKUP($C$349,'DB animal categories'!$C$127:$AC$136,27,FALSE)*AJ351,IF(AI351=4,('Calc (ex-animal)'!$R$70+'Calc (ex-animal)'!$Q$70)*'Calc (ex-housing, ex-storage)'!F351/100*VLOOKUP(D351,'DB technologies'!$N$168:$Y$180,11,FALSE)/100/VLOOKUP($C$349,'DB animal categories'!$C$127:$AC$136,27,FALSE)*AJ351,0))))</f>
        <v/>
      </c>
      <c r="AS351" s="181" t="str">
        <f>IF(D351="","",VLOOKUP(D351,'DB technologies'!$N$168:$Y$180,10,FALSE))</f>
        <v/>
      </c>
      <c r="AT351" s="442" t="str">
        <f>IF(AS351="","",AU351+AV351)</f>
        <v/>
      </c>
      <c r="AU351" s="442" t="str">
        <f>IF(D351="","",IF(AS351=2,0,IF(AS351=1,'Calc (ex-animal)'!$G$70*'DB additional information '!$K$14/100*(1-VLOOKUP(D351,'DB technologies'!$N$168:$Y$180,8,FALSE)/100)*'Calc (ex-housing, ex-storage)'!F351/100/VLOOKUP($C$349,'DB animal categories'!$C$127:$AC$136,27,FALSE)*AJ351+I351+J351+K351,IF(AS351=5,(('Calc (ex-animal)'!$G$70*'DB additional information '!$K$14/100+'Calc (ex-animal)'!$H$70*'DB additional information '!$L$14/100))*(1-VLOOKUP(D351,'DB technologies'!$N$168:$Y$180,9,FALSE)/100)*'Calc (ex-housing, ex-storage)'!F351/100/VLOOKUP($C$349,'DB animal categories'!$C$127:$AC$136,27,FALSE)*AJ351+I351+J351+K351,IF(AS351=3,('Calc (ex-animal)'!$G$70*'DB additional information '!$K$14/100+'Calc (ex-animal)'!$H$70*'DB additional information '!$L$14/100)*(1-VLOOKUP(D351,'DB technologies'!$N$168:$Y$180,9,FALSE)/100)*'Calc (ex-housing, ex-storage)'!F351/100/VLOOKUP($C$349,'DB animal categories'!$C$127:$AC$136,27,FALSE)*AJ351+I351+J351+K351,IF(AS351=4,('Calc (ex-animal)'!$G$70*'DB additional information '!$K$14/100+'Calc (ex-animal)'!$H$70*'DB additional information '!$L$14/100)*(1-VLOOKUP(D351,'DB technologies'!$N$168:$Y$180,9,FALSE)/100)*'Calc (ex-housing, ex-storage)'!F351/100*VLOOKUP(D351,'DB technologies'!$N$168:$Y$180,12,FALSE)/100/VLOOKUP($C$349,'DB animal categories'!$C$127:$AC$136,27,FALSE)*AJ351+I351+J351+K351,0))))))</f>
        <v/>
      </c>
      <c r="AV351" s="442" t="str">
        <f>IF(D351="","",IF(AS351=2,0,IF(AS351=1,'Calc (ex-animal)'!$G$70*(1-'DB additional information '!$K$14/100)*(1-VLOOKUP(D351,'DB technologies'!$N$168:$Y$180,8,FALSE)/100)*'Calc (ex-housing, ex-storage)'!F351/100/VLOOKUP($C$349,'DB animal categories'!$C$127:$AC$136,27,FALSE)*AJ351+M351+N351+O351,IF(AS351=5,('Calc (ex-animal)'!$G$70*(1-'DB additional information '!$K$14/100)+'Calc (ex-animal)'!$H$70*(1-'DB additional information '!$L$14/100))*(1-VLOOKUP(D351,'DB technologies'!$N$168:$Y$180,8,FALSE)/100)*'Calc (ex-housing, ex-storage)'!F351/100/VLOOKUP($C$349,'DB animal categories'!$C$127:$AC$136,27,FALSE)*AJ351+M351+N351+O351,IF(AS351=3,('Calc (ex-animal)'!$G$70*(1-'DB additional information '!$K$14/100)+'Calc (ex-animal)'!$H$70*(1-'DB additional information '!$L$14/100))*(1-VLOOKUP(D351,'DB technologies'!$N$168:$Y$180,8,FALSE)/100)*'Calc (ex-housing, ex-storage)'!F351/100/VLOOKUP($C$349,'DB animal categories'!$C$127:$AC$136,27,FALSE)*AJ351+M351+N351+O351,IF(AS351=4,('Calc (ex-animal)'!$G$70*(1-'DB additional information '!$K$14/100)+'Calc (ex-animal)'!$H$70*(1-'DB additional information '!$L$14/100))*(1-VLOOKUP(D351,'DB technologies'!$N$168:$Y$180,8,FALSE)/100)*'Calc (ex-housing, ex-storage)'!F351/100*VLOOKUP(D351,'DB technologies'!$N$168:$Y$180,12,FALSE)/100/VLOOKUP($C$349,'DB animal categories'!$C$127:$AC$136,27,FALSE)*AJ351+M351+N351+O351,0))))))</f>
        <v/>
      </c>
      <c r="AW351" s="442" t="str">
        <f>IF(AS351="","",IF(AU351=0,0,AU351/AT351*100))</f>
        <v/>
      </c>
      <c r="AX351" s="182" t="str">
        <f>IF(D351="","",IF(AS351=2,0,IF(AS351=1,'Calc (ex-animal)'!$K$70*'Calc (ex-housing, ex-storage)'!F351/100/VLOOKUP($C$349,'DB animal categories'!$C$127:$AC$136,27,FALSE)*AJ351+Q351+R351+S351,IF(AS351=5,('Calc (ex-animal)'!$K$70+'Calc (ex-animal)'!$L$70)*'Calc (ex-housing, ex-storage)'!F351/100/VLOOKUP($C$349,'DB animal categories'!$C$127:$AC$136,27,FALSE)*AJ351+Q351+R351+S351-'Calc (ex-housing, ex-storage)'!AC351,IF(AS351=3,('Calc (ex-animal)'!$K$70+'Calc (ex-animal)'!$L$70)*'Calc (ex-housing, ex-storage)'!F351/100/VLOOKUP($C$349,'DB animal categories'!$C$127:$AC$136,27,FALSE)*AJ351+Q351+R351+S351-'Calc (ex-housing, ex-storage)'!AC351-AD351-AE351,IF(AI351=4,('Calc (ex-animal)'!$K$70+'Calc (ex-animal)'!$L$70)*'Calc (ex-housing, ex-storage)'!F351/100*VLOOKUP(D351,'DB technologies'!$N$168:$Y$180,12,FALSE)/100/VLOOKUP($C$349,'DB animal categories'!$C$127:$AC$136,27,FALSE)*AJ351+Q351+R351+S351-(VLOOKUP(D351,'DB technologies'!$N$168:$Y$180,12,FALSE)/100*AC351)-AD351-AE351,0))))))</f>
        <v/>
      </c>
      <c r="AY351" s="182" t="str">
        <f>IF(D351="","",IF(AS351=2,0,IF(AS351=1,'Calc (ex-animal)'!$N$70*'Calc (ex-housing, ex-storage)'!F351/100/VLOOKUP($C$349,'DB animal categories'!$C$127:$AC$136,27,FALSE)*AJ351+U351+V351+W351,IF(AS351=5,('Calc (ex-animal)'!$N$70+'Calc (ex-animal)'!$O$70)*'Calc (ex-housing, ex-storage)'!F351/100/VLOOKUP($C$349,'DB animal categories'!$C$127:$AC$136,27,FALSE)*AJ351+U351+V351+W351,IF(AS351=3,('Calc (ex-animal)'!$N$70+'Calc (ex-animal)'!$O$70)*'Calc (ex-housing, ex-storage)'!F351/100/VLOOKUP($C$349,'DB animal categories'!$C$127:$AC$136,27,FALSE)*AJ351+U351+V351+W351,IF(AS351=4,('Calc (ex-animal)'!$N$70+'Calc (ex-animal)'!$O$70)*'Calc (ex-housing, ex-storage)'!F351/100*VLOOKUP(D351,'DB technologies'!$N$168:$Y$180,12,FALSE)/100/VLOOKUP($C$349,'DB animal categories'!$C$127:$AC$136,27,FALSE)*AJ351+U351+V351+W351,0))))))</f>
        <v/>
      </c>
      <c r="AZ351" s="182" t="str">
        <f>IF(D351="","",IF(AS351=2,0,IF(AS351=1,'Calc (ex-animal)'!$Q$70*'Calc (ex-housing, ex-storage)'!F351/100/VLOOKUP($C$349,'DB animal categories'!$C$127:$AC$136,27,FALSE)*AJ351+Y351+Z351+AA351,IF(AS351=5,('Calc (ex-animal)'!$Q$70+'Calc (ex-animal)'!$R$70)*'Calc (ex-housing, ex-storage)'!F351/100/VLOOKUP($C$349,'DB animal categories'!$C$127:$AC$136,27,FALSE)*AJ351+Y351+Z351+AA351,IF(AS351=3,('Calc (ex-animal)'!$Q$70+'Calc (ex-animal)'!$R$70)*'Calc (ex-housing, ex-storage)'!F351/100/VLOOKUP($C$349,'DB animal categories'!$C$127:$AC$136,27,FALSE)*AJ351+Y351+Z351+AA351,IF(AS351=4,('Calc (ex-animal)'!$Q$70+'Calc (ex-animal)'!$R$70)*'Calc (ex-housing, ex-storage)'!F351/100*VLOOKUP(D351,'DB technologies'!$N$168:$Y$180,12,FALSE)/100/VLOOKUP($C$349,'DB animal categories'!$C$127:$AC$136,27,FALSE)*AJ351+Y351+Z351+AA351,0))))))</f>
        <v/>
      </c>
      <c r="BA351" s="506"/>
      <c r="BB351" s="506"/>
      <c r="BC351" s="506"/>
    </row>
    <row r="352" spans="1:55" x14ac:dyDescent="0.2">
      <c r="A352" s="695"/>
      <c r="B352" s="695"/>
      <c r="C352" s="251"/>
      <c r="D352" s="1357"/>
      <c r="E352" s="1358"/>
      <c r="F352" s="480" t="str">
        <f>IF('Calc (ex-animal)'!$F$63=1,"",IF($C$349=0,"",IF(D352="","",E352/'Calc (ex-animal)'!$E$70*100)))</f>
        <v/>
      </c>
      <c r="G352" s="485" t="str">
        <f>IF($C$349=0,"",IF('Calc (ex-animal)'!$F$63=1,"",IF(D352="","",SUM(H352:O352))))</f>
        <v/>
      </c>
      <c r="H352" s="423" t="str">
        <f>IF('Calc (ex-animal)'!$F$63=1,"",IF(D352="","",(((VLOOKUP($C$349,'Calc (ex-animal)'!$D$68:$Y$72,6,FALSE)-VLOOKUP($C$349,'Calc (ex-animal)'!$D$68:$Y$72,17,FALSE))*F352/100))*VLOOKUP($C$349,'Calc (ex-animal)'!$D$68:$Y$72,7,FALSE)/100*(1-VLOOKUP(D352,'DB technologies'!$N$168:$Y$180,9,FALSE)/100)))</f>
        <v/>
      </c>
      <c r="I352" s="423" t="str">
        <f>IF(D352="","",((VLOOKUP(D352,'DB technologies'!$N$168:$Y$180,2,FALSE)*VLOOKUP($C$349,'DB animal categories'!$C$127:$AC$136,27,FALSE)*E352/1000)/VLOOKUP($C$349,'DB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'!$S$6/100*(1-VLOOKUP(D352,'DB technologies'!$N$168:$Y$180,9,FALSE)/100)))</f>
        <v/>
      </c>
      <c r="J352" s="434" t="str">
        <f>IF(D352="","",((VLOOKUP(D352,'DB technologies'!$N$168:$Y$180,3,FALSE)*VLOOKUP($C$349,'DB animal categories'!$C$127:$AC$136,27,FALSE)*E352/1000)/VLOOKUP($C$349,'DB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'!$S$7/100*(1-VLOOKUP(D352,'DB technologies'!$N$168:$Y$180,9,FALSE)/100)))</f>
        <v/>
      </c>
      <c r="K352" s="434" t="str">
        <f>IF(D352="","",((VLOOKUP(D352,'DB technologies'!$N$168:$Y$180,4,FALSE)*E352*'DB additional information '!$S$8/100*(1-VLOOKUP(D352,'DB technologies'!$N$168:$Y$180,9,FALSE)/100))/VLOOKUP($C$349,'DB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L352" s="423" t="str">
        <f>IF('Calc (ex-animal)'!$F$63=1,"",IF(D352="","",(((VLOOKUP($C$349,'Calc (ex-animal)'!$D$68:$Y$72,6,FALSE)-VLOOKUP($C$349,'Calc (ex-animal)'!$D$68:$Y$72,17,FALSE))*F352/100))*(1-VLOOKUP($C$349,'Calc (ex-animal)'!$D$68:$Y$72,7,FALSE)/100)*(1-VLOOKUP(D352,'DB technologies'!$N$168:$V$180,8,FALSE)/100)))</f>
        <v/>
      </c>
      <c r="M352" s="434" t="str">
        <f>IF(D352="","",((VLOOKUP(D352,'DB technologies'!$N$168:$Y$180,2,FALSE)*VLOOKUP($C$349,'DB animal categories'!$C$127:$AC$136,27,FALSE)*E352/1000)/VLOOKUP($C$349,'DB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'!$S$6/100)*(1-VLOOKUP(D352,'DB technologies'!$N$168:$Y$180,9,FALSE)/100))</f>
        <v/>
      </c>
      <c r="N352" s="434" t="str">
        <f>IF(D352="","",((VLOOKUP(D352,'DB technologies'!$N$168:$Y$180,3,FALSE)*VLOOKUP($C$349,'DB animal categories'!$C$127:$AC$136,27,FALSE)*E352/1000)/VLOOKUP($C$349,'DB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'!$S$7/100)*(1-VLOOKUP(D352,'DB technologies'!$N$168:$Y$180,9,FALSE)/100))</f>
        <v/>
      </c>
      <c r="O352" s="423" t="str">
        <f>IF(D352="","",((VLOOKUP(D352,'DB technologies'!$N$168:$Y$180,4,FALSE)*E352*(1-'DB additional information '!$S$8/100)*(1-VLOOKUP(D352,'DB technologies'!$N$168:$Y$180,8,FALSE)/100))/VLOOKUP($C$349,'DB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P352" s="438" t="str">
        <f>IF(G352=0,0,IF(E352="","",IF(F352="","",IF($C$349=0,"",IF(D352="","",SUM(H352:K352)/G352*100)))))</f>
        <v/>
      </c>
      <c r="Q352" s="416" t="str">
        <f>IF(D352="","",(VLOOKUP(D352,'DB technologies'!$N$168:$Y$180,2,FALSE)*'DB additional information '!$S$6/100*'DB additional information '!$T$6*VLOOKUP($C$349,'DB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R352" s="416" t="str">
        <f>IF(D352="","",(VLOOKUP(D352,'DB technologies'!$N$168:$Y$180,3,FALSE)*'DB additional information '!$S$7/100*'DB additional information '!$T$7*VLOOKUP($C$349,'DB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S352" s="491" t="str">
        <f>IF(D352="","",(VLOOKUP(D352,'DB technologies'!$N$168:$Y$180,4,FALSE)*('DB additional information '!$S$8/100*'DB additional information '!$T$8*E352/1000/1000)))</f>
        <v/>
      </c>
      <c r="T352" s="264" t="str">
        <f>IF($C$349=0,"",IF('Calc (ex-animal)'!$F$63=1,"",IF(D352="","",((VLOOKUP($C$349,'Calc (ex-animal)'!$D$68:$Y$72,10,FALSE)-VLOOKUP($C$349,'Calc (ex-animal)'!$D$68:$Y$72,18,FALSE))*F352/100+Q352+R352+S352)-AC352-AD352-AE352)))</f>
        <v/>
      </c>
      <c r="U352" s="422" t="str">
        <f>IF(D352="","",(VLOOKUP(D352,'DB technologies'!$N$168:$Y$180,2,FALSE)*'DB additional information '!$S$6/100*'DB additional information '!$U$6*VLOOKUP($C$349,'DB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V352" s="418" t="str">
        <f>IF(D352="","",(VLOOKUP(D352,'DB technologies'!$N$168:$Y$180,3,FALSE)*'DB additional information '!$S$7/100*'DB additional information '!$U$7*VLOOKUP($C$349,'DB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W352" s="417" t="str">
        <f>IF(D352="","",(VLOOKUP(D352,'DB technologies'!$N$168:$Y$180,4,FALSE)*('DB additional information '!$S$8/100*'DB additional information '!$U$8*E352/1000/1000)))</f>
        <v/>
      </c>
      <c r="X352" s="261" t="str">
        <f>IF($C$349=0,"",IF('Calc (ex-animal)'!$F$63=1,"",IF(D352="","",((VLOOKUP($C$349,'Calc (ex-animal)'!$D$68:$Y$72,13,FALSE)-VLOOKUP($C$349,'Calc (ex-animal)'!$D$68:$Y$72,19,FALSE))*F352/100+U352+V352+W352))))</f>
        <v/>
      </c>
      <c r="Y352" s="418" t="str">
        <f>IF(D352="","",(VLOOKUP(D352,'DB technologies'!$N$168:$Y$180,2,FALSE)*'DB additional information '!$S$6/100*'DB additional information '!$V$6*VLOOKUP($C$349,'DB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Z352" s="418" t="str">
        <f>IF(D352="","",(VLOOKUP(D352,'DB technologies'!$N$168:$Y$180,3,FALSE)*'DB additional information '!$S$7/100*'DB additional information '!$V$7*VLOOKUP($C$349,'DB animal categories'!$C$127:$AC$136,27,FALSE)*E352/1000/1000)/VLOOKUP($C$349,'DB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AA352" s="418" t="str">
        <f>IF(D352="","",(VLOOKUP(D352,'DB technologies'!$N$168:$Y$180,4,FALSE)*('DB additional information '!$S$8/100*'DB additional information '!$V$8*E352/1000/1000)))</f>
        <v/>
      </c>
      <c r="AB352" s="261" t="str">
        <f>IF($C$349=0,"",IF('Calc (ex-animal)'!$F$63=1,"",IF(D352="","",((VLOOKUP($C$349,'Calc (ex-animal)'!$D$68:$Y$72,16,FALSE)-VLOOKUP($C$349,'Calc (ex-animal)'!$D$68:$Y$72,20,FALSE))*F352/100+Y352+Z352+AA352))))</f>
        <v/>
      </c>
      <c r="AC352" s="261" t="str">
        <f>IF($C$349=0,"",IF('Calc (ex-animal)'!$F$63=1,"",IF(D352="","",VLOOKUP($C$349,'Calc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categories'!$C$127:$AC$136,26,FALSE)/24)*F352/100*VLOOKUP(D352,'DB technologies'!$N$168:$R$180,5,FALSE)/100)))</f>
        <v/>
      </c>
      <c r="AD352" s="261" t="str">
        <f>IF($C$349=0,"",IF('Calc (ex-animal)'!$F$63=1,"",IF(D352="","",VLOOKUP($C$349,'Calc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categories'!$C$127:$AC$136,26,FALSE)/24)*F352/100*VLOOKUP(D352,'DB technologies'!$N$168:$Y$180,6,FALSE)/100)))</f>
        <v/>
      </c>
      <c r="AE352" s="262" t="str">
        <f>IF($C$349=0,"",IF('Calc (ex-animal)'!$F$63=1,"",IF(D352="","",VLOOKUP($C$349,'Calc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categories'!$C$127:$AC$136,26,FALSE)/24)*F352/100*VLOOKUP(D352,'DB technologies'!$N$168:$Y$180,7,FALSE)/100)))</f>
        <v/>
      </c>
      <c r="AI352" s="181" t="str">
        <f>IF(D352="","",VLOOKUP(D352,'DB technologies'!$N$168:$Y$180,10,FALSE))</f>
        <v/>
      </c>
      <c r="AJ352" s="449" t="e">
        <f>VLOOKUP($C$349,'DB animal categories'!$C$127:$AN$136,27,FALSE)-VLOOKUP($C$349,'DB animal categories'!$C$127:$AN$136,26,FALSE)*VLOOKUP($C$349,'DB animal categories'!$C$127:$AN$136,25,FALSE)/24</f>
        <v>#N/A</v>
      </c>
      <c r="AK352" s="442" t="str">
        <f>IF(AI352="","",AL352+AM352)</f>
        <v/>
      </c>
      <c r="AL352" s="442" t="str">
        <f>IF(D352="","",IF(AI352=2,(('Calc (ex-animal)'!$G$70*'DB additional information '!$K$14/100*(1-VLOOKUP(D352,'DB technologies'!$N$168:$Y$180,9,FALSE)/100)*'Calc (ex-housing, ex-storage)'!F352/100+'Calc (ex-animal)'!$H$70*'DB additional information '!$L$14/100*(1-VLOOKUP(D352,'DB technologies'!$N$168:$Y$180,9,FALSE)/100)*'Calc (ex-housing, ex-storage)'!F352/100))/VLOOKUP($C$349,'DB animal categories'!$C$127:$AC$136,27,FALSE)*AJ352+I352+J352+K352,IF(AI352=1,('Calc (ex-animal)'!$H$70*'DB additional information '!$L$14/100*(1-VLOOKUP(D352,'DB technologies'!$N$168:$Y$180,9,FALSE)/100)*'Calc (ex-housing, ex-storage)'!F352/100)/VLOOKUP($C$349,'DB animal categories'!$C$127:$AC$136,27,FALSE)*AJ352,IF(AI352=4,('Calc (ex-animal)'!$G$70*'DB additional information '!$K$14/100+'Calc (ex-animal)'!$H$70*'DB additional information '!$L$14/100)*(1-VLOOKUP(D352,'DB technologies'!$N$168:$Y$180,9,FALSE)/100)*'Calc (ex-housing, ex-storage)'!F352/100*VLOOKUP(D352,'DB technologies'!$N$168:$Y$180,11,FALSE)/100/VLOOKUP($C$349,'DB animal categories'!$C$127:$AC$136,27,FALSE)*AJ352,0))))</f>
        <v/>
      </c>
      <c r="AM352" s="442" t="str">
        <f>IF(D352="","",IF(AI352=2,(('Calc (ex-animal)'!$G$70*(1-'DB additional information '!$K$14/100)*(1-VLOOKUP(D352,'DB technologies'!$N$168:$Y$180,8,FALSE)/100)*'Calc (ex-housing, ex-storage)'!F352/100+'Calc (ex-animal)'!$H$70*(1-'DB additional information '!$L$14/100)*(1-VLOOKUP(D352,'DB technologies'!$N$168:$Y$180,8,FALSE)/100)*'Calc (ex-housing, ex-storage)'!F352/100))/VLOOKUP($C$349,'DB animal categories'!$C$127:$AC$136,27,FALSE)*AJ352+M352+N352+O352,IF(AI352=1,('Calc (ex-animal)'!$H$70*(1-'DB additional information '!$L$14/100)*(1-VLOOKUP(D352,'DB technologies'!$N$168:$Y$180,8,FALSE)/100)*'Calc (ex-housing, ex-storage)'!F352/100)/VLOOKUP($C$349,'DB animal categories'!$C$127:$AC$136,27,FALSE)*AJ352,IF(AI352=4,('Calc (ex-animal)'!$G$70*(1-'DB additional information '!$K$14/100)+'Calc (ex-animal)'!$H$70*(1-'DB additional information '!$L$14/100))*(1-VLOOKUP(D352,'DB technologies'!$N$168:$Y$180,8,FALSE)/100)*'Calc (ex-housing, ex-storage)'!F352/100*VLOOKUP(D352,'DB technologies'!$N$168:$Y$180,11,FALSE)/100/VLOOKUP($C$349,'DB animal categories'!$C$127:$AC$136,27,FALSE)*AJ352,0))))</f>
        <v/>
      </c>
      <c r="AN352" s="442" t="str">
        <f>IF(AI352="","",IF(AL352=0,0,AL352/AK352*100))</f>
        <v/>
      </c>
      <c r="AO352" s="182" t="str">
        <f>IF(D352="","",IF(AI352=2,(('Calc (ex-animal)'!$L$70*'Calc (ex-housing, ex-storage)'!F352/100+'Calc (ex-animal)'!$K$70*'Calc (ex-housing, ex-storage)'!F352/100))/VLOOKUP($C$349,'DB animal categories'!$C$127:$AC$136,27,FALSE)*AJ352+Q352+R352+S352-AC352,IF(AI352=1,('Calc (ex-animal)'!$L$70*'Calc (ex-housing, ex-storage)'!F352/100)/VLOOKUP($C$349,'DB animal categories'!$C$127:$AC$136,27,FALSE)*AJ352-'Calc (ex-housing, ex-storage)'!AC352,IF(AI352=4,('Calc (ex-animal)'!$L$70+'Calc (ex-animal)'!$K$70)*'Calc (ex-housing, ex-storage)'!F352/100*VLOOKUP(D352,'DB technologies'!$N$168:$Y$180,11,FALSE)/100/VLOOKUP($C$349,'DB animal categories'!$C$127:$AC$136,27,FALSE)*AJ352-AC352*VLOOKUP(D352,'DB technologies'!$N$168:$Y$180,11,FALSE)/100,0))))</f>
        <v/>
      </c>
      <c r="AP352" s="182" t="str">
        <f>IF(D352="","",IF(AO352&lt;-0.01,0,IF(AI352=2,(('Calc (ex-animal)'!$L$70*'Calc (ex-housing, ex-storage)'!F352/100+'Calc (ex-animal)'!$K$70*'Calc (ex-housing, ex-storage)'!F352/100))/VLOOKUP($C$349,'DB animal categories'!$C$127:$AC$136,27,FALSE)*AJ352+Q352+R352+S352-AC352,IF(AI352=1,('Calc (ex-animal)'!$L$70*'Calc (ex-housing, ex-storage)'!F352/100)/VLOOKUP($C$349,'DB animal categories'!$C$127:$AC$136,27,FALSE)*AJ352-'Calc (ex-housing, ex-storage)'!AC352,IF(AI352=4,('Calc (ex-animal)'!$L$70+'Calc (ex-animal)'!$K$70)*'Calc (ex-housing, ex-storage)'!F352/100*VLOOKUP(D352,'DB technologies'!$N$168:$Y$180,11,FALSE)/100/VLOOKUP($C$349,'DB animal categories'!$C$127:$AC$136,27,FALSE)*AJ352-AC352*VLOOKUP(D352,'DB technologies'!$N$168:$Y$180,11,FALSE)/100,0)))))</f>
        <v/>
      </c>
      <c r="AQ352" s="182" t="str">
        <f>IF(D352="","",IF(AI352=2,('Calc (ex-animal)'!$O$70*'Calc (ex-housing, ex-storage)'!F352/100+'Calc (ex-animal)'!$N$70*'Calc (ex-housing, ex-storage)'!F352/100)/VLOOKUP($C$349,'DB animal categories'!$C$127:$AC$136,27,FALSE)*AJ352+U352+V352+W352,IF(AI352=1,'Calc (ex-animal)'!$O$70*'Calc (ex-housing, ex-storage)'!F352/100/VLOOKUP($C$349,'DB animal categories'!$C$127:$AC$136,27,FALSE)*AJ352,IF(AI352=4,('Calc (ex-animal)'!$O$70+'Calc (ex-animal)'!$N$70)*'Calc (ex-housing, ex-storage)'!F352/100*VLOOKUP(D352,'DB technologies'!$N$168:$Y$180,11,FALSE)/100/VLOOKUP($C$349,'DB animal categories'!$C$127:$AC$136,27,FALSE)*AJ352,0))))</f>
        <v/>
      </c>
      <c r="AR352" s="182" t="str">
        <f>IF(D352="","",IF(AI352=2,('Calc (ex-animal)'!$R$70*'Calc (ex-housing, ex-storage)'!F352/100+'Calc (ex-animal)'!$Q$70*'Calc (ex-housing, ex-storage)'!F352/100)/VLOOKUP($C$349,'DB animal categories'!$C$127:$AC$136,27,FALSE)*AJ352+Y352+Z352+AA352,IF(AI352=1,'Calc (ex-animal)'!$R$70*'Calc (ex-housing, ex-storage)'!F352/100/VLOOKUP($C$349,'DB animal categories'!$C$127:$AC$136,27,FALSE)*AJ352,IF(AI352=4,('Calc (ex-animal)'!$R$70+'Calc (ex-animal)'!$Q$70)*'Calc (ex-housing, ex-storage)'!F352/100*VLOOKUP(D352,'DB technologies'!$N$168:$Y$180,11,FALSE)/100/VLOOKUP($C$349,'DB animal categories'!$C$127:$AC$136,27,FALSE)*AJ352,0))))</f>
        <v/>
      </c>
      <c r="AS352" s="181" t="str">
        <f>IF(D352="","",VLOOKUP(D352,'DB technologies'!$N$168:$Y$180,10,FALSE))</f>
        <v/>
      </c>
      <c r="AT352" s="442" t="str">
        <f>IF(AS352="","",AU352+AV352)</f>
        <v/>
      </c>
      <c r="AU352" s="442" t="str">
        <f>IF(D352="","",IF(AS352=2,0,IF(AS352=1,'Calc (ex-animal)'!$G$70*'DB additional information '!$K$14/100*(1-VLOOKUP(D352,'DB technologies'!$N$168:$Y$180,8,FALSE)/100)*'Calc (ex-housing, ex-storage)'!F352/100/VLOOKUP($C$349,'DB animal categories'!$C$127:$AC$136,27,FALSE)*AJ352+I352+J352+K352,IF(AS352=5,(('Calc (ex-animal)'!$G$70*'DB additional information '!$K$14/100+'Calc (ex-animal)'!$H$70*'DB additional information '!$L$14/100))*(1-VLOOKUP(D352,'DB technologies'!$N$168:$Y$180,9,FALSE)/100)*'Calc (ex-housing, ex-storage)'!F352/100/VLOOKUP($C$349,'DB animal categories'!$C$127:$AC$136,27,FALSE)*AJ352+I352+J352+K352,IF(AS352=3,('Calc (ex-animal)'!$G$70*'DB additional information '!$K$14/100+'Calc (ex-animal)'!$H$70*'DB additional information '!$L$14/100)*(1-VLOOKUP(D352,'DB technologies'!$N$168:$Y$180,9,FALSE)/100)*'Calc (ex-housing, ex-storage)'!F352/100/VLOOKUP($C$349,'DB animal categories'!$C$127:$AC$136,27,FALSE)*AJ352+I352+J352+K352,IF(AS352=4,('Calc (ex-animal)'!$G$70*'DB additional information '!$K$14/100+'Calc (ex-animal)'!$H$70*'DB additional information '!$L$14/100)*(1-VLOOKUP(D352,'DB technologies'!$N$168:$Y$180,9,FALSE)/100)*'Calc (ex-housing, ex-storage)'!F352/100*VLOOKUP(D352,'DB technologies'!$N$168:$Y$180,12,FALSE)/100/VLOOKUP($C$349,'DB animal categories'!$C$127:$AC$136,27,FALSE)*AJ352+I352+J352+K352,0))))))</f>
        <v/>
      </c>
      <c r="AV352" s="442" t="str">
        <f>IF(D352="","",IF(AS352=2,0,IF(AS352=1,'Calc (ex-animal)'!$G$70*(1-'DB additional information '!$K$14/100)*(1-VLOOKUP(D352,'DB technologies'!$N$168:$Y$180,8,FALSE)/100)*'Calc (ex-housing, ex-storage)'!F352/100/VLOOKUP($C$349,'DB animal categories'!$C$127:$AC$136,27,FALSE)*AJ352+M352+N352+O352,IF(AS352=5,('Calc (ex-animal)'!$G$70*(1-'DB additional information '!$K$14/100)+'Calc (ex-animal)'!$H$70*(1-'DB additional information '!$L$14/100))*(1-VLOOKUP(D352,'DB technologies'!$N$168:$Y$180,8,FALSE)/100)*'Calc (ex-housing, ex-storage)'!F352/100/VLOOKUP($C$349,'DB animal categories'!$C$127:$AC$136,27,FALSE)*AJ352+M352+N352+O352,IF(AS352=3,('Calc (ex-animal)'!$G$70*(1-'DB additional information '!$K$14/100)+'Calc (ex-animal)'!$H$70*(1-'DB additional information '!$L$14/100))*(1-VLOOKUP(D352,'DB technologies'!$N$168:$Y$180,8,FALSE)/100)*'Calc (ex-housing, ex-storage)'!F352/100/VLOOKUP($C$349,'DB animal categories'!$C$127:$AC$136,27,FALSE)*AJ352+M352+N352+O352,IF(AS352=4,('Calc (ex-animal)'!$G$70*(1-'DB additional information '!$K$14/100)+'Calc (ex-animal)'!$H$70*(1-'DB additional information '!$L$14/100))*(1-VLOOKUP(D352,'DB technologies'!$N$168:$Y$180,8,FALSE)/100)*'Calc (ex-housing, ex-storage)'!F352/100*VLOOKUP(D352,'DB technologies'!$N$168:$Y$180,12,FALSE)/100/VLOOKUP($C$349,'DB animal categories'!$C$127:$AC$136,27,FALSE)*AJ352+M352+N352+O352,0))))))</f>
        <v/>
      </c>
      <c r="AW352" s="442" t="str">
        <f>IF(AS352="","",IF(AU352=0,0,AU352/AT352*100))</f>
        <v/>
      </c>
      <c r="AX352" s="182" t="str">
        <f>IF(D352="","",IF(AS352=2,0,IF(AS352=1,'Calc (ex-animal)'!$K$70*'Calc (ex-housing, ex-storage)'!F352/100/VLOOKUP($C$349,'DB animal categories'!$C$127:$AC$136,27,FALSE)*AJ352+Q352+R352+S352,IF(AS352=5,('Calc (ex-animal)'!$K$70+'Calc (ex-animal)'!$L$70)*'Calc (ex-housing, ex-storage)'!F352/100/VLOOKUP($C$349,'DB animal categories'!$C$127:$AC$136,27,FALSE)*AJ352+Q352+R352+S352-'Calc (ex-housing, ex-storage)'!AC352,IF(AS352=3,('Calc (ex-animal)'!$K$70+'Calc (ex-animal)'!$L$70)*'Calc (ex-housing, ex-storage)'!F352/100/VLOOKUP($C$349,'DB animal categories'!$C$127:$AC$136,27,FALSE)*AJ352+Q352+R352+S352-'Calc (ex-housing, ex-storage)'!AC352-AD352-AE352,IF(AI352=4,('Calc (ex-animal)'!$K$70+'Calc (ex-animal)'!$L$70)*'Calc (ex-housing, ex-storage)'!F352/100*VLOOKUP(D352,'DB technologies'!$N$168:$Y$180,12,FALSE)/100/VLOOKUP($C$349,'DB animal categories'!$C$127:$AC$136,27,FALSE)*AJ352+Q352+R352+S352-(VLOOKUP(D352,'DB technologies'!$N$168:$Y$180,12,FALSE)/100*AC352)-AD352-AE352,0))))))</f>
        <v/>
      </c>
      <c r="AY352" s="182" t="str">
        <f>IF(D352="","",IF(AS352=2,0,IF(AS352=1,'Calc (ex-animal)'!$N$70*'Calc (ex-housing, ex-storage)'!F352/100/VLOOKUP($C$349,'DB animal categories'!$C$127:$AC$136,27,FALSE)*AJ352+U352+V352+W352,IF(AS352=5,('Calc (ex-animal)'!$N$70+'Calc (ex-animal)'!$O$70)*'Calc (ex-housing, ex-storage)'!F352/100/VLOOKUP($C$349,'DB animal categories'!$C$127:$AC$136,27,FALSE)*AJ352+U352+V352+W352,IF(AS352=3,('Calc (ex-animal)'!$N$70+'Calc (ex-animal)'!$O$70)*'Calc (ex-housing, ex-storage)'!F352/100/VLOOKUP($C$349,'DB animal categories'!$C$127:$AC$136,27,FALSE)*AJ352+U352+V352+W352,IF(AS352=4,('Calc (ex-animal)'!$N$70+'Calc (ex-animal)'!$O$70)*'Calc (ex-housing, ex-storage)'!F352/100*VLOOKUP(D352,'DB technologies'!$N$168:$Y$180,12,FALSE)/100/VLOOKUP($C$349,'DB animal categories'!$C$127:$AC$136,27,FALSE)*AJ352+U352+V352+W352,0))))))</f>
        <v/>
      </c>
      <c r="AZ352" s="182" t="str">
        <f>IF(D352="","",IF(AS352=2,0,IF(AS352=1,'Calc (ex-animal)'!$Q$70*'Calc (ex-housing, ex-storage)'!F352/100/VLOOKUP($C$349,'DB animal categories'!$C$127:$AC$136,27,FALSE)*AJ352+Y352+Z352+AA352,IF(AS352=5,('Calc (ex-animal)'!$Q$70+'Calc (ex-animal)'!$R$70)*'Calc (ex-housing, ex-storage)'!F352/100/VLOOKUP($C$349,'DB animal categories'!$C$127:$AC$136,27,FALSE)*AJ352+Y352+Z352+AA352,IF(AS352=3,('Calc (ex-animal)'!$Q$70+'Calc (ex-animal)'!$R$70)*'Calc (ex-housing, ex-storage)'!F352/100/VLOOKUP($C$349,'DB animal categories'!$C$127:$AC$136,27,FALSE)*AJ352+Y352+Z352+AA352,IF(AS352=4,('Calc (ex-animal)'!$Q$70+'Calc (ex-animal)'!$R$70)*'Calc (ex-housing, ex-storage)'!F352/100*VLOOKUP(D352,'DB technologies'!$N$168:$Y$180,12,FALSE)/100/VLOOKUP($C$349,'DB animal categories'!$C$127:$AC$136,27,FALSE)*AJ352+Y352+Z352+AA352,0))))))</f>
        <v/>
      </c>
      <c r="BA352" s="506"/>
      <c r="BB352" s="506"/>
      <c r="BC352" s="506"/>
    </row>
    <row r="353" spans="1:55" ht="12" thickBot="1" x14ac:dyDescent="0.25">
      <c r="A353" s="695"/>
      <c r="B353" s="695"/>
      <c r="C353" s="251"/>
      <c r="D353" s="1359"/>
      <c r="E353" s="1360"/>
      <c r="F353" s="481" t="str">
        <f>IF('Calc (ex-animal)'!$F$63=1,"",IF($C$349=0,"",IF(D353="","",E353/'Calc (ex-animal)'!$E$70*100)))</f>
        <v/>
      </c>
      <c r="G353" s="483" t="str">
        <f>IF($C$349=0,"",IF('Calc (ex-animal)'!$F$63=1,"",IF(D353="","",SUM(H353:O353))))</f>
        <v/>
      </c>
      <c r="H353" s="445" t="str">
        <f>IF('Calc (ex-animal)'!$F$63=1,"",IF(D353="","",(((VLOOKUP($C$349,'Calc (ex-animal)'!$D$68:$Y$72,6,FALSE)-VLOOKUP($C$349,'Calc (ex-animal)'!$D$68:$Y$72,17,FALSE))*F353/100))*VLOOKUP($C$349,'Calc (ex-animal)'!$D$68:$Y$72,7,FALSE)/100*(1-VLOOKUP(D353,'DB technologies'!$N$168:$Y$180,9,FALSE)/100)))</f>
        <v/>
      </c>
      <c r="I353" s="445" t="str">
        <f>IF(D353="","",((VLOOKUP(D353,'DB technologies'!$N$168:$Y$180,2,FALSE)*VLOOKUP($C$349,'DB animal categories'!$C$127:$AC$136,27,FALSE)*E353/1000)/VLOOKUP($C$349,'DB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'!$S$6/100*(1-VLOOKUP(D353,'DB technologies'!$N$168:$Y$180,9,FALSE)/100)))</f>
        <v/>
      </c>
      <c r="J353" s="446" t="str">
        <f>IF(D353="","",((VLOOKUP(D353,'DB technologies'!$N$168:$Y$180,3,FALSE)*VLOOKUP($C$349,'DB animal categories'!$C$127:$AC$136,27,FALSE)*E353/1000)/VLOOKUP($C$349,'DB animal categories'!$C$127:$AC$136,27,FALSE)*(VLOOKUP($C$349,'DB animal categories'!$C$127:$AC$136,27,FALSE)-(VLOOKUP($C$349,'DB animal categories'!$C$127:$AC$136,25,FALSE)*VLOOKUP($C$349,'DB animal categories'!$C$127:$AC$136,26,FALSE)/24))*'DB additional information '!$S$7/100*(1-VLOOKUP(D353,'DB technologies'!$N$168:$Y$180,9,FALSE)/100)))</f>
        <v/>
      </c>
      <c r="K353" s="446" t="str">
        <f>IF(D353="","",((VLOOKUP(D353,'DB technologies'!$N$168:$Y$180,4,FALSE)*E353*'DB additional information '!$S$8/100*(1-VLOOKUP(D353,'DB technologies'!$N$168:$Y$180,9,FALSE)/100))/VLOOKUP($C$349,'DB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L353" s="445" t="str">
        <f>IF('Calc (ex-animal)'!$F$63=1,"",IF(D353="","",(((VLOOKUP($C$349,'Calc (ex-animal)'!$D$68:$Y$72,6,FALSE)-VLOOKUP($C$349,'Calc (ex-animal)'!$D$68:$Y$72,17,FALSE))*F353/100))*(1-VLOOKUP($C$349,'Calc (ex-animal)'!$D$68:$Y$72,7,FALSE)/100)*(1-VLOOKUP(D353,'DB technologies'!$N$168:$V$180,8,FALSE)/100)))</f>
        <v/>
      </c>
      <c r="M353" s="446" t="str">
        <f>IF(D353="","",((VLOOKUP(D353,'DB technologies'!$N$168:$Y$180,2,FALSE)*VLOOKUP($C$349,'DB animal categories'!$C$127:$AC$136,27,FALSE)*E353/1000)/VLOOKUP($C$349,'DB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'!$S$6/100)*(1-VLOOKUP(D353,'DB technologies'!$N$168:$Y$180,9,FALSE)/100))</f>
        <v/>
      </c>
      <c r="N353" s="446" t="str">
        <f>IF(D353="","",((VLOOKUP(D353,'DB technologies'!$N$168:$Y$180,3,FALSE)*VLOOKUP($C$349,'DB animal categories'!$C$127:$AC$136,27,FALSE)*E353/1000)/VLOOKUP($C$349,'DB animal categories'!$C$127:$AC$136,27,FALSE)*(VLOOKUP($C$349,'DB animal categories'!$C$127:$AC$136,27,FALSE)-VLOOKUP($C$349,'DB animal categories'!$C$127:$AC$136,25,FALSE)*VLOOKUP($C$349,'DB animal categories'!$C$127:$AC$136,26,FALSE)/24))*(1-'DB additional information '!$S$7/100)*(1-VLOOKUP(D353,'DB technologies'!$N$168:$Y$180,9,FALSE)/100))</f>
        <v/>
      </c>
      <c r="O353" s="445" t="str">
        <f>IF(D353="","",((VLOOKUP(D353,'DB technologies'!$N$168:$Y$180,4,FALSE)*E353*(1-'DB additional information '!$S$8/100)*(1-VLOOKUP(D353,'DB technologies'!$N$168:$Y$180,8,FALSE)/100))/VLOOKUP($C$349,'DB animal categories'!$C$127:$AC$136,27,FALSE)*(VLOOKUP($C$349,'DB animal categories'!$C$127:$AC$136,27,FALSE)-VLOOKUP($C$349,'DB animal categories'!$C$127:$AC$136,25,FALSE)*VLOOKUP($C$349,'DB animal categories'!$C$127:$AC$136,26,FALSE)/24)))</f>
        <v/>
      </c>
      <c r="P353" s="444" t="str">
        <f>IF(G353=0,0,IF(E353="","",IF(F353="","",IF($C$349=0,"",IF(D353="","",SUM(H353:K353)/G353*100)))))</f>
        <v/>
      </c>
      <c r="Q353" s="476" t="str">
        <f>IF(D353="","",(VLOOKUP(D353,'DB technologies'!$N$168:$Y$180,2,FALSE)*'DB additional information '!$S$6/100*'DB additional information '!$T$6*VLOOKUP($C$349,'DB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R353" s="476" t="str">
        <f>IF(D353="","",(VLOOKUP(D353,'DB technologies'!$N$168:$Y$180,3,FALSE)*'DB additional information '!$S$7/100*'DB additional information '!$T$7*VLOOKUP($C$349,'DB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S353" s="494" t="str">
        <f>IF(D353="","",(VLOOKUP(D353,'DB technologies'!$N$168:$Y$180,4,FALSE)*('DB additional information '!$S$8/100*'DB additional information '!$T$8*E353/1000/1000)))</f>
        <v/>
      </c>
      <c r="T353" s="266" t="str">
        <f>IF($C$349=0,"",IF('Calc (ex-animal)'!$F$63=1,"",IF(D353="","",((VLOOKUP($C$349,'Calc (ex-animal)'!$D$68:$Y$72,10,FALSE)-VLOOKUP($C$349,'Calc (ex-animal)'!$D$68:$Y$72,18,FALSE))*F353/100+Q353+R353+S353)-AC353-AD353-AE353)))</f>
        <v/>
      </c>
      <c r="U353" s="477" t="str">
        <f>IF(D353="","",(VLOOKUP(D353,'DB technologies'!$N$168:$Y$180,2,FALSE)*'DB additional information '!$S$6/100*'DB additional information '!$U$6*VLOOKUP($C$349,'DB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V353" s="433" t="str">
        <f>IF(D353="","",(VLOOKUP(D353,'DB technologies'!$N$168:$Y$180,3,FALSE)*'DB additional information '!$S$7/100*'DB additional information '!$U$7*VLOOKUP($C$349,'DB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W353" s="475" t="str">
        <f>IF(D353="","",(VLOOKUP(D353,'DB technologies'!$N$168:$Y$180,4,FALSE)*('DB additional information '!$S$8/100*'DB additional information '!$U$8*E353/1000/1000)))</f>
        <v/>
      </c>
      <c r="X353" s="267" t="str">
        <f>IF($C$349=0,"",IF('Calc (ex-animal)'!$F$63=1,"",IF(D353="","",((VLOOKUP($C$349,'Calc (ex-animal)'!$D$68:$Y$72,13,FALSE)-VLOOKUP($C$349,'Calc (ex-animal)'!$D$68:$Y$72,19,FALSE))*F353/100+U353+V353+W353))))</f>
        <v/>
      </c>
      <c r="Y353" s="433" t="str">
        <f>IF(D353="","",(VLOOKUP(D353,'DB technologies'!$N$168:$Y$180,2,FALSE)*'DB additional information '!$S$6/100*'DB additional information '!$V$6*VLOOKUP($C$349,'DB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Z353" s="433" t="str">
        <f>IF(D353="","",(VLOOKUP(D353,'DB technologies'!$N$168:$Y$180,3,FALSE)*'DB additional information '!$S$7/100*'DB additional information '!$V$7*VLOOKUP($C$349,'DB animal categories'!$C$127:$AC$136,27,FALSE)*E353/1000/1000)/VLOOKUP($C$349,'DB animal categories'!$C$127:$AC$136,27,FALSE)*(VLOOKUP($C$349,'DB animal categories'!$C$127:$AC$136,27,FALSE)-VLOOKUP($C$349,'DB animal categories'!$C$127:$AC$136,25,FALSE)*VLOOKUP($C$349,'DB animal categories'!$C$127:$AC$136,26,FALSE)/24))</f>
        <v/>
      </c>
      <c r="AA353" s="433" t="str">
        <f>IF(D353="","",(VLOOKUP(D353,'DB technologies'!$N$168:$Y$180,4,FALSE)*('DB additional information '!$S$8/100*'DB additional information '!$V$8*E353/1000/1000)))</f>
        <v/>
      </c>
      <c r="AB353" s="267" t="str">
        <f>IF($C$349=0,"",IF('Calc (ex-animal)'!$F$63=1,"",IF(D353="","",((VLOOKUP($C$349,'Calc (ex-animal)'!$D$68:$Y$72,16,FALSE)-VLOOKUP($C$349,'Calc (ex-animal)'!$D$68:$Y$72,20,FALSE))*F353/100+Y353+Z353+AA353))))</f>
        <v/>
      </c>
      <c r="AC353" s="267" t="str">
        <f>IF($C$349=0,"",IF('Calc (ex-animal)'!$F$63=1,"",IF(D353="","",VLOOKUP($C$349,'Calc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categories'!$C$127:$AC$136,26,FALSE)/24)*F353/100*VLOOKUP(D353,'DB technologies'!$N$168:$R$180,5,FALSE)/100)))</f>
        <v/>
      </c>
      <c r="AD353" s="267" t="str">
        <f>IF($C$349=0,"",IF('Calc (ex-animal)'!$F$63=1,"",IF(D353="","",VLOOKUP($C$349,'Calc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categories'!$C$127:$AC$136,26,FALSE)/24)*F353/100*VLOOKUP(D353,'DB technologies'!$N$168:$Y$180,6,FALSE)/100)))</f>
        <v/>
      </c>
      <c r="AE353" s="268" t="str">
        <f>IF($C$349=0,"",IF('Calc (ex-animal)'!$F$63=1,"",IF(D353="","",VLOOKUP($C$349,'Calc (ex-animal)'!$D$68:$Y$72,10,FALSE)/VLOOKUP($C$349,'DB animal categories'!$C$127:$AC$136,27,FALSE)*(VLOOKUP($C$349,'DB animal categories'!$C$127:$AC$136,27,FALSE)-VLOOKUP($C$349,'DB animal categories'!$C$127:$AC$136,25,FALSE)*VLOOKUP($C$349,'DB animal categories'!$C$127:$AC$136,26,FALSE)/24)*F353/100*VLOOKUP(D353,'DB technologies'!$N$168:$Y$180,7,FALSE)/100)))</f>
        <v/>
      </c>
      <c r="AI353" s="183" t="str">
        <f>IF(D353="","",VLOOKUP(D353,'DB technologies'!$N$168:$Y$180,10,FALSE))</f>
        <v/>
      </c>
      <c r="AJ353" s="451" t="e">
        <f>VLOOKUP($C$349,'DB animal categories'!$C$127:$AN$136,27,FALSE)-VLOOKUP($C$349,'DB animal categories'!$C$127:$AN$136,26,FALSE)*VLOOKUP($C$349,'DB animal categories'!$C$127:$AN$136,25,FALSE)/24</f>
        <v>#N/A</v>
      </c>
      <c r="AK353" s="452" t="str">
        <f>IF(AI353="","",AL353+AM353)</f>
        <v/>
      </c>
      <c r="AL353" s="452" t="str">
        <f>IF(D353="","",IF(AI353=2,(('Calc (ex-animal)'!$G$70*'DB additional information '!$K$14/100*(1-VLOOKUP(D353,'DB technologies'!$N$168:$Y$180,9,FALSE)/100)*'Calc (ex-housing, ex-storage)'!F353/100+'Calc (ex-animal)'!$H$70*'DB additional information '!$L$14/100*(1-VLOOKUP(D353,'DB technologies'!$N$168:$Y$180,9,FALSE)/100)*'Calc (ex-housing, ex-storage)'!F353/100))/VLOOKUP($C$349,'DB animal categories'!$C$127:$AC$136,27,FALSE)*AJ353+I353+J353+K353,IF(AI353=1,('Calc (ex-animal)'!$H$70*'DB additional information '!$L$14/100*(1-VLOOKUP(D353,'DB technologies'!$N$168:$Y$180,9,FALSE)/100)*'Calc (ex-housing, ex-storage)'!F353/100)/VLOOKUP($C$349,'DB animal categories'!$C$127:$AC$136,27,FALSE)*AJ353,IF(AI353=4,('Calc (ex-animal)'!$G$70*'DB additional information '!$K$14/100+'Calc (ex-animal)'!$H$70*'DB additional information '!$L$14/100)*(1-VLOOKUP(D353,'DB technologies'!$N$168:$Y$180,9,FALSE)/100)*'Calc (ex-housing, ex-storage)'!F353/100*VLOOKUP(D353,'DB technologies'!$N$168:$Y$180,11,FALSE)/100/VLOOKUP($C$349,'DB animal categories'!$C$127:$AC$136,27,FALSE)*AJ353,0))))</f>
        <v/>
      </c>
      <c r="AM353" s="452" t="str">
        <f>IF(D353="","",IF(AI353=2,(('Calc (ex-animal)'!$G$70*(1-'DB additional information '!$K$14/100)*(1-VLOOKUP(D353,'DB technologies'!$N$168:$Y$180,8,FALSE)/100)*'Calc (ex-housing, ex-storage)'!F353/100+'Calc (ex-animal)'!$H$70*(1-'DB additional information '!$L$14/100)*(1-VLOOKUP(D353,'DB technologies'!$N$168:$Y$180,8,FALSE)/100)*'Calc (ex-housing, ex-storage)'!F353/100))/VLOOKUP($C$349,'DB animal categories'!$C$127:$AC$136,27,FALSE)*AJ353+M353+N353+O353,IF(AI353=1,('Calc (ex-animal)'!$H$70*(1-'DB additional information '!$L$14/100)*(1-VLOOKUP(D353,'DB technologies'!$N$168:$Y$180,8,FALSE)/100)*'Calc (ex-housing, ex-storage)'!F353/100)/VLOOKUP($C$349,'DB animal categories'!$C$127:$AC$136,27,FALSE)*AJ353,IF(AI353=4,('Calc (ex-animal)'!$G$70*(1-'DB additional information '!$K$14/100)+'Calc (ex-animal)'!$H$70*(1-'DB additional information '!$L$14/100))*(1-VLOOKUP(D353,'DB technologies'!$N$168:$Y$180,8,FALSE)/100)*'Calc (ex-housing, ex-storage)'!F353/100*VLOOKUP(D353,'DB technologies'!$N$168:$Y$180,11,FALSE)/100/VLOOKUP($C$349,'DB animal categories'!$C$127:$AC$136,27,FALSE)*AJ353,0))))</f>
        <v/>
      </c>
      <c r="AN353" s="452" t="str">
        <f>IF(AI353="","",IF(AL353=0,0,AL353/AK353*100))</f>
        <v/>
      </c>
      <c r="AO353" s="184" t="str">
        <f>IF(D353="","",IF(AI353=2,(('Calc (ex-animal)'!$L$70*'Calc (ex-housing, ex-storage)'!F353/100+'Calc (ex-animal)'!$K$70*'Calc (ex-housing, ex-storage)'!F353/100))/VLOOKUP($C$349,'DB animal categories'!$C$127:$AC$136,27,FALSE)*AJ353+Q353+R353+S353-AC353,IF(AI353=1,('Calc (ex-animal)'!$L$70*'Calc (ex-housing, ex-storage)'!F353/100)/VLOOKUP($C$349,'DB animal categories'!$C$127:$AC$136,27,FALSE)*AJ353-'Calc (ex-housing, ex-storage)'!AC353,IF(AI353=4,('Calc (ex-animal)'!$L$70+'Calc (ex-animal)'!$K$70)*'Calc (ex-housing, ex-storage)'!F353/100*VLOOKUP(D353,'DB technologies'!$N$168:$Y$180,11,FALSE)/100/VLOOKUP($C$349,'DB animal categories'!$C$127:$AC$136,27,FALSE)*AJ353-AC353*VLOOKUP(D353,'DB technologies'!$N$168:$Y$180,11,FALSE)/100,0))))</f>
        <v/>
      </c>
      <c r="AP353" s="184" t="str">
        <f>IF(D353="","",IF(AO353&lt;-0.01,0,IF(AI353=2,(('Calc (ex-animal)'!$L$70*'Calc (ex-housing, ex-storage)'!F353/100+'Calc (ex-animal)'!$K$70*'Calc (ex-housing, ex-storage)'!F353/100))/VLOOKUP($C$349,'DB animal categories'!$C$127:$AC$136,27,FALSE)*AJ353+Q353+R353+S353-AC353,IF(AI353=1,('Calc (ex-animal)'!$L$70*'Calc (ex-housing, ex-storage)'!F353/100)/VLOOKUP($C$349,'DB animal categories'!$C$127:$AC$136,27,FALSE)*AJ353-'Calc (ex-housing, ex-storage)'!AC353,IF(AI353=4,('Calc (ex-animal)'!$L$70+'Calc (ex-animal)'!$K$70)*'Calc (ex-housing, ex-storage)'!F353/100*VLOOKUP(D353,'DB technologies'!$N$168:$Y$180,11,FALSE)/100/VLOOKUP($C$349,'DB animal categories'!$C$127:$AC$136,27,FALSE)*AJ353-AC353*VLOOKUP(D353,'DB technologies'!$N$168:$Y$180,11,FALSE)/100,0)))))</f>
        <v/>
      </c>
      <c r="AQ353" s="184" t="str">
        <f>IF(D353="","",IF(AI353=2,('Calc (ex-animal)'!$O$70*'Calc (ex-housing, ex-storage)'!F353/100+'Calc (ex-animal)'!$N$70*'Calc (ex-housing, ex-storage)'!F353/100)/VLOOKUP($C$349,'DB animal categories'!$C$127:$AC$136,27,FALSE)*AJ353+U353+V353+W353,IF(AI353=1,'Calc (ex-animal)'!$O$70*'Calc (ex-housing, ex-storage)'!F353/100/VLOOKUP($C$349,'DB animal categories'!$C$127:$AC$136,27,FALSE)*AJ353,IF(AI353=4,('Calc (ex-animal)'!$O$70+'Calc (ex-animal)'!$N$70)*'Calc (ex-housing, ex-storage)'!F353/100*VLOOKUP(D353,'DB technologies'!$N$168:$Y$180,11,FALSE)/100/VLOOKUP($C$349,'DB animal categories'!$C$127:$AC$136,27,FALSE)*AJ353,0))))</f>
        <v/>
      </c>
      <c r="AR353" s="184" t="str">
        <f>IF(D353="","",IF(AI353=2,('Calc (ex-animal)'!$R$70*'Calc (ex-housing, ex-storage)'!F353/100+'Calc (ex-animal)'!$Q$70*'Calc (ex-housing, ex-storage)'!F353/100)/VLOOKUP($C$349,'DB animal categories'!$C$127:$AC$136,27,FALSE)*AJ353+Y353+Z353+AA353,IF(AI353=1,'Calc (ex-animal)'!$R$70*'Calc (ex-housing, ex-storage)'!F353/100/VLOOKUP($C$349,'DB animal categories'!$C$127:$AC$136,27,FALSE)*AJ353,IF(AI353=4,('Calc (ex-animal)'!$R$70+'Calc (ex-animal)'!$Q$70)*'Calc (ex-housing, ex-storage)'!F353/100*VLOOKUP(D353,'DB technologies'!$N$168:$Y$180,11,FALSE)/100/VLOOKUP($C$349,'DB animal categories'!$C$127:$AC$136,27,FALSE)*AJ353,0))))</f>
        <v/>
      </c>
      <c r="AS353" s="183" t="str">
        <f>IF(D353="","",VLOOKUP(D353,'DB technologies'!$N$168:$Y$180,10,FALSE))</f>
        <v/>
      </c>
      <c r="AT353" s="452" t="str">
        <f>IF(AS353="","",AU353+AV353)</f>
        <v/>
      </c>
      <c r="AU353" s="452" t="str">
        <f>IF(D353="","",IF(AS353=2,0,IF(AS353=1,'Calc (ex-animal)'!$G$70*'DB additional information '!$K$14/100*(1-VLOOKUP(D353,'DB technologies'!$N$168:$Y$180,8,FALSE)/100)*'Calc (ex-housing, ex-storage)'!F353/100/VLOOKUP($C$349,'DB animal categories'!$C$127:$AC$136,27,FALSE)*AJ353+I353+J353+K353,IF(AS353=5,(('Calc (ex-animal)'!$G$70*'DB additional information '!$K$14/100+'Calc (ex-animal)'!$H$70*'DB additional information '!$L$14/100))*(1-VLOOKUP(D353,'DB technologies'!$N$168:$Y$180,9,FALSE)/100)*'Calc (ex-housing, ex-storage)'!F353/100/VLOOKUP($C$349,'DB animal categories'!$C$127:$AC$136,27,FALSE)*AJ353+I353+J353+K353,IF(AS353=3,('Calc (ex-animal)'!$G$70*'DB additional information '!$K$14/100+'Calc (ex-animal)'!$H$70*'DB additional information '!$L$14/100)*(1-VLOOKUP(D353,'DB technologies'!$N$168:$Y$180,9,FALSE)/100)*'Calc (ex-housing, ex-storage)'!F353/100/VLOOKUP($C$349,'DB animal categories'!$C$127:$AC$136,27,FALSE)*AJ353+I353+J353+K353,IF(AS353=4,('Calc (ex-animal)'!$G$70*'DB additional information '!$K$14/100+'Calc (ex-animal)'!$H$70*'DB additional information '!$L$14/100)*(1-VLOOKUP(D353,'DB technologies'!$N$168:$Y$180,9,FALSE)/100)*'Calc (ex-housing, ex-storage)'!F353/100*VLOOKUP(D353,'DB technologies'!$N$168:$Y$180,12,FALSE)/100/VLOOKUP($C$349,'DB animal categories'!$C$127:$AC$136,27,FALSE)*AJ353+I353+J353+K353,0))))))</f>
        <v/>
      </c>
      <c r="AV353" s="452" t="str">
        <f>IF(D353="","",IF(AS353=2,0,IF(AS353=1,'Calc (ex-animal)'!$G$70*(1-'DB additional information '!$K$14/100)*(1-VLOOKUP(D353,'DB technologies'!$N$168:$Y$180,8,FALSE)/100)*'Calc (ex-housing, ex-storage)'!F353/100/VLOOKUP($C$349,'DB animal categories'!$C$127:$AC$136,27,FALSE)*AJ353+M353+N353+O353,IF(AS353=5,('Calc (ex-animal)'!$G$70*(1-'DB additional information '!$K$14/100)+'Calc (ex-animal)'!$H$70*(1-'DB additional information '!$L$14/100))*(1-VLOOKUP(D353,'DB technologies'!$N$168:$Y$180,8,FALSE)/100)*'Calc (ex-housing, ex-storage)'!F353/100/VLOOKUP($C$349,'DB animal categories'!$C$127:$AC$136,27,FALSE)*AJ353+M353+N353+O353,IF(AS353=3,('Calc (ex-animal)'!$G$70*(1-'DB additional information '!$K$14/100)+'Calc (ex-animal)'!$H$70*(1-'DB additional information '!$L$14/100))*(1-VLOOKUP(D353,'DB technologies'!$N$168:$Y$180,8,FALSE)/100)*'Calc (ex-housing, ex-storage)'!F353/100/VLOOKUP($C$349,'DB animal categories'!$C$127:$AC$136,27,FALSE)*AJ353+M353+N353+O353,IF(AS353=4,('Calc (ex-animal)'!$G$70*(1-'DB additional information '!$K$14/100)+'Calc (ex-animal)'!$H$70*(1-'DB additional information '!$L$14/100))*(1-VLOOKUP(D353,'DB technologies'!$N$168:$Y$180,8,FALSE)/100)*'Calc (ex-housing, ex-storage)'!F353/100*VLOOKUP(D353,'DB technologies'!$N$168:$Y$180,12,FALSE)/100/VLOOKUP($C$349,'DB animal categories'!$C$127:$AC$136,27,FALSE)*AJ353+M353+N353+O353,0))))))</f>
        <v/>
      </c>
      <c r="AW353" s="452" t="str">
        <f>IF(AS353="","",IF(AU353=0,0,AU353/AT353*100))</f>
        <v/>
      </c>
      <c r="AX353" s="184" t="str">
        <f>IF(D353="","",IF(AS353=2,0,IF(AS353=1,'Calc (ex-animal)'!$K$70*'Calc (ex-housing, ex-storage)'!F353/100/VLOOKUP($C$349,'DB animal categories'!$C$127:$AC$136,27,FALSE)*AJ353+Q353+R353+S353,IF(AS353=5,('Calc (ex-animal)'!$K$70+'Calc (ex-animal)'!$L$70)*'Calc (ex-housing, ex-storage)'!F353/100/VLOOKUP($C$349,'DB animal categories'!$C$127:$AC$136,27,FALSE)*AJ353+Q353+R353+S353-'Calc (ex-housing, ex-storage)'!AC353,IF(AS353=3,('Calc (ex-animal)'!$K$70+'Calc (ex-animal)'!$L$70)*'Calc (ex-housing, ex-storage)'!F353/100/VLOOKUP($C$349,'DB animal categories'!$C$127:$AC$136,27,FALSE)*AJ353+Q353+R353+S353-'Calc (ex-housing, ex-storage)'!AC353-AD353-AE353,IF(AI353=4,('Calc (ex-animal)'!$K$70+'Calc (ex-animal)'!$L$70)*'Calc (ex-housing, ex-storage)'!F353/100*VLOOKUP(D353,'DB technologies'!$N$168:$Y$180,12,FALSE)/100/VLOOKUP($C$349,'DB animal categories'!$C$127:$AC$136,27,FALSE)*AJ353+Q353+R353+S353-(VLOOKUP(D353,'DB technologies'!$N$168:$Y$180,12,FALSE)/100*AC353)-AD353-AE353,0))))))</f>
        <v/>
      </c>
      <c r="AY353" s="184" t="str">
        <f>IF(D353="","",IF(AS353=2,0,IF(AS353=1,'Calc (ex-animal)'!$N$70*'Calc (ex-housing, ex-storage)'!F353/100/VLOOKUP($C$349,'DB animal categories'!$C$127:$AC$136,27,FALSE)*AJ353+U353+V353+W353,IF(AS353=5,('Calc (ex-animal)'!$N$70+'Calc (ex-animal)'!$O$70)*'Calc (ex-housing, ex-storage)'!F353/100/VLOOKUP($C$349,'DB animal categories'!$C$127:$AC$136,27,FALSE)*AJ353+U353+V353+W353,IF(AS353=3,('Calc (ex-animal)'!$N$70+'Calc (ex-animal)'!$O$70)*'Calc (ex-housing, ex-storage)'!F353/100/VLOOKUP($C$349,'DB animal categories'!$C$127:$AC$136,27,FALSE)*AJ353+U353+V353+W353,IF(AS353=4,('Calc (ex-animal)'!$N$70+'Calc (ex-animal)'!$O$70)*'Calc (ex-housing, ex-storage)'!F353/100*VLOOKUP(D353,'DB technologies'!$N$168:$Y$180,12,FALSE)/100/VLOOKUP($C$349,'DB animal categories'!$C$127:$AC$136,27,FALSE)*AJ353+U353+V353+W353,0))))))</f>
        <v/>
      </c>
      <c r="AZ353" s="184" t="str">
        <f>IF(D353="","",IF(AS353=2,0,IF(AS353=1,'Calc (ex-animal)'!$Q$70*'Calc (ex-housing, ex-storage)'!F353/100/VLOOKUP($C$349,'DB animal categories'!$C$127:$AC$136,27,FALSE)*AJ353+Y353+Z353+AA353,IF(AS353=5,('Calc (ex-animal)'!$Q$70+'Calc (ex-animal)'!$R$70)*'Calc (ex-housing, ex-storage)'!F353/100/VLOOKUP($C$349,'DB animal categories'!$C$127:$AC$136,27,FALSE)*AJ353+Y353+Z353+AA353,IF(AS353=3,('Calc (ex-animal)'!$Q$70+'Calc (ex-animal)'!$R$70)*'Calc (ex-housing, ex-storage)'!F353/100/VLOOKUP($C$349,'DB animal categories'!$C$127:$AC$136,27,FALSE)*AJ353+Y353+Z353+AA353,IF(AS353=4,('Calc (ex-animal)'!$Q$70+'Calc (ex-animal)'!$R$70)*'Calc (ex-housing, ex-storage)'!F353/100*VLOOKUP(D353,'DB technologies'!$N$168:$Y$180,12,FALSE)/100/VLOOKUP($C$349,'DB animal categories'!$C$127:$AC$136,27,FALSE)*AJ353+Y353+Z353+AA353,0))))))</f>
        <v/>
      </c>
      <c r="BA353" s="506"/>
      <c r="BB353" s="506"/>
      <c r="BC353" s="506"/>
    </row>
    <row r="354" spans="1:55" ht="12" thickBot="1" x14ac:dyDescent="0.25">
      <c r="A354" s="695"/>
      <c r="B354" s="695"/>
      <c r="C354" s="252"/>
      <c r="D354" s="269" t="s">
        <v>58</v>
      </c>
      <c r="E354" s="270">
        <f>IF(F354&lt;=100,SUM(E349:E353),"ERROR")</f>
        <v>0</v>
      </c>
      <c r="F354" s="284">
        <f>IF(SUM(F349:F353) &lt;=100,SUM(F349:F353),"ERROR, SUM&gt;100%")</f>
        <v>0</v>
      </c>
      <c r="G354" s="550">
        <f>IF('Calc (ex-animal)'!$F$63=1,"",SUM(G349:G353))</f>
        <v>0</v>
      </c>
      <c r="H354" s="418">
        <f>IF('Calc (ex-animal)'!$F$8=1,"",SUM(H349:H353))</f>
        <v>0</v>
      </c>
      <c r="I354" s="418">
        <f>IF('Calc (ex-animal)'!$F$8=1,"",SUM(I349:I353))</f>
        <v>0</v>
      </c>
      <c r="J354" s="418">
        <f>IF('Calc (ex-animal)'!$F$8=1,"",SUM(J349:J353))</f>
        <v>0</v>
      </c>
      <c r="K354" s="418">
        <f>IF('Calc (ex-animal)'!$F$8=1,"",SUM(K349:K353))</f>
        <v>0</v>
      </c>
      <c r="L354" s="418">
        <f>IF('Calc (ex-animal)'!$F$8=1,"",SUM(L349:L353))</f>
        <v>0</v>
      </c>
      <c r="M354" s="551"/>
      <c r="N354" s="551"/>
      <c r="O354" s="551"/>
      <c r="P354" s="552">
        <f>IF(G354=0,0,IF('Calc (ex-animal)'!$F$63=1,"",IF(D354="","",SUM(H354:K354)/G354*100)))</f>
        <v>0</v>
      </c>
      <c r="Q354" s="394"/>
      <c r="R354" s="394"/>
      <c r="S354" s="394"/>
      <c r="T354" s="285">
        <f>IF('Calc (ex-animal)'!$F$70=1,"",SUM(T349:T353))</f>
        <v>0</v>
      </c>
      <c r="U354" s="286"/>
      <c r="V354" s="286"/>
      <c r="W354" s="286"/>
      <c r="X354" s="286">
        <f>IF('Calc (ex-animal)'!$F$70=1,"",SUM(X349:X353))</f>
        <v>0</v>
      </c>
      <c r="Y354" s="286"/>
      <c r="Z354" s="286"/>
      <c r="AA354" s="286"/>
      <c r="AB354" s="286">
        <f>IF('Calc (ex-animal)'!$F$70=1,"",SUM(AB349:AB353))</f>
        <v>0</v>
      </c>
      <c r="AC354" s="286">
        <f>IF('Calc (ex-animal)'!$F$70=1,"",SUM(AC349:AC353))</f>
        <v>0</v>
      </c>
      <c r="AD354" s="286">
        <f>IF('Calc (ex-animal)'!$F$70=1,"",SUM(AD349:AD353))</f>
        <v>0</v>
      </c>
      <c r="AE354" s="287">
        <f>IF('Calc (ex-animal)'!$F$70=1,"",SUM(AE349:AE353))</f>
        <v>0</v>
      </c>
    </row>
    <row r="355" spans="1:55" x14ac:dyDescent="0.2">
      <c r="A355" s="695"/>
      <c r="B355" s="695"/>
      <c r="C355" s="250">
        <f>'Calc (ex-animal)'!D71</f>
        <v>0</v>
      </c>
      <c r="D355" s="1355"/>
      <c r="E355" s="1356"/>
      <c r="F355" s="479" t="str">
        <f>IF('Calc (ex-animal)'!$F$63=1,"",IF($C$355=0,"",IF(D355="","",E355/'Calc (ex-animal)'!$E$71*100)))</f>
        <v/>
      </c>
      <c r="G355" s="484" t="str">
        <f>IF($C$355=0,"",IF('Calc (ex-animal)'!$F$63=1,"",IF(D355="","",SUM(H355:O355))))</f>
        <v/>
      </c>
      <c r="H355" s="471" t="str">
        <f>IF('Calc (ex-animal)'!$F$63=1,"",IF(D355="","",(((VLOOKUP($C$355,'Calc (ex-animal)'!$D$68:$Y$72,6,FALSE)-VLOOKUP($C$355,'Calc (ex-animal)'!$D$68:$Y$72,17,FALSE))*F355/100))*VLOOKUP($C$355,'Calc (ex-animal)'!$D$68:$Y$72,7,FALSE)/100*(1-VLOOKUP(D355,'DB technologies'!$N$168:$Y$180,9,FALSE)/100)))</f>
        <v/>
      </c>
      <c r="I355" s="471" t="str">
        <f>IF(D355="","",((VLOOKUP(D355,'DB technologies'!$N$168:$Y$180,2,FALSE)*VLOOKUP($C$355,'DB animal categories'!$C$127:$AC$136,27,FALSE)*E355/1000)/VLOOKUP($C$355,'DB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'!$S$6/100*(1-VLOOKUP(D355,'DB technologies'!$N$168:$Y$180,9,FALSE)/100)))</f>
        <v/>
      </c>
      <c r="J355" s="472" t="str">
        <f>IF(D355="","",((VLOOKUP(D355,'DB technologies'!$N$168:$Y$180,3,FALSE)*VLOOKUP($C$355,'DB animal categories'!$C$127:$AC$136,27,FALSE)*E355/1000)/VLOOKUP($C$355,'DB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'!$S$7/100*(1-VLOOKUP(D355,'DB technologies'!$N$168:$Y$180,9,FALSE)/100)))</f>
        <v/>
      </c>
      <c r="K355" s="472" t="str">
        <f>IF(D355="","",((VLOOKUP(D355,'DB technologies'!$N$168:$Y$180,4,FALSE)*E355*'DB additional information '!$S$8/100*(1-VLOOKUP(D355,'DB technologies'!$N$168:$Y$180,9,FALSE)/100))/VLOOKUP($C$355,'DB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L355" s="471" t="str">
        <f>IF('Calc (ex-animal)'!$F$63=1,"",IF(D355="","",(((VLOOKUP($C$355,'Calc (ex-animal)'!$D$68:$Y$72,6,FALSE)-VLOOKUP($C$355,'Calc (ex-animal)'!$D$68:$Y$72,17,FALSE))*F355/100))*(1-VLOOKUP($C$355,'Calc (ex-animal)'!$D$68:$Y$72,7,FALSE)/100)*(1-VLOOKUP(D355,'DB technologies'!$N$168:$V$180,8,FALSE)/100)))</f>
        <v/>
      </c>
      <c r="M355" s="472" t="str">
        <f>IF(D355="","",((VLOOKUP(D355,'DB technologies'!$N$168:$Y$180,2,FALSE)*VLOOKUP($C$355,'DB animal categories'!$C$127:$AC$136,27,FALSE)*E355/1000)/VLOOKUP($C$355,'DB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'!$S$6/100)*(1-VLOOKUP(D355,'DB technologies'!$N$168:$Y$180,9,FALSE)/100))</f>
        <v/>
      </c>
      <c r="N355" s="472" t="str">
        <f>IF(D355="","",((VLOOKUP(D355,'DB technologies'!$N$168:$Y$180,3,FALSE)*VLOOKUP($C$355,'DB animal categories'!$C$127:$AC$136,27,FALSE)*E355/1000)/VLOOKUP($C$355,'DB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'!$S$7/100)*(1-VLOOKUP(D355,'DB technologies'!$N$168:$Y$180,9,FALSE)/100))</f>
        <v/>
      </c>
      <c r="O355" s="471" t="str">
        <f>IF(D355="","",((VLOOKUP(D355,'DB technologies'!$N$168:$Y$180,4,FALSE)*E355*(1-'DB additional information '!$S$8/100)*(1-VLOOKUP(D355,'DB technologies'!$N$168:$Y$180,8,FALSE)/100))/VLOOKUP($C$355,'DB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P355" s="443" t="str">
        <f>IF(G355=0,0,IF(E355="","",IF(F355="","",IF($C$355=0,"",IF(D355="","",SUM(H355:K355)/G355*100)))))</f>
        <v/>
      </c>
      <c r="Q355" s="473" t="str">
        <f>IF(D355="","",(VLOOKUP(D355,'DB technologies'!$N$168:$Y$180,2,FALSE)*'DB additional information '!$S$6/100*'DB additional information '!$T$6*VLOOKUP($C$355,'DB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R355" s="473" t="str">
        <f>IF(D355="","",(VLOOKUP(D355,'DB technologies'!$N$168:$Y$180,3,FALSE)*'DB additional information '!$S$7/100*'DB additional information '!$T$7*VLOOKUP($C$355,'DB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S355" s="490" t="str">
        <f>IF(D355="","",(VLOOKUP(D355,'DB technologies'!$N$168:$Y$180,4,FALSE)*('DB additional information '!$S$8/100*'DB additional information '!$T$8*E355/1000/1000)))</f>
        <v/>
      </c>
      <c r="T355" s="263" t="str">
        <f>IF($C$355=0,"",IF('Calc (ex-animal)'!$F$63=1,"",IF(D355="","",((VLOOKUP($C$355,'Calc (ex-animal)'!$D$68:$Y$72,10,FALSE)-VLOOKUP($C$355,'Calc (ex-animal)'!$D$68:$Y$72,18,FALSE))*F355/100+Q355+R355+S355)-AC355-AD355-AE355)))</f>
        <v/>
      </c>
      <c r="U355" s="474" t="str">
        <f>IF(D355="","",(VLOOKUP(D355,'DB technologies'!$N$168:$Y$180,2,FALSE)*'DB additional information '!$S$6/100*'DB additional information '!$U$6*VLOOKUP($C$355,'DB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V355" s="420" t="str">
        <f>IF(D355="","",(VLOOKUP(D355,'DB technologies'!$N$168:$Y$180,3,FALSE)*'DB additional information '!$S$7/100*'DB additional information '!$U$7*VLOOKUP($C$355,'DB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W355" s="415" t="str">
        <f>IF(D355="","",(VLOOKUP(D355,'DB technologies'!$N$168:$Y$180,4,FALSE)*('DB additional information '!$S$8/100*'DB additional information '!$U$8*E355/1000/1000)))</f>
        <v/>
      </c>
      <c r="X355" s="259" t="str">
        <f>IF($C$355=0,"",IF('Calc (ex-animal)'!$F$63=1,"",IF(D355="","",((VLOOKUP($C$355,'Calc (ex-animal)'!$D$68:$Y$72,13,FALSE)-VLOOKUP($C$355,'Calc (ex-animal)'!$D$68:$Y$72,19,FALSE))*F355/100+U355+V355+W355))))</f>
        <v/>
      </c>
      <c r="Y355" s="420" t="str">
        <f>IF(D355="","",(VLOOKUP(D355,'DB technologies'!$N$168:$Y$180,2,FALSE)*'DB additional information '!$S$6/100*'DB additional information '!$V$6*VLOOKUP($C$355,'DB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Z355" s="420" t="str">
        <f>IF(D355="","",(VLOOKUP(D355,'DB technologies'!$N$168:$Y$180,3,FALSE)*'DB additional information '!$S$7/100*'DB additional information '!$V$7*VLOOKUP($C$355,'DB animal categories'!$C$127:$AC$136,27,FALSE)*E355/1000/1000)/VLOOKUP($C$355,'DB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AA355" s="420" t="str">
        <f>IF(D355="","",(VLOOKUP(D355,'DB technologies'!$N$168:$Y$180,4,FALSE)*('DB additional information '!$S$8/100*'DB additional information '!$V$8*E355/1000/1000)))</f>
        <v/>
      </c>
      <c r="AB355" s="259" t="str">
        <f>IF($C$355=0,"",IF('Calc (ex-animal)'!$F$63=1,"",IF(D355="","",((VLOOKUP($C$355,'Calc (ex-animal)'!$D$68:$Y$72,16,FALSE)-VLOOKUP($C$355,'Calc (ex-animal)'!$D$68:$Y$72,20,FALSE))*F355/100+Y355+Z355+AA355))))</f>
        <v/>
      </c>
      <c r="AC355" s="259" t="str">
        <f>IF($C$355=0,"",IF('Calc (ex-animal)'!$F$63=1,"",IF(D355="","",VLOOKUP($C$355,'Calc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categories'!$C$127:$AC$136,26,FALSE)/24)*F355/100*VLOOKUP(D355,'DB technologies'!$N$168:$R$180,5,FALSE)/100)))</f>
        <v/>
      </c>
      <c r="AD355" s="259" t="str">
        <f>IF($C$355=0,"",IF('Calc (ex-animal)'!$F$63=1,"",IF(D355="","",VLOOKUP($C$355,'Calc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categories'!$C$127:$AC$136,26,FALSE)/24)*F355/100*VLOOKUP(D355,'DB technologies'!$N$168:$Y$180,6,FALSE)/100)))</f>
        <v/>
      </c>
      <c r="AE355" s="260" t="str">
        <f>IF($C$355=0,"",IF('Calc (ex-animal)'!$F$63=1,"",IF(D355="","",VLOOKUP($C$355,'Calc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categories'!$C$127:$AC$136,26,FALSE)/24)*F355/100*VLOOKUP(D355,'DB technologies'!$N$168:$Y$180,7,FALSE)/100)))</f>
        <v/>
      </c>
      <c r="AI355" s="179" t="str">
        <f>IF(D355="","",VLOOKUP(D355,'DB technologies'!$N$168:$Y$180,10,FALSE))</f>
        <v/>
      </c>
      <c r="AJ355" s="482" t="e">
        <f>VLOOKUP($C$355,'DB animal categories'!$C$127:$AN$136,27,FALSE)-VLOOKUP($C$355,'DB animal categories'!$C$127:$AN$136,26,FALSE)*VLOOKUP($C$355,'DB animal categories'!$C$127:$AN$136,25,FALSE)/24</f>
        <v>#N/A</v>
      </c>
      <c r="AK355" s="453" t="str">
        <f>IF(AI355="","",AL355+AM355)</f>
        <v/>
      </c>
      <c r="AL355" s="453" t="str">
        <f>IF(D355="","",IF(AI355=2,(('Calc (ex-animal)'!$G$71*'DB additional information '!$K$14/100*(1-VLOOKUP(D355,'DB technologies'!$N$168:$Y$180,9,FALSE)/100)*'Calc (ex-housing, ex-storage)'!F355/100+'Calc (ex-animal)'!$H$71*'DB additional information '!$L$14/100*(1-VLOOKUP(D355,'DB technologies'!$N$168:$Y$180,9,FALSE)/100)*'Calc (ex-housing, ex-storage)'!F355/100))/VLOOKUP($C$355,'DB animal categories'!$C$127:$AC$136,27,FALSE)*AJ355+I355+J355+K355,IF(AI355=1,('Calc (ex-animal)'!$H$71*'DB additional information '!$L$14/100*(1-VLOOKUP(D355,'DB technologies'!$N$168:$Y$180,9,FALSE)/100)*'Calc (ex-housing, ex-storage)'!F355/100)/VLOOKUP($C$355,'DB animal categories'!$C$127:$AC$136,27,FALSE)*AJ355,IF(AI355=4,('Calc (ex-animal)'!$G$71*'DB additional information '!$K$14/100+'Calc (ex-animal)'!$H$71*'DB additional information '!$L$14/100)*(1-VLOOKUP(D355,'DB technologies'!$N$168:$Y$180,9,FALSE)/100)*'Calc (ex-housing, ex-storage)'!F355/100*VLOOKUP(D355,'DB technologies'!$N$168:$Y$180,11,FALSE)/100/VLOOKUP($C$355,'DB animal categories'!$C$127:$AC$136,27,FALSE)*AJ355,0))))</f>
        <v/>
      </c>
      <c r="AM355" s="453" t="str">
        <f>IF(D355="","",IF(AI355=2,(('Calc (ex-animal)'!$G$71*(1-'DB additional information '!$K$14/100)*(1-VLOOKUP(D355,'DB technologies'!$N$168:$Y$180,8,FALSE)/100)*'Calc (ex-housing, ex-storage)'!F355/100+'Calc (ex-animal)'!$H$71*(1-'DB additional information '!$L$14/100)*(1-VLOOKUP(D355,'DB technologies'!$N$168:$Y$180,8,FALSE)/100)*'Calc (ex-housing, ex-storage)'!F355/100))/VLOOKUP($C$355,'DB animal categories'!$C$127:$AC$136,27,FALSE)*AJ355+M355+N355+O355,IF(AI355=1,('Calc (ex-animal)'!$H$71*(1-'DB additional information '!$L$14/100)*(1-VLOOKUP(D355,'DB technologies'!$N$168:$Y$180,8,FALSE)/100)*'Calc (ex-housing, ex-storage)'!F355/100)/VLOOKUP($C$355,'DB animal categories'!$C$127:$AC$136,27,FALSE)*AJ355,IF(AI355=4,('Calc (ex-animal)'!$G$71*(1-'DB additional information '!$K$14/100)+'Calc (ex-animal)'!$H$71*(1-'DB additional information '!$L$14/100))*(1-VLOOKUP(D355,'DB technologies'!$N$168:$Y$180,8,FALSE)/100)*'Calc (ex-housing, ex-storage)'!F355/100*VLOOKUP(D355,'DB technologies'!$N$168:$Y$180,11,FALSE)/100/VLOOKUP($C$355,'DB animal categories'!$C$127:$AC$136,27,FALSE)*AJ355,0))))</f>
        <v/>
      </c>
      <c r="AN355" s="453" t="str">
        <f>IF(AI355="","",IF(AL355=0,0,AL355/AK355*100))</f>
        <v/>
      </c>
      <c r="AO355" s="180" t="str">
        <f>IF(D355="","",IF(AI355=2,(('Calc (ex-animal)'!$L$71*'Calc (ex-housing, ex-storage)'!F355/100+'Calc (ex-animal)'!$K$71*'Calc (ex-housing, ex-storage)'!F355/100))/VLOOKUP($C$355,'DB animal categories'!$C$127:$AC$136,27,FALSE)*AJ355+Q355+R355+S355-AC355,IF(AI355=1,('Calc (ex-animal)'!$L$71*'Calc (ex-housing, ex-storage)'!F355/100)/VLOOKUP($C$355,'DB animal categories'!$C$127:$AC$136,27,FALSE)*AJ355-'Calc (ex-housing, ex-storage)'!AC355,IF(AI355=4,('Calc (ex-animal)'!$L$71+'Calc (ex-animal)'!$K$71)*'Calc (ex-housing, ex-storage)'!F355/100*VLOOKUP(D355,'DB technologies'!$N$168:$Y$180,11,FALSE)/100/VLOOKUP($C$355,'DB animal categories'!$C$127:$AC$136,27,FALSE)*AJ355-AC355*VLOOKUP(D355,'DB technologies'!$N$168:$Y$180,11,FALSE)/100,0))))</f>
        <v/>
      </c>
      <c r="AP355" s="180" t="str">
        <f>IF(D355="","",IF(AO355&lt;-0.01,0,IF(AI355=2,(('Calc (ex-animal)'!$L$71*'Calc (ex-housing, ex-storage)'!F355/100+'Calc (ex-animal)'!$K$71*'Calc (ex-housing, ex-storage)'!F355/100))/VLOOKUP($C$355,'DB animal categories'!$C$127:$AC$136,27,FALSE)*AJ355+Q355+R355+S355-AC355,IF(AI355=1,('Calc (ex-animal)'!$L$71*'Calc (ex-housing, ex-storage)'!F355/100)/VLOOKUP($C$355,'DB animal categories'!$C$127:$AC$136,27,FALSE)*AJ355-'Calc (ex-housing, ex-storage)'!AC355,IF(AI355=4,('Calc (ex-animal)'!$L$71+'Calc (ex-animal)'!$K$71)*'Calc (ex-housing, ex-storage)'!F355/100*VLOOKUP(D355,'DB technologies'!$N$168:$Y$180,11,FALSE)/100/VLOOKUP($C$355,'DB animal categories'!$C$127:$AC$136,27,FALSE)*AJ355-AC355*VLOOKUP(D355,'DB technologies'!$N$168:$Y$180,11,FALSE)/100,0)))))</f>
        <v/>
      </c>
      <c r="AQ355" s="180" t="str">
        <f>IF(D355="","",IF(AI355=2,('Calc (ex-animal)'!$O$71*'Calc (ex-housing, ex-storage)'!F355/100+'Calc (ex-animal)'!$N$71*'Calc (ex-housing, ex-storage)'!F355/100)/VLOOKUP($C$355,'DB animal categories'!$C$127:$AC$136,27,FALSE)*AJ355+U355+V355+W355,IF(AI355=1,'Calc (ex-animal)'!$O$71*'Calc (ex-housing, ex-storage)'!F355/100/VLOOKUP($C$355,'DB animal categories'!$C$127:$AC$136,27,FALSE)*AJ355,IF(AI355=4,('Calc (ex-animal)'!$O$71+'Calc (ex-animal)'!$N$71)*'Calc (ex-housing, ex-storage)'!F355/100*VLOOKUP(D355,'DB technologies'!$N$168:$Y$180,11,FALSE)/100/VLOOKUP($C$355,'DB animal categories'!$C$127:$AC$136,27,FALSE)*AJ355,0))))</f>
        <v/>
      </c>
      <c r="AR355" s="180" t="str">
        <f>IF(D355="","",IF(AI355=2,('Calc (ex-animal)'!$R$71*'Calc (ex-housing, ex-storage)'!F355/100+'Calc (ex-animal)'!$Q$71*'Calc (ex-housing, ex-storage)'!F355/100)/VLOOKUP($C$355,'DB animal categories'!$C$127:$AC$136,27,FALSE)*AJ355+Y355+Z355+AA355,IF(AI355=1,'Calc (ex-animal)'!$R$71*'Calc (ex-housing, ex-storage)'!F355/100/VLOOKUP($C$355,'DB animal categories'!$C$127:$AC$136,27,FALSE)*AJ355,IF(AI355=4,('Calc (ex-animal)'!$R$71+'Calc (ex-animal)'!$Q$71)*'Calc (ex-housing, ex-storage)'!F355/100*VLOOKUP(D355,'DB technologies'!$N$168:$Y$180,11,FALSE)/100/VLOOKUP($C$355,'DB animal categories'!$C$127:$AC$136,27,FALSE)*AJ355,0))))</f>
        <v/>
      </c>
      <c r="AS355" s="179" t="str">
        <f>IF(D355="","",VLOOKUP(D355,'DB technologies'!$N$168:$Y$180,10,FALSE))</f>
        <v/>
      </c>
      <c r="AT355" s="453" t="str">
        <f>IF(AS355="","",AU355+AV355)</f>
        <v/>
      </c>
      <c r="AU355" s="453" t="str">
        <f>IF(D355="","",IF(AS355=2,0,IF(AS355=1,'Calc (ex-animal)'!$G$71*'DB additional information '!$K$14/100*(1-VLOOKUP(D355,'DB technologies'!$N$168:$Y$180,8,FALSE)/100)*'Calc (ex-housing, ex-storage)'!F355/100/VLOOKUP($C$355,'DB animal categories'!$C$127:$AC$136,27,FALSE)*AJ355+I355+J355+K355,IF(AS355=5,(('Calc (ex-animal)'!$G$71*'DB additional information '!$K$14/100+'Calc (ex-animal)'!$H$71*'DB additional information '!$L$14/100))*(1-VLOOKUP(D355,'DB technologies'!$N$168:$Y$180,9,FALSE)/100)*'Calc (ex-housing, ex-storage)'!F355/100/VLOOKUP($C$355,'DB animal categories'!$C$127:$AC$136,27,FALSE)*AJ355+I355+J355+K355,IF(AS355=3,('Calc (ex-animal)'!$G$71*'DB additional information '!$K$14/100+'Calc (ex-animal)'!$H$71*'DB additional information '!$L$14/100)*(1-VLOOKUP(D355,'DB technologies'!$N$168:$Y$180,9,FALSE)/100)*'Calc (ex-housing, ex-storage)'!F355/100/VLOOKUP($C$355,'DB animal categories'!$C$127:$AC$136,27,FALSE)*AJ355+I355+J355+K355,IF(AS355=4,('Calc (ex-animal)'!$G$71*'DB additional information '!$K$14/100+'Calc (ex-animal)'!$H$71*'DB additional information '!$L$14/100)*(1-VLOOKUP(D355,'DB technologies'!$N$168:$Y$180,9,FALSE)/100)*'Calc (ex-housing, ex-storage)'!F355/100*VLOOKUP(D355,'DB technologies'!$N$168:$Y$180,12,FALSE)/100/VLOOKUP($C$355,'DB animal categories'!$C$127:$AC$136,27,FALSE)*AJ355+I355+J355+K355,0))))))</f>
        <v/>
      </c>
      <c r="AV355" s="453" t="str">
        <f>IF(D355="","",IF(AS355=2,0,IF(AS355=1,'Calc (ex-animal)'!$G$71*(1-'DB additional information '!$K$14/100)*(1-VLOOKUP(D355,'DB technologies'!$N$168:$Y$180,8,FALSE)/100)*'Calc (ex-housing, ex-storage)'!F355/100/VLOOKUP($C$355,'DB animal categories'!$C$127:$AC$136,27,FALSE)*AJ355+M355+N355+O355,IF(AS355=5,('Calc (ex-animal)'!$G$71*(1-'DB additional information '!$K$14/100)+'Calc (ex-animal)'!$H$71*(1-'DB additional information '!$L$14/100))*(1-VLOOKUP(D355,'DB technologies'!$N$168:$Y$180,8,FALSE)/100)*'Calc (ex-housing, ex-storage)'!F355/100/VLOOKUP($C$355,'DB animal categories'!$C$127:$AC$136,27,FALSE)*AJ355+M355+N355+O355,IF(AS355=3,('Calc (ex-animal)'!$G$71*(1-'DB additional information '!$K$14/100)+'Calc (ex-animal)'!$H$71*(1-'DB additional information '!$L$14/100))*(1-VLOOKUP(D355,'DB technologies'!$N$168:$Y$180,8,FALSE)/100)*'Calc (ex-housing, ex-storage)'!F355/100/VLOOKUP($C$355,'DB animal categories'!$C$127:$AC$136,27,FALSE)*AJ355+M355+N355+O355,IF(AS355=4,('Calc (ex-animal)'!$G$71*(1-'DB additional information '!$K$14/100)+'Calc (ex-animal)'!$H$71*(1-'DB additional information '!$L$14/100))*(1-VLOOKUP(D355,'DB technologies'!$N$168:$Y$180,8,FALSE)/100)*'Calc (ex-housing, ex-storage)'!F355/100*VLOOKUP(D355,'DB technologies'!$N$168:$Y$180,12,FALSE)/100/VLOOKUP($C$355,'DB animal categories'!$C$127:$AC$136,27,FALSE)*AJ355+M355+N355+O355,0))))))</f>
        <v/>
      </c>
      <c r="AW355" s="453" t="str">
        <f>IF(AS355="","",IF(AU355=0,0,AU355/AT355*100))</f>
        <v/>
      </c>
      <c r="AX355" s="180" t="str">
        <f>IF(D355="","",IF(AS355=2,0,IF(AS355=1,'Calc (ex-animal)'!$K$71*'Calc (ex-housing, ex-storage)'!F355/100/VLOOKUP($C$355,'DB animal categories'!$C$127:$AC$136,27,FALSE)*AJ355+Q355+R355+S355,IF(AS355=5,('Calc (ex-animal)'!$K$71+'Calc (ex-animal)'!$L$71)*'Calc (ex-housing, ex-storage)'!F355/100/VLOOKUP($C$355,'DB animal categories'!$C$127:$AC$136,27,FALSE)*AJ355+Q355+R355+S355-'Calc (ex-housing, ex-storage)'!AC355,IF(AS355=3,('Calc (ex-animal)'!$K$71+'Calc (ex-animal)'!$L$71)*'Calc (ex-housing, ex-storage)'!F355/100/VLOOKUP($C$355,'DB animal categories'!$C$127:$AC$136,27,FALSE)*AJ355+Q355+R355+S355-'Calc (ex-housing, ex-storage)'!AC355-AD355-AE355,IF(AI355=4,('Calc (ex-animal)'!$K$71+'Calc (ex-animal)'!$L$71)*'Calc (ex-housing, ex-storage)'!F355/100*VLOOKUP(D355,'DB technologies'!$N$168:$Y$180,12,FALSE)/100/VLOOKUP($C$355,'DB animal categories'!$C$127:$AC$136,27,FALSE)*AJ355+Q355+R355+S355-(VLOOKUP(D355,'DB technologies'!$N$168:$Y$180,12,FALSE)/100*AC355)-AD355-AE355,0))))))</f>
        <v/>
      </c>
      <c r="AY355" s="180" t="str">
        <f>IF(D355="","",IF(AS355=2,0,IF(AS355=1,'Calc (ex-animal)'!$N$71*'Calc (ex-housing, ex-storage)'!F355/100/VLOOKUP($C$355,'DB animal categories'!$C$127:$AC$136,27,FALSE)*AJ355+U355+V355+W355,IF(AS355=5,('Calc (ex-animal)'!$N$71+'Calc (ex-animal)'!$O$71)*'Calc (ex-housing, ex-storage)'!F355/100/VLOOKUP($C$355,'DB animal categories'!$C$127:$AC$136,27,FALSE)*AJ355+U355+V355+W355,IF(AS355=3,('Calc (ex-animal)'!$N$71+'Calc (ex-animal)'!$O$71)*'Calc (ex-housing, ex-storage)'!F355/100/VLOOKUP($C$355,'DB animal categories'!$C$127:$AC$136,27,FALSE)*AJ355+U355+V355+W355,IF(AS355=4,('Calc (ex-animal)'!$N$71+'Calc (ex-animal)'!$O$71)*'Calc (ex-housing, ex-storage)'!F355/100*VLOOKUP(D355,'DB technologies'!$N$168:$Y$180,12,FALSE)/100/VLOOKUP($C$355,'DB animal categories'!$C$127:$AC$136,27,FALSE)*AJ355+U355+V355+W355,0))))))</f>
        <v/>
      </c>
      <c r="AZ355" s="180" t="str">
        <f>IF(D355="","",IF(AS355=2,0,IF(AS355=1,'Calc (ex-animal)'!$Q$71*'Calc (ex-housing, ex-storage)'!F355/100/VLOOKUP($C$355,'DB animal categories'!$C$127:$AC$136,27,FALSE)*AJ355+Y355+Z355+AA355,IF(AS355=5,('Calc (ex-animal)'!$Q$71+'Calc (ex-animal)'!$R$71)*'Calc (ex-housing, ex-storage)'!F355/100/VLOOKUP($C$355,'DB animal categories'!$C$127:$AC$136,27,FALSE)*AJ355+Y355+Z355+AA355,IF(AS355=3,('Calc (ex-animal)'!$Q$71+'Calc (ex-animal)'!$R$71)*'Calc (ex-housing, ex-storage)'!F355/100/VLOOKUP($C$355,'DB animal categories'!$C$127:$AC$136,27,FALSE)*AJ355+Y355+Z355+AA355,IF(AS355=4,('Calc (ex-animal)'!$Q$71+'Calc (ex-animal)'!$R$71)*'Calc (ex-housing, ex-storage)'!F355/100*VLOOKUP(D355,'DB technologies'!$N$168:$Y$180,12,FALSE)/100/VLOOKUP($C$355,'DB animal categories'!$C$127:$AC$136,27,FALSE)*AJ355+Y355+Z355+AA355,0))))))</f>
        <v/>
      </c>
      <c r="BA355" s="506"/>
      <c r="BB355" s="506"/>
      <c r="BC355" s="506"/>
    </row>
    <row r="356" spans="1:55" x14ac:dyDescent="0.2">
      <c r="A356" s="695"/>
      <c r="B356" s="695"/>
      <c r="C356" s="251"/>
      <c r="D356" s="1357"/>
      <c r="E356" s="1358"/>
      <c r="F356" s="480" t="str">
        <f>IF('Calc (ex-animal)'!$F$63=1,"",IF($C$355=0,"",IF(D356="","",E356/'Calc (ex-animal)'!$E$71*100)))</f>
        <v/>
      </c>
      <c r="G356" s="485" t="str">
        <f>IF($C$355=0,"",IF('Calc (ex-animal)'!$F$63=1,"",IF(D356="","",SUM(H356:O356))))</f>
        <v/>
      </c>
      <c r="H356" s="423" t="str">
        <f>IF('Calc (ex-animal)'!$F$63=1,"",IF(D356="","",(((VLOOKUP($C$355,'Calc (ex-animal)'!$D$68:$Y$72,6,FALSE)-VLOOKUP($C$355,'Calc (ex-animal)'!$D$68:$Y$72,17,FALSE))*F356/100))*VLOOKUP($C$355,'Calc (ex-animal)'!$D$68:$Y$72,7,FALSE)/100*(1-VLOOKUP(D356,'DB technologies'!$N$168:$Y$180,9,FALSE)/100)))</f>
        <v/>
      </c>
      <c r="I356" s="423" t="str">
        <f>IF(D356="","",((VLOOKUP(D356,'DB technologies'!$N$168:$Y$180,2,FALSE)*VLOOKUP($C$355,'DB animal categories'!$C$127:$AC$136,27,FALSE)*E356/1000)/VLOOKUP($C$355,'DB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'!$S$6/100*(1-VLOOKUP(D356,'DB technologies'!$N$168:$Y$180,9,FALSE)/100)))</f>
        <v/>
      </c>
      <c r="J356" s="434" t="str">
        <f>IF(D356="","",((VLOOKUP(D356,'DB technologies'!$N$168:$Y$180,3,FALSE)*VLOOKUP($C$355,'DB animal categories'!$C$127:$AC$136,27,FALSE)*E356/1000)/VLOOKUP($C$355,'DB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'!$S$7/100*(1-VLOOKUP(D356,'DB technologies'!$N$168:$Y$180,9,FALSE)/100)))</f>
        <v/>
      </c>
      <c r="K356" s="434" t="str">
        <f>IF(D356="","",((VLOOKUP(D356,'DB technologies'!$N$168:$Y$180,4,FALSE)*E356*'DB additional information '!$S$8/100*(1-VLOOKUP(D356,'DB technologies'!$N$168:$Y$180,9,FALSE)/100))/VLOOKUP($C$355,'DB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L356" s="423" t="str">
        <f>IF('Calc (ex-animal)'!$F$63=1,"",IF(D356="","",(((VLOOKUP($C$355,'Calc (ex-animal)'!$D$68:$Y$72,6,FALSE)-VLOOKUP($C$355,'Calc (ex-animal)'!$D$68:$Y$72,17,FALSE))*F356/100))*(1-VLOOKUP($C$355,'Calc (ex-animal)'!$D$68:$Y$72,7,FALSE)/100)*(1-VLOOKUP(D356,'DB technologies'!$N$168:$V$180,8,FALSE)/100)))</f>
        <v/>
      </c>
      <c r="M356" s="434" t="str">
        <f>IF(D356="","",((VLOOKUP(D356,'DB technologies'!$N$168:$Y$180,2,FALSE)*VLOOKUP($C$355,'DB animal categories'!$C$127:$AC$136,27,FALSE)*E356/1000)/VLOOKUP($C$355,'DB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'!$S$6/100)*(1-VLOOKUP(D356,'DB technologies'!$N$168:$Y$180,9,FALSE)/100))</f>
        <v/>
      </c>
      <c r="N356" s="434" t="str">
        <f>IF(D356="","",((VLOOKUP(D356,'DB technologies'!$N$168:$Y$180,3,FALSE)*VLOOKUP($C$355,'DB animal categories'!$C$127:$AC$136,27,FALSE)*E356/1000)/VLOOKUP($C$355,'DB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'!$S$7/100)*(1-VLOOKUP(D356,'DB technologies'!$N$168:$Y$180,9,FALSE)/100))</f>
        <v/>
      </c>
      <c r="O356" s="423" t="str">
        <f>IF(D356="","",((VLOOKUP(D356,'DB technologies'!$N$168:$Y$180,4,FALSE)*E356*(1-'DB additional information '!$S$8/100)*(1-VLOOKUP(D356,'DB technologies'!$N$168:$Y$180,8,FALSE)/100))/VLOOKUP($C$355,'DB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P356" s="438" t="str">
        <f>IF(G356=0,0,IF(E356="","",IF(F356="","",IF($C$355=0,"",IF(D356="","",SUM(H356:K356)/G356*100)))))</f>
        <v/>
      </c>
      <c r="Q356" s="416" t="str">
        <f>IF(D356="","",(VLOOKUP(D356,'DB technologies'!$N$168:$Y$180,2,FALSE)*'DB additional information '!$S$6/100*'DB additional information '!$T$6*VLOOKUP($C$355,'DB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R356" s="416" t="str">
        <f>IF(D356="","",(VLOOKUP(D356,'DB technologies'!$N$168:$Y$180,3,FALSE)*'DB additional information '!$S$7/100*'DB additional information '!$T$7*VLOOKUP($C$355,'DB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S356" s="491" t="str">
        <f>IF(D356="","",(VLOOKUP(D356,'DB technologies'!$N$168:$Y$180,4,FALSE)*('DB additional information '!$S$8/100*'DB additional information '!$T$8*E356/1000/1000)))</f>
        <v/>
      </c>
      <c r="T356" s="264" t="str">
        <f>IF($C$355=0,"",IF('Calc (ex-animal)'!$F$63=1,"",IF(D356="","",((VLOOKUP($C$355,'Calc (ex-animal)'!$D$68:$Y$72,10,FALSE)-VLOOKUP($C$355,'Calc (ex-animal)'!$D$68:$Y$72,18,FALSE))*F356/100+Q356+R356+S356)-AC356-AD356-AE356)))</f>
        <v/>
      </c>
      <c r="U356" s="422" t="str">
        <f>IF(D356="","",(VLOOKUP(D356,'DB technologies'!$N$168:$Y$180,2,FALSE)*'DB additional information '!$S$6/100*'DB additional information '!$U$6*VLOOKUP($C$355,'DB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V356" s="418" t="str">
        <f>IF(D356="","",(VLOOKUP(D356,'DB technologies'!$N$168:$Y$180,3,FALSE)*'DB additional information '!$S$7/100*'DB additional information '!$U$7*VLOOKUP($C$355,'DB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W356" s="417" t="str">
        <f>IF(D356="","",(VLOOKUP(D356,'DB technologies'!$N$168:$Y$180,4,FALSE)*('DB additional information '!$S$8/100*'DB additional information '!$U$8*E356/1000/1000)))</f>
        <v/>
      </c>
      <c r="X356" s="261" t="str">
        <f>IF($C$355=0,"",IF('Calc (ex-animal)'!$F$63=1,"",IF(D356="","",((VLOOKUP($C$355,'Calc (ex-animal)'!$D$68:$Y$72,13,FALSE)-VLOOKUP($C$355,'Calc (ex-animal)'!$D$68:$Y$72,19,FALSE))*F356/100+U356+V356+W356))))</f>
        <v/>
      </c>
      <c r="Y356" s="418" t="str">
        <f>IF(D356="","",(VLOOKUP(D356,'DB technologies'!$N$168:$Y$180,2,FALSE)*'DB additional information '!$S$6/100*'DB additional information '!$V$6*VLOOKUP($C$355,'DB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Z356" s="418" t="str">
        <f>IF(D356="","",(VLOOKUP(D356,'DB technologies'!$N$168:$Y$180,3,FALSE)*'DB additional information '!$S$7/100*'DB additional information '!$V$7*VLOOKUP($C$355,'DB animal categories'!$C$127:$AC$136,27,FALSE)*E356/1000/1000)/VLOOKUP($C$355,'DB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AA356" s="418" t="str">
        <f>IF(D356="","",(VLOOKUP(D356,'DB technologies'!$N$168:$Y$180,4,FALSE)*('DB additional information '!$S$8/100*'DB additional information '!$V$8*E356/1000/1000)))</f>
        <v/>
      </c>
      <c r="AB356" s="261" t="str">
        <f>IF($C$355=0,"",IF('Calc (ex-animal)'!$F$63=1,"",IF(D356="","",((VLOOKUP($C$355,'Calc (ex-animal)'!$D$68:$Y$72,16,FALSE)-VLOOKUP($C$355,'Calc (ex-animal)'!$D$68:$Y$72,20,FALSE))*F356/100+Y356+Z356+AA356))))</f>
        <v/>
      </c>
      <c r="AC356" s="261" t="str">
        <f>IF($C$355=0,"",IF('Calc (ex-animal)'!$F$63=1,"",IF(D356="","",VLOOKUP($C$355,'Calc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categories'!$C$127:$AC$136,26,FALSE)/24)*F356/100*VLOOKUP(D356,'DB technologies'!$N$168:$R$180,5,FALSE)/100)))</f>
        <v/>
      </c>
      <c r="AD356" s="261" t="str">
        <f>IF($C$355=0,"",IF('Calc (ex-animal)'!$F$63=1,"",IF(D356="","",VLOOKUP($C$355,'Calc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categories'!$C$127:$AC$136,26,FALSE)/24)*F356/100*VLOOKUP(D356,'DB technologies'!$N$168:$Y$180,6,FALSE)/100)))</f>
        <v/>
      </c>
      <c r="AE356" s="262" t="str">
        <f>IF($C$355=0,"",IF('Calc (ex-animal)'!$F$63=1,"",IF(D356="","",VLOOKUP($C$355,'Calc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categories'!$C$127:$AC$136,26,FALSE)/24)*F356/100*VLOOKUP(D356,'DB technologies'!$N$168:$Y$180,7,FALSE)/100)))</f>
        <v/>
      </c>
      <c r="AI356" s="181" t="str">
        <f>IF(D356="","",VLOOKUP(D356,'DB technologies'!$N$168:$Y$180,10,FALSE))</f>
        <v/>
      </c>
      <c r="AJ356" s="449" t="e">
        <f>VLOOKUP($C$355,'DB animal categories'!$C$127:$AN$136,27,FALSE)-VLOOKUP($C$355,'DB animal categories'!$C$127:$AN$136,26,FALSE)*VLOOKUP($C$355,'DB animal categories'!$C$127:$AN$136,25,FALSE)/24</f>
        <v>#N/A</v>
      </c>
      <c r="AK356" s="442" t="str">
        <f>IF(AI356="","",AL356+AM356)</f>
        <v/>
      </c>
      <c r="AL356" s="442" t="str">
        <f>IF(D356="","",IF(AI356=2,(('Calc (ex-animal)'!$G$71*'DB additional information '!$K$14/100*(1-VLOOKUP(D356,'DB technologies'!$N$168:$Y$180,9,FALSE)/100)*'Calc (ex-housing, ex-storage)'!F356/100+'Calc (ex-animal)'!$H$71*'DB additional information '!$L$14/100*(1-VLOOKUP(D356,'DB technologies'!$N$168:$Y$180,9,FALSE)/100)*'Calc (ex-housing, ex-storage)'!F356/100))/VLOOKUP($C$355,'DB animal categories'!$C$127:$AC$136,27,FALSE)*AJ356+I356+J356+K356,IF(AI356=1,('Calc (ex-animal)'!$H$71*'DB additional information '!$L$14/100*(1-VLOOKUP(D356,'DB technologies'!$N$168:$Y$180,9,FALSE)/100)*'Calc (ex-housing, ex-storage)'!F356/100)/VLOOKUP($C$355,'DB animal categories'!$C$127:$AC$136,27,FALSE)*AJ356,IF(AI356=4,('Calc (ex-animal)'!$G$71*'DB additional information '!$K$14/100+'Calc (ex-animal)'!$H$71*'DB additional information '!$L$14/100)*(1-VLOOKUP(D356,'DB technologies'!$N$168:$Y$180,9,FALSE)/100)*'Calc (ex-housing, ex-storage)'!F356/100*VLOOKUP(D356,'DB technologies'!$N$168:$Y$180,11,FALSE)/100/VLOOKUP($C$355,'DB animal categories'!$C$127:$AC$136,27,FALSE)*AJ356,0))))</f>
        <v/>
      </c>
      <c r="AM356" s="442" t="str">
        <f>IF(D356="","",IF(AI356=2,(('Calc (ex-animal)'!$G$71*(1-'DB additional information '!$K$14/100)*(1-VLOOKUP(D356,'DB technologies'!$N$168:$Y$180,8,FALSE)/100)*'Calc (ex-housing, ex-storage)'!F356/100+'Calc (ex-animal)'!$H$71*(1-'DB additional information '!$L$14/100)*(1-VLOOKUP(D356,'DB technologies'!$N$168:$Y$180,8,FALSE)/100)*'Calc (ex-housing, ex-storage)'!F356/100))/VLOOKUP($C$355,'DB animal categories'!$C$127:$AC$136,27,FALSE)*AJ356+M356+N356+O356,IF(AI356=1,('Calc (ex-animal)'!$H$71*(1-'DB additional information '!$L$14/100)*(1-VLOOKUP(D356,'DB technologies'!$N$168:$Y$180,8,FALSE)/100)*'Calc (ex-housing, ex-storage)'!F356/100)/VLOOKUP($C$355,'DB animal categories'!$C$127:$AC$136,27,FALSE)*AJ356,IF(AI356=4,('Calc (ex-animal)'!$G$71*(1-'DB additional information '!$K$14/100)+'Calc (ex-animal)'!$H$71*(1-'DB additional information '!$L$14/100))*(1-VLOOKUP(D356,'DB technologies'!$N$168:$Y$180,8,FALSE)/100)*'Calc (ex-housing, ex-storage)'!F356/100*VLOOKUP(D356,'DB technologies'!$N$168:$Y$180,11,FALSE)/100/VLOOKUP($C$355,'DB animal categories'!$C$127:$AC$136,27,FALSE)*AJ356,0))))</f>
        <v/>
      </c>
      <c r="AN356" s="442" t="str">
        <f>IF(AI356="","",IF(AL356=0,0,AL356/AK356*100))</f>
        <v/>
      </c>
      <c r="AO356" s="182" t="str">
        <f>IF(D356="","",IF(AI356=2,(('Calc (ex-animal)'!$L$71*'Calc (ex-housing, ex-storage)'!F356/100+'Calc (ex-animal)'!$K$71*'Calc (ex-housing, ex-storage)'!F356/100))/VLOOKUP($C$355,'DB animal categories'!$C$127:$AC$136,27,FALSE)*AJ356+Q356+R356+S356-AC356,IF(AI356=1,('Calc (ex-animal)'!$L$71*'Calc (ex-housing, ex-storage)'!F356/100)/VLOOKUP($C$355,'DB animal categories'!$C$127:$AC$136,27,FALSE)*AJ356-'Calc (ex-housing, ex-storage)'!AC356,IF(AI356=4,('Calc (ex-animal)'!$L$71+'Calc (ex-animal)'!$K$71)*'Calc (ex-housing, ex-storage)'!F356/100*VLOOKUP(D356,'DB technologies'!$N$168:$Y$180,11,FALSE)/100/VLOOKUP($C$355,'DB animal categories'!$C$127:$AC$136,27,FALSE)*AJ356-AC356*VLOOKUP(D356,'DB technologies'!$N$168:$Y$180,11,FALSE)/100,0))))</f>
        <v/>
      </c>
      <c r="AP356" s="182" t="str">
        <f>IF(D356="","",IF(AO356&lt;-0.01,0,IF(AI356=2,(('Calc (ex-animal)'!$L$71*'Calc (ex-housing, ex-storage)'!F356/100+'Calc (ex-animal)'!$K$71*'Calc (ex-housing, ex-storage)'!F356/100))/VLOOKUP($C$355,'DB animal categories'!$C$127:$AC$136,27,FALSE)*AJ356+Q356+R356+S356-AC356,IF(AI356=1,('Calc (ex-animal)'!$L$71*'Calc (ex-housing, ex-storage)'!F356/100)/VLOOKUP($C$355,'DB animal categories'!$C$127:$AC$136,27,FALSE)*AJ356-'Calc (ex-housing, ex-storage)'!AC356,IF(AI356=4,('Calc (ex-animal)'!$L$71+'Calc (ex-animal)'!$K$71)*'Calc (ex-housing, ex-storage)'!F356/100*VLOOKUP(D356,'DB technologies'!$N$168:$Y$180,11,FALSE)/100/VLOOKUP($C$355,'DB animal categories'!$C$127:$AC$136,27,FALSE)*AJ356-AC356*VLOOKUP(D356,'DB technologies'!$N$168:$Y$180,11,FALSE)/100,0)))))</f>
        <v/>
      </c>
      <c r="AQ356" s="182" t="str">
        <f>IF(D356="","",IF(AI356=2,('Calc (ex-animal)'!$O$71*'Calc (ex-housing, ex-storage)'!F356/100+'Calc (ex-animal)'!$N$71*'Calc (ex-housing, ex-storage)'!F356/100)/VLOOKUP($C$355,'DB animal categories'!$C$127:$AC$136,27,FALSE)*AJ356+U356+V356+W356,IF(AI356=1,'Calc (ex-animal)'!$O$71*'Calc (ex-housing, ex-storage)'!F356/100/VLOOKUP($C$355,'DB animal categories'!$C$127:$AC$136,27,FALSE)*AJ356,IF(AI356=4,('Calc (ex-animal)'!$O$71+'Calc (ex-animal)'!$N$71)*'Calc (ex-housing, ex-storage)'!F356/100*VLOOKUP(D356,'DB technologies'!$N$168:$Y$180,11,FALSE)/100/VLOOKUP($C$355,'DB animal categories'!$C$127:$AC$136,27,FALSE)*AJ356,0))))</f>
        <v/>
      </c>
      <c r="AR356" s="182" t="str">
        <f>IF(D356="","",IF(AI356=2,('Calc (ex-animal)'!$R$71*'Calc (ex-housing, ex-storage)'!F356/100+'Calc (ex-animal)'!$Q$71*'Calc (ex-housing, ex-storage)'!F356/100)/VLOOKUP($C$355,'DB animal categories'!$C$127:$AC$136,27,FALSE)*AJ356+Y356+Z356+AA356,IF(AI356=1,'Calc (ex-animal)'!$R$71*'Calc (ex-housing, ex-storage)'!F356/100/VLOOKUP($C$355,'DB animal categories'!$C$127:$AC$136,27,FALSE)*AJ356,IF(AI356=4,('Calc (ex-animal)'!$R$71+'Calc (ex-animal)'!$Q$71)*'Calc (ex-housing, ex-storage)'!F356/100*VLOOKUP(D356,'DB technologies'!$N$168:$Y$180,11,FALSE)/100/VLOOKUP($C$355,'DB animal categories'!$C$127:$AC$136,27,FALSE)*AJ356,0))))</f>
        <v/>
      </c>
      <c r="AS356" s="181" t="str">
        <f>IF(D356="","",VLOOKUP(D356,'DB technologies'!$N$168:$Y$180,10,FALSE))</f>
        <v/>
      </c>
      <c r="AT356" s="442" t="str">
        <f>IF(AS356="","",AU356+AV356)</f>
        <v/>
      </c>
      <c r="AU356" s="442" t="str">
        <f>IF(D356="","",IF(AS356=2,0,IF(AS356=1,'Calc (ex-animal)'!$G$71*'DB additional information '!$K$14/100*(1-VLOOKUP(D356,'DB technologies'!$N$168:$Y$180,8,FALSE)/100)*'Calc (ex-housing, ex-storage)'!F356/100/VLOOKUP($C$355,'DB animal categories'!$C$127:$AC$136,27,FALSE)*AJ356+I356+J356+K356,IF(AS356=5,(('Calc (ex-animal)'!$G$71*'DB additional information '!$K$14/100+'Calc (ex-animal)'!$H$71*'DB additional information '!$L$14/100))*(1-VLOOKUP(D356,'DB technologies'!$N$168:$Y$180,9,FALSE)/100)*'Calc (ex-housing, ex-storage)'!F356/100/VLOOKUP($C$355,'DB animal categories'!$C$127:$AC$136,27,FALSE)*AJ356+I356+J356+K356,IF(AS356=3,('Calc (ex-animal)'!$G$71*'DB additional information '!$K$14/100+'Calc (ex-animal)'!$H$71*'DB additional information '!$L$14/100)*(1-VLOOKUP(D356,'DB technologies'!$N$168:$Y$180,9,FALSE)/100)*'Calc (ex-housing, ex-storage)'!F356/100/VLOOKUP($C$355,'DB animal categories'!$C$127:$AC$136,27,FALSE)*AJ356+I356+J356+K356,IF(AS356=4,('Calc (ex-animal)'!$G$71*'DB additional information '!$K$14/100+'Calc (ex-animal)'!$H$71*'DB additional information '!$L$14/100)*(1-VLOOKUP(D356,'DB technologies'!$N$168:$Y$180,9,FALSE)/100)*'Calc (ex-housing, ex-storage)'!F356/100*VLOOKUP(D356,'DB technologies'!$N$168:$Y$180,12,FALSE)/100/VLOOKUP($C$355,'DB animal categories'!$C$127:$AC$136,27,FALSE)*AJ356+I356+J356+K356,0))))))</f>
        <v/>
      </c>
      <c r="AV356" s="442" t="str">
        <f>IF(D356="","",IF(AS356=2,0,IF(AS356=1,'Calc (ex-animal)'!$G$71*(1-'DB additional information '!$K$14/100)*(1-VLOOKUP(D356,'DB technologies'!$N$168:$Y$180,8,FALSE)/100)*'Calc (ex-housing, ex-storage)'!F356/100/VLOOKUP($C$355,'DB animal categories'!$C$127:$AC$136,27,FALSE)*AJ356+M356+N356+O356,IF(AS356=5,('Calc (ex-animal)'!$G$71*(1-'DB additional information '!$K$14/100)+'Calc (ex-animal)'!$H$71*(1-'DB additional information '!$L$14/100))*(1-VLOOKUP(D356,'DB technologies'!$N$168:$Y$180,8,FALSE)/100)*'Calc (ex-housing, ex-storage)'!F356/100/VLOOKUP($C$355,'DB animal categories'!$C$127:$AC$136,27,FALSE)*AJ356+M356+N356+O356,IF(AS356=3,('Calc (ex-animal)'!$G$71*(1-'DB additional information '!$K$14/100)+'Calc (ex-animal)'!$H$71*(1-'DB additional information '!$L$14/100))*(1-VLOOKUP(D356,'DB technologies'!$N$168:$Y$180,8,FALSE)/100)*'Calc (ex-housing, ex-storage)'!F356/100/VLOOKUP($C$355,'DB animal categories'!$C$127:$AC$136,27,FALSE)*AJ356+M356+N356+O356,IF(AS356=4,('Calc (ex-animal)'!$G$71*(1-'DB additional information '!$K$14/100)+'Calc (ex-animal)'!$H$71*(1-'DB additional information '!$L$14/100))*(1-VLOOKUP(D356,'DB technologies'!$N$168:$Y$180,8,FALSE)/100)*'Calc (ex-housing, ex-storage)'!F356/100*VLOOKUP(D356,'DB technologies'!$N$168:$Y$180,12,FALSE)/100/VLOOKUP($C$355,'DB animal categories'!$C$127:$AC$136,27,FALSE)*AJ356+M356+N356+O356,0))))))</f>
        <v/>
      </c>
      <c r="AW356" s="442" t="str">
        <f>IF(AS356="","",IF(AU356=0,0,AU356/AT356*100))</f>
        <v/>
      </c>
      <c r="AX356" s="182" t="str">
        <f>IF(D356="","",IF(AS356=2,0,IF(AS356=1,'Calc (ex-animal)'!$K$71*'Calc (ex-housing, ex-storage)'!F356/100/VLOOKUP($C$355,'DB animal categories'!$C$127:$AC$136,27,FALSE)*AJ356+Q356+R356+S356,IF(AS356=5,('Calc (ex-animal)'!$K$71+'Calc (ex-animal)'!$L$71)*'Calc (ex-housing, ex-storage)'!F356/100/VLOOKUP($C$355,'DB animal categories'!$C$127:$AC$136,27,FALSE)*AJ356+Q356+R356+S356-'Calc (ex-housing, ex-storage)'!AC356,IF(AS356=3,('Calc (ex-animal)'!$K$71+'Calc (ex-animal)'!$L$71)*'Calc (ex-housing, ex-storage)'!F356/100/VLOOKUP($C$355,'DB animal categories'!$C$127:$AC$136,27,FALSE)*AJ356+Q356+R356+S356-'Calc (ex-housing, ex-storage)'!AC356-AD356-AE356,IF(AI356=4,('Calc (ex-animal)'!$K$71+'Calc (ex-animal)'!$L$71)*'Calc (ex-housing, ex-storage)'!F356/100*VLOOKUP(D356,'DB technologies'!$N$168:$Y$180,12,FALSE)/100/VLOOKUP($C$355,'DB animal categories'!$C$127:$AC$136,27,FALSE)*AJ356+Q356+R356+S356-(VLOOKUP(D356,'DB technologies'!$N$168:$Y$180,12,FALSE)/100*AC356)-AD356-AE356,0))))))</f>
        <v/>
      </c>
      <c r="AY356" s="182" t="str">
        <f>IF(D356="","",IF(AS356=2,0,IF(AS356=1,'Calc (ex-animal)'!$N$71*'Calc (ex-housing, ex-storage)'!F356/100/VLOOKUP($C$355,'DB animal categories'!$C$127:$AC$136,27,FALSE)*AJ356+U356+V356+W356,IF(AS356=5,('Calc (ex-animal)'!$N$71+'Calc (ex-animal)'!$O$71)*'Calc (ex-housing, ex-storage)'!F356/100/VLOOKUP($C$355,'DB animal categories'!$C$127:$AC$136,27,FALSE)*AJ356+U356+V356+W356,IF(AS356=3,('Calc (ex-animal)'!$N$71+'Calc (ex-animal)'!$O$71)*'Calc (ex-housing, ex-storage)'!F356/100/VLOOKUP($C$355,'DB animal categories'!$C$127:$AC$136,27,FALSE)*AJ356+U356+V356+W356,IF(AS356=4,('Calc (ex-animal)'!$N$71+'Calc (ex-animal)'!$O$71)*'Calc (ex-housing, ex-storage)'!F356/100*VLOOKUP(D356,'DB technologies'!$N$168:$Y$180,12,FALSE)/100/VLOOKUP($C$355,'DB animal categories'!$C$127:$AC$136,27,FALSE)*AJ356+U356+V356+W356,0))))))</f>
        <v/>
      </c>
      <c r="AZ356" s="182" t="str">
        <f>IF(D356="","",IF(AS356=2,0,IF(AS356=1,'Calc (ex-animal)'!$Q$71*'Calc (ex-housing, ex-storage)'!F356/100/VLOOKUP($C$355,'DB animal categories'!$C$127:$AC$136,27,FALSE)*AJ356+Y356+Z356+AA356,IF(AS356=5,('Calc (ex-animal)'!$Q$71+'Calc (ex-animal)'!$R$71)*'Calc (ex-housing, ex-storage)'!F356/100/VLOOKUP($C$355,'DB animal categories'!$C$127:$AC$136,27,FALSE)*AJ356+Y356+Z356+AA356,IF(AS356=3,('Calc (ex-animal)'!$Q$71+'Calc (ex-animal)'!$R$71)*'Calc (ex-housing, ex-storage)'!F356/100/VLOOKUP($C$355,'DB animal categories'!$C$127:$AC$136,27,FALSE)*AJ356+Y356+Z356+AA356,IF(AS356=4,('Calc (ex-animal)'!$Q$71+'Calc (ex-animal)'!$R$71)*'Calc (ex-housing, ex-storage)'!F356/100*VLOOKUP(D356,'DB technologies'!$N$168:$Y$180,12,FALSE)/100/VLOOKUP($C$355,'DB animal categories'!$C$127:$AC$136,27,FALSE)*AJ356+Y356+Z356+AA356,0))))))</f>
        <v/>
      </c>
      <c r="BA356" s="506"/>
      <c r="BB356" s="506"/>
      <c r="BC356" s="506"/>
    </row>
    <row r="357" spans="1:55" x14ac:dyDescent="0.2">
      <c r="A357" s="695"/>
      <c r="B357" s="695"/>
      <c r="C357" s="251"/>
      <c r="D357" s="1357"/>
      <c r="E357" s="1358"/>
      <c r="F357" s="480" t="str">
        <f>IF('Calc (ex-animal)'!$F$63=1,"",IF($C$355=0,"",IF(D357="","",E357/'Calc (ex-animal)'!$E$71*100)))</f>
        <v/>
      </c>
      <c r="G357" s="485" t="str">
        <f>IF($C$355=0,"",IF('Calc (ex-animal)'!$F$63=1,"",IF(D357="","",SUM(H357:O357))))</f>
        <v/>
      </c>
      <c r="H357" s="423" t="str">
        <f>IF('Calc (ex-animal)'!$F$63=1,"",IF(D357="","",(((VLOOKUP($C$355,'Calc (ex-animal)'!$D$68:$Y$72,6,FALSE)-VLOOKUP($C$355,'Calc (ex-animal)'!$D$68:$Y$72,17,FALSE))*F357/100))*VLOOKUP($C$355,'Calc (ex-animal)'!$D$68:$Y$72,7,FALSE)/100*(1-VLOOKUP(D357,'DB technologies'!$N$168:$Y$180,9,FALSE)/100)))</f>
        <v/>
      </c>
      <c r="I357" s="423" t="str">
        <f>IF(D357="","",((VLOOKUP(D357,'DB technologies'!$N$168:$Y$180,2,FALSE)*VLOOKUP($C$355,'DB animal categories'!$C$127:$AC$136,27,FALSE)*E357/1000)/VLOOKUP($C$355,'DB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'!$S$6/100*(1-VLOOKUP(D357,'DB technologies'!$N$168:$Y$180,9,FALSE)/100)))</f>
        <v/>
      </c>
      <c r="J357" s="434" t="str">
        <f>IF(D357="","",((VLOOKUP(D357,'DB technologies'!$N$168:$Y$180,3,FALSE)*VLOOKUP($C$355,'DB animal categories'!$C$127:$AC$136,27,FALSE)*E357/1000)/VLOOKUP($C$355,'DB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'!$S$7/100*(1-VLOOKUP(D357,'DB technologies'!$N$168:$Y$180,9,FALSE)/100)))</f>
        <v/>
      </c>
      <c r="K357" s="434" t="str">
        <f>IF(D357="","",((VLOOKUP(D357,'DB technologies'!$N$168:$Y$180,4,FALSE)*E357*'DB additional information '!$S$8/100*(1-VLOOKUP(D357,'DB technologies'!$N$168:$Y$180,9,FALSE)/100))/VLOOKUP($C$355,'DB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L357" s="423" t="str">
        <f>IF('Calc (ex-animal)'!$F$63=1,"",IF(D357="","",(((VLOOKUP($C$355,'Calc (ex-animal)'!$D$68:$Y$72,6,FALSE)-VLOOKUP($C$355,'Calc (ex-animal)'!$D$68:$Y$72,17,FALSE))*F357/100))*(1-VLOOKUP($C$355,'Calc (ex-animal)'!$D$68:$Y$72,7,FALSE)/100)*(1-VLOOKUP(D357,'DB technologies'!$N$168:$V$180,8,FALSE)/100)))</f>
        <v/>
      </c>
      <c r="M357" s="434" t="str">
        <f>IF(D357="","",((VLOOKUP(D357,'DB technologies'!$N$168:$Y$180,2,FALSE)*VLOOKUP($C$355,'DB animal categories'!$C$127:$AC$136,27,FALSE)*E357/1000)/VLOOKUP($C$355,'DB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'!$S$6/100)*(1-VLOOKUP(D357,'DB technologies'!$N$168:$Y$180,9,FALSE)/100))</f>
        <v/>
      </c>
      <c r="N357" s="434" t="str">
        <f>IF(D357="","",((VLOOKUP(D357,'DB technologies'!$N$168:$Y$180,3,FALSE)*VLOOKUP($C$355,'DB animal categories'!$C$127:$AC$136,27,FALSE)*E357/1000)/VLOOKUP($C$355,'DB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'!$S$7/100)*(1-VLOOKUP(D357,'DB technologies'!$N$168:$Y$180,9,FALSE)/100))</f>
        <v/>
      </c>
      <c r="O357" s="423" t="str">
        <f>IF(D357="","",((VLOOKUP(D357,'DB technologies'!$N$168:$Y$180,4,FALSE)*E357*(1-'DB additional information '!$S$8/100)*(1-VLOOKUP(D357,'DB technologies'!$N$168:$Y$180,8,FALSE)/100))/VLOOKUP($C$355,'DB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P357" s="438" t="str">
        <f>IF(G357=0,0,IF(E357="","",IF(F357="","",IF($C$355=0,"",IF(D357="","",SUM(H357:K357)/G357*100)))))</f>
        <v/>
      </c>
      <c r="Q357" s="416" t="str">
        <f>IF(D357="","",(VLOOKUP(D357,'DB technologies'!$N$168:$Y$180,2,FALSE)*'DB additional information '!$S$6/100*'DB additional information '!$T$6*VLOOKUP($C$355,'DB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R357" s="416" t="str">
        <f>IF(D357="","",(VLOOKUP(D357,'DB technologies'!$N$168:$Y$180,3,FALSE)*'DB additional information '!$S$7/100*'DB additional information '!$T$7*VLOOKUP($C$355,'DB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S357" s="491" t="str">
        <f>IF(D357="","",(VLOOKUP(D357,'DB technologies'!$N$168:$Y$180,4,FALSE)*('DB additional information '!$S$8/100*'DB additional information '!$T$8*E357/1000/1000)))</f>
        <v/>
      </c>
      <c r="T357" s="264" t="str">
        <f>IF($C$355=0,"",IF('Calc (ex-animal)'!$F$63=1,"",IF(D357="","",((VLOOKUP($C$355,'Calc (ex-animal)'!$D$68:$Y$72,10,FALSE)-VLOOKUP($C$355,'Calc (ex-animal)'!$D$68:$Y$72,18,FALSE))*F357/100+Q357+R357+S357)-AC357-AD357-AE357)))</f>
        <v/>
      </c>
      <c r="U357" s="422" t="str">
        <f>IF(D357="","",(VLOOKUP(D357,'DB technologies'!$N$168:$Y$180,2,FALSE)*'DB additional information '!$S$6/100*'DB additional information '!$U$6*VLOOKUP($C$355,'DB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V357" s="418" t="str">
        <f>IF(D357="","",(VLOOKUP(D357,'DB technologies'!$N$168:$Y$180,3,FALSE)*'DB additional information '!$S$7/100*'DB additional information '!$U$7*VLOOKUP($C$355,'DB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W357" s="417" t="str">
        <f>IF(D357="","",(VLOOKUP(D357,'DB technologies'!$N$168:$Y$180,4,FALSE)*('DB additional information '!$S$8/100*'DB additional information '!$U$8*E357/1000/1000)))</f>
        <v/>
      </c>
      <c r="X357" s="261" t="str">
        <f>IF($C$355=0,"",IF('Calc (ex-animal)'!$F$63=1,"",IF(D357="","",((VLOOKUP($C$355,'Calc (ex-animal)'!$D$68:$Y$72,13,FALSE)-VLOOKUP($C$355,'Calc (ex-animal)'!$D$68:$Y$72,19,FALSE))*F357/100+U357+V357+W357))))</f>
        <v/>
      </c>
      <c r="Y357" s="418" t="str">
        <f>IF(D357="","",(VLOOKUP(D357,'DB technologies'!$N$168:$Y$180,2,FALSE)*'DB additional information '!$S$6/100*'DB additional information '!$V$6*VLOOKUP($C$355,'DB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Z357" s="418" t="str">
        <f>IF(D357="","",(VLOOKUP(D357,'DB technologies'!$N$168:$Y$180,3,FALSE)*'DB additional information '!$S$7/100*'DB additional information '!$V$7*VLOOKUP($C$355,'DB animal categories'!$C$127:$AC$136,27,FALSE)*E357/1000/1000)/VLOOKUP($C$355,'DB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AA357" s="418" t="str">
        <f>IF(D357="","",(VLOOKUP(D357,'DB technologies'!$N$168:$Y$180,4,FALSE)*('DB additional information '!$S$8/100*'DB additional information '!$V$8*E357/1000/1000)))</f>
        <v/>
      </c>
      <c r="AB357" s="261" t="str">
        <f>IF($C$355=0,"",IF('Calc (ex-animal)'!$F$63=1,"",IF(D357="","",((VLOOKUP($C$355,'Calc (ex-animal)'!$D$68:$Y$72,16,FALSE)-VLOOKUP($C$355,'Calc (ex-animal)'!$D$68:$Y$72,20,FALSE))*F357/100+Y357+Z357+AA357))))</f>
        <v/>
      </c>
      <c r="AC357" s="261" t="str">
        <f>IF($C$355=0,"",IF('Calc (ex-animal)'!$F$63=1,"",IF(D357="","",VLOOKUP($C$355,'Calc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categories'!$C$127:$AC$136,26,FALSE)/24)*F357/100*VLOOKUP(D357,'DB technologies'!$N$168:$R$180,5,FALSE)/100)))</f>
        <v/>
      </c>
      <c r="AD357" s="261" t="str">
        <f>IF($C$355=0,"",IF('Calc (ex-animal)'!$F$63=1,"",IF(D357="","",VLOOKUP($C$355,'Calc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categories'!$C$127:$AC$136,26,FALSE)/24)*F357/100*VLOOKUP(D357,'DB technologies'!$N$168:$Y$180,6,FALSE)/100)))</f>
        <v/>
      </c>
      <c r="AE357" s="262" t="str">
        <f>IF($C$355=0,"",IF('Calc (ex-animal)'!$F$63=1,"",IF(D357="","",VLOOKUP($C$355,'Calc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categories'!$C$127:$AC$136,26,FALSE)/24)*F357/100*VLOOKUP(D357,'DB technologies'!$N$168:$Y$180,7,FALSE)/100)))</f>
        <v/>
      </c>
      <c r="AI357" s="181" t="str">
        <f>IF(D357="","",VLOOKUP(D357,'DB technologies'!$N$168:$Y$180,10,FALSE))</f>
        <v/>
      </c>
      <c r="AJ357" s="449" t="e">
        <f>VLOOKUP($C$355,'DB animal categories'!$C$127:$AN$136,27,FALSE)-VLOOKUP($C$355,'DB animal categories'!$C$127:$AN$136,26,FALSE)*VLOOKUP($C$355,'DB animal categories'!$C$127:$AN$136,25,FALSE)/24</f>
        <v>#N/A</v>
      </c>
      <c r="AK357" s="442" t="str">
        <f>IF(AI357="","",AL357+AM357)</f>
        <v/>
      </c>
      <c r="AL357" s="442" t="str">
        <f>IF(D357="","",IF(AI357=2,(('Calc (ex-animal)'!$G$71*'DB additional information '!$K$14/100*(1-VLOOKUP(D357,'DB technologies'!$N$168:$Y$180,9,FALSE)/100)*'Calc (ex-housing, ex-storage)'!F357/100+'Calc (ex-animal)'!$H$71*'DB additional information '!$L$14/100*(1-VLOOKUP(D357,'DB technologies'!$N$168:$Y$180,9,FALSE)/100)*'Calc (ex-housing, ex-storage)'!F357/100))/VLOOKUP($C$355,'DB animal categories'!$C$127:$AC$136,27,FALSE)*AJ357+I357+J357+K357,IF(AI357=1,('Calc (ex-animal)'!$H$71*'DB additional information '!$L$14/100*(1-VLOOKUP(D357,'DB technologies'!$N$168:$Y$180,9,FALSE)/100)*'Calc (ex-housing, ex-storage)'!F357/100)/VLOOKUP($C$355,'DB animal categories'!$C$127:$AC$136,27,FALSE)*AJ357,IF(AI357=4,('Calc (ex-animal)'!$G$71*'DB additional information '!$K$14/100+'Calc (ex-animal)'!$H$71*'DB additional information '!$L$14/100)*(1-VLOOKUP(D357,'DB technologies'!$N$168:$Y$180,9,FALSE)/100)*'Calc (ex-housing, ex-storage)'!F357/100*VLOOKUP(D357,'DB technologies'!$N$168:$Y$180,11,FALSE)/100/VLOOKUP($C$355,'DB animal categories'!$C$127:$AC$136,27,FALSE)*AJ357,0))))</f>
        <v/>
      </c>
      <c r="AM357" s="442" t="str">
        <f>IF(D357="","",IF(AI357=2,(('Calc (ex-animal)'!$G$71*(1-'DB additional information '!$K$14/100)*(1-VLOOKUP(D357,'DB technologies'!$N$168:$Y$180,8,FALSE)/100)*'Calc (ex-housing, ex-storage)'!F357/100+'Calc (ex-animal)'!$H$71*(1-'DB additional information '!$L$14/100)*(1-VLOOKUP(D357,'DB technologies'!$N$168:$Y$180,8,FALSE)/100)*'Calc (ex-housing, ex-storage)'!F357/100))/VLOOKUP($C$355,'DB animal categories'!$C$127:$AC$136,27,FALSE)*AJ357+M357+N357+O357,IF(AI357=1,('Calc (ex-animal)'!$H$71*(1-'DB additional information '!$L$14/100)*(1-VLOOKUP(D357,'DB technologies'!$N$168:$Y$180,8,FALSE)/100)*'Calc (ex-housing, ex-storage)'!F357/100)/VLOOKUP($C$355,'DB animal categories'!$C$127:$AC$136,27,FALSE)*AJ357,IF(AI357=4,('Calc (ex-animal)'!$G$71*(1-'DB additional information '!$K$14/100)+'Calc (ex-animal)'!$H$71*(1-'DB additional information '!$L$14/100))*(1-VLOOKUP(D357,'DB technologies'!$N$168:$Y$180,8,FALSE)/100)*'Calc (ex-housing, ex-storage)'!F357/100*VLOOKUP(D357,'DB technologies'!$N$168:$Y$180,11,FALSE)/100/VLOOKUP($C$355,'DB animal categories'!$C$127:$AC$136,27,FALSE)*AJ357,0))))</f>
        <v/>
      </c>
      <c r="AN357" s="442" t="str">
        <f>IF(AI357="","",IF(AL357=0,0,AL357/AK357*100))</f>
        <v/>
      </c>
      <c r="AO357" s="182" t="str">
        <f>IF(D357="","",IF(AI357=2,(('Calc (ex-animal)'!$L$71*'Calc (ex-housing, ex-storage)'!F357/100+'Calc (ex-animal)'!$K$71*'Calc (ex-housing, ex-storage)'!F357/100))/VLOOKUP($C$355,'DB animal categories'!$C$127:$AC$136,27,FALSE)*AJ357+Q357+R357+S357-AC357,IF(AI357=1,('Calc (ex-animal)'!$L$71*'Calc (ex-housing, ex-storage)'!F357/100)/VLOOKUP($C$355,'DB animal categories'!$C$127:$AC$136,27,FALSE)*AJ357-'Calc (ex-housing, ex-storage)'!AC357,IF(AI357=4,('Calc (ex-animal)'!$L$71+'Calc (ex-animal)'!$K$71)*'Calc (ex-housing, ex-storage)'!F357/100*VLOOKUP(D357,'DB technologies'!$N$168:$Y$180,11,FALSE)/100/VLOOKUP($C$355,'DB animal categories'!$C$127:$AC$136,27,FALSE)*AJ357-AC357*VLOOKUP(D357,'DB technologies'!$N$168:$Y$180,11,FALSE)/100,0))))</f>
        <v/>
      </c>
      <c r="AP357" s="182" t="str">
        <f>IF(D357="","",IF(AO357&lt;-0.01,0,IF(AI357=2,(('Calc (ex-animal)'!$L$71*'Calc (ex-housing, ex-storage)'!F357/100+'Calc (ex-animal)'!$K$71*'Calc (ex-housing, ex-storage)'!F357/100))/VLOOKUP($C$355,'DB animal categories'!$C$127:$AC$136,27,FALSE)*AJ357+Q357+R357+S357-AC357,IF(AI357=1,('Calc (ex-animal)'!$L$71*'Calc (ex-housing, ex-storage)'!F357/100)/VLOOKUP($C$355,'DB animal categories'!$C$127:$AC$136,27,FALSE)*AJ357-'Calc (ex-housing, ex-storage)'!AC357,IF(AI357=4,('Calc (ex-animal)'!$L$71+'Calc (ex-animal)'!$K$71)*'Calc (ex-housing, ex-storage)'!F357/100*VLOOKUP(D357,'DB technologies'!$N$168:$Y$180,11,FALSE)/100/VLOOKUP($C$355,'DB animal categories'!$C$127:$AC$136,27,FALSE)*AJ357-AC357*VLOOKUP(D357,'DB technologies'!$N$168:$Y$180,11,FALSE)/100,0)))))</f>
        <v/>
      </c>
      <c r="AQ357" s="182" t="str">
        <f>IF(D357="","",IF(AI357=2,('Calc (ex-animal)'!$O$71*'Calc (ex-housing, ex-storage)'!F357/100+'Calc (ex-animal)'!$N$71*'Calc (ex-housing, ex-storage)'!F357/100)/VLOOKUP($C$355,'DB animal categories'!$C$127:$AC$136,27,FALSE)*AJ357+U357+V357+W357,IF(AI357=1,'Calc (ex-animal)'!$O$71*'Calc (ex-housing, ex-storage)'!F357/100/VLOOKUP($C$355,'DB animal categories'!$C$127:$AC$136,27,FALSE)*AJ357,IF(AI357=4,('Calc (ex-animal)'!$O$71+'Calc (ex-animal)'!$N$71)*'Calc (ex-housing, ex-storage)'!F357/100*VLOOKUP(D357,'DB technologies'!$N$168:$Y$180,11,FALSE)/100/VLOOKUP($C$355,'DB animal categories'!$C$127:$AC$136,27,FALSE)*AJ357,0))))</f>
        <v/>
      </c>
      <c r="AR357" s="182" t="str">
        <f>IF(D357="","",IF(AI357=2,('Calc (ex-animal)'!$R$71*'Calc (ex-housing, ex-storage)'!F357/100+'Calc (ex-animal)'!$Q$71*'Calc (ex-housing, ex-storage)'!F357/100)/VLOOKUP($C$355,'DB animal categories'!$C$127:$AC$136,27,FALSE)*AJ357+Y357+Z357+AA357,IF(AI357=1,'Calc (ex-animal)'!$R$71*'Calc (ex-housing, ex-storage)'!F357/100/VLOOKUP($C$355,'DB animal categories'!$C$127:$AC$136,27,FALSE)*AJ357,IF(AI357=4,('Calc (ex-animal)'!$R$71+'Calc (ex-animal)'!$Q$71)*'Calc (ex-housing, ex-storage)'!F357/100*VLOOKUP(D357,'DB technologies'!$N$168:$Y$180,11,FALSE)/100/VLOOKUP($C$355,'DB animal categories'!$C$127:$AC$136,27,FALSE)*AJ357,0))))</f>
        <v/>
      </c>
      <c r="AS357" s="181" t="str">
        <f>IF(D357="","",VLOOKUP(D357,'DB technologies'!$N$168:$Y$180,10,FALSE))</f>
        <v/>
      </c>
      <c r="AT357" s="442" t="str">
        <f>IF(AS357="","",AU357+AV357)</f>
        <v/>
      </c>
      <c r="AU357" s="442" t="str">
        <f>IF(D357="","",IF(AS357=2,0,IF(AS357=1,'Calc (ex-animal)'!$G$71*'DB additional information '!$K$14/100*(1-VLOOKUP(D357,'DB technologies'!$N$168:$Y$180,8,FALSE)/100)*'Calc (ex-housing, ex-storage)'!F357/100/VLOOKUP($C$355,'DB animal categories'!$C$127:$AC$136,27,FALSE)*AJ357+I357+J357+K357,IF(AS357=5,(('Calc (ex-animal)'!$G$71*'DB additional information '!$K$14/100+'Calc (ex-animal)'!$H$71*'DB additional information '!$L$14/100))*(1-VLOOKUP(D357,'DB technologies'!$N$168:$Y$180,9,FALSE)/100)*'Calc (ex-housing, ex-storage)'!F357/100/VLOOKUP($C$355,'DB animal categories'!$C$127:$AC$136,27,FALSE)*AJ357+I357+J357+K357,IF(AS357=3,('Calc (ex-animal)'!$G$71*'DB additional information '!$K$14/100+'Calc (ex-animal)'!$H$71*'DB additional information '!$L$14/100)*(1-VLOOKUP(D357,'DB technologies'!$N$168:$Y$180,9,FALSE)/100)*'Calc (ex-housing, ex-storage)'!F357/100/VLOOKUP($C$355,'DB animal categories'!$C$127:$AC$136,27,FALSE)*AJ357+I357+J357+K357,IF(AS357=4,('Calc (ex-animal)'!$G$71*'DB additional information '!$K$14/100+'Calc (ex-animal)'!$H$71*'DB additional information '!$L$14/100)*(1-VLOOKUP(D357,'DB technologies'!$N$168:$Y$180,9,FALSE)/100)*'Calc (ex-housing, ex-storage)'!F357/100*VLOOKUP(D357,'DB technologies'!$N$168:$Y$180,12,FALSE)/100/VLOOKUP($C$355,'DB animal categories'!$C$127:$AC$136,27,FALSE)*AJ357+I357+J357+K357,0))))))</f>
        <v/>
      </c>
      <c r="AV357" s="442" t="str">
        <f>IF(D357="","",IF(AS357=2,0,IF(AS357=1,'Calc (ex-animal)'!$G$71*(1-'DB additional information '!$K$14/100)*(1-VLOOKUP(D357,'DB technologies'!$N$168:$Y$180,8,FALSE)/100)*'Calc (ex-housing, ex-storage)'!F357/100/VLOOKUP($C$355,'DB animal categories'!$C$127:$AC$136,27,FALSE)*AJ357+M357+N357+O357,IF(AS357=5,('Calc (ex-animal)'!$G$71*(1-'DB additional information '!$K$14/100)+'Calc (ex-animal)'!$H$71*(1-'DB additional information '!$L$14/100))*(1-VLOOKUP(D357,'DB technologies'!$N$168:$Y$180,8,FALSE)/100)*'Calc (ex-housing, ex-storage)'!F357/100/VLOOKUP($C$355,'DB animal categories'!$C$127:$AC$136,27,FALSE)*AJ357+M357+N357+O357,IF(AS357=3,('Calc (ex-animal)'!$G$71*(1-'DB additional information '!$K$14/100)+'Calc (ex-animal)'!$H$71*(1-'DB additional information '!$L$14/100))*(1-VLOOKUP(D357,'DB technologies'!$N$168:$Y$180,8,FALSE)/100)*'Calc (ex-housing, ex-storage)'!F357/100/VLOOKUP($C$355,'DB animal categories'!$C$127:$AC$136,27,FALSE)*AJ357+M357+N357+O357,IF(AS357=4,('Calc (ex-animal)'!$G$71*(1-'DB additional information '!$K$14/100)+'Calc (ex-animal)'!$H$71*(1-'DB additional information '!$L$14/100))*(1-VLOOKUP(D357,'DB technologies'!$N$168:$Y$180,8,FALSE)/100)*'Calc (ex-housing, ex-storage)'!F357/100*VLOOKUP(D357,'DB technologies'!$N$168:$Y$180,12,FALSE)/100/VLOOKUP($C$355,'DB animal categories'!$C$127:$AC$136,27,FALSE)*AJ357+M357+N357+O357,0))))))</f>
        <v/>
      </c>
      <c r="AW357" s="442" t="str">
        <f>IF(AS357="","",IF(AU357=0,0,AU357/AT357*100))</f>
        <v/>
      </c>
      <c r="AX357" s="182" t="str">
        <f>IF(D357="","",IF(AS357=2,0,IF(AS357=1,'Calc (ex-animal)'!$K$71*'Calc (ex-housing, ex-storage)'!F357/100/VLOOKUP($C$355,'DB animal categories'!$C$127:$AC$136,27,FALSE)*AJ357+Q357+R357+S357,IF(AS357=5,('Calc (ex-animal)'!$K$71+'Calc (ex-animal)'!$L$71)*'Calc (ex-housing, ex-storage)'!F357/100/VLOOKUP($C$355,'DB animal categories'!$C$127:$AC$136,27,FALSE)*AJ357+Q357+R357+S357-'Calc (ex-housing, ex-storage)'!AC357,IF(AS357=3,('Calc (ex-animal)'!$K$71+'Calc (ex-animal)'!$L$71)*'Calc (ex-housing, ex-storage)'!F357/100/VLOOKUP($C$355,'DB animal categories'!$C$127:$AC$136,27,FALSE)*AJ357+Q357+R357+S357-'Calc (ex-housing, ex-storage)'!AC357-AD357-AE357,IF(AI357=4,('Calc (ex-animal)'!$K$71+'Calc (ex-animal)'!$L$71)*'Calc (ex-housing, ex-storage)'!F357/100*VLOOKUP(D357,'DB technologies'!$N$168:$Y$180,12,FALSE)/100/VLOOKUP($C$355,'DB animal categories'!$C$127:$AC$136,27,FALSE)*AJ357+Q357+R357+S357-(VLOOKUP(D357,'DB technologies'!$N$168:$Y$180,12,FALSE)/100*AC357)-AD357-AE357,0))))))</f>
        <v/>
      </c>
      <c r="AY357" s="182" t="str">
        <f>IF(D357="","",IF(AS357=2,0,IF(AS357=1,'Calc (ex-animal)'!$N$71*'Calc (ex-housing, ex-storage)'!F357/100/VLOOKUP($C$355,'DB animal categories'!$C$127:$AC$136,27,FALSE)*AJ357+U357+V357+W357,IF(AS357=5,('Calc (ex-animal)'!$N$71+'Calc (ex-animal)'!$O$71)*'Calc (ex-housing, ex-storage)'!F357/100/VLOOKUP($C$355,'DB animal categories'!$C$127:$AC$136,27,FALSE)*AJ357+U357+V357+W357,IF(AS357=3,('Calc (ex-animal)'!$N$71+'Calc (ex-animal)'!$O$71)*'Calc (ex-housing, ex-storage)'!F357/100/VLOOKUP($C$355,'DB animal categories'!$C$127:$AC$136,27,FALSE)*AJ357+U357+V357+W357,IF(AS357=4,('Calc (ex-animal)'!$N$71+'Calc (ex-animal)'!$O$71)*'Calc (ex-housing, ex-storage)'!F357/100*VLOOKUP(D357,'DB technologies'!$N$168:$Y$180,12,FALSE)/100/VLOOKUP($C$355,'DB animal categories'!$C$127:$AC$136,27,FALSE)*AJ357+U357+V357+W357,0))))))</f>
        <v/>
      </c>
      <c r="AZ357" s="182" t="str">
        <f>IF(D357="","",IF(AS357=2,0,IF(AS357=1,'Calc (ex-animal)'!$Q$71*'Calc (ex-housing, ex-storage)'!F357/100/VLOOKUP($C$355,'DB animal categories'!$C$127:$AC$136,27,FALSE)*AJ357+Y357+Z357+AA357,IF(AS357=5,('Calc (ex-animal)'!$Q$71+'Calc (ex-animal)'!$R$71)*'Calc (ex-housing, ex-storage)'!F357/100/VLOOKUP($C$355,'DB animal categories'!$C$127:$AC$136,27,FALSE)*AJ357+Y357+Z357+AA357,IF(AS357=3,('Calc (ex-animal)'!$Q$71+'Calc (ex-animal)'!$R$71)*'Calc (ex-housing, ex-storage)'!F357/100/VLOOKUP($C$355,'DB animal categories'!$C$127:$AC$136,27,FALSE)*AJ357+Y357+Z357+AA357,IF(AS357=4,('Calc (ex-animal)'!$Q$71+'Calc (ex-animal)'!$R$71)*'Calc (ex-housing, ex-storage)'!F357/100*VLOOKUP(D357,'DB technologies'!$N$168:$Y$180,12,FALSE)/100/VLOOKUP($C$355,'DB animal categories'!$C$127:$AC$136,27,FALSE)*AJ357+Y357+Z357+AA357,0))))))</f>
        <v/>
      </c>
      <c r="BA357" s="506"/>
      <c r="BB357" s="506"/>
      <c r="BC357" s="506"/>
    </row>
    <row r="358" spans="1:55" x14ac:dyDescent="0.2">
      <c r="A358" s="695"/>
      <c r="B358" s="695"/>
      <c r="C358" s="251"/>
      <c r="D358" s="1357"/>
      <c r="E358" s="1358"/>
      <c r="F358" s="480" t="str">
        <f>IF('Calc (ex-animal)'!$F$63=1,"",IF($C$355=0,"",IF(D358="","",E358/'Calc (ex-animal)'!$E$71*100)))</f>
        <v/>
      </c>
      <c r="G358" s="485" t="str">
        <f>IF($C$355=0,"",IF('Calc (ex-animal)'!$F$63=1,"",IF(D358="","",SUM(H358:O358))))</f>
        <v/>
      </c>
      <c r="H358" s="423" t="str">
        <f>IF('Calc (ex-animal)'!$F$63=1,"",IF(D358="","",(((VLOOKUP($C$355,'Calc (ex-animal)'!$D$68:$Y$72,6,FALSE)-VLOOKUP($C$355,'Calc (ex-animal)'!$D$68:$Y$72,17,FALSE))*F358/100))*VLOOKUP($C$355,'Calc (ex-animal)'!$D$68:$Y$72,7,FALSE)/100*(1-VLOOKUP(D358,'DB technologies'!$N$168:$Y$180,9,FALSE)/100)))</f>
        <v/>
      </c>
      <c r="I358" s="423" t="str">
        <f>IF(D358="","",((VLOOKUP(D358,'DB technologies'!$N$168:$Y$180,2,FALSE)*VLOOKUP($C$355,'DB animal categories'!$C$127:$AC$136,27,FALSE)*E358/1000)/VLOOKUP($C$355,'DB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'!$S$6/100*(1-VLOOKUP(D358,'DB technologies'!$N$168:$Y$180,9,FALSE)/100)))</f>
        <v/>
      </c>
      <c r="J358" s="434" t="str">
        <f>IF(D358="","",((VLOOKUP(D358,'DB technologies'!$N$168:$Y$180,3,FALSE)*VLOOKUP($C$355,'DB animal categories'!$C$127:$AC$136,27,FALSE)*E358/1000)/VLOOKUP($C$355,'DB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'!$S$7/100*(1-VLOOKUP(D358,'DB technologies'!$N$168:$Y$180,9,FALSE)/100)))</f>
        <v/>
      </c>
      <c r="K358" s="434" t="str">
        <f>IF(D358="","",((VLOOKUP(D358,'DB technologies'!$N$168:$Y$180,4,FALSE)*E358*'DB additional information '!$S$8/100*(1-VLOOKUP(D358,'DB technologies'!$N$168:$Y$180,9,FALSE)/100))/VLOOKUP($C$355,'DB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L358" s="423" t="str">
        <f>IF('Calc (ex-animal)'!$F$63=1,"",IF(D358="","",(((VLOOKUP($C$355,'Calc (ex-animal)'!$D$68:$Y$72,6,FALSE)-VLOOKUP($C$355,'Calc (ex-animal)'!$D$68:$Y$72,17,FALSE))*F358/100))*(1-VLOOKUP($C$355,'Calc (ex-animal)'!$D$68:$Y$72,7,FALSE)/100)*(1-VLOOKUP(D358,'DB technologies'!$N$168:$V$180,8,FALSE)/100)))</f>
        <v/>
      </c>
      <c r="M358" s="434" t="str">
        <f>IF(D358="","",((VLOOKUP(D358,'DB technologies'!$N$168:$Y$180,2,FALSE)*VLOOKUP($C$355,'DB animal categories'!$C$127:$AC$136,27,FALSE)*E358/1000)/VLOOKUP($C$355,'DB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'!$S$6/100)*(1-VLOOKUP(D358,'DB technologies'!$N$168:$Y$180,9,FALSE)/100))</f>
        <v/>
      </c>
      <c r="N358" s="434" t="str">
        <f>IF(D358="","",((VLOOKUP(D358,'DB technologies'!$N$168:$Y$180,3,FALSE)*VLOOKUP($C$355,'DB animal categories'!$C$127:$AC$136,27,FALSE)*E358/1000)/VLOOKUP($C$355,'DB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'!$S$7/100)*(1-VLOOKUP(D358,'DB technologies'!$N$168:$Y$180,9,FALSE)/100))</f>
        <v/>
      </c>
      <c r="O358" s="423" t="str">
        <f>IF(D358="","",((VLOOKUP(D358,'DB technologies'!$N$168:$Y$180,4,FALSE)*E358*(1-'DB additional information '!$S$8/100)*(1-VLOOKUP(D358,'DB technologies'!$N$168:$Y$180,8,FALSE)/100))/VLOOKUP($C$355,'DB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P358" s="438" t="str">
        <f>IF(G358=0,0,IF(E358="","",IF(F358="","",IF($C$355=0,"",IF(D358="","",SUM(H358:K358)/G358*100)))))</f>
        <v/>
      </c>
      <c r="Q358" s="416" t="str">
        <f>IF(D358="","",(VLOOKUP(D358,'DB technologies'!$N$168:$Y$180,2,FALSE)*'DB additional information '!$S$6/100*'DB additional information '!$T$6*VLOOKUP($C$355,'DB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R358" s="416" t="str">
        <f>IF(D358="","",(VLOOKUP(D358,'DB technologies'!$N$168:$Y$180,3,FALSE)*'DB additional information '!$S$7/100*'DB additional information '!$T$7*VLOOKUP($C$355,'DB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S358" s="491" t="str">
        <f>IF(D358="","",(VLOOKUP(D358,'DB technologies'!$N$168:$Y$180,4,FALSE)*('DB additional information '!$S$8/100*'DB additional information '!$T$8*E358/1000/1000)))</f>
        <v/>
      </c>
      <c r="T358" s="264" t="str">
        <f>IF($C$355=0,"",IF('Calc (ex-animal)'!$F$63=1,"",IF(D358="","",((VLOOKUP($C$355,'Calc (ex-animal)'!$D$68:$Y$72,10,FALSE)-VLOOKUP($C$355,'Calc (ex-animal)'!$D$68:$Y$72,18,FALSE))*F358/100+Q358+R358+S358)-AC358-AD358-AE358)))</f>
        <v/>
      </c>
      <c r="U358" s="422" t="str">
        <f>IF(D358="","",(VLOOKUP(D358,'DB technologies'!$N$168:$Y$180,2,FALSE)*'DB additional information '!$S$6/100*'DB additional information '!$U$6*VLOOKUP($C$355,'DB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V358" s="418" t="str">
        <f>IF(D358="","",(VLOOKUP(D358,'DB technologies'!$N$168:$Y$180,3,FALSE)*'DB additional information '!$S$7/100*'DB additional information '!$U$7*VLOOKUP($C$355,'DB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W358" s="417" t="str">
        <f>IF(D358="","",(VLOOKUP(D358,'DB technologies'!$N$168:$Y$180,4,FALSE)*('DB additional information '!$S$8/100*'DB additional information '!$U$8*E358/1000/1000)))</f>
        <v/>
      </c>
      <c r="X358" s="261" t="str">
        <f>IF($C$355=0,"",IF('Calc (ex-animal)'!$F$63=1,"",IF(D358="","",((VLOOKUP($C$355,'Calc (ex-animal)'!$D$68:$Y$72,13,FALSE)-VLOOKUP($C$355,'Calc (ex-animal)'!$D$68:$Y$72,19,FALSE))*F358/100+U358+V358+W358))))</f>
        <v/>
      </c>
      <c r="Y358" s="418" t="str">
        <f>IF(D358="","",(VLOOKUP(D358,'DB technologies'!$N$168:$Y$180,2,FALSE)*'DB additional information '!$S$6/100*'DB additional information '!$V$6*VLOOKUP($C$355,'DB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Z358" s="418" t="str">
        <f>IF(D358="","",(VLOOKUP(D358,'DB technologies'!$N$168:$Y$180,3,FALSE)*'DB additional information '!$S$7/100*'DB additional information '!$V$7*VLOOKUP($C$355,'DB animal categories'!$C$127:$AC$136,27,FALSE)*E358/1000/1000)/VLOOKUP($C$355,'DB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AA358" s="418" t="str">
        <f>IF(D358="","",(VLOOKUP(D358,'DB technologies'!$N$168:$Y$180,4,FALSE)*('DB additional information '!$S$8/100*'DB additional information '!$V$8*E358/1000/1000)))</f>
        <v/>
      </c>
      <c r="AB358" s="261" t="str">
        <f>IF($C$355=0,"",IF('Calc (ex-animal)'!$F$63=1,"",IF(D358="","",((VLOOKUP($C$355,'Calc (ex-animal)'!$D$68:$Y$72,16,FALSE)-VLOOKUP($C$355,'Calc (ex-animal)'!$D$68:$Y$72,20,FALSE))*F358/100+Y358+Z358+AA358))))</f>
        <v/>
      </c>
      <c r="AC358" s="261" t="str">
        <f>IF($C$355=0,"",IF('Calc (ex-animal)'!$F$63=1,"",IF(D358="","",VLOOKUP($C$355,'Calc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categories'!$C$127:$AC$136,26,FALSE)/24)*F358/100*VLOOKUP(D358,'DB technologies'!$N$168:$R$180,5,FALSE)/100)))</f>
        <v/>
      </c>
      <c r="AD358" s="261" t="str">
        <f>IF($C$355=0,"",IF('Calc (ex-animal)'!$F$63=1,"",IF(D358="","",VLOOKUP($C$355,'Calc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categories'!$C$127:$AC$136,26,FALSE)/24)*F358/100*VLOOKUP(D358,'DB technologies'!$N$168:$Y$180,6,FALSE)/100)))</f>
        <v/>
      </c>
      <c r="AE358" s="262" t="str">
        <f>IF($C$355=0,"",IF('Calc (ex-animal)'!$F$63=1,"",IF(D358="","",VLOOKUP($C$355,'Calc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categories'!$C$127:$AC$136,26,FALSE)/24)*F358/100*VLOOKUP(D358,'DB technologies'!$N$168:$Y$180,7,FALSE)/100)))</f>
        <v/>
      </c>
      <c r="AI358" s="181" t="str">
        <f>IF(D358="","",VLOOKUP(D358,'DB technologies'!$N$168:$Y$180,10,FALSE))</f>
        <v/>
      </c>
      <c r="AJ358" s="449" t="e">
        <f>VLOOKUP($C$355,'DB animal categories'!$C$127:$AN$136,27,FALSE)-VLOOKUP($C$355,'DB animal categories'!$C$127:$AN$136,26,FALSE)*VLOOKUP($C$355,'DB animal categories'!$C$127:$AN$136,25,FALSE)/24</f>
        <v>#N/A</v>
      </c>
      <c r="AK358" s="442" t="str">
        <f>IF(AI358="","",AL358+AM358)</f>
        <v/>
      </c>
      <c r="AL358" s="442" t="str">
        <f>IF(D358="","",IF(AI358=2,(('Calc (ex-animal)'!$G$71*'DB additional information '!$K$14/100*(1-VLOOKUP(D358,'DB technologies'!$N$168:$Y$180,9,FALSE)/100)*'Calc (ex-housing, ex-storage)'!F358/100+'Calc (ex-animal)'!$H$71*'DB additional information '!$L$14/100*(1-VLOOKUP(D358,'DB technologies'!$N$168:$Y$180,9,FALSE)/100)*'Calc (ex-housing, ex-storage)'!F358/100))/VLOOKUP($C$355,'DB animal categories'!$C$127:$AC$136,27,FALSE)*AJ358+I358+J358+K358,IF(AI358=1,('Calc (ex-animal)'!$H$71*'DB additional information '!$L$14/100*(1-VLOOKUP(D358,'DB technologies'!$N$168:$Y$180,9,FALSE)/100)*'Calc (ex-housing, ex-storage)'!F358/100)/VLOOKUP($C$355,'DB animal categories'!$C$127:$AC$136,27,FALSE)*AJ358,IF(AI358=4,('Calc (ex-animal)'!$G$71*'DB additional information '!$K$14/100+'Calc (ex-animal)'!$H$71*'DB additional information '!$L$14/100)*(1-VLOOKUP(D358,'DB technologies'!$N$168:$Y$180,9,FALSE)/100)*'Calc (ex-housing, ex-storage)'!F358/100*VLOOKUP(D358,'DB technologies'!$N$168:$Y$180,11,FALSE)/100/VLOOKUP($C$355,'DB animal categories'!$C$127:$AC$136,27,FALSE)*AJ358,0))))</f>
        <v/>
      </c>
      <c r="AM358" s="442" t="str">
        <f>IF(D358="","",IF(AI358=2,(('Calc (ex-animal)'!$G$71*(1-'DB additional information '!$K$14/100)*(1-VLOOKUP(D358,'DB technologies'!$N$168:$Y$180,8,FALSE)/100)*'Calc (ex-housing, ex-storage)'!F358/100+'Calc (ex-animal)'!$H$71*(1-'DB additional information '!$L$14/100)*(1-VLOOKUP(D358,'DB technologies'!$N$168:$Y$180,8,FALSE)/100)*'Calc (ex-housing, ex-storage)'!F358/100))/VLOOKUP($C$355,'DB animal categories'!$C$127:$AC$136,27,FALSE)*AJ358+M358+N358+O358,IF(AI358=1,('Calc (ex-animal)'!$H$71*(1-'DB additional information '!$L$14/100)*(1-VLOOKUP(D358,'DB technologies'!$N$168:$Y$180,8,FALSE)/100)*'Calc (ex-housing, ex-storage)'!F358/100)/VLOOKUP($C$355,'DB animal categories'!$C$127:$AC$136,27,FALSE)*AJ358,IF(AI358=4,('Calc (ex-animal)'!$G$71*(1-'DB additional information '!$K$14/100)+'Calc (ex-animal)'!$H$71*(1-'DB additional information '!$L$14/100))*(1-VLOOKUP(D358,'DB technologies'!$N$168:$Y$180,8,FALSE)/100)*'Calc (ex-housing, ex-storage)'!F358/100*VLOOKUP(D358,'DB technologies'!$N$168:$Y$180,11,FALSE)/100/VLOOKUP($C$355,'DB animal categories'!$C$127:$AC$136,27,FALSE)*AJ358,0))))</f>
        <v/>
      </c>
      <c r="AN358" s="442" t="str">
        <f>IF(AI358="","",IF(AL358=0,0,AL358/AK358*100))</f>
        <v/>
      </c>
      <c r="AO358" s="182" t="str">
        <f>IF(D358="","",IF(AI358=2,(('Calc (ex-animal)'!$L$71*'Calc (ex-housing, ex-storage)'!F358/100+'Calc (ex-animal)'!$K$71*'Calc (ex-housing, ex-storage)'!F358/100))/VLOOKUP($C$355,'DB animal categories'!$C$127:$AC$136,27,FALSE)*AJ358+Q358+R358+S358-AC358,IF(AI358=1,('Calc (ex-animal)'!$L$71*'Calc (ex-housing, ex-storage)'!F358/100)/VLOOKUP($C$355,'DB animal categories'!$C$127:$AC$136,27,FALSE)*AJ358-'Calc (ex-housing, ex-storage)'!AC358,IF(AI358=4,('Calc (ex-animal)'!$L$71+'Calc (ex-animal)'!$K$71)*'Calc (ex-housing, ex-storage)'!F358/100*VLOOKUP(D358,'DB technologies'!$N$168:$Y$180,11,FALSE)/100/VLOOKUP($C$355,'DB animal categories'!$C$127:$AC$136,27,FALSE)*AJ358-AC358*VLOOKUP(D358,'DB technologies'!$N$168:$Y$180,11,FALSE)/100,0))))</f>
        <v/>
      </c>
      <c r="AP358" s="182" t="str">
        <f>IF(D358="","",IF(AO358&lt;-0.01,0,IF(AI358=2,(('Calc (ex-animal)'!$L$71*'Calc (ex-housing, ex-storage)'!F358/100+'Calc (ex-animal)'!$K$71*'Calc (ex-housing, ex-storage)'!F358/100))/VLOOKUP($C$355,'DB animal categories'!$C$127:$AC$136,27,FALSE)*AJ358+Q358+R358+S358-AC358,IF(AI358=1,('Calc (ex-animal)'!$L$71*'Calc (ex-housing, ex-storage)'!F358/100)/VLOOKUP($C$355,'DB animal categories'!$C$127:$AC$136,27,FALSE)*AJ358-'Calc (ex-housing, ex-storage)'!AC358,IF(AI358=4,('Calc (ex-animal)'!$L$71+'Calc (ex-animal)'!$K$71)*'Calc (ex-housing, ex-storage)'!F358/100*VLOOKUP(D358,'DB technologies'!$N$168:$Y$180,11,FALSE)/100/VLOOKUP($C$355,'DB animal categories'!$C$127:$AC$136,27,FALSE)*AJ358-AC358*VLOOKUP(D358,'DB technologies'!$N$168:$Y$180,11,FALSE)/100,0)))))</f>
        <v/>
      </c>
      <c r="AQ358" s="182" t="str">
        <f>IF(D358="","",IF(AI358=2,('Calc (ex-animal)'!$O$71*'Calc (ex-housing, ex-storage)'!F358/100+'Calc (ex-animal)'!$N$71*'Calc (ex-housing, ex-storage)'!F358/100)/VLOOKUP($C$355,'DB animal categories'!$C$127:$AC$136,27,FALSE)*AJ358+U358+V358+W358,IF(AI358=1,'Calc (ex-animal)'!$O$71*'Calc (ex-housing, ex-storage)'!F358/100/VLOOKUP($C$355,'DB animal categories'!$C$127:$AC$136,27,FALSE)*AJ358,IF(AI358=4,('Calc (ex-animal)'!$O$71+'Calc (ex-animal)'!$N$71)*'Calc (ex-housing, ex-storage)'!F358/100*VLOOKUP(D358,'DB technologies'!$N$168:$Y$180,11,FALSE)/100/VLOOKUP($C$355,'DB animal categories'!$C$127:$AC$136,27,FALSE)*AJ358,0))))</f>
        <v/>
      </c>
      <c r="AR358" s="182" t="str">
        <f>IF(D358="","",IF(AI358=2,('Calc (ex-animal)'!$R$71*'Calc (ex-housing, ex-storage)'!F358/100+'Calc (ex-animal)'!$Q$71*'Calc (ex-housing, ex-storage)'!F358/100)/VLOOKUP($C$355,'DB animal categories'!$C$127:$AC$136,27,FALSE)*AJ358+Y358+Z358+AA358,IF(AI358=1,'Calc (ex-animal)'!$R$71*'Calc (ex-housing, ex-storage)'!F358/100/VLOOKUP($C$355,'DB animal categories'!$C$127:$AC$136,27,FALSE)*AJ358,IF(AI358=4,('Calc (ex-animal)'!$R$71+'Calc (ex-animal)'!$Q$71)*'Calc (ex-housing, ex-storage)'!F358/100*VLOOKUP(D358,'DB technologies'!$N$168:$Y$180,11,FALSE)/100/VLOOKUP($C$355,'DB animal categories'!$C$127:$AC$136,27,FALSE)*AJ358,0))))</f>
        <v/>
      </c>
      <c r="AS358" s="181" t="str">
        <f>IF(D358="","",VLOOKUP(D358,'DB technologies'!$N$168:$Y$180,10,FALSE))</f>
        <v/>
      </c>
      <c r="AT358" s="442" t="str">
        <f>IF(AS358="","",AU358+AV358)</f>
        <v/>
      </c>
      <c r="AU358" s="442" t="str">
        <f>IF(D358="","",IF(AS358=2,0,IF(AS358=1,'Calc (ex-animal)'!$G$71*'DB additional information '!$K$14/100*(1-VLOOKUP(D358,'DB technologies'!$N$168:$Y$180,8,FALSE)/100)*'Calc (ex-housing, ex-storage)'!F358/100/VLOOKUP($C$355,'DB animal categories'!$C$127:$AC$136,27,FALSE)*AJ358+I358+J358+K358,IF(AS358=5,(('Calc (ex-animal)'!$G$71*'DB additional information '!$K$14/100+'Calc (ex-animal)'!$H$71*'DB additional information '!$L$14/100))*(1-VLOOKUP(D358,'DB technologies'!$N$168:$Y$180,9,FALSE)/100)*'Calc (ex-housing, ex-storage)'!F358/100/VLOOKUP($C$355,'DB animal categories'!$C$127:$AC$136,27,FALSE)*AJ358+I358+J358+K358,IF(AS358=3,('Calc (ex-animal)'!$G$71*'DB additional information '!$K$14/100+'Calc (ex-animal)'!$H$71*'DB additional information '!$L$14/100)*(1-VLOOKUP(D358,'DB technologies'!$N$168:$Y$180,9,FALSE)/100)*'Calc (ex-housing, ex-storage)'!F358/100/VLOOKUP($C$355,'DB animal categories'!$C$127:$AC$136,27,FALSE)*AJ358+I358+J358+K358,IF(AS358=4,('Calc (ex-animal)'!$G$71*'DB additional information '!$K$14/100+'Calc (ex-animal)'!$H$71*'DB additional information '!$L$14/100)*(1-VLOOKUP(D358,'DB technologies'!$N$168:$Y$180,9,FALSE)/100)*'Calc (ex-housing, ex-storage)'!F358/100*VLOOKUP(D358,'DB technologies'!$N$168:$Y$180,12,FALSE)/100/VLOOKUP($C$355,'DB animal categories'!$C$127:$AC$136,27,FALSE)*AJ358+I358+J358+K358,0))))))</f>
        <v/>
      </c>
      <c r="AV358" s="442" t="str">
        <f>IF(D358="","",IF(AS358=2,0,IF(AS358=1,'Calc (ex-animal)'!$G$71*(1-'DB additional information '!$K$14/100)*(1-VLOOKUP(D358,'DB technologies'!$N$168:$Y$180,8,FALSE)/100)*'Calc (ex-housing, ex-storage)'!F358/100/VLOOKUP($C$355,'DB animal categories'!$C$127:$AC$136,27,FALSE)*AJ358+M358+N358+O358,IF(AS358=5,('Calc (ex-animal)'!$G$71*(1-'DB additional information '!$K$14/100)+'Calc (ex-animal)'!$H$71*(1-'DB additional information '!$L$14/100))*(1-VLOOKUP(D358,'DB technologies'!$N$168:$Y$180,8,FALSE)/100)*'Calc (ex-housing, ex-storage)'!F358/100/VLOOKUP($C$355,'DB animal categories'!$C$127:$AC$136,27,FALSE)*AJ358+M358+N358+O358,IF(AS358=3,('Calc (ex-animal)'!$G$71*(1-'DB additional information '!$K$14/100)+'Calc (ex-animal)'!$H$71*(1-'DB additional information '!$L$14/100))*(1-VLOOKUP(D358,'DB technologies'!$N$168:$Y$180,8,FALSE)/100)*'Calc (ex-housing, ex-storage)'!F358/100/VLOOKUP($C$355,'DB animal categories'!$C$127:$AC$136,27,FALSE)*AJ358+M358+N358+O358,IF(AS358=4,('Calc (ex-animal)'!$G$71*(1-'DB additional information '!$K$14/100)+'Calc (ex-animal)'!$H$71*(1-'DB additional information '!$L$14/100))*(1-VLOOKUP(D358,'DB technologies'!$N$168:$Y$180,8,FALSE)/100)*'Calc (ex-housing, ex-storage)'!F358/100*VLOOKUP(D358,'DB technologies'!$N$168:$Y$180,12,FALSE)/100/VLOOKUP($C$355,'DB animal categories'!$C$127:$AC$136,27,FALSE)*AJ358+M358+N358+O358,0))))))</f>
        <v/>
      </c>
      <c r="AW358" s="442" t="str">
        <f>IF(AS358="","",IF(AU358=0,0,AU358/AT358*100))</f>
        <v/>
      </c>
      <c r="AX358" s="182" t="str">
        <f>IF(D358="","",IF(AS358=2,0,IF(AS358=1,'Calc (ex-animal)'!$K$71*'Calc (ex-housing, ex-storage)'!F358/100/VLOOKUP($C$355,'DB animal categories'!$C$127:$AC$136,27,FALSE)*AJ358+Q358+R358+S358,IF(AS358=5,('Calc (ex-animal)'!$K$71+'Calc (ex-animal)'!$L$71)*'Calc (ex-housing, ex-storage)'!F358/100/VLOOKUP($C$355,'DB animal categories'!$C$127:$AC$136,27,FALSE)*AJ358+Q358+R358+S358-'Calc (ex-housing, ex-storage)'!AC358,IF(AS358=3,('Calc (ex-animal)'!$K$71+'Calc (ex-animal)'!$L$71)*'Calc (ex-housing, ex-storage)'!F358/100/VLOOKUP($C$355,'DB animal categories'!$C$127:$AC$136,27,FALSE)*AJ358+Q358+R358+S358-'Calc (ex-housing, ex-storage)'!AC358-AD358-AE358,IF(AI358=4,('Calc (ex-animal)'!$K$71+'Calc (ex-animal)'!$L$71)*'Calc (ex-housing, ex-storage)'!F358/100*VLOOKUP(D358,'DB technologies'!$N$168:$Y$180,12,FALSE)/100/VLOOKUP($C$355,'DB animal categories'!$C$127:$AC$136,27,FALSE)*AJ358+Q358+R358+S358-(VLOOKUP(D358,'DB technologies'!$N$168:$Y$180,12,FALSE)/100*AC358)-AD358-AE358,0))))))</f>
        <v/>
      </c>
      <c r="AY358" s="182" t="str">
        <f>IF(D358="","",IF(AS358=2,0,IF(AS358=1,'Calc (ex-animal)'!$N$71*'Calc (ex-housing, ex-storage)'!F358/100/VLOOKUP($C$355,'DB animal categories'!$C$127:$AC$136,27,FALSE)*AJ358+U358+V358+W358,IF(AS358=5,('Calc (ex-animal)'!$N$71+'Calc (ex-animal)'!$O$71)*'Calc (ex-housing, ex-storage)'!F358/100/VLOOKUP($C$355,'DB animal categories'!$C$127:$AC$136,27,FALSE)*AJ358+U358+V358+W358,IF(AS358=3,('Calc (ex-animal)'!$N$71+'Calc (ex-animal)'!$O$71)*'Calc (ex-housing, ex-storage)'!F358/100/VLOOKUP($C$355,'DB animal categories'!$C$127:$AC$136,27,FALSE)*AJ358+U358+V358+W358,IF(AS358=4,('Calc (ex-animal)'!$N$71+'Calc (ex-animal)'!$O$71)*'Calc (ex-housing, ex-storage)'!F358/100*VLOOKUP(D358,'DB technologies'!$N$168:$Y$180,12,FALSE)/100/VLOOKUP($C$355,'DB animal categories'!$C$127:$AC$136,27,FALSE)*AJ358+U358+V358+W358,0))))))</f>
        <v/>
      </c>
      <c r="AZ358" s="182" t="str">
        <f>IF(D358="","",IF(AS358=2,0,IF(AS358=1,'Calc (ex-animal)'!$Q$71*'Calc (ex-housing, ex-storage)'!F358/100/VLOOKUP($C$355,'DB animal categories'!$C$127:$AC$136,27,FALSE)*AJ358+Y358+Z358+AA358,IF(AS358=5,('Calc (ex-animal)'!$Q$71+'Calc (ex-animal)'!$R$71)*'Calc (ex-housing, ex-storage)'!F358/100/VLOOKUP($C$355,'DB animal categories'!$C$127:$AC$136,27,FALSE)*AJ358+Y358+Z358+AA358,IF(AS358=3,('Calc (ex-animal)'!$Q$71+'Calc (ex-animal)'!$R$71)*'Calc (ex-housing, ex-storage)'!F358/100/VLOOKUP($C$355,'DB animal categories'!$C$127:$AC$136,27,FALSE)*AJ358+Y358+Z358+AA358,IF(AS358=4,('Calc (ex-animal)'!$Q$71+'Calc (ex-animal)'!$R$71)*'Calc (ex-housing, ex-storage)'!F358/100*VLOOKUP(D358,'DB technologies'!$N$168:$Y$180,12,FALSE)/100/VLOOKUP($C$355,'DB animal categories'!$C$127:$AC$136,27,FALSE)*AJ358+Y358+Z358+AA358,0))))))</f>
        <v/>
      </c>
      <c r="BA358" s="506"/>
      <c r="BB358" s="506"/>
      <c r="BC358" s="506"/>
    </row>
    <row r="359" spans="1:55" ht="12" thickBot="1" x14ac:dyDescent="0.25">
      <c r="A359" s="695"/>
      <c r="B359" s="695"/>
      <c r="C359" s="251"/>
      <c r="D359" s="1359"/>
      <c r="E359" s="1360"/>
      <c r="F359" s="481" t="str">
        <f>IF('Calc (ex-animal)'!$F$63=1,"",IF($C$355=0,"",IF(D359="","",E359/'Calc (ex-animal)'!$E$71*100)))</f>
        <v/>
      </c>
      <c r="G359" s="483" t="str">
        <f>IF($C$355=0,"",IF('Calc (ex-animal)'!$F$63=1,"",IF(D359="","",SUM(H359:O359))))</f>
        <v/>
      </c>
      <c r="H359" s="445" t="str">
        <f>IF('Calc (ex-animal)'!$F$63=1,"",IF(D359="","",(((VLOOKUP($C$355,'Calc (ex-animal)'!$D$68:$Y$72,6,FALSE)-VLOOKUP($C$355,'Calc (ex-animal)'!$D$68:$Y$72,17,FALSE))*F359/100))*VLOOKUP($C$355,'Calc (ex-animal)'!$D$68:$Y$72,7,FALSE)/100*(1-VLOOKUP(D359,'DB technologies'!$N$168:$Y$180,9,FALSE)/100)))</f>
        <v/>
      </c>
      <c r="I359" s="445" t="str">
        <f>IF(D359="","",((VLOOKUP(D359,'DB technologies'!$N$168:$Y$180,2,FALSE)*VLOOKUP($C$355,'DB animal categories'!$C$127:$AC$136,27,FALSE)*E359/1000)/VLOOKUP($C$355,'DB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'!$S$6/100*(1-VLOOKUP(D359,'DB technologies'!$N$168:$Y$180,9,FALSE)/100)))</f>
        <v/>
      </c>
      <c r="J359" s="446" t="str">
        <f>IF(D359="","",((VLOOKUP(D359,'DB technologies'!$N$168:$Y$180,3,FALSE)*VLOOKUP($C$355,'DB animal categories'!$C$127:$AC$136,27,FALSE)*E359/1000)/VLOOKUP($C$355,'DB animal categories'!$C$127:$AC$136,27,FALSE)*(VLOOKUP($C$355,'DB animal categories'!$C$127:$AC$136,27,FALSE)-(VLOOKUP($C$355,'DB animal categories'!$C$127:$AC$136,25,FALSE)*VLOOKUP($C$355,'DB animal categories'!$C$127:$AC$136,26,FALSE)/24))*'DB additional information '!$S$7/100*(1-VLOOKUP(D359,'DB technologies'!$N$168:$Y$180,9,FALSE)/100)))</f>
        <v/>
      </c>
      <c r="K359" s="446" t="str">
        <f>IF(D359="","",((VLOOKUP(D359,'DB technologies'!$N$168:$Y$180,4,FALSE)*E359*'DB additional information '!$S$8/100*(1-VLOOKUP(D359,'DB technologies'!$N$168:$Y$180,9,FALSE)/100))/VLOOKUP($C$355,'DB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L359" s="445" t="str">
        <f>IF('Calc (ex-animal)'!$F$63=1,"",IF(D359="","",(((VLOOKUP($C$355,'Calc (ex-animal)'!$D$68:$Y$72,6,FALSE)-VLOOKUP($C$355,'Calc (ex-animal)'!$D$68:$Y$72,17,FALSE))*F359/100))*(1-VLOOKUP($C$355,'Calc (ex-animal)'!$D$68:$Y$72,7,FALSE)/100)*(1-VLOOKUP(D359,'DB technologies'!$N$168:$V$180,8,FALSE)/100)))</f>
        <v/>
      </c>
      <c r="M359" s="446" t="str">
        <f>IF(D359="","",((VLOOKUP(D359,'DB technologies'!$N$168:$Y$180,2,FALSE)*VLOOKUP($C$355,'DB animal categories'!$C$127:$AC$136,27,FALSE)*E359/1000)/VLOOKUP($C$355,'DB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'!$S$6/100)*(1-VLOOKUP(D359,'DB technologies'!$N$168:$Y$180,9,FALSE)/100))</f>
        <v/>
      </c>
      <c r="N359" s="446" t="str">
        <f>IF(D359="","",((VLOOKUP(D359,'DB technologies'!$N$168:$Y$180,3,FALSE)*VLOOKUP($C$355,'DB animal categories'!$C$127:$AC$136,27,FALSE)*E359/1000)/VLOOKUP($C$355,'DB animal categories'!$C$127:$AC$136,27,FALSE)*(VLOOKUP($C$355,'DB animal categories'!$C$127:$AC$136,27,FALSE)-VLOOKUP($C$355,'DB animal categories'!$C$127:$AC$136,25,FALSE)*VLOOKUP($C$355,'DB animal categories'!$C$127:$AC$136,26,FALSE)/24))*(1-'DB additional information '!$S$7/100)*(1-VLOOKUP(D359,'DB technologies'!$N$168:$Y$180,9,FALSE)/100))</f>
        <v/>
      </c>
      <c r="O359" s="445" t="str">
        <f>IF(D359="","",((VLOOKUP(D359,'DB technologies'!$N$168:$Y$180,4,FALSE)*E359*(1-'DB additional information '!$S$8/100)*(1-VLOOKUP(D359,'DB technologies'!$N$168:$Y$180,8,FALSE)/100))/VLOOKUP($C$355,'DB animal categories'!$C$127:$AC$136,27,FALSE)*(VLOOKUP($C$355,'DB animal categories'!$C$127:$AC$136,27,FALSE)-VLOOKUP($C$355,'DB animal categories'!$C$127:$AC$136,25,FALSE)*VLOOKUP($C$355,'DB animal categories'!$C$127:$AC$136,26,FALSE)/24)))</f>
        <v/>
      </c>
      <c r="P359" s="444" t="str">
        <f>IF(G359=0,0,IF(E359="","",IF(F359="","",IF($C$355=0,"",IF(D359="","",SUM(H359:K359)/G359*100)))))</f>
        <v/>
      </c>
      <c r="Q359" s="476" t="str">
        <f>IF(D359="","",(VLOOKUP(D359,'DB technologies'!$N$168:$Y$180,2,FALSE)*'DB additional information '!$S$6/100*'DB additional information '!$T$6*VLOOKUP($C$355,'DB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R359" s="476" t="str">
        <f>IF(D359="","",(VLOOKUP(D359,'DB technologies'!$N$168:$Y$180,3,FALSE)*'DB additional information '!$S$7/100*'DB additional information '!$T$7*VLOOKUP($C$355,'DB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S359" s="494" t="str">
        <f>IF(D359="","",(VLOOKUP(D359,'DB technologies'!$N$168:$Y$180,4,FALSE)*('DB additional information '!$S$8/100*'DB additional information '!$T$8*E359/1000/1000)))</f>
        <v/>
      </c>
      <c r="T359" s="266" t="str">
        <f>IF($C$355=0,"",IF('Calc (ex-animal)'!$F$63=1,"",IF(D359="","",((VLOOKUP($C$355,'Calc (ex-animal)'!$D$68:$Y$72,10,FALSE)-VLOOKUP($C$355,'Calc (ex-animal)'!$D$68:$Y$72,18,FALSE))*F359/100+Q359+R359+S359)-AC359-AD359-AE359)))</f>
        <v/>
      </c>
      <c r="U359" s="477" t="str">
        <f>IF(D359="","",(VLOOKUP(D359,'DB technologies'!$N$168:$Y$180,2,FALSE)*'DB additional information '!$S$6/100*'DB additional information '!$U$6*VLOOKUP($C$355,'DB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V359" s="433" t="str">
        <f>IF(D359="","",(VLOOKUP(D359,'DB technologies'!$N$168:$Y$180,3,FALSE)*'DB additional information '!$S$7/100*'DB additional information '!$U$7*VLOOKUP($C$355,'DB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W359" s="475" t="str">
        <f>IF(D359="","",(VLOOKUP(D359,'DB technologies'!$N$168:$Y$180,4,FALSE)*('DB additional information '!$S$8/100*'DB additional information '!$U$8*E359/1000/1000)))</f>
        <v/>
      </c>
      <c r="X359" s="267" t="str">
        <f>IF($C$355=0,"",IF('Calc (ex-animal)'!$F$63=1,"",IF(D359="","",((VLOOKUP($C$355,'Calc (ex-animal)'!$D$68:$Y$72,13,FALSE)-VLOOKUP($C$355,'Calc (ex-animal)'!$D$68:$Y$72,19,FALSE))*F359/100+U359+V359+W359))))</f>
        <v/>
      </c>
      <c r="Y359" s="433" t="str">
        <f>IF(D359="","",(VLOOKUP(D359,'DB technologies'!$N$168:$Y$180,2,FALSE)*'DB additional information '!$S$6/100*'DB additional information '!$V$6*VLOOKUP($C$355,'DB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Z359" s="433" t="str">
        <f>IF(D359="","",(VLOOKUP(D359,'DB technologies'!$N$168:$Y$180,3,FALSE)*'DB additional information '!$S$7/100*'DB additional information '!$V$7*VLOOKUP($C$355,'DB animal categories'!$C$127:$AC$136,27,FALSE)*E359/1000/1000)/VLOOKUP($C$355,'DB animal categories'!$C$127:$AC$136,27,FALSE)*(VLOOKUP($C$355,'DB animal categories'!$C$127:$AC$136,27,FALSE)-VLOOKUP($C$355,'DB animal categories'!$C$127:$AC$136,25,FALSE)*VLOOKUP($C$355,'DB animal categories'!$C$127:$AC$136,26,FALSE)/24))</f>
        <v/>
      </c>
      <c r="AA359" s="433" t="str">
        <f>IF(D359="","",(VLOOKUP(D359,'DB technologies'!$N$168:$Y$180,4,FALSE)*('DB additional information '!$S$8/100*'DB additional information '!$V$8*E359/1000/1000)))</f>
        <v/>
      </c>
      <c r="AB359" s="267" t="str">
        <f>IF($C$355=0,"",IF('Calc (ex-animal)'!$F$63=1,"",IF(D359="","",((VLOOKUP($C$355,'Calc (ex-animal)'!$D$68:$Y$72,16,FALSE)-VLOOKUP($C$355,'Calc (ex-animal)'!$D$68:$Y$72,20,FALSE))*F359/100+Y359+Z359+AA359))))</f>
        <v/>
      </c>
      <c r="AC359" s="267" t="str">
        <f>IF($C$355=0,"",IF('Calc (ex-animal)'!$F$63=1,"",IF(D359="","",VLOOKUP($C$355,'Calc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categories'!$C$127:$AC$136,26,FALSE)/24)*F359/100*VLOOKUP(D359,'DB technologies'!$N$168:$R$180,5,FALSE)/100)))</f>
        <v/>
      </c>
      <c r="AD359" s="267" t="str">
        <f>IF($C$355=0,"",IF('Calc (ex-animal)'!$F$63=1,"",IF(D359="","",VLOOKUP($C$355,'Calc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categories'!$C$127:$AC$136,26,FALSE)/24)*F359/100*VLOOKUP(D359,'DB technologies'!$N$168:$Y$180,6,FALSE)/100)))</f>
        <v/>
      </c>
      <c r="AE359" s="268" t="str">
        <f>IF($C$355=0,"",IF('Calc (ex-animal)'!$F$63=1,"",IF(D359="","",VLOOKUP($C$355,'Calc (ex-animal)'!$D$68:$Y$72,10,FALSE)/VLOOKUP($C$355,'DB animal categories'!$C$127:$AC$136,27,FALSE)*(VLOOKUP($C$355,'DB animal categories'!$C$127:$AC$136,27,FALSE)-VLOOKUP($C$355,'DB animal categories'!$C$127:$AC$136,25,FALSE)*VLOOKUP($C$355,'DB animal categories'!$C$127:$AC$136,26,FALSE)/24)*F359/100*VLOOKUP(D359,'DB technologies'!$N$168:$Y$180,7,FALSE)/100)))</f>
        <v/>
      </c>
      <c r="AI359" s="183" t="str">
        <f>IF(D359="","",VLOOKUP(D359,'DB technologies'!$N$168:$Y$180,10,FALSE))</f>
        <v/>
      </c>
      <c r="AJ359" s="451" t="e">
        <f>VLOOKUP($C$355,'DB animal categories'!$C$127:$AN$136,27,FALSE)-VLOOKUP($C$355,'DB animal categories'!$C$127:$AN$136,26,FALSE)*VLOOKUP($C$355,'DB animal categories'!$C$127:$AN$136,25,FALSE)/24</f>
        <v>#N/A</v>
      </c>
      <c r="AK359" s="452" t="str">
        <f>IF(AI359="","",AL359+AM359)</f>
        <v/>
      </c>
      <c r="AL359" s="452" t="str">
        <f>IF(D359="","",IF(AI359=2,(('Calc (ex-animal)'!$G$71*'DB additional information '!$K$14/100*(1-VLOOKUP(D359,'DB technologies'!$N$168:$Y$180,9,FALSE)/100)*'Calc (ex-housing, ex-storage)'!F359/100+'Calc (ex-animal)'!$H$71*'DB additional information '!$L$14/100*(1-VLOOKUP(D359,'DB technologies'!$N$168:$Y$180,9,FALSE)/100)*'Calc (ex-housing, ex-storage)'!F359/100))/VLOOKUP($C$355,'DB animal categories'!$C$127:$AC$136,27,FALSE)*AJ359+I359+J359+K359,IF(AI359=1,('Calc (ex-animal)'!$H$71*'DB additional information '!$L$14/100*(1-VLOOKUP(D359,'DB technologies'!$N$168:$Y$180,9,FALSE)/100)*'Calc (ex-housing, ex-storage)'!F359/100)/VLOOKUP($C$355,'DB animal categories'!$C$127:$AC$136,27,FALSE)*AJ359,IF(AI359=4,('Calc (ex-animal)'!$G$71*'DB additional information '!$K$14/100+'Calc (ex-animal)'!$H$71*'DB additional information '!$L$14/100)*(1-VLOOKUP(D359,'DB technologies'!$N$168:$Y$180,9,FALSE)/100)*'Calc (ex-housing, ex-storage)'!F359/100*VLOOKUP(D359,'DB technologies'!$N$168:$Y$180,11,FALSE)/100/VLOOKUP($C$355,'DB animal categories'!$C$127:$AC$136,27,FALSE)*AJ359,0))))</f>
        <v/>
      </c>
      <c r="AM359" s="452" t="str">
        <f>IF(D359="","",IF(AI359=2,(('Calc (ex-animal)'!$G$71*(1-'DB additional information '!$K$14/100)*(1-VLOOKUP(D359,'DB technologies'!$N$168:$Y$180,8,FALSE)/100)*'Calc (ex-housing, ex-storage)'!F359/100+'Calc (ex-animal)'!$H$71*(1-'DB additional information '!$L$14/100)*(1-VLOOKUP(D359,'DB technologies'!$N$168:$Y$180,8,FALSE)/100)*'Calc (ex-housing, ex-storage)'!F359/100))/VLOOKUP($C$355,'DB animal categories'!$C$127:$AC$136,27,FALSE)*AJ359+M359+N359+O359,IF(AI359=1,('Calc (ex-animal)'!$H$71*(1-'DB additional information '!$L$14/100)*(1-VLOOKUP(D359,'DB technologies'!$N$168:$Y$180,8,FALSE)/100)*'Calc (ex-housing, ex-storage)'!F359/100)/VLOOKUP($C$355,'DB animal categories'!$C$127:$AC$136,27,FALSE)*AJ359,IF(AI359=4,('Calc (ex-animal)'!$G$71*(1-'DB additional information '!$K$14/100)+'Calc (ex-animal)'!$H$71*(1-'DB additional information '!$L$14/100))*(1-VLOOKUP(D359,'DB technologies'!$N$168:$Y$180,8,FALSE)/100)*'Calc (ex-housing, ex-storage)'!F359/100*VLOOKUP(D359,'DB technologies'!$N$168:$Y$180,11,FALSE)/100/VLOOKUP($C$355,'DB animal categories'!$C$127:$AC$136,27,FALSE)*AJ359,0))))</f>
        <v/>
      </c>
      <c r="AN359" s="452" t="str">
        <f>IF(AI359="","",IF(AL359=0,0,AL359/AK359*100))</f>
        <v/>
      </c>
      <c r="AO359" s="184" t="str">
        <f>IF(D359="","",IF(AI359=2,(('Calc (ex-animal)'!$L$71*'Calc (ex-housing, ex-storage)'!F359/100+'Calc (ex-animal)'!$K$71*'Calc (ex-housing, ex-storage)'!F359/100))/VLOOKUP($C$355,'DB animal categories'!$C$127:$AC$136,27,FALSE)*AJ359+Q359+R359+S359-AC359,IF(AI359=1,('Calc (ex-animal)'!$L$71*'Calc (ex-housing, ex-storage)'!F359/100)/VLOOKUP($C$355,'DB animal categories'!$C$127:$AC$136,27,FALSE)*AJ359-'Calc (ex-housing, ex-storage)'!AC359,IF(AI359=4,('Calc (ex-animal)'!$L$71+'Calc (ex-animal)'!$K$71)*'Calc (ex-housing, ex-storage)'!F359/100*VLOOKUP(D359,'DB technologies'!$N$168:$Y$180,11,FALSE)/100/VLOOKUP($C$355,'DB animal categories'!$C$127:$AC$136,27,FALSE)*AJ359-AC359*VLOOKUP(D359,'DB technologies'!$N$168:$Y$180,11,FALSE)/100,0))))</f>
        <v/>
      </c>
      <c r="AP359" s="184" t="str">
        <f>IF(D359="","",IF(AO359&lt;-0.01,0,IF(AI359=2,(('Calc (ex-animal)'!$L$71*'Calc (ex-housing, ex-storage)'!F359/100+'Calc (ex-animal)'!$K$71*'Calc (ex-housing, ex-storage)'!F359/100))/VLOOKUP($C$355,'DB animal categories'!$C$127:$AC$136,27,FALSE)*AJ359+Q359+R359+S359-AC359,IF(AI359=1,('Calc (ex-animal)'!$L$71*'Calc (ex-housing, ex-storage)'!F359/100)/VLOOKUP($C$355,'DB animal categories'!$C$127:$AC$136,27,FALSE)*AJ359-'Calc (ex-housing, ex-storage)'!AC359,IF(AI359=4,('Calc (ex-animal)'!$L$71+'Calc (ex-animal)'!$K$71)*'Calc (ex-housing, ex-storage)'!F359/100*VLOOKUP(D359,'DB technologies'!$N$168:$Y$180,11,FALSE)/100/VLOOKUP($C$355,'DB animal categories'!$C$127:$AC$136,27,FALSE)*AJ359-AC359*VLOOKUP(D359,'DB technologies'!$N$168:$Y$180,11,FALSE)/100,0)))))</f>
        <v/>
      </c>
      <c r="AQ359" s="184" t="str">
        <f>IF(D359="","",IF(AI359=2,('Calc (ex-animal)'!$O$71*'Calc (ex-housing, ex-storage)'!F359/100+'Calc (ex-animal)'!$N$71*'Calc (ex-housing, ex-storage)'!F359/100)/VLOOKUP($C$355,'DB animal categories'!$C$127:$AC$136,27,FALSE)*AJ359+U359+V359+W359,IF(AI359=1,'Calc (ex-animal)'!$O$71*'Calc (ex-housing, ex-storage)'!F359/100/VLOOKUP($C$355,'DB animal categories'!$C$127:$AC$136,27,FALSE)*AJ359,IF(AI359=4,('Calc (ex-animal)'!$O$71+'Calc (ex-animal)'!$N$71)*'Calc (ex-housing, ex-storage)'!F359/100*VLOOKUP(D359,'DB technologies'!$N$168:$Y$180,11,FALSE)/100/VLOOKUP($C$355,'DB animal categories'!$C$127:$AC$136,27,FALSE)*AJ359,0))))</f>
        <v/>
      </c>
      <c r="AR359" s="184" t="str">
        <f>IF(D359="","",IF(AI359=2,('Calc (ex-animal)'!$R$71*'Calc (ex-housing, ex-storage)'!F359/100+'Calc (ex-animal)'!$Q$71*'Calc (ex-housing, ex-storage)'!F359/100)/VLOOKUP($C$355,'DB animal categories'!$C$127:$AC$136,27,FALSE)*AJ359+Y359+Z359+AA359,IF(AI359=1,'Calc (ex-animal)'!$R$71*'Calc (ex-housing, ex-storage)'!F359/100/VLOOKUP($C$355,'DB animal categories'!$C$127:$AC$136,27,FALSE)*AJ359,IF(AI359=4,('Calc (ex-animal)'!$R$71+'Calc (ex-animal)'!$Q$71)*'Calc (ex-housing, ex-storage)'!F359/100*VLOOKUP(D359,'DB technologies'!$N$168:$Y$180,11,FALSE)/100/VLOOKUP($C$355,'DB animal categories'!$C$127:$AC$136,27,FALSE)*AJ359,0))))</f>
        <v/>
      </c>
      <c r="AS359" s="183" t="str">
        <f>IF(D359="","",VLOOKUP(D359,'DB technologies'!$N$168:$Y$180,10,FALSE))</f>
        <v/>
      </c>
      <c r="AT359" s="452" t="str">
        <f>IF(AS359="","",AU359+AV359)</f>
        <v/>
      </c>
      <c r="AU359" s="452" t="str">
        <f>IF(D359="","",IF(AS359=2,0,IF(AS359=1,'Calc (ex-animal)'!$G$71*'DB additional information '!$K$14/100*(1-VLOOKUP(D359,'DB technologies'!$N$168:$Y$180,8,FALSE)/100)*'Calc (ex-housing, ex-storage)'!F359/100/VLOOKUP($C$355,'DB animal categories'!$C$127:$AC$136,27,FALSE)*AJ359+I359+J359+K359,IF(AS359=5,(('Calc (ex-animal)'!$G$71*'DB additional information '!$K$14/100+'Calc (ex-animal)'!$H$71*'DB additional information '!$L$14/100))*(1-VLOOKUP(D359,'DB technologies'!$N$168:$Y$180,9,FALSE)/100)*'Calc (ex-housing, ex-storage)'!F359/100/VLOOKUP($C$355,'DB animal categories'!$C$127:$AC$136,27,FALSE)*AJ359+I359+J359+K359,IF(AS359=3,('Calc (ex-animal)'!$G$71*'DB additional information '!$K$14/100+'Calc (ex-animal)'!$H$71*'DB additional information '!$L$14/100)*(1-VLOOKUP(D359,'DB technologies'!$N$168:$Y$180,9,FALSE)/100)*'Calc (ex-housing, ex-storage)'!F359/100/VLOOKUP($C$355,'DB animal categories'!$C$127:$AC$136,27,FALSE)*AJ359+I359+J359+K359,IF(AS359=4,('Calc (ex-animal)'!$G$71*'DB additional information '!$K$14/100+'Calc (ex-animal)'!$H$71*'DB additional information '!$L$14/100)*(1-VLOOKUP(D359,'DB technologies'!$N$168:$Y$180,9,FALSE)/100)*'Calc (ex-housing, ex-storage)'!F359/100*VLOOKUP(D359,'DB technologies'!$N$168:$Y$180,12,FALSE)/100/VLOOKUP($C$355,'DB animal categories'!$C$127:$AC$136,27,FALSE)*AJ359+I359+J359+K359,0))))))</f>
        <v/>
      </c>
      <c r="AV359" s="452" t="str">
        <f>IF(D359="","",IF(AS359=2,0,IF(AS359=1,'Calc (ex-animal)'!$G$71*(1-'DB additional information '!$K$14/100)*(1-VLOOKUP(D359,'DB technologies'!$N$168:$Y$180,8,FALSE)/100)*'Calc (ex-housing, ex-storage)'!F359/100/VLOOKUP($C$355,'DB animal categories'!$C$127:$AC$136,27,FALSE)*AJ359+M359+N359+O359,IF(AS359=5,('Calc (ex-animal)'!$G$71*(1-'DB additional information '!$K$14/100)+'Calc (ex-animal)'!$H$71*(1-'DB additional information '!$L$14/100))*(1-VLOOKUP(D359,'DB technologies'!$N$168:$Y$180,8,FALSE)/100)*'Calc (ex-housing, ex-storage)'!F359/100/VLOOKUP($C$355,'DB animal categories'!$C$127:$AC$136,27,FALSE)*AJ359+M359+N359+O359,IF(AS359=3,('Calc (ex-animal)'!$G$71*(1-'DB additional information '!$K$14/100)+'Calc (ex-animal)'!$H$71*(1-'DB additional information '!$L$14/100))*(1-VLOOKUP(D359,'DB technologies'!$N$168:$Y$180,8,FALSE)/100)*'Calc (ex-housing, ex-storage)'!F359/100/VLOOKUP($C$355,'DB animal categories'!$C$127:$AC$136,27,FALSE)*AJ359+M359+N359+O359,IF(AS359=4,('Calc (ex-animal)'!$G$71*(1-'DB additional information '!$K$14/100)+'Calc (ex-animal)'!$H$71*(1-'DB additional information '!$L$14/100))*(1-VLOOKUP(D359,'DB technologies'!$N$168:$Y$180,8,FALSE)/100)*'Calc (ex-housing, ex-storage)'!F359/100*VLOOKUP(D359,'DB technologies'!$N$168:$Y$180,12,FALSE)/100/VLOOKUP($C$355,'DB animal categories'!$C$127:$AC$136,27,FALSE)*AJ359+M359+N359+O359,0))))))</f>
        <v/>
      </c>
      <c r="AW359" s="452" t="str">
        <f>IF(AS359="","",IF(AU359=0,0,AU359/AT359*100))</f>
        <v/>
      </c>
      <c r="AX359" s="184" t="str">
        <f>IF(D359="","",IF(AS359=2,0,IF(AS359=1,'Calc (ex-animal)'!$K$71*'Calc (ex-housing, ex-storage)'!F359/100/VLOOKUP($C$355,'DB animal categories'!$C$127:$AC$136,27,FALSE)*AJ359+Q359+R359+S359,IF(AS359=5,('Calc (ex-animal)'!$K$71+'Calc (ex-animal)'!$L$71)*'Calc (ex-housing, ex-storage)'!F359/100/VLOOKUP($C$355,'DB animal categories'!$C$127:$AC$136,27,FALSE)*AJ359+Q359+R359+S359-'Calc (ex-housing, ex-storage)'!AC359,IF(AS359=3,('Calc (ex-animal)'!$K$71+'Calc (ex-animal)'!$L$71)*'Calc (ex-housing, ex-storage)'!F359/100/VLOOKUP($C$355,'DB animal categories'!$C$127:$AC$136,27,FALSE)*AJ359+Q359+R359+S359-'Calc (ex-housing, ex-storage)'!AC359-AD359-AE359,IF(AI359=4,('Calc (ex-animal)'!$K$71+'Calc (ex-animal)'!$L$71)*'Calc (ex-housing, ex-storage)'!F359/100*VLOOKUP(D359,'DB technologies'!$N$168:$Y$180,12,FALSE)/100/VLOOKUP($C$355,'DB animal categories'!$C$127:$AC$136,27,FALSE)*AJ359+Q359+R359+S359-(VLOOKUP(D359,'DB technologies'!$N$168:$Y$180,12,FALSE)/100*AC359)-AD359-AE359,0))))))</f>
        <v/>
      </c>
      <c r="AY359" s="184" t="str">
        <f>IF(D359="","",IF(AS359=2,0,IF(AS359=1,'Calc (ex-animal)'!$N$71*'Calc (ex-housing, ex-storage)'!F359/100/VLOOKUP($C$355,'DB animal categories'!$C$127:$AC$136,27,FALSE)*AJ359+U359+V359+W359,IF(AS359=5,('Calc (ex-animal)'!$N$71+'Calc (ex-animal)'!$O$71)*'Calc (ex-housing, ex-storage)'!F359/100/VLOOKUP($C$355,'DB animal categories'!$C$127:$AC$136,27,FALSE)*AJ359+U359+V359+W359,IF(AS359=3,('Calc (ex-animal)'!$N$71+'Calc (ex-animal)'!$O$71)*'Calc (ex-housing, ex-storage)'!F359/100/VLOOKUP($C$355,'DB animal categories'!$C$127:$AC$136,27,FALSE)*AJ359+U359+V359+W359,IF(AS359=4,('Calc (ex-animal)'!$N$71+'Calc (ex-animal)'!$O$71)*'Calc (ex-housing, ex-storage)'!F359/100*VLOOKUP(D359,'DB technologies'!$N$168:$Y$180,12,FALSE)/100/VLOOKUP($C$355,'DB animal categories'!$C$127:$AC$136,27,FALSE)*AJ359+U359+V359+W359,0))))))</f>
        <v/>
      </c>
      <c r="AZ359" s="184" t="str">
        <f>IF(D359="","",IF(AS359=2,0,IF(AS359=1,'Calc (ex-animal)'!$Q$71*'Calc (ex-housing, ex-storage)'!F359/100/VLOOKUP($C$355,'DB animal categories'!$C$127:$AC$136,27,FALSE)*AJ359+Y359+Z359+AA359,IF(AS359=5,('Calc (ex-animal)'!$Q$71+'Calc (ex-animal)'!$R$71)*'Calc (ex-housing, ex-storage)'!F359/100/VLOOKUP($C$355,'DB animal categories'!$C$127:$AC$136,27,FALSE)*AJ359+Y359+Z359+AA359,IF(AS359=3,('Calc (ex-animal)'!$Q$71+'Calc (ex-animal)'!$R$71)*'Calc (ex-housing, ex-storage)'!F359/100/VLOOKUP($C$355,'DB animal categories'!$C$127:$AC$136,27,FALSE)*AJ359+Y359+Z359+AA359,IF(AS359=4,('Calc (ex-animal)'!$Q$71+'Calc (ex-animal)'!$R$71)*'Calc (ex-housing, ex-storage)'!F359/100*VLOOKUP(D359,'DB technologies'!$N$168:$Y$180,12,FALSE)/100/VLOOKUP($C$355,'DB animal categories'!$C$127:$AC$136,27,FALSE)*AJ359+Y359+Z359+AA359,0))))))</f>
        <v/>
      </c>
      <c r="BA359" s="506"/>
      <c r="BB359" s="506"/>
      <c r="BC359" s="506"/>
    </row>
    <row r="360" spans="1:55" ht="12" thickBot="1" x14ac:dyDescent="0.25">
      <c r="A360" s="695"/>
      <c r="B360" s="695"/>
      <c r="C360" s="252"/>
      <c r="D360" s="269" t="s">
        <v>58</v>
      </c>
      <c r="E360" s="270">
        <f>IF(F360&lt;=100,SUM(E355:E359),"ERROR")</f>
        <v>0</v>
      </c>
      <c r="F360" s="284">
        <f>IF(SUM(F355:F359) &lt;=100,SUM(F355:F359),"ERROR, SUM&gt;100%")</f>
        <v>0</v>
      </c>
      <c r="G360" s="550">
        <f>IF('Calc (ex-animal)'!$F$63=1,"",SUM(G355:G359))</f>
        <v>0</v>
      </c>
      <c r="H360" s="418">
        <f>IF('Calc (ex-animal)'!$F$8=1,"",SUM(H355:H359))</f>
        <v>0</v>
      </c>
      <c r="I360" s="418">
        <f>IF('Calc (ex-animal)'!$F$8=1,"",SUM(I355:I359))</f>
        <v>0</v>
      </c>
      <c r="J360" s="418">
        <f>IF('Calc (ex-animal)'!$F$8=1,"",SUM(J355:J359))</f>
        <v>0</v>
      </c>
      <c r="K360" s="418">
        <f>IF('Calc (ex-animal)'!$F$8=1,"",SUM(K355:K359))</f>
        <v>0</v>
      </c>
      <c r="L360" s="418">
        <f>IF('Calc (ex-animal)'!$F$8=1,"",SUM(L355:L359))</f>
        <v>0</v>
      </c>
      <c r="M360" s="551"/>
      <c r="N360" s="551"/>
      <c r="O360" s="551"/>
      <c r="P360" s="552">
        <f>IF(G360=0,0,IF('Calc (ex-animal)'!$F$63=1,"",IF(D360="","",SUM(H360:K360)/G360*100)))</f>
        <v>0</v>
      </c>
      <c r="Q360" s="394"/>
      <c r="R360" s="394"/>
      <c r="S360" s="394"/>
      <c r="T360" s="285">
        <f>IF('Calc (ex-animal)'!$F$71=1,"",SUM(T355:T359))</f>
        <v>0</v>
      </c>
      <c r="U360" s="286"/>
      <c r="V360" s="286"/>
      <c r="W360" s="286"/>
      <c r="X360" s="286">
        <f>IF('Calc (ex-animal)'!$F$71=1,"",SUM(X355:X359))</f>
        <v>0</v>
      </c>
      <c r="Y360" s="286"/>
      <c r="Z360" s="286"/>
      <c r="AA360" s="286"/>
      <c r="AB360" s="286">
        <f>IF('Calc (ex-animal)'!$F$71=1,"",SUM(AB355:AB359))</f>
        <v>0</v>
      </c>
      <c r="AC360" s="286">
        <f>IF('Calc (ex-animal)'!$F$71=1,"",SUM(AC355:AC359))</f>
        <v>0</v>
      </c>
      <c r="AD360" s="286">
        <f>IF('Calc (ex-animal)'!$F$71=1,"",SUM(AD355:AD359))</f>
        <v>0</v>
      </c>
      <c r="AE360" s="287">
        <f>IF('Calc (ex-animal)'!$F$71=1,"",SUM(AE355:AE359))</f>
        <v>0</v>
      </c>
    </row>
    <row r="361" spans="1:55" x14ac:dyDescent="0.2">
      <c r="A361" s="695"/>
      <c r="B361" s="695"/>
      <c r="C361" s="250">
        <f>'Calc (ex-animal)'!D72</f>
        <v>0</v>
      </c>
      <c r="D361" s="1355"/>
      <c r="E361" s="1356"/>
      <c r="F361" s="479" t="str">
        <f>IF('Calc (ex-animal)'!$F$63=1,"",IF($C$361=0,"",IF(D361="","",E361/'Calc (ex-animal)'!$E$72*100)))</f>
        <v/>
      </c>
      <c r="G361" s="484" t="str">
        <f>IF($C$361=0,"",IF('Calc (ex-animal)'!$F$63=1,"",IF(D361="","",SUM(H361:O361))))</f>
        <v/>
      </c>
      <c r="H361" s="471" t="str">
        <f>IF('Calc (ex-animal)'!$F$63=1,"",IF(D361="","",(((VLOOKUP($C$361,'Calc (ex-animal)'!$D$68:$Y$72,6,FALSE)-VLOOKUP($C$361,'Calc (ex-animal)'!$D$68:$Y$72,17,FALSE))*F361/100))*VLOOKUP($C$361,'Calc (ex-animal)'!$D$68:$Y$72,7,FALSE)/100*(1-VLOOKUP(D361,'DB technologies'!$N$168:$Y$180,9,FALSE)/100)))</f>
        <v/>
      </c>
      <c r="I361" s="471" t="str">
        <f>IF(D361="","",((VLOOKUP(D361,'DB technologies'!$N$168:$Y$180,2,FALSE)*VLOOKUP($C$361,'DB animal categories'!$C$127:$AC$136,27,FALSE)*E361/1000)/VLOOKUP($C$361,'DB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'!$S$6/100*(1-VLOOKUP(D361,'DB technologies'!$N$168:$Y$180,9,FALSE)/100)))</f>
        <v/>
      </c>
      <c r="J361" s="472" t="str">
        <f>IF(D361="","",((VLOOKUP(D361,'DB technologies'!$N$168:$Y$180,3,FALSE)*VLOOKUP($C$361,'DB animal categories'!$C$127:$AC$136,27,FALSE)*E361/1000)/VLOOKUP($C$361,'DB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'!$S$7/100*(1-VLOOKUP(D361,'DB technologies'!$N$168:$Y$180,9,FALSE)/100)))</f>
        <v/>
      </c>
      <c r="K361" s="472" t="str">
        <f>IF(D361="","",((VLOOKUP(D361,'DB technologies'!$N$168:$Y$180,4,FALSE)*E361*'DB additional information '!$S$8/100*(1-VLOOKUP(D361,'DB technologies'!$N$168:$Y$180,9,FALSE)/100))/VLOOKUP($C$361,'DB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L361" s="471" t="str">
        <f>IF('Calc (ex-animal)'!$F$63=1,"",IF(D361="","",(((VLOOKUP($C$361,'Calc (ex-animal)'!$D$68:$Y$72,6,FALSE)-VLOOKUP($C$361,'Calc (ex-animal)'!$D$68:$Y$72,17,FALSE))*F361/100))*(1-VLOOKUP($C$361,'Calc (ex-animal)'!$D$68:$Y$72,7,FALSE)/100)*(1-VLOOKUP(D361,'DB technologies'!$N$168:$V$180,8,FALSE)/100)))</f>
        <v/>
      </c>
      <c r="M361" s="472" t="str">
        <f>IF(D361="","",((VLOOKUP(D361,'DB technologies'!$N$168:$Y$180,2,FALSE)*VLOOKUP($C$361,'DB animal categories'!$C$127:$AC$136,27,FALSE)*E361/1000)/VLOOKUP($C$361,'DB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'!$S$6/100)*(1-VLOOKUP(D361,'DB technologies'!$N$168:$Y$180,9,FALSE)/100))</f>
        <v/>
      </c>
      <c r="N361" s="472" t="str">
        <f>IF(D361="","",((VLOOKUP(D361,'DB technologies'!$N$168:$Y$180,3,FALSE)*VLOOKUP($C$361,'DB animal categories'!$C$127:$AC$136,27,FALSE)*E361/1000)/VLOOKUP($C$361,'DB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'!$S$7/100)*(1-VLOOKUP(D361,'DB technologies'!$N$168:$Y$180,9,FALSE)/100))</f>
        <v/>
      </c>
      <c r="O361" s="471" t="str">
        <f>IF(D361="","",((VLOOKUP(D361,'DB technologies'!$N$168:$Y$180,4,FALSE)*E361*(1-'DB additional information '!$S$8/100)*(1-VLOOKUP(D361,'DB technologies'!$N$168:$Y$180,8,FALSE)/100))/VLOOKUP($C$361,'DB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P361" s="443" t="str">
        <f>IF(G361=0,0,IF(E361="","",IF(F361="","",IF($C$361=0,"",IF(D361="","",SUM(H361:K361)/G361*100)))))</f>
        <v/>
      </c>
      <c r="Q361" s="473" t="str">
        <f>IF(D361="","",(VLOOKUP(D361,'DB technologies'!$N$168:$Y$180,2,FALSE)*'DB additional information '!$S$6/100*'DB additional information '!$T$6*VLOOKUP($C$361,'DB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R361" s="473" t="str">
        <f>IF(D361="","",(VLOOKUP(D361,'DB technologies'!$N$168:$Y$180,3,FALSE)*'DB additional information '!$S$7/100*'DB additional information '!$T$7*VLOOKUP($C$361,'DB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S361" s="490" t="str">
        <f>IF(D361="","",(VLOOKUP(D361,'DB technologies'!$N$168:$Y$180,4,FALSE)*('DB additional information '!$S$8/100*'DB additional information '!$T$8*E361/1000/1000)))</f>
        <v/>
      </c>
      <c r="T361" s="263" t="str">
        <f>IF($C$361=0,"",IF('Calc (ex-animal)'!$F$63=1,"",IF(D361="","",((VLOOKUP($C$361,'Calc (ex-animal)'!$D$68:$Y$72,10,FALSE)-VLOOKUP($C$361,'Calc (ex-animal)'!$D$68:$Y$72,18,FALSE))*F361/100+Q361+R361+S361)-AC361-AD361-AE361)))</f>
        <v/>
      </c>
      <c r="U361" s="474" t="str">
        <f>IF(D361="","",(VLOOKUP(D361,'DB technologies'!$N$168:$Y$180,2,FALSE)*'DB additional information '!$S$6/100*'DB additional information '!$U$6*VLOOKUP($C$361,'DB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V361" s="420" t="str">
        <f>IF(D361="","",(VLOOKUP(D361,'DB technologies'!$N$168:$Y$180,3,FALSE)*'DB additional information '!$S$7/100*'DB additional information '!$U$7*VLOOKUP($C$361,'DB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W361" s="415" t="str">
        <f>IF(D361="","",(VLOOKUP(D361,'DB technologies'!$N$168:$Y$180,4,FALSE)*('DB additional information '!$S$8/100*'DB additional information '!$U$8*E361/1000/1000)))</f>
        <v/>
      </c>
      <c r="X361" s="259" t="str">
        <f>IF($C$361=0,"",IF('Calc (ex-animal)'!$F$63=1,"",IF(D361="","",((VLOOKUP($C$361,'Calc (ex-animal)'!$D$68:$Y$72,13,FALSE)-VLOOKUP($C$361,'Calc (ex-animal)'!$D$68:$Y$72,19,FALSE))*F361/100+U361+V361+W361))))</f>
        <v/>
      </c>
      <c r="Y361" s="420" t="str">
        <f>IF(D361="","",(VLOOKUP(D361,'DB technologies'!$N$168:$Y$180,2,FALSE)*'DB additional information '!$S$6/100*'DB additional information '!$V$6*VLOOKUP($C$361,'DB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Z361" s="420" t="str">
        <f>IF(D361="","",(VLOOKUP(D361,'DB technologies'!$N$168:$Y$180,3,FALSE)*'DB additional information '!$S$7/100*'DB additional information '!$V$7*VLOOKUP($C$361,'DB animal categories'!$C$127:$AC$136,27,FALSE)*E361/1000/1000)/VLOOKUP($C$361,'DB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AA361" s="420" t="str">
        <f>IF(D361="","",(VLOOKUP(D361,'DB technologies'!$N$168:$Y$180,4,FALSE)*('DB additional information '!$S$8/100*'DB additional information '!$V$8*E361/1000/1000)))</f>
        <v/>
      </c>
      <c r="AB361" s="259" t="str">
        <f>IF($C$361=0,"",IF('Calc (ex-animal)'!$F$63=1,"",IF(D361="","",((VLOOKUP($C$361,'Calc (ex-animal)'!$D$68:$Y$72,16,FALSE)-VLOOKUP($C$361,'Calc (ex-animal)'!$D$68:$Y$72,20,FALSE))*F361/100+Y361+Z361+AA361))))</f>
        <v/>
      </c>
      <c r="AC361" s="259" t="str">
        <f>IF($C$361=0,"",IF('Calc (ex-animal)'!$F$63=1,"",IF(D361="","",VLOOKUP($C$361,'Calc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categories'!$C$127:$AC$136,26,FALSE)/24)*F361/100*VLOOKUP(D361,'DB technologies'!$N$168:$R$180,5,FALSE)/100)))</f>
        <v/>
      </c>
      <c r="AD361" s="259" t="str">
        <f>IF($C$361=0,"",IF('Calc (ex-animal)'!$F$63=1,"",IF(D361="","",VLOOKUP($C$361,'Calc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categories'!$C$127:$AC$136,26,FALSE)/24)*F361/100*VLOOKUP(D361,'DB technologies'!$N$168:$Y$180,6,FALSE)/100)))</f>
        <v/>
      </c>
      <c r="AE361" s="260" t="str">
        <f>IF($C$361=0,"",IF('Calc (ex-animal)'!$F$63=1,"",IF(D361="","",VLOOKUP($C$361,'Calc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categories'!$C$127:$AC$136,26,FALSE)/24)*F361/100*VLOOKUP(D361,'DB technologies'!$N$168:$Y$180,7,FALSE)/100)))</f>
        <v/>
      </c>
      <c r="AI361" s="179" t="str">
        <f>IF(D361="","",VLOOKUP(D361,'DB technologies'!$N$168:$Y$180,10,FALSE))</f>
        <v/>
      </c>
      <c r="AJ361" s="482" t="e">
        <f>VLOOKUP($C$361,'DB animal categories'!$C$127:$AN$136,27,FALSE)-VLOOKUP($C$361,'DB animal categories'!$C$127:$AN$136,26,FALSE)*VLOOKUP($C$361,'DB animal categories'!$C$127:$AN$136,25,FALSE)/24</f>
        <v>#N/A</v>
      </c>
      <c r="AK361" s="453" t="str">
        <f>IF(AI361="","",AL361+AM361)</f>
        <v/>
      </c>
      <c r="AL361" s="453" t="str">
        <f>IF(D361="","",IF(AI361=2,(('Calc (ex-animal)'!$G$72*'DB additional information '!$K$14/100*(1-VLOOKUP(D361,'DB technologies'!$N$168:$Y$180,9,FALSE)/100)*'Calc (ex-housing, ex-storage)'!F361/100+'Calc (ex-animal)'!$H$72*'DB additional information '!$L$14/100*(1-VLOOKUP(D361,'DB technologies'!$N$168:$Y$180,9,FALSE)/100)*'Calc (ex-housing, ex-storage)'!F361/100))/VLOOKUP($C$361,'DB animal categories'!$C$127:$AC$136,27,FALSE)*AJ361+I361+J361+K361,IF(AI361=1,('Calc (ex-animal)'!$H$72*'DB additional information '!$L$14/100*(1-VLOOKUP(D361,'DB technologies'!$N$168:$Y$180,9,FALSE)/100)*'Calc (ex-housing, ex-storage)'!F361/100)/VLOOKUP($C$361,'DB animal categories'!$C$127:$AC$136,27,FALSE)*AJ361,IF(AI361=4,('Calc (ex-animal)'!$G$72*'DB additional information '!$K$14/100+'Calc (ex-animal)'!$H$72*'DB additional information '!$L$14/100)*(1-VLOOKUP(D361,'DB technologies'!$N$168:$Y$180,9,FALSE)/100)*'Calc (ex-housing, ex-storage)'!F361/100*VLOOKUP(D361,'DB technologies'!$N$168:$Y$180,11,FALSE)/100/VLOOKUP($C$361,'DB animal categories'!$C$127:$AC$136,27,FALSE)*AJ361,0))))</f>
        <v/>
      </c>
      <c r="AM361" s="453" t="str">
        <f>IF(D361="","",IF(AI361=2,(('Calc (ex-animal)'!$G$72*(1-'DB additional information '!$K$14/100)*(1-VLOOKUP(D361,'DB technologies'!$N$168:$Y$180,8,FALSE)/100)*'Calc (ex-housing, ex-storage)'!F361/100+'Calc (ex-animal)'!$H$72*(1-'DB additional information '!$L$14/100)*(1-VLOOKUP(D361,'DB technologies'!$N$168:$Y$180,8,FALSE)/100)*'Calc (ex-housing, ex-storage)'!F361/100))/VLOOKUP($C$361,'DB animal categories'!$C$127:$AC$136,27,FALSE)*AJ361+M361+N361+O361,IF(AI361=1,('Calc (ex-animal)'!$H$72*(1-'DB additional information '!$L$14/100)*(1-VLOOKUP(D361,'DB technologies'!$N$168:$Y$180,8,FALSE)/100)*'Calc (ex-housing, ex-storage)'!F361/100)/VLOOKUP($C$361,'DB animal categories'!$C$127:$AC$136,27,FALSE)*AJ361,IF(AI361=4,('Calc (ex-animal)'!$G$72*(1-'DB additional information '!$K$14/100)+'Calc (ex-animal)'!$H$72*(1-'DB additional information '!$L$14/100))*(1-VLOOKUP(D361,'DB technologies'!$N$168:$Y$180,8,FALSE)/100)*'Calc (ex-housing, ex-storage)'!F361/100*VLOOKUP(D361,'DB technologies'!$N$168:$Y$180,11,FALSE)/100/VLOOKUP($C$361,'DB animal categories'!$C$127:$AC$136,27,FALSE)*AJ361,0))))</f>
        <v/>
      </c>
      <c r="AN361" s="453" t="str">
        <f>IF(AI361="","",IF(AL361=0,0,AL361/AK361*100))</f>
        <v/>
      </c>
      <c r="AO361" s="180" t="str">
        <f>IF(D361="","",IF(AI361=2,(('Calc (ex-animal)'!$L$72*'Calc (ex-housing, ex-storage)'!F361/100+'Calc (ex-animal)'!$K$72*'Calc (ex-housing, ex-storage)'!F361/100))/VLOOKUP($C$361,'DB animal categories'!$C$127:$AC$136,27,FALSE)*AJ361+Q361+R361+S361-AC361,IF(AI361=1,('Calc (ex-animal)'!$L$72*'Calc (ex-housing, ex-storage)'!F361/100)/VLOOKUP($C$361,'DB animal categories'!$C$127:$AC$136,27,FALSE)*AJ361-'Calc (ex-housing, ex-storage)'!AC361,IF(AI361=4,('Calc (ex-animal)'!$L$72+'Calc (ex-animal)'!$K$72)*'Calc (ex-housing, ex-storage)'!F361/100*VLOOKUP(D361,'DB technologies'!$N$168:$Y$180,11,FALSE)/100/VLOOKUP($C$361,'DB animal categories'!$C$127:$AC$136,27,FALSE)*AJ361-AC361*VLOOKUP(D361,'DB technologies'!$N$168:$Y$180,11,FALSE)/100,0))))</f>
        <v/>
      </c>
      <c r="AP361" s="180" t="str">
        <f>IF(D361="","",IF(AO361&lt;-0.01,0,IF(AI361=2,(('Calc (ex-animal)'!$L$72*'Calc (ex-housing, ex-storage)'!F361/100+'Calc (ex-animal)'!$K$72*'Calc (ex-housing, ex-storage)'!F361/100))/VLOOKUP($C$361,'DB animal categories'!$C$127:$AC$136,27,FALSE)*AJ361+Q361+R361+S361-AC361,IF(AI361=1,('Calc (ex-animal)'!$L$72*'Calc (ex-housing, ex-storage)'!F361/100)/VLOOKUP($C$361,'DB animal categories'!$C$127:$AC$136,27,FALSE)*AJ361-'Calc (ex-housing, ex-storage)'!AC361,IF(AI361=4,('Calc (ex-animal)'!$L$72+'Calc (ex-animal)'!$K$72)*'Calc (ex-housing, ex-storage)'!F361/100*VLOOKUP(D361,'DB technologies'!$N$168:$Y$180,11,FALSE)/100/VLOOKUP($C$361,'DB animal categories'!$C$127:$AC$136,27,FALSE)*AJ361-AC361*VLOOKUP(D361,'DB technologies'!$N$168:$Y$180,11,FALSE)/100,0)))))</f>
        <v/>
      </c>
      <c r="AQ361" s="180" t="str">
        <f>IF(D361="","",IF(AI361=2,('Calc (ex-animal)'!$O$72*'Calc (ex-housing, ex-storage)'!F361/100+'Calc (ex-animal)'!$N$72*'Calc (ex-housing, ex-storage)'!F361/100)/VLOOKUP($C$361,'DB animal categories'!$C$127:$AC$136,27,FALSE)*AJ361+U361+V361+W361,IF(AI361=1,'Calc (ex-animal)'!$O$72*'Calc (ex-housing, ex-storage)'!F361/100/VLOOKUP($C$361,'DB animal categories'!$C$127:$AC$136,27,FALSE)*AJ361,IF(AI361=4,('Calc (ex-animal)'!$O$72+'Calc (ex-animal)'!$N$72)*'Calc (ex-housing, ex-storage)'!F361/100*VLOOKUP(D361,'DB technologies'!$N$168:$Y$180,11,FALSE)/100/VLOOKUP($C$361,'DB animal categories'!$C$127:$AC$136,27,FALSE)*AJ361,0))))</f>
        <v/>
      </c>
      <c r="AR361" s="180" t="str">
        <f>IF(D361="","",IF(AI361=2,('Calc (ex-animal)'!$R$72*'Calc (ex-housing, ex-storage)'!F361/100+'Calc (ex-animal)'!$Q$72*'Calc (ex-housing, ex-storage)'!F361/100)/VLOOKUP($C$361,'DB animal categories'!$C$127:$AC$136,27,FALSE)*AJ361+Y361+Z361+AA361,IF(AI361=1,'Calc (ex-animal)'!$R$72*'Calc (ex-housing, ex-storage)'!F361/100/VLOOKUP($C$361,'DB animal categories'!$C$127:$AC$136,27,FALSE)*AJ361,IF(AI361=4,('Calc (ex-animal)'!$R$72+'Calc (ex-animal)'!$Q$72)*'Calc (ex-housing, ex-storage)'!F361/100*VLOOKUP(D361,'DB technologies'!$N$168:$Y$180,11,FALSE)/100/VLOOKUP($C$361,'DB animal categories'!$C$127:$AC$136,27,FALSE)*AJ361,0))))</f>
        <v/>
      </c>
      <c r="AS361" s="179" t="str">
        <f>IF(D361="","",VLOOKUP(D361,'DB technologies'!$N$168:$Y$180,10,FALSE))</f>
        <v/>
      </c>
      <c r="AT361" s="453" t="str">
        <f>IF(AS361="","",AU361+AV361)</f>
        <v/>
      </c>
      <c r="AU361" s="453" t="str">
        <f>IF(D361="","",IF(AS361=2,0,IF(AS361=1,'Calc (ex-animal)'!$G$72*'DB additional information '!$K$14/100*(1-VLOOKUP(D361,'DB technologies'!$N$168:$Y$180,8,FALSE)/100)*'Calc (ex-housing, ex-storage)'!F361/100/VLOOKUP($C$361,'DB animal categories'!$C$127:$AC$136,27,FALSE)*AJ361+I361+J361+K361,IF(AS361=5,(('Calc (ex-animal)'!$G$72*'DB additional information '!$K$14/100+'Calc (ex-animal)'!$H$72*'DB additional information '!$L$14/100))*(1-VLOOKUP(D361,'DB technologies'!$N$168:$Y$180,9,FALSE)/100)*'Calc (ex-housing, ex-storage)'!F361/100/VLOOKUP($C$361,'DB animal categories'!$C$127:$AC$136,27,FALSE)*AJ361+I361+J361+K361,IF(AS361=3,('Calc (ex-animal)'!$G$72*'DB additional information '!$K$14/100+'Calc (ex-animal)'!$H$72*'DB additional information '!$L$14/100)*(1-VLOOKUP(D361,'DB technologies'!$N$168:$Y$180,9,FALSE)/100)*'Calc (ex-housing, ex-storage)'!F361/100/VLOOKUP($C$361,'DB animal categories'!$C$127:$AC$136,27,FALSE)*AJ361+I361+J361+K361,IF(AS361=4,('Calc (ex-animal)'!$G$72*'DB additional information '!$K$14/100+'Calc (ex-animal)'!$H$72*'DB additional information '!$L$14/100)*(1-VLOOKUP(D361,'DB technologies'!$N$168:$Y$180,9,FALSE)/100)*'Calc (ex-housing, ex-storage)'!F361/100*VLOOKUP(D361,'DB technologies'!$N$168:$Y$180,12,FALSE)/100/VLOOKUP($C$361,'DB animal categories'!$C$127:$AC$136,27,FALSE)*AJ361+I361+J361+K361,0))))))</f>
        <v/>
      </c>
      <c r="AV361" s="453" t="str">
        <f>IF(D361="","",IF(AS361=2,0,IF(AS361=1,'Calc (ex-animal)'!$G$72*(1-'DB additional information '!$K$14/100)*(1-VLOOKUP(D361,'DB technologies'!$N$168:$Y$180,8,FALSE)/100)*'Calc (ex-housing, ex-storage)'!F361/100/VLOOKUP($C$361,'DB animal categories'!$C$127:$AC$136,27,FALSE)*AJ361+M361+N361+O361,IF(AS361=5,('Calc (ex-animal)'!$G$72*(1-'DB additional information '!$K$14/100)+'Calc (ex-animal)'!$H$72*(1-'DB additional information '!$L$14/100))*(1-VLOOKUP(D361,'DB technologies'!$N$168:$Y$180,8,FALSE)/100)*'Calc (ex-housing, ex-storage)'!F361/100/VLOOKUP($C$361,'DB animal categories'!$C$127:$AC$136,27,FALSE)*AJ361+M361+N361+O361,IF(AS361=3,('Calc (ex-animal)'!$G$72*(1-'DB additional information '!$K$14/100)+'Calc (ex-animal)'!$H$72*(1-'DB additional information '!$L$14/100))*(1-VLOOKUP(D361,'DB technologies'!$N$168:$Y$180,8,FALSE)/100)*'Calc (ex-housing, ex-storage)'!F361/100/VLOOKUP($C$361,'DB animal categories'!$C$127:$AC$136,27,FALSE)*AJ361+M361+N361+O361,IF(AS361=4,('Calc (ex-animal)'!$G$72*(1-'DB additional information '!$K$14/100)+'Calc (ex-animal)'!$H$72*(1-'DB additional information '!$L$14/100))*(1-VLOOKUP(D361,'DB technologies'!$N$168:$Y$180,8,FALSE)/100)*'Calc (ex-housing, ex-storage)'!F361/100*VLOOKUP(D361,'DB technologies'!$N$168:$Y$180,12,FALSE)/100/VLOOKUP($C$361,'DB animal categories'!$C$127:$AC$136,27,FALSE)*AJ361+M361+N361+O361,0))))))</f>
        <v/>
      </c>
      <c r="AW361" s="453" t="str">
        <f>IF(AS361="","",IF(AU361=0,0,AU361/AT361*100))</f>
        <v/>
      </c>
      <c r="AX361" s="180" t="str">
        <f>IF(D361="","",IF(AS361=2,0,IF(AS361=1,'Calc (ex-animal)'!$K$72*'Calc (ex-housing, ex-storage)'!F361/100/VLOOKUP($C$361,'DB animal categories'!$C$127:$AC$136,27,FALSE)*AJ361+Q361+R361+S361,IF(AS361=5,('Calc (ex-animal)'!$K$72+'Calc (ex-animal)'!$L$72)*'Calc (ex-housing, ex-storage)'!F361/100/VLOOKUP($C$361,'DB animal categories'!$C$127:$AC$136,27,FALSE)*AJ361+Q361+R361+S361-'Calc (ex-housing, ex-storage)'!AC361,IF(AS361=3,('Calc (ex-animal)'!$K$72+'Calc (ex-animal)'!$L$72)*'Calc (ex-housing, ex-storage)'!F361/100/VLOOKUP($C$361,'DB animal categories'!$C$127:$AC$136,27,FALSE)*AJ361+Q361+R361+S361-'Calc (ex-housing, ex-storage)'!AC361-AD361-AE361,IF(AI361=4,('Calc (ex-animal)'!$K$72+'Calc (ex-animal)'!$L$72)*'Calc (ex-housing, ex-storage)'!F361/100*VLOOKUP(D361,'DB technologies'!$N$168:$Y$180,12,FALSE)/100/VLOOKUP($C$361,'DB animal categories'!$C$127:$AC$136,27,FALSE)*AJ361+Q361+R361+S361-(VLOOKUP(D361,'DB technologies'!$N$168:$Y$180,12,FALSE)/100*AC361)-AD361-AE361,0))))))</f>
        <v/>
      </c>
      <c r="AY361" s="180" t="str">
        <f>IF(D361="","",IF(AS361=2,0,IF(AS361=1,'Calc (ex-animal)'!$N$72*'Calc (ex-housing, ex-storage)'!F361/100/VLOOKUP($C$361,'DB animal categories'!$C$127:$AC$136,27,FALSE)*AJ361+U361+V361+W361,IF(AS361=5,('Calc (ex-animal)'!$N$72+'Calc (ex-animal)'!$O$72)*'Calc (ex-housing, ex-storage)'!F361/100/VLOOKUP($C$361,'DB animal categories'!$C$127:$AC$136,27,FALSE)*AJ361+U361+V361+W361,IF(AS361=3,('Calc (ex-animal)'!$N$72+'Calc (ex-animal)'!$O$72)*'Calc (ex-housing, ex-storage)'!F361/100/VLOOKUP($C$361,'DB animal categories'!$C$127:$AC$136,27,FALSE)*AJ361+U361+V361+W361,IF(AS361=4,('Calc (ex-animal)'!$N$72+'Calc (ex-animal)'!$O$72)*'Calc (ex-housing, ex-storage)'!F361/100*VLOOKUP(D361,'DB technologies'!$N$168:$Y$180,12,FALSE)/100/VLOOKUP($C$361,'DB animal categories'!$C$127:$AC$136,27,FALSE)*AJ361+U361+V361+W361,0))))))</f>
        <v/>
      </c>
      <c r="AZ361" s="180" t="str">
        <f>IF(D361="","",IF(AS361=2,0,IF(AS361=1,'Calc (ex-animal)'!$Q$72*'Calc (ex-housing, ex-storage)'!F361/100/VLOOKUP($C$361,'DB animal categories'!$C$127:$AC$136,27,FALSE)*AJ361+Y361+Z361+AA361,IF(AS361=5,('Calc (ex-animal)'!$Q$72+'Calc (ex-animal)'!$R$72)*'Calc (ex-housing, ex-storage)'!F361/100/VLOOKUP($C$361,'DB animal categories'!$C$127:$AC$136,27,FALSE)*AJ361+Y361+Z361+AA361,IF(AS361=3,('Calc (ex-animal)'!$Q$72+'Calc (ex-animal)'!$R$72)*'Calc (ex-housing, ex-storage)'!F361/100/VLOOKUP($C$361,'DB animal categories'!$C$127:$AC$136,27,FALSE)*AJ361+Y361+Z361+AA361,IF(AS361=4,('Calc (ex-animal)'!$Q$72+'Calc (ex-animal)'!$R$72)*'Calc (ex-housing, ex-storage)'!F361/100*VLOOKUP(D361,'DB technologies'!$N$168:$Y$180,12,FALSE)/100/VLOOKUP($C$361,'DB animal categories'!$C$127:$AC$136,27,FALSE)*AJ361+Y361+Z361+AA361,0))))))</f>
        <v/>
      </c>
      <c r="BA361" s="506"/>
      <c r="BB361" s="506"/>
      <c r="BC361" s="506"/>
    </row>
    <row r="362" spans="1:55" x14ac:dyDescent="0.2">
      <c r="A362" s="695"/>
      <c r="B362" s="695"/>
      <c r="C362" s="251"/>
      <c r="D362" s="1357"/>
      <c r="E362" s="1358"/>
      <c r="F362" s="480" t="str">
        <f>IF('Calc (ex-animal)'!$F$63=1,"",IF($C$361=0,"",IF(D362="","",E362/'Calc (ex-animal)'!$E$72*100)))</f>
        <v/>
      </c>
      <c r="G362" s="485" t="str">
        <f>IF($C$361=0,"",IF('Calc (ex-animal)'!$F$63=1,"",IF(D362="","",SUM(H362:O362))))</f>
        <v/>
      </c>
      <c r="H362" s="423" t="str">
        <f>IF('Calc (ex-animal)'!$F$63=1,"",IF(D362="","",(((VLOOKUP($C$361,'Calc (ex-animal)'!$D$68:$Y$72,6,FALSE)-VLOOKUP($C$361,'Calc (ex-animal)'!$D$68:$Y$72,17,FALSE))*F362/100))*VLOOKUP($C$361,'Calc (ex-animal)'!$D$68:$Y$72,7,FALSE)/100*(1-VLOOKUP(D362,'DB technologies'!$N$168:$Y$180,9,FALSE)/100)))</f>
        <v/>
      </c>
      <c r="I362" s="423" t="str">
        <f>IF(D362="","",((VLOOKUP(D362,'DB technologies'!$N$168:$Y$180,2,FALSE)*VLOOKUP($C$361,'DB animal categories'!$C$127:$AC$136,27,FALSE)*E362/1000)/VLOOKUP($C$361,'DB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'!$S$6/100*(1-VLOOKUP(D362,'DB technologies'!$N$168:$Y$180,9,FALSE)/100)))</f>
        <v/>
      </c>
      <c r="J362" s="434" t="str">
        <f>IF(D362="","",((VLOOKUP(D362,'DB technologies'!$N$168:$Y$180,3,FALSE)*VLOOKUP($C$361,'DB animal categories'!$C$127:$AC$136,27,FALSE)*E362/1000)/VLOOKUP($C$361,'DB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'!$S$7/100*(1-VLOOKUP(D362,'DB technologies'!$N$168:$Y$180,9,FALSE)/100)))</f>
        <v/>
      </c>
      <c r="K362" s="434" t="str">
        <f>IF(D362="","",((VLOOKUP(D362,'DB technologies'!$N$168:$Y$180,4,FALSE)*E362*'DB additional information '!$S$8/100*(1-VLOOKUP(D362,'DB technologies'!$N$168:$Y$180,9,FALSE)/100))/VLOOKUP($C$361,'DB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L362" s="423" t="str">
        <f>IF('Calc (ex-animal)'!$F$63=1,"",IF(D362="","",(((VLOOKUP($C$361,'Calc (ex-animal)'!$D$68:$Y$72,6,FALSE)-VLOOKUP($C$361,'Calc (ex-animal)'!$D$68:$Y$72,17,FALSE))*F362/100))*(1-VLOOKUP($C$361,'Calc (ex-animal)'!$D$68:$Y$72,7,FALSE)/100)*(1-VLOOKUP(D362,'DB technologies'!$N$168:$V$180,8,FALSE)/100)))</f>
        <v/>
      </c>
      <c r="M362" s="434" t="str">
        <f>IF(D362="","",((VLOOKUP(D362,'DB technologies'!$N$168:$Y$180,2,FALSE)*VLOOKUP($C$361,'DB animal categories'!$C$127:$AC$136,27,FALSE)*E362/1000)/VLOOKUP($C$361,'DB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'!$S$6/100)*(1-VLOOKUP(D362,'DB technologies'!$N$168:$Y$180,9,FALSE)/100))</f>
        <v/>
      </c>
      <c r="N362" s="434" t="str">
        <f>IF(D362="","",((VLOOKUP(D362,'DB technologies'!$N$168:$Y$180,3,FALSE)*VLOOKUP($C$361,'DB animal categories'!$C$127:$AC$136,27,FALSE)*E362/1000)/VLOOKUP($C$361,'DB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'!$S$7/100)*(1-VLOOKUP(D362,'DB technologies'!$N$168:$Y$180,9,FALSE)/100))</f>
        <v/>
      </c>
      <c r="O362" s="423" t="str">
        <f>IF(D362="","",((VLOOKUP(D362,'DB technologies'!$N$168:$Y$180,4,FALSE)*E362*(1-'DB additional information '!$S$8/100)*(1-VLOOKUP(D362,'DB technologies'!$N$168:$Y$180,8,FALSE)/100))/VLOOKUP($C$361,'DB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P362" s="438" t="str">
        <f>IF(G362=0,0,IF(E362="","",IF(F362="","",IF($C$361=0,"",IF(D362="","",SUM(H362:K362)/G362*100)))))</f>
        <v/>
      </c>
      <c r="Q362" s="416" t="str">
        <f>IF(D362="","",(VLOOKUP(D362,'DB technologies'!$N$168:$Y$180,2,FALSE)*'DB additional information '!$S$6/100*'DB additional information '!$T$6*VLOOKUP($C$361,'DB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R362" s="416" t="str">
        <f>IF(D362="","",(VLOOKUP(D362,'DB technologies'!$N$168:$Y$180,3,FALSE)*'DB additional information '!$S$7/100*'DB additional information '!$T$7*VLOOKUP($C$361,'DB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S362" s="491" t="str">
        <f>IF(D362="","",(VLOOKUP(D362,'DB technologies'!$N$168:$Y$180,4,FALSE)*('DB additional information '!$S$8/100*'DB additional information '!$T$8*E362/1000/1000)))</f>
        <v/>
      </c>
      <c r="T362" s="264" t="str">
        <f>IF($C$361=0,"",IF('Calc (ex-animal)'!$F$63=1,"",IF(D362="","",((VLOOKUP($C$361,'Calc (ex-animal)'!$D$68:$Y$72,10,FALSE)-VLOOKUP($C$361,'Calc (ex-animal)'!$D$68:$Y$72,18,FALSE))*F362/100+Q362+R362+S362)-AC362-AD362-AE362)))</f>
        <v/>
      </c>
      <c r="U362" s="422" t="str">
        <f>IF(D362="","",(VLOOKUP(D362,'DB technologies'!$N$168:$Y$180,2,FALSE)*'DB additional information '!$S$6/100*'DB additional information '!$U$6*VLOOKUP($C$361,'DB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V362" s="418" t="str">
        <f>IF(D362="","",(VLOOKUP(D362,'DB technologies'!$N$168:$Y$180,3,FALSE)*'DB additional information '!$S$7/100*'DB additional information '!$U$7*VLOOKUP($C$361,'DB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W362" s="417" t="str">
        <f>IF(D362="","",(VLOOKUP(D362,'DB technologies'!$N$168:$Y$180,4,FALSE)*('DB additional information '!$S$8/100*'DB additional information '!$U$8*E362/1000/1000)))</f>
        <v/>
      </c>
      <c r="X362" s="261" t="str">
        <f>IF($C$361=0,"",IF('Calc (ex-animal)'!$F$63=1,"",IF(D362="","",((VLOOKUP($C$361,'Calc (ex-animal)'!$D$68:$Y$72,13,FALSE)-VLOOKUP($C$361,'Calc (ex-animal)'!$D$68:$Y$72,19,FALSE))*F362/100+U362+V362+W362))))</f>
        <v/>
      </c>
      <c r="Y362" s="418" t="str">
        <f>IF(D362="","",(VLOOKUP(D362,'DB technologies'!$N$168:$Y$180,2,FALSE)*'DB additional information '!$S$6/100*'DB additional information '!$V$6*VLOOKUP($C$361,'DB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Z362" s="418" t="str">
        <f>IF(D362="","",(VLOOKUP(D362,'DB technologies'!$N$168:$Y$180,3,FALSE)*'DB additional information '!$S$7/100*'DB additional information '!$V$7*VLOOKUP($C$361,'DB animal categories'!$C$127:$AC$136,27,FALSE)*E362/1000/1000)/VLOOKUP($C$361,'DB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AA362" s="418" t="str">
        <f>IF(D362="","",(VLOOKUP(D362,'DB technologies'!$N$168:$Y$180,4,FALSE)*('DB additional information '!$S$8/100*'DB additional information '!$V$8*E362/1000/1000)))</f>
        <v/>
      </c>
      <c r="AB362" s="261" t="str">
        <f>IF($C$361=0,"",IF('Calc (ex-animal)'!$F$63=1,"",IF(D362="","",((VLOOKUP($C$361,'Calc (ex-animal)'!$D$68:$Y$72,16,FALSE)-VLOOKUP($C$361,'Calc (ex-animal)'!$D$68:$Y$72,20,FALSE))*F362/100+Y362+Z362+AA362))))</f>
        <v/>
      </c>
      <c r="AC362" s="261" t="str">
        <f>IF($C$361=0,"",IF('Calc (ex-animal)'!$F$63=1,"",IF(D362="","",VLOOKUP($C$361,'Calc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categories'!$C$127:$AC$136,26,FALSE)/24)*F362/100*VLOOKUP(D362,'DB technologies'!$N$168:$R$180,5,FALSE)/100)))</f>
        <v/>
      </c>
      <c r="AD362" s="261" t="str">
        <f>IF($C$361=0,"",IF('Calc (ex-animal)'!$F$63=1,"",IF(D362="","",VLOOKUP($C$361,'Calc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categories'!$C$127:$AC$136,26,FALSE)/24)*F362/100*VLOOKUP(D362,'DB technologies'!$N$168:$Y$180,6,FALSE)/100)))</f>
        <v/>
      </c>
      <c r="AE362" s="262" t="str">
        <f>IF($C$361=0,"",IF('Calc (ex-animal)'!$F$63=1,"",IF(D362="","",VLOOKUP($C$361,'Calc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categories'!$C$127:$AC$136,26,FALSE)/24)*F362/100*VLOOKUP(D362,'DB technologies'!$N$168:$Y$180,7,FALSE)/100)))</f>
        <v/>
      </c>
      <c r="AI362" s="181" t="str">
        <f>IF(D362="","",VLOOKUP(D362,'DB technologies'!$N$168:$Y$180,10,FALSE))</f>
        <v/>
      </c>
      <c r="AJ362" s="449" t="e">
        <f>VLOOKUP($C$361,'DB animal categories'!$C$127:$AN$136,27,FALSE)-VLOOKUP($C$361,'DB animal categories'!$C$127:$AN$136,26,FALSE)*VLOOKUP($C$361,'DB animal categories'!$C$127:$AN$136,25,FALSE)/24</f>
        <v>#N/A</v>
      </c>
      <c r="AK362" s="442" t="str">
        <f>IF(AI362="","",AL362+AM362)</f>
        <v/>
      </c>
      <c r="AL362" s="442" t="str">
        <f>IF(D362="","",IF(AI362=2,(('Calc (ex-animal)'!$G$72*'DB additional information '!$K$14/100*(1-VLOOKUP(D362,'DB technologies'!$N$168:$Y$180,9,FALSE)/100)*'Calc (ex-housing, ex-storage)'!F362/100+'Calc (ex-animal)'!$H$72*'DB additional information '!$L$14/100*(1-VLOOKUP(D362,'DB technologies'!$N$168:$Y$180,9,FALSE)/100)*'Calc (ex-housing, ex-storage)'!F362/100))/VLOOKUP($C$361,'DB animal categories'!$C$127:$AC$136,27,FALSE)*AJ362+I362+J362+K362,IF(AI362=1,('Calc (ex-animal)'!$H$72*'DB additional information '!$L$14/100*(1-VLOOKUP(D362,'DB technologies'!$N$168:$Y$180,9,FALSE)/100)*'Calc (ex-housing, ex-storage)'!F362/100)/VLOOKUP($C$361,'DB animal categories'!$C$127:$AC$136,27,FALSE)*AJ362,IF(AI362=4,('Calc (ex-animal)'!$G$72*'DB additional information '!$K$14/100+'Calc (ex-animal)'!$H$72*'DB additional information '!$L$14/100)*(1-VLOOKUP(D362,'DB technologies'!$N$168:$Y$180,9,FALSE)/100)*'Calc (ex-housing, ex-storage)'!F362/100*VLOOKUP(D362,'DB technologies'!$N$168:$Y$180,11,FALSE)/100/VLOOKUP($C$361,'DB animal categories'!$C$127:$AC$136,27,FALSE)*AJ362,0))))</f>
        <v/>
      </c>
      <c r="AM362" s="442" t="str">
        <f>IF(D362="","",IF(AI362=2,(('Calc (ex-animal)'!$G$72*(1-'DB additional information '!$K$14/100)*(1-VLOOKUP(D362,'DB technologies'!$N$168:$Y$180,8,FALSE)/100)*'Calc (ex-housing, ex-storage)'!F362/100+'Calc (ex-animal)'!$H$72*(1-'DB additional information '!$L$14/100)*(1-VLOOKUP(D362,'DB technologies'!$N$168:$Y$180,8,FALSE)/100)*'Calc (ex-housing, ex-storage)'!F362/100))/VLOOKUP($C$361,'DB animal categories'!$C$127:$AC$136,27,FALSE)*AJ362+M362+N362+O362,IF(AI362=1,('Calc (ex-animal)'!$H$72*(1-'DB additional information '!$L$14/100)*(1-VLOOKUP(D362,'DB technologies'!$N$168:$Y$180,8,FALSE)/100)*'Calc (ex-housing, ex-storage)'!F362/100)/VLOOKUP($C$361,'DB animal categories'!$C$127:$AC$136,27,FALSE)*AJ362,IF(AI362=4,('Calc (ex-animal)'!$G$72*(1-'DB additional information '!$K$14/100)+'Calc (ex-animal)'!$H$72*(1-'DB additional information '!$L$14/100))*(1-VLOOKUP(D362,'DB technologies'!$N$168:$Y$180,8,FALSE)/100)*'Calc (ex-housing, ex-storage)'!F362/100*VLOOKUP(D362,'DB technologies'!$N$168:$Y$180,11,FALSE)/100/VLOOKUP($C$361,'DB animal categories'!$C$127:$AC$136,27,FALSE)*AJ362,0))))</f>
        <v/>
      </c>
      <c r="AN362" s="442" t="str">
        <f>IF(AI362="","",IF(AL362=0,0,AL362/AK362*100))</f>
        <v/>
      </c>
      <c r="AO362" s="182" t="str">
        <f>IF(D362="","",IF(AI362=2,(('Calc (ex-animal)'!$L$72*'Calc (ex-housing, ex-storage)'!F362/100+'Calc (ex-animal)'!$K$72*'Calc (ex-housing, ex-storage)'!F362/100))/VLOOKUP($C$361,'DB animal categories'!$C$127:$AC$136,27,FALSE)*AJ362+Q362+R362+S362-AC362,IF(AI362=1,('Calc (ex-animal)'!$L$72*'Calc (ex-housing, ex-storage)'!F362/100)/VLOOKUP($C$361,'DB animal categories'!$C$127:$AC$136,27,FALSE)*AJ362-'Calc (ex-housing, ex-storage)'!AC362,IF(AI362=4,('Calc (ex-animal)'!$L$72+'Calc (ex-animal)'!$K$72)*'Calc (ex-housing, ex-storage)'!F362/100*VLOOKUP(D362,'DB technologies'!$N$168:$Y$180,11,FALSE)/100/VLOOKUP($C$361,'DB animal categories'!$C$127:$AC$136,27,FALSE)*AJ362-AC362*VLOOKUP(D362,'DB technologies'!$N$168:$Y$180,11,FALSE)/100,0))))</f>
        <v/>
      </c>
      <c r="AP362" s="182" t="str">
        <f>IF(D362="","",IF(AO362&lt;-0.01,0,IF(AI362=2,(('Calc (ex-animal)'!$L$72*'Calc (ex-housing, ex-storage)'!F362/100+'Calc (ex-animal)'!$K$72*'Calc (ex-housing, ex-storage)'!F362/100))/VLOOKUP($C$361,'DB animal categories'!$C$127:$AC$136,27,FALSE)*AJ362+Q362+R362+S362-AC362,IF(AI362=1,('Calc (ex-animal)'!$L$72*'Calc (ex-housing, ex-storage)'!F362/100)/VLOOKUP($C$361,'DB animal categories'!$C$127:$AC$136,27,FALSE)*AJ362-'Calc (ex-housing, ex-storage)'!AC362,IF(AI362=4,('Calc (ex-animal)'!$L$72+'Calc (ex-animal)'!$K$72)*'Calc (ex-housing, ex-storage)'!F362/100*VLOOKUP(D362,'DB technologies'!$N$168:$Y$180,11,FALSE)/100/VLOOKUP($C$361,'DB animal categories'!$C$127:$AC$136,27,FALSE)*AJ362-AC362*VLOOKUP(D362,'DB technologies'!$N$168:$Y$180,11,FALSE)/100,0)))))</f>
        <v/>
      </c>
      <c r="AQ362" s="182" t="str">
        <f>IF(D362="","",IF(AI362=2,('Calc (ex-animal)'!$O$72*'Calc (ex-housing, ex-storage)'!F362/100+'Calc (ex-animal)'!$N$72*'Calc (ex-housing, ex-storage)'!F362/100)/VLOOKUP($C$361,'DB animal categories'!$C$127:$AC$136,27,FALSE)*AJ362+U362+V362+W362,IF(AI362=1,'Calc (ex-animal)'!$O$72*'Calc (ex-housing, ex-storage)'!F362/100/VLOOKUP($C$361,'DB animal categories'!$C$127:$AC$136,27,FALSE)*AJ362,IF(AI362=4,('Calc (ex-animal)'!$O$72+'Calc (ex-animal)'!$N$72)*'Calc (ex-housing, ex-storage)'!F362/100*VLOOKUP(D362,'DB technologies'!$N$168:$Y$180,11,FALSE)/100/VLOOKUP($C$361,'DB animal categories'!$C$127:$AC$136,27,FALSE)*AJ362,0))))</f>
        <v/>
      </c>
      <c r="AR362" s="182" t="str">
        <f>IF(D362="","",IF(AI362=2,('Calc (ex-animal)'!$R$72*'Calc (ex-housing, ex-storage)'!F362/100+'Calc (ex-animal)'!$Q$72*'Calc (ex-housing, ex-storage)'!F362/100)/VLOOKUP($C$361,'DB animal categories'!$C$127:$AC$136,27,FALSE)*AJ362+Y362+Z362+AA362,IF(AI362=1,'Calc (ex-animal)'!$R$72*'Calc (ex-housing, ex-storage)'!F362/100/VLOOKUP($C$361,'DB animal categories'!$C$127:$AC$136,27,FALSE)*AJ362,IF(AI362=4,('Calc (ex-animal)'!$R$72+'Calc (ex-animal)'!$Q$72)*'Calc (ex-housing, ex-storage)'!F362/100*VLOOKUP(D362,'DB technologies'!$N$168:$Y$180,11,FALSE)/100/VLOOKUP($C$361,'DB animal categories'!$C$127:$AC$136,27,FALSE)*AJ362,0))))</f>
        <v/>
      </c>
      <c r="AS362" s="181" t="str">
        <f>IF(D362="","",VLOOKUP(D362,'DB technologies'!$N$168:$Y$180,10,FALSE))</f>
        <v/>
      </c>
      <c r="AT362" s="442" t="str">
        <f>IF(AS362="","",AU362+AV362)</f>
        <v/>
      </c>
      <c r="AU362" s="442" t="str">
        <f>IF(D362="","",IF(AS362=2,0,IF(AS362=1,'Calc (ex-animal)'!$G$72*'DB additional information '!$K$14/100*(1-VLOOKUP(D362,'DB technologies'!$N$168:$Y$180,8,FALSE)/100)*'Calc (ex-housing, ex-storage)'!F362/100/VLOOKUP($C$361,'DB animal categories'!$C$127:$AC$136,27,FALSE)*AJ362+I362+J362+K362,IF(AS362=5,(('Calc (ex-animal)'!$G$72*'DB additional information '!$K$14/100+'Calc (ex-animal)'!$H$72*'DB additional information '!$L$14/100))*(1-VLOOKUP(D362,'DB technologies'!$N$168:$Y$180,9,FALSE)/100)*'Calc (ex-housing, ex-storage)'!F362/100/VLOOKUP($C$361,'DB animal categories'!$C$127:$AC$136,27,FALSE)*AJ362+I362+J362+K362,IF(AS362=3,('Calc (ex-animal)'!$G$72*'DB additional information '!$K$14/100+'Calc (ex-animal)'!$H$72*'DB additional information '!$L$14/100)*(1-VLOOKUP(D362,'DB technologies'!$N$168:$Y$180,9,FALSE)/100)*'Calc (ex-housing, ex-storage)'!F362/100/VLOOKUP($C$361,'DB animal categories'!$C$127:$AC$136,27,FALSE)*AJ362+I362+J362+K362,IF(AS362=4,('Calc (ex-animal)'!$G$72*'DB additional information '!$K$14/100+'Calc (ex-animal)'!$H$72*'DB additional information '!$L$14/100)*(1-VLOOKUP(D362,'DB technologies'!$N$168:$Y$180,9,FALSE)/100)*'Calc (ex-housing, ex-storage)'!F362/100*VLOOKUP(D362,'DB technologies'!$N$168:$Y$180,12,FALSE)/100/VLOOKUP($C$361,'DB animal categories'!$C$127:$AC$136,27,FALSE)*AJ362+I362+J362+K362,0))))))</f>
        <v/>
      </c>
      <c r="AV362" s="442" t="str">
        <f>IF(D362="","",IF(AS362=2,0,IF(AS362=1,'Calc (ex-animal)'!$G$72*(1-'DB additional information '!$K$14/100)*(1-VLOOKUP(D362,'DB technologies'!$N$168:$Y$180,8,FALSE)/100)*'Calc (ex-housing, ex-storage)'!F362/100/VLOOKUP($C$361,'DB animal categories'!$C$127:$AC$136,27,FALSE)*AJ362+M362+N362+O362,IF(AS362=5,('Calc (ex-animal)'!$G$72*(1-'DB additional information '!$K$14/100)+'Calc (ex-animal)'!$H$72*(1-'DB additional information '!$L$14/100))*(1-VLOOKUP(D362,'DB technologies'!$N$168:$Y$180,8,FALSE)/100)*'Calc (ex-housing, ex-storage)'!F362/100/VLOOKUP($C$361,'DB animal categories'!$C$127:$AC$136,27,FALSE)*AJ362+M362+N362+O362,IF(AS362=3,('Calc (ex-animal)'!$G$72*(1-'DB additional information '!$K$14/100)+'Calc (ex-animal)'!$H$72*(1-'DB additional information '!$L$14/100))*(1-VLOOKUP(D362,'DB technologies'!$N$168:$Y$180,8,FALSE)/100)*'Calc (ex-housing, ex-storage)'!F362/100/VLOOKUP($C$361,'DB animal categories'!$C$127:$AC$136,27,FALSE)*AJ362+M362+N362+O362,IF(AS362=4,('Calc (ex-animal)'!$G$72*(1-'DB additional information '!$K$14/100)+'Calc (ex-animal)'!$H$72*(1-'DB additional information '!$L$14/100))*(1-VLOOKUP(D362,'DB technologies'!$N$168:$Y$180,8,FALSE)/100)*'Calc (ex-housing, ex-storage)'!F362/100*VLOOKUP(D362,'DB technologies'!$N$168:$Y$180,12,FALSE)/100/VLOOKUP($C$361,'DB animal categories'!$C$127:$AC$136,27,FALSE)*AJ362+M362+N362+O362,0))))))</f>
        <v/>
      </c>
      <c r="AW362" s="442" t="str">
        <f>IF(AS362="","",IF(AU362=0,0,AU362/AT362*100))</f>
        <v/>
      </c>
      <c r="AX362" s="182" t="str">
        <f>IF(D362="","",IF(AS362=2,0,IF(AS362=1,'Calc (ex-animal)'!$K$72*'Calc (ex-housing, ex-storage)'!F362/100/VLOOKUP($C$361,'DB animal categories'!$C$127:$AC$136,27,FALSE)*AJ362+Q362+R362+S362,IF(AS362=5,('Calc (ex-animal)'!$K$72+'Calc (ex-animal)'!$L$72)*'Calc (ex-housing, ex-storage)'!F362/100/VLOOKUP($C$361,'DB animal categories'!$C$127:$AC$136,27,FALSE)*AJ362+Q362+R362+S362-'Calc (ex-housing, ex-storage)'!AC362,IF(AS362=3,('Calc (ex-animal)'!$K$72+'Calc (ex-animal)'!$L$72)*'Calc (ex-housing, ex-storage)'!F362/100/VLOOKUP($C$361,'DB animal categories'!$C$127:$AC$136,27,FALSE)*AJ362+Q362+R362+S362-'Calc (ex-housing, ex-storage)'!AC362-AD362-AE362,IF(AI362=4,('Calc (ex-animal)'!$K$72+'Calc (ex-animal)'!$L$72)*'Calc (ex-housing, ex-storage)'!F362/100*VLOOKUP(D362,'DB technologies'!$N$168:$Y$180,12,FALSE)/100/VLOOKUP($C$361,'DB animal categories'!$C$127:$AC$136,27,FALSE)*AJ362+Q362+R362+S362-(VLOOKUP(D362,'DB technologies'!$N$168:$Y$180,12,FALSE)/100*AC362)-AD362-AE362,0))))))</f>
        <v/>
      </c>
      <c r="AY362" s="182" t="str">
        <f>IF(D362="","",IF(AS362=2,0,IF(AS362=1,'Calc (ex-animal)'!$N$72*'Calc (ex-housing, ex-storage)'!F362/100/VLOOKUP($C$361,'DB animal categories'!$C$127:$AC$136,27,FALSE)*AJ362+U362+V362+W362,IF(AS362=5,('Calc (ex-animal)'!$N$72+'Calc (ex-animal)'!$O$72)*'Calc (ex-housing, ex-storage)'!F362/100/VLOOKUP($C$361,'DB animal categories'!$C$127:$AC$136,27,FALSE)*AJ362+U362+V362+W362,IF(AS362=3,('Calc (ex-animal)'!$N$72+'Calc (ex-animal)'!$O$72)*'Calc (ex-housing, ex-storage)'!F362/100/VLOOKUP($C$361,'DB animal categories'!$C$127:$AC$136,27,FALSE)*AJ362+U362+V362+W362,IF(AS362=4,('Calc (ex-animal)'!$N$72+'Calc (ex-animal)'!$O$72)*'Calc (ex-housing, ex-storage)'!F362/100*VLOOKUP(D362,'DB technologies'!$N$168:$Y$180,12,FALSE)/100/VLOOKUP($C$361,'DB animal categories'!$C$127:$AC$136,27,FALSE)*AJ362+U362+V362+W362,0))))))</f>
        <v/>
      </c>
      <c r="AZ362" s="182" t="str">
        <f>IF(D362="","",IF(AS362=2,0,IF(AS362=1,'Calc (ex-animal)'!$Q$72*'Calc (ex-housing, ex-storage)'!F362/100/VLOOKUP($C$361,'DB animal categories'!$C$127:$AC$136,27,FALSE)*AJ362+Y362+Z362+AA362,IF(AS362=5,('Calc (ex-animal)'!$Q$72+'Calc (ex-animal)'!$R$72)*'Calc (ex-housing, ex-storage)'!F362/100/VLOOKUP($C$361,'DB animal categories'!$C$127:$AC$136,27,FALSE)*AJ362+Y362+Z362+AA362,IF(AS362=3,('Calc (ex-animal)'!$Q$72+'Calc (ex-animal)'!$R$72)*'Calc (ex-housing, ex-storage)'!F362/100/VLOOKUP($C$361,'DB animal categories'!$C$127:$AC$136,27,FALSE)*AJ362+Y362+Z362+AA362,IF(AS362=4,('Calc (ex-animal)'!$Q$72+'Calc (ex-animal)'!$R$72)*'Calc (ex-housing, ex-storage)'!F362/100*VLOOKUP(D362,'DB technologies'!$N$168:$Y$180,12,FALSE)/100/VLOOKUP($C$361,'DB animal categories'!$C$127:$AC$136,27,FALSE)*AJ362+Y362+Z362+AA362,0))))))</f>
        <v/>
      </c>
      <c r="BA362" s="506"/>
      <c r="BB362" s="506"/>
      <c r="BC362" s="506"/>
    </row>
    <row r="363" spans="1:55" x14ac:dyDescent="0.2">
      <c r="A363" s="695"/>
      <c r="B363" s="695"/>
      <c r="C363" s="251"/>
      <c r="D363" s="1357"/>
      <c r="E363" s="1358"/>
      <c r="F363" s="480" t="str">
        <f>IF('Calc (ex-animal)'!$F$63=1,"",IF($C$361=0,"",IF(D363="","",E363/'Calc (ex-animal)'!$E$72*100)))</f>
        <v/>
      </c>
      <c r="G363" s="485" t="str">
        <f>IF($C$361=0,"",IF('Calc (ex-animal)'!$F$63=1,"",IF(D363="","",SUM(H363:O363))))</f>
        <v/>
      </c>
      <c r="H363" s="423" t="str">
        <f>IF('Calc (ex-animal)'!$F$63=1,"",IF(D363="","",(((VLOOKUP($C$361,'Calc (ex-animal)'!$D$68:$Y$72,6,FALSE)-VLOOKUP($C$361,'Calc (ex-animal)'!$D$68:$Y$72,17,FALSE))*F363/100))*VLOOKUP($C$361,'Calc (ex-animal)'!$D$68:$Y$72,7,FALSE)/100*(1-VLOOKUP(D363,'DB technologies'!$N$168:$Y$180,9,FALSE)/100)))</f>
        <v/>
      </c>
      <c r="I363" s="423" t="str">
        <f>IF(D363="","",((VLOOKUP(D363,'DB technologies'!$N$168:$Y$180,2,FALSE)*VLOOKUP($C$361,'DB animal categories'!$C$127:$AC$136,27,FALSE)*E363/1000)/VLOOKUP($C$361,'DB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'!$S$6/100*(1-VLOOKUP(D363,'DB technologies'!$N$168:$Y$180,9,FALSE)/100)))</f>
        <v/>
      </c>
      <c r="J363" s="434" t="str">
        <f>IF(D363="","",((VLOOKUP(D363,'DB technologies'!$N$168:$Y$180,3,FALSE)*VLOOKUP($C$361,'DB animal categories'!$C$127:$AC$136,27,FALSE)*E363/1000)/VLOOKUP($C$361,'DB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'!$S$7/100*(1-VLOOKUP(D363,'DB technologies'!$N$168:$Y$180,9,FALSE)/100)))</f>
        <v/>
      </c>
      <c r="K363" s="434" t="str">
        <f>IF(D363="","",((VLOOKUP(D363,'DB technologies'!$N$168:$Y$180,4,FALSE)*E363*'DB additional information '!$S$8/100*(1-VLOOKUP(D363,'DB technologies'!$N$168:$Y$180,9,FALSE)/100))/VLOOKUP($C$361,'DB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L363" s="423" t="str">
        <f>IF('Calc (ex-animal)'!$F$63=1,"",IF(D363="","",(((VLOOKUP($C$361,'Calc (ex-animal)'!$D$68:$Y$72,6,FALSE)-VLOOKUP($C$361,'Calc (ex-animal)'!$D$68:$Y$72,17,FALSE))*F363/100))*(1-VLOOKUP($C$361,'Calc (ex-animal)'!$D$68:$Y$72,7,FALSE)/100)*(1-VLOOKUP(D363,'DB technologies'!$N$168:$V$180,8,FALSE)/100)))</f>
        <v/>
      </c>
      <c r="M363" s="434" t="str">
        <f>IF(D363="","",((VLOOKUP(D363,'DB technologies'!$N$168:$Y$180,2,FALSE)*VLOOKUP($C$361,'DB animal categories'!$C$127:$AC$136,27,FALSE)*E363/1000)/VLOOKUP($C$361,'DB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'!$S$6/100)*(1-VLOOKUP(D363,'DB technologies'!$N$168:$Y$180,9,FALSE)/100))</f>
        <v/>
      </c>
      <c r="N363" s="434" t="str">
        <f>IF(D363="","",((VLOOKUP(D363,'DB technologies'!$N$168:$Y$180,3,FALSE)*VLOOKUP($C$361,'DB animal categories'!$C$127:$AC$136,27,FALSE)*E363/1000)/VLOOKUP($C$361,'DB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'!$S$7/100)*(1-VLOOKUP(D363,'DB technologies'!$N$168:$Y$180,9,FALSE)/100))</f>
        <v/>
      </c>
      <c r="O363" s="423" t="str">
        <f>IF(D363="","",((VLOOKUP(D363,'DB technologies'!$N$168:$Y$180,4,FALSE)*E363*(1-'DB additional information '!$S$8/100)*(1-VLOOKUP(D363,'DB technologies'!$N$168:$Y$180,8,FALSE)/100))/VLOOKUP($C$361,'DB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P363" s="438" t="str">
        <f>IF(G363=0,0,IF(E363="","",IF(F363="","",IF($C$361=0,"",IF(D363="","",SUM(H363:K363)/G363*100)))))</f>
        <v/>
      </c>
      <c r="Q363" s="416" t="str">
        <f>IF(D363="","",(VLOOKUP(D363,'DB technologies'!$N$168:$Y$180,2,FALSE)*'DB additional information '!$S$6/100*'DB additional information '!$T$6*VLOOKUP($C$361,'DB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R363" s="416" t="str">
        <f>IF(D363="","",(VLOOKUP(D363,'DB technologies'!$N$168:$Y$180,3,FALSE)*'DB additional information '!$S$7/100*'DB additional information '!$T$7*VLOOKUP($C$361,'DB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S363" s="491" t="str">
        <f>IF(D363="","",(VLOOKUP(D363,'DB technologies'!$N$168:$Y$180,4,FALSE)*('DB additional information '!$S$8/100*'DB additional information '!$T$8*E363/1000/1000)))</f>
        <v/>
      </c>
      <c r="T363" s="264" t="str">
        <f>IF($C$361=0,"",IF('Calc (ex-animal)'!$F$63=1,"",IF(D363="","",((VLOOKUP($C$361,'Calc (ex-animal)'!$D$68:$Y$72,10,FALSE)-VLOOKUP($C$361,'Calc (ex-animal)'!$D$68:$Y$72,18,FALSE))*F363/100+Q363+R363+S363)-AC363-AD363-AE363)))</f>
        <v/>
      </c>
      <c r="U363" s="422" t="str">
        <f>IF(D363="","",(VLOOKUP(D363,'DB technologies'!$N$168:$Y$180,2,FALSE)*'DB additional information '!$S$6/100*'DB additional information '!$U$6*VLOOKUP($C$361,'DB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V363" s="418" t="str">
        <f>IF(D363="","",(VLOOKUP(D363,'DB technologies'!$N$168:$Y$180,3,FALSE)*'DB additional information '!$S$7/100*'DB additional information '!$U$7*VLOOKUP($C$361,'DB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W363" s="417" t="str">
        <f>IF(D363="","",(VLOOKUP(D363,'DB technologies'!$N$168:$Y$180,4,FALSE)*('DB additional information '!$S$8/100*'DB additional information '!$U$8*E363/1000/1000)))</f>
        <v/>
      </c>
      <c r="X363" s="261" t="str">
        <f>IF($C$361=0,"",IF('Calc (ex-animal)'!$F$63=1,"",IF(D363="","",((VLOOKUP($C$361,'Calc (ex-animal)'!$D$68:$Y$72,13,FALSE)-VLOOKUP($C$361,'Calc (ex-animal)'!$D$68:$Y$72,19,FALSE))*F363/100+U363+V363+W363))))</f>
        <v/>
      </c>
      <c r="Y363" s="418" t="str">
        <f>IF(D363="","",(VLOOKUP(D363,'DB technologies'!$N$168:$Y$180,2,FALSE)*'DB additional information '!$S$6/100*'DB additional information '!$V$6*VLOOKUP($C$361,'DB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Z363" s="418" t="str">
        <f>IF(D363="","",(VLOOKUP(D363,'DB technologies'!$N$168:$Y$180,3,FALSE)*'DB additional information '!$S$7/100*'DB additional information '!$V$7*VLOOKUP($C$361,'DB animal categories'!$C$127:$AC$136,27,FALSE)*E363/1000/1000)/VLOOKUP($C$361,'DB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AA363" s="418" t="str">
        <f>IF(D363="","",(VLOOKUP(D363,'DB technologies'!$N$168:$Y$180,4,FALSE)*('DB additional information '!$S$8/100*'DB additional information '!$V$8*E363/1000/1000)))</f>
        <v/>
      </c>
      <c r="AB363" s="261" t="str">
        <f>IF($C$361=0,"",IF('Calc (ex-animal)'!$F$63=1,"",IF(D363="","",((VLOOKUP($C$361,'Calc (ex-animal)'!$D$68:$Y$72,16,FALSE)-VLOOKUP($C$361,'Calc (ex-animal)'!$D$68:$Y$72,20,FALSE))*F363/100+Y363+Z363+AA363))))</f>
        <v/>
      </c>
      <c r="AC363" s="261" t="str">
        <f>IF($C$361=0,"",IF('Calc (ex-animal)'!$F$63=1,"",IF(D363="","",VLOOKUP($C$361,'Calc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categories'!$C$127:$AC$136,26,FALSE)/24)*F363/100*VLOOKUP(D363,'DB technologies'!$N$168:$R$180,5,FALSE)/100)))</f>
        <v/>
      </c>
      <c r="AD363" s="261" t="str">
        <f>IF($C$361=0,"",IF('Calc (ex-animal)'!$F$63=1,"",IF(D363="","",VLOOKUP($C$361,'Calc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categories'!$C$127:$AC$136,26,FALSE)/24)*F363/100*VLOOKUP(D363,'DB technologies'!$N$168:$Y$180,6,FALSE)/100)))</f>
        <v/>
      </c>
      <c r="AE363" s="262" t="str">
        <f>IF($C$361=0,"",IF('Calc (ex-animal)'!$F$63=1,"",IF(D363="","",VLOOKUP($C$361,'Calc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categories'!$C$127:$AC$136,26,FALSE)/24)*F363/100*VLOOKUP(D363,'DB technologies'!$N$168:$Y$180,7,FALSE)/100)))</f>
        <v/>
      </c>
      <c r="AI363" s="181" t="str">
        <f>IF(D363="","",VLOOKUP(D363,'DB technologies'!$N$168:$Y$180,10,FALSE))</f>
        <v/>
      </c>
      <c r="AJ363" s="449" t="e">
        <f>VLOOKUP($C$361,'DB animal categories'!$C$127:$AN$136,27,FALSE)-VLOOKUP($C$361,'DB animal categories'!$C$127:$AN$136,26,FALSE)*VLOOKUP($C$361,'DB animal categories'!$C$127:$AN$136,25,FALSE)/24</f>
        <v>#N/A</v>
      </c>
      <c r="AK363" s="442" t="str">
        <f>IF(AI363="","",AL363+AM363)</f>
        <v/>
      </c>
      <c r="AL363" s="442" t="str">
        <f>IF(D363="","",IF(AI363=2,(('Calc (ex-animal)'!$G$72*'DB additional information '!$K$14/100*(1-VLOOKUP(D363,'DB technologies'!$N$168:$Y$180,9,FALSE)/100)*'Calc (ex-housing, ex-storage)'!F363/100+'Calc (ex-animal)'!$H$72*'DB additional information '!$L$14/100*(1-VLOOKUP(D363,'DB technologies'!$N$168:$Y$180,9,FALSE)/100)*'Calc (ex-housing, ex-storage)'!F363/100))/VLOOKUP($C$361,'DB animal categories'!$C$127:$AC$136,27,FALSE)*AJ363+I363+J363+K363,IF(AI363=1,('Calc (ex-animal)'!$H$72*'DB additional information '!$L$14/100*(1-VLOOKUP(D363,'DB technologies'!$N$168:$Y$180,9,FALSE)/100)*'Calc (ex-housing, ex-storage)'!F363/100)/VLOOKUP($C$361,'DB animal categories'!$C$127:$AC$136,27,FALSE)*AJ363,IF(AI363=4,('Calc (ex-animal)'!$G$72*'DB additional information '!$K$14/100+'Calc (ex-animal)'!$H$72*'DB additional information '!$L$14/100)*(1-VLOOKUP(D363,'DB technologies'!$N$168:$Y$180,9,FALSE)/100)*'Calc (ex-housing, ex-storage)'!F363/100*VLOOKUP(D363,'DB technologies'!$N$168:$Y$180,11,FALSE)/100/VLOOKUP($C$361,'DB animal categories'!$C$127:$AC$136,27,FALSE)*AJ363,0))))</f>
        <v/>
      </c>
      <c r="AM363" s="442" t="str">
        <f>IF(D363="","",IF(AI363=2,(('Calc (ex-animal)'!$G$72*(1-'DB additional information '!$K$14/100)*(1-VLOOKUP(D363,'DB technologies'!$N$168:$Y$180,8,FALSE)/100)*'Calc (ex-housing, ex-storage)'!F363/100+'Calc (ex-animal)'!$H$72*(1-'DB additional information '!$L$14/100)*(1-VLOOKUP(D363,'DB technologies'!$N$168:$Y$180,8,FALSE)/100)*'Calc (ex-housing, ex-storage)'!F363/100))/VLOOKUP($C$361,'DB animal categories'!$C$127:$AC$136,27,FALSE)*AJ363+M363+N363+O363,IF(AI363=1,('Calc (ex-animal)'!$H$72*(1-'DB additional information '!$L$14/100)*(1-VLOOKUP(D363,'DB technologies'!$N$168:$Y$180,8,FALSE)/100)*'Calc (ex-housing, ex-storage)'!F363/100)/VLOOKUP($C$361,'DB animal categories'!$C$127:$AC$136,27,FALSE)*AJ363,IF(AI363=4,('Calc (ex-animal)'!$G$72*(1-'DB additional information '!$K$14/100)+'Calc (ex-animal)'!$H$72*(1-'DB additional information '!$L$14/100))*(1-VLOOKUP(D363,'DB technologies'!$N$168:$Y$180,8,FALSE)/100)*'Calc (ex-housing, ex-storage)'!F363/100*VLOOKUP(D363,'DB technologies'!$N$168:$Y$180,11,FALSE)/100/VLOOKUP($C$361,'DB animal categories'!$C$127:$AC$136,27,FALSE)*AJ363,0))))</f>
        <v/>
      </c>
      <c r="AN363" s="442" t="str">
        <f>IF(AI363="","",IF(AL363=0,0,AL363/AK363*100))</f>
        <v/>
      </c>
      <c r="AO363" s="182" t="str">
        <f>IF(D363="","",IF(AI363=2,(('Calc (ex-animal)'!$L$72*'Calc (ex-housing, ex-storage)'!F363/100+'Calc (ex-animal)'!$K$72*'Calc (ex-housing, ex-storage)'!F363/100))/VLOOKUP($C$361,'DB animal categories'!$C$127:$AC$136,27,FALSE)*AJ363+Q363+R363+S363-AC363,IF(AI363=1,('Calc (ex-animal)'!$L$72*'Calc (ex-housing, ex-storage)'!F363/100)/VLOOKUP($C$361,'DB animal categories'!$C$127:$AC$136,27,FALSE)*AJ363-'Calc (ex-housing, ex-storage)'!AC363,IF(AI363=4,('Calc (ex-animal)'!$L$72+'Calc (ex-animal)'!$K$72)*'Calc (ex-housing, ex-storage)'!F363/100*VLOOKUP(D363,'DB technologies'!$N$168:$Y$180,11,FALSE)/100/VLOOKUP($C$361,'DB animal categories'!$C$127:$AC$136,27,FALSE)*AJ363-AC363*VLOOKUP(D363,'DB technologies'!$N$168:$Y$180,11,FALSE)/100,0))))</f>
        <v/>
      </c>
      <c r="AP363" s="182" t="str">
        <f>IF(D363="","",IF(AO363&lt;-0.01,0,IF(AI363=2,(('Calc (ex-animal)'!$L$72*'Calc (ex-housing, ex-storage)'!F363/100+'Calc (ex-animal)'!$K$72*'Calc (ex-housing, ex-storage)'!F363/100))/VLOOKUP($C$361,'DB animal categories'!$C$127:$AC$136,27,FALSE)*AJ363+Q363+R363+S363-AC363,IF(AI363=1,('Calc (ex-animal)'!$L$72*'Calc (ex-housing, ex-storage)'!F363/100)/VLOOKUP($C$361,'DB animal categories'!$C$127:$AC$136,27,FALSE)*AJ363-'Calc (ex-housing, ex-storage)'!AC363,IF(AI363=4,('Calc (ex-animal)'!$L$72+'Calc (ex-animal)'!$K$72)*'Calc (ex-housing, ex-storage)'!F363/100*VLOOKUP(D363,'DB technologies'!$N$168:$Y$180,11,FALSE)/100/VLOOKUP($C$361,'DB animal categories'!$C$127:$AC$136,27,FALSE)*AJ363-AC363*VLOOKUP(D363,'DB technologies'!$N$168:$Y$180,11,FALSE)/100,0)))))</f>
        <v/>
      </c>
      <c r="AQ363" s="182" t="str">
        <f>IF(D363="","",IF(AI363=2,('Calc (ex-animal)'!$O$72*'Calc (ex-housing, ex-storage)'!F363/100+'Calc (ex-animal)'!$N$72*'Calc (ex-housing, ex-storage)'!F363/100)/VLOOKUP($C$361,'DB animal categories'!$C$127:$AC$136,27,FALSE)*AJ363+U363+V363+W363,IF(AI363=1,'Calc (ex-animal)'!$O$72*'Calc (ex-housing, ex-storage)'!F363/100/VLOOKUP($C$361,'DB animal categories'!$C$127:$AC$136,27,FALSE)*AJ363,IF(AI363=4,('Calc (ex-animal)'!$O$72+'Calc (ex-animal)'!$N$72)*'Calc (ex-housing, ex-storage)'!F363/100*VLOOKUP(D363,'DB technologies'!$N$168:$Y$180,11,FALSE)/100/VLOOKUP($C$361,'DB animal categories'!$C$127:$AC$136,27,FALSE)*AJ363,0))))</f>
        <v/>
      </c>
      <c r="AR363" s="182" t="str">
        <f>IF(D363="","",IF(AI363=2,('Calc (ex-animal)'!$R$72*'Calc (ex-housing, ex-storage)'!F363/100+'Calc (ex-animal)'!$Q$72*'Calc (ex-housing, ex-storage)'!F363/100)/VLOOKUP($C$361,'DB animal categories'!$C$127:$AC$136,27,FALSE)*AJ363+Y363+Z363+AA363,IF(AI363=1,'Calc (ex-animal)'!$R$72*'Calc (ex-housing, ex-storage)'!F363/100/VLOOKUP($C$361,'DB animal categories'!$C$127:$AC$136,27,FALSE)*AJ363,IF(AI363=4,('Calc (ex-animal)'!$R$72+'Calc (ex-animal)'!$Q$72)*'Calc (ex-housing, ex-storage)'!F363/100*VLOOKUP(D363,'DB technologies'!$N$168:$Y$180,11,FALSE)/100/VLOOKUP($C$361,'DB animal categories'!$C$127:$AC$136,27,FALSE)*AJ363,0))))</f>
        <v/>
      </c>
      <c r="AS363" s="181" t="str">
        <f>IF(D363="","",VLOOKUP(D363,'DB technologies'!$N$168:$Y$180,10,FALSE))</f>
        <v/>
      </c>
      <c r="AT363" s="442" t="str">
        <f>IF(AS363="","",AU363+AV363)</f>
        <v/>
      </c>
      <c r="AU363" s="442" t="str">
        <f>IF(D363="","",IF(AS363=2,0,IF(AS363=1,'Calc (ex-animal)'!$G$72*'DB additional information '!$K$14/100*(1-VLOOKUP(D363,'DB technologies'!$N$168:$Y$180,8,FALSE)/100)*'Calc (ex-housing, ex-storage)'!F363/100/VLOOKUP($C$361,'DB animal categories'!$C$127:$AC$136,27,FALSE)*AJ363+I363+J363+K363,IF(AS363=5,(('Calc (ex-animal)'!$G$72*'DB additional information '!$K$14/100+'Calc (ex-animal)'!$H$72*'DB additional information '!$L$14/100))*(1-VLOOKUP(D363,'DB technologies'!$N$168:$Y$180,9,FALSE)/100)*'Calc (ex-housing, ex-storage)'!F363/100/VLOOKUP($C$361,'DB animal categories'!$C$127:$AC$136,27,FALSE)*AJ363+I363+J363+K363,IF(AS363=3,('Calc (ex-animal)'!$G$72*'DB additional information '!$K$14/100+'Calc (ex-animal)'!$H$72*'DB additional information '!$L$14/100)*(1-VLOOKUP(D363,'DB technologies'!$N$168:$Y$180,9,FALSE)/100)*'Calc (ex-housing, ex-storage)'!F363/100/VLOOKUP($C$361,'DB animal categories'!$C$127:$AC$136,27,FALSE)*AJ363+I363+J363+K363,IF(AS363=4,('Calc (ex-animal)'!$G$72*'DB additional information '!$K$14/100+'Calc (ex-animal)'!$H$72*'DB additional information '!$L$14/100)*(1-VLOOKUP(D363,'DB technologies'!$N$168:$Y$180,9,FALSE)/100)*'Calc (ex-housing, ex-storage)'!F363/100*VLOOKUP(D363,'DB technologies'!$N$168:$Y$180,12,FALSE)/100/VLOOKUP($C$361,'DB animal categories'!$C$127:$AC$136,27,FALSE)*AJ363+I363+J363+K363,0))))))</f>
        <v/>
      </c>
      <c r="AV363" s="442" t="str">
        <f>IF(D363="","",IF(AS363=2,0,IF(AS363=1,'Calc (ex-animal)'!$G$72*(1-'DB additional information '!$K$14/100)*(1-VLOOKUP(D363,'DB technologies'!$N$168:$Y$180,8,FALSE)/100)*'Calc (ex-housing, ex-storage)'!F363/100/VLOOKUP($C$361,'DB animal categories'!$C$127:$AC$136,27,FALSE)*AJ363+M363+N363+O363,IF(AS363=5,('Calc (ex-animal)'!$G$72*(1-'DB additional information '!$K$14/100)+'Calc (ex-animal)'!$H$72*(1-'DB additional information '!$L$14/100))*(1-VLOOKUP(D363,'DB technologies'!$N$168:$Y$180,8,FALSE)/100)*'Calc (ex-housing, ex-storage)'!F363/100/VLOOKUP($C$361,'DB animal categories'!$C$127:$AC$136,27,FALSE)*AJ363+M363+N363+O363,IF(AS363=3,('Calc (ex-animal)'!$G$72*(1-'DB additional information '!$K$14/100)+'Calc (ex-animal)'!$H$72*(1-'DB additional information '!$L$14/100))*(1-VLOOKUP(D363,'DB technologies'!$N$168:$Y$180,8,FALSE)/100)*'Calc (ex-housing, ex-storage)'!F363/100/VLOOKUP($C$361,'DB animal categories'!$C$127:$AC$136,27,FALSE)*AJ363+M363+N363+O363,IF(AS363=4,('Calc (ex-animal)'!$G$72*(1-'DB additional information '!$K$14/100)+'Calc (ex-animal)'!$H$72*(1-'DB additional information '!$L$14/100))*(1-VLOOKUP(D363,'DB technologies'!$N$168:$Y$180,8,FALSE)/100)*'Calc (ex-housing, ex-storage)'!F363/100*VLOOKUP(D363,'DB technologies'!$N$168:$Y$180,12,FALSE)/100/VLOOKUP($C$361,'DB animal categories'!$C$127:$AC$136,27,FALSE)*AJ363+M363+N363+O363,0))))))</f>
        <v/>
      </c>
      <c r="AW363" s="442" t="str">
        <f>IF(AS363="","",IF(AU363=0,0,AU363/AT363*100))</f>
        <v/>
      </c>
      <c r="AX363" s="182" t="str">
        <f>IF(D363="","",IF(AS363=2,0,IF(AS363=1,'Calc (ex-animal)'!$K$72*'Calc (ex-housing, ex-storage)'!F363/100/VLOOKUP($C$361,'DB animal categories'!$C$127:$AC$136,27,FALSE)*AJ363+Q363+R363+S363,IF(AS363=5,('Calc (ex-animal)'!$K$72+'Calc (ex-animal)'!$L$72)*'Calc (ex-housing, ex-storage)'!F363/100/VLOOKUP($C$361,'DB animal categories'!$C$127:$AC$136,27,FALSE)*AJ363+Q363+R363+S363-'Calc (ex-housing, ex-storage)'!AC363,IF(AS363=3,('Calc (ex-animal)'!$K$72+'Calc (ex-animal)'!$L$72)*'Calc (ex-housing, ex-storage)'!F363/100/VLOOKUP($C$361,'DB animal categories'!$C$127:$AC$136,27,FALSE)*AJ363+Q363+R363+S363-'Calc (ex-housing, ex-storage)'!AC363-AD363-AE363,IF(AI363=4,('Calc (ex-animal)'!$K$72+'Calc (ex-animal)'!$L$72)*'Calc (ex-housing, ex-storage)'!F363/100*VLOOKUP(D363,'DB technologies'!$N$168:$Y$180,12,FALSE)/100/VLOOKUP($C$361,'DB animal categories'!$C$127:$AC$136,27,FALSE)*AJ363+Q363+R363+S363-(VLOOKUP(D363,'DB technologies'!$N$168:$Y$180,12,FALSE)/100*AC363)-AD363-AE363,0))))))</f>
        <v/>
      </c>
      <c r="AY363" s="182" t="str">
        <f>IF(D363="","",IF(AS363=2,0,IF(AS363=1,'Calc (ex-animal)'!$N$72*'Calc (ex-housing, ex-storage)'!F363/100/VLOOKUP($C$361,'DB animal categories'!$C$127:$AC$136,27,FALSE)*AJ363+U363+V363+W363,IF(AS363=5,('Calc (ex-animal)'!$N$72+'Calc (ex-animal)'!$O$72)*'Calc (ex-housing, ex-storage)'!F363/100/VLOOKUP($C$361,'DB animal categories'!$C$127:$AC$136,27,FALSE)*AJ363+U363+V363+W363,IF(AS363=3,('Calc (ex-animal)'!$N$72+'Calc (ex-animal)'!$O$72)*'Calc (ex-housing, ex-storage)'!F363/100/VLOOKUP($C$361,'DB animal categories'!$C$127:$AC$136,27,FALSE)*AJ363+U363+V363+W363,IF(AS363=4,('Calc (ex-animal)'!$N$72+'Calc (ex-animal)'!$O$72)*'Calc (ex-housing, ex-storage)'!F363/100*VLOOKUP(D363,'DB technologies'!$N$168:$Y$180,12,FALSE)/100/VLOOKUP($C$361,'DB animal categories'!$C$127:$AC$136,27,FALSE)*AJ363+U363+V363+W363,0))))))</f>
        <v/>
      </c>
      <c r="AZ363" s="182" t="str">
        <f>IF(D363="","",IF(AS363=2,0,IF(AS363=1,'Calc (ex-animal)'!$Q$72*'Calc (ex-housing, ex-storage)'!F363/100/VLOOKUP($C$361,'DB animal categories'!$C$127:$AC$136,27,FALSE)*AJ363+Y363+Z363+AA363,IF(AS363=5,('Calc (ex-animal)'!$Q$72+'Calc (ex-animal)'!$R$72)*'Calc (ex-housing, ex-storage)'!F363/100/VLOOKUP($C$361,'DB animal categories'!$C$127:$AC$136,27,FALSE)*AJ363+Y363+Z363+AA363,IF(AS363=3,('Calc (ex-animal)'!$Q$72+'Calc (ex-animal)'!$R$72)*'Calc (ex-housing, ex-storage)'!F363/100/VLOOKUP($C$361,'DB animal categories'!$C$127:$AC$136,27,FALSE)*AJ363+Y363+Z363+AA363,IF(AS363=4,('Calc (ex-animal)'!$Q$72+'Calc (ex-animal)'!$R$72)*'Calc (ex-housing, ex-storage)'!F363/100*VLOOKUP(D363,'DB technologies'!$N$168:$Y$180,12,FALSE)/100/VLOOKUP($C$361,'DB animal categories'!$C$127:$AC$136,27,FALSE)*AJ363+Y363+Z363+AA363,0))))))</f>
        <v/>
      </c>
      <c r="BA363" s="506"/>
      <c r="BB363" s="506"/>
      <c r="BC363" s="506"/>
    </row>
    <row r="364" spans="1:55" x14ac:dyDescent="0.2">
      <c r="A364" s="695"/>
      <c r="B364" s="695"/>
      <c r="C364" s="251"/>
      <c r="D364" s="1357"/>
      <c r="E364" s="1358"/>
      <c r="F364" s="480" t="str">
        <f>IF('Calc (ex-animal)'!$F$63=1,"",IF($C$361=0,"",IF(D364="","",E364/'Calc (ex-animal)'!$E$72*100)))</f>
        <v/>
      </c>
      <c r="G364" s="485" t="str">
        <f>IF($C$361=0,"",IF('Calc (ex-animal)'!$F$63=1,"",IF(D364="","",SUM(H364:O364))))</f>
        <v/>
      </c>
      <c r="H364" s="423" t="str">
        <f>IF('Calc (ex-animal)'!$F$63=1,"",IF(D364="","",(((VLOOKUP($C$361,'Calc (ex-animal)'!$D$68:$Y$72,6,FALSE)-VLOOKUP($C$361,'Calc (ex-animal)'!$D$68:$Y$72,17,FALSE))*F364/100))*VLOOKUP($C$361,'Calc (ex-animal)'!$D$68:$Y$72,7,FALSE)/100*(1-VLOOKUP(D364,'DB technologies'!$N$168:$Y$180,9,FALSE)/100)))</f>
        <v/>
      </c>
      <c r="I364" s="423" t="str">
        <f>IF(D364="","",((VLOOKUP(D364,'DB technologies'!$N$168:$Y$180,2,FALSE)*VLOOKUP($C$361,'DB animal categories'!$C$127:$AC$136,27,FALSE)*E364/1000)/VLOOKUP($C$361,'DB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'!$S$6/100*(1-VLOOKUP(D364,'DB technologies'!$N$168:$Y$180,9,FALSE)/100)))</f>
        <v/>
      </c>
      <c r="J364" s="434" t="str">
        <f>IF(D364="","",((VLOOKUP(D364,'DB technologies'!$N$168:$Y$180,3,FALSE)*VLOOKUP($C$361,'DB animal categories'!$C$127:$AC$136,27,FALSE)*E364/1000)/VLOOKUP($C$361,'DB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'!$S$7/100*(1-VLOOKUP(D364,'DB technologies'!$N$168:$Y$180,9,FALSE)/100)))</f>
        <v/>
      </c>
      <c r="K364" s="434" t="str">
        <f>IF(D364="","",((VLOOKUP(D364,'DB technologies'!$N$168:$Y$180,4,FALSE)*E364*'DB additional information '!$S$8/100*(1-VLOOKUP(D364,'DB technologies'!$N$168:$Y$180,9,FALSE)/100))/VLOOKUP($C$361,'DB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L364" s="423" t="str">
        <f>IF('Calc (ex-animal)'!$F$63=1,"",IF(D364="","",(((VLOOKUP($C$361,'Calc (ex-animal)'!$D$68:$Y$72,6,FALSE)-VLOOKUP($C$361,'Calc (ex-animal)'!$D$68:$Y$72,17,FALSE))*F364/100))*(1-VLOOKUP($C$361,'Calc (ex-animal)'!$D$68:$Y$72,7,FALSE)/100)*(1-VLOOKUP(D364,'DB technologies'!$N$168:$V$180,8,FALSE)/100)))</f>
        <v/>
      </c>
      <c r="M364" s="434" t="str">
        <f>IF(D364="","",((VLOOKUP(D364,'DB technologies'!$N$168:$Y$180,2,FALSE)*VLOOKUP($C$361,'DB animal categories'!$C$127:$AC$136,27,FALSE)*E364/1000)/VLOOKUP($C$361,'DB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'!$S$6/100)*(1-VLOOKUP(D364,'DB technologies'!$N$168:$Y$180,9,FALSE)/100))</f>
        <v/>
      </c>
      <c r="N364" s="434" t="str">
        <f>IF(D364="","",((VLOOKUP(D364,'DB technologies'!$N$168:$Y$180,3,FALSE)*VLOOKUP($C$361,'DB animal categories'!$C$127:$AC$136,27,FALSE)*E364/1000)/VLOOKUP($C$361,'DB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'!$S$7/100)*(1-VLOOKUP(D364,'DB technologies'!$N$168:$Y$180,9,FALSE)/100))</f>
        <v/>
      </c>
      <c r="O364" s="423" t="str">
        <f>IF(D364="","",((VLOOKUP(D364,'DB technologies'!$N$168:$Y$180,4,FALSE)*E364*(1-'DB additional information '!$S$8/100)*(1-VLOOKUP(D364,'DB technologies'!$N$168:$Y$180,8,FALSE)/100))/VLOOKUP($C$361,'DB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P364" s="438" t="str">
        <f>IF(G364=0,0,IF(E364="","",IF(F364="","",IF($C$361=0,"",IF(D364="","",SUM(H364:K364)/G364*100)))))</f>
        <v/>
      </c>
      <c r="Q364" s="416" t="str">
        <f>IF(D364="","",(VLOOKUP(D364,'DB technologies'!$N$168:$Y$180,2,FALSE)*'DB additional information '!$S$6/100*'DB additional information '!$T$6*VLOOKUP($C$361,'DB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R364" s="416" t="str">
        <f>IF(D364="","",(VLOOKUP(D364,'DB technologies'!$N$168:$Y$180,3,FALSE)*'DB additional information '!$S$7/100*'DB additional information '!$T$7*VLOOKUP($C$361,'DB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S364" s="491" t="str">
        <f>IF(D364="","",(VLOOKUP(D364,'DB technologies'!$N$168:$Y$180,4,FALSE)*('DB additional information '!$S$8/100*'DB additional information '!$T$8*E364/1000/1000)))</f>
        <v/>
      </c>
      <c r="T364" s="264" t="str">
        <f>IF($C$361=0,"",IF('Calc (ex-animal)'!$F$63=1,"",IF(D364="","",((VLOOKUP($C$361,'Calc (ex-animal)'!$D$68:$Y$72,10,FALSE)-VLOOKUP($C$361,'Calc (ex-animal)'!$D$68:$Y$72,18,FALSE))*F364/100+Q364+R364+S364)-AC364-AD364-AE364)))</f>
        <v/>
      </c>
      <c r="U364" s="422" t="str">
        <f>IF(D364="","",(VLOOKUP(D364,'DB technologies'!$N$168:$Y$180,2,FALSE)*'DB additional information '!$S$6/100*'DB additional information '!$U$6*VLOOKUP($C$361,'DB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V364" s="418" t="str">
        <f>IF(D364="","",(VLOOKUP(D364,'DB technologies'!$N$168:$Y$180,3,FALSE)*'DB additional information '!$S$7/100*'DB additional information '!$U$7*VLOOKUP($C$361,'DB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W364" s="417" t="str">
        <f>IF(D364="","",(VLOOKUP(D364,'DB technologies'!$N$168:$Y$180,4,FALSE)*('DB additional information '!$S$8/100*'DB additional information '!$U$8*E364/1000/1000)))</f>
        <v/>
      </c>
      <c r="X364" s="261" t="str">
        <f>IF($C$361=0,"",IF('Calc (ex-animal)'!$F$63=1,"",IF(D364="","",((VLOOKUP($C$361,'Calc (ex-animal)'!$D$68:$Y$72,13,FALSE)-VLOOKUP($C$361,'Calc (ex-animal)'!$D$68:$Y$72,19,FALSE))*F364/100+U364+V364+W364))))</f>
        <v/>
      </c>
      <c r="Y364" s="418" t="str">
        <f>IF(D364="","",(VLOOKUP(D364,'DB technologies'!$N$168:$Y$180,2,FALSE)*'DB additional information '!$S$6/100*'DB additional information '!$V$6*VLOOKUP($C$361,'DB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Z364" s="418" t="str">
        <f>IF(D364="","",(VLOOKUP(D364,'DB technologies'!$N$168:$Y$180,3,FALSE)*'DB additional information '!$S$7/100*'DB additional information '!$V$7*VLOOKUP($C$361,'DB animal categories'!$C$127:$AC$136,27,FALSE)*E364/1000/1000)/VLOOKUP($C$361,'DB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AA364" s="418" t="str">
        <f>IF(D364="","",(VLOOKUP(D364,'DB technologies'!$N$168:$Y$180,4,FALSE)*('DB additional information '!$S$8/100*'DB additional information '!$V$8*E364/1000/1000)))</f>
        <v/>
      </c>
      <c r="AB364" s="261" t="str">
        <f>IF($C$361=0,"",IF('Calc (ex-animal)'!$F$63=1,"",IF(D364="","",((VLOOKUP($C$361,'Calc (ex-animal)'!$D$68:$Y$72,16,FALSE)-VLOOKUP($C$361,'Calc (ex-animal)'!$D$68:$Y$72,20,FALSE))*F364/100+Y364+Z364+AA364))))</f>
        <v/>
      </c>
      <c r="AC364" s="261" t="str">
        <f>IF($C$361=0,"",IF('Calc (ex-animal)'!$F$63=1,"",IF(D364="","",VLOOKUP($C$361,'Calc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categories'!$C$127:$AC$136,26,FALSE)/24)*F364/100*VLOOKUP(D364,'DB technologies'!$N$168:$R$180,5,FALSE)/100)))</f>
        <v/>
      </c>
      <c r="AD364" s="261" t="str">
        <f>IF($C$361=0,"",IF('Calc (ex-animal)'!$F$63=1,"",IF(D364="","",VLOOKUP($C$361,'Calc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categories'!$C$127:$AC$136,26,FALSE)/24)*F364/100*VLOOKUP(D364,'DB technologies'!$N$168:$Y$180,6,FALSE)/100)))</f>
        <v/>
      </c>
      <c r="AE364" s="262" t="str">
        <f>IF($C$361=0,"",IF('Calc (ex-animal)'!$F$63=1,"",IF(D364="","",VLOOKUP($C$361,'Calc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categories'!$C$127:$AC$136,26,FALSE)/24)*F364/100*VLOOKUP(D364,'DB technologies'!$N$168:$Y$180,7,FALSE)/100)))</f>
        <v/>
      </c>
      <c r="AI364" s="181" t="str">
        <f>IF(D364="","",VLOOKUP(D364,'DB technologies'!$N$168:$Y$180,10,FALSE))</f>
        <v/>
      </c>
      <c r="AJ364" s="449" t="e">
        <f>VLOOKUP($C$361,'DB animal categories'!$C$127:$AN$136,27,FALSE)-VLOOKUP($C$361,'DB animal categories'!$C$127:$AN$136,26,FALSE)*VLOOKUP($C$361,'DB animal categories'!$C$127:$AN$136,25,FALSE)/24</f>
        <v>#N/A</v>
      </c>
      <c r="AK364" s="442" t="str">
        <f>IF(AI364="","",AL364+AM364)</f>
        <v/>
      </c>
      <c r="AL364" s="442" t="str">
        <f>IF(D364="","",IF(AI364=2,(('Calc (ex-animal)'!$G$72*'DB additional information '!$K$14/100*(1-VLOOKUP(D364,'DB technologies'!$N$168:$Y$180,9,FALSE)/100)*'Calc (ex-housing, ex-storage)'!F364/100+'Calc (ex-animal)'!$H$72*'DB additional information '!$L$14/100*(1-VLOOKUP(D364,'DB technologies'!$N$168:$Y$180,9,FALSE)/100)*'Calc (ex-housing, ex-storage)'!F364/100))/VLOOKUP($C$361,'DB animal categories'!$C$127:$AC$136,27,FALSE)*AJ364+I364+J364+K364,IF(AI364=1,('Calc (ex-animal)'!$H$72*'DB additional information '!$L$14/100*(1-VLOOKUP(D364,'DB technologies'!$N$168:$Y$180,9,FALSE)/100)*'Calc (ex-housing, ex-storage)'!F364/100)/VLOOKUP($C$361,'DB animal categories'!$C$127:$AC$136,27,FALSE)*AJ364,IF(AI364=4,('Calc (ex-animal)'!$G$72*'DB additional information '!$K$14/100+'Calc (ex-animal)'!$H$72*'DB additional information '!$L$14/100)*(1-VLOOKUP(D364,'DB technologies'!$N$168:$Y$180,9,FALSE)/100)*'Calc (ex-housing, ex-storage)'!F364/100*VLOOKUP(D364,'DB technologies'!$N$168:$Y$180,11,FALSE)/100/VLOOKUP($C$361,'DB animal categories'!$C$127:$AC$136,27,FALSE)*AJ364,0))))</f>
        <v/>
      </c>
      <c r="AM364" s="442" t="str">
        <f>IF(D364="","",IF(AI364=2,(('Calc (ex-animal)'!$G$72*(1-'DB additional information '!$K$14/100)*(1-VLOOKUP(D364,'DB technologies'!$N$168:$Y$180,8,FALSE)/100)*'Calc (ex-housing, ex-storage)'!F364/100+'Calc (ex-animal)'!$H$72*(1-'DB additional information '!$L$14/100)*(1-VLOOKUP(D364,'DB technologies'!$N$168:$Y$180,8,FALSE)/100)*'Calc (ex-housing, ex-storage)'!F364/100))/VLOOKUP($C$361,'DB animal categories'!$C$127:$AC$136,27,FALSE)*AJ364+M364+N364+O364,IF(AI364=1,('Calc (ex-animal)'!$H$72*(1-'DB additional information '!$L$14/100)*(1-VLOOKUP(D364,'DB technologies'!$N$168:$Y$180,8,FALSE)/100)*'Calc (ex-housing, ex-storage)'!F364/100)/VLOOKUP($C$361,'DB animal categories'!$C$127:$AC$136,27,FALSE)*AJ364,IF(AI364=4,('Calc (ex-animal)'!$G$72*(1-'DB additional information '!$K$14/100)+'Calc (ex-animal)'!$H$72*(1-'DB additional information '!$L$14/100))*(1-VLOOKUP(D364,'DB technologies'!$N$168:$Y$180,8,FALSE)/100)*'Calc (ex-housing, ex-storage)'!F364/100*VLOOKUP(D364,'DB technologies'!$N$168:$Y$180,11,FALSE)/100/VLOOKUP($C$361,'DB animal categories'!$C$127:$AC$136,27,FALSE)*AJ364,0))))</f>
        <v/>
      </c>
      <c r="AN364" s="442" t="str">
        <f>IF(AI364="","",IF(AL364=0,0,AL364/AK364*100))</f>
        <v/>
      </c>
      <c r="AO364" s="182" t="str">
        <f>IF(D364="","",IF(AI364=2,(('Calc (ex-animal)'!$L$72*'Calc (ex-housing, ex-storage)'!F364/100+'Calc (ex-animal)'!$K$72*'Calc (ex-housing, ex-storage)'!F364/100))/VLOOKUP($C$361,'DB animal categories'!$C$127:$AC$136,27,FALSE)*AJ364+Q364+R364+S364-AC364,IF(AI364=1,('Calc (ex-animal)'!$L$72*'Calc (ex-housing, ex-storage)'!F364/100)/VLOOKUP($C$361,'DB animal categories'!$C$127:$AC$136,27,FALSE)*AJ364-'Calc (ex-housing, ex-storage)'!AC364,IF(AI364=4,('Calc (ex-animal)'!$L$72+'Calc (ex-animal)'!$K$72)*'Calc (ex-housing, ex-storage)'!F364/100*VLOOKUP(D364,'DB technologies'!$N$168:$Y$180,11,FALSE)/100/VLOOKUP($C$361,'DB animal categories'!$C$127:$AC$136,27,FALSE)*AJ364-AC364*VLOOKUP(D364,'DB technologies'!$N$168:$Y$180,11,FALSE)/100,0))))</f>
        <v/>
      </c>
      <c r="AP364" s="182" t="str">
        <f>IF(D364="","",IF(AO364&lt;-0.01,0,IF(AI364=2,(('Calc (ex-animal)'!$L$72*'Calc (ex-housing, ex-storage)'!F364/100+'Calc (ex-animal)'!$K$72*'Calc (ex-housing, ex-storage)'!F364/100))/VLOOKUP($C$361,'DB animal categories'!$C$127:$AC$136,27,FALSE)*AJ364+Q364+R364+S364-AC364,IF(AI364=1,('Calc (ex-animal)'!$L$72*'Calc (ex-housing, ex-storage)'!F364/100)/VLOOKUP($C$361,'DB animal categories'!$C$127:$AC$136,27,FALSE)*AJ364-'Calc (ex-housing, ex-storage)'!AC364,IF(AI364=4,('Calc (ex-animal)'!$L$72+'Calc (ex-animal)'!$K$72)*'Calc (ex-housing, ex-storage)'!F364/100*VLOOKUP(D364,'DB technologies'!$N$168:$Y$180,11,FALSE)/100/VLOOKUP($C$361,'DB animal categories'!$C$127:$AC$136,27,FALSE)*AJ364-AC364*VLOOKUP(D364,'DB technologies'!$N$168:$Y$180,11,FALSE)/100,0)))))</f>
        <v/>
      </c>
      <c r="AQ364" s="182" t="str">
        <f>IF(D364="","",IF(AI364=2,('Calc (ex-animal)'!$O$72*'Calc (ex-housing, ex-storage)'!F364/100+'Calc (ex-animal)'!$N$72*'Calc (ex-housing, ex-storage)'!F364/100)/VLOOKUP($C$361,'DB animal categories'!$C$127:$AC$136,27,FALSE)*AJ364+U364+V364+W364,IF(AI364=1,'Calc (ex-animal)'!$O$72*'Calc (ex-housing, ex-storage)'!F364/100/VLOOKUP($C$361,'DB animal categories'!$C$127:$AC$136,27,FALSE)*AJ364,IF(AI364=4,('Calc (ex-animal)'!$O$72+'Calc (ex-animal)'!$N$72)*'Calc (ex-housing, ex-storage)'!F364/100*VLOOKUP(D364,'DB technologies'!$N$168:$Y$180,11,FALSE)/100/VLOOKUP($C$361,'DB animal categories'!$C$127:$AC$136,27,FALSE)*AJ364,0))))</f>
        <v/>
      </c>
      <c r="AR364" s="182" t="str">
        <f>IF(D364="","",IF(AI364=2,('Calc (ex-animal)'!$R$72*'Calc (ex-housing, ex-storage)'!F364/100+'Calc (ex-animal)'!$Q$72*'Calc (ex-housing, ex-storage)'!F364/100)/VLOOKUP($C$361,'DB animal categories'!$C$127:$AC$136,27,FALSE)*AJ364+Y364+Z364+AA364,IF(AI364=1,'Calc (ex-animal)'!$R$72*'Calc (ex-housing, ex-storage)'!F364/100/VLOOKUP($C$361,'DB animal categories'!$C$127:$AC$136,27,FALSE)*AJ364,IF(AI364=4,('Calc (ex-animal)'!$R$72+'Calc (ex-animal)'!$Q$72)*'Calc (ex-housing, ex-storage)'!F364/100*VLOOKUP(D364,'DB technologies'!$N$168:$Y$180,11,FALSE)/100/VLOOKUP($C$361,'DB animal categories'!$C$127:$AC$136,27,FALSE)*AJ364,0))))</f>
        <v/>
      </c>
      <c r="AS364" s="181" t="str">
        <f>IF(D364="","",VLOOKUP(D364,'DB technologies'!$N$168:$Y$180,10,FALSE))</f>
        <v/>
      </c>
      <c r="AT364" s="442" t="str">
        <f>IF(AS364="","",AU364+AV364)</f>
        <v/>
      </c>
      <c r="AU364" s="442" t="str">
        <f>IF(D364="","",IF(AS364=2,0,IF(AS364=1,'Calc (ex-animal)'!$G$72*'DB additional information '!$K$14/100*(1-VLOOKUP(D364,'DB technologies'!$N$168:$Y$180,8,FALSE)/100)*'Calc (ex-housing, ex-storage)'!F364/100/VLOOKUP($C$361,'DB animal categories'!$C$127:$AC$136,27,FALSE)*AJ364+I364+J364+K364,IF(AS364=5,(('Calc (ex-animal)'!$G$72*'DB additional information '!$K$14/100+'Calc (ex-animal)'!$H$72*'DB additional information '!$L$14/100))*(1-VLOOKUP(D364,'DB technologies'!$N$168:$Y$180,9,FALSE)/100)*'Calc (ex-housing, ex-storage)'!F364/100/VLOOKUP($C$361,'DB animal categories'!$C$127:$AC$136,27,FALSE)*AJ364+I364+J364+K364,IF(AS364=3,('Calc (ex-animal)'!$G$72*'DB additional information '!$K$14/100+'Calc (ex-animal)'!$H$72*'DB additional information '!$L$14/100)*(1-VLOOKUP(D364,'DB technologies'!$N$168:$Y$180,9,FALSE)/100)*'Calc (ex-housing, ex-storage)'!F364/100/VLOOKUP($C$361,'DB animal categories'!$C$127:$AC$136,27,FALSE)*AJ364+I364+J364+K364,IF(AS364=4,('Calc (ex-animal)'!$G$72*'DB additional information '!$K$14/100+'Calc (ex-animal)'!$H$72*'DB additional information '!$L$14/100)*(1-VLOOKUP(D364,'DB technologies'!$N$168:$Y$180,9,FALSE)/100)*'Calc (ex-housing, ex-storage)'!F364/100*VLOOKUP(D364,'DB technologies'!$N$168:$Y$180,12,FALSE)/100/VLOOKUP($C$361,'DB animal categories'!$C$127:$AC$136,27,FALSE)*AJ364+I364+J364+K364,0))))))</f>
        <v/>
      </c>
      <c r="AV364" s="442" t="str">
        <f>IF(D364="","",IF(AS364=2,0,IF(AS364=1,'Calc (ex-animal)'!$G$72*(1-'DB additional information '!$K$14/100)*(1-VLOOKUP(D364,'DB technologies'!$N$168:$Y$180,8,FALSE)/100)*'Calc (ex-housing, ex-storage)'!F364/100/VLOOKUP($C$361,'DB animal categories'!$C$127:$AC$136,27,FALSE)*AJ364+M364+N364+O364,IF(AS364=5,('Calc (ex-animal)'!$G$72*(1-'DB additional information '!$K$14/100)+'Calc (ex-animal)'!$H$72*(1-'DB additional information '!$L$14/100))*(1-VLOOKUP(D364,'DB technologies'!$N$168:$Y$180,8,FALSE)/100)*'Calc (ex-housing, ex-storage)'!F364/100/VLOOKUP($C$361,'DB animal categories'!$C$127:$AC$136,27,FALSE)*AJ364+M364+N364+O364,IF(AS364=3,('Calc (ex-animal)'!$G$72*(1-'DB additional information '!$K$14/100)+'Calc (ex-animal)'!$H$72*(1-'DB additional information '!$L$14/100))*(1-VLOOKUP(D364,'DB technologies'!$N$168:$Y$180,8,FALSE)/100)*'Calc (ex-housing, ex-storage)'!F364/100/VLOOKUP($C$361,'DB animal categories'!$C$127:$AC$136,27,FALSE)*AJ364+M364+N364+O364,IF(AS364=4,('Calc (ex-animal)'!$G$72*(1-'DB additional information '!$K$14/100)+'Calc (ex-animal)'!$H$72*(1-'DB additional information '!$L$14/100))*(1-VLOOKUP(D364,'DB technologies'!$N$168:$Y$180,8,FALSE)/100)*'Calc (ex-housing, ex-storage)'!F364/100*VLOOKUP(D364,'DB technologies'!$N$168:$Y$180,12,FALSE)/100/VLOOKUP($C$361,'DB animal categories'!$C$127:$AC$136,27,FALSE)*AJ364+M364+N364+O364,0))))))</f>
        <v/>
      </c>
      <c r="AW364" s="442" t="str">
        <f>IF(AS364="","",IF(AU364=0,0,AU364/AT364*100))</f>
        <v/>
      </c>
      <c r="AX364" s="182" t="str">
        <f>IF(D364="","",IF(AS364=2,0,IF(AS364=1,'Calc (ex-animal)'!$K$72*'Calc (ex-housing, ex-storage)'!F364/100/VLOOKUP($C$361,'DB animal categories'!$C$127:$AC$136,27,FALSE)*AJ364+Q364+R364+S364,IF(AS364=5,('Calc (ex-animal)'!$K$72+'Calc (ex-animal)'!$L$72)*'Calc (ex-housing, ex-storage)'!F364/100/VLOOKUP($C$361,'DB animal categories'!$C$127:$AC$136,27,FALSE)*AJ364+Q364+R364+S364-'Calc (ex-housing, ex-storage)'!AC364,IF(AS364=3,('Calc (ex-animal)'!$K$72+'Calc (ex-animal)'!$L$72)*'Calc (ex-housing, ex-storage)'!F364/100/VLOOKUP($C$361,'DB animal categories'!$C$127:$AC$136,27,FALSE)*AJ364+Q364+R364+S364-'Calc (ex-housing, ex-storage)'!AC364-AD364-AE364,IF(AI364=4,('Calc (ex-animal)'!$K$72+'Calc (ex-animal)'!$L$72)*'Calc (ex-housing, ex-storage)'!F364/100*VLOOKUP(D364,'DB technologies'!$N$168:$Y$180,12,FALSE)/100/VLOOKUP($C$361,'DB animal categories'!$C$127:$AC$136,27,FALSE)*AJ364+Q364+R364+S364-(VLOOKUP(D364,'DB technologies'!$N$168:$Y$180,12,FALSE)/100*AC364)-AD364-AE364,0))))))</f>
        <v/>
      </c>
      <c r="AY364" s="182" t="str">
        <f>IF(D364="","",IF(AS364=2,0,IF(AS364=1,'Calc (ex-animal)'!$N$72*'Calc (ex-housing, ex-storage)'!F364/100/VLOOKUP($C$361,'DB animal categories'!$C$127:$AC$136,27,FALSE)*AJ364+U364+V364+W364,IF(AS364=5,('Calc (ex-animal)'!$N$72+'Calc (ex-animal)'!$O$72)*'Calc (ex-housing, ex-storage)'!F364/100/VLOOKUP($C$361,'DB animal categories'!$C$127:$AC$136,27,FALSE)*AJ364+U364+V364+W364,IF(AS364=3,('Calc (ex-animal)'!$N$72+'Calc (ex-animal)'!$O$72)*'Calc (ex-housing, ex-storage)'!F364/100/VLOOKUP($C$361,'DB animal categories'!$C$127:$AC$136,27,FALSE)*AJ364+U364+V364+W364,IF(AS364=4,('Calc (ex-animal)'!$N$72+'Calc (ex-animal)'!$O$72)*'Calc (ex-housing, ex-storage)'!F364/100*VLOOKUP(D364,'DB technologies'!$N$168:$Y$180,12,FALSE)/100/VLOOKUP($C$361,'DB animal categories'!$C$127:$AC$136,27,FALSE)*AJ364+U364+V364+W364,0))))))</f>
        <v/>
      </c>
      <c r="AZ364" s="182" t="str">
        <f>IF(D364="","",IF(AS364=2,0,IF(AS364=1,'Calc (ex-animal)'!$Q$72*'Calc (ex-housing, ex-storage)'!F364/100/VLOOKUP($C$361,'DB animal categories'!$C$127:$AC$136,27,FALSE)*AJ364+Y364+Z364+AA364,IF(AS364=5,('Calc (ex-animal)'!$Q$72+'Calc (ex-animal)'!$R$72)*'Calc (ex-housing, ex-storage)'!F364/100/VLOOKUP($C$361,'DB animal categories'!$C$127:$AC$136,27,FALSE)*AJ364+Y364+Z364+AA364,IF(AS364=3,('Calc (ex-animal)'!$Q$72+'Calc (ex-animal)'!$R$72)*'Calc (ex-housing, ex-storage)'!F364/100/VLOOKUP($C$361,'DB animal categories'!$C$127:$AC$136,27,FALSE)*AJ364+Y364+Z364+AA364,IF(AS364=4,('Calc (ex-animal)'!$Q$72+'Calc (ex-animal)'!$R$72)*'Calc (ex-housing, ex-storage)'!F364/100*VLOOKUP(D364,'DB technologies'!$N$168:$Y$180,12,FALSE)/100/VLOOKUP($C$361,'DB animal categories'!$C$127:$AC$136,27,FALSE)*AJ364+Y364+Z364+AA364,0))))))</f>
        <v/>
      </c>
      <c r="BA364" s="506"/>
      <c r="BB364" s="506"/>
      <c r="BC364" s="506"/>
    </row>
    <row r="365" spans="1:55" ht="12" thickBot="1" x14ac:dyDescent="0.25">
      <c r="A365" s="695"/>
      <c r="B365" s="695"/>
      <c r="C365" s="251"/>
      <c r="D365" s="1359"/>
      <c r="E365" s="1360"/>
      <c r="F365" s="481" t="str">
        <f>IF('Calc (ex-animal)'!$F$63=1,"",IF($C$361=0,"",IF(D365="","",E365/'Calc (ex-animal)'!$E$72*100)))</f>
        <v/>
      </c>
      <c r="G365" s="483" t="str">
        <f>IF($C$361=0,"",IF('Calc (ex-animal)'!$F$63=1,"",IF(D365="","",SUM(H365:O365))))</f>
        <v/>
      </c>
      <c r="H365" s="445" t="str">
        <f>IF('Calc (ex-animal)'!$F$63=1,"",IF(D365="","",(((VLOOKUP($C$361,'Calc (ex-animal)'!$D$68:$Y$72,6,FALSE)-VLOOKUP($C$361,'Calc (ex-animal)'!$D$68:$Y$72,17,FALSE))*F365/100))*VLOOKUP($C$361,'Calc (ex-animal)'!$D$68:$Y$72,7,FALSE)/100*(1-VLOOKUP(D365,'DB technologies'!$N$168:$Y$180,9,FALSE)/100)))</f>
        <v/>
      </c>
      <c r="I365" s="445" t="str">
        <f>IF(D365="","",((VLOOKUP(D365,'DB technologies'!$N$168:$Y$180,2,FALSE)*VLOOKUP($C$361,'DB animal categories'!$C$127:$AC$136,27,FALSE)*E365/1000)/VLOOKUP($C$361,'DB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'!$S$6/100*(1-VLOOKUP(D365,'DB technologies'!$N$168:$Y$180,9,FALSE)/100)))</f>
        <v/>
      </c>
      <c r="J365" s="446" t="str">
        <f>IF(D365="","",((VLOOKUP(D365,'DB technologies'!$N$168:$Y$180,3,FALSE)*VLOOKUP($C$361,'DB animal categories'!$C$127:$AC$136,27,FALSE)*E365/1000)/VLOOKUP($C$361,'DB animal categories'!$C$127:$AC$136,27,FALSE)*(VLOOKUP($C$361,'DB animal categories'!$C$127:$AC$136,27,FALSE)-(VLOOKUP($C$361,'DB animal categories'!$C$127:$AC$136,25,FALSE)*VLOOKUP($C$361,'DB animal categories'!$C$127:$AC$136,26,FALSE)/24))*'DB additional information '!$S$7/100*(1-VLOOKUP(D365,'DB technologies'!$N$168:$Y$180,9,FALSE)/100)))</f>
        <v/>
      </c>
      <c r="K365" s="446" t="str">
        <f>IF(D365="","",((VLOOKUP(D365,'DB technologies'!$N$168:$Y$180,4,FALSE)*E365*'DB additional information '!$S$8/100*(1-VLOOKUP(D365,'DB technologies'!$N$168:$Y$180,9,FALSE)/100))/VLOOKUP($C$361,'DB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L365" s="445" t="str">
        <f>IF('Calc (ex-animal)'!$F$63=1,"",IF(D365="","",(((VLOOKUP($C$361,'Calc (ex-animal)'!$D$68:$Y$72,6,FALSE)-VLOOKUP($C$361,'Calc (ex-animal)'!$D$68:$Y$72,17,FALSE))*F365/100))*(1-VLOOKUP($C$361,'Calc (ex-animal)'!$D$68:$Y$72,7,FALSE)/100)*(1-VLOOKUP(D365,'DB technologies'!$N$168:$V$180,8,FALSE)/100)))</f>
        <v/>
      </c>
      <c r="M365" s="446" t="str">
        <f>IF(D365="","",((VLOOKUP(D365,'DB technologies'!$N$168:$Y$180,2,FALSE)*VLOOKUP($C$361,'DB animal categories'!$C$127:$AC$136,27,FALSE)*E365/1000)/VLOOKUP($C$361,'DB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'!$S$6/100)*(1-VLOOKUP(D365,'DB technologies'!$N$168:$Y$180,9,FALSE)/100))</f>
        <v/>
      </c>
      <c r="N365" s="446" t="str">
        <f>IF(D365="","",((VLOOKUP(D365,'DB technologies'!$N$168:$Y$180,3,FALSE)*VLOOKUP($C$361,'DB animal categories'!$C$127:$AC$136,27,FALSE)*E365/1000)/VLOOKUP($C$361,'DB animal categories'!$C$127:$AC$136,27,FALSE)*(VLOOKUP($C$361,'DB animal categories'!$C$127:$AC$136,27,FALSE)-VLOOKUP($C$361,'DB animal categories'!$C$127:$AC$136,25,FALSE)*VLOOKUP($C$361,'DB animal categories'!$C$127:$AC$136,26,FALSE)/24))*(1-'DB additional information '!$S$7/100)*(1-VLOOKUP(D365,'DB technologies'!$N$168:$Y$180,9,FALSE)/100))</f>
        <v/>
      </c>
      <c r="O365" s="445" t="str">
        <f>IF(D365="","",((VLOOKUP(D365,'DB technologies'!$N$168:$Y$180,4,FALSE)*E365*(1-'DB additional information '!$S$8/100)*(1-VLOOKUP(D365,'DB technologies'!$N$168:$Y$180,8,FALSE)/100))/VLOOKUP($C$361,'DB animal categories'!$C$127:$AC$136,27,FALSE)*(VLOOKUP($C$361,'DB animal categories'!$C$127:$AC$136,27,FALSE)-VLOOKUP($C$361,'DB animal categories'!$C$127:$AC$136,25,FALSE)*VLOOKUP($C$361,'DB animal categories'!$C$127:$AC$136,26,FALSE)/24)))</f>
        <v/>
      </c>
      <c r="P365" s="444" t="str">
        <f>IF(G365=0,0,IF(E365="","",IF(F365="","",IF($C$361=0,"",IF(D365="","",SUM(H365:K365)/G365*100)))))</f>
        <v/>
      </c>
      <c r="Q365" s="476" t="str">
        <f>IF(D365="","",(VLOOKUP(D365,'DB technologies'!$N$168:$Y$180,2,FALSE)*'DB additional information '!$S$6/100*'DB additional information '!$T$6*VLOOKUP($C$361,'DB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R365" s="476" t="str">
        <f>IF(D365="","",(VLOOKUP(D365,'DB technologies'!$N$168:$Y$180,3,FALSE)*'DB additional information '!$S$7/100*'DB additional information '!$T$7*VLOOKUP($C$361,'DB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S365" s="494" t="str">
        <f>IF(D365="","",(VLOOKUP(D365,'DB technologies'!$N$168:$Y$180,4,FALSE)*('DB additional information '!$S$8/100*'DB additional information '!$T$8*E365/1000/1000)))</f>
        <v/>
      </c>
      <c r="T365" s="266" t="str">
        <f>IF($C$361=0,"",IF('Calc (ex-animal)'!$F$63=1,"",IF(D365="","",((VLOOKUP($C$361,'Calc (ex-animal)'!$D$68:$Y$72,10,FALSE)-VLOOKUP($C$361,'Calc (ex-animal)'!$D$68:$Y$72,18,FALSE))*F365/100+Q365+R365+S365)-AC365-AD365-AE365)))</f>
        <v/>
      </c>
      <c r="U365" s="477" t="str">
        <f>IF(D365="","",(VLOOKUP(D365,'DB technologies'!$N$168:$Y$180,2,FALSE)*'DB additional information '!$S$6/100*'DB additional information '!$U$6*VLOOKUP($C$361,'DB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V365" s="433" t="str">
        <f>IF(D365="","",(VLOOKUP(D365,'DB technologies'!$N$168:$Y$180,3,FALSE)*'DB additional information '!$S$7/100*'DB additional information '!$U$7*VLOOKUP($C$361,'DB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W365" s="475" t="str">
        <f>IF(D365="","",(VLOOKUP(D365,'DB technologies'!$N$168:$Y$180,4,FALSE)*('DB additional information '!$S$8/100*'DB additional information '!$U$8*E365/1000/1000)))</f>
        <v/>
      </c>
      <c r="X365" s="267" t="str">
        <f>IF($C$361=0,"",IF('Calc (ex-animal)'!$F$63=1,"",IF(D365="","",((VLOOKUP($C$361,'Calc (ex-animal)'!$D$68:$Y$72,13,FALSE)-VLOOKUP($C$361,'Calc (ex-animal)'!$D$68:$Y$72,19,FALSE))*F365/100+U365+V365+W365))))</f>
        <v/>
      </c>
      <c r="Y365" s="433" t="str">
        <f>IF(D365="","",(VLOOKUP(D365,'DB technologies'!$N$168:$Y$180,2,FALSE)*'DB additional information '!$S$6/100*'DB additional information '!$V$6*VLOOKUP($C$361,'DB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Z365" s="433" t="str">
        <f>IF(D365="","",(VLOOKUP(D365,'DB technologies'!$N$168:$Y$180,3,FALSE)*'DB additional information '!$S$7/100*'DB additional information '!$V$7*VLOOKUP($C$361,'DB animal categories'!$C$127:$AC$136,27,FALSE)*E365/1000/1000)/VLOOKUP($C$361,'DB animal categories'!$C$127:$AC$136,27,FALSE)*(VLOOKUP($C$361,'DB animal categories'!$C$127:$AC$136,27,FALSE)-VLOOKUP($C$361,'DB animal categories'!$C$127:$AC$136,25,FALSE)*VLOOKUP($C$361,'DB animal categories'!$C$127:$AC$136,26,FALSE)/24))</f>
        <v/>
      </c>
      <c r="AA365" s="433" t="str">
        <f>IF(D365="","",(VLOOKUP(D365,'DB technologies'!$N$168:$Y$180,4,FALSE)*('DB additional information '!$S$8/100*'DB additional information '!$V$8*E365/1000/1000)))</f>
        <v/>
      </c>
      <c r="AB365" s="267" t="str">
        <f>IF($C$361=0,"",IF('Calc (ex-animal)'!$F$63=1,"",IF(D365="","",((VLOOKUP($C$361,'Calc (ex-animal)'!$D$68:$Y$72,16,FALSE)-VLOOKUP($C$361,'Calc (ex-animal)'!$D$68:$Y$72,20,FALSE))*F365/100+Y365+Z365+AA365))))</f>
        <v/>
      </c>
      <c r="AC365" s="267" t="str">
        <f>IF($C$361=0,"",IF('Calc (ex-animal)'!$F$63=1,"",IF(D365="","",VLOOKUP($C$361,'Calc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categories'!$C$127:$AC$136,26,FALSE)/24)*F365/100*VLOOKUP(D365,'DB technologies'!$N$168:$R$180,5,FALSE)/100)))</f>
        <v/>
      </c>
      <c r="AD365" s="267" t="str">
        <f>IF($C$361=0,"",IF('Calc (ex-animal)'!$F$63=1,"",IF(D365="","",VLOOKUP($C$361,'Calc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categories'!$C$127:$AC$136,26,FALSE)/24)*F365/100*VLOOKUP(D365,'DB technologies'!$N$168:$Y$180,6,FALSE)/100)))</f>
        <v/>
      </c>
      <c r="AE365" s="268" t="str">
        <f>IF($C$361=0,"",IF('Calc (ex-animal)'!$F$63=1,"",IF(D365="","",VLOOKUP($C$361,'Calc (ex-animal)'!$D$68:$Y$72,10,FALSE)/VLOOKUP($C$361,'DB animal categories'!$C$127:$AC$136,27,FALSE)*(VLOOKUP($C$361,'DB animal categories'!$C$127:$AC$136,27,FALSE)-VLOOKUP($C$361,'DB animal categories'!$C$127:$AC$136,25,FALSE)*VLOOKUP($C$361,'DB animal categories'!$C$127:$AC$136,26,FALSE)/24)*F365/100*VLOOKUP(D365,'DB technologies'!$N$168:$Y$180,7,FALSE)/100)))</f>
        <v/>
      </c>
      <c r="AI365" s="183" t="str">
        <f>IF(D365="","",VLOOKUP(D365,'DB technologies'!$N$168:$Y$180,10,FALSE))</f>
        <v/>
      </c>
      <c r="AJ365" s="451" t="e">
        <f>VLOOKUP($C$361,'DB animal categories'!$C$127:$AN$136,27,FALSE)-VLOOKUP($C$361,'DB animal categories'!$C$127:$AN$136,26,FALSE)*VLOOKUP($C$361,'DB animal categories'!$C$127:$AN$136,25,FALSE)/24</f>
        <v>#N/A</v>
      </c>
      <c r="AK365" s="452" t="str">
        <f>IF(AI365="","",AL365+AM365)</f>
        <v/>
      </c>
      <c r="AL365" s="452" t="str">
        <f>IF(D365="","",IF(AI365=2,(('Calc (ex-animal)'!$G$72*'DB additional information '!$K$14/100*(1-VLOOKUP(D365,'DB technologies'!$N$168:$Y$180,9,FALSE)/100)*'Calc (ex-housing, ex-storage)'!F365/100+'Calc (ex-animal)'!$H$72*'DB additional information '!$L$14/100*(1-VLOOKUP(D365,'DB technologies'!$N$168:$Y$180,9,FALSE)/100)*'Calc (ex-housing, ex-storage)'!F365/100))/VLOOKUP($C$361,'DB animal categories'!$C$127:$AC$136,27,FALSE)*AJ365+I365+J365+K365,IF(AI365=1,('Calc (ex-animal)'!$H$72*'DB additional information '!$L$14/100*(1-VLOOKUP(D365,'DB technologies'!$N$168:$Y$180,9,FALSE)/100)*'Calc (ex-housing, ex-storage)'!F365/100)/VLOOKUP($C$361,'DB animal categories'!$C$127:$AC$136,27,FALSE)*AJ365,IF(AI365=4,('Calc (ex-animal)'!$G$72*'DB additional information '!$K$14/100+'Calc (ex-animal)'!$H$72*'DB additional information '!$L$14/100)*(1-VLOOKUP(D365,'DB technologies'!$N$168:$Y$180,9,FALSE)/100)*'Calc (ex-housing, ex-storage)'!F365/100*VLOOKUP(D365,'DB technologies'!$N$168:$Y$180,11,FALSE)/100/VLOOKUP($C$361,'DB animal categories'!$C$127:$AC$136,27,FALSE)*AJ365,0))))</f>
        <v/>
      </c>
      <c r="AM365" s="452" t="str">
        <f>IF(D365="","",IF(AI365=2,(('Calc (ex-animal)'!$G$72*(1-'DB additional information '!$K$14/100)*(1-VLOOKUP(D365,'DB technologies'!$N$168:$Y$180,8,FALSE)/100)*'Calc (ex-housing, ex-storage)'!F365/100+'Calc (ex-animal)'!$H$72*(1-'DB additional information '!$L$14/100)*(1-VLOOKUP(D365,'DB technologies'!$N$168:$Y$180,8,FALSE)/100)*'Calc (ex-housing, ex-storage)'!F365/100))/VLOOKUP($C$361,'DB animal categories'!$C$127:$AC$136,27,FALSE)*AJ365+M365+N365+O365,IF(AI365=1,('Calc (ex-animal)'!$H$72*(1-'DB additional information '!$L$14/100)*(1-VLOOKUP(D365,'DB technologies'!$N$168:$Y$180,8,FALSE)/100)*'Calc (ex-housing, ex-storage)'!F365/100)/VLOOKUP($C$361,'DB animal categories'!$C$127:$AC$136,27,FALSE)*AJ365,IF(AI365=4,('Calc (ex-animal)'!$G$72*(1-'DB additional information '!$K$14/100)+'Calc (ex-animal)'!$H$72*(1-'DB additional information '!$L$14/100))*(1-VLOOKUP(D365,'DB technologies'!$N$168:$Y$180,8,FALSE)/100)*'Calc (ex-housing, ex-storage)'!F365/100*VLOOKUP(D365,'DB technologies'!$N$168:$Y$180,11,FALSE)/100/VLOOKUP($C$361,'DB animal categories'!$C$127:$AC$136,27,FALSE)*AJ365,0))))</f>
        <v/>
      </c>
      <c r="AN365" s="452" t="str">
        <f>IF(AI365="","",IF(AL365=0,0,AL365/AK365*100))</f>
        <v/>
      </c>
      <c r="AO365" s="184" t="str">
        <f>IF(D365="","",IF(AI365=2,(('Calc (ex-animal)'!$L$72*'Calc (ex-housing, ex-storage)'!F365/100+'Calc (ex-animal)'!$K$72*'Calc (ex-housing, ex-storage)'!F365/100))/VLOOKUP($C$361,'DB animal categories'!$C$127:$AC$136,27,FALSE)*AJ365+Q365+R365+S365-AC365,IF(AI365=1,('Calc (ex-animal)'!$L$72*'Calc (ex-housing, ex-storage)'!F365/100)/VLOOKUP($C$361,'DB animal categories'!$C$127:$AC$136,27,FALSE)*AJ365-'Calc (ex-housing, ex-storage)'!AC365,IF(AI365=4,('Calc (ex-animal)'!$L$72+'Calc (ex-animal)'!$K$72)*'Calc (ex-housing, ex-storage)'!F365/100*VLOOKUP(D365,'DB technologies'!$N$168:$Y$180,11,FALSE)/100/VLOOKUP($C$361,'DB animal categories'!$C$127:$AC$136,27,FALSE)*AJ365-AC365*VLOOKUP(D365,'DB technologies'!$N$168:$Y$180,11,FALSE)/100,0))))</f>
        <v/>
      </c>
      <c r="AP365" s="184" t="str">
        <f>IF(D365="","",IF(AO365&lt;-0.01,0,IF(AI365=2,(('Calc (ex-animal)'!$L$72*'Calc (ex-housing, ex-storage)'!F365/100+'Calc (ex-animal)'!$K$72*'Calc (ex-housing, ex-storage)'!F365/100))/VLOOKUP($C$361,'DB animal categories'!$C$127:$AC$136,27,FALSE)*AJ365+Q365+R365+S365-AC365,IF(AI365=1,('Calc (ex-animal)'!$L$72*'Calc (ex-housing, ex-storage)'!F365/100)/VLOOKUP($C$361,'DB animal categories'!$C$127:$AC$136,27,FALSE)*AJ365-'Calc (ex-housing, ex-storage)'!AC365,IF(AI365=4,('Calc (ex-animal)'!$L$72+'Calc (ex-animal)'!$K$72)*'Calc (ex-housing, ex-storage)'!F365/100*VLOOKUP(D365,'DB technologies'!$N$168:$Y$180,11,FALSE)/100/VLOOKUP($C$361,'DB animal categories'!$C$127:$AC$136,27,FALSE)*AJ365-AC365*VLOOKUP(D365,'DB technologies'!$N$168:$Y$180,11,FALSE)/100,0)))))</f>
        <v/>
      </c>
      <c r="AQ365" s="184" t="str">
        <f>IF(D365="","",IF(AI365=2,('Calc (ex-animal)'!$O$72*'Calc (ex-housing, ex-storage)'!F365/100+'Calc (ex-animal)'!$N$72*'Calc (ex-housing, ex-storage)'!F365/100)/VLOOKUP($C$361,'DB animal categories'!$C$127:$AC$136,27,FALSE)*AJ365+U365+V365+W365,IF(AI365=1,'Calc (ex-animal)'!$O$72*'Calc (ex-housing, ex-storage)'!F365/100/VLOOKUP($C$361,'DB animal categories'!$C$127:$AC$136,27,FALSE)*AJ365,IF(AI365=4,('Calc (ex-animal)'!$O$72+'Calc (ex-animal)'!$N$72)*'Calc (ex-housing, ex-storage)'!F365/100*VLOOKUP(D365,'DB technologies'!$N$168:$Y$180,11,FALSE)/100/VLOOKUP($C$361,'DB animal categories'!$C$127:$AC$136,27,FALSE)*AJ365,0))))</f>
        <v/>
      </c>
      <c r="AR365" s="184" t="str">
        <f>IF(D365="","",IF(AI365=2,('Calc (ex-animal)'!$R$72*'Calc (ex-housing, ex-storage)'!F365/100+'Calc (ex-animal)'!$Q$72*'Calc (ex-housing, ex-storage)'!F365/100)/VLOOKUP($C$361,'DB animal categories'!$C$127:$AC$136,27,FALSE)*AJ365+Y365+Z365+AA365,IF(AI365=1,'Calc (ex-animal)'!$R$72*'Calc (ex-housing, ex-storage)'!F365/100/VLOOKUP($C$361,'DB animal categories'!$C$127:$AC$136,27,FALSE)*AJ365,IF(AI365=4,('Calc (ex-animal)'!$R$72+'Calc (ex-animal)'!$Q$72)*'Calc (ex-housing, ex-storage)'!F365/100*VLOOKUP(D365,'DB technologies'!$N$168:$Y$180,11,FALSE)/100/VLOOKUP($C$361,'DB animal categories'!$C$127:$AC$136,27,FALSE)*AJ365,0))))</f>
        <v/>
      </c>
      <c r="AS365" s="183" t="str">
        <f>IF(D365="","",VLOOKUP(D365,'DB technologies'!$N$168:$Y$180,10,FALSE))</f>
        <v/>
      </c>
      <c r="AT365" s="452" t="str">
        <f>IF(AS365="","",AU365+AV365)</f>
        <v/>
      </c>
      <c r="AU365" s="452" t="str">
        <f>IF(D365="","",IF(AS365=2,0,IF(AS365=1,'Calc (ex-animal)'!$G$72*'DB additional information '!$K$14/100*(1-VLOOKUP(D365,'DB technologies'!$N$168:$Y$180,8,FALSE)/100)*'Calc (ex-housing, ex-storage)'!F365/100/VLOOKUP($C$361,'DB animal categories'!$C$127:$AC$136,27,FALSE)*AJ365+I365+J365+K365,IF(AS365=5,(('Calc (ex-animal)'!$G$72*'DB additional information '!$K$14/100+'Calc (ex-animal)'!$H$72*'DB additional information '!$L$14/100))*(1-VLOOKUP(D365,'DB technologies'!$N$168:$Y$180,9,FALSE)/100)*'Calc (ex-housing, ex-storage)'!F365/100/VLOOKUP($C$361,'DB animal categories'!$C$127:$AC$136,27,FALSE)*AJ365+I365+J365+K365,IF(AS365=3,('Calc (ex-animal)'!$G$72*'DB additional information '!$K$14/100+'Calc (ex-animal)'!$H$72*'DB additional information '!$L$14/100)*(1-VLOOKUP(D365,'DB technologies'!$N$168:$Y$180,9,FALSE)/100)*'Calc (ex-housing, ex-storage)'!F365/100/VLOOKUP($C$361,'DB animal categories'!$C$127:$AC$136,27,FALSE)*AJ365+I365+J365+K365,IF(AS365=4,('Calc (ex-animal)'!$G$72*'DB additional information '!$K$14/100+'Calc (ex-animal)'!$H$72*'DB additional information '!$L$14/100)*(1-VLOOKUP(D365,'DB technologies'!$N$168:$Y$180,9,FALSE)/100)*'Calc (ex-housing, ex-storage)'!F365/100*VLOOKUP(D365,'DB technologies'!$N$168:$Y$180,12,FALSE)/100/VLOOKUP($C$361,'DB animal categories'!$C$127:$AC$136,27,FALSE)*AJ365+I365+J365+K365,0))))))</f>
        <v/>
      </c>
      <c r="AV365" s="452" t="str">
        <f>IF(D365="","",IF(AS365=2,0,IF(AS365=1,'Calc (ex-animal)'!$G$72*(1-'DB additional information '!$K$14/100)*(1-VLOOKUP(D365,'DB technologies'!$N$168:$Y$180,8,FALSE)/100)*'Calc (ex-housing, ex-storage)'!F365/100/VLOOKUP($C$361,'DB animal categories'!$C$127:$AC$136,27,FALSE)*AJ365+M365+N365+O365,IF(AS365=5,('Calc (ex-animal)'!$G$72*(1-'DB additional information '!$K$14/100)+'Calc (ex-animal)'!$H$72*(1-'DB additional information '!$L$14/100))*(1-VLOOKUP(D365,'DB technologies'!$N$168:$Y$180,8,FALSE)/100)*'Calc (ex-housing, ex-storage)'!F365/100/VLOOKUP($C$361,'DB animal categories'!$C$127:$AC$136,27,FALSE)*AJ365+M365+N365+O365,IF(AS365=3,('Calc (ex-animal)'!$G$72*(1-'DB additional information '!$K$14/100)+'Calc (ex-animal)'!$H$72*(1-'DB additional information '!$L$14/100))*(1-VLOOKUP(D365,'DB technologies'!$N$168:$Y$180,8,FALSE)/100)*'Calc (ex-housing, ex-storage)'!F365/100/VLOOKUP($C$361,'DB animal categories'!$C$127:$AC$136,27,FALSE)*AJ365+M365+N365+O365,IF(AS365=4,('Calc (ex-animal)'!$G$72*(1-'DB additional information '!$K$14/100)+'Calc (ex-animal)'!$H$72*(1-'DB additional information '!$L$14/100))*(1-VLOOKUP(D365,'DB technologies'!$N$168:$Y$180,8,FALSE)/100)*'Calc (ex-housing, ex-storage)'!F365/100*VLOOKUP(D365,'DB technologies'!$N$168:$Y$180,12,FALSE)/100/VLOOKUP($C$361,'DB animal categories'!$C$127:$AC$136,27,FALSE)*AJ365+M365+N365+O365,0))))))</f>
        <v/>
      </c>
      <c r="AW365" s="452" t="str">
        <f>IF(AS365="","",IF(AU365=0,0,AU365/AT365*100))</f>
        <v/>
      </c>
      <c r="AX365" s="184" t="str">
        <f>IF(D365="","",IF(AS365=2,0,IF(AS365=1,'Calc (ex-animal)'!$K$72*'Calc (ex-housing, ex-storage)'!F365/100/VLOOKUP($C$361,'DB animal categories'!$C$127:$AC$136,27,FALSE)*AJ365+Q365+R365+S365,IF(AS365=5,('Calc (ex-animal)'!$K$72+'Calc (ex-animal)'!$L$72)*'Calc (ex-housing, ex-storage)'!F365/100/VLOOKUP($C$361,'DB animal categories'!$C$127:$AC$136,27,FALSE)*AJ365+Q365+R365+S365-'Calc (ex-housing, ex-storage)'!AC365,IF(AS365=3,('Calc (ex-animal)'!$K$72+'Calc (ex-animal)'!$L$72)*'Calc (ex-housing, ex-storage)'!F365/100/VLOOKUP($C$361,'DB animal categories'!$C$127:$AC$136,27,FALSE)*AJ365+Q365+R365+S365-'Calc (ex-housing, ex-storage)'!AC365-AD365-AE365,IF(AI365=4,('Calc (ex-animal)'!$K$72+'Calc (ex-animal)'!$L$72)*'Calc (ex-housing, ex-storage)'!F365/100*VLOOKUP(D365,'DB technologies'!$N$168:$Y$180,12,FALSE)/100/VLOOKUP($C$361,'DB animal categories'!$C$127:$AC$136,27,FALSE)*AJ365+Q365+R365+S365-(VLOOKUP(D365,'DB technologies'!$N$168:$Y$180,12,FALSE)/100*AC365)-AD365-AE365,0))))))</f>
        <v/>
      </c>
      <c r="AY365" s="184" t="str">
        <f>IF(D365="","",IF(AS365=2,0,IF(AS365=1,'Calc (ex-animal)'!$N$72*'Calc (ex-housing, ex-storage)'!F365/100/VLOOKUP($C$361,'DB animal categories'!$C$127:$AC$136,27,FALSE)*AJ365+U365+V365+W365,IF(AS365=5,('Calc (ex-animal)'!$N$72+'Calc (ex-animal)'!$O$72)*'Calc (ex-housing, ex-storage)'!F365/100/VLOOKUP($C$361,'DB animal categories'!$C$127:$AC$136,27,FALSE)*AJ365+U365+V365+W365,IF(AS365=3,('Calc (ex-animal)'!$N$72+'Calc (ex-animal)'!$O$72)*'Calc (ex-housing, ex-storage)'!F365/100/VLOOKUP($C$361,'DB animal categories'!$C$127:$AC$136,27,FALSE)*AJ365+U365+V365+W365,IF(AS365=4,('Calc (ex-animal)'!$N$72+'Calc (ex-animal)'!$O$72)*'Calc (ex-housing, ex-storage)'!F365/100*VLOOKUP(D365,'DB technologies'!$N$168:$Y$180,12,FALSE)/100/VLOOKUP($C$361,'DB animal categories'!$C$127:$AC$136,27,FALSE)*AJ365+U365+V365+W365,0))))))</f>
        <v/>
      </c>
      <c r="AZ365" s="184" t="str">
        <f>IF(D365="","",IF(AS365=2,0,IF(AS365=1,'Calc (ex-animal)'!$Q$72*'Calc (ex-housing, ex-storage)'!F365/100/VLOOKUP($C$361,'DB animal categories'!$C$127:$AC$136,27,FALSE)*AJ365+Y365+Z365+AA365,IF(AS365=5,('Calc (ex-animal)'!$Q$72+'Calc (ex-animal)'!$R$72)*'Calc (ex-housing, ex-storage)'!F365/100/VLOOKUP($C$361,'DB animal categories'!$C$127:$AC$136,27,FALSE)*AJ365+Y365+Z365+AA365,IF(AS365=3,('Calc (ex-animal)'!$Q$72+'Calc (ex-animal)'!$R$72)*'Calc (ex-housing, ex-storage)'!F365/100/VLOOKUP($C$361,'DB animal categories'!$C$127:$AC$136,27,FALSE)*AJ365+Y365+Z365+AA365,IF(AS365=4,('Calc (ex-animal)'!$Q$72+'Calc (ex-animal)'!$R$72)*'Calc (ex-housing, ex-storage)'!F365/100*VLOOKUP(D365,'DB technologies'!$N$168:$Y$180,12,FALSE)/100/VLOOKUP($C$361,'DB animal categories'!$C$127:$AC$136,27,FALSE)*AJ365+Y365+Z365+AA365,0))))))</f>
        <v/>
      </c>
      <c r="BA365" s="506"/>
      <c r="BB365" s="506"/>
      <c r="BC365" s="506"/>
    </row>
    <row r="366" spans="1:55" ht="12" thickBot="1" x14ac:dyDescent="0.25">
      <c r="A366" s="695"/>
      <c r="B366" s="696"/>
      <c r="C366" s="252"/>
      <c r="D366" s="269" t="s">
        <v>58</v>
      </c>
      <c r="E366" s="270">
        <f>IF(F366&lt;=100,SUM(E361:E365),"ERROR")</f>
        <v>0</v>
      </c>
      <c r="F366" s="284">
        <f>IF(SUM(F361:F365) &lt;=100,SUM(F361:F365),"ERROR, SUM&gt;100%")</f>
        <v>0</v>
      </c>
      <c r="G366" s="550">
        <f>IF('Calc (ex-animal)'!$F$63=1,"",SUM(G361:G365))</f>
        <v>0</v>
      </c>
      <c r="H366" s="418">
        <f>IF('Calc (ex-animal)'!$F$8=1,"",SUM(H361:H365))</f>
        <v>0</v>
      </c>
      <c r="I366" s="418">
        <f>IF('Calc (ex-animal)'!$F$8=1,"",SUM(I361:I365))</f>
        <v>0</v>
      </c>
      <c r="J366" s="418">
        <f>IF('Calc (ex-animal)'!$F$8=1,"",SUM(J361:J365))</f>
        <v>0</v>
      </c>
      <c r="K366" s="418">
        <f>IF('Calc (ex-animal)'!$F$8=1,"",SUM(K361:K365))</f>
        <v>0</v>
      </c>
      <c r="L366" s="418">
        <f>IF('Calc (ex-animal)'!$F$8=1,"",SUM(L361:L365))</f>
        <v>0</v>
      </c>
      <c r="M366" s="551"/>
      <c r="N366" s="551"/>
      <c r="O366" s="551"/>
      <c r="P366" s="552">
        <f>IF(G366=0,0,IF('Calc (ex-animal)'!$F$63=1,"",IF(D366="","",SUM(H366:K366)/G366*100)))</f>
        <v>0</v>
      </c>
      <c r="Q366" s="394"/>
      <c r="R366" s="394"/>
      <c r="S366" s="394"/>
      <c r="T366" s="278">
        <f>IF('Calc (ex-animal)'!$F$72=1,"",SUM(T361:T365))</f>
        <v>0</v>
      </c>
      <c r="U366" s="279"/>
      <c r="V366" s="279"/>
      <c r="W366" s="279"/>
      <c r="X366" s="279">
        <f>IF('Calc (ex-animal)'!$F$72=1,"",SUM(X361:X365))</f>
        <v>0</v>
      </c>
      <c r="Y366" s="279"/>
      <c r="Z366" s="279"/>
      <c r="AA366" s="279"/>
      <c r="AB366" s="279">
        <f>IF('Calc (ex-animal)'!$F$72=1,"",SUM(AB361:AB365))</f>
        <v>0</v>
      </c>
      <c r="AC366" s="279">
        <f>IF('Calc (ex-animal)'!$F$72=1,"",SUM(AC361:AC365))</f>
        <v>0</v>
      </c>
      <c r="AD366" s="279">
        <f>IF('Calc (ex-animal)'!$F$72=1,"",SUM(AD361:AD365))</f>
        <v>0</v>
      </c>
      <c r="AE366" s="280">
        <f>IF('Calc (ex-animal)'!$F$72=1,"",SUM(AE361:AE365))</f>
        <v>0</v>
      </c>
    </row>
    <row r="367" spans="1:55" x14ac:dyDescent="0.2">
      <c r="A367" s="695"/>
      <c r="B367" s="694" t="s">
        <v>184</v>
      </c>
      <c r="C367" s="254">
        <f>'Calc (ex-animal)'!D73</f>
        <v>0</v>
      </c>
      <c r="D367" s="1355"/>
      <c r="E367" s="1356"/>
      <c r="F367" s="479" t="str">
        <f>IF('Calc (ex-animal)'!$F$73=1,"",IF($C$367=0,"",IF(D367="","",E367/'Calc (ex-animal)'!$E$73*100)))</f>
        <v/>
      </c>
      <c r="G367" s="484" t="str">
        <f>IF($C$367=0,"",IF('Calc (ex-animal)'!$F$73=1,"",IF(D367="","",SUM(H367:O367))))</f>
        <v/>
      </c>
      <c r="H367" s="471" t="str">
        <f>IF('Calc (ex-animal)'!$F$73=1,"",IF(D367="","",(((VLOOKUP($C$367,'Calc (ex-animal)'!$D$73:$Y$77,6,FALSE)-VLOOKUP($C$367,'Calc (ex-animal)'!$D$73:$Y$77,17,FALSE))*F367/100))*VLOOKUP($C$367,'Calc (ex-animal)'!$D$73:$Y$77,7,FALSE)/100*(1-VLOOKUP(D367,'DB technologies'!$N$182:$Y$194,9,FALSE)/100)))</f>
        <v/>
      </c>
      <c r="I367" s="471" t="str">
        <f>IF(D367="","",((VLOOKUP(D367,'DB technologies'!$N$182:$Y$194,2,FALSE)*VLOOKUP($C$367,'DB animal categories'!$C$137:$AC$146,27,FALSE)*E367/1000)/VLOOKUP($C$367,'DB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'!$S$6/100*(1-VLOOKUP(D367,'DB technologies'!$N$182:$Y$194,9,FALSE)/100)))</f>
        <v/>
      </c>
      <c r="J367" s="472" t="str">
        <f>IF(D367="","",((VLOOKUP(D367,'DB technologies'!$N$182:$Y$194,3,FALSE)*VLOOKUP($C$367,'DB animal categories'!$C$137:$AC$146,27,FALSE)*E367/1000)/VLOOKUP($C$367,'DB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'!$S$7/100*(1-VLOOKUP(D367,'DB technologies'!$N$182:$Y$194,9,FALSE)/100)))</f>
        <v/>
      </c>
      <c r="K367" s="472" t="str">
        <f>IF(D367="","",((VLOOKUP(D367,'DB technologies'!$N$182:$Y$194,4,FALSE)*E367*'DB additional information '!$S$8/100*(1-VLOOKUP(D367,'DB technologies'!$N$182:$Y$194,9,FALSE)/100))/VLOOKUP($C$367,'DB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L367" s="471" t="str">
        <f>IF('Calc (ex-animal)'!$F$73=1,"",IF(D367="","",(((VLOOKUP($C$367,'Calc (ex-animal)'!$D$73:$Y$77,6,FALSE)-VLOOKUP($C$367,'Calc (ex-animal)'!$D$73:$Y$77,17,FALSE))*F367/100))*(1-VLOOKUP($C$367,'Calc (ex-animal)'!$D$73:$Y$77,7,FALSE)/100)*(1-VLOOKUP(D367,'DB technologies'!$N$182:$V$194,8,FALSE)/100)))</f>
        <v/>
      </c>
      <c r="M367" s="472" t="str">
        <f>IF(D367="","",((VLOOKUP(D367,'DB technologies'!$N$182:$Y$194,2,FALSE)*VLOOKUP($C$367,'DB animal categories'!$C$137:$AC$146,27,FALSE)*E367/1000)/VLOOKUP($C$367,'DB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'!$S$6/100)*(1-VLOOKUP(D367,'DB technologies'!$N$182:$Y$194,9,FALSE)/100))</f>
        <v/>
      </c>
      <c r="N367" s="472" t="str">
        <f>IF(D367="","",((VLOOKUP(D367,'DB technologies'!$N$182:$Y$194,3,FALSE)*VLOOKUP($C$367,'DB animal categories'!$C$137:$AC$146,27,FALSE)*E367/1000)/VLOOKUP($C$367,'DB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'!$S$7/100)*(1-VLOOKUP(D367,'DB technologies'!$N$182:$Y$194,9,FALSE)/100))</f>
        <v/>
      </c>
      <c r="O367" s="471" t="str">
        <f>IF(D367="","",((VLOOKUP(D367,'DB technologies'!$N$182:$Y$194,4,FALSE)*E367*(1-'DB additional information '!$S$8/100)*(1-VLOOKUP(D367,'DB technologies'!$N$182:$Y$194,8,FALSE)/100))/VLOOKUP($C$367,'DB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P367" s="443" t="str">
        <f>IF(G367=0,0,IF(E367="","",IF(F367="","",IF($C$367=0,"",IF(D367="","",SUM(H367:K367)/G367*100)))))</f>
        <v/>
      </c>
      <c r="Q367" s="473" t="str">
        <f>IF(D367="","",(VLOOKUP(D367,'DB technologies'!$N$182:$Y$194,2,FALSE)*'DB additional information '!$S$6/100*'DB additional information '!$T$6*VLOOKUP($C$367,'DB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R367" s="473" t="str">
        <f>IF(D367="","",(VLOOKUP(D367,'DB technologies'!$N$182:$Y$194,3,FALSE)*'DB additional information '!$S$7/100*'DB additional information '!$T$7*VLOOKUP($C$367,'DB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S367" s="490" t="str">
        <f>IF(D367="","",(VLOOKUP(D367,'DB technologies'!$N$182:$Y$194,4,FALSE)*('DB additional information '!$S$8/100*'DB additional information '!$T$8*E367/1000/1000)))</f>
        <v/>
      </c>
      <c r="T367" s="263" t="str">
        <f>IF($C$367=0,"",IF('Calc (ex-animal)'!$F$73=1,"",IF(D367="","",((VLOOKUP($C$367,'Calc (ex-animal)'!$D$73:$Y$77,10,FALSE)-VLOOKUP($C$367,'Calc (ex-animal)'!$D$73:$Y$77,18,FALSE))*F367/100+Q367+R367+S367)-AC367-AD367-AE367)))</f>
        <v/>
      </c>
      <c r="U367" s="474" t="str">
        <f>IF(D367="","",(VLOOKUP(D367,'DB technologies'!$N$182:$Y$194,2,FALSE)*'DB additional information '!$S$6/100*'DB additional information '!$U$6*VLOOKUP($C$367,'DB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V367" s="420" t="str">
        <f>IF(D367="","",(VLOOKUP(D367,'DB technologies'!$N$182:$Y$194,3,FALSE)*'DB additional information '!$S$7/100*'DB additional information '!$U$7*VLOOKUP($C$367,'DB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W367" s="415" t="str">
        <f>IF(D367="","",(VLOOKUP(D367,'DB technologies'!$N$182:$Y$194,4,FALSE)*('DB additional information '!$S$8/100*'DB additional information '!$U$8*E367/1000/1000)))</f>
        <v/>
      </c>
      <c r="X367" s="259" t="str">
        <f>IF($C$367=0,"",IF('Calc (ex-animal)'!$F$73=1,"",IF(D367="","",((VLOOKUP($C$367,'Calc (ex-animal)'!$D$73:$Y$77,13,FALSE)-VLOOKUP($C$367,'Calc (ex-animal)'!$D$73:$Y$77,19,FALSE))*F367/100+U367+V367+W367))))</f>
        <v/>
      </c>
      <c r="Y367" s="420" t="str">
        <f>IF(D367="","",(VLOOKUP(D367,'DB technologies'!$N$182:$Y$194,2,FALSE)*'DB additional information '!$S$6/100*'DB additional information '!$V$6*VLOOKUP($C$367,'DB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Z367" s="420" t="str">
        <f>IF(D367="","",(VLOOKUP(D367,'DB technologies'!$N$182:$Y$194,3,FALSE)*'DB additional information '!$S$7/100*'DB additional information '!$V$7*VLOOKUP($C$367,'DB animal categories'!$C$137:$AC$146,27,FALSE)*E367/1000/1000)/VLOOKUP($C$367,'DB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AA367" s="420" t="str">
        <f>IF(D367="","",(VLOOKUP(D367,'DB technologies'!$N$182:$Y$194,4,FALSE)*('DB additional information '!$S$8/100*'DB additional information '!$V$8*E367/1000/1000)))</f>
        <v/>
      </c>
      <c r="AB367" s="259" t="str">
        <f>IF($C$367=0,"",IF('Calc (ex-animal)'!$F$73=1,"",IF(D367="","",((VLOOKUP($C$367,'Calc (ex-animal)'!$D$73:$Y$77,16,FALSE)-VLOOKUP($C$367,'Calc (ex-animal)'!$D$73:$Y$77,20,FALSE))*F367/100+Y367+Z367+AA367))))</f>
        <v/>
      </c>
      <c r="AC367" s="259" t="str">
        <f>IF($C$367=0,"",IF('Calc (ex-animal)'!$F$73=1,"",IF(D367="","",VLOOKUP($C$367,'Calc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categories'!$C$137:$AC$146,26,FALSE)/24)*F367/100*VLOOKUP(D367,'DB technologies'!$N$182:$R$194,5,FALSE)/100)))</f>
        <v/>
      </c>
      <c r="AD367" s="259" t="str">
        <f>IF($C$367=0,"",IF('Calc (ex-animal)'!$F$73=1,"",IF(D367="","",VLOOKUP($C$367,'Calc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categories'!$C$137:$AC$146,26,FALSE)/24)*F367/100*VLOOKUP(D367,'DB technologies'!$N$182:$Y$194,6,FALSE)/100)))</f>
        <v/>
      </c>
      <c r="AE367" s="260" t="str">
        <f>IF($C$367=0,"",IF('Calc (ex-animal)'!$F$73=1,"",IF(D367="","",VLOOKUP($C$367,'Calc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categories'!$C$137:$AC$146,26,FALSE)/24)*F367/100*VLOOKUP(D367,'DB technologies'!$N$182:$Y$194,7,FALSE)/100)))</f>
        <v/>
      </c>
      <c r="AI367" s="179" t="str">
        <f>IF(D367="","",VLOOKUP(D367,'DB technologies'!$N$182:$Y$194,10,FALSE))</f>
        <v/>
      </c>
      <c r="AJ367" s="482" t="e">
        <f>VLOOKUP($C$367,'DB animal categories'!$C$137:$AN$146,27,FALSE)-VLOOKUP($C$367,'DB animal categories'!$C$137:$AN$146,26,FALSE)*VLOOKUP($C$367,'DB animal categories'!$C$137:$AN$146,25,FALSE)/24</f>
        <v>#N/A</v>
      </c>
      <c r="AK367" s="453" t="str">
        <f>IF(AI367="","",AL367+AM367)</f>
        <v/>
      </c>
      <c r="AL367" s="453" t="str">
        <f>IF(D367="","",IF(AI367=2,(('Calc (ex-animal)'!$G$73*'DB additional information '!$K$16/100*(1-VLOOKUP(D367,'DB technologies'!$N$182:$Y$194,9,FALSE)/100)*'Calc (ex-housing, ex-storage)'!F367/100+'Calc (ex-animal)'!$H$73*'DB additional information '!$L$16/100*(1-VLOOKUP(D367,'DB technologies'!$N$182:$Y$194,9,FALSE)/100)*'Calc (ex-housing, ex-storage)'!F367/100))/VLOOKUP($C$367,'DB animal categories'!$C$137:$AC$146,27,FALSE)*AJ367+I367+J367+K367,IF(AI367=1,('Calc (ex-animal)'!$H$73*'DB additional information '!$L$16/100*(1-VLOOKUP(D367,'DB technologies'!$N$182:$Y$194,9,FALSE)/100)*'Calc (ex-housing, ex-storage)'!F367/100)/VLOOKUP($C$367,'DB animal categories'!$C$137:$AC$146,27,FALSE)*AJ367,IF(AI367=4,('Calc (ex-animal)'!$G$73*'DB additional information '!$K$16/100+'Calc (ex-animal)'!$H$73*'DB additional information '!$L$16/100)*(1-VLOOKUP(D367,'DB technologies'!$N$182:$Y$194,9,FALSE)/100)*'Calc (ex-housing, ex-storage)'!F367/100*VLOOKUP(D367,'DB technologies'!$N$182:$Y$194,11,FALSE)/100/VLOOKUP($C$367,'DB animal categories'!$C$137:$AC$146,27,FALSE)*AJ367,0))))</f>
        <v/>
      </c>
      <c r="AM367" s="453" t="str">
        <f>IF(D367="","",IF(AI367=2,(('Calc (ex-animal)'!$G$73*(1-'DB additional information '!$K$16/100)*(1-VLOOKUP(D367,'DB technologies'!$N$182:$Y$194,8,FALSE)/100)*'Calc (ex-housing, ex-storage)'!F367/100+'Calc (ex-animal)'!$H$73*(1-'DB additional information '!$L$16/100)*(1-VLOOKUP(D367,'DB technologies'!$N$182:$Y$194,8,FALSE)/100)*'Calc (ex-housing, ex-storage)'!F367/100))/VLOOKUP($C$367,'DB animal categories'!$C$137:$AC$146,27,FALSE)*AJ367+M367+N367+O367,IF(AI367=1,('Calc (ex-animal)'!$H$73*(1-'DB additional information '!$L$16/100)*(1-VLOOKUP(D367,'DB technologies'!$N$182:$Y$194,8,FALSE)/100)*'Calc (ex-housing, ex-storage)'!F367/100)/VLOOKUP($C$367,'DB animal categories'!$C$137:$AC$146,27,FALSE)*AJ367,IF(AI367=4,('Calc (ex-animal)'!$G$73*(1-'DB additional information '!$K$16/100)+'Calc (ex-animal)'!$H$73*(1-'DB additional information '!$L$16/100))*(1-VLOOKUP(D367,'DB technologies'!$N$182:$Y$194,8,FALSE)/100)*'Calc (ex-housing, ex-storage)'!F367/100*VLOOKUP(D367,'DB technologies'!$N$182:$Y$194,11,FALSE)/100/VLOOKUP($C$367,'DB animal categories'!$C$137:$AC$146,27,FALSE)*AJ367,0))))</f>
        <v/>
      </c>
      <c r="AN367" s="453" t="str">
        <f>IF(AI367="","",IF(AL367=0,0,AL367/AK367*100))</f>
        <v/>
      </c>
      <c r="AO367" s="180" t="str">
        <f>IF(D367="","",IF(AI367=2,(('Calc (ex-animal)'!$L$73*'Calc (ex-housing, ex-storage)'!F367/100+'Calc (ex-animal)'!$K$73*'Calc (ex-housing, ex-storage)'!F367/100))/VLOOKUP($C$367,'DB animal categories'!$C$137:$AC$146,27,FALSE)*AJ367+Q367+R367+S367-AC367,IF(AI367=1,('Calc (ex-animal)'!$L$73*'Calc (ex-housing, ex-storage)'!F367/100)/VLOOKUP($C$367,'DB animal categories'!$C$137:$AC$146,27,FALSE)*AJ367-'Calc (ex-housing, ex-storage)'!AC367,IF(AI367=4,('Calc (ex-animal)'!$L$73+'Calc (ex-animal)'!$K$73)*'Calc (ex-housing, ex-storage)'!F367/100*VLOOKUP(D367,'DB technologies'!$N$182:$Y$194,11,FALSE)/100/VLOOKUP($C$367,'DB animal categories'!$C$137:$AC$146,27,FALSE)*AJ367-AC367*VLOOKUP(D367,'DB technologies'!$N$182:$Y$194,11,FALSE)/100,0))))</f>
        <v/>
      </c>
      <c r="AP367" s="180" t="str">
        <f>IF(D367="","",IF(AO367&lt;-0.01,0,IF(AI367=2,(('Calc (ex-animal)'!$L$73*'Calc (ex-housing, ex-storage)'!F367/100+'Calc (ex-animal)'!$K$73*'Calc (ex-housing, ex-storage)'!F367/100))/VLOOKUP($C$367,'DB animal categories'!$C$137:$AC$146,27,FALSE)*AJ367+Q367+R367+S367-AC367,IF(AI367=1,('Calc (ex-animal)'!$L$73*'Calc (ex-housing, ex-storage)'!F367/100)/VLOOKUP($C$367,'DB animal categories'!$C$137:$AC$146,27,FALSE)*AJ367-'Calc (ex-housing, ex-storage)'!AC367,IF(AI367=4,('Calc (ex-animal)'!$L$73+'Calc (ex-animal)'!$K$73)*'Calc (ex-housing, ex-storage)'!F367/100*VLOOKUP(D367,'DB technologies'!$N$182:$Y$194,11,FALSE)/100/VLOOKUP($C$367,'DB animal categories'!$C$137:$AC$146,27,FALSE)*AJ367-AC367*VLOOKUP(D367,'DB technologies'!$N$182:$Y$194,11,FALSE)/100,0)))))</f>
        <v/>
      </c>
      <c r="AQ367" s="180" t="str">
        <f>IF(D367="","",IF(AI367=2,('Calc (ex-animal)'!$O$73*'Calc (ex-housing, ex-storage)'!F367/100+'Calc (ex-animal)'!$N$73*'Calc (ex-housing, ex-storage)'!F367/100)/VLOOKUP($C$367,'DB animal categories'!$C$137:$AC$146,27,FALSE)*AJ367+U367+V367+W367,IF(AI367=1,'Calc (ex-animal)'!$O$73*'Calc (ex-housing, ex-storage)'!F367/100/VLOOKUP($C$367,'DB animal categories'!$C$137:$AC$146,27,FALSE)*AJ367,IF(AI367=4,('Calc (ex-animal)'!$O$73+'Calc (ex-animal)'!$N$73)*'Calc (ex-housing, ex-storage)'!F367/100*VLOOKUP(D367,'DB technologies'!$N$182:$Y$194,11,FALSE)/100/VLOOKUP($C$367,'DB animal categories'!$C$137:$AC$146,27,FALSE)*AJ367,0))))</f>
        <v/>
      </c>
      <c r="AR367" s="180" t="str">
        <f>IF(D367="","",IF(AI367=2,('Calc (ex-animal)'!$R$73*'Calc (ex-housing, ex-storage)'!F367/100+'Calc (ex-animal)'!$Q$73*'Calc (ex-housing, ex-storage)'!F367/100)/VLOOKUP($C$367,'DB animal categories'!$C$137:$AC$146,27,FALSE)*AJ367+Y367+Z367+AA367,IF(AI367=1,'Calc (ex-animal)'!$R$73*'Calc (ex-housing, ex-storage)'!F367/100/VLOOKUP($C$367,'DB animal categories'!$C$137:$AC$146,27,FALSE)*AJ367,IF(AI367=4,('Calc (ex-animal)'!$R$73+'Calc (ex-animal)'!$Q$73)*'Calc (ex-housing, ex-storage)'!F367/100*VLOOKUP(D367,'DB technologies'!$N$182:$Y$194,11,FALSE)/100/VLOOKUP($C$367,'DB animal categories'!$C$137:$AC$146,27,FALSE)*AJ367,0))))</f>
        <v/>
      </c>
      <c r="AS367" s="179" t="str">
        <f>IF(D367="","",VLOOKUP(D367,'DB technologies'!$N$182:$Y$194,10,FALSE))</f>
        <v/>
      </c>
      <c r="AT367" s="453" t="str">
        <f>IF(AS367="","",AU367+AV367)</f>
        <v/>
      </c>
      <c r="AU367" s="453" t="str">
        <f>IF(D367="","",IF(AS367=2,0,IF(AS367=1,'Calc (ex-animal)'!$G$73*'DB additional information '!$K$16/100*(1-VLOOKUP(D367,'DB technologies'!$N$182:$Y$194,8,FALSE)/100)*'Calc (ex-housing, ex-storage)'!F367/100/VLOOKUP($C$367,'DB animal categories'!$C$137:$AC$146,27,FALSE)*AJ367+I367+J367+K367,IF(AS367=5,(('Calc (ex-animal)'!$G$73*'DB additional information '!$K$16/100+'Calc (ex-animal)'!$H$73*'DB additional information '!$L$16/100))*(1-VLOOKUP(D367,'DB technologies'!$N$182:$Y$194,9,FALSE)/100)*'Calc (ex-housing, ex-storage)'!F367/100/VLOOKUP($C$367,'DB animal categories'!$C$137:$AC$146,27,FALSE)*AJ367+I367+J367+K367,IF(AS367=3,('Calc (ex-animal)'!$G$73*'DB additional information '!$K$16/100+'Calc (ex-animal)'!$H$73*'DB additional information '!$L$16/100)*(1-VLOOKUP(D367,'DB technologies'!$N$182:$Y$194,9,FALSE)/100)*'Calc (ex-housing, ex-storage)'!F367/100/VLOOKUP($C$367,'DB animal categories'!$C$137:$AC$146,27,FALSE)*AJ367+I367+J367+K367,IF(AS367=4,('Calc (ex-animal)'!$G$73*'DB additional information '!$K$16/100+'Calc (ex-animal)'!$H$73*'DB additional information '!$L$16/100)*(1-VLOOKUP(D367,'DB technologies'!$N$182:$Y$194,9,FALSE)/100)*'Calc (ex-housing, ex-storage)'!F367/100*VLOOKUP(D367,'DB technologies'!$N$182:$Y$194,12,FALSE)/100/VLOOKUP($C$367,'DB animal categories'!$C$137:$AC$146,27,FALSE)*AJ367+I367+J367+K367,0))))))</f>
        <v/>
      </c>
      <c r="AV367" s="453" t="str">
        <f>IF(D367="","",IF(AS367=2,0,IF(AS367=1,'Calc (ex-animal)'!$G$73*(1-'DB additional information '!$K$16/100)*(1-VLOOKUP(D367,'DB technologies'!$N$182:$Y$194,8,FALSE)/100)*'Calc (ex-housing, ex-storage)'!F367/100/VLOOKUP($C$367,'DB animal categories'!$C$137:$AC$146,27,FALSE)*AJ367+M367+N367+O367,IF(AS367=5,('Calc (ex-animal)'!$G$73*(1-'DB additional information '!$K$16/100)+'Calc (ex-animal)'!$H$73*(1-'DB additional information '!$L$16/100))*(1-VLOOKUP(D367,'DB technologies'!$N$182:$Y$194,8,FALSE)/100)*'Calc (ex-housing, ex-storage)'!F367/100/VLOOKUP($C$367,'DB animal categories'!$C$137:$AC$146,27,FALSE)*AJ367+M367+N367+O367,IF(AS367=3,('Calc (ex-animal)'!$G$73*(1-'DB additional information '!$K$16/100)+'Calc (ex-animal)'!$H$73*(1-'DB additional information '!$L$16/100))*(1-VLOOKUP(D367,'DB technologies'!$N$182:$Y$194,8,FALSE)/100)*'Calc (ex-housing, ex-storage)'!F367/100/VLOOKUP($C$367,'DB animal categories'!$C$137:$AC$146,27,FALSE)*AJ367+M367+N367+O367,IF(AS367=4,('Calc (ex-animal)'!$G$73*(1-'DB additional information '!$K$16/100)+'Calc (ex-animal)'!$H$73*(1-'DB additional information '!$L$16/100))*(1-VLOOKUP(D367,'DB technologies'!$N$182:$Y$194,8,FALSE)/100)*'Calc (ex-housing, ex-storage)'!F367/100*VLOOKUP(D367,'DB technologies'!$N$182:$Y$194,12,FALSE)/100/VLOOKUP($C$367,'DB animal categories'!$C$137:$AC$146,27,FALSE)*AJ367+M367+N367+O367,0))))))</f>
        <v/>
      </c>
      <c r="AW367" s="453" t="str">
        <f>IF(AS367="","",IF(AU367=0,0,AU367/AT367*100))</f>
        <v/>
      </c>
      <c r="AX367" s="180" t="str">
        <f>IF(D367="","",IF(AS367=2,0,IF(AS367=1,'Calc (ex-animal)'!$K$73*'Calc (ex-housing, ex-storage)'!F367/100/VLOOKUP($C$367,'DB animal categories'!$C$137:$AC$146,27,FALSE)*AJ367+Q367+R367+S367,IF(AS367=5,('Calc (ex-animal)'!$K$73+'Calc (ex-animal)'!$L$73)*'Calc (ex-housing, ex-storage)'!F367/100/VLOOKUP($C$367,'DB animal categories'!$C$137:$AC$146,27,FALSE)*AJ367+Q367+R367+S367-'Calc (ex-housing, ex-storage)'!AC367,IF(AS367=3,('Calc (ex-animal)'!$K$73+'Calc (ex-animal)'!$L$73)*'Calc (ex-housing, ex-storage)'!F367/100/VLOOKUP($C$367,'DB animal categories'!$C$137:$AC$146,27,FALSE)*AJ367+Q367+R367+S367-'Calc (ex-housing, ex-storage)'!AC367-AD367-AE367,IF(AI367=4,('Calc (ex-animal)'!$K$73+'Calc (ex-animal)'!$L$73)*'Calc (ex-housing, ex-storage)'!F367/100*VLOOKUP(D367,'DB technologies'!$N$182:$Y$194,12,FALSE)/100/VLOOKUP($C$367,'DB animal categories'!$C$137:$AC$146,27,FALSE)*AJ367+Q367+R367+S367-(VLOOKUP(D367,'DB technologies'!$N$182:$Y$194,12,FALSE)/100*AC367)-AD367-AE367,0))))))</f>
        <v/>
      </c>
      <c r="AY367" s="180" t="str">
        <f>IF(D367="","",IF(AS367=2,0,IF(AS367=1,'Calc (ex-animal)'!$N$73*'Calc (ex-housing, ex-storage)'!F367/100/VLOOKUP($C$367,'DB animal categories'!$C$137:$AC$146,27,FALSE)*AJ367+U367+V367+W367,IF(AS367=5,('Calc (ex-animal)'!$N$73+'Calc (ex-animal)'!$O$73)*'Calc (ex-housing, ex-storage)'!F367/100/VLOOKUP($C$367,'DB animal categories'!$C$137:$AC$146,27,FALSE)*AJ367+U367+V367+W367,IF(AS367=3,('Calc (ex-animal)'!$N$73+'Calc (ex-animal)'!$O$73)*'Calc (ex-housing, ex-storage)'!F367/100/VLOOKUP($C$367,'DB animal categories'!$C$137:$AC$146,27,FALSE)*AJ367+U367+V367+W367,IF(AS367=4,('Calc (ex-animal)'!$N$73+'Calc (ex-animal)'!$O$73)*'Calc (ex-housing, ex-storage)'!F367/100*VLOOKUP(D367,'DB technologies'!$N$182:$Y$194,12,FALSE)/100/VLOOKUP($C$367,'DB animal categories'!$C$137:$AC$146,27,FALSE)*AJ367+U367+V367+W367,0))))))</f>
        <v/>
      </c>
      <c r="AZ367" s="180" t="str">
        <f>IF(D367="","",IF(AS367=2,0,IF(AS367=1,'Calc (ex-animal)'!$Q$73*'Calc (ex-housing, ex-storage)'!F367/100/VLOOKUP($C$367,'DB animal categories'!$C$137:$AC$146,27,FALSE)*AJ367+Y367+Z367+AA367,IF(AS367=5,('Calc (ex-animal)'!$Q$73+'Calc (ex-animal)'!$R$73)*'Calc (ex-housing, ex-storage)'!F367/100/VLOOKUP($C$367,'DB animal categories'!$C$137:$AC$146,27,FALSE)*AJ367+Y367+Z367+AA367,IF(AS367=3,('Calc (ex-animal)'!$Q$73+'Calc (ex-animal)'!$R$73)*'Calc (ex-housing, ex-storage)'!F367/100/VLOOKUP($C$367,'DB animal categories'!$C$137:$AC$146,27,FALSE)*AJ367+Y367+Z367+AA367,IF(AS367=4,('Calc (ex-animal)'!$Q$73+'Calc (ex-animal)'!$R$73)*'Calc (ex-housing, ex-storage)'!F367/100*VLOOKUP(D367,'DB technologies'!$N$182:$Y$194,12,FALSE)/100/VLOOKUP($C$367,'DB animal categories'!$C$137:$AC$146,27,FALSE)*AJ367+Y367+Z367+AA367,0))))))</f>
        <v/>
      </c>
      <c r="BA367" s="506"/>
      <c r="BB367" s="506"/>
      <c r="BC367" s="506"/>
    </row>
    <row r="368" spans="1:55" x14ac:dyDescent="0.2">
      <c r="A368" s="695"/>
      <c r="B368" s="695"/>
      <c r="C368" s="255"/>
      <c r="D368" s="1357"/>
      <c r="E368" s="1358"/>
      <c r="F368" s="480" t="str">
        <f>IF('Calc (ex-animal)'!$F$73=1,"",IF($C$367=0,"",IF(D368="","",E368/'Calc (ex-animal)'!$E$73*100)))</f>
        <v/>
      </c>
      <c r="G368" s="485" t="str">
        <f>IF($C$367=0,"",IF('Calc (ex-animal)'!$F$73=1,"",IF(D368="","",SUM(H368:O368))))</f>
        <v/>
      </c>
      <c r="H368" s="423" t="str">
        <f>IF('Calc (ex-animal)'!$F$73=1,"",IF(D368="","",(((VLOOKUP($C$367,'Calc (ex-animal)'!$D$73:$Y$77,6,FALSE)-VLOOKUP($C$367,'Calc (ex-animal)'!$D$73:$Y$77,17,FALSE))*F368/100))*VLOOKUP($C$367,'Calc (ex-animal)'!$D$73:$Y$77,7,FALSE)/100*(1-VLOOKUP(D368,'DB technologies'!$N$182:$Y$194,9,FALSE)/100)))</f>
        <v/>
      </c>
      <c r="I368" s="423" t="str">
        <f>IF(D368="","",((VLOOKUP(D368,'DB technologies'!$N$182:$Y$194,2,FALSE)*VLOOKUP($C$367,'DB animal categories'!$C$137:$AC$146,27,FALSE)*E368/1000)/VLOOKUP($C$367,'DB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'!$S$6/100*(1-VLOOKUP(D368,'DB technologies'!$N$182:$Y$194,9,FALSE)/100)))</f>
        <v/>
      </c>
      <c r="J368" s="434" t="str">
        <f>IF(D368="","",((VLOOKUP(D368,'DB technologies'!$N$182:$Y$194,3,FALSE)*VLOOKUP($C$367,'DB animal categories'!$C$137:$AC$146,27,FALSE)*E368/1000)/VLOOKUP($C$367,'DB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'!$S$7/100*(1-VLOOKUP(D368,'DB technologies'!$N$182:$Y$194,9,FALSE)/100)))</f>
        <v/>
      </c>
      <c r="K368" s="434" t="str">
        <f>IF(D368="","",((VLOOKUP(D368,'DB technologies'!$N$182:$Y$194,4,FALSE)*E368*'DB additional information '!$S$8/100*(1-VLOOKUP(D368,'DB technologies'!$N$182:$Y$194,9,FALSE)/100))/VLOOKUP($C$367,'DB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L368" s="423" t="str">
        <f>IF('Calc (ex-animal)'!$F$73=1,"",IF(D368="","",(((VLOOKUP($C$367,'Calc (ex-animal)'!$D$73:$Y$77,6,FALSE)-VLOOKUP($C$367,'Calc (ex-animal)'!$D$73:$Y$77,17,FALSE))*F368/100))*(1-VLOOKUP($C$367,'Calc (ex-animal)'!$D$73:$Y$77,7,FALSE)/100)*(1-VLOOKUP(D368,'DB technologies'!$N$182:$V$194,8,FALSE)/100)))</f>
        <v/>
      </c>
      <c r="M368" s="434" t="str">
        <f>IF(D368="","",((VLOOKUP(D368,'DB technologies'!$N$182:$Y$194,2,FALSE)*VLOOKUP($C$367,'DB animal categories'!$C$137:$AC$146,27,FALSE)*E368/1000)/VLOOKUP($C$367,'DB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'!$S$6/100)*(1-VLOOKUP(D368,'DB technologies'!$N$182:$Y$194,9,FALSE)/100))</f>
        <v/>
      </c>
      <c r="N368" s="434" t="str">
        <f>IF(D368="","",((VLOOKUP(D368,'DB technologies'!$N$182:$Y$194,3,FALSE)*VLOOKUP($C$367,'DB animal categories'!$C$137:$AC$146,27,FALSE)*E368/1000)/VLOOKUP($C$367,'DB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'!$S$7/100)*(1-VLOOKUP(D368,'DB technologies'!$N$182:$Y$194,9,FALSE)/100))</f>
        <v/>
      </c>
      <c r="O368" s="423" t="str">
        <f>IF(D368="","",((VLOOKUP(D368,'DB technologies'!$N$182:$Y$194,4,FALSE)*E368*(1-'DB additional information '!$S$8/100)*(1-VLOOKUP(D368,'DB technologies'!$N$182:$Y$194,8,FALSE)/100))/VLOOKUP($C$367,'DB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P368" s="438" t="str">
        <f>IF(G368=0,0,IF(E368="","",IF(F368="","",IF($C$367=0,"",IF(D368="","",SUM(H368:K368)/G368*100)))))</f>
        <v/>
      </c>
      <c r="Q368" s="416" t="str">
        <f>IF(D368="","",(VLOOKUP(D368,'DB technologies'!$N$182:$Y$194,2,FALSE)*'DB additional information '!$S$6/100*'DB additional information '!$T$6*VLOOKUP($C$367,'DB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R368" s="416" t="str">
        <f>IF(D368="","",(VLOOKUP(D368,'DB technologies'!$N$182:$Y$194,3,FALSE)*'DB additional information '!$S$7/100*'DB additional information '!$T$7*VLOOKUP($C$367,'DB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S368" s="491" t="str">
        <f>IF(D368="","",(VLOOKUP(D368,'DB technologies'!$N$182:$Y$194,4,FALSE)*('DB additional information '!$S$8/100*'DB additional information '!$T$8*E368/1000/1000)))</f>
        <v/>
      </c>
      <c r="T368" s="264" t="str">
        <f>IF($C$367=0,"",IF('Calc (ex-animal)'!$F$73=1,"",IF(D368="","",((VLOOKUP($C$367,'Calc (ex-animal)'!$D$73:$Y$77,10,FALSE)-VLOOKUP($C$367,'Calc (ex-animal)'!$D$73:$Y$77,18,FALSE))*F368/100+Q368+R368+S368)-AC368-AD368-AE368)))</f>
        <v/>
      </c>
      <c r="U368" s="422" t="str">
        <f>IF(D368="","",(VLOOKUP(D368,'DB technologies'!$N$182:$Y$194,2,FALSE)*'DB additional information '!$S$6/100*'DB additional information '!$U$6*VLOOKUP($C$367,'DB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V368" s="418" t="str">
        <f>IF(D368="","",(VLOOKUP(D368,'DB technologies'!$N$182:$Y$194,3,FALSE)*'DB additional information '!$S$7/100*'DB additional information '!$U$7*VLOOKUP($C$367,'DB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W368" s="417" t="str">
        <f>IF(D368="","",(VLOOKUP(D368,'DB technologies'!$N$182:$Y$194,4,FALSE)*('DB additional information '!$S$8/100*'DB additional information '!$U$8*E368/1000/1000)))</f>
        <v/>
      </c>
      <c r="X368" s="261" t="str">
        <f>IF($C$367=0,"",IF('Calc (ex-animal)'!$F$73=1,"",IF(D368="","",((VLOOKUP($C$367,'Calc (ex-animal)'!$D$73:$Y$77,13,FALSE)-VLOOKUP($C$367,'Calc (ex-animal)'!$D$73:$Y$77,19,FALSE))*F368/100+U368+V368+W368))))</f>
        <v/>
      </c>
      <c r="Y368" s="418" t="str">
        <f>IF(D368="","",(VLOOKUP(D368,'DB technologies'!$N$182:$Y$194,2,FALSE)*'DB additional information '!$S$6/100*'DB additional information '!$V$6*VLOOKUP($C$367,'DB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Z368" s="418" t="str">
        <f>IF(D368="","",(VLOOKUP(D368,'DB technologies'!$N$182:$Y$194,3,FALSE)*'DB additional information '!$S$7/100*'DB additional information '!$V$7*VLOOKUP($C$367,'DB animal categories'!$C$137:$AC$146,27,FALSE)*E368/1000/1000)/VLOOKUP($C$367,'DB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AA368" s="418" t="str">
        <f>IF(D368="","",(VLOOKUP(D368,'DB technologies'!$N$182:$Y$194,4,FALSE)*('DB additional information '!$S$8/100*'DB additional information '!$V$8*E368/1000/1000)))</f>
        <v/>
      </c>
      <c r="AB368" s="261" t="str">
        <f>IF($C$367=0,"",IF('Calc (ex-animal)'!$F$73=1,"",IF(D368="","",((VLOOKUP($C$367,'Calc (ex-animal)'!$D$73:$Y$77,16,FALSE)-VLOOKUP($C$367,'Calc (ex-animal)'!$D$73:$Y$77,20,FALSE))*F368/100+Y368+Z368+AA368))))</f>
        <v/>
      </c>
      <c r="AC368" s="261" t="str">
        <f>IF($C$367=0,"",IF('Calc (ex-animal)'!$F$73=1,"",IF(D368="","",VLOOKUP($C$367,'Calc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categories'!$C$137:$AC$146,26,FALSE)/24)*F368/100*VLOOKUP(D368,'DB technologies'!$N$182:$R$194,5,FALSE)/100)))</f>
        <v/>
      </c>
      <c r="AD368" s="261" t="str">
        <f>IF($C$367=0,"",IF('Calc (ex-animal)'!$F$73=1,"",IF(D368="","",VLOOKUP($C$367,'Calc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categories'!$C$137:$AC$146,26,FALSE)/24)*F368/100*VLOOKUP(D368,'DB technologies'!$N$182:$Y$194,6,FALSE)/100)))</f>
        <v/>
      </c>
      <c r="AE368" s="262" t="str">
        <f>IF($C$367=0,"",IF('Calc (ex-animal)'!$F$73=1,"",IF(D368="","",VLOOKUP($C$367,'Calc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categories'!$C$137:$AC$146,26,FALSE)/24)*F368/100*VLOOKUP(D368,'DB technologies'!$N$182:$Y$194,7,FALSE)/100)))</f>
        <v/>
      </c>
      <c r="AI368" s="181" t="str">
        <f>IF(D368="","",VLOOKUP(D368,'DB technologies'!$N$182:$Y$194,10,FALSE))</f>
        <v/>
      </c>
      <c r="AJ368" s="449" t="e">
        <f>VLOOKUP($C$367,'DB animal categories'!$C$137:$AN$146,27,FALSE)-VLOOKUP($C$367,'DB animal categories'!$C$137:$AN$146,26,FALSE)*VLOOKUP($C$367,'DB animal categories'!$C$137:$AN$146,25,FALSE)/24</f>
        <v>#N/A</v>
      </c>
      <c r="AK368" s="442" t="str">
        <f>IF(AI368="","",AL368+AM368)</f>
        <v/>
      </c>
      <c r="AL368" s="442" t="str">
        <f>IF(D368="","",IF(AI368=2,(('Calc (ex-animal)'!$G$73*'DB additional information '!$K$16/100*(1-VLOOKUP(D368,'DB technologies'!$N$182:$Y$194,9,FALSE)/100)*'Calc (ex-housing, ex-storage)'!F368/100+'Calc (ex-animal)'!$H$73*'DB additional information '!$L$16/100*(1-VLOOKUP(D368,'DB technologies'!$N$182:$Y$194,9,FALSE)/100)*'Calc (ex-housing, ex-storage)'!F368/100))/VLOOKUP($C$367,'DB animal categories'!$C$137:$AC$146,27,FALSE)*AJ368+I368+J368+K368,IF(AI368=1,('Calc (ex-animal)'!$H$73*'DB additional information '!$L$16/100*(1-VLOOKUP(D368,'DB technologies'!$N$182:$Y$194,9,FALSE)/100)*'Calc (ex-housing, ex-storage)'!F368/100)/VLOOKUP($C$367,'DB animal categories'!$C$137:$AC$146,27,FALSE)*AJ368,IF(AI368=4,('Calc (ex-animal)'!$G$73*'DB additional information '!$K$16/100+'Calc (ex-animal)'!$H$73*'DB additional information '!$L$16/100)*(1-VLOOKUP(D368,'DB technologies'!$N$182:$Y$194,9,FALSE)/100)*'Calc (ex-housing, ex-storage)'!F368/100*VLOOKUP(D368,'DB technologies'!$N$182:$Y$194,11,FALSE)/100/VLOOKUP($C$367,'DB animal categories'!$C$137:$AC$146,27,FALSE)*AJ368,0))))</f>
        <v/>
      </c>
      <c r="AM368" s="442" t="str">
        <f>IF(D368="","",IF(AI368=2,(('Calc (ex-animal)'!$G$73*(1-'DB additional information '!$K$16/100)*(1-VLOOKUP(D368,'DB technologies'!$N$182:$Y$194,8,FALSE)/100)*'Calc (ex-housing, ex-storage)'!F368/100+'Calc (ex-animal)'!$H$73*(1-'DB additional information '!$L$16/100)*(1-VLOOKUP(D368,'DB technologies'!$N$182:$Y$194,8,FALSE)/100)*'Calc (ex-housing, ex-storage)'!F368/100))/VLOOKUP($C$367,'DB animal categories'!$C$137:$AC$146,27,FALSE)*AJ368+M368+N368+O368,IF(AI368=1,('Calc (ex-animal)'!$H$73*(1-'DB additional information '!$L$16/100)*(1-VLOOKUP(D368,'DB technologies'!$N$182:$Y$194,8,FALSE)/100)*'Calc (ex-housing, ex-storage)'!F368/100)/VLOOKUP($C$367,'DB animal categories'!$C$137:$AC$146,27,FALSE)*AJ368,IF(AI368=4,('Calc (ex-animal)'!$G$73*(1-'DB additional information '!$K$16/100)+'Calc (ex-animal)'!$H$73*(1-'DB additional information '!$L$16/100))*(1-VLOOKUP(D368,'DB technologies'!$N$182:$Y$194,8,FALSE)/100)*'Calc (ex-housing, ex-storage)'!F368/100*VLOOKUP(D368,'DB technologies'!$N$182:$Y$194,11,FALSE)/100/VLOOKUP($C$367,'DB animal categories'!$C$137:$AC$146,27,FALSE)*AJ368,0))))</f>
        <v/>
      </c>
      <c r="AN368" s="442" t="str">
        <f>IF(AI368="","",IF(AL368=0,0,AL368/AK368*100))</f>
        <v/>
      </c>
      <c r="AO368" s="182" t="str">
        <f>IF(D368="","",IF(AI368=2,(('Calc (ex-animal)'!$L$73*'Calc (ex-housing, ex-storage)'!F368/100+'Calc (ex-animal)'!$K$73*'Calc (ex-housing, ex-storage)'!F368/100))/VLOOKUP($C$367,'DB animal categories'!$C$137:$AC$146,27,FALSE)*AJ368+Q368+R368+S368-AC368,IF(AI368=1,('Calc (ex-animal)'!$L$73*'Calc (ex-housing, ex-storage)'!F368/100)/VLOOKUP($C$367,'DB animal categories'!$C$137:$AC$146,27,FALSE)*AJ368-'Calc (ex-housing, ex-storage)'!AC368,IF(AI368=4,('Calc (ex-animal)'!$L$73+'Calc (ex-animal)'!$K$73)*'Calc (ex-housing, ex-storage)'!F368/100*VLOOKUP(D368,'DB technologies'!$N$182:$Y$194,11,FALSE)/100/VLOOKUP($C$367,'DB animal categories'!$C$137:$AC$146,27,FALSE)*AJ368-AC368*VLOOKUP(D368,'DB technologies'!$N$182:$Y$194,11,FALSE)/100,0))))</f>
        <v/>
      </c>
      <c r="AP368" s="182" t="str">
        <f>IF(D368="","",IF(AO368&lt;-0.01,0,IF(AI368=2,(('Calc (ex-animal)'!$L$73*'Calc (ex-housing, ex-storage)'!F368/100+'Calc (ex-animal)'!$K$73*'Calc (ex-housing, ex-storage)'!F368/100))/VLOOKUP($C$367,'DB animal categories'!$C$137:$AC$146,27,FALSE)*AJ368+Q368+R368+S368-AC368,IF(AI368=1,('Calc (ex-animal)'!$L$73*'Calc (ex-housing, ex-storage)'!F368/100)/VLOOKUP($C$367,'DB animal categories'!$C$137:$AC$146,27,FALSE)*AJ368-'Calc (ex-housing, ex-storage)'!AC368,IF(AI368=4,('Calc (ex-animal)'!$L$73+'Calc (ex-animal)'!$K$73)*'Calc (ex-housing, ex-storage)'!F368/100*VLOOKUP(D368,'DB technologies'!$N$182:$Y$194,11,FALSE)/100/VLOOKUP($C$367,'DB animal categories'!$C$137:$AC$146,27,FALSE)*AJ368-AC368*VLOOKUP(D368,'DB technologies'!$N$182:$Y$194,11,FALSE)/100,0)))))</f>
        <v/>
      </c>
      <c r="AQ368" s="182" t="str">
        <f>IF(D368="","",IF(AI368=2,('Calc (ex-animal)'!$O$73*'Calc (ex-housing, ex-storage)'!F368/100+'Calc (ex-animal)'!$N$73*'Calc (ex-housing, ex-storage)'!F368/100)/VLOOKUP($C$367,'DB animal categories'!$C$137:$AC$146,27,FALSE)*AJ368+U368+V368+W368,IF(AI368=1,'Calc (ex-animal)'!$O$73*'Calc (ex-housing, ex-storage)'!F368/100/VLOOKUP($C$367,'DB animal categories'!$C$137:$AC$146,27,FALSE)*AJ368,IF(AI368=4,('Calc (ex-animal)'!$O$73+'Calc (ex-animal)'!$N$73)*'Calc (ex-housing, ex-storage)'!F368/100*VLOOKUP(D368,'DB technologies'!$N$182:$Y$194,11,FALSE)/100/VLOOKUP($C$367,'DB animal categories'!$C$137:$AC$146,27,FALSE)*AJ368,0))))</f>
        <v/>
      </c>
      <c r="AR368" s="182" t="str">
        <f>IF(D368="","",IF(AI368=2,('Calc (ex-animal)'!$R$73*'Calc (ex-housing, ex-storage)'!F368/100+'Calc (ex-animal)'!$Q$73*'Calc (ex-housing, ex-storage)'!F368/100)/VLOOKUP($C$367,'DB animal categories'!$C$137:$AC$146,27,FALSE)*AJ368+Y368+Z368+AA368,IF(AI368=1,'Calc (ex-animal)'!$R$73*'Calc (ex-housing, ex-storage)'!F368/100/VLOOKUP($C$367,'DB animal categories'!$C$137:$AC$146,27,FALSE)*AJ368,IF(AI368=4,('Calc (ex-animal)'!$R$73+'Calc (ex-animal)'!$Q$73)*'Calc (ex-housing, ex-storage)'!F368/100*VLOOKUP(D368,'DB technologies'!$N$182:$Y$194,11,FALSE)/100/VLOOKUP($C$367,'DB animal categories'!$C$137:$AC$146,27,FALSE)*AJ368,0))))</f>
        <v/>
      </c>
      <c r="AS368" s="181" t="str">
        <f>IF(D368="","",VLOOKUP(D368,'DB technologies'!$N$182:$Y$194,10,FALSE))</f>
        <v/>
      </c>
      <c r="AT368" s="442" t="str">
        <f>IF(AS368="","",AU368+AV368)</f>
        <v/>
      </c>
      <c r="AU368" s="442" t="str">
        <f>IF(D368="","",IF(AS368=2,0,IF(AS368=1,'Calc (ex-animal)'!$G$73*'DB additional information '!$K$16/100*(1-VLOOKUP(D368,'DB technologies'!$N$182:$Y$194,8,FALSE)/100)*'Calc (ex-housing, ex-storage)'!F368/100/VLOOKUP($C$367,'DB animal categories'!$C$137:$AC$146,27,FALSE)*AJ368+I368+J368+K368,IF(AS368=5,(('Calc (ex-animal)'!$G$73*'DB additional information '!$K$16/100+'Calc (ex-animal)'!$H$73*'DB additional information '!$L$16/100))*(1-VLOOKUP(D368,'DB technologies'!$N$182:$Y$194,9,FALSE)/100)*'Calc (ex-housing, ex-storage)'!F368/100/VLOOKUP($C$367,'DB animal categories'!$C$137:$AC$146,27,FALSE)*AJ368+I368+J368+K368,IF(AS368=3,('Calc (ex-animal)'!$G$73*'DB additional information '!$K$16/100+'Calc (ex-animal)'!$H$73*'DB additional information '!$L$16/100)*(1-VLOOKUP(D368,'DB technologies'!$N$182:$Y$194,9,FALSE)/100)*'Calc (ex-housing, ex-storage)'!F368/100/VLOOKUP($C$367,'DB animal categories'!$C$137:$AC$146,27,FALSE)*AJ368+I368+J368+K368,IF(AS368=4,('Calc (ex-animal)'!$G$73*'DB additional information '!$K$16/100+'Calc (ex-animal)'!$H$73*'DB additional information '!$L$16/100)*(1-VLOOKUP(D368,'DB technologies'!$N$182:$Y$194,9,FALSE)/100)*'Calc (ex-housing, ex-storage)'!F368/100*VLOOKUP(D368,'DB technologies'!$N$182:$Y$194,12,FALSE)/100/VLOOKUP($C$367,'DB animal categories'!$C$137:$AC$146,27,FALSE)*AJ368+I368+J368+K368,0))))))</f>
        <v/>
      </c>
      <c r="AV368" s="442" t="str">
        <f>IF(D368="","",IF(AS368=2,0,IF(AS368=1,'Calc (ex-animal)'!$G$73*(1-'DB additional information '!$K$16/100)*(1-VLOOKUP(D368,'DB technologies'!$N$182:$Y$194,8,FALSE)/100)*'Calc (ex-housing, ex-storage)'!F368/100/VLOOKUP($C$367,'DB animal categories'!$C$137:$AC$146,27,FALSE)*AJ368+M368+N368+O368,IF(AS368=5,('Calc (ex-animal)'!$G$73*(1-'DB additional information '!$K$16/100)+'Calc (ex-animal)'!$H$73*(1-'DB additional information '!$L$16/100))*(1-VLOOKUP(D368,'DB technologies'!$N$182:$Y$194,8,FALSE)/100)*'Calc (ex-housing, ex-storage)'!F368/100/VLOOKUP($C$367,'DB animal categories'!$C$137:$AC$146,27,FALSE)*AJ368+M368+N368+O368,IF(AS368=3,('Calc (ex-animal)'!$G$73*(1-'DB additional information '!$K$16/100)+'Calc (ex-animal)'!$H$73*(1-'DB additional information '!$L$16/100))*(1-VLOOKUP(D368,'DB technologies'!$N$182:$Y$194,8,FALSE)/100)*'Calc (ex-housing, ex-storage)'!F368/100/VLOOKUP($C$367,'DB animal categories'!$C$137:$AC$146,27,FALSE)*AJ368+M368+N368+O368,IF(AS368=4,('Calc (ex-animal)'!$G$73*(1-'DB additional information '!$K$16/100)+'Calc (ex-animal)'!$H$73*(1-'DB additional information '!$L$16/100))*(1-VLOOKUP(D368,'DB technologies'!$N$182:$Y$194,8,FALSE)/100)*'Calc (ex-housing, ex-storage)'!F368/100*VLOOKUP(D368,'DB technologies'!$N$182:$Y$194,12,FALSE)/100/VLOOKUP($C$367,'DB animal categories'!$C$137:$AC$146,27,FALSE)*AJ368+M368+N368+O368,0))))))</f>
        <v/>
      </c>
      <c r="AW368" s="442" t="str">
        <f>IF(AS368="","",IF(AU368=0,0,AU368/AT368*100))</f>
        <v/>
      </c>
      <c r="AX368" s="182" t="str">
        <f>IF(D368="","",IF(AS368=2,0,IF(AS368=1,'Calc (ex-animal)'!$K$73*'Calc (ex-housing, ex-storage)'!F368/100/VLOOKUP($C$367,'DB animal categories'!$C$137:$AC$146,27,FALSE)*AJ368+Q368+R368+S368,IF(AS368=5,('Calc (ex-animal)'!$K$73+'Calc (ex-animal)'!$L$73)*'Calc (ex-housing, ex-storage)'!F368/100/VLOOKUP($C$367,'DB animal categories'!$C$137:$AC$146,27,FALSE)*AJ368+Q368+R368+S368-'Calc (ex-housing, ex-storage)'!AC368,IF(AS368=3,('Calc (ex-animal)'!$K$73+'Calc (ex-animal)'!$L$73)*'Calc (ex-housing, ex-storage)'!F368/100/VLOOKUP($C$367,'DB animal categories'!$C$137:$AC$146,27,FALSE)*AJ368+Q368+R368+S368-'Calc (ex-housing, ex-storage)'!AC368-AD368-AE368,IF(AI368=4,('Calc (ex-animal)'!$K$73+'Calc (ex-animal)'!$L$73)*'Calc (ex-housing, ex-storage)'!F368/100*VLOOKUP(D368,'DB technologies'!$N$182:$Y$194,12,FALSE)/100/VLOOKUP($C$367,'DB animal categories'!$C$137:$AC$146,27,FALSE)*AJ368+Q368+R368+S368-(VLOOKUP(D368,'DB technologies'!$N$182:$Y$194,12,FALSE)/100*AC368)-AD368-AE368,0))))))</f>
        <v/>
      </c>
      <c r="AY368" s="182" t="str">
        <f>IF(D368="","",IF(AS368=2,0,IF(AS368=1,'Calc (ex-animal)'!$N$73*'Calc (ex-housing, ex-storage)'!F368/100/VLOOKUP($C$367,'DB animal categories'!$C$137:$AC$146,27,FALSE)*AJ368+U368+V368+W368,IF(AS368=5,('Calc (ex-animal)'!$N$73+'Calc (ex-animal)'!$O$73)*'Calc (ex-housing, ex-storage)'!F368/100/VLOOKUP($C$367,'DB animal categories'!$C$137:$AC$146,27,FALSE)*AJ368+U368+V368+W368,IF(AS368=3,('Calc (ex-animal)'!$N$73+'Calc (ex-animal)'!$O$73)*'Calc (ex-housing, ex-storage)'!F368/100/VLOOKUP($C$367,'DB animal categories'!$C$137:$AC$146,27,FALSE)*AJ368+U368+V368+W368,IF(AS368=4,('Calc (ex-animal)'!$N$73+'Calc (ex-animal)'!$O$73)*'Calc (ex-housing, ex-storage)'!F368/100*VLOOKUP(D368,'DB technologies'!$N$182:$Y$194,12,FALSE)/100/VLOOKUP($C$367,'DB animal categories'!$C$137:$AC$146,27,FALSE)*AJ368+U368+V368+W368,0))))))</f>
        <v/>
      </c>
      <c r="AZ368" s="182" t="str">
        <f>IF(D368="","",IF(AS368=2,0,IF(AS368=1,'Calc (ex-animal)'!$Q$73*'Calc (ex-housing, ex-storage)'!F368/100/VLOOKUP($C$367,'DB animal categories'!$C$137:$AC$146,27,FALSE)*AJ368+Y368+Z368+AA368,IF(AS368=5,('Calc (ex-animal)'!$Q$73+'Calc (ex-animal)'!$R$73)*'Calc (ex-housing, ex-storage)'!F368/100/VLOOKUP($C$367,'DB animal categories'!$C$137:$AC$146,27,FALSE)*AJ368+Y368+Z368+AA368,IF(AS368=3,('Calc (ex-animal)'!$Q$73+'Calc (ex-animal)'!$R$73)*'Calc (ex-housing, ex-storage)'!F368/100/VLOOKUP($C$367,'DB animal categories'!$C$137:$AC$146,27,FALSE)*AJ368+Y368+Z368+AA368,IF(AS368=4,('Calc (ex-animal)'!$Q$73+'Calc (ex-animal)'!$R$73)*'Calc (ex-housing, ex-storage)'!F368/100*VLOOKUP(D368,'DB technologies'!$N$182:$Y$194,12,FALSE)/100/VLOOKUP($C$367,'DB animal categories'!$C$137:$AC$146,27,FALSE)*AJ368+Y368+Z368+AA368,0))))))</f>
        <v/>
      </c>
      <c r="BA368" s="506"/>
      <c r="BB368" s="506"/>
      <c r="BC368" s="506"/>
    </row>
    <row r="369" spans="1:55" x14ac:dyDescent="0.2">
      <c r="A369" s="695"/>
      <c r="B369" s="695"/>
      <c r="C369" s="255"/>
      <c r="D369" s="1357"/>
      <c r="E369" s="1358"/>
      <c r="F369" s="480" t="str">
        <f>IF('Calc (ex-animal)'!$F$73=1,"",IF($C$367=0,"",IF(D369="","",E369/'Calc (ex-animal)'!$E$73*100)))</f>
        <v/>
      </c>
      <c r="G369" s="485" t="str">
        <f>IF($C$367=0,"",IF('Calc (ex-animal)'!$F$73=1,"",IF(D369="","",SUM(H369:O369))))</f>
        <v/>
      </c>
      <c r="H369" s="423" t="str">
        <f>IF('Calc (ex-animal)'!$F$73=1,"",IF(D369="","",(((VLOOKUP($C$367,'Calc (ex-animal)'!$D$73:$Y$77,6,FALSE)-VLOOKUP($C$367,'Calc (ex-animal)'!$D$73:$Y$77,17,FALSE))*F369/100))*VLOOKUP($C$367,'Calc (ex-animal)'!$D$73:$Y$77,7,FALSE)/100*(1-VLOOKUP(D369,'DB technologies'!$N$182:$Y$194,9,FALSE)/100)))</f>
        <v/>
      </c>
      <c r="I369" s="423" t="str">
        <f>IF(D369="","",((VLOOKUP(D369,'DB technologies'!$N$182:$Y$194,2,FALSE)*VLOOKUP($C$367,'DB animal categories'!$C$137:$AC$146,27,FALSE)*E369/1000)/VLOOKUP($C$367,'DB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'!$S$6/100*(1-VLOOKUP(D369,'DB technologies'!$N$182:$Y$194,9,FALSE)/100)))</f>
        <v/>
      </c>
      <c r="J369" s="434" t="str">
        <f>IF(D369="","",((VLOOKUP(D369,'DB technologies'!$N$182:$Y$194,3,FALSE)*VLOOKUP($C$367,'DB animal categories'!$C$137:$AC$146,27,FALSE)*E369/1000)/VLOOKUP($C$367,'DB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'!$S$7/100*(1-VLOOKUP(D369,'DB technologies'!$N$182:$Y$194,9,FALSE)/100)))</f>
        <v/>
      </c>
      <c r="K369" s="434" t="str">
        <f>IF(D369="","",((VLOOKUP(D369,'DB technologies'!$N$182:$Y$194,4,FALSE)*E369*'DB additional information '!$S$8/100*(1-VLOOKUP(D369,'DB technologies'!$N$182:$Y$194,9,FALSE)/100))/VLOOKUP($C$367,'DB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L369" s="423" t="str">
        <f>IF('Calc (ex-animal)'!$F$73=1,"",IF(D369="","",(((VLOOKUP($C$367,'Calc (ex-animal)'!$D$73:$Y$77,6,FALSE)-VLOOKUP($C$367,'Calc (ex-animal)'!$D$73:$Y$77,17,FALSE))*F369/100))*(1-VLOOKUP($C$367,'Calc (ex-animal)'!$D$73:$Y$77,7,FALSE)/100)*(1-VLOOKUP(D369,'DB technologies'!$N$182:$V$194,8,FALSE)/100)))</f>
        <v/>
      </c>
      <c r="M369" s="434" t="str">
        <f>IF(D369="","",((VLOOKUP(D369,'DB technologies'!$N$182:$Y$194,2,FALSE)*VLOOKUP($C$367,'DB animal categories'!$C$137:$AC$146,27,FALSE)*E369/1000)/VLOOKUP($C$367,'DB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'!$S$6/100)*(1-VLOOKUP(D369,'DB technologies'!$N$182:$Y$194,9,FALSE)/100))</f>
        <v/>
      </c>
      <c r="N369" s="434" t="str">
        <f>IF(D369="","",((VLOOKUP(D369,'DB technologies'!$N$182:$Y$194,3,FALSE)*VLOOKUP($C$367,'DB animal categories'!$C$137:$AC$146,27,FALSE)*E369/1000)/VLOOKUP($C$367,'DB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'!$S$7/100)*(1-VLOOKUP(D369,'DB technologies'!$N$182:$Y$194,9,FALSE)/100))</f>
        <v/>
      </c>
      <c r="O369" s="423" t="str">
        <f>IF(D369="","",((VLOOKUP(D369,'DB technologies'!$N$182:$Y$194,4,FALSE)*E369*(1-'DB additional information '!$S$8/100)*(1-VLOOKUP(D369,'DB technologies'!$N$182:$Y$194,8,FALSE)/100))/VLOOKUP($C$367,'DB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P369" s="438" t="str">
        <f>IF(G369=0,0,IF(E369="","",IF(F369="","",IF($C$367=0,"",IF(D369="","",SUM(H369:K369)/G369*100)))))</f>
        <v/>
      </c>
      <c r="Q369" s="416" t="str">
        <f>IF(D369="","",(VLOOKUP(D369,'DB technologies'!$N$182:$Y$194,2,FALSE)*'DB additional information '!$S$6/100*'DB additional information '!$T$6*VLOOKUP($C$367,'DB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R369" s="416" t="str">
        <f>IF(D369="","",(VLOOKUP(D369,'DB technologies'!$N$182:$Y$194,3,FALSE)*'DB additional information '!$S$7/100*'DB additional information '!$T$7*VLOOKUP($C$367,'DB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S369" s="491" t="str">
        <f>IF(D369="","",(VLOOKUP(D369,'DB technologies'!$N$182:$Y$194,4,FALSE)*('DB additional information '!$S$8/100*'DB additional information '!$T$8*E369/1000/1000)))</f>
        <v/>
      </c>
      <c r="T369" s="264" t="str">
        <f>IF($C$367=0,"",IF('Calc (ex-animal)'!$F$73=1,"",IF(D369="","",((VLOOKUP($C$367,'Calc (ex-animal)'!$D$73:$Y$77,10,FALSE)-VLOOKUP($C$367,'Calc (ex-animal)'!$D$73:$Y$77,18,FALSE))*F369/100+Q369+R369+S369)-AC369-AD369-AE369)))</f>
        <v/>
      </c>
      <c r="U369" s="422" t="str">
        <f>IF(D369="","",(VLOOKUP(D369,'DB technologies'!$N$182:$Y$194,2,FALSE)*'DB additional information '!$S$6/100*'DB additional information '!$U$6*VLOOKUP($C$367,'DB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V369" s="418" t="str">
        <f>IF(D369="","",(VLOOKUP(D369,'DB technologies'!$N$182:$Y$194,3,FALSE)*'DB additional information '!$S$7/100*'DB additional information '!$U$7*VLOOKUP($C$367,'DB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W369" s="417" t="str">
        <f>IF(D369="","",(VLOOKUP(D369,'DB technologies'!$N$182:$Y$194,4,FALSE)*('DB additional information '!$S$8/100*'DB additional information '!$U$8*E369/1000/1000)))</f>
        <v/>
      </c>
      <c r="X369" s="261" t="str">
        <f>IF($C$367=0,"",IF('Calc (ex-animal)'!$F$73=1,"",IF(D369="","",((VLOOKUP($C$367,'Calc (ex-animal)'!$D$73:$Y$77,13,FALSE)-VLOOKUP($C$367,'Calc (ex-animal)'!$D$73:$Y$77,19,FALSE))*F369/100+U369+V369+W369))))</f>
        <v/>
      </c>
      <c r="Y369" s="418" t="str">
        <f>IF(D369="","",(VLOOKUP(D369,'DB technologies'!$N$182:$Y$194,2,FALSE)*'DB additional information '!$S$6/100*'DB additional information '!$V$6*VLOOKUP($C$367,'DB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Z369" s="418" t="str">
        <f>IF(D369="","",(VLOOKUP(D369,'DB technologies'!$N$182:$Y$194,3,FALSE)*'DB additional information '!$S$7/100*'DB additional information '!$V$7*VLOOKUP($C$367,'DB animal categories'!$C$137:$AC$146,27,FALSE)*E369/1000/1000)/VLOOKUP($C$367,'DB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AA369" s="418" t="str">
        <f>IF(D369="","",(VLOOKUP(D369,'DB technologies'!$N$182:$Y$194,4,FALSE)*('DB additional information '!$S$8/100*'DB additional information '!$V$8*E369/1000/1000)))</f>
        <v/>
      </c>
      <c r="AB369" s="261" t="str">
        <f>IF($C$367=0,"",IF('Calc (ex-animal)'!$F$73=1,"",IF(D369="","",((VLOOKUP($C$367,'Calc (ex-animal)'!$D$73:$Y$77,16,FALSE)-VLOOKUP($C$367,'Calc (ex-animal)'!$D$73:$Y$77,20,FALSE))*F369/100+Y369+Z369+AA369))))</f>
        <v/>
      </c>
      <c r="AC369" s="261" t="str">
        <f>IF($C$367=0,"",IF('Calc (ex-animal)'!$F$73=1,"",IF(D369="","",VLOOKUP($C$367,'Calc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categories'!$C$137:$AC$146,26,FALSE)/24)*F369/100*VLOOKUP(D369,'DB technologies'!$N$182:$R$194,5,FALSE)/100)))</f>
        <v/>
      </c>
      <c r="AD369" s="261" t="str">
        <f>IF($C$367=0,"",IF('Calc (ex-animal)'!$F$73=1,"",IF(D369="","",VLOOKUP($C$367,'Calc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categories'!$C$137:$AC$146,26,FALSE)/24)*F369/100*VLOOKUP(D369,'DB technologies'!$N$182:$Y$194,6,FALSE)/100)))</f>
        <v/>
      </c>
      <c r="AE369" s="262" t="str">
        <f>IF($C$367=0,"",IF('Calc (ex-animal)'!$F$73=1,"",IF(D369="","",VLOOKUP($C$367,'Calc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categories'!$C$137:$AC$146,26,FALSE)/24)*F369/100*VLOOKUP(D369,'DB technologies'!$N$182:$Y$194,7,FALSE)/100)))</f>
        <v/>
      </c>
      <c r="AI369" s="181" t="str">
        <f>IF(D369="","",VLOOKUP(D369,'DB technologies'!$N$182:$Y$194,10,FALSE))</f>
        <v/>
      </c>
      <c r="AJ369" s="449" t="e">
        <f>VLOOKUP($C$367,'DB animal categories'!$C$137:$AN$146,27,FALSE)-VLOOKUP($C$367,'DB animal categories'!$C$137:$AN$146,26,FALSE)*VLOOKUP($C$367,'DB animal categories'!$C$137:$AN$146,25,FALSE)/24</f>
        <v>#N/A</v>
      </c>
      <c r="AK369" s="442" t="str">
        <f>IF(AI369="","",AL369+AM369)</f>
        <v/>
      </c>
      <c r="AL369" s="442" t="str">
        <f>IF(D369="","",IF(AI369=2,(('Calc (ex-animal)'!$G$73*'DB additional information '!$K$16/100*(1-VLOOKUP(D369,'DB technologies'!$N$182:$Y$194,9,FALSE)/100)*'Calc (ex-housing, ex-storage)'!F369/100+'Calc (ex-animal)'!$H$73*'DB additional information '!$L$16/100*(1-VLOOKUP(D369,'DB technologies'!$N$182:$Y$194,9,FALSE)/100)*'Calc (ex-housing, ex-storage)'!F369/100))/VLOOKUP($C$367,'DB animal categories'!$C$137:$AC$146,27,FALSE)*AJ369+I369+J369+K369,IF(AI369=1,('Calc (ex-animal)'!$H$73*'DB additional information '!$L$16/100*(1-VLOOKUP(D369,'DB technologies'!$N$182:$Y$194,9,FALSE)/100)*'Calc (ex-housing, ex-storage)'!F369/100)/VLOOKUP($C$367,'DB animal categories'!$C$137:$AC$146,27,FALSE)*AJ369,IF(AI369=4,('Calc (ex-animal)'!$G$73*'DB additional information '!$K$16/100+'Calc (ex-animal)'!$H$73*'DB additional information '!$L$16/100)*(1-VLOOKUP(D369,'DB technologies'!$N$182:$Y$194,9,FALSE)/100)*'Calc (ex-housing, ex-storage)'!F369/100*VLOOKUP(D369,'DB technologies'!$N$182:$Y$194,11,FALSE)/100/VLOOKUP($C$367,'DB animal categories'!$C$137:$AC$146,27,FALSE)*AJ369,0))))</f>
        <v/>
      </c>
      <c r="AM369" s="442" t="str">
        <f>IF(D369="","",IF(AI369=2,(('Calc (ex-animal)'!$G$73*(1-'DB additional information '!$K$16/100)*(1-VLOOKUP(D369,'DB technologies'!$N$182:$Y$194,8,FALSE)/100)*'Calc (ex-housing, ex-storage)'!F369/100+'Calc (ex-animal)'!$H$73*(1-'DB additional information '!$L$16/100)*(1-VLOOKUP(D369,'DB technologies'!$N$182:$Y$194,8,FALSE)/100)*'Calc (ex-housing, ex-storage)'!F369/100))/VLOOKUP($C$367,'DB animal categories'!$C$137:$AC$146,27,FALSE)*AJ369+M369+N369+O369,IF(AI369=1,('Calc (ex-animal)'!$H$73*(1-'DB additional information '!$L$16/100)*(1-VLOOKUP(D369,'DB technologies'!$N$182:$Y$194,8,FALSE)/100)*'Calc (ex-housing, ex-storage)'!F369/100)/VLOOKUP($C$367,'DB animal categories'!$C$137:$AC$146,27,FALSE)*AJ369,IF(AI369=4,('Calc (ex-animal)'!$G$73*(1-'DB additional information '!$K$16/100)+'Calc (ex-animal)'!$H$73*(1-'DB additional information '!$L$16/100))*(1-VLOOKUP(D369,'DB technologies'!$N$182:$Y$194,8,FALSE)/100)*'Calc (ex-housing, ex-storage)'!F369/100*VLOOKUP(D369,'DB technologies'!$N$182:$Y$194,11,FALSE)/100/VLOOKUP($C$367,'DB animal categories'!$C$137:$AC$146,27,FALSE)*AJ369,0))))</f>
        <v/>
      </c>
      <c r="AN369" s="442" t="str">
        <f>IF(AI369="","",IF(AL369=0,0,AL369/AK369*100))</f>
        <v/>
      </c>
      <c r="AO369" s="182" t="str">
        <f>IF(D369="","",IF(AI369=2,(('Calc (ex-animal)'!$L$73*'Calc (ex-housing, ex-storage)'!F369/100+'Calc (ex-animal)'!$K$73*'Calc (ex-housing, ex-storage)'!F369/100))/VLOOKUP($C$367,'DB animal categories'!$C$137:$AC$146,27,FALSE)*AJ369+Q369+R369+S369-AC369,IF(AI369=1,('Calc (ex-animal)'!$L$73*'Calc (ex-housing, ex-storage)'!F369/100)/VLOOKUP($C$367,'DB animal categories'!$C$137:$AC$146,27,FALSE)*AJ369-'Calc (ex-housing, ex-storage)'!AC369,IF(AI369=4,('Calc (ex-animal)'!$L$73+'Calc (ex-animal)'!$K$73)*'Calc (ex-housing, ex-storage)'!F369/100*VLOOKUP(D369,'DB technologies'!$N$182:$Y$194,11,FALSE)/100/VLOOKUP($C$367,'DB animal categories'!$C$137:$AC$146,27,FALSE)*AJ369-AC369*VLOOKUP(D369,'DB technologies'!$N$182:$Y$194,11,FALSE)/100,0))))</f>
        <v/>
      </c>
      <c r="AP369" s="182" t="str">
        <f>IF(D369="","",IF(AO369&lt;-0.01,0,IF(AI369=2,(('Calc (ex-animal)'!$L$73*'Calc (ex-housing, ex-storage)'!F369/100+'Calc (ex-animal)'!$K$73*'Calc (ex-housing, ex-storage)'!F369/100))/VLOOKUP($C$367,'DB animal categories'!$C$137:$AC$146,27,FALSE)*AJ369+Q369+R369+S369-AC369,IF(AI369=1,('Calc (ex-animal)'!$L$73*'Calc (ex-housing, ex-storage)'!F369/100)/VLOOKUP($C$367,'DB animal categories'!$C$137:$AC$146,27,FALSE)*AJ369-'Calc (ex-housing, ex-storage)'!AC369,IF(AI369=4,('Calc (ex-animal)'!$L$73+'Calc (ex-animal)'!$K$73)*'Calc (ex-housing, ex-storage)'!F369/100*VLOOKUP(D369,'DB technologies'!$N$182:$Y$194,11,FALSE)/100/VLOOKUP($C$367,'DB animal categories'!$C$137:$AC$146,27,FALSE)*AJ369-AC369*VLOOKUP(D369,'DB technologies'!$N$182:$Y$194,11,FALSE)/100,0)))))</f>
        <v/>
      </c>
      <c r="AQ369" s="182" t="str">
        <f>IF(D369="","",IF(AI369=2,('Calc (ex-animal)'!$O$73*'Calc (ex-housing, ex-storage)'!F369/100+'Calc (ex-animal)'!$N$73*'Calc (ex-housing, ex-storage)'!F369/100)/VLOOKUP($C$367,'DB animal categories'!$C$137:$AC$146,27,FALSE)*AJ369+U369+V369+W369,IF(AI369=1,'Calc (ex-animal)'!$O$73*'Calc (ex-housing, ex-storage)'!F369/100/VLOOKUP($C$367,'DB animal categories'!$C$137:$AC$146,27,FALSE)*AJ369,IF(AI369=4,('Calc (ex-animal)'!$O$73+'Calc (ex-animal)'!$N$73)*'Calc (ex-housing, ex-storage)'!F369/100*VLOOKUP(D369,'DB technologies'!$N$182:$Y$194,11,FALSE)/100/VLOOKUP($C$367,'DB animal categories'!$C$137:$AC$146,27,FALSE)*AJ369,0))))</f>
        <v/>
      </c>
      <c r="AR369" s="182" t="str">
        <f>IF(D369="","",IF(AI369=2,('Calc (ex-animal)'!$R$73*'Calc (ex-housing, ex-storage)'!F369/100+'Calc (ex-animal)'!$Q$73*'Calc (ex-housing, ex-storage)'!F369/100)/VLOOKUP($C$367,'DB animal categories'!$C$137:$AC$146,27,FALSE)*AJ369+Y369+Z369+AA369,IF(AI369=1,'Calc (ex-animal)'!$R$73*'Calc (ex-housing, ex-storage)'!F369/100/VLOOKUP($C$367,'DB animal categories'!$C$137:$AC$146,27,FALSE)*AJ369,IF(AI369=4,('Calc (ex-animal)'!$R$73+'Calc (ex-animal)'!$Q$73)*'Calc (ex-housing, ex-storage)'!F369/100*VLOOKUP(D369,'DB technologies'!$N$182:$Y$194,11,FALSE)/100/VLOOKUP($C$367,'DB animal categories'!$C$137:$AC$146,27,FALSE)*AJ369,0))))</f>
        <v/>
      </c>
      <c r="AS369" s="181" t="str">
        <f>IF(D369="","",VLOOKUP(D369,'DB technologies'!$N$182:$Y$194,10,FALSE))</f>
        <v/>
      </c>
      <c r="AT369" s="442" t="str">
        <f>IF(AS369="","",AU369+AV369)</f>
        <v/>
      </c>
      <c r="AU369" s="442" t="str">
        <f>IF(D369="","",IF(AS369=2,0,IF(AS369=1,'Calc (ex-animal)'!$G$73*'DB additional information '!$K$16/100*(1-VLOOKUP(D369,'DB technologies'!$N$182:$Y$194,8,FALSE)/100)*'Calc (ex-housing, ex-storage)'!F369/100/VLOOKUP($C$367,'DB animal categories'!$C$137:$AC$146,27,FALSE)*AJ369+I369+J369+K369,IF(AS369=5,(('Calc (ex-animal)'!$G$73*'DB additional information '!$K$16/100+'Calc (ex-animal)'!$H$73*'DB additional information '!$L$16/100))*(1-VLOOKUP(D369,'DB technologies'!$N$182:$Y$194,9,FALSE)/100)*'Calc (ex-housing, ex-storage)'!F369/100/VLOOKUP($C$367,'DB animal categories'!$C$137:$AC$146,27,FALSE)*AJ369+I369+J369+K369,IF(AS369=3,('Calc (ex-animal)'!$G$73*'DB additional information '!$K$16/100+'Calc (ex-animal)'!$H$73*'DB additional information '!$L$16/100)*(1-VLOOKUP(D369,'DB technologies'!$N$182:$Y$194,9,FALSE)/100)*'Calc (ex-housing, ex-storage)'!F369/100/VLOOKUP($C$367,'DB animal categories'!$C$137:$AC$146,27,FALSE)*AJ369+I369+J369+K369,IF(AS369=4,('Calc (ex-animal)'!$G$73*'DB additional information '!$K$16/100+'Calc (ex-animal)'!$H$73*'DB additional information '!$L$16/100)*(1-VLOOKUP(D369,'DB technologies'!$N$182:$Y$194,9,FALSE)/100)*'Calc (ex-housing, ex-storage)'!F369/100*VLOOKUP(D369,'DB technologies'!$N$182:$Y$194,12,FALSE)/100/VLOOKUP($C$367,'DB animal categories'!$C$137:$AC$146,27,FALSE)*AJ369+I369+J369+K369,0))))))</f>
        <v/>
      </c>
      <c r="AV369" s="442" t="str">
        <f>IF(D369="","",IF(AS369=2,0,IF(AS369=1,'Calc (ex-animal)'!$G$73*(1-'DB additional information '!$K$16/100)*(1-VLOOKUP(D369,'DB technologies'!$N$182:$Y$194,8,FALSE)/100)*'Calc (ex-housing, ex-storage)'!F369/100/VLOOKUP($C$367,'DB animal categories'!$C$137:$AC$146,27,FALSE)*AJ369+M369+N369+O369,IF(AS369=5,('Calc (ex-animal)'!$G$73*(1-'DB additional information '!$K$16/100)+'Calc (ex-animal)'!$H$73*(1-'DB additional information '!$L$16/100))*(1-VLOOKUP(D369,'DB technologies'!$N$182:$Y$194,8,FALSE)/100)*'Calc (ex-housing, ex-storage)'!F369/100/VLOOKUP($C$367,'DB animal categories'!$C$137:$AC$146,27,FALSE)*AJ369+M369+N369+O369,IF(AS369=3,('Calc (ex-animal)'!$G$73*(1-'DB additional information '!$K$16/100)+'Calc (ex-animal)'!$H$73*(1-'DB additional information '!$L$16/100))*(1-VLOOKUP(D369,'DB technologies'!$N$182:$Y$194,8,FALSE)/100)*'Calc (ex-housing, ex-storage)'!F369/100/VLOOKUP($C$367,'DB animal categories'!$C$137:$AC$146,27,FALSE)*AJ369+M369+N369+O369,IF(AS369=4,('Calc (ex-animal)'!$G$73*(1-'DB additional information '!$K$16/100)+'Calc (ex-animal)'!$H$73*(1-'DB additional information '!$L$16/100))*(1-VLOOKUP(D369,'DB technologies'!$N$182:$Y$194,8,FALSE)/100)*'Calc (ex-housing, ex-storage)'!F369/100*VLOOKUP(D369,'DB technologies'!$N$182:$Y$194,12,FALSE)/100/VLOOKUP($C$367,'DB animal categories'!$C$137:$AC$146,27,FALSE)*AJ369+M369+N369+O369,0))))))</f>
        <v/>
      </c>
      <c r="AW369" s="442" t="str">
        <f>IF(AS369="","",IF(AU369=0,0,AU369/AT369*100))</f>
        <v/>
      </c>
      <c r="AX369" s="182" t="str">
        <f>IF(D369="","",IF(AS369=2,0,IF(AS369=1,'Calc (ex-animal)'!$K$73*'Calc (ex-housing, ex-storage)'!F369/100/VLOOKUP($C$367,'DB animal categories'!$C$137:$AC$146,27,FALSE)*AJ369+Q369+R369+S369,IF(AS369=5,('Calc (ex-animal)'!$K$73+'Calc (ex-animal)'!$L$73)*'Calc (ex-housing, ex-storage)'!F369/100/VLOOKUP($C$367,'DB animal categories'!$C$137:$AC$146,27,FALSE)*AJ369+Q369+R369+S369-'Calc (ex-housing, ex-storage)'!AC369,IF(AS369=3,('Calc (ex-animal)'!$K$73+'Calc (ex-animal)'!$L$73)*'Calc (ex-housing, ex-storage)'!F369/100/VLOOKUP($C$367,'DB animal categories'!$C$137:$AC$146,27,FALSE)*AJ369+Q369+R369+S369-'Calc (ex-housing, ex-storage)'!AC369-AD369-AE369,IF(AI369=4,('Calc (ex-animal)'!$K$73+'Calc (ex-animal)'!$L$73)*'Calc (ex-housing, ex-storage)'!F369/100*VLOOKUP(D369,'DB technologies'!$N$182:$Y$194,12,FALSE)/100/VLOOKUP($C$367,'DB animal categories'!$C$137:$AC$146,27,FALSE)*AJ369+Q369+R369+S369-(VLOOKUP(D369,'DB technologies'!$N$182:$Y$194,12,FALSE)/100*AC369)-AD369-AE369,0))))))</f>
        <v/>
      </c>
      <c r="AY369" s="182" t="str">
        <f>IF(D369="","",IF(AS369=2,0,IF(AS369=1,'Calc (ex-animal)'!$N$73*'Calc (ex-housing, ex-storage)'!F369/100/VLOOKUP($C$367,'DB animal categories'!$C$137:$AC$146,27,FALSE)*AJ369+U369+V369+W369,IF(AS369=5,('Calc (ex-animal)'!$N$73+'Calc (ex-animal)'!$O$73)*'Calc (ex-housing, ex-storage)'!F369/100/VLOOKUP($C$367,'DB animal categories'!$C$137:$AC$146,27,FALSE)*AJ369+U369+V369+W369,IF(AS369=3,('Calc (ex-animal)'!$N$73+'Calc (ex-animal)'!$O$73)*'Calc (ex-housing, ex-storage)'!F369/100/VLOOKUP($C$367,'DB animal categories'!$C$137:$AC$146,27,FALSE)*AJ369+U369+V369+W369,IF(AS369=4,('Calc (ex-animal)'!$N$73+'Calc (ex-animal)'!$O$73)*'Calc (ex-housing, ex-storage)'!F369/100*VLOOKUP(D369,'DB technologies'!$N$182:$Y$194,12,FALSE)/100/VLOOKUP($C$367,'DB animal categories'!$C$137:$AC$146,27,FALSE)*AJ369+U369+V369+W369,0))))))</f>
        <v/>
      </c>
      <c r="AZ369" s="182" t="str">
        <f>IF(D369="","",IF(AS369=2,0,IF(AS369=1,'Calc (ex-animal)'!$Q$73*'Calc (ex-housing, ex-storage)'!F369/100/VLOOKUP($C$367,'DB animal categories'!$C$137:$AC$146,27,FALSE)*AJ369+Y369+Z369+AA369,IF(AS369=5,('Calc (ex-animal)'!$Q$73+'Calc (ex-animal)'!$R$73)*'Calc (ex-housing, ex-storage)'!F369/100/VLOOKUP($C$367,'DB animal categories'!$C$137:$AC$146,27,FALSE)*AJ369+Y369+Z369+AA369,IF(AS369=3,('Calc (ex-animal)'!$Q$73+'Calc (ex-animal)'!$R$73)*'Calc (ex-housing, ex-storage)'!F369/100/VLOOKUP($C$367,'DB animal categories'!$C$137:$AC$146,27,FALSE)*AJ369+Y369+Z369+AA369,IF(AS369=4,('Calc (ex-animal)'!$Q$73+'Calc (ex-animal)'!$R$73)*'Calc (ex-housing, ex-storage)'!F369/100*VLOOKUP(D369,'DB technologies'!$N$182:$Y$194,12,FALSE)/100/VLOOKUP($C$367,'DB animal categories'!$C$137:$AC$146,27,FALSE)*AJ369+Y369+Z369+AA369,0))))))</f>
        <v/>
      </c>
      <c r="BA369" s="506"/>
      <c r="BB369" s="506"/>
      <c r="BC369" s="506"/>
    </row>
    <row r="370" spans="1:55" x14ac:dyDescent="0.2">
      <c r="A370" s="695"/>
      <c r="B370" s="695"/>
      <c r="C370" s="255"/>
      <c r="D370" s="1357"/>
      <c r="E370" s="1358"/>
      <c r="F370" s="480" t="str">
        <f>IF('Calc (ex-animal)'!$F$73=1,"",IF($C$367=0,"",IF(D370="","",E370/'Calc (ex-animal)'!$E$73*100)))</f>
        <v/>
      </c>
      <c r="G370" s="485" t="str">
        <f>IF($C$367=0,"",IF('Calc (ex-animal)'!$F$73=1,"",IF(D370="","",SUM(H370:O370))))</f>
        <v/>
      </c>
      <c r="H370" s="423" t="str">
        <f>IF('Calc (ex-animal)'!$F$73=1,"",IF(D370="","",(((VLOOKUP($C$367,'Calc (ex-animal)'!$D$73:$Y$77,6,FALSE)-VLOOKUP($C$367,'Calc (ex-animal)'!$D$73:$Y$77,17,FALSE))*F370/100))*VLOOKUP($C$367,'Calc (ex-animal)'!$D$73:$Y$77,7,FALSE)/100*(1-VLOOKUP(D370,'DB technologies'!$N$182:$Y$194,9,FALSE)/100)))</f>
        <v/>
      </c>
      <c r="I370" s="423" t="str">
        <f>IF(D370="","",((VLOOKUP(D370,'DB technologies'!$N$182:$Y$194,2,FALSE)*VLOOKUP($C$367,'DB animal categories'!$C$137:$AC$146,27,FALSE)*E370/1000)/VLOOKUP($C$367,'DB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'!$S$6/100*(1-VLOOKUP(D370,'DB technologies'!$N$182:$Y$194,9,FALSE)/100)))</f>
        <v/>
      </c>
      <c r="J370" s="434" t="str">
        <f>IF(D370="","",((VLOOKUP(D370,'DB technologies'!$N$182:$Y$194,3,FALSE)*VLOOKUP($C$367,'DB animal categories'!$C$137:$AC$146,27,FALSE)*E370/1000)/VLOOKUP($C$367,'DB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'!$S$7/100*(1-VLOOKUP(D370,'DB technologies'!$N$182:$Y$194,9,FALSE)/100)))</f>
        <v/>
      </c>
      <c r="K370" s="434" t="str">
        <f>IF(D370="","",((VLOOKUP(D370,'DB technologies'!$N$182:$Y$194,4,FALSE)*E370*'DB additional information '!$S$8/100*(1-VLOOKUP(D370,'DB technologies'!$N$182:$Y$194,9,FALSE)/100))/VLOOKUP($C$367,'DB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L370" s="423" t="str">
        <f>IF('Calc (ex-animal)'!$F$73=1,"",IF(D370="","",(((VLOOKUP($C$367,'Calc (ex-animal)'!$D$73:$Y$77,6,FALSE)-VLOOKUP($C$367,'Calc (ex-animal)'!$D$73:$Y$77,17,FALSE))*F370/100))*(1-VLOOKUP($C$367,'Calc (ex-animal)'!$D$73:$Y$77,7,FALSE)/100)*(1-VLOOKUP(D370,'DB technologies'!$N$182:$V$194,8,FALSE)/100)))</f>
        <v/>
      </c>
      <c r="M370" s="434" t="str">
        <f>IF(D370="","",((VLOOKUP(D370,'DB technologies'!$N$182:$Y$194,2,FALSE)*VLOOKUP($C$367,'DB animal categories'!$C$137:$AC$146,27,FALSE)*E370/1000)/VLOOKUP($C$367,'DB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'!$S$6/100)*(1-VLOOKUP(D370,'DB technologies'!$N$182:$Y$194,9,FALSE)/100))</f>
        <v/>
      </c>
      <c r="N370" s="434" t="str">
        <f>IF(D370="","",((VLOOKUP(D370,'DB technologies'!$N$182:$Y$194,3,FALSE)*VLOOKUP($C$367,'DB animal categories'!$C$137:$AC$146,27,FALSE)*E370/1000)/VLOOKUP($C$367,'DB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'!$S$7/100)*(1-VLOOKUP(D370,'DB technologies'!$N$182:$Y$194,9,FALSE)/100))</f>
        <v/>
      </c>
      <c r="O370" s="423" t="str">
        <f>IF(D370="","",((VLOOKUP(D370,'DB technologies'!$N$182:$Y$194,4,FALSE)*E370*(1-'DB additional information '!$S$8/100)*(1-VLOOKUP(D370,'DB technologies'!$N$182:$Y$194,8,FALSE)/100))/VLOOKUP($C$367,'DB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P370" s="438" t="str">
        <f>IF(G370=0,0,IF(E370="","",IF(F370="","",IF($C$367=0,"",IF(D370="","",SUM(H370:K370)/G370*100)))))</f>
        <v/>
      </c>
      <c r="Q370" s="416" t="str">
        <f>IF(D370="","",(VLOOKUP(D370,'DB technologies'!$N$182:$Y$194,2,FALSE)*'DB additional information '!$S$6/100*'DB additional information '!$T$6*VLOOKUP($C$367,'DB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R370" s="416" t="str">
        <f>IF(D370="","",(VLOOKUP(D370,'DB technologies'!$N$182:$Y$194,3,FALSE)*'DB additional information '!$S$7/100*'DB additional information '!$T$7*VLOOKUP($C$367,'DB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S370" s="491" t="str">
        <f>IF(D370="","",(VLOOKUP(D370,'DB technologies'!$N$182:$Y$194,4,FALSE)*('DB additional information '!$S$8/100*'DB additional information '!$T$8*E370/1000/1000)))</f>
        <v/>
      </c>
      <c r="T370" s="264" t="str">
        <f>IF($C$367=0,"",IF('Calc (ex-animal)'!$F$73=1,"",IF(D370="","",((VLOOKUP($C$367,'Calc (ex-animal)'!$D$73:$Y$77,10,FALSE)-VLOOKUP($C$367,'Calc (ex-animal)'!$D$73:$Y$77,18,FALSE))*F370/100+Q370+R370+S370)-AC370-AD370-AE370)))</f>
        <v/>
      </c>
      <c r="U370" s="422" t="str">
        <f>IF(D370="","",(VLOOKUP(D370,'DB technologies'!$N$182:$Y$194,2,FALSE)*'DB additional information '!$S$6/100*'DB additional information '!$U$6*VLOOKUP($C$367,'DB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V370" s="418" t="str">
        <f>IF(D370="","",(VLOOKUP(D370,'DB technologies'!$N$182:$Y$194,3,FALSE)*'DB additional information '!$S$7/100*'DB additional information '!$U$7*VLOOKUP($C$367,'DB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W370" s="417" t="str">
        <f>IF(D370="","",(VLOOKUP(D370,'DB technologies'!$N$182:$Y$194,4,FALSE)*('DB additional information '!$S$8/100*'DB additional information '!$U$8*E370/1000/1000)))</f>
        <v/>
      </c>
      <c r="X370" s="261" t="str">
        <f>IF($C$367=0,"",IF('Calc (ex-animal)'!$F$73=1,"",IF(D370="","",((VLOOKUP($C$367,'Calc (ex-animal)'!$D$73:$Y$77,13,FALSE)-VLOOKUP($C$367,'Calc (ex-animal)'!$D$73:$Y$77,19,FALSE))*F370/100+U370+V370+W370))))</f>
        <v/>
      </c>
      <c r="Y370" s="418" t="str">
        <f>IF(D370="","",(VLOOKUP(D370,'DB technologies'!$N$182:$Y$194,2,FALSE)*'DB additional information '!$S$6/100*'DB additional information '!$V$6*VLOOKUP($C$367,'DB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Z370" s="418" t="str">
        <f>IF(D370="","",(VLOOKUP(D370,'DB technologies'!$N$182:$Y$194,3,FALSE)*'DB additional information '!$S$7/100*'DB additional information '!$V$7*VLOOKUP($C$367,'DB animal categories'!$C$137:$AC$146,27,FALSE)*E370/1000/1000)/VLOOKUP($C$367,'DB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AA370" s="418" t="str">
        <f>IF(D370="","",(VLOOKUP(D370,'DB technologies'!$N$182:$Y$194,4,FALSE)*('DB additional information '!$S$8/100*'DB additional information '!$V$8*E370/1000/1000)))</f>
        <v/>
      </c>
      <c r="AB370" s="261" t="str">
        <f>IF($C$367=0,"",IF('Calc (ex-animal)'!$F$73=1,"",IF(D370="","",((VLOOKUP($C$367,'Calc (ex-animal)'!$D$73:$Y$77,16,FALSE)-VLOOKUP($C$367,'Calc (ex-animal)'!$D$73:$Y$77,20,FALSE))*F370/100+Y370+Z370+AA370))))</f>
        <v/>
      </c>
      <c r="AC370" s="261" t="str">
        <f>IF($C$367=0,"",IF('Calc (ex-animal)'!$F$73=1,"",IF(D370="","",VLOOKUP($C$367,'Calc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categories'!$C$137:$AC$146,26,FALSE)/24)*F370/100*VLOOKUP(D370,'DB technologies'!$N$182:$R$194,5,FALSE)/100)))</f>
        <v/>
      </c>
      <c r="AD370" s="261" t="str">
        <f>IF($C$367=0,"",IF('Calc (ex-animal)'!$F$73=1,"",IF(D370="","",VLOOKUP($C$367,'Calc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categories'!$C$137:$AC$146,26,FALSE)/24)*F370/100*VLOOKUP(D370,'DB technologies'!$N$182:$Y$194,6,FALSE)/100)))</f>
        <v/>
      </c>
      <c r="AE370" s="262" t="str">
        <f>IF($C$367=0,"",IF('Calc (ex-animal)'!$F$73=1,"",IF(D370="","",VLOOKUP($C$367,'Calc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categories'!$C$137:$AC$146,26,FALSE)/24)*F370/100*VLOOKUP(D370,'DB technologies'!$N$182:$Y$194,7,FALSE)/100)))</f>
        <v/>
      </c>
      <c r="AI370" s="181" t="str">
        <f>IF(D370="","",VLOOKUP(D370,'DB technologies'!$N$182:$Y$194,10,FALSE))</f>
        <v/>
      </c>
      <c r="AJ370" s="449" t="e">
        <f>VLOOKUP($C$367,'DB animal categories'!$C$137:$AN$146,27,FALSE)-VLOOKUP($C$367,'DB animal categories'!$C$137:$AN$146,26,FALSE)*VLOOKUP($C$367,'DB animal categories'!$C$137:$AN$146,25,FALSE)/24</f>
        <v>#N/A</v>
      </c>
      <c r="AK370" s="442" t="str">
        <f>IF(AI370="","",AL370+AM370)</f>
        <v/>
      </c>
      <c r="AL370" s="442" t="str">
        <f>IF(D370="","",IF(AI370=2,(('Calc (ex-animal)'!$G$73*'DB additional information '!$K$16/100*(1-VLOOKUP(D370,'DB technologies'!$N$182:$Y$194,9,FALSE)/100)*'Calc (ex-housing, ex-storage)'!F370/100+'Calc (ex-animal)'!$H$73*'DB additional information '!$L$16/100*(1-VLOOKUP(D370,'DB technologies'!$N$182:$Y$194,9,FALSE)/100)*'Calc (ex-housing, ex-storage)'!F370/100))/VLOOKUP($C$367,'DB animal categories'!$C$137:$AC$146,27,FALSE)*AJ370+I370+J370+K370,IF(AI370=1,('Calc (ex-animal)'!$H$73*'DB additional information '!$L$16/100*(1-VLOOKUP(D370,'DB technologies'!$N$182:$Y$194,9,FALSE)/100)*'Calc (ex-housing, ex-storage)'!F370/100)/VLOOKUP($C$367,'DB animal categories'!$C$137:$AC$146,27,FALSE)*AJ370,IF(AI370=4,('Calc (ex-animal)'!$G$73*'DB additional information '!$K$16/100+'Calc (ex-animal)'!$H$73*'DB additional information '!$L$16/100)*(1-VLOOKUP(D370,'DB technologies'!$N$182:$Y$194,9,FALSE)/100)*'Calc (ex-housing, ex-storage)'!F370/100*VLOOKUP(D370,'DB technologies'!$N$182:$Y$194,11,FALSE)/100/VLOOKUP($C$367,'DB animal categories'!$C$137:$AC$146,27,FALSE)*AJ370,0))))</f>
        <v/>
      </c>
      <c r="AM370" s="442" t="str">
        <f>IF(D370="","",IF(AI370=2,(('Calc (ex-animal)'!$G$73*(1-'DB additional information '!$K$16/100)*(1-VLOOKUP(D370,'DB technologies'!$N$182:$Y$194,8,FALSE)/100)*'Calc (ex-housing, ex-storage)'!F370/100+'Calc (ex-animal)'!$H$73*(1-'DB additional information '!$L$16/100)*(1-VLOOKUP(D370,'DB technologies'!$N$182:$Y$194,8,FALSE)/100)*'Calc (ex-housing, ex-storage)'!F370/100))/VLOOKUP($C$367,'DB animal categories'!$C$137:$AC$146,27,FALSE)*AJ370+M370+N370+O370,IF(AI370=1,('Calc (ex-animal)'!$H$73*(1-'DB additional information '!$L$16/100)*(1-VLOOKUP(D370,'DB technologies'!$N$182:$Y$194,8,FALSE)/100)*'Calc (ex-housing, ex-storage)'!F370/100)/VLOOKUP($C$367,'DB animal categories'!$C$137:$AC$146,27,FALSE)*AJ370,IF(AI370=4,('Calc (ex-animal)'!$G$73*(1-'DB additional information '!$K$16/100)+'Calc (ex-animal)'!$H$73*(1-'DB additional information '!$L$16/100))*(1-VLOOKUP(D370,'DB technologies'!$N$182:$Y$194,8,FALSE)/100)*'Calc (ex-housing, ex-storage)'!F370/100*VLOOKUP(D370,'DB technologies'!$N$182:$Y$194,11,FALSE)/100/VLOOKUP($C$367,'DB animal categories'!$C$137:$AC$146,27,FALSE)*AJ370,0))))</f>
        <v/>
      </c>
      <c r="AN370" s="442" t="str">
        <f>IF(AI370="","",IF(AL370=0,0,AL370/AK370*100))</f>
        <v/>
      </c>
      <c r="AO370" s="182" t="str">
        <f>IF(D370="","",IF(AI370=2,(('Calc (ex-animal)'!$L$73*'Calc (ex-housing, ex-storage)'!F370/100+'Calc (ex-animal)'!$K$73*'Calc (ex-housing, ex-storage)'!F370/100))/VLOOKUP($C$367,'DB animal categories'!$C$137:$AC$146,27,FALSE)*AJ370+Q370+R370+S370-AC370,IF(AI370=1,('Calc (ex-animal)'!$L$73*'Calc (ex-housing, ex-storage)'!F370/100)/VLOOKUP($C$367,'DB animal categories'!$C$137:$AC$146,27,FALSE)*AJ370-'Calc (ex-housing, ex-storage)'!AC370,IF(AI370=4,('Calc (ex-animal)'!$L$73+'Calc (ex-animal)'!$K$73)*'Calc (ex-housing, ex-storage)'!F370/100*VLOOKUP(D370,'DB technologies'!$N$182:$Y$194,11,FALSE)/100/VLOOKUP($C$367,'DB animal categories'!$C$137:$AC$146,27,FALSE)*AJ370-AC370*VLOOKUP(D370,'DB technologies'!$N$182:$Y$194,11,FALSE)/100,0))))</f>
        <v/>
      </c>
      <c r="AP370" s="182" t="str">
        <f>IF(D370="","",IF(AO370&lt;-0.01,0,IF(AI370=2,(('Calc (ex-animal)'!$L$73*'Calc (ex-housing, ex-storage)'!F370/100+'Calc (ex-animal)'!$K$73*'Calc (ex-housing, ex-storage)'!F370/100))/VLOOKUP($C$367,'DB animal categories'!$C$137:$AC$146,27,FALSE)*AJ370+Q370+R370+S370-AC370,IF(AI370=1,('Calc (ex-animal)'!$L$73*'Calc (ex-housing, ex-storage)'!F370/100)/VLOOKUP($C$367,'DB animal categories'!$C$137:$AC$146,27,FALSE)*AJ370-'Calc (ex-housing, ex-storage)'!AC370,IF(AI370=4,('Calc (ex-animal)'!$L$73+'Calc (ex-animal)'!$K$73)*'Calc (ex-housing, ex-storage)'!F370/100*VLOOKUP(D370,'DB technologies'!$N$182:$Y$194,11,FALSE)/100/VLOOKUP($C$367,'DB animal categories'!$C$137:$AC$146,27,FALSE)*AJ370-AC370*VLOOKUP(D370,'DB technologies'!$N$182:$Y$194,11,FALSE)/100,0)))))</f>
        <v/>
      </c>
      <c r="AQ370" s="182" t="str">
        <f>IF(D370="","",IF(AI370=2,('Calc (ex-animal)'!$O$73*'Calc (ex-housing, ex-storage)'!F370/100+'Calc (ex-animal)'!$N$73*'Calc (ex-housing, ex-storage)'!F370/100)/VLOOKUP($C$367,'DB animal categories'!$C$137:$AC$146,27,FALSE)*AJ370+U370+V370+W370,IF(AI370=1,'Calc (ex-animal)'!$O$73*'Calc (ex-housing, ex-storage)'!F370/100/VLOOKUP($C$367,'DB animal categories'!$C$137:$AC$146,27,FALSE)*AJ370,IF(AI370=4,('Calc (ex-animal)'!$O$73+'Calc (ex-animal)'!$N$73)*'Calc (ex-housing, ex-storage)'!F370/100*VLOOKUP(D370,'DB technologies'!$N$182:$Y$194,11,FALSE)/100/VLOOKUP($C$367,'DB animal categories'!$C$137:$AC$146,27,FALSE)*AJ370,0))))</f>
        <v/>
      </c>
      <c r="AR370" s="182" t="str">
        <f>IF(D370="","",IF(AI370=2,('Calc (ex-animal)'!$R$73*'Calc (ex-housing, ex-storage)'!F370/100+'Calc (ex-animal)'!$Q$73*'Calc (ex-housing, ex-storage)'!F370/100)/VLOOKUP($C$367,'DB animal categories'!$C$137:$AC$146,27,FALSE)*AJ370+Y370+Z370+AA370,IF(AI370=1,'Calc (ex-animal)'!$R$73*'Calc (ex-housing, ex-storage)'!F370/100/VLOOKUP($C$367,'DB animal categories'!$C$137:$AC$146,27,FALSE)*AJ370,IF(AI370=4,('Calc (ex-animal)'!$R$73+'Calc (ex-animal)'!$Q$73)*'Calc (ex-housing, ex-storage)'!F370/100*VLOOKUP(D370,'DB technologies'!$N$182:$Y$194,11,FALSE)/100/VLOOKUP($C$367,'DB animal categories'!$C$137:$AC$146,27,FALSE)*AJ370,0))))</f>
        <v/>
      </c>
      <c r="AS370" s="181" t="str">
        <f>IF(D370="","",VLOOKUP(D370,'DB technologies'!$N$182:$Y$194,10,FALSE))</f>
        <v/>
      </c>
      <c r="AT370" s="442" t="str">
        <f>IF(AS370="","",AU370+AV370)</f>
        <v/>
      </c>
      <c r="AU370" s="442" t="str">
        <f>IF(D370="","",IF(AS370=2,0,IF(AS370=1,'Calc (ex-animal)'!$G$73*'DB additional information '!$K$16/100*(1-VLOOKUP(D370,'DB technologies'!$N$182:$Y$194,8,FALSE)/100)*'Calc (ex-housing, ex-storage)'!F370/100/VLOOKUP($C$367,'DB animal categories'!$C$137:$AC$146,27,FALSE)*AJ370+I370+J370+K370,IF(AS370=5,(('Calc (ex-animal)'!$G$73*'DB additional information '!$K$16/100+'Calc (ex-animal)'!$H$73*'DB additional information '!$L$16/100))*(1-VLOOKUP(D370,'DB technologies'!$N$182:$Y$194,9,FALSE)/100)*'Calc (ex-housing, ex-storage)'!F370/100/VLOOKUP($C$367,'DB animal categories'!$C$137:$AC$146,27,FALSE)*AJ370+I370+J370+K370,IF(AS370=3,('Calc (ex-animal)'!$G$73*'DB additional information '!$K$16/100+'Calc (ex-animal)'!$H$73*'DB additional information '!$L$16/100)*(1-VLOOKUP(D370,'DB technologies'!$N$182:$Y$194,9,FALSE)/100)*'Calc (ex-housing, ex-storage)'!F370/100/VLOOKUP($C$367,'DB animal categories'!$C$137:$AC$146,27,FALSE)*AJ370+I370+J370+K370,IF(AS370=4,('Calc (ex-animal)'!$G$73*'DB additional information '!$K$16/100+'Calc (ex-animal)'!$H$73*'DB additional information '!$L$16/100)*(1-VLOOKUP(D370,'DB technologies'!$N$182:$Y$194,9,FALSE)/100)*'Calc (ex-housing, ex-storage)'!F370/100*VLOOKUP(D370,'DB technologies'!$N$182:$Y$194,12,FALSE)/100/VLOOKUP($C$367,'DB animal categories'!$C$137:$AC$146,27,FALSE)*AJ370+I370+J370+K370,0))))))</f>
        <v/>
      </c>
      <c r="AV370" s="442" t="str">
        <f>IF(D370="","",IF(AS370=2,0,IF(AS370=1,'Calc (ex-animal)'!$G$73*(1-'DB additional information '!$K$16/100)*(1-VLOOKUP(D370,'DB technologies'!$N$182:$Y$194,8,FALSE)/100)*'Calc (ex-housing, ex-storage)'!F370/100/VLOOKUP($C$367,'DB animal categories'!$C$137:$AC$146,27,FALSE)*AJ370+M370+N370+O370,IF(AS370=5,('Calc (ex-animal)'!$G$73*(1-'DB additional information '!$K$16/100)+'Calc (ex-animal)'!$H$73*(1-'DB additional information '!$L$16/100))*(1-VLOOKUP(D370,'DB technologies'!$N$182:$Y$194,8,FALSE)/100)*'Calc (ex-housing, ex-storage)'!F370/100/VLOOKUP($C$367,'DB animal categories'!$C$137:$AC$146,27,FALSE)*AJ370+M370+N370+O370,IF(AS370=3,('Calc (ex-animal)'!$G$73*(1-'DB additional information '!$K$16/100)+'Calc (ex-animal)'!$H$73*(1-'DB additional information '!$L$16/100))*(1-VLOOKUP(D370,'DB technologies'!$N$182:$Y$194,8,FALSE)/100)*'Calc (ex-housing, ex-storage)'!F370/100/VLOOKUP($C$367,'DB animal categories'!$C$137:$AC$146,27,FALSE)*AJ370+M370+N370+O370,IF(AS370=4,('Calc (ex-animal)'!$G$73*(1-'DB additional information '!$K$16/100)+'Calc (ex-animal)'!$H$73*(1-'DB additional information '!$L$16/100))*(1-VLOOKUP(D370,'DB technologies'!$N$182:$Y$194,8,FALSE)/100)*'Calc (ex-housing, ex-storage)'!F370/100*VLOOKUP(D370,'DB technologies'!$N$182:$Y$194,12,FALSE)/100/VLOOKUP($C$367,'DB animal categories'!$C$137:$AC$146,27,FALSE)*AJ370+M370+N370+O370,0))))))</f>
        <v/>
      </c>
      <c r="AW370" s="442" t="str">
        <f>IF(AS370="","",IF(AU370=0,0,AU370/AT370*100))</f>
        <v/>
      </c>
      <c r="AX370" s="182" t="str">
        <f>IF(D370="","",IF(AS370=2,0,IF(AS370=1,'Calc (ex-animal)'!$K$73*'Calc (ex-housing, ex-storage)'!F370/100/VLOOKUP($C$367,'DB animal categories'!$C$137:$AC$146,27,FALSE)*AJ370+Q370+R370+S370,IF(AS370=5,('Calc (ex-animal)'!$K$73+'Calc (ex-animal)'!$L$73)*'Calc (ex-housing, ex-storage)'!F370/100/VLOOKUP($C$367,'DB animal categories'!$C$137:$AC$146,27,FALSE)*AJ370+Q370+R370+S370-'Calc (ex-housing, ex-storage)'!AC370,IF(AS370=3,('Calc (ex-animal)'!$K$73+'Calc (ex-animal)'!$L$73)*'Calc (ex-housing, ex-storage)'!F370/100/VLOOKUP($C$367,'DB animal categories'!$C$137:$AC$146,27,FALSE)*AJ370+Q370+R370+S370-'Calc (ex-housing, ex-storage)'!AC370-AD370-AE370,IF(AI370=4,('Calc (ex-animal)'!$K$73+'Calc (ex-animal)'!$L$73)*'Calc (ex-housing, ex-storage)'!F370/100*VLOOKUP(D370,'DB technologies'!$N$182:$Y$194,12,FALSE)/100/VLOOKUP($C$367,'DB animal categories'!$C$137:$AC$146,27,FALSE)*AJ370+Q370+R370+S370-(VLOOKUP(D370,'DB technologies'!$N$182:$Y$194,12,FALSE)/100*AC370)-AD370-AE370,0))))))</f>
        <v/>
      </c>
      <c r="AY370" s="182" t="str">
        <f>IF(D370="","",IF(AS370=2,0,IF(AS370=1,'Calc (ex-animal)'!$N$73*'Calc (ex-housing, ex-storage)'!F370/100/VLOOKUP($C$367,'DB animal categories'!$C$137:$AC$146,27,FALSE)*AJ370+U370+V370+W370,IF(AS370=5,('Calc (ex-animal)'!$N$73+'Calc (ex-animal)'!$O$73)*'Calc (ex-housing, ex-storage)'!F370/100/VLOOKUP($C$367,'DB animal categories'!$C$137:$AC$146,27,FALSE)*AJ370+U370+V370+W370,IF(AS370=3,('Calc (ex-animal)'!$N$73+'Calc (ex-animal)'!$O$73)*'Calc (ex-housing, ex-storage)'!F370/100/VLOOKUP($C$367,'DB animal categories'!$C$137:$AC$146,27,FALSE)*AJ370+U370+V370+W370,IF(AS370=4,('Calc (ex-animal)'!$N$73+'Calc (ex-animal)'!$O$73)*'Calc (ex-housing, ex-storage)'!F370/100*VLOOKUP(D370,'DB technologies'!$N$182:$Y$194,12,FALSE)/100/VLOOKUP($C$367,'DB animal categories'!$C$137:$AC$146,27,FALSE)*AJ370+U370+V370+W370,0))))))</f>
        <v/>
      </c>
      <c r="AZ370" s="182" t="str">
        <f>IF(D370="","",IF(AS370=2,0,IF(AS370=1,'Calc (ex-animal)'!$Q$73*'Calc (ex-housing, ex-storage)'!F370/100/VLOOKUP($C$367,'DB animal categories'!$C$137:$AC$146,27,FALSE)*AJ370+Y370+Z370+AA370,IF(AS370=5,('Calc (ex-animal)'!$Q$73+'Calc (ex-animal)'!$R$73)*'Calc (ex-housing, ex-storage)'!F370/100/VLOOKUP($C$367,'DB animal categories'!$C$137:$AC$146,27,FALSE)*AJ370+Y370+Z370+AA370,IF(AS370=3,('Calc (ex-animal)'!$Q$73+'Calc (ex-animal)'!$R$73)*'Calc (ex-housing, ex-storage)'!F370/100/VLOOKUP($C$367,'DB animal categories'!$C$137:$AC$146,27,FALSE)*AJ370+Y370+Z370+AA370,IF(AS370=4,('Calc (ex-animal)'!$Q$73+'Calc (ex-animal)'!$R$73)*'Calc (ex-housing, ex-storage)'!F370/100*VLOOKUP(D370,'DB technologies'!$N$182:$Y$194,12,FALSE)/100/VLOOKUP($C$367,'DB animal categories'!$C$137:$AC$146,27,FALSE)*AJ370+Y370+Z370+AA370,0))))))</f>
        <v/>
      </c>
      <c r="BA370" s="506"/>
      <c r="BB370" s="506"/>
      <c r="BC370" s="506"/>
    </row>
    <row r="371" spans="1:55" ht="12" thickBot="1" x14ac:dyDescent="0.25">
      <c r="A371" s="695"/>
      <c r="B371" s="695"/>
      <c r="C371" s="255"/>
      <c r="D371" s="1359"/>
      <c r="E371" s="1360"/>
      <c r="F371" s="481" t="str">
        <f>IF('Calc (ex-animal)'!$F$73=1,"",IF($C$367=0,"",IF(D371="","",E371/'Calc (ex-animal)'!$E$73*100)))</f>
        <v/>
      </c>
      <c r="G371" s="483" t="str">
        <f>IF($C$367=0,"",IF('Calc (ex-animal)'!$F$73=1,"",IF(D371="","",SUM(H371:O371))))</f>
        <v/>
      </c>
      <c r="H371" s="445" t="str">
        <f>IF('Calc (ex-animal)'!$F$73=1,"",IF(D371="","",(((VLOOKUP($C$367,'Calc (ex-animal)'!$D$73:$Y$77,6,FALSE)-VLOOKUP($C$367,'Calc (ex-animal)'!$D$73:$Y$77,17,FALSE))*F371/100))*VLOOKUP($C$367,'Calc (ex-animal)'!$D$73:$Y$77,7,FALSE)/100*(1-VLOOKUP(D371,'DB technologies'!$N$182:$Y$194,9,FALSE)/100)))</f>
        <v/>
      </c>
      <c r="I371" s="445" t="str">
        <f>IF(D371="","",((VLOOKUP(D371,'DB technologies'!$N$182:$Y$194,2,FALSE)*VLOOKUP($C$367,'DB animal categories'!$C$137:$AC$146,27,FALSE)*E371/1000)/VLOOKUP($C$367,'DB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'!$S$6/100*(1-VLOOKUP(D371,'DB technologies'!$N$182:$Y$194,9,FALSE)/100)))</f>
        <v/>
      </c>
      <c r="J371" s="446" t="str">
        <f>IF(D371="","",((VLOOKUP(D371,'DB technologies'!$N$182:$Y$194,3,FALSE)*VLOOKUP($C$367,'DB animal categories'!$C$137:$AC$146,27,FALSE)*E371/1000)/VLOOKUP($C$367,'DB animal categories'!$C$137:$AC$146,27,FALSE)*(VLOOKUP($C$367,'DB animal categories'!$C$137:$AC$146,27,FALSE)-(VLOOKUP($C$367,'DB animal categories'!$C$137:$AC$146,25,FALSE)*VLOOKUP($C$367,'DB animal categories'!$C$137:$AC$146,26,FALSE)/24))*'DB additional information '!$S$7/100*(1-VLOOKUP(D371,'DB technologies'!$N$182:$Y$194,9,FALSE)/100)))</f>
        <v/>
      </c>
      <c r="K371" s="446" t="str">
        <f>IF(D371="","",((VLOOKUP(D371,'DB technologies'!$N$182:$Y$194,4,FALSE)*E371*'DB additional information '!$S$8/100*(1-VLOOKUP(D371,'DB technologies'!$N$182:$Y$194,9,FALSE)/100))/VLOOKUP($C$367,'DB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L371" s="445" t="str">
        <f>IF('Calc (ex-animal)'!$F$73=1,"",IF(D371="","",(((VLOOKUP($C$367,'Calc (ex-animal)'!$D$73:$Y$77,6,FALSE)-VLOOKUP($C$367,'Calc (ex-animal)'!$D$73:$Y$77,17,FALSE))*F371/100))*(1-VLOOKUP($C$367,'Calc (ex-animal)'!$D$73:$Y$77,7,FALSE)/100)*(1-VLOOKUP(D371,'DB technologies'!$N$182:$V$194,8,FALSE)/100)))</f>
        <v/>
      </c>
      <c r="M371" s="446" t="str">
        <f>IF(D371="","",((VLOOKUP(D371,'DB technologies'!$N$182:$Y$194,2,FALSE)*VLOOKUP($C$367,'DB animal categories'!$C$137:$AC$146,27,FALSE)*E371/1000)/VLOOKUP($C$367,'DB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'!$S$6/100)*(1-VLOOKUP(D371,'DB technologies'!$N$182:$Y$194,9,FALSE)/100))</f>
        <v/>
      </c>
      <c r="N371" s="446" t="str">
        <f>IF(D371="","",((VLOOKUP(D371,'DB technologies'!$N$182:$Y$194,3,FALSE)*VLOOKUP($C$367,'DB animal categories'!$C$137:$AC$146,27,FALSE)*E371/1000)/VLOOKUP($C$367,'DB animal categories'!$C$137:$AC$146,27,FALSE)*(VLOOKUP($C$367,'DB animal categories'!$C$137:$AC$146,27,FALSE)-VLOOKUP($C$367,'DB animal categories'!$C$137:$AC$146,25,FALSE)*VLOOKUP($C$367,'DB animal categories'!$C$137:$AC$146,26,FALSE)/24))*(1-'DB additional information '!$S$7/100)*(1-VLOOKUP(D371,'DB technologies'!$N$182:$Y$194,9,FALSE)/100))</f>
        <v/>
      </c>
      <c r="O371" s="445" t="str">
        <f>IF(D371="","",((VLOOKUP(D371,'DB technologies'!$N$182:$Y$194,4,FALSE)*E371*(1-'DB additional information '!$S$8/100)*(1-VLOOKUP(D371,'DB technologies'!$N$182:$Y$194,8,FALSE)/100))/VLOOKUP($C$367,'DB animal categories'!$C$137:$AC$146,27,FALSE)*(VLOOKUP($C$367,'DB animal categories'!$C$137:$AC$146,27,FALSE)-VLOOKUP($C$367,'DB animal categories'!$C$137:$AC$146,25,FALSE)*VLOOKUP($C$367,'DB animal categories'!$C$137:$AC$146,26,FALSE)/24)))</f>
        <v/>
      </c>
      <c r="P371" s="444" t="str">
        <f>IF(G371=0,0,IF(E371="","",IF(F371="","",IF($C$367=0,"",IF(D371="","",SUM(H371:K371)/G371*100)))))</f>
        <v/>
      </c>
      <c r="Q371" s="476" t="str">
        <f>IF(D371="","",(VLOOKUP(D371,'DB technologies'!$N$182:$Y$194,2,FALSE)*'DB additional information '!$S$6/100*'DB additional information '!$T$6*VLOOKUP($C$367,'DB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R371" s="476" t="str">
        <f>IF(D371="","",(VLOOKUP(D371,'DB technologies'!$N$182:$Y$194,3,FALSE)*'DB additional information '!$S$7/100*'DB additional information '!$T$7*VLOOKUP($C$367,'DB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S371" s="494" t="str">
        <f>IF(D371="","",(VLOOKUP(D371,'DB technologies'!$N$182:$Y$194,4,FALSE)*('DB additional information '!$S$8/100*'DB additional information '!$T$8*E371/1000/1000)))</f>
        <v/>
      </c>
      <c r="T371" s="266" t="str">
        <f>IF($C$367=0,"",IF('Calc (ex-animal)'!$F$73=1,"",IF(D371="","",((VLOOKUP($C$367,'Calc (ex-animal)'!$D$73:$Y$77,10,FALSE)-VLOOKUP($C$367,'Calc (ex-animal)'!$D$73:$Y$77,18,FALSE))*F371/100+Q371+R371+S371)-AC371-AD371-AE371)))</f>
        <v/>
      </c>
      <c r="U371" s="477" t="str">
        <f>IF(D371="","",(VLOOKUP(D371,'DB technologies'!$N$182:$Y$194,2,FALSE)*'DB additional information '!$S$6/100*'DB additional information '!$U$6*VLOOKUP($C$367,'DB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V371" s="433" t="str">
        <f>IF(D371="","",(VLOOKUP(D371,'DB technologies'!$N$182:$Y$194,3,FALSE)*'DB additional information '!$S$7/100*'DB additional information '!$U$7*VLOOKUP($C$367,'DB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W371" s="475" t="str">
        <f>IF(D371="","",(VLOOKUP(D371,'DB technologies'!$N$182:$Y$194,4,FALSE)*('DB additional information '!$S$8/100*'DB additional information '!$U$8*E371/1000/1000)))</f>
        <v/>
      </c>
      <c r="X371" s="267" t="str">
        <f>IF($C$367=0,"",IF('Calc (ex-animal)'!$F$73=1,"",IF(D371="","",((VLOOKUP($C$367,'Calc (ex-animal)'!$D$73:$Y$77,13,FALSE)-VLOOKUP($C$367,'Calc (ex-animal)'!$D$73:$Y$77,19,FALSE))*F371/100+U371+V371+W371))))</f>
        <v/>
      </c>
      <c r="Y371" s="433" t="str">
        <f>IF(D371="","",(VLOOKUP(D371,'DB technologies'!$N$182:$Y$194,2,FALSE)*'DB additional information '!$S$6/100*'DB additional information '!$V$6*VLOOKUP($C$367,'DB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Z371" s="433" t="str">
        <f>IF(D371="","",(VLOOKUP(D371,'DB technologies'!$N$182:$Y$194,3,FALSE)*'DB additional information '!$S$7/100*'DB additional information '!$V$7*VLOOKUP($C$367,'DB animal categories'!$C$137:$AC$146,27,FALSE)*E371/1000/1000)/VLOOKUP($C$367,'DB animal categories'!$C$137:$AC$146,27,FALSE)*(VLOOKUP($C$367,'DB animal categories'!$C$137:$AC$146,27,FALSE)-VLOOKUP($C$367,'DB animal categories'!$C$137:$AC$146,25,FALSE)*VLOOKUP($C$367,'DB animal categories'!$C$137:$AC$146,26,FALSE)/24))</f>
        <v/>
      </c>
      <c r="AA371" s="433" t="str">
        <f>IF(D371="","",(VLOOKUP(D371,'DB technologies'!$N$182:$Y$194,4,FALSE)*('DB additional information '!$S$8/100*'DB additional information '!$V$8*E371/1000/1000)))</f>
        <v/>
      </c>
      <c r="AB371" s="267" t="str">
        <f>IF($C$367=0,"",IF('Calc (ex-animal)'!$F$73=1,"",IF(D371="","",((VLOOKUP($C$367,'Calc (ex-animal)'!$D$73:$Y$77,16,FALSE)-VLOOKUP($C$367,'Calc (ex-animal)'!$D$73:$Y$77,20,FALSE))*F371/100+Y371+Z371+AA371))))</f>
        <v/>
      </c>
      <c r="AC371" s="267" t="str">
        <f>IF($C$367=0,"",IF('Calc (ex-animal)'!$F$73=1,"",IF(D371="","",VLOOKUP($C$367,'Calc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categories'!$C$137:$AC$146,26,FALSE)/24)*F371/100*VLOOKUP(D371,'DB technologies'!$N$182:$R$194,5,FALSE)/100)))</f>
        <v/>
      </c>
      <c r="AD371" s="267" t="str">
        <f>IF($C$367=0,"",IF('Calc (ex-animal)'!$F$73=1,"",IF(D371="","",VLOOKUP($C$367,'Calc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categories'!$C$137:$AC$146,26,FALSE)/24)*F371/100*VLOOKUP(D371,'DB technologies'!$N$182:$Y$194,6,FALSE)/100)))</f>
        <v/>
      </c>
      <c r="AE371" s="268" t="str">
        <f>IF($C$367=0,"",IF('Calc (ex-animal)'!$F$73=1,"",IF(D371="","",VLOOKUP($C$367,'Calc (ex-animal)'!$D$73:$Y$77,10,FALSE)/VLOOKUP($C$367,'DB animal categories'!$C$137:$AC$146,27,FALSE)*(VLOOKUP($C$367,'DB animal categories'!$C$137:$AC$146,27,FALSE)-VLOOKUP($C$367,'DB animal categories'!$C$137:$AC$146,25,FALSE)*VLOOKUP($C$367,'DB animal categories'!$C$137:$AC$146,26,FALSE)/24)*F371/100*VLOOKUP(D371,'DB technologies'!$N$182:$Y$194,7,FALSE)/100)))</f>
        <v/>
      </c>
      <c r="AI371" s="183" t="str">
        <f>IF(D371="","",VLOOKUP(D371,'DB technologies'!$N$182:$Y$194,10,FALSE))</f>
        <v/>
      </c>
      <c r="AJ371" s="451" t="e">
        <f>VLOOKUP($C$367,'DB animal categories'!$C$137:$AN$146,27,FALSE)-VLOOKUP($C$367,'DB animal categories'!$C$137:$AN$146,26,FALSE)*VLOOKUP($C$367,'DB animal categories'!$C$137:$AN$146,25,FALSE)/24</f>
        <v>#N/A</v>
      </c>
      <c r="AK371" s="452" t="str">
        <f>IF(AI371="","",AL371+AM371)</f>
        <v/>
      </c>
      <c r="AL371" s="452" t="str">
        <f>IF(D371="","",IF(AI371=2,(('Calc (ex-animal)'!$G$73*'DB additional information '!$K$16/100*(1-VLOOKUP(D371,'DB technologies'!$N$182:$Y$194,9,FALSE)/100)*'Calc (ex-housing, ex-storage)'!F371/100+'Calc (ex-animal)'!$H$73*'DB additional information '!$L$16/100*(1-VLOOKUP(D371,'DB technologies'!$N$182:$Y$194,9,FALSE)/100)*'Calc (ex-housing, ex-storage)'!F371/100))/VLOOKUP($C$367,'DB animal categories'!$C$137:$AC$146,27,FALSE)*AJ371+I371+J371+K371,IF(AI371=1,('Calc (ex-animal)'!$H$73*'DB additional information '!$L$16/100*(1-VLOOKUP(D371,'DB technologies'!$N$182:$Y$194,9,FALSE)/100)*'Calc (ex-housing, ex-storage)'!F371/100)/VLOOKUP($C$367,'DB animal categories'!$C$137:$AC$146,27,FALSE)*AJ371,IF(AI371=4,('Calc (ex-animal)'!$G$73*'DB additional information '!$K$16/100+'Calc (ex-animal)'!$H$73*'DB additional information '!$L$16/100)*(1-VLOOKUP(D371,'DB technologies'!$N$182:$Y$194,9,FALSE)/100)*'Calc (ex-housing, ex-storage)'!F371/100*VLOOKUP(D371,'DB technologies'!$N$182:$Y$194,11,FALSE)/100/VLOOKUP($C$367,'DB animal categories'!$C$137:$AC$146,27,FALSE)*AJ371,0))))</f>
        <v/>
      </c>
      <c r="AM371" s="452" t="str">
        <f>IF(D371="","",IF(AI371=2,(('Calc (ex-animal)'!$G$73*(1-'DB additional information '!$K$16/100)*(1-VLOOKUP(D371,'DB technologies'!$N$182:$Y$194,8,FALSE)/100)*'Calc (ex-housing, ex-storage)'!F371/100+'Calc (ex-animal)'!$H$73*(1-'DB additional information '!$L$16/100)*(1-VLOOKUP(D371,'DB technologies'!$N$182:$Y$194,8,FALSE)/100)*'Calc (ex-housing, ex-storage)'!F371/100))/VLOOKUP($C$367,'DB animal categories'!$C$137:$AC$146,27,FALSE)*AJ371+M371+N371+O371,IF(AI371=1,('Calc (ex-animal)'!$H$73*(1-'DB additional information '!$L$16/100)*(1-VLOOKUP(D371,'DB technologies'!$N$182:$Y$194,8,FALSE)/100)*'Calc (ex-housing, ex-storage)'!F371/100)/VLOOKUP($C$367,'DB animal categories'!$C$137:$AC$146,27,FALSE)*AJ371,IF(AI371=4,('Calc (ex-animal)'!$G$73*(1-'DB additional information '!$K$16/100)+'Calc (ex-animal)'!$H$73*(1-'DB additional information '!$L$16/100))*(1-VLOOKUP(D371,'DB technologies'!$N$182:$Y$194,8,FALSE)/100)*'Calc (ex-housing, ex-storage)'!F371/100*VLOOKUP(D371,'DB technologies'!$N$182:$Y$194,11,FALSE)/100/VLOOKUP($C$367,'DB animal categories'!$C$137:$AC$146,27,FALSE)*AJ371,0))))</f>
        <v/>
      </c>
      <c r="AN371" s="452" t="str">
        <f>IF(AI371="","",IF(AL371=0,0,AL371/AK371*100))</f>
        <v/>
      </c>
      <c r="AO371" s="184" t="str">
        <f>IF(D371="","",IF(AI371=2,(('Calc (ex-animal)'!$L$73*'Calc (ex-housing, ex-storage)'!F371/100+'Calc (ex-animal)'!$K$73*'Calc (ex-housing, ex-storage)'!F371/100))/VLOOKUP($C$367,'DB animal categories'!$C$137:$AC$146,27,FALSE)*AJ371+Q371+R371+S371-AC371,IF(AI371=1,('Calc (ex-animal)'!$L$73*'Calc (ex-housing, ex-storage)'!F371/100)/VLOOKUP($C$367,'DB animal categories'!$C$137:$AC$146,27,FALSE)*AJ371-'Calc (ex-housing, ex-storage)'!AC371,IF(AI371=4,('Calc (ex-animal)'!$L$73+'Calc (ex-animal)'!$K$73)*'Calc (ex-housing, ex-storage)'!F371/100*VLOOKUP(D371,'DB technologies'!$N$182:$Y$194,11,FALSE)/100/VLOOKUP($C$367,'DB animal categories'!$C$137:$AC$146,27,FALSE)*AJ371-AC371*VLOOKUP(D371,'DB technologies'!$N$182:$Y$194,11,FALSE)/100,0))))</f>
        <v/>
      </c>
      <c r="AP371" s="184" t="str">
        <f>IF(D371="","",IF(AO371&lt;-0.01,0,IF(AI371=2,(('Calc (ex-animal)'!$L$73*'Calc (ex-housing, ex-storage)'!F371/100+'Calc (ex-animal)'!$K$73*'Calc (ex-housing, ex-storage)'!F371/100))/VLOOKUP($C$367,'DB animal categories'!$C$137:$AC$146,27,FALSE)*AJ371+Q371+R371+S371-AC371,IF(AI371=1,('Calc (ex-animal)'!$L$73*'Calc (ex-housing, ex-storage)'!F371/100)/VLOOKUP($C$367,'DB animal categories'!$C$137:$AC$146,27,FALSE)*AJ371-'Calc (ex-housing, ex-storage)'!AC371,IF(AI371=4,('Calc (ex-animal)'!$L$73+'Calc (ex-animal)'!$K$73)*'Calc (ex-housing, ex-storage)'!F371/100*VLOOKUP(D371,'DB technologies'!$N$182:$Y$194,11,FALSE)/100/VLOOKUP($C$367,'DB animal categories'!$C$137:$AC$146,27,FALSE)*AJ371-AC371*VLOOKUP(D371,'DB technologies'!$N$182:$Y$194,11,FALSE)/100,0)))))</f>
        <v/>
      </c>
      <c r="AQ371" s="184" t="str">
        <f>IF(D371="","",IF(AI371=2,('Calc (ex-animal)'!$O$73*'Calc (ex-housing, ex-storage)'!F371/100+'Calc (ex-animal)'!$N$73*'Calc (ex-housing, ex-storage)'!F371/100)/VLOOKUP($C$367,'DB animal categories'!$C$137:$AC$146,27,FALSE)*AJ371+U371+V371+W371,IF(AI371=1,'Calc (ex-animal)'!$O$73*'Calc (ex-housing, ex-storage)'!F371/100/VLOOKUP($C$367,'DB animal categories'!$C$137:$AC$146,27,FALSE)*AJ371,IF(AI371=4,('Calc (ex-animal)'!$O$73+'Calc (ex-animal)'!$N$73)*'Calc (ex-housing, ex-storage)'!F371/100*VLOOKUP(D371,'DB technologies'!$N$182:$Y$194,11,FALSE)/100/VLOOKUP($C$367,'DB animal categories'!$C$137:$AC$146,27,FALSE)*AJ371,0))))</f>
        <v/>
      </c>
      <c r="AR371" s="184" t="str">
        <f>IF(D371="","",IF(AI371=2,('Calc (ex-animal)'!$R$73*'Calc (ex-housing, ex-storage)'!F371/100+'Calc (ex-animal)'!$Q$73*'Calc (ex-housing, ex-storage)'!F371/100)/VLOOKUP($C$367,'DB animal categories'!$C$137:$AC$146,27,FALSE)*AJ371+Y371+Z371+AA371,IF(AI371=1,'Calc (ex-animal)'!$R$73*'Calc (ex-housing, ex-storage)'!F371/100/VLOOKUP($C$367,'DB animal categories'!$C$137:$AC$146,27,FALSE)*AJ371,IF(AI371=4,('Calc (ex-animal)'!$R$73+'Calc (ex-animal)'!$Q$73)*'Calc (ex-housing, ex-storage)'!F371/100*VLOOKUP(D371,'DB technologies'!$N$182:$Y$194,11,FALSE)/100/VLOOKUP($C$367,'DB animal categories'!$C$137:$AC$146,27,FALSE)*AJ371,0))))</f>
        <v/>
      </c>
      <c r="AS371" s="183" t="str">
        <f>IF(D371="","",VLOOKUP(D371,'DB technologies'!$N$182:$Y$194,10,FALSE))</f>
        <v/>
      </c>
      <c r="AT371" s="452" t="str">
        <f>IF(AS371="","",AU371+AV371)</f>
        <v/>
      </c>
      <c r="AU371" s="452" t="str">
        <f>IF(D371="","",IF(AS371=2,0,IF(AS371=1,'Calc (ex-animal)'!$G$73*'DB additional information '!$K$16/100*(1-VLOOKUP(D371,'DB technologies'!$N$182:$Y$194,8,FALSE)/100)*'Calc (ex-housing, ex-storage)'!F371/100/VLOOKUP($C$367,'DB animal categories'!$C$137:$AC$146,27,FALSE)*AJ371+I371+J371+K371,IF(AS371=5,(('Calc (ex-animal)'!$G$73*'DB additional information '!$K$16/100+'Calc (ex-animal)'!$H$73*'DB additional information '!$L$16/100))*(1-VLOOKUP(D371,'DB technologies'!$N$182:$Y$194,9,FALSE)/100)*'Calc (ex-housing, ex-storage)'!F371/100/VLOOKUP($C$367,'DB animal categories'!$C$137:$AC$146,27,FALSE)*AJ371+I371+J371+K371,IF(AS371=3,('Calc (ex-animal)'!$G$73*'DB additional information '!$K$16/100+'Calc (ex-animal)'!$H$73*'DB additional information '!$L$16/100)*(1-VLOOKUP(D371,'DB technologies'!$N$182:$Y$194,9,FALSE)/100)*'Calc (ex-housing, ex-storage)'!F371/100/VLOOKUP($C$367,'DB animal categories'!$C$137:$AC$146,27,FALSE)*AJ371+I371+J371+K371,IF(AS371=4,('Calc (ex-animal)'!$G$73*'DB additional information '!$K$16/100+'Calc (ex-animal)'!$H$73*'DB additional information '!$L$16/100)*(1-VLOOKUP(D371,'DB technologies'!$N$182:$Y$194,9,FALSE)/100)*'Calc (ex-housing, ex-storage)'!F371/100*VLOOKUP(D371,'DB technologies'!$N$182:$Y$194,12,FALSE)/100/VLOOKUP($C$367,'DB animal categories'!$C$137:$AC$146,27,FALSE)*AJ371+I371+J371+K371,0))))))</f>
        <v/>
      </c>
      <c r="AV371" s="452" t="str">
        <f>IF(D371="","",IF(AS371=2,0,IF(AS371=1,'Calc (ex-animal)'!$G$73*(1-'DB additional information '!$K$16/100)*(1-VLOOKUP(D371,'DB technologies'!$N$182:$Y$194,8,FALSE)/100)*'Calc (ex-housing, ex-storage)'!F371/100/VLOOKUP($C$367,'DB animal categories'!$C$137:$AC$146,27,FALSE)*AJ371+M371+N371+O371,IF(AS371=5,('Calc (ex-animal)'!$G$73*(1-'DB additional information '!$K$16/100)+'Calc (ex-animal)'!$H$73*(1-'DB additional information '!$L$16/100))*(1-VLOOKUP(D371,'DB technologies'!$N$182:$Y$194,8,FALSE)/100)*'Calc (ex-housing, ex-storage)'!F371/100/VLOOKUP($C$367,'DB animal categories'!$C$137:$AC$146,27,FALSE)*AJ371+M371+N371+O371,IF(AS371=3,('Calc (ex-animal)'!$G$73*(1-'DB additional information '!$K$16/100)+'Calc (ex-animal)'!$H$73*(1-'DB additional information '!$L$16/100))*(1-VLOOKUP(D371,'DB technologies'!$N$182:$Y$194,8,FALSE)/100)*'Calc (ex-housing, ex-storage)'!F371/100/VLOOKUP($C$367,'DB animal categories'!$C$137:$AC$146,27,FALSE)*AJ371+M371+N371+O371,IF(AS371=4,('Calc (ex-animal)'!$G$73*(1-'DB additional information '!$K$16/100)+'Calc (ex-animal)'!$H$73*(1-'DB additional information '!$L$16/100))*(1-VLOOKUP(D371,'DB technologies'!$N$182:$Y$194,8,FALSE)/100)*'Calc (ex-housing, ex-storage)'!F371/100*VLOOKUP(D371,'DB technologies'!$N$182:$Y$194,12,FALSE)/100/VLOOKUP($C$367,'DB animal categories'!$C$137:$AC$146,27,FALSE)*AJ371+M371+N371+O371,0))))))</f>
        <v/>
      </c>
      <c r="AW371" s="452" t="str">
        <f>IF(AS371="","",IF(AU371=0,0,AU371/AT371*100))</f>
        <v/>
      </c>
      <c r="AX371" s="184" t="str">
        <f>IF(D371="","",IF(AS371=2,0,IF(AS371=1,'Calc (ex-animal)'!$K$73*'Calc (ex-housing, ex-storage)'!F371/100/VLOOKUP($C$367,'DB animal categories'!$C$137:$AC$146,27,FALSE)*AJ371+Q371+R371+S371,IF(AS371=5,('Calc (ex-animal)'!$K$73+'Calc (ex-animal)'!$L$73)*'Calc (ex-housing, ex-storage)'!F371/100/VLOOKUP($C$367,'DB animal categories'!$C$137:$AC$146,27,FALSE)*AJ371+Q371+R371+S371-'Calc (ex-housing, ex-storage)'!AC371,IF(AS371=3,('Calc (ex-animal)'!$K$73+'Calc (ex-animal)'!$L$73)*'Calc (ex-housing, ex-storage)'!F371/100/VLOOKUP($C$367,'DB animal categories'!$C$137:$AC$146,27,FALSE)*AJ371+Q371+R371+S371-'Calc (ex-housing, ex-storage)'!AC371-AD371-AE371,IF(AI371=4,('Calc (ex-animal)'!$K$73+'Calc (ex-animal)'!$L$73)*'Calc (ex-housing, ex-storage)'!F371/100*VLOOKUP(D371,'DB technologies'!$N$182:$Y$194,12,FALSE)/100/VLOOKUP($C$367,'DB animal categories'!$C$137:$AC$146,27,FALSE)*AJ371+Q371+R371+S371-(VLOOKUP(D371,'DB technologies'!$N$182:$Y$194,12,FALSE)/100*AC371)-AD371-AE371,0))))))</f>
        <v/>
      </c>
      <c r="AY371" s="184" t="str">
        <f>IF(D371="","",IF(AS371=2,0,IF(AS371=1,'Calc (ex-animal)'!$N$73*'Calc (ex-housing, ex-storage)'!F371/100/VLOOKUP($C$367,'DB animal categories'!$C$137:$AC$146,27,FALSE)*AJ371+U371+V371+W371,IF(AS371=5,('Calc (ex-animal)'!$N$73+'Calc (ex-animal)'!$O$73)*'Calc (ex-housing, ex-storage)'!F371/100/VLOOKUP($C$367,'DB animal categories'!$C$137:$AC$146,27,FALSE)*AJ371+U371+V371+W371,IF(AS371=3,('Calc (ex-animal)'!$N$73+'Calc (ex-animal)'!$O$73)*'Calc (ex-housing, ex-storage)'!F371/100/VLOOKUP($C$367,'DB animal categories'!$C$137:$AC$146,27,FALSE)*AJ371+U371+V371+W371,IF(AS371=4,('Calc (ex-animal)'!$N$73+'Calc (ex-animal)'!$O$73)*'Calc (ex-housing, ex-storage)'!F371/100*VLOOKUP(D371,'DB technologies'!$N$182:$Y$194,12,FALSE)/100/VLOOKUP($C$367,'DB animal categories'!$C$137:$AC$146,27,FALSE)*AJ371+U371+V371+W371,0))))))</f>
        <v/>
      </c>
      <c r="AZ371" s="184" t="str">
        <f>IF(D371="","",IF(AS371=2,0,IF(AS371=1,'Calc (ex-animal)'!$Q$73*'Calc (ex-housing, ex-storage)'!F371/100/VLOOKUP($C$367,'DB animal categories'!$C$137:$AC$146,27,FALSE)*AJ371+Y371+Z371+AA371,IF(AS371=5,('Calc (ex-animal)'!$Q$73+'Calc (ex-animal)'!$R$73)*'Calc (ex-housing, ex-storage)'!F371/100/VLOOKUP($C$367,'DB animal categories'!$C$137:$AC$146,27,FALSE)*AJ371+Y371+Z371+AA371,IF(AS371=3,('Calc (ex-animal)'!$Q$73+'Calc (ex-animal)'!$R$73)*'Calc (ex-housing, ex-storage)'!F371/100/VLOOKUP($C$367,'DB animal categories'!$C$137:$AC$146,27,FALSE)*AJ371+Y371+Z371+AA371,IF(AS371=4,('Calc (ex-animal)'!$Q$73+'Calc (ex-animal)'!$R$73)*'Calc (ex-housing, ex-storage)'!F371/100*VLOOKUP(D371,'DB technologies'!$N$182:$Y$194,12,FALSE)/100/VLOOKUP($C$367,'DB animal categories'!$C$137:$AC$146,27,FALSE)*AJ371+Y371+Z371+AA371,0))))))</f>
        <v/>
      </c>
      <c r="BA371" s="506"/>
      <c r="BB371" s="506"/>
      <c r="BC371" s="506"/>
    </row>
    <row r="372" spans="1:55" ht="12" thickBot="1" x14ac:dyDescent="0.25">
      <c r="A372" s="695"/>
      <c r="B372" s="695"/>
      <c r="C372" s="252"/>
      <c r="D372" s="269" t="s">
        <v>58</v>
      </c>
      <c r="E372" s="270">
        <f>IF('Calc (ex-animal)'!F73=1,'Calc (ex-animal)'!E73,IF(F372&lt;=100,SUM(E367:E371),"ERROR"))</f>
        <v>0</v>
      </c>
      <c r="F372" s="284">
        <f>IF('Calc (ex-animal)'!F73=1,100,IF(SUM(F367:F371) &lt;=100,SUM(F367:F371),"ERROR, SUM&gt;100%"))</f>
        <v>0</v>
      </c>
      <c r="G372" s="550">
        <f>IF('Calc (ex-animal)'!$F$73=1,"",SUM(G367:G371))</f>
        <v>0</v>
      </c>
      <c r="H372" s="418">
        <f>IF('Calc (ex-animal)'!$F$8=1,"",SUM(H367:H371))</f>
        <v>0</v>
      </c>
      <c r="I372" s="418">
        <f>IF('Calc (ex-animal)'!$F$8=1,"",SUM(I367:I371))</f>
        <v>0</v>
      </c>
      <c r="J372" s="418">
        <f>IF('Calc (ex-animal)'!$F$8=1,"",SUM(J367:J371))</f>
        <v>0</v>
      </c>
      <c r="K372" s="418">
        <f>IF('Calc (ex-animal)'!$F$8=1,"",SUM(K367:K371))</f>
        <v>0</v>
      </c>
      <c r="L372" s="418">
        <f>IF('Calc (ex-animal)'!$F$8=1,"",SUM(L367:L371))</f>
        <v>0</v>
      </c>
      <c r="M372" s="551"/>
      <c r="N372" s="551"/>
      <c r="O372" s="551"/>
      <c r="P372" s="552">
        <f>IF(G372=0,0,IF('Calc (ex-animal)'!$F$73=1,"",IF(D372="","",SUM(H372:K372)/G372*100)))</f>
        <v>0</v>
      </c>
      <c r="Q372" s="394"/>
      <c r="R372" s="394"/>
      <c r="S372" s="394"/>
      <c r="T372" s="278">
        <f>IF('Calc (ex-animal)'!$F$73=1,"",SUM(T367:T371))</f>
        <v>0</v>
      </c>
      <c r="U372" s="279"/>
      <c r="V372" s="279"/>
      <c r="W372" s="279"/>
      <c r="X372" s="279">
        <f>IF('Calc (ex-animal)'!$F$73=1,"",SUM(X367:X371))</f>
        <v>0</v>
      </c>
      <c r="Y372" s="279"/>
      <c r="Z372" s="279"/>
      <c r="AA372" s="279"/>
      <c r="AB372" s="279">
        <f>IF('Calc (ex-animal)'!$F$73=1,"",SUM(AB367:AB371))</f>
        <v>0</v>
      </c>
      <c r="AC372" s="279">
        <f>IF('Calc (ex-animal)'!$F$73=1,"",SUM(AC367:AC371))</f>
        <v>0</v>
      </c>
      <c r="AD372" s="279">
        <f>IF('Calc (ex-animal)'!$F$73=1,"",SUM(AD367:AD371))</f>
        <v>0</v>
      </c>
      <c r="AE372" s="280">
        <f>IF('Calc (ex-animal)'!$F$73=1,"",SUM(AE367:AE371))</f>
        <v>0</v>
      </c>
    </row>
    <row r="373" spans="1:55" x14ac:dyDescent="0.2">
      <c r="A373" s="695"/>
      <c r="B373" s="695"/>
      <c r="C373" s="250">
        <f>'Calc (ex-animal)'!D74</f>
        <v>0</v>
      </c>
      <c r="D373" s="1355"/>
      <c r="E373" s="1356"/>
      <c r="F373" s="479" t="str">
        <f>IF('Calc (ex-animal)'!$F$73=1,"",IF($C$373=0,"",IF(D373="","",E373/'Calc (ex-animal)'!$E$74*100)))</f>
        <v/>
      </c>
      <c r="G373" s="484" t="str">
        <f>IF($C$373=0,"",IF('Calc (ex-animal)'!$F$73=1,"",IF(D373="","",SUM(H373:O373))))</f>
        <v/>
      </c>
      <c r="H373" s="471" t="str">
        <f>IF('Calc (ex-animal)'!$F$73=1,"",IF(D373="","",(((VLOOKUP($C$373,'Calc (ex-animal)'!$D$73:$Y$77,6,FALSE)-VLOOKUP($C$373,'Calc (ex-animal)'!$D$73:$Y$77,17,FALSE))*F373/100))*VLOOKUP($C$373,'Calc (ex-animal)'!$D$73:$Y$77,7,FALSE)/100*(1-VLOOKUP(D373,'DB technologies'!$N$182:$Y$194,9,FALSE)/100)))</f>
        <v/>
      </c>
      <c r="I373" s="471" t="str">
        <f>IF(D373="","",((VLOOKUP(D373,'DB technologies'!$N$182:$Y$194,2,FALSE)*VLOOKUP($C$373,'DB animal categories'!$C$137:$AC$146,27,FALSE)*E373/1000)/VLOOKUP($C$373,'DB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'!$S$6/100*(1-VLOOKUP(D373,'DB technologies'!$N$182:$Y$194,9,FALSE)/100)))</f>
        <v/>
      </c>
      <c r="J373" s="472" t="str">
        <f>IF(D373="","",((VLOOKUP(D373,'DB technologies'!$N$182:$Y$194,3,FALSE)*VLOOKUP($C$373,'DB animal categories'!$C$137:$AC$146,27,FALSE)*E373/1000)/VLOOKUP($C$373,'DB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'!$S$7/100*(1-VLOOKUP(D373,'DB technologies'!$N$182:$Y$194,9,FALSE)/100)))</f>
        <v/>
      </c>
      <c r="K373" s="472" t="str">
        <f>IF(D373="","",((VLOOKUP(D373,'DB technologies'!$N$182:$Y$194,4,FALSE)*E373*'DB additional information '!$S$8/100*(1-VLOOKUP(D373,'DB technologies'!$N$182:$Y$194,9,FALSE)/100))/VLOOKUP($C$373,'DB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L373" s="471" t="str">
        <f>IF('Calc (ex-animal)'!$F$73=1,"",IF(D373="","",(((VLOOKUP($C$373,'Calc (ex-animal)'!$D$73:$Y$77,6,FALSE)-VLOOKUP($C$373,'Calc (ex-animal)'!$D$73:$Y$77,17,FALSE))*F373/100))*(1-VLOOKUP($C$373,'Calc (ex-animal)'!$D$73:$Y$77,7,FALSE)/100)*(1-VLOOKUP(D373,'DB technologies'!$N$182:$V$194,8,FALSE)/100)))</f>
        <v/>
      </c>
      <c r="M373" s="472" t="str">
        <f>IF(D373="","",((VLOOKUP(D373,'DB technologies'!$N$182:$Y$194,2,FALSE)*VLOOKUP($C$373,'DB animal categories'!$C$137:$AC$146,27,FALSE)*E373/1000)/VLOOKUP($C$373,'DB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'!$S$6/100)*(1-VLOOKUP(D373,'DB technologies'!$N$182:$Y$194,9,FALSE)/100))</f>
        <v/>
      </c>
      <c r="N373" s="472" t="str">
        <f>IF(D373="","",((VLOOKUP(D373,'DB technologies'!$N$182:$Y$194,3,FALSE)*VLOOKUP($C$373,'DB animal categories'!$C$137:$AC$146,27,FALSE)*E373/1000)/VLOOKUP($C$373,'DB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'!$S$7/100)*(1-VLOOKUP(D373,'DB technologies'!$N$182:$Y$194,9,FALSE)/100))</f>
        <v/>
      </c>
      <c r="O373" s="471" t="str">
        <f>IF(D373="","",((VLOOKUP(D373,'DB technologies'!$N$182:$Y$194,4,FALSE)*E373*(1-'DB additional information '!$S$8/100)*(1-VLOOKUP(D373,'DB technologies'!$N$182:$Y$194,8,FALSE)/100))/VLOOKUP($C$373,'DB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P373" s="443" t="str">
        <f>IF(G373=0,0,IF(E373="","",IF(F373="","",IF($C$373=0,"",IF(D373="","",SUM(H373:K373)/G373*100)))))</f>
        <v/>
      </c>
      <c r="Q373" s="473" t="str">
        <f>IF(D373="","",(VLOOKUP(D373,'DB technologies'!$N$182:$Y$194,2,FALSE)*'DB additional information '!$S$6/100*'DB additional information '!$T$6*VLOOKUP($C$373,'DB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R373" s="473" t="str">
        <f>IF(D373="","",(VLOOKUP(D373,'DB technologies'!$N$182:$Y$194,3,FALSE)*'DB additional information '!$S$7/100*'DB additional information '!$T$7*VLOOKUP($C$373,'DB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S373" s="490" t="str">
        <f>IF(D373="","",(VLOOKUP(D373,'DB technologies'!$N$182:$Y$194,4,FALSE)*('DB additional information '!$S$8/100*'DB additional information '!$T$8*E373/1000/1000)))</f>
        <v/>
      </c>
      <c r="T373" s="263" t="str">
        <f>IF($C$373=0,"",IF('Calc (ex-animal)'!$F$73=1,"",IF(D373="","",((VLOOKUP($C$373,'Calc (ex-animal)'!$D$73:$Y$77,10,FALSE)-VLOOKUP($C$373,'Calc (ex-animal)'!$D$73:$Y$77,18,FALSE))*F373/100+Q373+R373+S373)-AC373-AD373-AE373)))</f>
        <v/>
      </c>
      <c r="U373" s="474" t="str">
        <f>IF(D373="","",(VLOOKUP(D373,'DB technologies'!$N$182:$Y$194,2,FALSE)*'DB additional information '!$S$6/100*'DB additional information '!$U$6*VLOOKUP($C$373,'DB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V373" s="420" t="str">
        <f>IF(D373="","",(VLOOKUP(D373,'DB technologies'!$N$182:$Y$194,3,FALSE)*'DB additional information '!$S$7/100*'DB additional information '!$U$7*VLOOKUP($C$373,'DB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W373" s="415" t="str">
        <f>IF(D373="","",(VLOOKUP(D373,'DB technologies'!$N$182:$Y$194,4,FALSE)*('DB additional information '!$S$8/100*'DB additional information '!$U$8*E373/1000/1000)))</f>
        <v/>
      </c>
      <c r="X373" s="259" t="str">
        <f>IF($C$373=0,"",IF('Calc (ex-animal)'!$F$73=1,"",IF(D373="","",((VLOOKUP($C$373,'Calc (ex-animal)'!$D$73:$Y$77,13,FALSE)-VLOOKUP($C$373,'Calc (ex-animal)'!$D$73:$Y$77,19,FALSE))*F373/100+U373+V373+W373))))</f>
        <v/>
      </c>
      <c r="Y373" s="420" t="str">
        <f>IF(D373="","",(VLOOKUP(D373,'DB technologies'!$N$182:$Y$194,2,FALSE)*'DB additional information '!$S$6/100*'DB additional information '!$V$6*VLOOKUP($C$373,'DB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Z373" s="420" t="str">
        <f>IF(D373="","",(VLOOKUP(D373,'DB technologies'!$N$182:$Y$194,3,FALSE)*'DB additional information '!$S$7/100*'DB additional information '!$V$7*VLOOKUP($C$373,'DB animal categories'!$C$137:$AC$146,27,FALSE)*E373/1000/1000)/VLOOKUP($C$373,'DB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AA373" s="420" t="str">
        <f>IF(D373="","",(VLOOKUP(D373,'DB technologies'!$N$182:$Y$194,4,FALSE)*('DB additional information '!$S$8/100*'DB additional information '!$V$8*E373/1000/1000)))</f>
        <v/>
      </c>
      <c r="AB373" s="259" t="str">
        <f>IF($C$373=0,"",IF('Calc (ex-animal)'!$F$73=1,"",IF(D373="","",((VLOOKUP($C$373,'Calc (ex-animal)'!$D$73:$Y$77,16,FALSE)-VLOOKUP($C$373,'Calc (ex-animal)'!$D$73:$Y$77,20,FALSE))*F373/100+Y373+Z373+AA373))))</f>
        <v/>
      </c>
      <c r="AC373" s="259" t="str">
        <f>IF($C$373=0,"",IF('Calc (ex-animal)'!$F$73=1,"",IF(D373="","",VLOOKUP($C$373,'Calc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categories'!$C$137:$AC$146,26,FALSE)/24)*F373/100*VLOOKUP(D373,'DB technologies'!$N$182:$R$194,5,FALSE)/100)))</f>
        <v/>
      </c>
      <c r="AD373" s="259" t="str">
        <f>IF($C$373=0,"",IF('Calc (ex-animal)'!$F$73=1,"",IF(D373="","",VLOOKUP($C$373,'Calc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categories'!$C$137:$AC$146,26,FALSE)/24)*F373/100*VLOOKUP(D373,'DB technologies'!$N$182:$Y$194,6,FALSE)/100)))</f>
        <v/>
      </c>
      <c r="AE373" s="260" t="str">
        <f>IF($C$373=0,"",IF('Calc (ex-animal)'!$F$73=1,"",IF(D373="","",VLOOKUP($C$373,'Calc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categories'!$C$137:$AC$146,26,FALSE)/24)*F373/100*VLOOKUP(D373,'DB technologies'!$N$182:$Y$194,7,FALSE)/100)))</f>
        <v/>
      </c>
      <c r="AI373" s="179" t="str">
        <f>IF(D373="","",VLOOKUP(D373,'DB technologies'!$N$182:$Y$194,10,FALSE))</f>
        <v/>
      </c>
      <c r="AJ373" s="482" t="e">
        <f>VLOOKUP($C$373,'DB animal categories'!$C$137:$AN$146,27,FALSE)-VLOOKUP($C$373,'DB animal categories'!$C$137:$AN$146,26,FALSE)*VLOOKUP($C$373,'DB animal categories'!$C$137:$AN$146,25,FALSE)/24</f>
        <v>#N/A</v>
      </c>
      <c r="AK373" s="453" t="str">
        <f>IF(AI373="","",AL373+AM373)</f>
        <v/>
      </c>
      <c r="AL373" s="453" t="str">
        <f>IF(D373="","",IF(AI373=2,(('Calc (ex-animal)'!$G$74*'DB additional information '!$K$16/100*(1-VLOOKUP(D373,'DB technologies'!$N$182:$Y$194,9,FALSE)/100)*'Calc (ex-housing, ex-storage)'!F373/100+'Calc (ex-animal)'!$H$74*'DB additional information '!$L$16/100*(1-VLOOKUP(D373,'DB technologies'!$N$182:$Y$194,9,FALSE)/100)*'Calc (ex-housing, ex-storage)'!F373/100))/VLOOKUP($C$373,'DB animal categories'!$C$137:$AC$146,27,FALSE)*AJ373+I373+J373+K373,IF(AI373=1,('Calc (ex-animal)'!$H$74*'DB additional information '!$L$16/100*(1-VLOOKUP(D373,'DB technologies'!$N$182:$Y$194,9,FALSE)/100)*'Calc (ex-housing, ex-storage)'!F373/100)/VLOOKUP($C$373,'DB animal categories'!$C$137:$AC$146,27,FALSE)*AJ373,IF(AI373=4,('Calc (ex-animal)'!$G$74*'DB additional information '!$K$16/100+'Calc (ex-animal)'!$H$74*'DB additional information '!$L$16/100)*(1-VLOOKUP(D373,'DB technologies'!$N$182:$Y$194,9,FALSE)/100)*'Calc (ex-housing, ex-storage)'!F373/100*VLOOKUP(D373,'DB technologies'!$N$182:$Y$194,11,FALSE)/100/VLOOKUP($C$373,'DB animal categories'!$C$137:$AC$146,27,FALSE)*AJ373,0))))</f>
        <v/>
      </c>
      <c r="AM373" s="453" t="str">
        <f>IF(D373="","",IF(AI373=2,(('Calc (ex-animal)'!$G$74*(1-'DB additional information '!$K$16/100)*(1-VLOOKUP(D373,'DB technologies'!$N$182:$Y$194,8,FALSE)/100)*'Calc (ex-housing, ex-storage)'!F373/100+'Calc (ex-animal)'!$H$74*(1-'DB additional information '!$L$16/100)*(1-VLOOKUP(D373,'DB technologies'!$N$182:$Y$194,8,FALSE)/100)*'Calc (ex-housing, ex-storage)'!F373/100))/VLOOKUP($C$373,'DB animal categories'!$C$137:$AC$146,27,FALSE)*AJ373+M373+N373+O373,IF(AI373=1,('Calc (ex-animal)'!$H$74*(1-'DB additional information '!$L$16/100)*(1-VLOOKUP(D373,'DB technologies'!$N$182:$Y$194,8,FALSE)/100)*'Calc (ex-housing, ex-storage)'!F373/100)/VLOOKUP($C$373,'DB animal categories'!$C$137:$AC$146,27,FALSE)*AJ373,IF(AI373=4,('Calc (ex-animal)'!$G$74*(1-'DB additional information '!$K$16/100)+'Calc (ex-animal)'!$H$74*(1-'DB additional information '!$L$16/100))*(1-VLOOKUP(D373,'DB technologies'!$N$182:$Y$194,8,FALSE)/100)*'Calc (ex-housing, ex-storage)'!F373/100*VLOOKUP(D373,'DB technologies'!$N$182:$Y$194,11,FALSE)/100/VLOOKUP($C$373,'DB animal categories'!$C$137:$AC$146,27,FALSE)*AJ373,0))))</f>
        <v/>
      </c>
      <c r="AN373" s="453" t="str">
        <f>IF(AI373="","",IF(AL373=0,0,AL373/AK373*100))</f>
        <v/>
      </c>
      <c r="AO373" s="180" t="str">
        <f>IF(D373="","",IF(AI373=2,(('Calc (ex-animal)'!$L$74*'Calc (ex-housing, ex-storage)'!F373/100+'Calc (ex-animal)'!$K$74*'Calc (ex-housing, ex-storage)'!F373/100))/VLOOKUP($C$373,'DB animal categories'!$C$137:$AC$146,27,FALSE)*AJ373+Q373+R373+S373-AC373,IF(AI373=1,('Calc (ex-animal)'!$L$74*'Calc (ex-housing, ex-storage)'!F373/100)/VLOOKUP($C$373,'DB animal categories'!$C$137:$AC$146,27,FALSE)*AJ373-'Calc (ex-housing, ex-storage)'!AC373,IF(AI373=4,('Calc (ex-animal)'!$L$74+'Calc (ex-animal)'!$K$74)*'Calc (ex-housing, ex-storage)'!F373/100*VLOOKUP(D373,'DB technologies'!$N$182:$Y$194,11,FALSE)/100/VLOOKUP($C$373,'DB animal categories'!$C$137:$AC$146,27,FALSE)*AJ373-AC373*VLOOKUP(D373,'DB technologies'!$N$182:$Y$194,11,FALSE)/100,0))))</f>
        <v/>
      </c>
      <c r="AP373" s="180" t="str">
        <f>IF(D373="","",IF(AO373&lt;-0.01,0,IF(AI373=2,(('Calc (ex-animal)'!$L$74*'Calc (ex-housing, ex-storage)'!F373/100+'Calc (ex-animal)'!$K$74*'Calc (ex-housing, ex-storage)'!F373/100))/VLOOKUP($C$373,'DB animal categories'!$C$137:$AC$146,27,FALSE)*AJ373+Q373+R373+S373-AC373,IF(AI373=1,('Calc (ex-animal)'!$L$74*'Calc (ex-housing, ex-storage)'!F373/100)/VLOOKUP($C$373,'DB animal categories'!$C$137:$AC$146,27,FALSE)*AJ373-'Calc (ex-housing, ex-storage)'!AC373,IF(AI373=4,('Calc (ex-animal)'!$L$74+'Calc (ex-animal)'!$K$74)*'Calc (ex-housing, ex-storage)'!F373/100*VLOOKUP(D373,'DB technologies'!$N$182:$Y$194,11,FALSE)/100/VLOOKUP($C$373,'DB animal categories'!$C$137:$AC$146,27,FALSE)*AJ373-AC373*VLOOKUP(D373,'DB technologies'!$N$182:$Y$194,11,FALSE)/100,0)))))</f>
        <v/>
      </c>
      <c r="AQ373" s="180" t="str">
        <f>IF(D373="","",IF(AI373=2,('Calc (ex-animal)'!$O$74*'Calc (ex-housing, ex-storage)'!F373/100+'Calc (ex-animal)'!$N$74*'Calc (ex-housing, ex-storage)'!F373/100)/VLOOKUP($C$373,'DB animal categories'!$C$137:$AC$146,27,FALSE)*AJ373+U373+V373+W373,IF(AI373=1,'Calc (ex-animal)'!$O$74*'Calc (ex-housing, ex-storage)'!F373/100/VLOOKUP($C$373,'DB animal categories'!$C$137:$AC$146,27,FALSE)*AJ373,IF(AI373=4,('Calc (ex-animal)'!$O$74+'Calc (ex-animal)'!$N$74)*'Calc (ex-housing, ex-storage)'!F373/100*VLOOKUP(D373,'DB technologies'!$N$182:$Y$194,11,FALSE)/100/VLOOKUP($C$373,'DB animal categories'!$C$137:$AC$146,27,FALSE)*AJ373,0))))</f>
        <v/>
      </c>
      <c r="AR373" s="180" t="str">
        <f>IF(D373="","",IF(AI373=2,('Calc (ex-animal)'!$R$74*'Calc (ex-housing, ex-storage)'!F373/100+'Calc (ex-animal)'!$Q$74*'Calc (ex-housing, ex-storage)'!F373/100)/VLOOKUP($C$373,'DB animal categories'!$C$137:$AC$146,27,FALSE)*AJ373+Y373+Z373+AA373,IF(AI373=1,'Calc (ex-animal)'!$R$74*'Calc (ex-housing, ex-storage)'!F373/100/VLOOKUP($C$373,'DB animal categories'!$C$137:$AC$146,27,FALSE)*AJ373,IF(AI373=4,('Calc (ex-animal)'!$R$74+'Calc (ex-animal)'!$Q$74)*'Calc (ex-housing, ex-storage)'!F373/100*VLOOKUP(D373,'DB technologies'!$N$182:$Y$194,11,FALSE)/100/VLOOKUP($C$373,'DB animal categories'!$C$137:$AC$146,27,FALSE)*AJ373,0))))</f>
        <v/>
      </c>
      <c r="AS373" s="179" t="str">
        <f>IF(D373="","",VLOOKUP(D373,'DB technologies'!$N$182:$Y$194,10,FALSE))</f>
        <v/>
      </c>
      <c r="AT373" s="453" t="str">
        <f>IF(AS373="","",AU373+AV373)</f>
        <v/>
      </c>
      <c r="AU373" s="453" t="str">
        <f>IF(D373="","",IF(AS373=2,0,IF(AS373=1,'Calc (ex-animal)'!$G$74*'DB additional information '!$K$16/100*(1-VLOOKUP(D373,'DB technologies'!$N$182:$Y$194,8,FALSE)/100)*'Calc (ex-housing, ex-storage)'!F373/100/VLOOKUP($C$373,'DB animal categories'!$C$137:$AC$146,27,FALSE)*AJ373+I373+J373+K373,IF(AS373=5,(('Calc (ex-animal)'!$G$74*'DB additional information '!$K$16/100+'Calc (ex-animal)'!$H$74*'DB additional information '!$L$16/100))*(1-VLOOKUP(D373,'DB technologies'!$N$182:$Y$194,9,FALSE)/100)*'Calc (ex-housing, ex-storage)'!F373/100/VLOOKUP($C$373,'DB animal categories'!$C$137:$AC$146,27,FALSE)*AJ373+I373+J373+K373,IF(AS373=3,('Calc (ex-animal)'!$G$74*'DB additional information '!$K$16/100+'Calc (ex-animal)'!$H$74*'DB additional information '!$L$16/100)*(1-VLOOKUP(D373,'DB technologies'!$N$182:$Y$194,9,FALSE)/100)*'Calc (ex-housing, ex-storage)'!F373/100/VLOOKUP($C$373,'DB animal categories'!$C$137:$AC$146,27,FALSE)*AJ373+I373+J373+K373,IF(AS373=4,('Calc (ex-animal)'!$G$74*'DB additional information '!$K$16/100+'Calc (ex-animal)'!$H$74*'DB additional information '!$L$16/100)*(1-VLOOKUP(D373,'DB technologies'!$N$182:$Y$194,9,FALSE)/100)*'Calc (ex-housing, ex-storage)'!F373/100*VLOOKUP(D373,'DB technologies'!$N$182:$Y$194,12,FALSE)/100/VLOOKUP($C$373,'DB animal categories'!$C$137:$AC$146,27,FALSE)*AJ373+I373+J373+K373,0))))))</f>
        <v/>
      </c>
      <c r="AV373" s="453" t="str">
        <f>IF(D373="","",IF(AS373=2,0,IF(AS373=1,'Calc (ex-animal)'!$G$74*(1-'DB additional information '!$K$16/100)*(1-VLOOKUP(D373,'DB technologies'!$N$182:$Y$194,8,FALSE)/100)*'Calc (ex-housing, ex-storage)'!F373/100/VLOOKUP($C$373,'DB animal categories'!$C$137:$AC$146,27,FALSE)*AJ373+M373+N373+O373,IF(AS373=5,('Calc (ex-animal)'!$G$74*(1-'DB additional information '!$K$16/100)+'Calc (ex-animal)'!$H$74*(1-'DB additional information '!$L$16/100))*(1-VLOOKUP(D373,'DB technologies'!$N$182:$Y$194,8,FALSE)/100)*'Calc (ex-housing, ex-storage)'!F373/100/VLOOKUP($C$373,'DB animal categories'!$C$137:$AC$146,27,FALSE)*AJ373+M373+N373+O373,IF(AS373=3,('Calc (ex-animal)'!$G$74*(1-'DB additional information '!$K$16/100)+'Calc (ex-animal)'!$H$74*(1-'DB additional information '!$L$16/100))*(1-VLOOKUP(D373,'DB technologies'!$N$182:$Y$194,8,FALSE)/100)*'Calc (ex-housing, ex-storage)'!F373/100/VLOOKUP($C$373,'DB animal categories'!$C$137:$AC$146,27,FALSE)*AJ373+M373+N373+O373,IF(AS373=4,('Calc (ex-animal)'!$G$74*(1-'DB additional information '!$K$16/100)+'Calc (ex-animal)'!$H$74*(1-'DB additional information '!$L$16/100))*(1-VLOOKUP(D373,'DB technologies'!$N$182:$Y$194,8,FALSE)/100)*'Calc (ex-housing, ex-storage)'!F373/100*VLOOKUP(D373,'DB technologies'!$N$182:$Y$194,12,FALSE)/100/VLOOKUP($C$373,'DB animal categories'!$C$137:$AC$146,27,FALSE)*AJ373+M373+N373+O373,0))))))</f>
        <v/>
      </c>
      <c r="AW373" s="453" t="str">
        <f>IF(AS373="","",IF(AU373=0,0,AU373/AT373*100))</f>
        <v/>
      </c>
      <c r="AX373" s="180" t="str">
        <f>IF(D373="","",IF(AS373=2,0,IF(AS373=1,'Calc (ex-animal)'!$K$74*'Calc (ex-housing, ex-storage)'!F373/100/VLOOKUP($C$373,'DB animal categories'!$C$137:$AC$146,27,FALSE)*AJ373+Q373+R373+S373,IF(AS373=5,('Calc (ex-animal)'!$K$74+'Calc (ex-animal)'!$L$74)*'Calc (ex-housing, ex-storage)'!F373/100/VLOOKUP($C$373,'DB animal categories'!$C$137:$AC$146,27,FALSE)*AJ373+Q373+R373+S373-'Calc (ex-housing, ex-storage)'!AC373,IF(AS373=3,('Calc (ex-animal)'!$K$74+'Calc (ex-animal)'!$L$74)*'Calc (ex-housing, ex-storage)'!F373/100/VLOOKUP($C$373,'DB animal categories'!$C$137:$AC$146,27,FALSE)*AJ373+Q373+R373+S373-'Calc (ex-housing, ex-storage)'!AC373-AD373-AE373,IF(AI373=4,('Calc (ex-animal)'!$K$74+'Calc (ex-animal)'!$L$74)*'Calc (ex-housing, ex-storage)'!F373/100*VLOOKUP(D373,'DB technologies'!$N$182:$Y$194,12,FALSE)/100/VLOOKUP($C$373,'DB animal categories'!$C$137:$AC$146,27,FALSE)*AJ373+Q373+R373+S373-(VLOOKUP(D373,'DB technologies'!$N$182:$Y$194,12,FALSE)/100*AC373)-AD373-AE373,0))))))</f>
        <v/>
      </c>
      <c r="AY373" s="180" t="str">
        <f>IF(D373="","",IF(AS373=2,0,IF(AS373=1,'Calc (ex-animal)'!$N$74*'Calc (ex-housing, ex-storage)'!F373/100/VLOOKUP($C$373,'DB animal categories'!$C$137:$AC$146,27,FALSE)*AJ373+U373+V373+W373,IF(AS373=5,('Calc (ex-animal)'!$N$74+'Calc (ex-animal)'!$O$74)*'Calc (ex-housing, ex-storage)'!F373/100/VLOOKUP($C$373,'DB animal categories'!$C$137:$AC$146,27,FALSE)*AJ373+U373+V373+W373,IF(AS373=3,('Calc (ex-animal)'!$N$74+'Calc (ex-animal)'!$O$74)*'Calc (ex-housing, ex-storage)'!F373/100/VLOOKUP($C$373,'DB animal categories'!$C$137:$AC$146,27,FALSE)*AJ373+U373+V373+W373,IF(AS373=4,('Calc (ex-animal)'!$N$74+'Calc (ex-animal)'!$O$74)*'Calc (ex-housing, ex-storage)'!F373/100*VLOOKUP(D373,'DB technologies'!$N$182:$Y$194,12,FALSE)/100/VLOOKUP($C$373,'DB animal categories'!$C$137:$AC$146,27,FALSE)*AJ373+U373+V373+W373,0))))))</f>
        <v/>
      </c>
      <c r="AZ373" s="180" t="str">
        <f>IF(D373="","",IF(AS373=2,0,IF(AS373=1,'Calc (ex-animal)'!$Q$74*'Calc (ex-housing, ex-storage)'!F373/100/VLOOKUP($C$373,'DB animal categories'!$C$137:$AC$146,27,FALSE)*AJ373+Y373+Z373+AA373,IF(AS373=5,('Calc (ex-animal)'!$Q$74+'Calc (ex-animal)'!$R$74)*'Calc (ex-housing, ex-storage)'!F373/100/VLOOKUP($C$373,'DB animal categories'!$C$137:$AC$146,27,FALSE)*AJ373+Y373+Z373+AA373,IF(AS373=3,('Calc (ex-animal)'!$Q$74+'Calc (ex-animal)'!$R$74)*'Calc (ex-housing, ex-storage)'!F373/100/VLOOKUP($C$373,'DB animal categories'!$C$137:$AC$146,27,FALSE)*AJ373+Y373+Z373+AA373,IF(AS373=4,('Calc (ex-animal)'!$Q$74+'Calc (ex-animal)'!$R$74)*'Calc (ex-housing, ex-storage)'!F373/100*VLOOKUP(D373,'DB technologies'!$N$182:$Y$194,12,FALSE)/100/VLOOKUP($C$373,'DB animal categories'!$C$137:$AC$146,27,FALSE)*AJ373+Y373+Z373+AA373,0))))))</f>
        <v/>
      </c>
      <c r="BA373" s="506"/>
      <c r="BB373" s="506"/>
      <c r="BC373" s="506"/>
    </row>
    <row r="374" spans="1:55" x14ac:dyDescent="0.2">
      <c r="A374" s="695"/>
      <c r="B374" s="695"/>
      <c r="C374" s="251"/>
      <c r="D374" s="1357"/>
      <c r="E374" s="1358"/>
      <c r="F374" s="480" t="str">
        <f>IF('Calc (ex-animal)'!$F$73=1,"",IF($C$373=0,"",IF(D374="","",E374/'Calc (ex-animal)'!$E$74*100)))</f>
        <v/>
      </c>
      <c r="G374" s="485" t="str">
        <f>IF($C$373=0,"",IF('Calc (ex-animal)'!$F$73=1,"",IF(D374="","",SUM(H374:O374))))</f>
        <v/>
      </c>
      <c r="H374" s="423" t="str">
        <f>IF('Calc (ex-animal)'!$F$73=1,"",IF(D374="","",(((VLOOKUP($C$373,'Calc (ex-animal)'!$D$73:$Y$77,6,FALSE)-VLOOKUP($C$373,'Calc (ex-animal)'!$D$73:$Y$77,17,FALSE))*F374/100))*VLOOKUP($C$373,'Calc (ex-animal)'!$D$73:$Y$77,7,FALSE)/100*(1-VLOOKUP(D374,'DB technologies'!$N$182:$Y$194,9,FALSE)/100)))</f>
        <v/>
      </c>
      <c r="I374" s="423" t="str">
        <f>IF(D374="","",((VLOOKUP(D374,'DB technologies'!$N$182:$Y$194,2,FALSE)*VLOOKUP($C$373,'DB animal categories'!$C$137:$AC$146,27,FALSE)*E374/1000)/VLOOKUP($C$373,'DB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'!$S$6/100*(1-VLOOKUP(D374,'DB technologies'!$N$182:$Y$194,9,FALSE)/100)))</f>
        <v/>
      </c>
      <c r="J374" s="434" t="str">
        <f>IF(D374="","",((VLOOKUP(D374,'DB technologies'!$N$182:$Y$194,3,FALSE)*VLOOKUP($C$373,'DB animal categories'!$C$137:$AC$146,27,FALSE)*E374/1000)/VLOOKUP($C$373,'DB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'!$S$7/100*(1-VLOOKUP(D374,'DB technologies'!$N$182:$Y$194,9,FALSE)/100)))</f>
        <v/>
      </c>
      <c r="K374" s="434" t="str">
        <f>IF(D374="","",((VLOOKUP(D374,'DB technologies'!$N$182:$Y$194,4,FALSE)*E374*'DB additional information '!$S$8/100*(1-VLOOKUP(D374,'DB technologies'!$N$182:$Y$194,9,FALSE)/100))/VLOOKUP($C$373,'DB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L374" s="423" t="str">
        <f>IF('Calc (ex-animal)'!$F$73=1,"",IF(D374="","",(((VLOOKUP($C$373,'Calc (ex-animal)'!$D$73:$Y$77,6,FALSE)-VLOOKUP($C$373,'Calc (ex-animal)'!$D$73:$Y$77,17,FALSE))*F374/100))*(1-VLOOKUP($C$373,'Calc (ex-animal)'!$D$73:$Y$77,7,FALSE)/100)*(1-VLOOKUP(D374,'DB technologies'!$N$182:$V$194,8,FALSE)/100)))</f>
        <v/>
      </c>
      <c r="M374" s="434" t="str">
        <f>IF(D374="","",((VLOOKUP(D374,'DB technologies'!$N$182:$Y$194,2,FALSE)*VLOOKUP($C$373,'DB animal categories'!$C$137:$AC$146,27,FALSE)*E374/1000)/VLOOKUP($C$373,'DB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'!$S$6/100)*(1-VLOOKUP(D374,'DB technologies'!$N$182:$Y$194,9,FALSE)/100))</f>
        <v/>
      </c>
      <c r="N374" s="434" t="str">
        <f>IF(D374="","",((VLOOKUP(D374,'DB technologies'!$N$182:$Y$194,3,FALSE)*VLOOKUP($C$373,'DB animal categories'!$C$137:$AC$146,27,FALSE)*E374/1000)/VLOOKUP($C$373,'DB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'!$S$7/100)*(1-VLOOKUP(D374,'DB technologies'!$N$182:$Y$194,9,FALSE)/100))</f>
        <v/>
      </c>
      <c r="O374" s="423" t="str">
        <f>IF(D374="","",((VLOOKUP(D374,'DB technologies'!$N$182:$Y$194,4,FALSE)*E374*(1-'DB additional information '!$S$8/100)*(1-VLOOKUP(D374,'DB technologies'!$N$182:$Y$194,8,FALSE)/100))/VLOOKUP($C$373,'DB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P374" s="438" t="str">
        <f>IF(G374=0,0,IF(E374="","",IF(F374="","",IF($C$373=0,"",IF(D374="","",SUM(H374:K374)/G374*100)))))</f>
        <v/>
      </c>
      <c r="Q374" s="416" t="str">
        <f>IF(D374="","",(VLOOKUP(D374,'DB technologies'!$N$182:$Y$194,2,FALSE)*'DB additional information '!$S$6/100*'DB additional information '!$T$6*VLOOKUP($C$373,'DB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R374" s="416" t="str">
        <f>IF(D374="","",(VLOOKUP(D374,'DB technologies'!$N$182:$Y$194,3,FALSE)*'DB additional information '!$S$7/100*'DB additional information '!$T$7*VLOOKUP($C$373,'DB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S374" s="491" t="str">
        <f>IF(D374="","",(VLOOKUP(D374,'DB technologies'!$N$182:$Y$194,4,FALSE)*('DB additional information '!$S$8/100*'DB additional information '!$T$8*E374/1000/1000)))</f>
        <v/>
      </c>
      <c r="T374" s="264" t="str">
        <f>IF($C$373=0,"",IF('Calc (ex-animal)'!$F$73=1,"",IF(D374="","",((VLOOKUP($C$373,'Calc (ex-animal)'!$D$73:$Y$77,10,FALSE)-VLOOKUP($C$373,'Calc (ex-animal)'!$D$73:$Y$77,18,FALSE))*F374/100+Q374+R374+S374)-AC374-AD374-AE374)))</f>
        <v/>
      </c>
      <c r="U374" s="422" t="str">
        <f>IF(D374="","",(VLOOKUP(D374,'DB technologies'!$N$182:$Y$194,2,FALSE)*'DB additional information '!$S$6/100*'DB additional information '!$U$6*VLOOKUP($C$373,'DB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V374" s="418" t="str">
        <f>IF(D374="","",(VLOOKUP(D374,'DB technologies'!$N$182:$Y$194,3,FALSE)*'DB additional information '!$S$7/100*'DB additional information '!$U$7*VLOOKUP($C$373,'DB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W374" s="417" t="str">
        <f>IF(D374="","",(VLOOKUP(D374,'DB technologies'!$N$182:$Y$194,4,FALSE)*('DB additional information '!$S$8/100*'DB additional information '!$U$8*E374/1000/1000)))</f>
        <v/>
      </c>
      <c r="X374" s="261" t="str">
        <f>IF($C$373=0,"",IF('Calc (ex-animal)'!$F$73=1,"",IF(D374="","",((VLOOKUP($C$373,'Calc (ex-animal)'!$D$73:$Y$77,13,FALSE)-VLOOKUP($C$373,'Calc (ex-animal)'!$D$73:$Y$77,19,FALSE))*F374/100+U374+V374+W374))))</f>
        <v/>
      </c>
      <c r="Y374" s="418" t="str">
        <f>IF(D374="","",(VLOOKUP(D374,'DB technologies'!$N$182:$Y$194,2,FALSE)*'DB additional information '!$S$6/100*'DB additional information '!$V$6*VLOOKUP($C$373,'DB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Z374" s="418" t="str">
        <f>IF(D374="","",(VLOOKUP(D374,'DB technologies'!$N$182:$Y$194,3,FALSE)*'DB additional information '!$S$7/100*'DB additional information '!$V$7*VLOOKUP($C$373,'DB animal categories'!$C$137:$AC$146,27,FALSE)*E374/1000/1000)/VLOOKUP($C$373,'DB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AA374" s="418" t="str">
        <f>IF(D374="","",(VLOOKUP(D374,'DB technologies'!$N$182:$Y$194,4,FALSE)*('DB additional information '!$S$8/100*'DB additional information '!$V$8*E374/1000/1000)))</f>
        <v/>
      </c>
      <c r="AB374" s="261" t="str">
        <f>IF($C$373=0,"",IF('Calc (ex-animal)'!$F$73=1,"",IF(D374="","",((VLOOKUP($C$373,'Calc (ex-animal)'!$D$73:$Y$77,16,FALSE)-VLOOKUP($C$373,'Calc (ex-animal)'!$D$73:$Y$77,20,FALSE))*F374/100+Y374+Z374+AA374))))</f>
        <v/>
      </c>
      <c r="AC374" s="261" t="str">
        <f>IF($C$373=0,"",IF('Calc (ex-animal)'!$F$73=1,"",IF(D374="","",VLOOKUP($C$373,'Calc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categories'!$C$137:$AC$146,26,FALSE)/24)*F374/100*VLOOKUP(D374,'DB technologies'!$N$182:$R$194,5,FALSE)/100)))</f>
        <v/>
      </c>
      <c r="AD374" s="261" t="str">
        <f>IF($C$373=0,"",IF('Calc (ex-animal)'!$F$73=1,"",IF(D374="","",VLOOKUP($C$373,'Calc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categories'!$C$137:$AC$146,26,FALSE)/24)*F374/100*VLOOKUP(D374,'DB technologies'!$N$182:$Y$194,6,FALSE)/100)))</f>
        <v/>
      </c>
      <c r="AE374" s="262" t="str">
        <f>IF($C$373=0,"",IF('Calc (ex-animal)'!$F$73=1,"",IF(D374="","",VLOOKUP($C$373,'Calc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categories'!$C$137:$AC$146,26,FALSE)/24)*F374/100*VLOOKUP(D374,'DB technologies'!$N$182:$Y$194,7,FALSE)/100)))</f>
        <v/>
      </c>
      <c r="AI374" s="181" t="str">
        <f>IF(D374="","",VLOOKUP(D374,'DB technologies'!$N$182:$Y$194,10,FALSE))</f>
        <v/>
      </c>
      <c r="AJ374" s="449" t="e">
        <f>VLOOKUP($C$373,'DB animal categories'!$C$137:$AN$146,27,FALSE)-VLOOKUP($C$373,'DB animal categories'!$C$137:$AN$146,26,FALSE)*VLOOKUP($C$373,'DB animal categories'!$C$137:$AN$146,25,FALSE)/24</f>
        <v>#N/A</v>
      </c>
      <c r="AK374" s="442" t="str">
        <f>IF(AI374="","",AL374+AM374)</f>
        <v/>
      </c>
      <c r="AL374" s="442" t="str">
        <f>IF(D374="","",IF(AI374=2,(('Calc (ex-animal)'!$G$74*'DB additional information '!$K$16/100*(1-VLOOKUP(D374,'DB technologies'!$N$182:$Y$194,9,FALSE)/100)*'Calc (ex-housing, ex-storage)'!F374/100+'Calc (ex-animal)'!$H$74*'DB additional information '!$L$16/100*(1-VLOOKUP(D374,'DB technologies'!$N$182:$Y$194,9,FALSE)/100)*'Calc (ex-housing, ex-storage)'!F374/100))/VLOOKUP($C$373,'DB animal categories'!$C$137:$AC$146,27,FALSE)*AJ374+I374+J374+K374,IF(AI374=1,('Calc (ex-animal)'!$H$74*'DB additional information '!$L$16/100*(1-VLOOKUP(D374,'DB technologies'!$N$182:$Y$194,9,FALSE)/100)*'Calc (ex-housing, ex-storage)'!F374/100)/VLOOKUP($C$373,'DB animal categories'!$C$137:$AC$146,27,FALSE)*AJ374,IF(AI374=4,('Calc (ex-animal)'!$G$74*'DB additional information '!$K$16/100+'Calc (ex-animal)'!$H$74*'DB additional information '!$L$16/100)*(1-VLOOKUP(D374,'DB technologies'!$N$182:$Y$194,9,FALSE)/100)*'Calc (ex-housing, ex-storage)'!F374/100*VLOOKUP(D374,'DB technologies'!$N$182:$Y$194,11,FALSE)/100/VLOOKUP($C$373,'DB animal categories'!$C$137:$AC$146,27,FALSE)*AJ374,0))))</f>
        <v/>
      </c>
      <c r="AM374" s="442" t="str">
        <f>IF(D374="","",IF(AI374=2,(('Calc (ex-animal)'!$G$74*(1-'DB additional information '!$K$16/100)*(1-VLOOKUP(D374,'DB technologies'!$N$182:$Y$194,8,FALSE)/100)*'Calc (ex-housing, ex-storage)'!F374/100+'Calc (ex-animal)'!$H$74*(1-'DB additional information '!$L$16/100)*(1-VLOOKUP(D374,'DB technologies'!$N$182:$Y$194,8,FALSE)/100)*'Calc (ex-housing, ex-storage)'!F374/100))/VLOOKUP($C$373,'DB animal categories'!$C$137:$AC$146,27,FALSE)*AJ374+M374+N374+O374,IF(AI374=1,('Calc (ex-animal)'!$H$74*(1-'DB additional information '!$L$16/100)*(1-VLOOKUP(D374,'DB technologies'!$N$182:$Y$194,8,FALSE)/100)*'Calc (ex-housing, ex-storage)'!F374/100)/VLOOKUP($C$373,'DB animal categories'!$C$137:$AC$146,27,FALSE)*AJ374,IF(AI374=4,('Calc (ex-animal)'!$G$74*(1-'DB additional information '!$K$16/100)+'Calc (ex-animal)'!$H$74*(1-'DB additional information '!$L$16/100))*(1-VLOOKUP(D374,'DB technologies'!$N$182:$Y$194,8,FALSE)/100)*'Calc (ex-housing, ex-storage)'!F374/100*VLOOKUP(D374,'DB technologies'!$N$182:$Y$194,11,FALSE)/100/VLOOKUP($C$373,'DB animal categories'!$C$137:$AC$146,27,FALSE)*AJ374,0))))</f>
        <v/>
      </c>
      <c r="AN374" s="442" t="str">
        <f>IF(AI374="","",IF(AL374=0,0,AL374/AK374*100))</f>
        <v/>
      </c>
      <c r="AO374" s="182" t="str">
        <f>IF(D374="","",IF(AI374=2,(('Calc (ex-animal)'!$L$74*'Calc (ex-housing, ex-storage)'!F374/100+'Calc (ex-animal)'!$K$74*'Calc (ex-housing, ex-storage)'!F374/100))/VLOOKUP($C$373,'DB animal categories'!$C$137:$AC$146,27,FALSE)*AJ374+Q374+R374+S374-AC374,IF(AI374=1,('Calc (ex-animal)'!$L$74*'Calc (ex-housing, ex-storage)'!F374/100)/VLOOKUP($C$373,'DB animal categories'!$C$137:$AC$146,27,FALSE)*AJ374-'Calc (ex-housing, ex-storage)'!AC374,IF(AI374=4,('Calc (ex-animal)'!$L$74+'Calc (ex-animal)'!$K$74)*'Calc (ex-housing, ex-storage)'!F374/100*VLOOKUP(D374,'DB technologies'!$N$182:$Y$194,11,FALSE)/100/VLOOKUP($C$373,'DB animal categories'!$C$137:$AC$146,27,FALSE)*AJ374-AC374*VLOOKUP(D374,'DB technologies'!$N$182:$Y$194,11,FALSE)/100,0))))</f>
        <v/>
      </c>
      <c r="AP374" s="182" t="str">
        <f>IF(D374="","",IF(AO374&lt;-0.01,0,IF(AI374=2,(('Calc (ex-animal)'!$L$74*'Calc (ex-housing, ex-storage)'!F374/100+'Calc (ex-animal)'!$K$74*'Calc (ex-housing, ex-storage)'!F374/100))/VLOOKUP($C$373,'DB animal categories'!$C$137:$AC$146,27,FALSE)*AJ374+Q374+R374+S374-AC374,IF(AI374=1,('Calc (ex-animal)'!$L$74*'Calc (ex-housing, ex-storage)'!F374/100)/VLOOKUP($C$373,'DB animal categories'!$C$137:$AC$146,27,FALSE)*AJ374-'Calc (ex-housing, ex-storage)'!AC374,IF(AI374=4,('Calc (ex-animal)'!$L$74+'Calc (ex-animal)'!$K$74)*'Calc (ex-housing, ex-storage)'!F374/100*VLOOKUP(D374,'DB technologies'!$N$182:$Y$194,11,FALSE)/100/VLOOKUP($C$373,'DB animal categories'!$C$137:$AC$146,27,FALSE)*AJ374-AC374*VLOOKUP(D374,'DB technologies'!$N$182:$Y$194,11,FALSE)/100,0)))))</f>
        <v/>
      </c>
      <c r="AQ374" s="182" t="str">
        <f>IF(D374="","",IF(AI374=2,('Calc (ex-animal)'!$O$74*'Calc (ex-housing, ex-storage)'!F374/100+'Calc (ex-animal)'!$N$74*'Calc (ex-housing, ex-storage)'!F374/100)/VLOOKUP($C$373,'DB animal categories'!$C$137:$AC$146,27,FALSE)*AJ374+U374+V374+W374,IF(AI374=1,'Calc (ex-animal)'!$O$74*'Calc (ex-housing, ex-storage)'!F374/100/VLOOKUP($C$373,'DB animal categories'!$C$137:$AC$146,27,FALSE)*AJ374,IF(AI374=4,('Calc (ex-animal)'!$O$74+'Calc (ex-animal)'!$N$74)*'Calc (ex-housing, ex-storage)'!F374/100*VLOOKUP(D374,'DB technologies'!$N$182:$Y$194,11,FALSE)/100/VLOOKUP($C$373,'DB animal categories'!$C$137:$AC$146,27,FALSE)*AJ374,0))))</f>
        <v/>
      </c>
      <c r="AR374" s="182" t="str">
        <f>IF(D374="","",IF(AI374=2,('Calc (ex-animal)'!$R$74*'Calc (ex-housing, ex-storage)'!F374/100+'Calc (ex-animal)'!$Q$74*'Calc (ex-housing, ex-storage)'!F374/100)/VLOOKUP($C$373,'DB animal categories'!$C$137:$AC$146,27,FALSE)*AJ374+Y374+Z374+AA374,IF(AI374=1,'Calc (ex-animal)'!$R$74*'Calc (ex-housing, ex-storage)'!F374/100/VLOOKUP($C$373,'DB animal categories'!$C$137:$AC$146,27,FALSE)*AJ374,IF(AI374=4,('Calc (ex-animal)'!$R$74+'Calc (ex-animal)'!$Q$74)*'Calc (ex-housing, ex-storage)'!F374/100*VLOOKUP(D374,'DB technologies'!$N$182:$Y$194,11,FALSE)/100/VLOOKUP($C$373,'DB animal categories'!$C$137:$AC$146,27,FALSE)*AJ374,0))))</f>
        <v/>
      </c>
      <c r="AS374" s="181" t="str">
        <f>IF(D374="","",VLOOKUP(D374,'DB technologies'!$N$182:$Y$194,10,FALSE))</f>
        <v/>
      </c>
      <c r="AT374" s="442" t="str">
        <f>IF(AS374="","",AU374+AV374)</f>
        <v/>
      </c>
      <c r="AU374" s="442" t="str">
        <f>IF(D374="","",IF(AS374=2,0,IF(AS374=1,'Calc (ex-animal)'!$G$74*'DB additional information '!$K$16/100*(1-VLOOKUP(D374,'DB technologies'!$N$182:$Y$194,8,FALSE)/100)*'Calc (ex-housing, ex-storage)'!F374/100/VLOOKUP($C$373,'DB animal categories'!$C$137:$AC$146,27,FALSE)*AJ374+I374+J374+K374,IF(AS374=5,(('Calc (ex-animal)'!$G$74*'DB additional information '!$K$16/100+'Calc (ex-animal)'!$H$74*'DB additional information '!$L$16/100))*(1-VLOOKUP(D374,'DB technologies'!$N$182:$Y$194,9,FALSE)/100)*'Calc (ex-housing, ex-storage)'!F374/100/VLOOKUP($C$373,'DB animal categories'!$C$137:$AC$146,27,FALSE)*AJ374+I374+J374+K374,IF(AS374=3,('Calc (ex-animal)'!$G$74*'DB additional information '!$K$16/100+'Calc (ex-animal)'!$H$74*'DB additional information '!$L$16/100)*(1-VLOOKUP(D374,'DB technologies'!$N$182:$Y$194,9,FALSE)/100)*'Calc (ex-housing, ex-storage)'!F374/100/VLOOKUP($C$373,'DB animal categories'!$C$137:$AC$146,27,FALSE)*AJ374+I374+J374+K374,IF(AS374=4,('Calc (ex-animal)'!$G$74*'DB additional information '!$K$16/100+'Calc (ex-animal)'!$H$74*'DB additional information '!$L$16/100)*(1-VLOOKUP(D374,'DB technologies'!$N$182:$Y$194,9,FALSE)/100)*'Calc (ex-housing, ex-storage)'!F374/100*VLOOKUP(D374,'DB technologies'!$N$182:$Y$194,12,FALSE)/100/VLOOKUP($C$373,'DB animal categories'!$C$137:$AC$146,27,FALSE)*AJ374+I374+J374+K374,0))))))</f>
        <v/>
      </c>
      <c r="AV374" s="442" t="str">
        <f>IF(D374="","",IF(AS374=2,0,IF(AS374=1,'Calc (ex-animal)'!$G$74*(1-'DB additional information '!$K$16/100)*(1-VLOOKUP(D374,'DB technologies'!$N$182:$Y$194,8,FALSE)/100)*'Calc (ex-housing, ex-storage)'!F374/100/VLOOKUP($C$373,'DB animal categories'!$C$137:$AC$146,27,FALSE)*AJ374+M374+N374+O374,IF(AS374=5,('Calc (ex-animal)'!$G$74*(1-'DB additional information '!$K$16/100)+'Calc (ex-animal)'!$H$74*(1-'DB additional information '!$L$16/100))*(1-VLOOKUP(D374,'DB technologies'!$N$182:$Y$194,8,FALSE)/100)*'Calc (ex-housing, ex-storage)'!F374/100/VLOOKUP($C$373,'DB animal categories'!$C$137:$AC$146,27,FALSE)*AJ374+M374+N374+O374,IF(AS374=3,('Calc (ex-animal)'!$G$74*(1-'DB additional information '!$K$16/100)+'Calc (ex-animal)'!$H$74*(1-'DB additional information '!$L$16/100))*(1-VLOOKUP(D374,'DB technologies'!$N$182:$Y$194,8,FALSE)/100)*'Calc (ex-housing, ex-storage)'!F374/100/VLOOKUP($C$373,'DB animal categories'!$C$137:$AC$146,27,FALSE)*AJ374+M374+N374+O374,IF(AS374=4,('Calc (ex-animal)'!$G$74*(1-'DB additional information '!$K$16/100)+'Calc (ex-animal)'!$H$74*(1-'DB additional information '!$L$16/100))*(1-VLOOKUP(D374,'DB technologies'!$N$182:$Y$194,8,FALSE)/100)*'Calc (ex-housing, ex-storage)'!F374/100*VLOOKUP(D374,'DB technologies'!$N$182:$Y$194,12,FALSE)/100/VLOOKUP($C$373,'DB animal categories'!$C$137:$AC$146,27,FALSE)*AJ374+M374+N374+O374,0))))))</f>
        <v/>
      </c>
      <c r="AW374" s="442" t="str">
        <f>IF(AS374="","",IF(AU374=0,0,AU374/AT374*100))</f>
        <v/>
      </c>
      <c r="AX374" s="182" t="str">
        <f>IF(D374="","",IF(AS374=2,0,IF(AS374=1,'Calc (ex-animal)'!$K$74*'Calc (ex-housing, ex-storage)'!F374/100/VLOOKUP($C$373,'DB animal categories'!$C$137:$AC$146,27,FALSE)*AJ374+Q374+R374+S374,IF(AS374=5,('Calc (ex-animal)'!$K$74+'Calc (ex-animal)'!$L$74)*'Calc (ex-housing, ex-storage)'!F374/100/VLOOKUP($C$373,'DB animal categories'!$C$137:$AC$146,27,FALSE)*AJ374+Q374+R374+S374-'Calc (ex-housing, ex-storage)'!AC374,IF(AS374=3,('Calc (ex-animal)'!$K$74+'Calc (ex-animal)'!$L$74)*'Calc (ex-housing, ex-storage)'!F374/100/VLOOKUP($C$373,'DB animal categories'!$C$137:$AC$146,27,FALSE)*AJ374+Q374+R374+S374-'Calc (ex-housing, ex-storage)'!AC374-AD374-AE374,IF(AI374=4,('Calc (ex-animal)'!$K$74+'Calc (ex-animal)'!$L$74)*'Calc (ex-housing, ex-storage)'!F374/100*VLOOKUP(D374,'DB technologies'!$N$182:$Y$194,12,FALSE)/100/VLOOKUP($C$373,'DB animal categories'!$C$137:$AC$146,27,FALSE)*AJ374+Q374+R374+S374-(VLOOKUP(D374,'DB technologies'!$N$182:$Y$194,12,FALSE)/100*AC374)-AD374-AE374,0))))))</f>
        <v/>
      </c>
      <c r="AY374" s="182" t="str">
        <f>IF(D374="","",IF(AS374=2,0,IF(AS374=1,'Calc (ex-animal)'!$N$74*'Calc (ex-housing, ex-storage)'!F374/100/VLOOKUP($C$373,'DB animal categories'!$C$137:$AC$146,27,FALSE)*AJ374+U374+V374+W374,IF(AS374=5,('Calc (ex-animal)'!$N$74+'Calc (ex-animal)'!$O$74)*'Calc (ex-housing, ex-storage)'!F374/100/VLOOKUP($C$373,'DB animal categories'!$C$137:$AC$146,27,FALSE)*AJ374+U374+V374+W374,IF(AS374=3,('Calc (ex-animal)'!$N$74+'Calc (ex-animal)'!$O$74)*'Calc (ex-housing, ex-storage)'!F374/100/VLOOKUP($C$373,'DB animal categories'!$C$137:$AC$146,27,FALSE)*AJ374+U374+V374+W374,IF(AS374=4,('Calc (ex-animal)'!$N$74+'Calc (ex-animal)'!$O$74)*'Calc (ex-housing, ex-storage)'!F374/100*VLOOKUP(D374,'DB technologies'!$N$182:$Y$194,12,FALSE)/100/VLOOKUP($C$373,'DB animal categories'!$C$137:$AC$146,27,FALSE)*AJ374+U374+V374+W374,0))))))</f>
        <v/>
      </c>
      <c r="AZ374" s="182" t="str">
        <f>IF(D374="","",IF(AS374=2,0,IF(AS374=1,'Calc (ex-animal)'!$Q$74*'Calc (ex-housing, ex-storage)'!F374/100/VLOOKUP($C$373,'DB animal categories'!$C$137:$AC$146,27,FALSE)*AJ374+Y374+Z374+AA374,IF(AS374=5,('Calc (ex-animal)'!$Q$74+'Calc (ex-animal)'!$R$74)*'Calc (ex-housing, ex-storage)'!F374/100/VLOOKUP($C$373,'DB animal categories'!$C$137:$AC$146,27,FALSE)*AJ374+Y374+Z374+AA374,IF(AS374=3,('Calc (ex-animal)'!$Q$74+'Calc (ex-animal)'!$R$74)*'Calc (ex-housing, ex-storage)'!F374/100/VLOOKUP($C$373,'DB animal categories'!$C$137:$AC$146,27,FALSE)*AJ374+Y374+Z374+AA374,IF(AS374=4,('Calc (ex-animal)'!$Q$74+'Calc (ex-animal)'!$R$74)*'Calc (ex-housing, ex-storage)'!F374/100*VLOOKUP(D374,'DB technologies'!$N$182:$Y$194,12,FALSE)/100/VLOOKUP($C$373,'DB animal categories'!$C$137:$AC$146,27,FALSE)*AJ374+Y374+Z374+AA374,0))))))</f>
        <v/>
      </c>
      <c r="BA374" s="506"/>
      <c r="BB374" s="506"/>
      <c r="BC374" s="506"/>
    </row>
    <row r="375" spans="1:55" x14ac:dyDescent="0.2">
      <c r="A375" s="695"/>
      <c r="B375" s="695"/>
      <c r="C375" s="251"/>
      <c r="D375" s="1357"/>
      <c r="E375" s="1358"/>
      <c r="F375" s="480" t="str">
        <f>IF('Calc (ex-animal)'!$F$73=1,"",IF($C$373=0,"",IF(D375="","",E375/'Calc (ex-animal)'!$E$74*100)))</f>
        <v/>
      </c>
      <c r="G375" s="485" t="str">
        <f>IF($C$373=0,"",IF('Calc (ex-animal)'!$F$73=1,"",IF(D375="","",SUM(H375:O375))))</f>
        <v/>
      </c>
      <c r="H375" s="423" t="str">
        <f>IF('Calc (ex-animal)'!$F$73=1,"",IF(D375="","",(((VLOOKUP($C$373,'Calc (ex-animal)'!$D$73:$Y$77,6,FALSE)-VLOOKUP($C$373,'Calc (ex-animal)'!$D$73:$Y$77,17,FALSE))*F375/100))*VLOOKUP($C$373,'Calc (ex-animal)'!$D$73:$Y$77,7,FALSE)/100*(1-VLOOKUP(D375,'DB technologies'!$N$182:$Y$194,9,FALSE)/100)))</f>
        <v/>
      </c>
      <c r="I375" s="423" t="str">
        <f>IF(D375="","",((VLOOKUP(D375,'DB technologies'!$N$182:$Y$194,2,FALSE)*VLOOKUP($C$373,'DB animal categories'!$C$137:$AC$146,27,FALSE)*E375/1000)/VLOOKUP($C$373,'DB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'!$S$6/100*(1-VLOOKUP(D375,'DB technologies'!$N$182:$Y$194,9,FALSE)/100)))</f>
        <v/>
      </c>
      <c r="J375" s="434" t="str">
        <f>IF(D375="","",((VLOOKUP(D375,'DB technologies'!$N$182:$Y$194,3,FALSE)*VLOOKUP($C$373,'DB animal categories'!$C$137:$AC$146,27,FALSE)*E375/1000)/VLOOKUP($C$373,'DB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'!$S$7/100*(1-VLOOKUP(D375,'DB technologies'!$N$182:$Y$194,9,FALSE)/100)))</f>
        <v/>
      </c>
      <c r="K375" s="434" t="str">
        <f>IF(D375="","",((VLOOKUP(D375,'DB technologies'!$N$182:$Y$194,4,FALSE)*E375*'DB additional information '!$S$8/100*(1-VLOOKUP(D375,'DB technologies'!$N$182:$Y$194,9,FALSE)/100))/VLOOKUP($C$373,'DB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L375" s="423" t="str">
        <f>IF('Calc (ex-animal)'!$F$73=1,"",IF(D375="","",(((VLOOKUP($C$373,'Calc (ex-animal)'!$D$73:$Y$77,6,FALSE)-VLOOKUP($C$373,'Calc (ex-animal)'!$D$73:$Y$77,17,FALSE))*F375/100))*(1-VLOOKUP($C$373,'Calc (ex-animal)'!$D$73:$Y$77,7,FALSE)/100)*(1-VLOOKUP(D375,'DB technologies'!$N$182:$V$194,8,FALSE)/100)))</f>
        <v/>
      </c>
      <c r="M375" s="434" t="str">
        <f>IF(D375="","",((VLOOKUP(D375,'DB technologies'!$N$182:$Y$194,2,FALSE)*VLOOKUP($C$373,'DB animal categories'!$C$137:$AC$146,27,FALSE)*E375/1000)/VLOOKUP($C$373,'DB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'!$S$6/100)*(1-VLOOKUP(D375,'DB technologies'!$N$182:$Y$194,9,FALSE)/100))</f>
        <v/>
      </c>
      <c r="N375" s="434" t="str">
        <f>IF(D375="","",((VLOOKUP(D375,'DB technologies'!$N$182:$Y$194,3,FALSE)*VLOOKUP($C$373,'DB animal categories'!$C$137:$AC$146,27,FALSE)*E375/1000)/VLOOKUP($C$373,'DB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'!$S$7/100)*(1-VLOOKUP(D375,'DB technologies'!$N$182:$Y$194,9,FALSE)/100))</f>
        <v/>
      </c>
      <c r="O375" s="423" t="str">
        <f>IF(D375="","",((VLOOKUP(D375,'DB technologies'!$N$182:$Y$194,4,FALSE)*E375*(1-'DB additional information '!$S$8/100)*(1-VLOOKUP(D375,'DB technologies'!$N$182:$Y$194,8,FALSE)/100))/VLOOKUP($C$373,'DB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P375" s="438" t="str">
        <f>IF(G375=0,0,IF(E375="","",IF(F375="","",IF($C$373=0,"",IF(D375="","",SUM(H375:K375)/G375*100)))))</f>
        <v/>
      </c>
      <c r="Q375" s="416" t="str">
        <f>IF(D375="","",(VLOOKUP(D375,'DB technologies'!$N$182:$Y$194,2,FALSE)*'DB additional information '!$S$6/100*'DB additional information '!$T$6*VLOOKUP($C$373,'DB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R375" s="416" t="str">
        <f>IF(D375="","",(VLOOKUP(D375,'DB technologies'!$N$182:$Y$194,3,FALSE)*'DB additional information '!$S$7/100*'DB additional information '!$T$7*VLOOKUP($C$373,'DB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S375" s="491" t="str">
        <f>IF(D375="","",(VLOOKUP(D375,'DB technologies'!$N$182:$Y$194,4,FALSE)*('DB additional information '!$S$8/100*'DB additional information '!$T$8*E375/1000/1000)))</f>
        <v/>
      </c>
      <c r="T375" s="264" t="str">
        <f>IF($C$373=0,"",IF('Calc (ex-animal)'!$F$73=1,"",IF(D375="","",((VLOOKUP($C$373,'Calc (ex-animal)'!$D$73:$Y$77,10,FALSE)-VLOOKUP($C$373,'Calc (ex-animal)'!$D$73:$Y$77,18,FALSE))*F375/100+Q375+R375+S375)-AC375-AD375-AE375)))</f>
        <v/>
      </c>
      <c r="U375" s="422" t="str">
        <f>IF(D375="","",(VLOOKUP(D375,'DB technologies'!$N$182:$Y$194,2,FALSE)*'DB additional information '!$S$6/100*'DB additional information '!$U$6*VLOOKUP($C$373,'DB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V375" s="418" t="str">
        <f>IF(D375="","",(VLOOKUP(D375,'DB technologies'!$N$182:$Y$194,3,FALSE)*'DB additional information '!$S$7/100*'DB additional information '!$U$7*VLOOKUP($C$373,'DB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W375" s="417" t="str">
        <f>IF(D375="","",(VLOOKUP(D375,'DB technologies'!$N$182:$Y$194,4,FALSE)*('DB additional information '!$S$8/100*'DB additional information '!$U$8*E375/1000/1000)))</f>
        <v/>
      </c>
      <c r="X375" s="261" t="str">
        <f>IF($C$373=0,"",IF('Calc (ex-animal)'!$F$73=1,"",IF(D375="","",((VLOOKUP($C$373,'Calc (ex-animal)'!$D$73:$Y$77,13,FALSE)-VLOOKUP($C$373,'Calc (ex-animal)'!$D$73:$Y$77,19,FALSE))*F375/100+U375+V375+W375))))</f>
        <v/>
      </c>
      <c r="Y375" s="418" t="str">
        <f>IF(D375="","",(VLOOKUP(D375,'DB technologies'!$N$182:$Y$194,2,FALSE)*'DB additional information '!$S$6/100*'DB additional information '!$V$6*VLOOKUP($C$373,'DB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Z375" s="418" t="str">
        <f>IF(D375="","",(VLOOKUP(D375,'DB technologies'!$N$182:$Y$194,3,FALSE)*'DB additional information '!$S$7/100*'DB additional information '!$V$7*VLOOKUP($C$373,'DB animal categories'!$C$137:$AC$146,27,FALSE)*E375/1000/1000)/VLOOKUP($C$373,'DB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AA375" s="418" t="str">
        <f>IF(D375="","",(VLOOKUP(D375,'DB technologies'!$N$182:$Y$194,4,FALSE)*('DB additional information '!$S$8/100*'DB additional information '!$V$8*E375/1000/1000)))</f>
        <v/>
      </c>
      <c r="AB375" s="261" t="str">
        <f>IF($C$373=0,"",IF('Calc (ex-animal)'!$F$73=1,"",IF(D375="","",((VLOOKUP($C$373,'Calc (ex-animal)'!$D$73:$Y$77,16,FALSE)-VLOOKUP($C$373,'Calc (ex-animal)'!$D$73:$Y$77,20,FALSE))*F375/100+Y375+Z375+AA375))))</f>
        <v/>
      </c>
      <c r="AC375" s="261" t="str">
        <f>IF($C$373=0,"",IF('Calc (ex-animal)'!$F$73=1,"",IF(D375="","",VLOOKUP($C$373,'Calc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categories'!$C$137:$AC$146,26,FALSE)/24)*F375/100*VLOOKUP(D375,'DB technologies'!$N$182:$R$194,5,FALSE)/100)))</f>
        <v/>
      </c>
      <c r="AD375" s="261" t="str">
        <f>IF($C$373=0,"",IF('Calc (ex-animal)'!$F$73=1,"",IF(D375="","",VLOOKUP($C$373,'Calc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categories'!$C$137:$AC$146,26,FALSE)/24)*F375/100*VLOOKUP(D375,'DB technologies'!$N$182:$Y$194,6,FALSE)/100)))</f>
        <v/>
      </c>
      <c r="AE375" s="262" t="str">
        <f>IF($C$373=0,"",IF('Calc (ex-animal)'!$F$73=1,"",IF(D375="","",VLOOKUP($C$373,'Calc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categories'!$C$137:$AC$146,26,FALSE)/24)*F375/100*VLOOKUP(D375,'DB technologies'!$N$182:$Y$194,7,FALSE)/100)))</f>
        <v/>
      </c>
      <c r="AI375" s="181" t="str">
        <f>IF(D375="","",VLOOKUP(D375,'DB technologies'!$N$182:$Y$194,10,FALSE))</f>
        <v/>
      </c>
      <c r="AJ375" s="449" t="e">
        <f>VLOOKUP($C$373,'DB animal categories'!$C$137:$AN$146,27,FALSE)-VLOOKUP($C$373,'DB animal categories'!$C$137:$AN$146,26,FALSE)*VLOOKUP($C$373,'DB animal categories'!$C$137:$AN$146,25,FALSE)/24</f>
        <v>#N/A</v>
      </c>
      <c r="AK375" s="442" t="str">
        <f>IF(AI375="","",AL375+AM375)</f>
        <v/>
      </c>
      <c r="AL375" s="442" t="str">
        <f>IF(D375="","",IF(AI375=2,(('Calc (ex-animal)'!$G$74*'DB additional information '!$K$16/100*(1-VLOOKUP(D375,'DB technologies'!$N$182:$Y$194,9,FALSE)/100)*'Calc (ex-housing, ex-storage)'!F375/100+'Calc (ex-animal)'!$H$74*'DB additional information '!$L$16/100*(1-VLOOKUP(D375,'DB technologies'!$N$182:$Y$194,9,FALSE)/100)*'Calc (ex-housing, ex-storage)'!F375/100))/VLOOKUP($C$373,'DB animal categories'!$C$137:$AC$146,27,FALSE)*AJ375+I375+J375+K375,IF(AI375=1,('Calc (ex-animal)'!$H$74*'DB additional information '!$L$16/100*(1-VLOOKUP(D375,'DB technologies'!$N$182:$Y$194,9,FALSE)/100)*'Calc (ex-housing, ex-storage)'!F375/100)/VLOOKUP($C$373,'DB animal categories'!$C$137:$AC$146,27,FALSE)*AJ375,IF(AI375=4,('Calc (ex-animal)'!$G$74*'DB additional information '!$K$16/100+'Calc (ex-animal)'!$H$74*'DB additional information '!$L$16/100)*(1-VLOOKUP(D375,'DB technologies'!$N$182:$Y$194,9,FALSE)/100)*'Calc (ex-housing, ex-storage)'!F375/100*VLOOKUP(D375,'DB technologies'!$N$182:$Y$194,11,FALSE)/100/VLOOKUP($C$373,'DB animal categories'!$C$137:$AC$146,27,FALSE)*AJ375,0))))</f>
        <v/>
      </c>
      <c r="AM375" s="442" t="str">
        <f>IF(D375="","",IF(AI375=2,(('Calc (ex-animal)'!$G$74*(1-'DB additional information '!$K$16/100)*(1-VLOOKUP(D375,'DB technologies'!$N$182:$Y$194,8,FALSE)/100)*'Calc (ex-housing, ex-storage)'!F375/100+'Calc (ex-animal)'!$H$74*(1-'DB additional information '!$L$16/100)*(1-VLOOKUP(D375,'DB technologies'!$N$182:$Y$194,8,FALSE)/100)*'Calc (ex-housing, ex-storage)'!F375/100))/VLOOKUP($C$373,'DB animal categories'!$C$137:$AC$146,27,FALSE)*AJ375+M375+N375+O375,IF(AI375=1,('Calc (ex-animal)'!$H$74*(1-'DB additional information '!$L$16/100)*(1-VLOOKUP(D375,'DB technologies'!$N$182:$Y$194,8,FALSE)/100)*'Calc (ex-housing, ex-storage)'!F375/100)/VLOOKUP($C$373,'DB animal categories'!$C$137:$AC$146,27,FALSE)*AJ375,IF(AI375=4,('Calc (ex-animal)'!$G$74*(1-'DB additional information '!$K$16/100)+'Calc (ex-animal)'!$H$74*(1-'DB additional information '!$L$16/100))*(1-VLOOKUP(D375,'DB technologies'!$N$182:$Y$194,8,FALSE)/100)*'Calc (ex-housing, ex-storage)'!F375/100*VLOOKUP(D375,'DB technologies'!$N$182:$Y$194,11,FALSE)/100/VLOOKUP($C$373,'DB animal categories'!$C$137:$AC$146,27,FALSE)*AJ375,0))))</f>
        <v/>
      </c>
      <c r="AN375" s="442" t="str">
        <f>IF(AI375="","",IF(AL375=0,0,AL375/AK375*100))</f>
        <v/>
      </c>
      <c r="AO375" s="182" t="str">
        <f>IF(D375="","",IF(AI375=2,(('Calc (ex-animal)'!$L$74*'Calc (ex-housing, ex-storage)'!F375/100+'Calc (ex-animal)'!$K$74*'Calc (ex-housing, ex-storage)'!F375/100))/VLOOKUP($C$373,'DB animal categories'!$C$137:$AC$146,27,FALSE)*AJ375+Q375+R375+S375-AC375,IF(AI375=1,('Calc (ex-animal)'!$L$74*'Calc (ex-housing, ex-storage)'!F375/100)/VLOOKUP($C$373,'DB animal categories'!$C$137:$AC$146,27,FALSE)*AJ375-'Calc (ex-housing, ex-storage)'!AC375,IF(AI375=4,('Calc (ex-animal)'!$L$74+'Calc (ex-animal)'!$K$74)*'Calc (ex-housing, ex-storage)'!F375/100*VLOOKUP(D375,'DB technologies'!$N$182:$Y$194,11,FALSE)/100/VLOOKUP($C$373,'DB animal categories'!$C$137:$AC$146,27,FALSE)*AJ375-AC375*VLOOKUP(D375,'DB technologies'!$N$182:$Y$194,11,FALSE)/100,0))))</f>
        <v/>
      </c>
      <c r="AP375" s="182" t="str">
        <f>IF(D375="","",IF(AO375&lt;-0.01,0,IF(AI375=2,(('Calc (ex-animal)'!$L$74*'Calc (ex-housing, ex-storage)'!F375/100+'Calc (ex-animal)'!$K$74*'Calc (ex-housing, ex-storage)'!F375/100))/VLOOKUP($C$373,'DB animal categories'!$C$137:$AC$146,27,FALSE)*AJ375+Q375+R375+S375-AC375,IF(AI375=1,('Calc (ex-animal)'!$L$74*'Calc (ex-housing, ex-storage)'!F375/100)/VLOOKUP($C$373,'DB animal categories'!$C$137:$AC$146,27,FALSE)*AJ375-'Calc (ex-housing, ex-storage)'!AC375,IF(AI375=4,('Calc (ex-animal)'!$L$74+'Calc (ex-animal)'!$K$74)*'Calc (ex-housing, ex-storage)'!F375/100*VLOOKUP(D375,'DB technologies'!$N$182:$Y$194,11,FALSE)/100/VLOOKUP($C$373,'DB animal categories'!$C$137:$AC$146,27,FALSE)*AJ375-AC375*VLOOKUP(D375,'DB technologies'!$N$182:$Y$194,11,FALSE)/100,0)))))</f>
        <v/>
      </c>
      <c r="AQ375" s="182" t="str">
        <f>IF(D375="","",IF(AI375=2,('Calc (ex-animal)'!$O$74*'Calc (ex-housing, ex-storage)'!F375/100+'Calc (ex-animal)'!$N$74*'Calc (ex-housing, ex-storage)'!F375/100)/VLOOKUP($C$373,'DB animal categories'!$C$137:$AC$146,27,FALSE)*AJ375+U375+V375+W375,IF(AI375=1,'Calc (ex-animal)'!$O$74*'Calc (ex-housing, ex-storage)'!F375/100/VLOOKUP($C$373,'DB animal categories'!$C$137:$AC$146,27,FALSE)*AJ375,IF(AI375=4,('Calc (ex-animal)'!$O$74+'Calc (ex-animal)'!$N$74)*'Calc (ex-housing, ex-storage)'!F375/100*VLOOKUP(D375,'DB technologies'!$N$182:$Y$194,11,FALSE)/100/VLOOKUP($C$373,'DB animal categories'!$C$137:$AC$146,27,FALSE)*AJ375,0))))</f>
        <v/>
      </c>
      <c r="AR375" s="182" t="str">
        <f>IF(D375="","",IF(AI375=2,('Calc (ex-animal)'!$R$74*'Calc (ex-housing, ex-storage)'!F375/100+'Calc (ex-animal)'!$Q$74*'Calc (ex-housing, ex-storage)'!F375/100)/VLOOKUP($C$373,'DB animal categories'!$C$137:$AC$146,27,FALSE)*AJ375+Y375+Z375+AA375,IF(AI375=1,'Calc (ex-animal)'!$R$74*'Calc (ex-housing, ex-storage)'!F375/100/VLOOKUP($C$373,'DB animal categories'!$C$137:$AC$146,27,FALSE)*AJ375,IF(AI375=4,('Calc (ex-animal)'!$R$74+'Calc (ex-animal)'!$Q$74)*'Calc (ex-housing, ex-storage)'!F375/100*VLOOKUP(D375,'DB technologies'!$N$182:$Y$194,11,FALSE)/100/VLOOKUP($C$373,'DB animal categories'!$C$137:$AC$146,27,FALSE)*AJ375,0))))</f>
        <v/>
      </c>
      <c r="AS375" s="181" t="str">
        <f>IF(D375="","",VLOOKUP(D375,'DB technologies'!$N$182:$Y$194,10,FALSE))</f>
        <v/>
      </c>
      <c r="AT375" s="442" t="str">
        <f>IF(AS375="","",AU375+AV375)</f>
        <v/>
      </c>
      <c r="AU375" s="442" t="str">
        <f>IF(D375="","",IF(AS375=2,0,IF(AS375=1,'Calc (ex-animal)'!$G$74*'DB additional information '!$K$16/100*(1-VLOOKUP(D375,'DB technologies'!$N$182:$Y$194,8,FALSE)/100)*'Calc (ex-housing, ex-storage)'!F375/100/VLOOKUP($C$373,'DB animal categories'!$C$137:$AC$146,27,FALSE)*AJ375+I375+J375+K375,IF(AS375=5,(('Calc (ex-animal)'!$G$74*'DB additional information '!$K$16/100+'Calc (ex-animal)'!$H$74*'DB additional information '!$L$16/100))*(1-VLOOKUP(D375,'DB technologies'!$N$182:$Y$194,9,FALSE)/100)*'Calc (ex-housing, ex-storage)'!F375/100/VLOOKUP($C$373,'DB animal categories'!$C$137:$AC$146,27,FALSE)*AJ375+I375+J375+K375,IF(AS375=3,('Calc (ex-animal)'!$G$74*'DB additional information '!$K$16/100+'Calc (ex-animal)'!$H$74*'DB additional information '!$L$16/100)*(1-VLOOKUP(D375,'DB technologies'!$N$182:$Y$194,9,FALSE)/100)*'Calc (ex-housing, ex-storage)'!F375/100/VLOOKUP($C$373,'DB animal categories'!$C$137:$AC$146,27,FALSE)*AJ375+I375+J375+K375,IF(AS375=4,('Calc (ex-animal)'!$G$74*'DB additional information '!$K$16/100+'Calc (ex-animal)'!$H$74*'DB additional information '!$L$16/100)*(1-VLOOKUP(D375,'DB technologies'!$N$182:$Y$194,9,FALSE)/100)*'Calc (ex-housing, ex-storage)'!F375/100*VLOOKUP(D375,'DB technologies'!$N$182:$Y$194,12,FALSE)/100/VLOOKUP($C$373,'DB animal categories'!$C$137:$AC$146,27,FALSE)*AJ375+I375+J375+K375,0))))))</f>
        <v/>
      </c>
      <c r="AV375" s="442" t="str">
        <f>IF(D375="","",IF(AS375=2,0,IF(AS375=1,'Calc (ex-animal)'!$G$74*(1-'DB additional information '!$K$16/100)*(1-VLOOKUP(D375,'DB technologies'!$N$182:$Y$194,8,FALSE)/100)*'Calc (ex-housing, ex-storage)'!F375/100/VLOOKUP($C$373,'DB animal categories'!$C$137:$AC$146,27,FALSE)*AJ375+M375+N375+O375,IF(AS375=5,('Calc (ex-animal)'!$G$74*(1-'DB additional information '!$K$16/100)+'Calc (ex-animal)'!$H$74*(1-'DB additional information '!$L$16/100))*(1-VLOOKUP(D375,'DB technologies'!$N$182:$Y$194,8,FALSE)/100)*'Calc (ex-housing, ex-storage)'!F375/100/VLOOKUP($C$373,'DB animal categories'!$C$137:$AC$146,27,FALSE)*AJ375+M375+N375+O375,IF(AS375=3,('Calc (ex-animal)'!$G$74*(1-'DB additional information '!$K$16/100)+'Calc (ex-animal)'!$H$74*(1-'DB additional information '!$L$16/100))*(1-VLOOKUP(D375,'DB technologies'!$N$182:$Y$194,8,FALSE)/100)*'Calc (ex-housing, ex-storage)'!F375/100/VLOOKUP($C$373,'DB animal categories'!$C$137:$AC$146,27,FALSE)*AJ375+M375+N375+O375,IF(AS375=4,('Calc (ex-animal)'!$G$74*(1-'DB additional information '!$K$16/100)+'Calc (ex-animal)'!$H$74*(1-'DB additional information '!$L$16/100))*(1-VLOOKUP(D375,'DB technologies'!$N$182:$Y$194,8,FALSE)/100)*'Calc (ex-housing, ex-storage)'!F375/100*VLOOKUP(D375,'DB technologies'!$N$182:$Y$194,12,FALSE)/100/VLOOKUP($C$373,'DB animal categories'!$C$137:$AC$146,27,FALSE)*AJ375+M375+N375+O375,0))))))</f>
        <v/>
      </c>
      <c r="AW375" s="442" t="str">
        <f>IF(AS375="","",IF(AU375=0,0,AU375/AT375*100))</f>
        <v/>
      </c>
      <c r="AX375" s="182" t="str">
        <f>IF(D375="","",IF(AS375=2,0,IF(AS375=1,'Calc (ex-animal)'!$K$74*'Calc (ex-housing, ex-storage)'!F375/100/VLOOKUP($C$373,'DB animal categories'!$C$137:$AC$146,27,FALSE)*AJ375+Q375+R375+S375,IF(AS375=5,('Calc (ex-animal)'!$K$74+'Calc (ex-animal)'!$L$74)*'Calc (ex-housing, ex-storage)'!F375/100/VLOOKUP($C$373,'DB animal categories'!$C$137:$AC$146,27,FALSE)*AJ375+Q375+R375+S375-'Calc (ex-housing, ex-storage)'!AC375,IF(AS375=3,('Calc (ex-animal)'!$K$74+'Calc (ex-animal)'!$L$74)*'Calc (ex-housing, ex-storage)'!F375/100/VLOOKUP($C$373,'DB animal categories'!$C$137:$AC$146,27,FALSE)*AJ375+Q375+R375+S375-'Calc (ex-housing, ex-storage)'!AC375-AD375-AE375,IF(AI375=4,('Calc (ex-animal)'!$K$74+'Calc (ex-animal)'!$L$74)*'Calc (ex-housing, ex-storage)'!F375/100*VLOOKUP(D375,'DB technologies'!$N$182:$Y$194,12,FALSE)/100/VLOOKUP($C$373,'DB animal categories'!$C$137:$AC$146,27,FALSE)*AJ375+Q375+R375+S375-(VLOOKUP(D375,'DB technologies'!$N$182:$Y$194,12,FALSE)/100*AC375)-AD375-AE375,0))))))</f>
        <v/>
      </c>
      <c r="AY375" s="182" t="str">
        <f>IF(D375="","",IF(AS375=2,0,IF(AS375=1,'Calc (ex-animal)'!$N$74*'Calc (ex-housing, ex-storage)'!F375/100/VLOOKUP($C$373,'DB animal categories'!$C$137:$AC$146,27,FALSE)*AJ375+U375+V375+W375,IF(AS375=5,('Calc (ex-animal)'!$N$74+'Calc (ex-animal)'!$O$74)*'Calc (ex-housing, ex-storage)'!F375/100/VLOOKUP($C$373,'DB animal categories'!$C$137:$AC$146,27,FALSE)*AJ375+U375+V375+W375,IF(AS375=3,('Calc (ex-animal)'!$N$74+'Calc (ex-animal)'!$O$74)*'Calc (ex-housing, ex-storage)'!F375/100/VLOOKUP($C$373,'DB animal categories'!$C$137:$AC$146,27,FALSE)*AJ375+U375+V375+W375,IF(AS375=4,('Calc (ex-animal)'!$N$74+'Calc (ex-animal)'!$O$74)*'Calc (ex-housing, ex-storage)'!F375/100*VLOOKUP(D375,'DB technologies'!$N$182:$Y$194,12,FALSE)/100/VLOOKUP($C$373,'DB animal categories'!$C$137:$AC$146,27,FALSE)*AJ375+U375+V375+W375,0))))))</f>
        <v/>
      </c>
      <c r="AZ375" s="182" t="str">
        <f>IF(D375="","",IF(AS375=2,0,IF(AS375=1,'Calc (ex-animal)'!$Q$74*'Calc (ex-housing, ex-storage)'!F375/100/VLOOKUP($C$373,'DB animal categories'!$C$137:$AC$146,27,FALSE)*AJ375+Y375+Z375+AA375,IF(AS375=5,('Calc (ex-animal)'!$Q$74+'Calc (ex-animal)'!$R$74)*'Calc (ex-housing, ex-storage)'!F375/100/VLOOKUP($C$373,'DB animal categories'!$C$137:$AC$146,27,FALSE)*AJ375+Y375+Z375+AA375,IF(AS375=3,('Calc (ex-animal)'!$Q$74+'Calc (ex-animal)'!$R$74)*'Calc (ex-housing, ex-storage)'!F375/100/VLOOKUP($C$373,'DB animal categories'!$C$137:$AC$146,27,FALSE)*AJ375+Y375+Z375+AA375,IF(AS375=4,('Calc (ex-animal)'!$Q$74+'Calc (ex-animal)'!$R$74)*'Calc (ex-housing, ex-storage)'!F375/100*VLOOKUP(D375,'DB technologies'!$N$182:$Y$194,12,FALSE)/100/VLOOKUP($C$373,'DB animal categories'!$C$137:$AC$146,27,FALSE)*AJ375+Y375+Z375+AA375,0))))))</f>
        <v/>
      </c>
      <c r="BA375" s="506"/>
      <c r="BB375" s="506"/>
      <c r="BC375" s="506"/>
    </row>
    <row r="376" spans="1:55" x14ac:dyDescent="0.2">
      <c r="A376" s="695"/>
      <c r="B376" s="695"/>
      <c r="C376" s="251"/>
      <c r="D376" s="1357"/>
      <c r="E376" s="1358"/>
      <c r="F376" s="480" t="str">
        <f>IF('Calc (ex-animal)'!$F$73=1,"",IF($C$373=0,"",IF(D376="","",E376/'Calc (ex-animal)'!$E$74*100)))</f>
        <v/>
      </c>
      <c r="G376" s="485" t="str">
        <f>IF($C$373=0,"",IF('Calc (ex-animal)'!$F$73=1,"",IF(D376="","",SUM(H376:O376))))</f>
        <v/>
      </c>
      <c r="H376" s="423" t="str">
        <f>IF('Calc (ex-animal)'!$F$73=1,"",IF(D376="","",(((VLOOKUP($C$373,'Calc (ex-animal)'!$D$73:$Y$77,6,FALSE)-VLOOKUP($C$373,'Calc (ex-animal)'!$D$73:$Y$77,17,FALSE))*F376/100))*VLOOKUP($C$373,'Calc (ex-animal)'!$D$73:$Y$77,7,FALSE)/100*(1-VLOOKUP(D376,'DB technologies'!$N$182:$Y$194,9,FALSE)/100)))</f>
        <v/>
      </c>
      <c r="I376" s="423" t="str">
        <f>IF(D376="","",((VLOOKUP(D376,'DB technologies'!$N$182:$Y$194,2,FALSE)*VLOOKUP($C$373,'DB animal categories'!$C$137:$AC$146,27,FALSE)*E376/1000)/VLOOKUP($C$373,'DB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'!$S$6/100*(1-VLOOKUP(D376,'DB technologies'!$N$182:$Y$194,9,FALSE)/100)))</f>
        <v/>
      </c>
      <c r="J376" s="434" t="str">
        <f>IF(D376="","",((VLOOKUP(D376,'DB technologies'!$N$182:$Y$194,3,FALSE)*VLOOKUP($C$373,'DB animal categories'!$C$137:$AC$146,27,FALSE)*E376/1000)/VLOOKUP($C$373,'DB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'!$S$7/100*(1-VLOOKUP(D376,'DB technologies'!$N$182:$Y$194,9,FALSE)/100)))</f>
        <v/>
      </c>
      <c r="K376" s="434" t="str">
        <f>IF(D376="","",((VLOOKUP(D376,'DB technologies'!$N$182:$Y$194,4,FALSE)*E376*'DB additional information '!$S$8/100*(1-VLOOKUP(D376,'DB technologies'!$N$182:$Y$194,9,FALSE)/100))/VLOOKUP($C$373,'DB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L376" s="423" t="str">
        <f>IF('Calc (ex-animal)'!$F$73=1,"",IF(D376="","",(((VLOOKUP($C$373,'Calc (ex-animal)'!$D$73:$Y$77,6,FALSE)-VLOOKUP($C$373,'Calc (ex-animal)'!$D$73:$Y$77,17,FALSE))*F376/100))*(1-VLOOKUP($C$373,'Calc (ex-animal)'!$D$73:$Y$77,7,FALSE)/100)*(1-VLOOKUP(D376,'DB technologies'!$N$182:$V$194,8,FALSE)/100)))</f>
        <v/>
      </c>
      <c r="M376" s="434" t="str">
        <f>IF(D376="","",((VLOOKUP(D376,'DB technologies'!$N$182:$Y$194,2,FALSE)*VLOOKUP($C$373,'DB animal categories'!$C$137:$AC$146,27,FALSE)*E376/1000)/VLOOKUP($C$373,'DB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'!$S$6/100)*(1-VLOOKUP(D376,'DB technologies'!$N$182:$Y$194,9,FALSE)/100))</f>
        <v/>
      </c>
      <c r="N376" s="434" t="str">
        <f>IF(D376="","",((VLOOKUP(D376,'DB technologies'!$N$182:$Y$194,3,FALSE)*VLOOKUP($C$373,'DB animal categories'!$C$137:$AC$146,27,FALSE)*E376/1000)/VLOOKUP($C$373,'DB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'!$S$7/100)*(1-VLOOKUP(D376,'DB technologies'!$N$182:$Y$194,9,FALSE)/100))</f>
        <v/>
      </c>
      <c r="O376" s="423" t="str">
        <f>IF(D376="","",((VLOOKUP(D376,'DB technologies'!$N$182:$Y$194,4,FALSE)*E376*(1-'DB additional information '!$S$8/100)*(1-VLOOKUP(D376,'DB technologies'!$N$182:$Y$194,8,FALSE)/100))/VLOOKUP($C$373,'DB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P376" s="438" t="str">
        <f>IF(G376=0,0,IF(E376="","",IF(F376="","",IF($C$373=0,"",IF(D376="","",SUM(H376:K376)/G376*100)))))</f>
        <v/>
      </c>
      <c r="Q376" s="416" t="str">
        <f>IF(D376="","",(VLOOKUP(D376,'DB technologies'!$N$182:$Y$194,2,FALSE)*'DB additional information '!$S$6/100*'DB additional information '!$T$6*VLOOKUP($C$373,'DB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R376" s="416" t="str">
        <f>IF(D376="","",(VLOOKUP(D376,'DB technologies'!$N$182:$Y$194,3,FALSE)*'DB additional information '!$S$7/100*'DB additional information '!$T$7*VLOOKUP($C$373,'DB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S376" s="491" t="str">
        <f>IF(D376="","",(VLOOKUP(D376,'DB technologies'!$N$182:$Y$194,4,FALSE)*('DB additional information '!$S$8/100*'DB additional information '!$T$8*E376/1000/1000)))</f>
        <v/>
      </c>
      <c r="T376" s="264" t="str">
        <f>IF($C$373=0,"",IF('Calc (ex-animal)'!$F$73=1,"",IF(D376="","",((VLOOKUP($C$373,'Calc (ex-animal)'!$D$73:$Y$77,10,FALSE)-VLOOKUP($C$373,'Calc (ex-animal)'!$D$73:$Y$77,18,FALSE))*F376/100+Q376+R376+S376)-AC376-AD376-AE376)))</f>
        <v/>
      </c>
      <c r="U376" s="422" t="str">
        <f>IF(D376="","",(VLOOKUP(D376,'DB technologies'!$N$182:$Y$194,2,FALSE)*'DB additional information '!$S$6/100*'DB additional information '!$U$6*VLOOKUP($C$373,'DB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V376" s="418" t="str">
        <f>IF(D376="","",(VLOOKUP(D376,'DB technologies'!$N$182:$Y$194,3,FALSE)*'DB additional information '!$S$7/100*'DB additional information '!$U$7*VLOOKUP($C$373,'DB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W376" s="417" t="str">
        <f>IF(D376="","",(VLOOKUP(D376,'DB technologies'!$N$182:$Y$194,4,FALSE)*('DB additional information '!$S$8/100*'DB additional information '!$U$8*E376/1000/1000)))</f>
        <v/>
      </c>
      <c r="X376" s="261" t="str">
        <f>IF($C$373=0,"",IF('Calc (ex-animal)'!$F$73=1,"",IF(D376="","",((VLOOKUP($C$373,'Calc (ex-animal)'!$D$73:$Y$77,13,FALSE)-VLOOKUP($C$373,'Calc (ex-animal)'!$D$73:$Y$77,19,FALSE))*F376/100+U376+V376+W376))))</f>
        <v/>
      </c>
      <c r="Y376" s="418" t="str">
        <f>IF(D376="","",(VLOOKUP(D376,'DB technologies'!$N$182:$Y$194,2,FALSE)*'DB additional information '!$S$6/100*'DB additional information '!$V$6*VLOOKUP($C$373,'DB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Z376" s="418" t="str">
        <f>IF(D376="","",(VLOOKUP(D376,'DB technologies'!$N$182:$Y$194,3,FALSE)*'DB additional information '!$S$7/100*'DB additional information '!$V$7*VLOOKUP($C$373,'DB animal categories'!$C$137:$AC$146,27,FALSE)*E376/1000/1000)/VLOOKUP($C$373,'DB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AA376" s="418" t="str">
        <f>IF(D376="","",(VLOOKUP(D376,'DB technologies'!$N$182:$Y$194,4,FALSE)*('DB additional information '!$S$8/100*'DB additional information '!$V$8*E376/1000/1000)))</f>
        <v/>
      </c>
      <c r="AB376" s="261" t="str">
        <f>IF($C$373=0,"",IF('Calc (ex-animal)'!$F$73=1,"",IF(D376="","",((VLOOKUP($C$373,'Calc (ex-animal)'!$D$73:$Y$77,16,FALSE)-VLOOKUP($C$373,'Calc (ex-animal)'!$D$73:$Y$77,20,FALSE))*F376/100+Y376+Z376+AA376))))</f>
        <v/>
      </c>
      <c r="AC376" s="261" t="str">
        <f>IF($C$373=0,"",IF('Calc (ex-animal)'!$F$73=1,"",IF(D376="","",VLOOKUP($C$373,'Calc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categories'!$C$137:$AC$146,26,FALSE)/24)*F376/100*VLOOKUP(D376,'DB technologies'!$N$182:$R$194,5,FALSE)/100)))</f>
        <v/>
      </c>
      <c r="AD376" s="261" t="str">
        <f>IF($C$373=0,"",IF('Calc (ex-animal)'!$F$73=1,"",IF(D376="","",VLOOKUP($C$373,'Calc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categories'!$C$137:$AC$146,26,FALSE)/24)*F376/100*VLOOKUP(D376,'DB technologies'!$N$182:$Y$194,6,FALSE)/100)))</f>
        <v/>
      </c>
      <c r="AE376" s="262" t="str">
        <f>IF($C$373=0,"",IF('Calc (ex-animal)'!$F$73=1,"",IF(D376="","",VLOOKUP($C$373,'Calc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categories'!$C$137:$AC$146,26,FALSE)/24)*F376/100*VLOOKUP(D376,'DB technologies'!$N$182:$Y$194,7,FALSE)/100)))</f>
        <v/>
      </c>
      <c r="AI376" s="181" t="str">
        <f>IF(D376="","",VLOOKUP(D376,'DB technologies'!$N$182:$Y$194,10,FALSE))</f>
        <v/>
      </c>
      <c r="AJ376" s="449" t="e">
        <f>VLOOKUP($C$373,'DB animal categories'!$C$137:$AN$146,27,FALSE)-VLOOKUP($C$373,'DB animal categories'!$C$137:$AN$146,26,FALSE)*VLOOKUP($C$373,'DB animal categories'!$C$137:$AN$146,25,FALSE)/24</f>
        <v>#N/A</v>
      </c>
      <c r="AK376" s="442" t="str">
        <f>IF(AI376="","",AL376+AM376)</f>
        <v/>
      </c>
      <c r="AL376" s="442" t="str">
        <f>IF(D376="","",IF(AI376=2,(('Calc (ex-animal)'!$G$74*'DB additional information '!$K$16/100*(1-VLOOKUP(D376,'DB technologies'!$N$182:$Y$194,9,FALSE)/100)*'Calc (ex-housing, ex-storage)'!F376/100+'Calc (ex-animal)'!$H$74*'DB additional information '!$L$16/100*(1-VLOOKUP(D376,'DB technologies'!$N$182:$Y$194,9,FALSE)/100)*'Calc (ex-housing, ex-storage)'!F376/100))/VLOOKUP($C$373,'DB animal categories'!$C$137:$AC$146,27,FALSE)*AJ376+I376+J376+K376,IF(AI376=1,('Calc (ex-animal)'!$H$74*'DB additional information '!$L$16/100*(1-VLOOKUP(D376,'DB technologies'!$N$182:$Y$194,9,FALSE)/100)*'Calc (ex-housing, ex-storage)'!F376/100)/VLOOKUP($C$373,'DB animal categories'!$C$137:$AC$146,27,FALSE)*AJ376,IF(AI376=4,('Calc (ex-animal)'!$G$74*'DB additional information '!$K$16/100+'Calc (ex-animal)'!$H$74*'DB additional information '!$L$16/100)*(1-VLOOKUP(D376,'DB technologies'!$N$182:$Y$194,9,FALSE)/100)*'Calc (ex-housing, ex-storage)'!F376/100*VLOOKUP(D376,'DB technologies'!$N$182:$Y$194,11,FALSE)/100/VLOOKUP($C$373,'DB animal categories'!$C$137:$AC$146,27,FALSE)*AJ376,0))))</f>
        <v/>
      </c>
      <c r="AM376" s="442" t="str">
        <f>IF(D376="","",IF(AI376=2,(('Calc (ex-animal)'!$G$74*(1-'DB additional information '!$K$16/100)*(1-VLOOKUP(D376,'DB technologies'!$N$182:$Y$194,8,FALSE)/100)*'Calc (ex-housing, ex-storage)'!F376/100+'Calc (ex-animal)'!$H$74*(1-'DB additional information '!$L$16/100)*(1-VLOOKUP(D376,'DB technologies'!$N$182:$Y$194,8,FALSE)/100)*'Calc (ex-housing, ex-storage)'!F376/100))/VLOOKUP($C$373,'DB animal categories'!$C$137:$AC$146,27,FALSE)*AJ376+M376+N376+O376,IF(AI376=1,('Calc (ex-animal)'!$H$74*(1-'DB additional information '!$L$16/100)*(1-VLOOKUP(D376,'DB technologies'!$N$182:$Y$194,8,FALSE)/100)*'Calc (ex-housing, ex-storage)'!F376/100)/VLOOKUP($C$373,'DB animal categories'!$C$137:$AC$146,27,FALSE)*AJ376,IF(AI376=4,('Calc (ex-animal)'!$G$74*(1-'DB additional information '!$K$16/100)+'Calc (ex-animal)'!$H$74*(1-'DB additional information '!$L$16/100))*(1-VLOOKUP(D376,'DB technologies'!$N$182:$Y$194,8,FALSE)/100)*'Calc (ex-housing, ex-storage)'!F376/100*VLOOKUP(D376,'DB technologies'!$N$182:$Y$194,11,FALSE)/100/VLOOKUP($C$373,'DB animal categories'!$C$137:$AC$146,27,FALSE)*AJ376,0))))</f>
        <v/>
      </c>
      <c r="AN376" s="442" t="str">
        <f>IF(AI376="","",IF(AL376=0,0,AL376/AK376*100))</f>
        <v/>
      </c>
      <c r="AO376" s="182" t="str">
        <f>IF(D376="","",IF(AI376=2,(('Calc (ex-animal)'!$L$74*'Calc (ex-housing, ex-storage)'!F376/100+'Calc (ex-animal)'!$K$74*'Calc (ex-housing, ex-storage)'!F376/100))/VLOOKUP($C$373,'DB animal categories'!$C$137:$AC$146,27,FALSE)*AJ376+Q376+R376+S376-AC376,IF(AI376=1,('Calc (ex-animal)'!$L$74*'Calc (ex-housing, ex-storage)'!F376/100)/VLOOKUP($C$373,'DB animal categories'!$C$137:$AC$146,27,FALSE)*AJ376-'Calc (ex-housing, ex-storage)'!AC376,IF(AI376=4,('Calc (ex-animal)'!$L$74+'Calc (ex-animal)'!$K$74)*'Calc (ex-housing, ex-storage)'!F376/100*VLOOKUP(D376,'DB technologies'!$N$182:$Y$194,11,FALSE)/100/VLOOKUP($C$373,'DB animal categories'!$C$137:$AC$146,27,FALSE)*AJ376-AC376*VLOOKUP(D376,'DB technologies'!$N$182:$Y$194,11,FALSE)/100,0))))</f>
        <v/>
      </c>
      <c r="AP376" s="182" t="str">
        <f>IF(D376="","",IF(AO376&lt;-0.01,0,IF(AI376=2,(('Calc (ex-animal)'!$L$74*'Calc (ex-housing, ex-storage)'!F376/100+'Calc (ex-animal)'!$K$74*'Calc (ex-housing, ex-storage)'!F376/100))/VLOOKUP($C$373,'DB animal categories'!$C$137:$AC$146,27,FALSE)*AJ376+Q376+R376+S376-AC376,IF(AI376=1,('Calc (ex-animal)'!$L$74*'Calc (ex-housing, ex-storage)'!F376/100)/VLOOKUP($C$373,'DB animal categories'!$C$137:$AC$146,27,FALSE)*AJ376-'Calc (ex-housing, ex-storage)'!AC376,IF(AI376=4,('Calc (ex-animal)'!$L$74+'Calc (ex-animal)'!$K$74)*'Calc (ex-housing, ex-storage)'!F376/100*VLOOKUP(D376,'DB technologies'!$N$182:$Y$194,11,FALSE)/100/VLOOKUP($C$373,'DB animal categories'!$C$137:$AC$146,27,FALSE)*AJ376-AC376*VLOOKUP(D376,'DB technologies'!$N$182:$Y$194,11,FALSE)/100,0)))))</f>
        <v/>
      </c>
      <c r="AQ376" s="182" t="str">
        <f>IF(D376="","",IF(AI376=2,('Calc (ex-animal)'!$O$74*'Calc (ex-housing, ex-storage)'!F376/100+'Calc (ex-animal)'!$N$74*'Calc (ex-housing, ex-storage)'!F376/100)/VLOOKUP($C$373,'DB animal categories'!$C$137:$AC$146,27,FALSE)*AJ376+U376+V376+W376,IF(AI376=1,'Calc (ex-animal)'!$O$74*'Calc (ex-housing, ex-storage)'!F376/100/VLOOKUP($C$373,'DB animal categories'!$C$137:$AC$146,27,FALSE)*AJ376,IF(AI376=4,('Calc (ex-animal)'!$O$74+'Calc (ex-animal)'!$N$74)*'Calc (ex-housing, ex-storage)'!F376/100*VLOOKUP(D376,'DB technologies'!$N$182:$Y$194,11,FALSE)/100/VLOOKUP($C$373,'DB animal categories'!$C$137:$AC$146,27,FALSE)*AJ376,0))))</f>
        <v/>
      </c>
      <c r="AR376" s="182" t="str">
        <f>IF(D376="","",IF(AI376=2,('Calc (ex-animal)'!$R$74*'Calc (ex-housing, ex-storage)'!F376/100+'Calc (ex-animal)'!$Q$74*'Calc (ex-housing, ex-storage)'!F376/100)/VLOOKUP($C$373,'DB animal categories'!$C$137:$AC$146,27,FALSE)*AJ376+Y376+Z376+AA376,IF(AI376=1,'Calc (ex-animal)'!$R$74*'Calc (ex-housing, ex-storage)'!F376/100/VLOOKUP($C$373,'DB animal categories'!$C$137:$AC$146,27,FALSE)*AJ376,IF(AI376=4,('Calc (ex-animal)'!$R$74+'Calc (ex-animal)'!$Q$74)*'Calc (ex-housing, ex-storage)'!F376/100*VLOOKUP(D376,'DB technologies'!$N$182:$Y$194,11,FALSE)/100/VLOOKUP($C$373,'DB animal categories'!$C$137:$AC$146,27,FALSE)*AJ376,0))))</f>
        <v/>
      </c>
      <c r="AS376" s="181" t="str">
        <f>IF(D376="","",VLOOKUP(D376,'DB technologies'!$N$182:$Y$194,10,FALSE))</f>
        <v/>
      </c>
      <c r="AT376" s="442" t="str">
        <f>IF(AS376="","",AU376+AV376)</f>
        <v/>
      </c>
      <c r="AU376" s="442" t="str">
        <f>IF(D376="","",IF(AS376=2,0,IF(AS376=1,'Calc (ex-animal)'!$G$74*'DB additional information '!$K$16/100*(1-VLOOKUP(D376,'DB technologies'!$N$182:$Y$194,8,FALSE)/100)*'Calc (ex-housing, ex-storage)'!F376/100/VLOOKUP($C$373,'DB animal categories'!$C$137:$AC$146,27,FALSE)*AJ376+I376+J376+K376,IF(AS376=5,(('Calc (ex-animal)'!$G$74*'DB additional information '!$K$16/100+'Calc (ex-animal)'!$H$74*'DB additional information '!$L$16/100))*(1-VLOOKUP(D376,'DB technologies'!$N$182:$Y$194,9,FALSE)/100)*'Calc (ex-housing, ex-storage)'!F376/100/VLOOKUP($C$373,'DB animal categories'!$C$137:$AC$146,27,FALSE)*AJ376+I376+J376+K376,IF(AS376=3,('Calc (ex-animal)'!$G$74*'DB additional information '!$K$16/100+'Calc (ex-animal)'!$H$74*'DB additional information '!$L$16/100)*(1-VLOOKUP(D376,'DB technologies'!$N$182:$Y$194,9,FALSE)/100)*'Calc (ex-housing, ex-storage)'!F376/100/VLOOKUP($C$373,'DB animal categories'!$C$137:$AC$146,27,FALSE)*AJ376+I376+J376+K376,IF(AS376=4,('Calc (ex-animal)'!$G$74*'DB additional information '!$K$16/100+'Calc (ex-animal)'!$H$74*'DB additional information '!$L$16/100)*(1-VLOOKUP(D376,'DB technologies'!$N$182:$Y$194,9,FALSE)/100)*'Calc (ex-housing, ex-storage)'!F376/100*VLOOKUP(D376,'DB technologies'!$N$182:$Y$194,12,FALSE)/100/VLOOKUP($C$373,'DB animal categories'!$C$137:$AC$146,27,FALSE)*AJ376+I376+J376+K376,0))))))</f>
        <v/>
      </c>
      <c r="AV376" s="442" t="str">
        <f>IF(D376="","",IF(AS376=2,0,IF(AS376=1,'Calc (ex-animal)'!$G$74*(1-'DB additional information '!$K$16/100)*(1-VLOOKUP(D376,'DB technologies'!$N$182:$Y$194,8,FALSE)/100)*'Calc (ex-housing, ex-storage)'!F376/100/VLOOKUP($C$373,'DB animal categories'!$C$137:$AC$146,27,FALSE)*AJ376+M376+N376+O376,IF(AS376=5,('Calc (ex-animal)'!$G$74*(1-'DB additional information '!$K$16/100)+'Calc (ex-animal)'!$H$74*(1-'DB additional information '!$L$16/100))*(1-VLOOKUP(D376,'DB technologies'!$N$182:$Y$194,8,FALSE)/100)*'Calc (ex-housing, ex-storage)'!F376/100/VLOOKUP($C$373,'DB animal categories'!$C$137:$AC$146,27,FALSE)*AJ376+M376+N376+O376,IF(AS376=3,('Calc (ex-animal)'!$G$74*(1-'DB additional information '!$K$16/100)+'Calc (ex-animal)'!$H$74*(1-'DB additional information '!$L$16/100))*(1-VLOOKUP(D376,'DB technologies'!$N$182:$Y$194,8,FALSE)/100)*'Calc (ex-housing, ex-storage)'!F376/100/VLOOKUP($C$373,'DB animal categories'!$C$137:$AC$146,27,FALSE)*AJ376+M376+N376+O376,IF(AS376=4,('Calc (ex-animal)'!$G$74*(1-'DB additional information '!$K$16/100)+'Calc (ex-animal)'!$H$74*(1-'DB additional information '!$L$16/100))*(1-VLOOKUP(D376,'DB technologies'!$N$182:$Y$194,8,FALSE)/100)*'Calc (ex-housing, ex-storage)'!F376/100*VLOOKUP(D376,'DB technologies'!$N$182:$Y$194,12,FALSE)/100/VLOOKUP($C$373,'DB animal categories'!$C$137:$AC$146,27,FALSE)*AJ376+M376+N376+O376,0))))))</f>
        <v/>
      </c>
      <c r="AW376" s="442" t="str">
        <f>IF(AS376="","",IF(AU376=0,0,AU376/AT376*100))</f>
        <v/>
      </c>
      <c r="AX376" s="182" t="str">
        <f>IF(D376="","",IF(AS376=2,0,IF(AS376=1,'Calc (ex-animal)'!$K$74*'Calc (ex-housing, ex-storage)'!F376/100/VLOOKUP($C$373,'DB animal categories'!$C$137:$AC$146,27,FALSE)*AJ376+Q376+R376+S376,IF(AS376=5,('Calc (ex-animal)'!$K$74+'Calc (ex-animal)'!$L$74)*'Calc (ex-housing, ex-storage)'!F376/100/VLOOKUP($C$373,'DB animal categories'!$C$137:$AC$146,27,FALSE)*AJ376+Q376+R376+S376-'Calc (ex-housing, ex-storage)'!AC376,IF(AS376=3,('Calc (ex-animal)'!$K$74+'Calc (ex-animal)'!$L$74)*'Calc (ex-housing, ex-storage)'!F376/100/VLOOKUP($C$373,'DB animal categories'!$C$137:$AC$146,27,FALSE)*AJ376+Q376+R376+S376-'Calc (ex-housing, ex-storage)'!AC376-AD376-AE376,IF(AI376=4,('Calc (ex-animal)'!$K$74+'Calc (ex-animal)'!$L$74)*'Calc (ex-housing, ex-storage)'!F376/100*VLOOKUP(D376,'DB technologies'!$N$182:$Y$194,12,FALSE)/100/VLOOKUP($C$373,'DB animal categories'!$C$137:$AC$146,27,FALSE)*AJ376+Q376+R376+S376-(VLOOKUP(D376,'DB technologies'!$N$182:$Y$194,12,FALSE)/100*AC376)-AD376-AE376,0))))))</f>
        <v/>
      </c>
      <c r="AY376" s="182" t="str">
        <f>IF(D376="","",IF(AS376=2,0,IF(AS376=1,'Calc (ex-animal)'!$N$74*'Calc (ex-housing, ex-storage)'!F376/100/VLOOKUP($C$373,'DB animal categories'!$C$137:$AC$146,27,FALSE)*AJ376+U376+V376+W376,IF(AS376=5,('Calc (ex-animal)'!$N$74+'Calc (ex-animal)'!$O$74)*'Calc (ex-housing, ex-storage)'!F376/100/VLOOKUP($C$373,'DB animal categories'!$C$137:$AC$146,27,FALSE)*AJ376+U376+V376+W376,IF(AS376=3,('Calc (ex-animal)'!$N$74+'Calc (ex-animal)'!$O$74)*'Calc (ex-housing, ex-storage)'!F376/100/VLOOKUP($C$373,'DB animal categories'!$C$137:$AC$146,27,FALSE)*AJ376+U376+V376+W376,IF(AS376=4,('Calc (ex-animal)'!$N$74+'Calc (ex-animal)'!$O$74)*'Calc (ex-housing, ex-storage)'!F376/100*VLOOKUP(D376,'DB technologies'!$N$182:$Y$194,12,FALSE)/100/VLOOKUP($C$373,'DB animal categories'!$C$137:$AC$146,27,FALSE)*AJ376+U376+V376+W376,0))))))</f>
        <v/>
      </c>
      <c r="AZ376" s="182" t="str">
        <f>IF(D376="","",IF(AS376=2,0,IF(AS376=1,'Calc (ex-animal)'!$Q$74*'Calc (ex-housing, ex-storage)'!F376/100/VLOOKUP($C$373,'DB animal categories'!$C$137:$AC$146,27,FALSE)*AJ376+Y376+Z376+AA376,IF(AS376=5,('Calc (ex-animal)'!$Q$74+'Calc (ex-animal)'!$R$74)*'Calc (ex-housing, ex-storage)'!F376/100/VLOOKUP($C$373,'DB animal categories'!$C$137:$AC$146,27,FALSE)*AJ376+Y376+Z376+AA376,IF(AS376=3,('Calc (ex-animal)'!$Q$74+'Calc (ex-animal)'!$R$74)*'Calc (ex-housing, ex-storage)'!F376/100/VLOOKUP($C$373,'DB animal categories'!$C$137:$AC$146,27,FALSE)*AJ376+Y376+Z376+AA376,IF(AS376=4,('Calc (ex-animal)'!$Q$74+'Calc (ex-animal)'!$R$74)*'Calc (ex-housing, ex-storage)'!F376/100*VLOOKUP(D376,'DB technologies'!$N$182:$Y$194,12,FALSE)/100/VLOOKUP($C$373,'DB animal categories'!$C$137:$AC$146,27,FALSE)*AJ376+Y376+Z376+AA376,0))))))</f>
        <v/>
      </c>
      <c r="BA376" s="506"/>
      <c r="BB376" s="506"/>
      <c r="BC376" s="506"/>
    </row>
    <row r="377" spans="1:55" ht="12" thickBot="1" x14ac:dyDescent="0.25">
      <c r="A377" s="695"/>
      <c r="B377" s="695"/>
      <c r="C377" s="251"/>
      <c r="D377" s="1359"/>
      <c r="E377" s="1360"/>
      <c r="F377" s="481" t="str">
        <f>IF('Calc (ex-animal)'!$F$73=1,"",IF($C$373=0,"",IF(D377="","",E377/'Calc (ex-animal)'!$E$74*100)))</f>
        <v/>
      </c>
      <c r="G377" s="483" t="str">
        <f>IF($C$373=0,"",IF('Calc (ex-animal)'!$F$73=1,"",IF(D377="","",SUM(H377:O377))))</f>
        <v/>
      </c>
      <c r="H377" s="445" t="str">
        <f>IF('Calc (ex-animal)'!$F$73=1,"",IF(D377="","",(((VLOOKUP($C$373,'Calc (ex-animal)'!$D$73:$Y$77,6,FALSE)-VLOOKUP($C$373,'Calc (ex-animal)'!$D$73:$Y$77,17,FALSE))*F377/100))*VLOOKUP($C$373,'Calc (ex-animal)'!$D$73:$Y$77,7,FALSE)/100*(1-VLOOKUP(D377,'DB technologies'!$N$182:$Y$194,9,FALSE)/100)))</f>
        <v/>
      </c>
      <c r="I377" s="445" t="str">
        <f>IF(D377="","",((VLOOKUP(D377,'DB technologies'!$N$182:$Y$194,2,FALSE)*VLOOKUP($C$373,'DB animal categories'!$C$137:$AC$146,27,FALSE)*E377/1000)/VLOOKUP($C$373,'DB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'!$S$6/100*(1-VLOOKUP(D377,'DB technologies'!$N$182:$Y$194,9,FALSE)/100)))</f>
        <v/>
      </c>
      <c r="J377" s="446" t="str">
        <f>IF(D377="","",((VLOOKUP(D377,'DB technologies'!$N$182:$Y$194,3,FALSE)*VLOOKUP($C$373,'DB animal categories'!$C$137:$AC$146,27,FALSE)*E377/1000)/VLOOKUP($C$373,'DB animal categories'!$C$137:$AC$146,27,FALSE)*(VLOOKUP($C$373,'DB animal categories'!$C$137:$AC$146,27,FALSE)-(VLOOKUP($C$373,'DB animal categories'!$C$137:$AC$146,25,FALSE)*VLOOKUP($C$373,'DB animal categories'!$C$137:$AC$146,26,FALSE)/24))*'DB additional information '!$S$7/100*(1-VLOOKUP(D377,'DB technologies'!$N$182:$Y$194,9,FALSE)/100)))</f>
        <v/>
      </c>
      <c r="K377" s="446" t="str">
        <f>IF(D377="","",((VLOOKUP(D377,'DB technologies'!$N$182:$Y$194,4,FALSE)*E377*'DB additional information '!$S$8/100*(1-VLOOKUP(D377,'DB technologies'!$N$182:$Y$194,9,FALSE)/100))/VLOOKUP($C$373,'DB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L377" s="445" t="str">
        <f>IF('Calc (ex-animal)'!$F$73=1,"",IF(D377="","",(((VLOOKUP($C$373,'Calc (ex-animal)'!$D$73:$Y$77,6,FALSE)-VLOOKUP($C$373,'Calc (ex-animal)'!$D$73:$Y$77,17,FALSE))*F377/100))*(1-VLOOKUP($C$373,'Calc (ex-animal)'!$D$73:$Y$77,7,FALSE)/100)*(1-VLOOKUP(D377,'DB technologies'!$N$182:$V$194,8,FALSE)/100)))</f>
        <v/>
      </c>
      <c r="M377" s="446" t="str">
        <f>IF(D377="","",((VLOOKUP(D377,'DB technologies'!$N$182:$Y$194,2,FALSE)*VLOOKUP($C$373,'DB animal categories'!$C$137:$AC$146,27,FALSE)*E377/1000)/VLOOKUP($C$373,'DB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'!$S$6/100)*(1-VLOOKUP(D377,'DB technologies'!$N$182:$Y$194,9,FALSE)/100))</f>
        <v/>
      </c>
      <c r="N377" s="446" t="str">
        <f>IF(D377="","",((VLOOKUP(D377,'DB technologies'!$N$182:$Y$194,3,FALSE)*VLOOKUP($C$373,'DB animal categories'!$C$137:$AC$146,27,FALSE)*E377/1000)/VLOOKUP($C$373,'DB animal categories'!$C$137:$AC$146,27,FALSE)*(VLOOKUP($C$373,'DB animal categories'!$C$137:$AC$146,27,FALSE)-VLOOKUP($C$373,'DB animal categories'!$C$137:$AC$146,25,FALSE)*VLOOKUP($C$373,'DB animal categories'!$C$137:$AC$146,26,FALSE)/24))*(1-'DB additional information '!$S$7/100)*(1-VLOOKUP(D377,'DB technologies'!$N$182:$Y$194,9,FALSE)/100))</f>
        <v/>
      </c>
      <c r="O377" s="445" t="str">
        <f>IF(D377="","",((VLOOKUP(D377,'DB technologies'!$N$182:$Y$194,4,FALSE)*E377*(1-'DB additional information '!$S$8/100)*(1-VLOOKUP(D377,'DB technologies'!$N$182:$Y$194,8,FALSE)/100))/VLOOKUP($C$373,'DB animal categories'!$C$137:$AC$146,27,FALSE)*(VLOOKUP($C$373,'DB animal categories'!$C$137:$AC$146,27,FALSE)-VLOOKUP($C$373,'DB animal categories'!$C$137:$AC$146,25,FALSE)*VLOOKUP($C$373,'DB animal categories'!$C$137:$AC$146,26,FALSE)/24)))</f>
        <v/>
      </c>
      <c r="P377" s="444" t="str">
        <f>IF(G377=0,0,IF(E377="","",IF(F377="","",IF($C$373=0,"",IF(D377="","",SUM(H377:K377)/G377*100)))))</f>
        <v/>
      </c>
      <c r="Q377" s="476" t="str">
        <f>IF(D377="","",(VLOOKUP(D377,'DB technologies'!$N$182:$Y$194,2,FALSE)*'DB additional information '!$S$6/100*'DB additional information '!$T$6*VLOOKUP($C$373,'DB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R377" s="476" t="str">
        <f>IF(D377="","",(VLOOKUP(D377,'DB technologies'!$N$182:$Y$194,3,FALSE)*'DB additional information '!$S$7/100*'DB additional information '!$T$7*VLOOKUP($C$373,'DB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S377" s="494" t="str">
        <f>IF(D377="","",(VLOOKUP(D377,'DB technologies'!$N$182:$Y$194,4,FALSE)*('DB additional information '!$S$8/100*'DB additional information '!$T$8*E377/1000/1000)))</f>
        <v/>
      </c>
      <c r="T377" s="266" t="str">
        <f>IF($C$373=0,"",IF('Calc (ex-animal)'!$F$73=1,"",IF(D377="","",((VLOOKUP($C$373,'Calc (ex-animal)'!$D$73:$Y$77,10,FALSE)-VLOOKUP($C$373,'Calc (ex-animal)'!$D$73:$Y$77,18,FALSE))*F377/100+Q377+R377+S377)-AC377-AD377-AE377)))</f>
        <v/>
      </c>
      <c r="U377" s="477" t="str">
        <f>IF(D377="","",(VLOOKUP(D377,'DB technologies'!$N$182:$Y$194,2,FALSE)*'DB additional information '!$S$6/100*'DB additional information '!$U$6*VLOOKUP($C$373,'DB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V377" s="433" t="str">
        <f>IF(D377="","",(VLOOKUP(D377,'DB technologies'!$N$182:$Y$194,3,FALSE)*'DB additional information '!$S$7/100*'DB additional information '!$U$7*VLOOKUP($C$373,'DB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W377" s="475" t="str">
        <f>IF(D377="","",(VLOOKUP(D377,'DB technologies'!$N$182:$Y$194,4,FALSE)*('DB additional information '!$S$8/100*'DB additional information '!$U$8*E377/1000/1000)))</f>
        <v/>
      </c>
      <c r="X377" s="267" t="str">
        <f>IF($C$373=0,"",IF('Calc (ex-animal)'!$F$73=1,"",IF(D377="","",((VLOOKUP($C$373,'Calc (ex-animal)'!$D$73:$Y$77,13,FALSE)-VLOOKUP($C$373,'Calc (ex-animal)'!$D$73:$Y$77,19,FALSE))*F377/100+U377+V377+W377))))</f>
        <v/>
      </c>
      <c r="Y377" s="433" t="str">
        <f>IF(D377="","",(VLOOKUP(D377,'DB technologies'!$N$182:$Y$194,2,FALSE)*'DB additional information '!$S$6/100*'DB additional information '!$V$6*VLOOKUP($C$373,'DB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Z377" s="433" t="str">
        <f>IF(D377="","",(VLOOKUP(D377,'DB technologies'!$N$182:$Y$194,3,FALSE)*'DB additional information '!$S$7/100*'DB additional information '!$V$7*VLOOKUP($C$373,'DB animal categories'!$C$137:$AC$146,27,FALSE)*E377/1000/1000)/VLOOKUP($C$373,'DB animal categories'!$C$137:$AC$146,27,FALSE)*(VLOOKUP($C$373,'DB animal categories'!$C$137:$AC$146,27,FALSE)-VLOOKUP($C$373,'DB animal categories'!$C$137:$AC$146,25,FALSE)*VLOOKUP($C$373,'DB animal categories'!$C$137:$AC$146,26,FALSE)/24))</f>
        <v/>
      </c>
      <c r="AA377" s="433" t="str">
        <f>IF(D377="","",(VLOOKUP(D377,'DB technologies'!$N$182:$Y$194,4,FALSE)*('DB additional information '!$S$8/100*'DB additional information '!$V$8*E377/1000/1000)))</f>
        <v/>
      </c>
      <c r="AB377" s="267" t="str">
        <f>IF($C$373=0,"",IF('Calc (ex-animal)'!$F$73=1,"",IF(D377="","",((VLOOKUP($C$373,'Calc (ex-animal)'!$D$73:$Y$77,16,FALSE)-VLOOKUP($C$373,'Calc (ex-animal)'!$D$73:$Y$77,20,FALSE))*F377/100+Y377+Z377+AA377))))</f>
        <v/>
      </c>
      <c r="AC377" s="267" t="str">
        <f>IF($C$373=0,"",IF('Calc (ex-animal)'!$F$73=1,"",IF(D377="","",VLOOKUP($C$373,'Calc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categories'!$C$137:$AC$146,26,FALSE)/24)*F377/100*VLOOKUP(D377,'DB technologies'!$N$182:$R$194,5,FALSE)/100)))</f>
        <v/>
      </c>
      <c r="AD377" s="267" t="str">
        <f>IF($C$373=0,"",IF('Calc (ex-animal)'!$F$73=1,"",IF(D377="","",VLOOKUP($C$373,'Calc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categories'!$C$137:$AC$146,26,FALSE)/24)*F377/100*VLOOKUP(D377,'DB technologies'!$N$182:$Y$194,6,FALSE)/100)))</f>
        <v/>
      </c>
      <c r="AE377" s="268" t="str">
        <f>IF($C$373=0,"",IF('Calc (ex-animal)'!$F$73=1,"",IF(D377="","",VLOOKUP($C$373,'Calc (ex-animal)'!$D$73:$Y$77,10,FALSE)/VLOOKUP($C$373,'DB animal categories'!$C$137:$AC$146,27,FALSE)*(VLOOKUP($C$373,'DB animal categories'!$C$137:$AC$146,27,FALSE)-VLOOKUP($C$373,'DB animal categories'!$C$137:$AC$146,25,FALSE)*VLOOKUP($C$373,'DB animal categories'!$C$137:$AC$146,26,FALSE)/24)*F377/100*VLOOKUP(D377,'DB technologies'!$N$182:$Y$194,7,FALSE)/100)))</f>
        <v/>
      </c>
      <c r="AI377" s="183" t="str">
        <f>IF(D377="","",VLOOKUP(D377,'DB technologies'!$N$182:$Y$194,10,FALSE))</f>
        <v/>
      </c>
      <c r="AJ377" s="451" t="e">
        <f>VLOOKUP($C$373,'DB animal categories'!$C$137:$AN$146,27,FALSE)-VLOOKUP($C$373,'DB animal categories'!$C$137:$AN$146,26,FALSE)*VLOOKUP($C$373,'DB animal categories'!$C$137:$AN$146,25,FALSE)/24</f>
        <v>#N/A</v>
      </c>
      <c r="AK377" s="452" t="str">
        <f>IF(AI377="","",AL377+AM377)</f>
        <v/>
      </c>
      <c r="AL377" s="452" t="str">
        <f>IF(D377="","",IF(AI377=2,(('Calc (ex-animal)'!$G$74*'DB additional information '!$K$16/100*(1-VLOOKUP(D377,'DB technologies'!$N$182:$Y$194,9,FALSE)/100)*'Calc (ex-housing, ex-storage)'!F377/100+'Calc (ex-animal)'!$H$74*'DB additional information '!$L$16/100*(1-VLOOKUP(D377,'DB technologies'!$N$182:$Y$194,9,FALSE)/100)*'Calc (ex-housing, ex-storage)'!F377/100))/VLOOKUP($C$373,'DB animal categories'!$C$137:$AC$146,27,FALSE)*AJ377+I377+J377+K377,IF(AI377=1,('Calc (ex-animal)'!$H$74*'DB additional information '!$L$16/100*(1-VLOOKUP(D377,'DB technologies'!$N$182:$Y$194,9,FALSE)/100)*'Calc (ex-housing, ex-storage)'!F377/100)/VLOOKUP($C$373,'DB animal categories'!$C$137:$AC$146,27,FALSE)*AJ377,IF(AI377=4,('Calc (ex-animal)'!$G$74*'DB additional information '!$K$16/100+'Calc (ex-animal)'!$H$74*'DB additional information '!$L$16/100)*(1-VLOOKUP(D377,'DB technologies'!$N$182:$Y$194,9,FALSE)/100)*'Calc (ex-housing, ex-storage)'!F377/100*VLOOKUP(D377,'DB technologies'!$N$182:$Y$194,11,FALSE)/100/VLOOKUP($C$373,'DB animal categories'!$C$137:$AC$146,27,FALSE)*AJ377,0))))</f>
        <v/>
      </c>
      <c r="AM377" s="452" t="str">
        <f>IF(D377="","",IF(AI377=2,(('Calc (ex-animal)'!$G$74*(1-'DB additional information '!$K$16/100)*(1-VLOOKUP(D377,'DB technologies'!$N$182:$Y$194,8,FALSE)/100)*'Calc (ex-housing, ex-storage)'!F377/100+'Calc (ex-animal)'!$H$74*(1-'DB additional information '!$L$16/100)*(1-VLOOKUP(D377,'DB technologies'!$N$182:$Y$194,8,FALSE)/100)*'Calc (ex-housing, ex-storage)'!F377/100))/VLOOKUP($C$373,'DB animal categories'!$C$137:$AC$146,27,FALSE)*AJ377+M377+N377+O377,IF(AI377=1,('Calc (ex-animal)'!$H$74*(1-'DB additional information '!$L$16/100)*(1-VLOOKUP(D377,'DB technologies'!$N$182:$Y$194,8,FALSE)/100)*'Calc (ex-housing, ex-storage)'!F377/100)/VLOOKUP($C$373,'DB animal categories'!$C$137:$AC$146,27,FALSE)*AJ377,IF(AI377=4,('Calc (ex-animal)'!$G$74*(1-'DB additional information '!$K$16/100)+'Calc (ex-animal)'!$H$74*(1-'DB additional information '!$L$16/100))*(1-VLOOKUP(D377,'DB technologies'!$N$182:$Y$194,8,FALSE)/100)*'Calc (ex-housing, ex-storage)'!F377/100*VLOOKUP(D377,'DB technologies'!$N$182:$Y$194,11,FALSE)/100/VLOOKUP($C$373,'DB animal categories'!$C$137:$AC$146,27,FALSE)*AJ377,0))))</f>
        <v/>
      </c>
      <c r="AN377" s="452" t="str">
        <f>IF(AI377="","",IF(AL377=0,0,AL377/AK377*100))</f>
        <v/>
      </c>
      <c r="AO377" s="184" t="str">
        <f>IF(D377="","",IF(AI377=2,(('Calc (ex-animal)'!$L$74*'Calc (ex-housing, ex-storage)'!F377/100+'Calc (ex-animal)'!$K$74*'Calc (ex-housing, ex-storage)'!F377/100))/VLOOKUP($C$373,'DB animal categories'!$C$137:$AC$146,27,FALSE)*AJ377+Q377+R377+S377-AC377,IF(AI377=1,('Calc (ex-animal)'!$L$74*'Calc (ex-housing, ex-storage)'!F377/100)/VLOOKUP($C$373,'DB animal categories'!$C$137:$AC$146,27,FALSE)*AJ377-'Calc (ex-housing, ex-storage)'!AC377,IF(AI377=4,('Calc (ex-animal)'!$L$74+'Calc (ex-animal)'!$K$74)*'Calc (ex-housing, ex-storage)'!F377/100*VLOOKUP(D377,'DB technologies'!$N$182:$Y$194,11,FALSE)/100/VLOOKUP($C$373,'DB animal categories'!$C$137:$AC$146,27,FALSE)*AJ377-AC377*VLOOKUP(D377,'DB technologies'!$N$182:$Y$194,11,FALSE)/100,0))))</f>
        <v/>
      </c>
      <c r="AP377" s="184" t="str">
        <f>IF(D377="","",IF(AO377&lt;-0.01,0,IF(AI377=2,(('Calc (ex-animal)'!$L$74*'Calc (ex-housing, ex-storage)'!F377/100+'Calc (ex-animal)'!$K$74*'Calc (ex-housing, ex-storage)'!F377/100))/VLOOKUP($C$373,'DB animal categories'!$C$137:$AC$146,27,FALSE)*AJ377+Q377+R377+S377-AC377,IF(AI377=1,('Calc (ex-animal)'!$L$74*'Calc (ex-housing, ex-storage)'!F377/100)/VLOOKUP($C$373,'DB animal categories'!$C$137:$AC$146,27,FALSE)*AJ377-'Calc (ex-housing, ex-storage)'!AC377,IF(AI377=4,('Calc (ex-animal)'!$L$74+'Calc (ex-animal)'!$K$74)*'Calc (ex-housing, ex-storage)'!F377/100*VLOOKUP(D377,'DB technologies'!$N$182:$Y$194,11,FALSE)/100/VLOOKUP($C$373,'DB animal categories'!$C$137:$AC$146,27,FALSE)*AJ377-AC377*VLOOKUP(D377,'DB technologies'!$N$182:$Y$194,11,FALSE)/100,0)))))</f>
        <v/>
      </c>
      <c r="AQ377" s="184" t="str">
        <f>IF(D377="","",IF(AI377=2,('Calc (ex-animal)'!$O$74*'Calc (ex-housing, ex-storage)'!F377/100+'Calc (ex-animal)'!$N$74*'Calc (ex-housing, ex-storage)'!F377/100)/VLOOKUP($C$373,'DB animal categories'!$C$137:$AC$146,27,FALSE)*AJ377+U377+V377+W377,IF(AI377=1,'Calc (ex-animal)'!$O$74*'Calc (ex-housing, ex-storage)'!F377/100/VLOOKUP($C$373,'DB animal categories'!$C$137:$AC$146,27,FALSE)*AJ377,IF(AI377=4,('Calc (ex-animal)'!$O$74+'Calc (ex-animal)'!$N$74)*'Calc (ex-housing, ex-storage)'!F377/100*VLOOKUP(D377,'DB technologies'!$N$182:$Y$194,11,FALSE)/100/VLOOKUP($C$373,'DB animal categories'!$C$137:$AC$146,27,FALSE)*AJ377,0))))</f>
        <v/>
      </c>
      <c r="AR377" s="184" t="str">
        <f>IF(D377="","",IF(AI377=2,('Calc (ex-animal)'!$R$74*'Calc (ex-housing, ex-storage)'!F377/100+'Calc (ex-animal)'!$Q$74*'Calc (ex-housing, ex-storage)'!F377/100)/VLOOKUP($C$373,'DB animal categories'!$C$137:$AC$146,27,FALSE)*AJ377+Y377+Z377+AA377,IF(AI377=1,'Calc (ex-animal)'!$R$74*'Calc (ex-housing, ex-storage)'!F377/100/VLOOKUP($C$373,'DB animal categories'!$C$137:$AC$146,27,FALSE)*AJ377,IF(AI377=4,('Calc (ex-animal)'!$R$74+'Calc (ex-animal)'!$Q$74)*'Calc (ex-housing, ex-storage)'!F377/100*VLOOKUP(D377,'DB technologies'!$N$182:$Y$194,11,FALSE)/100/VLOOKUP($C$373,'DB animal categories'!$C$137:$AC$146,27,FALSE)*AJ377,0))))</f>
        <v/>
      </c>
      <c r="AS377" s="183" t="str">
        <f>IF(D377="","",VLOOKUP(D377,'DB technologies'!$N$182:$Y$194,10,FALSE))</f>
        <v/>
      </c>
      <c r="AT377" s="452" t="str">
        <f>IF(AS377="","",AU377+AV377)</f>
        <v/>
      </c>
      <c r="AU377" s="452" t="str">
        <f>IF(D377="","",IF(AS377=2,0,IF(AS377=1,'Calc (ex-animal)'!$G$74*'DB additional information '!$K$16/100*(1-VLOOKUP(D377,'DB technologies'!$N$182:$Y$194,8,FALSE)/100)*'Calc (ex-housing, ex-storage)'!F377/100/VLOOKUP($C$373,'DB animal categories'!$C$137:$AC$146,27,FALSE)*AJ377+I377+J377+K377,IF(AS377=5,(('Calc (ex-animal)'!$G$74*'DB additional information '!$K$16/100+'Calc (ex-animal)'!$H$74*'DB additional information '!$L$16/100))*(1-VLOOKUP(D377,'DB technologies'!$N$182:$Y$194,9,FALSE)/100)*'Calc (ex-housing, ex-storage)'!F377/100/VLOOKUP($C$373,'DB animal categories'!$C$137:$AC$146,27,FALSE)*AJ377+I377+J377+K377,IF(AS377=3,('Calc (ex-animal)'!$G$74*'DB additional information '!$K$16/100+'Calc (ex-animal)'!$H$74*'DB additional information '!$L$16/100)*(1-VLOOKUP(D377,'DB technologies'!$N$182:$Y$194,9,FALSE)/100)*'Calc (ex-housing, ex-storage)'!F377/100/VLOOKUP($C$373,'DB animal categories'!$C$137:$AC$146,27,FALSE)*AJ377+I377+J377+K377,IF(AS377=4,('Calc (ex-animal)'!$G$74*'DB additional information '!$K$16/100+'Calc (ex-animal)'!$H$74*'DB additional information '!$L$16/100)*(1-VLOOKUP(D377,'DB technologies'!$N$182:$Y$194,9,FALSE)/100)*'Calc (ex-housing, ex-storage)'!F377/100*VLOOKUP(D377,'DB technologies'!$N$182:$Y$194,12,FALSE)/100/VLOOKUP($C$373,'DB animal categories'!$C$137:$AC$146,27,FALSE)*AJ377+I377+J377+K377,0))))))</f>
        <v/>
      </c>
      <c r="AV377" s="452" t="str">
        <f>IF(D377="","",IF(AS377=2,0,IF(AS377=1,'Calc (ex-animal)'!$G$74*(1-'DB additional information '!$K$16/100)*(1-VLOOKUP(D377,'DB technologies'!$N$182:$Y$194,8,FALSE)/100)*'Calc (ex-housing, ex-storage)'!F377/100/VLOOKUP($C$373,'DB animal categories'!$C$137:$AC$146,27,FALSE)*AJ377+M377+N377+O377,IF(AS377=5,('Calc (ex-animal)'!$G$74*(1-'DB additional information '!$K$16/100)+'Calc (ex-animal)'!$H$74*(1-'DB additional information '!$L$16/100))*(1-VLOOKUP(D377,'DB technologies'!$N$182:$Y$194,8,FALSE)/100)*'Calc (ex-housing, ex-storage)'!F377/100/VLOOKUP($C$373,'DB animal categories'!$C$137:$AC$146,27,FALSE)*AJ377+M377+N377+O377,IF(AS377=3,('Calc (ex-animal)'!$G$74*(1-'DB additional information '!$K$16/100)+'Calc (ex-animal)'!$H$74*(1-'DB additional information '!$L$16/100))*(1-VLOOKUP(D377,'DB technologies'!$N$182:$Y$194,8,FALSE)/100)*'Calc (ex-housing, ex-storage)'!F377/100/VLOOKUP($C$373,'DB animal categories'!$C$137:$AC$146,27,FALSE)*AJ377+M377+N377+O377,IF(AS377=4,('Calc (ex-animal)'!$G$74*(1-'DB additional information '!$K$16/100)+'Calc (ex-animal)'!$H$74*(1-'DB additional information '!$L$16/100))*(1-VLOOKUP(D377,'DB technologies'!$N$182:$Y$194,8,FALSE)/100)*'Calc (ex-housing, ex-storage)'!F377/100*VLOOKUP(D377,'DB technologies'!$N$182:$Y$194,12,FALSE)/100/VLOOKUP($C$373,'DB animal categories'!$C$137:$AC$146,27,FALSE)*AJ377+M377+N377+O377,0))))))</f>
        <v/>
      </c>
      <c r="AW377" s="452" t="str">
        <f>IF(AS377="","",IF(AU377=0,0,AU377/AT377*100))</f>
        <v/>
      </c>
      <c r="AX377" s="184" t="str">
        <f>IF(D377="","",IF(AS377=2,0,IF(AS377=1,'Calc (ex-animal)'!$K$74*'Calc (ex-housing, ex-storage)'!F377/100/VLOOKUP($C$373,'DB animal categories'!$C$137:$AC$146,27,FALSE)*AJ377+Q377+R377+S377,IF(AS377=5,('Calc (ex-animal)'!$K$74+'Calc (ex-animal)'!$L$74)*'Calc (ex-housing, ex-storage)'!F377/100/VLOOKUP($C$373,'DB animal categories'!$C$137:$AC$146,27,FALSE)*AJ377+Q377+R377+S377-'Calc (ex-housing, ex-storage)'!AC377,IF(AS377=3,('Calc (ex-animal)'!$K$74+'Calc (ex-animal)'!$L$74)*'Calc (ex-housing, ex-storage)'!F377/100/VLOOKUP($C$373,'DB animal categories'!$C$137:$AC$146,27,FALSE)*AJ377+Q377+R377+S377-'Calc (ex-housing, ex-storage)'!AC377-AD377-AE377,IF(AI377=4,('Calc (ex-animal)'!$K$74+'Calc (ex-animal)'!$L$74)*'Calc (ex-housing, ex-storage)'!F377/100*VLOOKUP(D377,'DB technologies'!$N$182:$Y$194,12,FALSE)/100/VLOOKUP($C$373,'DB animal categories'!$C$137:$AC$146,27,FALSE)*AJ377+Q377+R377+S377-(VLOOKUP(D377,'DB technologies'!$N$182:$Y$194,12,FALSE)/100*AC377)-AD377-AE377,0))))))</f>
        <v/>
      </c>
      <c r="AY377" s="184" t="str">
        <f>IF(D377="","",IF(AS377=2,0,IF(AS377=1,'Calc (ex-animal)'!$N$74*'Calc (ex-housing, ex-storage)'!F377/100/VLOOKUP($C$373,'DB animal categories'!$C$137:$AC$146,27,FALSE)*AJ377+U377+V377+W377,IF(AS377=5,('Calc (ex-animal)'!$N$74+'Calc (ex-animal)'!$O$74)*'Calc (ex-housing, ex-storage)'!F377/100/VLOOKUP($C$373,'DB animal categories'!$C$137:$AC$146,27,FALSE)*AJ377+U377+V377+W377,IF(AS377=3,('Calc (ex-animal)'!$N$74+'Calc (ex-animal)'!$O$74)*'Calc (ex-housing, ex-storage)'!F377/100/VLOOKUP($C$373,'DB animal categories'!$C$137:$AC$146,27,FALSE)*AJ377+U377+V377+W377,IF(AS377=4,('Calc (ex-animal)'!$N$74+'Calc (ex-animal)'!$O$74)*'Calc (ex-housing, ex-storage)'!F377/100*VLOOKUP(D377,'DB technologies'!$N$182:$Y$194,12,FALSE)/100/VLOOKUP($C$373,'DB animal categories'!$C$137:$AC$146,27,FALSE)*AJ377+U377+V377+W377,0))))))</f>
        <v/>
      </c>
      <c r="AZ377" s="184" t="str">
        <f>IF(D377="","",IF(AS377=2,0,IF(AS377=1,'Calc (ex-animal)'!$Q$74*'Calc (ex-housing, ex-storage)'!F377/100/VLOOKUP($C$373,'DB animal categories'!$C$137:$AC$146,27,FALSE)*AJ377+Y377+Z377+AA377,IF(AS377=5,('Calc (ex-animal)'!$Q$74+'Calc (ex-animal)'!$R$74)*'Calc (ex-housing, ex-storage)'!F377/100/VLOOKUP($C$373,'DB animal categories'!$C$137:$AC$146,27,FALSE)*AJ377+Y377+Z377+AA377,IF(AS377=3,('Calc (ex-animal)'!$Q$74+'Calc (ex-animal)'!$R$74)*'Calc (ex-housing, ex-storage)'!F377/100/VLOOKUP($C$373,'DB animal categories'!$C$137:$AC$146,27,FALSE)*AJ377+Y377+Z377+AA377,IF(AS377=4,('Calc (ex-animal)'!$Q$74+'Calc (ex-animal)'!$R$74)*'Calc (ex-housing, ex-storage)'!F377/100*VLOOKUP(D377,'DB technologies'!$N$182:$Y$194,12,FALSE)/100/VLOOKUP($C$373,'DB animal categories'!$C$137:$AC$146,27,FALSE)*AJ377+Y377+Z377+AA377,0))))))</f>
        <v/>
      </c>
      <c r="BA377" s="506"/>
      <c r="BB377" s="506"/>
      <c r="BC377" s="506"/>
    </row>
    <row r="378" spans="1:55" ht="12" thickBot="1" x14ac:dyDescent="0.25">
      <c r="A378" s="695"/>
      <c r="B378" s="695"/>
      <c r="C378" s="252"/>
      <c r="D378" s="269" t="s">
        <v>58</v>
      </c>
      <c r="E378" s="270">
        <f>IF(F378&lt;=100,SUM(E373:E377),"ERROR")</f>
        <v>0</v>
      </c>
      <c r="F378" s="284">
        <f>IF(SUM(F373:F377) &lt;=100,SUM(F373:F377),"ERROR, SUM&gt;100%")</f>
        <v>0</v>
      </c>
      <c r="G378" s="550">
        <f>IF('Calc (ex-animal)'!$F$73=1,"",SUM(G373:G377))</f>
        <v>0</v>
      </c>
      <c r="H378" s="418">
        <f>IF('Calc (ex-animal)'!$F$8=1,"",SUM(H373:H377))</f>
        <v>0</v>
      </c>
      <c r="I378" s="418">
        <f>IF('Calc (ex-animal)'!$F$8=1,"",SUM(I373:I377))</f>
        <v>0</v>
      </c>
      <c r="J378" s="418">
        <f>IF('Calc (ex-animal)'!$F$8=1,"",SUM(J373:J377))</f>
        <v>0</v>
      </c>
      <c r="K378" s="418">
        <f>IF('Calc (ex-animal)'!$F$8=1,"",SUM(K373:K377))</f>
        <v>0</v>
      </c>
      <c r="L378" s="418">
        <f>IF('Calc (ex-animal)'!$F$8=1,"",SUM(L373:L377))</f>
        <v>0</v>
      </c>
      <c r="M378" s="551"/>
      <c r="N378" s="551"/>
      <c r="O378" s="551"/>
      <c r="P378" s="552">
        <f>IF(G378=0,0,IF('Calc (ex-animal)'!$F$73=1,"",IF(D378="","",SUM(H378:K378)/G378*100)))</f>
        <v>0</v>
      </c>
      <c r="Q378" s="394"/>
      <c r="R378" s="394"/>
      <c r="S378" s="394"/>
      <c r="T378" s="285">
        <f>IF('Calc (ex-animal)'!$F$74=1,"",SUM(T373:T377))</f>
        <v>0</v>
      </c>
      <c r="U378" s="286"/>
      <c r="V378" s="286"/>
      <c r="W378" s="286"/>
      <c r="X378" s="286">
        <f>IF('Calc (ex-animal)'!$F$74=1,"",SUM(X373:X377))</f>
        <v>0</v>
      </c>
      <c r="Y378" s="286"/>
      <c r="Z378" s="286"/>
      <c r="AA378" s="286"/>
      <c r="AB378" s="286">
        <f>IF('Calc (ex-animal)'!$F$74=1,"",SUM(AB373:AB377))</f>
        <v>0</v>
      </c>
      <c r="AC378" s="286">
        <f>IF('Calc (ex-animal)'!$F$74=1,"",SUM(AC373:AC377))</f>
        <v>0</v>
      </c>
      <c r="AD378" s="286">
        <f>IF('Calc (ex-animal)'!$F$74=1,"",SUM(AD373:AD377))</f>
        <v>0</v>
      </c>
      <c r="AE378" s="287">
        <f>IF('Calc (ex-animal)'!$F$74=1,"",SUM(AE373:AE377))</f>
        <v>0</v>
      </c>
    </row>
    <row r="379" spans="1:55" x14ac:dyDescent="0.2">
      <c r="A379" s="695"/>
      <c r="B379" s="695"/>
      <c r="C379" s="250">
        <f>'Calc (ex-animal)'!D75</f>
        <v>0</v>
      </c>
      <c r="D379" s="1355"/>
      <c r="E379" s="1356"/>
      <c r="F379" s="479" t="str">
        <f>IF('Calc (ex-animal)'!$F$73=1,"",IF($C$379=0,"",IF(D379="","",E379/'Calc (ex-animal)'!$E$75*100)))</f>
        <v/>
      </c>
      <c r="G379" s="484" t="str">
        <f>IF($C$379=0,"",IF('Calc (ex-animal)'!$F$73=1,"",IF(D379="","",SUM(H379:O379))))</f>
        <v/>
      </c>
      <c r="H379" s="471" t="str">
        <f>IF('Calc (ex-animal)'!$F$73=1,"",IF(D379="","",(((VLOOKUP($C$379,'Calc (ex-animal)'!$D$73:$Y$77,6,FALSE)-VLOOKUP($C$379,'Calc (ex-animal)'!$D$73:$Y$77,17,FALSE))*F379/100))*VLOOKUP($C$379,'Calc (ex-animal)'!$D$73:$Y$77,7,FALSE)/100*(1-VLOOKUP(D379,'DB technologies'!$N$182:$Y$194,9,FALSE)/100)))</f>
        <v/>
      </c>
      <c r="I379" s="471" t="str">
        <f>IF(D379="","",((VLOOKUP(D379,'DB technologies'!$N$182:$Y$194,2,FALSE)*VLOOKUP($C$379,'DB animal categories'!$C$137:$AC$146,27,FALSE)*E379/1000)/VLOOKUP($C$379,'DB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'!$S$6/100*(1-VLOOKUP(D379,'DB technologies'!$N$182:$Y$194,9,FALSE)/100)))</f>
        <v/>
      </c>
      <c r="J379" s="472" t="str">
        <f>IF(D379="","",((VLOOKUP(D379,'DB technologies'!$N$182:$Y$194,3,FALSE)*VLOOKUP($C$379,'DB animal categories'!$C$137:$AC$146,27,FALSE)*E379/1000)/VLOOKUP($C$379,'DB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'!$S$7/100*(1-VLOOKUP(D379,'DB technologies'!$N$182:$Y$194,9,FALSE)/100)))</f>
        <v/>
      </c>
      <c r="K379" s="472" t="str">
        <f>IF(D379="","",((VLOOKUP(D379,'DB technologies'!$N$182:$Y$194,4,FALSE)*E379*'DB additional information '!$S$8/100*(1-VLOOKUP(D379,'DB technologies'!$N$182:$Y$194,9,FALSE)/100))/VLOOKUP($C$379,'DB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L379" s="471" t="str">
        <f>IF('Calc (ex-animal)'!$F$73=1,"",IF(D379="","",(((VLOOKUP($C$379,'Calc (ex-animal)'!$D$73:$Y$77,6,FALSE)-VLOOKUP($C$379,'Calc (ex-animal)'!$D$73:$Y$77,17,FALSE))*F379/100))*(1-VLOOKUP($C$379,'Calc (ex-animal)'!$D$73:$Y$77,7,FALSE)/100)*(1-VLOOKUP(D379,'DB technologies'!$N$182:$V$194,8,FALSE)/100)))</f>
        <v/>
      </c>
      <c r="M379" s="472" t="str">
        <f>IF(D379="","",((VLOOKUP(D379,'DB technologies'!$N$182:$Y$194,2,FALSE)*VLOOKUP($C$379,'DB animal categories'!$C$137:$AC$146,27,FALSE)*E379/1000)/VLOOKUP($C$379,'DB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'!$S$6/100)*(1-VLOOKUP(D379,'DB technologies'!$N$182:$Y$194,9,FALSE)/100))</f>
        <v/>
      </c>
      <c r="N379" s="472" t="str">
        <f>IF(D379="","",((VLOOKUP(D379,'DB technologies'!$N$182:$Y$194,3,FALSE)*VLOOKUP($C$379,'DB animal categories'!$C$137:$AC$146,27,FALSE)*E379/1000)/VLOOKUP($C$379,'DB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'!$S$7/100)*(1-VLOOKUP(D379,'DB technologies'!$N$182:$Y$194,9,FALSE)/100))</f>
        <v/>
      </c>
      <c r="O379" s="471" t="str">
        <f>IF(D379="","",((VLOOKUP(D379,'DB technologies'!$N$182:$Y$194,4,FALSE)*E379*(1-'DB additional information '!$S$8/100)*(1-VLOOKUP(D379,'DB technologies'!$N$182:$Y$194,8,FALSE)/100))/VLOOKUP($C$379,'DB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P379" s="443" t="str">
        <f>IF(G379=0,0,IF(E379="","",IF(F379="","",IF($C$379=0,"",IF(D379="","",SUM(H379:K379)/G379*100)))))</f>
        <v/>
      </c>
      <c r="Q379" s="473" t="str">
        <f>IF(D379="","",(VLOOKUP(D379,'DB technologies'!$N$182:$Y$194,2,FALSE)*'DB additional information '!$S$6/100*'DB additional information '!$T$6*VLOOKUP($C$379,'DB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R379" s="473" t="str">
        <f>IF(D379="","",(VLOOKUP(D379,'DB technologies'!$N$182:$Y$194,3,FALSE)*'DB additional information '!$S$7/100*'DB additional information '!$T$7*VLOOKUP($C$379,'DB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S379" s="490" t="str">
        <f>IF(D379="","",(VLOOKUP(D379,'DB technologies'!$N$182:$Y$194,4,FALSE)*('DB additional information '!$S$8/100*'DB additional information '!$T$8*E379/1000/1000)))</f>
        <v/>
      </c>
      <c r="T379" s="263" t="str">
        <f>IF($C$379=0,"",IF('Calc (ex-animal)'!$F$73=1,"",IF(D379="","",((VLOOKUP($C$379,'Calc (ex-animal)'!$D$73:$Y$77,10,FALSE)-VLOOKUP($C$379,'Calc (ex-animal)'!$D$73:$Y$77,18,FALSE))*F379/100+Q379+R379+S379)-AC379-AD379-AE379)))</f>
        <v/>
      </c>
      <c r="U379" s="474" t="str">
        <f>IF(D379="","",(VLOOKUP(D379,'DB technologies'!$N$182:$Y$194,2,FALSE)*'DB additional information '!$S$6/100*'DB additional information '!$U$6*VLOOKUP($C$379,'DB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V379" s="420" t="str">
        <f>IF(D379="","",(VLOOKUP(D379,'DB technologies'!$N$182:$Y$194,3,FALSE)*'DB additional information '!$S$7/100*'DB additional information '!$U$7*VLOOKUP($C$379,'DB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W379" s="415" t="str">
        <f>IF(D379="","",(VLOOKUP(D379,'DB technologies'!$N$182:$Y$194,4,FALSE)*('DB additional information '!$S$8/100*'DB additional information '!$U$8*E379/1000/1000)))</f>
        <v/>
      </c>
      <c r="X379" s="259" t="str">
        <f>IF($C$379=0,"",IF('Calc (ex-animal)'!$F$73=1,"",IF(D379="","",((VLOOKUP($C$379,'Calc (ex-animal)'!$D$73:$Y$77,13,FALSE)-VLOOKUP($C$379,'Calc (ex-animal)'!$D$73:$Y$77,19,FALSE))*F379/100+U379+V379+W379))))</f>
        <v/>
      </c>
      <c r="Y379" s="420" t="str">
        <f>IF(D379="","",(VLOOKUP(D379,'DB technologies'!$N$182:$Y$194,2,FALSE)*'DB additional information '!$S$6/100*'DB additional information '!$V$6*VLOOKUP($C$379,'DB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Z379" s="420" t="str">
        <f>IF(D379="","",(VLOOKUP(D379,'DB technologies'!$N$182:$Y$194,3,FALSE)*'DB additional information '!$S$7/100*'DB additional information '!$V$7*VLOOKUP($C$379,'DB animal categories'!$C$137:$AC$146,27,FALSE)*E379/1000/1000)/VLOOKUP($C$379,'DB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AA379" s="420" t="str">
        <f>IF(D379="","",(VLOOKUP(D379,'DB technologies'!$N$182:$Y$194,4,FALSE)*('DB additional information '!$S$8/100*'DB additional information '!$V$8*E379/1000/1000)))</f>
        <v/>
      </c>
      <c r="AB379" s="259" t="str">
        <f>IF($C$379=0,"",IF('Calc (ex-animal)'!$F$73=1,"",IF(D379="","",((VLOOKUP($C$379,'Calc (ex-animal)'!$D$73:$Y$77,16,FALSE)-VLOOKUP($C$379,'Calc (ex-animal)'!$D$73:$Y$77,20,FALSE))*F379/100+Y379+Z379+AA379))))</f>
        <v/>
      </c>
      <c r="AC379" s="259" t="str">
        <f>IF($C$379=0,"",IF('Calc (ex-animal)'!$F$73=1,"",IF(D379="","",VLOOKUP($C$379,'Calc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categories'!$C$137:$AC$146,26,FALSE)/24)*F379/100*VLOOKUP(D379,'DB technologies'!$N$182:$R$194,5,FALSE)/100)))</f>
        <v/>
      </c>
      <c r="AD379" s="259" t="str">
        <f>IF($C$379=0,"",IF('Calc (ex-animal)'!$F$73=1,"",IF(D379="","",VLOOKUP($C$379,'Calc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categories'!$C$137:$AC$146,26,FALSE)/24)*F379/100*VLOOKUP(D379,'DB technologies'!$N$182:$Y$194,6,FALSE)/100)))</f>
        <v/>
      </c>
      <c r="AE379" s="260" t="str">
        <f>IF($C$379=0,"",IF('Calc (ex-animal)'!$F$73=1,"",IF(D379="","",VLOOKUP($C$379,'Calc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categories'!$C$137:$AC$146,26,FALSE)/24)*F379/100*VLOOKUP(D379,'DB technologies'!$N$182:$Y$194,7,FALSE)/100)))</f>
        <v/>
      </c>
      <c r="AI379" s="179" t="str">
        <f>IF(D379="","",VLOOKUP(D379,'DB technologies'!$N$182:$Y$194,10,FALSE))</f>
        <v/>
      </c>
      <c r="AJ379" s="482" t="e">
        <f>VLOOKUP($C$379,'DB animal categories'!$C$137:$AN$146,27,FALSE)-VLOOKUP($C$379,'DB animal categories'!$C$137:$AN$146,26,FALSE)*VLOOKUP($C$379,'DB animal categories'!$C$137:$AN$146,25,FALSE)/24</f>
        <v>#N/A</v>
      </c>
      <c r="AK379" s="453" t="str">
        <f>IF(AI379="","",AL379+AM379)</f>
        <v/>
      </c>
      <c r="AL379" s="453" t="str">
        <f>IF(D379="","",IF(AI379=2,(('Calc (ex-animal)'!$G$75*'DB additional information '!$K$16/100*(1-VLOOKUP(D379,'DB technologies'!$N$182:$Y$194,9,FALSE)/100)*'Calc (ex-housing, ex-storage)'!F379/100+'Calc (ex-animal)'!$H$75*'DB additional information '!$L$16/100*(1-VLOOKUP(D379,'DB technologies'!$N$182:$Y$194,9,FALSE)/100)*'Calc (ex-housing, ex-storage)'!F379/100))/VLOOKUP($C$379,'DB animal categories'!$C$137:$AC$146,27,FALSE)*AJ379+I379+J379+K379,IF(AI379=1,('Calc (ex-animal)'!$H$75*'DB additional information '!$L$16/100*(1-VLOOKUP(D379,'DB technologies'!$N$182:$Y$194,9,FALSE)/100)*'Calc (ex-housing, ex-storage)'!F379/100)/VLOOKUP($C$379,'DB animal categories'!$C$137:$AC$146,27,FALSE)*AJ379,IF(AI379=4,('Calc (ex-animal)'!$G$75*'DB additional information '!$K$16/100+'Calc (ex-animal)'!$H$75*'DB additional information '!$L$16/100)*(1-VLOOKUP(D379,'DB technologies'!$N$182:$Y$194,9,FALSE)/100)*'Calc (ex-housing, ex-storage)'!F379/100*VLOOKUP(D379,'DB technologies'!$N$182:$Y$194,11,FALSE)/100/VLOOKUP($C$379,'DB animal categories'!$C$137:$AC$146,27,FALSE)*AJ379,0))))</f>
        <v/>
      </c>
      <c r="AM379" s="453" t="str">
        <f>IF(D379="","",IF(AI379=2,(('Calc (ex-animal)'!$G$75*(1-'DB additional information '!$K$16/100)*(1-VLOOKUP(D379,'DB technologies'!$N$182:$Y$194,8,FALSE)/100)*'Calc (ex-housing, ex-storage)'!F379/100+'Calc (ex-animal)'!$H$75*(1-'DB additional information '!$L$16/100)*(1-VLOOKUP(D379,'DB technologies'!$N$182:$Y$194,8,FALSE)/100)*'Calc (ex-housing, ex-storage)'!F379/100))/VLOOKUP($C$379,'DB animal categories'!$C$137:$AC$146,27,FALSE)*AJ379+M379+N379+O379,IF(AI379=1,('Calc (ex-animal)'!$H$75*(1-'DB additional information '!$L$16/100)*(1-VLOOKUP(D379,'DB technologies'!$N$182:$Y$194,8,FALSE)/100)*'Calc (ex-housing, ex-storage)'!F379/100)/VLOOKUP($C$379,'DB animal categories'!$C$137:$AC$146,27,FALSE)*AJ379,IF(AI379=4,('Calc (ex-animal)'!$G$75*(1-'DB additional information '!$K$16/100)+'Calc (ex-animal)'!$H$75*(1-'DB additional information '!$L$16/100))*(1-VLOOKUP(D379,'DB technologies'!$N$182:$Y$194,8,FALSE)/100)*'Calc (ex-housing, ex-storage)'!F379/100*VLOOKUP(D379,'DB technologies'!$N$182:$Y$194,11,FALSE)/100/VLOOKUP($C$379,'DB animal categories'!$C$137:$AC$146,27,FALSE)*AJ379,0))))</f>
        <v/>
      </c>
      <c r="AN379" s="453" t="str">
        <f>IF(AI379="","",IF(AL379=0,0,AL379/AK379*100))</f>
        <v/>
      </c>
      <c r="AO379" s="180" t="str">
        <f>IF(D379="","",IF(AI379=2,(('Calc (ex-animal)'!$L$75*'Calc (ex-housing, ex-storage)'!F379/100+'Calc (ex-animal)'!$K$75*'Calc (ex-housing, ex-storage)'!F379/100))/VLOOKUP($C$379,'DB animal categories'!$C$137:$AC$146,27,FALSE)*AJ379+Q379+R379+S379-AC379,IF(AI379=1,('Calc (ex-animal)'!$L$75*'Calc (ex-housing, ex-storage)'!F379/100)/VLOOKUP($C$379,'DB animal categories'!$C$137:$AC$146,27,FALSE)*AJ379-'Calc (ex-housing, ex-storage)'!AC379,IF(AI379=4,('Calc (ex-animal)'!$L$75+'Calc (ex-animal)'!$K$75)*'Calc (ex-housing, ex-storage)'!F379/100*VLOOKUP(D379,'DB technologies'!$N$182:$Y$194,11,FALSE)/100/VLOOKUP($C$379,'DB animal categories'!$C$137:$AC$146,27,FALSE)*AJ379-AC379*VLOOKUP(D379,'DB technologies'!$N$182:$Y$194,11,FALSE)/100,0))))</f>
        <v/>
      </c>
      <c r="AP379" s="180" t="str">
        <f>IF(D379="","",IF(AO379&lt;-0.01,0,IF(AI379=2,(('Calc (ex-animal)'!$L$75*'Calc (ex-housing, ex-storage)'!F379/100+'Calc (ex-animal)'!$K$75*'Calc (ex-housing, ex-storage)'!F379/100))/VLOOKUP($C$379,'DB animal categories'!$C$137:$AC$146,27,FALSE)*AJ379+Q379+R379+S379-AC379,IF(AI379=1,('Calc (ex-animal)'!$L$75*'Calc (ex-housing, ex-storage)'!F379/100)/VLOOKUP($C$379,'DB animal categories'!$C$137:$AC$146,27,FALSE)*AJ379-'Calc (ex-housing, ex-storage)'!AC379,IF(AI379=4,('Calc (ex-animal)'!$L$75+'Calc (ex-animal)'!$K$75)*'Calc (ex-housing, ex-storage)'!F379/100*VLOOKUP(D379,'DB technologies'!$N$182:$Y$194,11,FALSE)/100/VLOOKUP($C$379,'DB animal categories'!$C$137:$AC$146,27,FALSE)*AJ379-AC379*VLOOKUP(D379,'DB technologies'!$N$182:$Y$194,11,FALSE)/100,0)))))</f>
        <v/>
      </c>
      <c r="AQ379" s="180" t="str">
        <f>IF(D379="","",IF(AI379=2,('Calc (ex-animal)'!$O$75*'Calc (ex-housing, ex-storage)'!F379/100+'Calc (ex-animal)'!$N$75*'Calc (ex-housing, ex-storage)'!F379/100)/VLOOKUP($C$379,'DB animal categories'!$C$137:$AC$146,27,FALSE)*AJ379+U379+V379+W379,IF(AI379=1,'Calc (ex-animal)'!$O$75*'Calc (ex-housing, ex-storage)'!F379/100/VLOOKUP($C$379,'DB animal categories'!$C$137:$AC$146,27,FALSE)*AJ379,IF(AI379=4,('Calc (ex-animal)'!$O$75+'Calc (ex-animal)'!$N$75)*'Calc (ex-housing, ex-storage)'!F379/100*VLOOKUP(D379,'DB technologies'!$N$182:$Y$194,11,FALSE)/100/VLOOKUP($C$379,'DB animal categories'!$C$137:$AC$146,27,FALSE)*AJ379,0))))</f>
        <v/>
      </c>
      <c r="AR379" s="180" t="str">
        <f>IF(D379="","",IF(AI379=2,('Calc (ex-animal)'!$R$75*'Calc (ex-housing, ex-storage)'!F379/100+'Calc (ex-animal)'!$Q$75*'Calc (ex-housing, ex-storage)'!F379/100)/VLOOKUP($C$379,'DB animal categories'!$C$137:$AC$146,27,FALSE)*AJ379+Y379+Z379+AA379,IF(AI379=1,'Calc (ex-animal)'!$R$75*'Calc (ex-housing, ex-storage)'!F379/100/VLOOKUP($C$379,'DB animal categories'!$C$137:$AC$146,27,FALSE)*AJ379,IF(AI379=4,('Calc (ex-animal)'!$R$75+'Calc (ex-animal)'!$Q$75)*'Calc (ex-housing, ex-storage)'!F379/100*VLOOKUP(D379,'DB technologies'!$N$182:$Y$194,11,FALSE)/100/VLOOKUP($C$379,'DB animal categories'!$C$137:$AC$146,27,FALSE)*AJ379,0))))</f>
        <v/>
      </c>
      <c r="AS379" s="179" t="str">
        <f>IF(D379="","",VLOOKUP(D379,'DB technologies'!$N$182:$Y$194,10,FALSE))</f>
        <v/>
      </c>
      <c r="AT379" s="453" t="str">
        <f>IF(AS379="","",AU379+AV379)</f>
        <v/>
      </c>
      <c r="AU379" s="453" t="str">
        <f>IF(D379="","",IF(AS379=2,0,IF(AS379=1,'Calc (ex-animal)'!$G$75*'DB additional information '!$K$16/100*(1-VLOOKUP(D379,'DB technologies'!$N$182:$Y$194,8,FALSE)/100)*'Calc (ex-housing, ex-storage)'!F379/100/VLOOKUP($C$379,'DB animal categories'!$C$137:$AC$146,27,FALSE)*AJ379+I379+J379+K379,IF(AS379=5,(('Calc (ex-animal)'!$G$75*'DB additional information '!$K$16/100+'Calc (ex-animal)'!$H$75*'DB additional information '!$L$16/100))*(1-VLOOKUP(D379,'DB technologies'!$N$182:$Y$194,9,FALSE)/100)*'Calc (ex-housing, ex-storage)'!F379/100/VLOOKUP($C$379,'DB animal categories'!$C$137:$AC$146,27,FALSE)*AJ379+I379+J379+K379,IF(AS379=3,('Calc (ex-animal)'!$G$75*'DB additional information '!$K$16/100+'Calc (ex-animal)'!$H$75*'DB additional information '!$L$16/100)*(1-VLOOKUP(D379,'DB technologies'!$N$182:$Y$194,9,FALSE)/100)*'Calc (ex-housing, ex-storage)'!F379/100/VLOOKUP($C$379,'DB animal categories'!$C$137:$AC$146,27,FALSE)*AJ379+I379+J379+K379,IF(AS379=4,('Calc (ex-animal)'!$G$75*'DB additional information '!$K$16/100+'Calc (ex-animal)'!$H$75*'DB additional information '!$L$16/100)*(1-VLOOKUP(D379,'DB technologies'!$N$182:$Y$194,9,FALSE)/100)*'Calc (ex-housing, ex-storage)'!F379/100*VLOOKUP(D379,'DB technologies'!$N$182:$Y$194,12,FALSE)/100/VLOOKUP($C$379,'DB animal categories'!$C$137:$AC$146,27,FALSE)*AJ379+I379+J379+K379,0))))))</f>
        <v/>
      </c>
      <c r="AV379" s="453" t="str">
        <f>IF(D379="","",IF(AS379=2,0,IF(AS379=1,'Calc (ex-animal)'!$G$75*(1-'DB additional information '!$K$16/100)*(1-VLOOKUP(D379,'DB technologies'!$N$182:$Y$194,8,FALSE)/100)*'Calc (ex-housing, ex-storage)'!F379/100/VLOOKUP($C$379,'DB animal categories'!$C$137:$AC$146,27,FALSE)*AJ379+M379+N379+O379,IF(AS379=5,('Calc (ex-animal)'!$G$75*(1-'DB additional information '!$K$16/100)+'Calc (ex-animal)'!$H$75*(1-'DB additional information '!$L$16/100))*(1-VLOOKUP(D379,'DB technologies'!$N$182:$Y$194,8,FALSE)/100)*'Calc (ex-housing, ex-storage)'!F379/100/VLOOKUP($C$379,'DB animal categories'!$C$137:$AC$146,27,FALSE)*AJ379+M379+N379+O379,IF(AS379=3,('Calc (ex-animal)'!$G$75*(1-'DB additional information '!$K$16/100)+'Calc (ex-animal)'!$H$75*(1-'DB additional information '!$L$16/100))*(1-VLOOKUP(D379,'DB technologies'!$N$182:$Y$194,8,FALSE)/100)*'Calc (ex-housing, ex-storage)'!F379/100/VLOOKUP($C$379,'DB animal categories'!$C$137:$AC$146,27,FALSE)*AJ379+M379+N379+O379,IF(AS379=4,('Calc (ex-animal)'!$G$75*(1-'DB additional information '!$K$16/100)+'Calc (ex-animal)'!$H$75*(1-'DB additional information '!$L$16/100))*(1-VLOOKUP(D379,'DB technologies'!$N$182:$Y$194,8,FALSE)/100)*'Calc (ex-housing, ex-storage)'!F379/100*VLOOKUP(D379,'DB technologies'!$N$182:$Y$194,12,FALSE)/100/VLOOKUP($C$379,'DB animal categories'!$C$137:$AC$146,27,FALSE)*AJ379+M379+N379+O379,0))))))</f>
        <v/>
      </c>
      <c r="AW379" s="453" t="str">
        <f>IF(AS379="","",IF(AU379=0,0,AU379/AT379*100))</f>
        <v/>
      </c>
      <c r="AX379" s="180" t="str">
        <f>IF(D379="","",IF(AS379=2,0,IF(AS379=1,'Calc (ex-animal)'!$K$75*'Calc (ex-housing, ex-storage)'!F379/100/VLOOKUP($C$379,'DB animal categories'!$C$137:$AC$146,27,FALSE)*AJ379+Q379+R379+S379,IF(AS379=5,('Calc (ex-animal)'!$K$75+'Calc (ex-animal)'!$L$75)*'Calc (ex-housing, ex-storage)'!F379/100/VLOOKUP($C$379,'DB animal categories'!$C$137:$AC$146,27,FALSE)*AJ379+Q379+R379+S379-'Calc (ex-housing, ex-storage)'!AC379,IF(AS379=3,('Calc (ex-animal)'!$K$75+'Calc (ex-animal)'!$L$75)*'Calc (ex-housing, ex-storage)'!F379/100/VLOOKUP($C$379,'DB animal categories'!$C$137:$AC$146,27,FALSE)*AJ379+Q379+R379+S379-'Calc (ex-housing, ex-storage)'!AC379-AD379-AE379,IF(AI379=4,('Calc (ex-animal)'!$K$75+'Calc (ex-animal)'!$L$75)*'Calc (ex-housing, ex-storage)'!F379/100*VLOOKUP(D379,'DB technologies'!$N$182:$Y$194,12,FALSE)/100/VLOOKUP($C$379,'DB animal categories'!$C$137:$AC$146,27,FALSE)*AJ379+Q379+R379+S379-(VLOOKUP(D379,'DB technologies'!$N$182:$Y$194,12,FALSE)/100*AC379)-AD379-AE379,0))))))</f>
        <v/>
      </c>
      <c r="AY379" s="180" t="str">
        <f>IF(D379="","",IF(AS379=2,0,IF(AS379=1,'Calc (ex-animal)'!$N$75*'Calc (ex-housing, ex-storage)'!F379/100/VLOOKUP($C$379,'DB animal categories'!$C$137:$AC$146,27,FALSE)*AJ379+U379+V379+W379,IF(AS379=5,('Calc (ex-animal)'!$N$75+'Calc (ex-animal)'!$O$75)*'Calc (ex-housing, ex-storage)'!F379/100/VLOOKUP($C$379,'DB animal categories'!$C$137:$AC$146,27,FALSE)*AJ379+U379+V379+W379,IF(AS379=3,('Calc (ex-animal)'!$N$75+'Calc (ex-animal)'!$O$75)*'Calc (ex-housing, ex-storage)'!F379/100/VLOOKUP($C$379,'DB animal categories'!$C$137:$AC$146,27,FALSE)*AJ379+U379+V379+W379,IF(AS379=4,('Calc (ex-animal)'!$N$75+'Calc (ex-animal)'!$O$75)*'Calc (ex-housing, ex-storage)'!F379/100*VLOOKUP(D379,'DB technologies'!$N$182:$Y$194,12,FALSE)/100/VLOOKUP($C$379,'DB animal categories'!$C$137:$AC$146,27,FALSE)*AJ379+U379+V379+W379,0))))))</f>
        <v/>
      </c>
      <c r="AZ379" s="180" t="str">
        <f>IF(D379="","",IF(AS379=2,0,IF(AS379=1,'Calc (ex-animal)'!$Q$75*'Calc (ex-housing, ex-storage)'!F379/100/VLOOKUP($C$379,'DB animal categories'!$C$137:$AC$146,27,FALSE)*AJ379+Y379+Z379+AA379,IF(AS379=5,('Calc (ex-animal)'!$Q$75+'Calc (ex-animal)'!$R$75)*'Calc (ex-housing, ex-storage)'!F379/100/VLOOKUP($C$379,'DB animal categories'!$C$137:$AC$146,27,FALSE)*AJ379+Y379+Z379+AA379,IF(AS379=3,('Calc (ex-animal)'!$Q$75+'Calc (ex-animal)'!$R$75)*'Calc (ex-housing, ex-storage)'!F379/100/VLOOKUP($C$379,'DB animal categories'!$C$137:$AC$146,27,FALSE)*AJ379+Y379+Z379+AA379,IF(AS379=4,('Calc (ex-animal)'!$Q$75+'Calc (ex-animal)'!$R$75)*'Calc (ex-housing, ex-storage)'!F379/100*VLOOKUP(D379,'DB technologies'!$N$182:$Y$194,12,FALSE)/100/VLOOKUP($C$379,'DB animal categories'!$C$137:$AC$146,27,FALSE)*AJ379+Y379+Z379+AA379,0))))))</f>
        <v/>
      </c>
      <c r="BA379" s="506"/>
      <c r="BB379" s="506"/>
      <c r="BC379" s="506"/>
    </row>
    <row r="380" spans="1:55" x14ac:dyDescent="0.2">
      <c r="A380" s="695"/>
      <c r="B380" s="695"/>
      <c r="C380" s="251"/>
      <c r="D380" s="1357"/>
      <c r="E380" s="1358"/>
      <c r="F380" s="480" t="str">
        <f>IF('Calc (ex-animal)'!$F$73=1,"",IF($C$379=0,"",IF(D380="","",E380/'Calc (ex-animal)'!$E$75*100)))</f>
        <v/>
      </c>
      <c r="G380" s="485" t="str">
        <f>IF($C$379=0,"",IF('Calc (ex-animal)'!$F$73=1,"",IF(D380="","",SUM(H380:O380))))</f>
        <v/>
      </c>
      <c r="H380" s="423" t="str">
        <f>IF('Calc (ex-animal)'!$F$73=1,"",IF(D380="","",(((VLOOKUP($C$379,'Calc (ex-animal)'!$D$73:$Y$77,6,FALSE)-VLOOKUP($C$379,'Calc (ex-animal)'!$D$73:$Y$77,17,FALSE))*F380/100))*VLOOKUP($C$379,'Calc (ex-animal)'!$D$73:$Y$77,7,FALSE)/100*(1-VLOOKUP(D380,'DB technologies'!$N$182:$Y$194,9,FALSE)/100)))</f>
        <v/>
      </c>
      <c r="I380" s="423" t="str">
        <f>IF(D380="","",((VLOOKUP(D380,'DB technologies'!$N$182:$Y$194,2,FALSE)*VLOOKUP($C$379,'DB animal categories'!$C$137:$AC$146,27,FALSE)*E380/1000)/VLOOKUP($C$379,'DB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'!$S$6/100*(1-VLOOKUP(D380,'DB technologies'!$N$182:$Y$194,9,FALSE)/100)))</f>
        <v/>
      </c>
      <c r="J380" s="434" t="str">
        <f>IF(D380="","",((VLOOKUP(D380,'DB technologies'!$N$182:$Y$194,3,FALSE)*VLOOKUP($C$379,'DB animal categories'!$C$137:$AC$146,27,FALSE)*E380/1000)/VLOOKUP($C$379,'DB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'!$S$7/100*(1-VLOOKUP(D380,'DB technologies'!$N$182:$Y$194,9,FALSE)/100)))</f>
        <v/>
      </c>
      <c r="K380" s="434" t="str">
        <f>IF(D380="","",((VLOOKUP(D380,'DB technologies'!$N$182:$Y$194,4,FALSE)*E380*'DB additional information '!$S$8/100*(1-VLOOKUP(D380,'DB technologies'!$N$182:$Y$194,9,FALSE)/100))/VLOOKUP($C$379,'DB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L380" s="423" t="str">
        <f>IF('Calc (ex-animal)'!$F$73=1,"",IF(D380="","",(((VLOOKUP($C$379,'Calc (ex-animal)'!$D$73:$Y$77,6,FALSE)-VLOOKUP($C$379,'Calc (ex-animal)'!$D$73:$Y$77,17,FALSE))*F380/100))*(1-VLOOKUP($C$379,'Calc (ex-animal)'!$D$73:$Y$77,7,FALSE)/100)*(1-VLOOKUP(D380,'DB technologies'!$N$182:$V$194,8,FALSE)/100)))</f>
        <v/>
      </c>
      <c r="M380" s="434" t="str">
        <f>IF(D380="","",((VLOOKUP(D380,'DB technologies'!$N$182:$Y$194,2,FALSE)*VLOOKUP($C$379,'DB animal categories'!$C$137:$AC$146,27,FALSE)*E380/1000)/VLOOKUP($C$379,'DB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'!$S$6/100)*(1-VLOOKUP(D380,'DB technologies'!$N$182:$Y$194,9,FALSE)/100))</f>
        <v/>
      </c>
      <c r="N380" s="434" t="str">
        <f>IF(D380="","",((VLOOKUP(D380,'DB technologies'!$N$182:$Y$194,3,FALSE)*VLOOKUP($C$379,'DB animal categories'!$C$137:$AC$146,27,FALSE)*E380/1000)/VLOOKUP($C$379,'DB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'!$S$7/100)*(1-VLOOKUP(D380,'DB technologies'!$N$182:$Y$194,9,FALSE)/100))</f>
        <v/>
      </c>
      <c r="O380" s="423" t="str">
        <f>IF(D380="","",((VLOOKUP(D380,'DB technologies'!$N$182:$Y$194,4,FALSE)*E380*(1-'DB additional information '!$S$8/100)*(1-VLOOKUP(D380,'DB technologies'!$N$182:$Y$194,8,FALSE)/100))/VLOOKUP($C$379,'DB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P380" s="438" t="str">
        <f>IF(G380=0,0,IF(E380="","",IF(F380="","",IF($C$379=0,"",IF(D380="","",SUM(H380:K380)/G380*100)))))</f>
        <v/>
      </c>
      <c r="Q380" s="416" t="str">
        <f>IF(D380="","",(VLOOKUP(D380,'DB technologies'!$N$182:$Y$194,2,FALSE)*'DB additional information '!$S$6/100*'DB additional information '!$T$6*VLOOKUP($C$379,'DB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R380" s="416" t="str">
        <f>IF(D380="","",(VLOOKUP(D380,'DB technologies'!$N$182:$Y$194,3,FALSE)*'DB additional information '!$S$7/100*'DB additional information '!$T$7*VLOOKUP($C$379,'DB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S380" s="491" t="str">
        <f>IF(D380="","",(VLOOKUP(D380,'DB technologies'!$N$182:$Y$194,4,FALSE)*('DB additional information '!$S$8/100*'DB additional information '!$T$8*E380/1000/1000)))</f>
        <v/>
      </c>
      <c r="T380" s="264" t="str">
        <f>IF($C$379=0,"",IF('Calc (ex-animal)'!$F$73=1,"",IF(D380="","",((VLOOKUP($C$379,'Calc (ex-animal)'!$D$73:$Y$77,10,FALSE)-VLOOKUP($C$379,'Calc (ex-animal)'!$D$73:$Y$77,18,FALSE))*F380/100+Q380+R380+S380)-AC380-AD380-AE380)))</f>
        <v/>
      </c>
      <c r="U380" s="422" t="str">
        <f>IF(D380="","",(VLOOKUP(D380,'DB technologies'!$N$182:$Y$194,2,FALSE)*'DB additional information '!$S$6/100*'DB additional information '!$U$6*VLOOKUP($C$379,'DB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V380" s="418" t="str">
        <f>IF(D380="","",(VLOOKUP(D380,'DB technologies'!$N$182:$Y$194,3,FALSE)*'DB additional information '!$S$7/100*'DB additional information '!$U$7*VLOOKUP($C$379,'DB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W380" s="417" t="str">
        <f>IF(D380="","",(VLOOKUP(D380,'DB technologies'!$N$182:$Y$194,4,FALSE)*('DB additional information '!$S$8/100*'DB additional information '!$U$8*E380/1000/1000)))</f>
        <v/>
      </c>
      <c r="X380" s="261" t="str">
        <f>IF($C$379=0,"",IF('Calc (ex-animal)'!$F$73=1,"",IF(D380="","",((VLOOKUP($C$379,'Calc (ex-animal)'!$D$73:$Y$77,13,FALSE)-VLOOKUP($C$379,'Calc (ex-animal)'!$D$73:$Y$77,19,FALSE))*F380/100+U380+V380+W380))))</f>
        <v/>
      </c>
      <c r="Y380" s="418" t="str">
        <f>IF(D380="","",(VLOOKUP(D380,'DB technologies'!$N$182:$Y$194,2,FALSE)*'DB additional information '!$S$6/100*'DB additional information '!$V$6*VLOOKUP($C$379,'DB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Z380" s="418" t="str">
        <f>IF(D380="","",(VLOOKUP(D380,'DB technologies'!$N$182:$Y$194,3,FALSE)*'DB additional information '!$S$7/100*'DB additional information '!$V$7*VLOOKUP($C$379,'DB animal categories'!$C$137:$AC$146,27,FALSE)*E380/1000/1000)/VLOOKUP($C$379,'DB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AA380" s="418" t="str">
        <f>IF(D380="","",(VLOOKUP(D380,'DB technologies'!$N$182:$Y$194,4,FALSE)*('DB additional information '!$S$8/100*'DB additional information '!$V$8*E380/1000/1000)))</f>
        <v/>
      </c>
      <c r="AB380" s="261" t="str">
        <f>IF($C$379=0,"",IF('Calc (ex-animal)'!$F$73=1,"",IF(D380="","",((VLOOKUP($C$379,'Calc (ex-animal)'!$D$73:$Y$77,16,FALSE)-VLOOKUP($C$379,'Calc (ex-animal)'!$D$73:$Y$77,20,FALSE))*F380/100+Y380+Z380+AA380))))</f>
        <v/>
      </c>
      <c r="AC380" s="261" t="str">
        <f>IF($C$379=0,"",IF('Calc (ex-animal)'!$F$73=1,"",IF(D380="","",VLOOKUP($C$379,'Calc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categories'!$C$137:$AC$146,26,FALSE)/24)*F380/100*VLOOKUP(D380,'DB technologies'!$N$182:$R$194,5,FALSE)/100)))</f>
        <v/>
      </c>
      <c r="AD380" s="261" t="str">
        <f>IF($C$379=0,"",IF('Calc (ex-animal)'!$F$73=1,"",IF(D380="","",VLOOKUP($C$379,'Calc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categories'!$C$137:$AC$146,26,FALSE)/24)*F380/100*VLOOKUP(D380,'DB technologies'!$N$182:$Y$194,6,FALSE)/100)))</f>
        <v/>
      </c>
      <c r="AE380" s="262" t="str">
        <f>IF($C$379=0,"",IF('Calc (ex-animal)'!$F$73=1,"",IF(D380="","",VLOOKUP($C$379,'Calc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categories'!$C$137:$AC$146,26,FALSE)/24)*F380/100*VLOOKUP(D380,'DB technologies'!$N$182:$Y$194,7,FALSE)/100)))</f>
        <v/>
      </c>
      <c r="AI380" s="181" t="str">
        <f>IF(D380="","",VLOOKUP(D380,'DB technologies'!$N$182:$Y$194,10,FALSE))</f>
        <v/>
      </c>
      <c r="AJ380" s="449" t="e">
        <f>VLOOKUP($C$379,'DB animal categories'!$C$137:$AN$146,27,FALSE)-VLOOKUP($C$379,'DB animal categories'!$C$137:$AN$146,26,FALSE)*VLOOKUP($C$379,'DB animal categories'!$C$137:$AN$146,25,FALSE)/24</f>
        <v>#N/A</v>
      </c>
      <c r="AK380" s="442" t="str">
        <f>IF(AI380="","",AL380+AM380)</f>
        <v/>
      </c>
      <c r="AL380" s="442" t="str">
        <f>IF(D380="","",IF(AI380=2,(('Calc (ex-animal)'!$G$75*'DB additional information '!$K$16/100*(1-VLOOKUP(D380,'DB technologies'!$N$182:$Y$194,9,FALSE)/100)*'Calc (ex-housing, ex-storage)'!F380/100+'Calc (ex-animal)'!$H$75*'DB additional information '!$L$16/100*(1-VLOOKUP(D380,'DB technologies'!$N$182:$Y$194,9,FALSE)/100)*'Calc (ex-housing, ex-storage)'!F380/100))/VLOOKUP($C$379,'DB animal categories'!$C$137:$AC$146,27,FALSE)*AJ380+I380+J380+K380,IF(AI380=1,('Calc (ex-animal)'!$H$75*'DB additional information '!$L$16/100*(1-VLOOKUP(D380,'DB technologies'!$N$182:$Y$194,9,FALSE)/100)*'Calc (ex-housing, ex-storage)'!F380/100)/VLOOKUP($C$379,'DB animal categories'!$C$137:$AC$146,27,FALSE)*AJ380,IF(AI380=4,('Calc (ex-animal)'!$G$75*'DB additional information '!$K$16/100+'Calc (ex-animal)'!$H$75*'DB additional information '!$L$16/100)*(1-VLOOKUP(D380,'DB technologies'!$N$182:$Y$194,9,FALSE)/100)*'Calc (ex-housing, ex-storage)'!F380/100*VLOOKUP(D380,'DB technologies'!$N$182:$Y$194,11,FALSE)/100/VLOOKUP($C$379,'DB animal categories'!$C$137:$AC$146,27,FALSE)*AJ380,0))))</f>
        <v/>
      </c>
      <c r="AM380" s="442" t="str">
        <f>IF(D380="","",IF(AI380=2,(('Calc (ex-animal)'!$G$75*(1-'DB additional information '!$K$16/100)*(1-VLOOKUP(D380,'DB technologies'!$N$182:$Y$194,8,FALSE)/100)*'Calc (ex-housing, ex-storage)'!F380/100+'Calc (ex-animal)'!$H$75*(1-'DB additional information '!$L$16/100)*(1-VLOOKUP(D380,'DB technologies'!$N$182:$Y$194,8,FALSE)/100)*'Calc (ex-housing, ex-storage)'!F380/100))/VLOOKUP($C$379,'DB animal categories'!$C$137:$AC$146,27,FALSE)*AJ380+M380+N380+O380,IF(AI380=1,('Calc (ex-animal)'!$H$75*(1-'DB additional information '!$L$16/100)*(1-VLOOKUP(D380,'DB technologies'!$N$182:$Y$194,8,FALSE)/100)*'Calc (ex-housing, ex-storage)'!F380/100)/VLOOKUP($C$379,'DB animal categories'!$C$137:$AC$146,27,FALSE)*AJ380,IF(AI380=4,('Calc (ex-animal)'!$G$75*(1-'DB additional information '!$K$16/100)+'Calc (ex-animal)'!$H$75*(1-'DB additional information '!$L$16/100))*(1-VLOOKUP(D380,'DB technologies'!$N$182:$Y$194,8,FALSE)/100)*'Calc (ex-housing, ex-storage)'!F380/100*VLOOKUP(D380,'DB technologies'!$N$182:$Y$194,11,FALSE)/100/VLOOKUP($C$379,'DB animal categories'!$C$137:$AC$146,27,FALSE)*AJ380,0))))</f>
        <v/>
      </c>
      <c r="AN380" s="442" t="str">
        <f>IF(AI380="","",IF(AL380=0,0,AL380/AK380*100))</f>
        <v/>
      </c>
      <c r="AO380" s="182" t="str">
        <f>IF(D380="","",IF(AI380=2,(('Calc (ex-animal)'!$L$75*'Calc (ex-housing, ex-storage)'!F380/100+'Calc (ex-animal)'!$K$75*'Calc (ex-housing, ex-storage)'!F380/100))/VLOOKUP($C$379,'DB animal categories'!$C$137:$AC$146,27,FALSE)*AJ380+Q380+R380+S380-AC380,IF(AI380=1,('Calc (ex-animal)'!$L$75*'Calc (ex-housing, ex-storage)'!F380/100)/VLOOKUP($C$379,'DB animal categories'!$C$137:$AC$146,27,FALSE)*AJ380-'Calc (ex-housing, ex-storage)'!AC380,IF(AI380=4,('Calc (ex-animal)'!$L$75+'Calc (ex-animal)'!$K$75)*'Calc (ex-housing, ex-storage)'!F380/100*VLOOKUP(D380,'DB technologies'!$N$182:$Y$194,11,FALSE)/100/VLOOKUP($C$379,'DB animal categories'!$C$137:$AC$146,27,FALSE)*AJ380-AC380*VLOOKUP(D380,'DB technologies'!$N$182:$Y$194,11,FALSE)/100,0))))</f>
        <v/>
      </c>
      <c r="AP380" s="182" t="str">
        <f>IF(D380="","",IF(AO380&lt;-0.01,0,IF(AI380=2,(('Calc (ex-animal)'!$L$75*'Calc (ex-housing, ex-storage)'!F380/100+'Calc (ex-animal)'!$K$75*'Calc (ex-housing, ex-storage)'!F380/100))/VLOOKUP($C$379,'DB animal categories'!$C$137:$AC$146,27,FALSE)*AJ380+Q380+R380+S380-AC380,IF(AI380=1,('Calc (ex-animal)'!$L$75*'Calc (ex-housing, ex-storage)'!F380/100)/VLOOKUP($C$379,'DB animal categories'!$C$137:$AC$146,27,FALSE)*AJ380-'Calc (ex-housing, ex-storage)'!AC380,IF(AI380=4,('Calc (ex-animal)'!$L$75+'Calc (ex-animal)'!$K$75)*'Calc (ex-housing, ex-storage)'!F380/100*VLOOKUP(D380,'DB technologies'!$N$182:$Y$194,11,FALSE)/100/VLOOKUP($C$379,'DB animal categories'!$C$137:$AC$146,27,FALSE)*AJ380-AC380*VLOOKUP(D380,'DB technologies'!$N$182:$Y$194,11,FALSE)/100,0)))))</f>
        <v/>
      </c>
      <c r="AQ380" s="182" t="str">
        <f>IF(D380="","",IF(AI380=2,('Calc (ex-animal)'!$O$75*'Calc (ex-housing, ex-storage)'!F380/100+'Calc (ex-animal)'!$N$75*'Calc (ex-housing, ex-storage)'!F380/100)/VLOOKUP($C$379,'DB animal categories'!$C$137:$AC$146,27,FALSE)*AJ380+U380+V380+W380,IF(AI380=1,'Calc (ex-animal)'!$O$75*'Calc (ex-housing, ex-storage)'!F380/100/VLOOKUP($C$379,'DB animal categories'!$C$137:$AC$146,27,FALSE)*AJ380,IF(AI380=4,('Calc (ex-animal)'!$O$75+'Calc (ex-animal)'!$N$75)*'Calc (ex-housing, ex-storage)'!F380/100*VLOOKUP(D380,'DB technologies'!$N$182:$Y$194,11,FALSE)/100/VLOOKUP($C$379,'DB animal categories'!$C$137:$AC$146,27,FALSE)*AJ380,0))))</f>
        <v/>
      </c>
      <c r="AR380" s="182" t="str">
        <f>IF(D380="","",IF(AI380=2,('Calc (ex-animal)'!$R$75*'Calc (ex-housing, ex-storage)'!F380/100+'Calc (ex-animal)'!$Q$75*'Calc (ex-housing, ex-storage)'!F380/100)/VLOOKUP($C$379,'DB animal categories'!$C$137:$AC$146,27,FALSE)*AJ380+Y380+Z380+AA380,IF(AI380=1,'Calc (ex-animal)'!$R$75*'Calc (ex-housing, ex-storage)'!F380/100/VLOOKUP($C$379,'DB animal categories'!$C$137:$AC$146,27,FALSE)*AJ380,IF(AI380=4,('Calc (ex-animal)'!$R$75+'Calc (ex-animal)'!$Q$75)*'Calc (ex-housing, ex-storage)'!F380/100*VLOOKUP(D380,'DB technologies'!$N$182:$Y$194,11,FALSE)/100/VLOOKUP($C$379,'DB animal categories'!$C$137:$AC$146,27,FALSE)*AJ380,0))))</f>
        <v/>
      </c>
      <c r="AS380" s="181" t="str">
        <f>IF(D380="","",VLOOKUP(D380,'DB technologies'!$N$182:$Y$194,10,FALSE))</f>
        <v/>
      </c>
      <c r="AT380" s="442" t="str">
        <f>IF(AS380="","",AU380+AV380)</f>
        <v/>
      </c>
      <c r="AU380" s="442" t="str">
        <f>IF(D380="","",IF(AS380=2,0,IF(AS380=1,'Calc (ex-animal)'!$G$75*'DB additional information '!$K$16/100*(1-VLOOKUP(D380,'DB technologies'!$N$182:$Y$194,8,FALSE)/100)*'Calc (ex-housing, ex-storage)'!F380/100/VLOOKUP($C$379,'DB animal categories'!$C$137:$AC$146,27,FALSE)*AJ380+I380+J380+K380,IF(AS380=5,(('Calc (ex-animal)'!$G$75*'DB additional information '!$K$16/100+'Calc (ex-animal)'!$H$75*'DB additional information '!$L$16/100))*(1-VLOOKUP(D380,'DB technologies'!$N$182:$Y$194,9,FALSE)/100)*'Calc (ex-housing, ex-storage)'!F380/100/VLOOKUP($C$379,'DB animal categories'!$C$137:$AC$146,27,FALSE)*AJ380+I380+J380+K380,IF(AS380=3,('Calc (ex-animal)'!$G$75*'DB additional information '!$K$16/100+'Calc (ex-animal)'!$H$75*'DB additional information '!$L$16/100)*(1-VLOOKUP(D380,'DB technologies'!$N$182:$Y$194,9,FALSE)/100)*'Calc (ex-housing, ex-storage)'!F380/100/VLOOKUP($C$379,'DB animal categories'!$C$137:$AC$146,27,FALSE)*AJ380+I380+J380+K380,IF(AS380=4,('Calc (ex-animal)'!$G$75*'DB additional information '!$K$16/100+'Calc (ex-animal)'!$H$75*'DB additional information '!$L$16/100)*(1-VLOOKUP(D380,'DB technologies'!$N$182:$Y$194,9,FALSE)/100)*'Calc (ex-housing, ex-storage)'!F380/100*VLOOKUP(D380,'DB technologies'!$N$182:$Y$194,12,FALSE)/100/VLOOKUP($C$379,'DB animal categories'!$C$137:$AC$146,27,FALSE)*AJ380+I380+J380+K380,0))))))</f>
        <v/>
      </c>
      <c r="AV380" s="442" t="str">
        <f>IF(D380="","",IF(AS380=2,0,IF(AS380=1,'Calc (ex-animal)'!$G$75*(1-'DB additional information '!$K$16/100)*(1-VLOOKUP(D380,'DB technologies'!$N$182:$Y$194,8,FALSE)/100)*'Calc (ex-housing, ex-storage)'!F380/100/VLOOKUP($C$379,'DB animal categories'!$C$137:$AC$146,27,FALSE)*AJ380+M380+N380+O380,IF(AS380=5,('Calc (ex-animal)'!$G$75*(1-'DB additional information '!$K$16/100)+'Calc (ex-animal)'!$H$75*(1-'DB additional information '!$L$16/100))*(1-VLOOKUP(D380,'DB technologies'!$N$182:$Y$194,8,FALSE)/100)*'Calc (ex-housing, ex-storage)'!F380/100/VLOOKUP($C$379,'DB animal categories'!$C$137:$AC$146,27,FALSE)*AJ380+M380+N380+O380,IF(AS380=3,('Calc (ex-animal)'!$G$75*(1-'DB additional information '!$K$16/100)+'Calc (ex-animal)'!$H$75*(1-'DB additional information '!$L$16/100))*(1-VLOOKUP(D380,'DB technologies'!$N$182:$Y$194,8,FALSE)/100)*'Calc (ex-housing, ex-storage)'!F380/100/VLOOKUP($C$379,'DB animal categories'!$C$137:$AC$146,27,FALSE)*AJ380+M380+N380+O380,IF(AS380=4,('Calc (ex-animal)'!$G$75*(1-'DB additional information '!$K$16/100)+'Calc (ex-animal)'!$H$75*(1-'DB additional information '!$L$16/100))*(1-VLOOKUP(D380,'DB technologies'!$N$182:$Y$194,8,FALSE)/100)*'Calc (ex-housing, ex-storage)'!F380/100*VLOOKUP(D380,'DB technologies'!$N$182:$Y$194,12,FALSE)/100/VLOOKUP($C$379,'DB animal categories'!$C$137:$AC$146,27,FALSE)*AJ380+M380+N380+O380,0))))))</f>
        <v/>
      </c>
      <c r="AW380" s="442" t="str">
        <f>IF(AS380="","",IF(AU380=0,0,AU380/AT380*100))</f>
        <v/>
      </c>
      <c r="AX380" s="182" t="str">
        <f>IF(D380="","",IF(AS380=2,0,IF(AS380=1,'Calc (ex-animal)'!$K$75*'Calc (ex-housing, ex-storage)'!F380/100/VLOOKUP($C$379,'DB animal categories'!$C$137:$AC$146,27,FALSE)*AJ380+Q380+R380+S380,IF(AS380=5,('Calc (ex-animal)'!$K$75+'Calc (ex-animal)'!$L$75)*'Calc (ex-housing, ex-storage)'!F380/100/VLOOKUP($C$379,'DB animal categories'!$C$137:$AC$146,27,FALSE)*AJ380+Q380+R380+S380-'Calc (ex-housing, ex-storage)'!AC380,IF(AS380=3,('Calc (ex-animal)'!$K$75+'Calc (ex-animal)'!$L$75)*'Calc (ex-housing, ex-storage)'!F380/100/VLOOKUP($C$379,'DB animal categories'!$C$137:$AC$146,27,FALSE)*AJ380+Q380+R380+S380-'Calc (ex-housing, ex-storage)'!AC380-AD380-AE380,IF(AI380=4,('Calc (ex-animal)'!$K$75+'Calc (ex-animal)'!$L$75)*'Calc (ex-housing, ex-storage)'!F380/100*VLOOKUP(D380,'DB technologies'!$N$182:$Y$194,12,FALSE)/100/VLOOKUP($C$379,'DB animal categories'!$C$137:$AC$146,27,FALSE)*AJ380+Q380+R380+S380-(VLOOKUP(D380,'DB technologies'!$N$182:$Y$194,12,FALSE)/100*AC380)-AD380-AE380,0))))))</f>
        <v/>
      </c>
      <c r="AY380" s="182" t="str">
        <f>IF(D380="","",IF(AS380=2,0,IF(AS380=1,'Calc (ex-animal)'!$N$75*'Calc (ex-housing, ex-storage)'!F380/100/VLOOKUP($C$379,'DB animal categories'!$C$137:$AC$146,27,FALSE)*AJ380+U380+V380+W380,IF(AS380=5,('Calc (ex-animal)'!$N$75+'Calc (ex-animal)'!$O$75)*'Calc (ex-housing, ex-storage)'!F380/100/VLOOKUP($C$379,'DB animal categories'!$C$137:$AC$146,27,FALSE)*AJ380+U380+V380+W380,IF(AS380=3,('Calc (ex-animal)'!$N$75+'Calc (ex-animal)'!$O$75)*'Calc (ex-housing, ex-storage)'!F380/100/VLOOKUP($C$379,'DB animal categories'!$C$137:$AC$146,27,FALSE)*AJ380+U380+V380+W380,IF(AS380=4,('Calc (ex-animal)'!$N$75+'Calc (ex-animal)'!$O$75)*'Calc (ex-housing, ex-storage)'!F380/100*VLOOKUP(D380,'DB technologies'!$N$182:$Y$194,12,FALSE)/100/VLOOKUP($C$379,'DB animal categories'!$C$137:$AC$146,27,FALSE)*AJ380+U380+V380+W380,0))))))</f>
        <v/>
      </c>
      <c r="AZ380" s="182" t="str">
        <f>IF(D380="","",IF(AS380=2,0,IF(AS380=1,'Calc (ex-animal)'!$Q$75*'Calc (ex-housing, ex-storage)'!F380/100/VLOOKUP($C$379,'DB animal categories'!$C$137:$AC$146,27,FALSE)*AJ380+Y380+Z380+AA380,IF(AS380=5,('Calc (ex-animal)'!$Q$75+'Calc (ex-animal)'!$R$75)*'Calc (ex-housing, ex-storage)'!F380/100/VLOOKUP($C$379,'DB animal categories'!$C$137:$AC$146,27,FALSE)*AJ380+Y380+Z380+AA380,IF(AS380=3,('Calc (ex-animal)'!$Q$75+'Calc (ex-animal)'!$R$75)*'Calc (ex-housing, ex-storage)'!F380/100/VLOOKUP($C$379,'DB animal categories'!$C$137:$AC$146,27,FALSE)*AJ380+Y380+Z380+AA380,IF(AS380=4,('Calc (ex-animal)'!$Q$75+'Calc (ex-animal)'!$R$75)*'Calc (ex-housing, ex-storage)'!F380/100*VLOOKUP(D380,'DB technologies'!$N$182:$Y$194,12,FALSE)/100/VLOOKUP($C$379,'DB animal categories'!$C$137:$AC$146,27,FALSE)*AJ380+Y380+Z380+AA380,0))))))</f>
        <v/>
      </c>
      <c r="BA380" s="506"/>
      <c r="BB380" s="506"/>
      <c r="BC380" s="506"/>
    </row>
    <row r="381" spans="1:55" x14ac:dyDescent="0.2">
      <c r="A381" s="695"/>
      <c r="B381" s="695"/>
      <c r="C381" s="251"/>
      <c r="D381" s="1357"/>
      <c r="E381" s="1358"/>
      <c r="F381" s="480" t="str">
        <f>IF('Calc (ex-animal)'!$F$73=1,"",IF($C$379=0,"",IF(D381="","",E381/'Calc (ex-animal)'!$E$75*100)))</f>
        <v/>
      </c>
      <c r="G381" s="485" t="str">
        <f>IF($C$379=0,"",IF('Calc (ex-animal)'!$F$73=1,"",IF(D381="","",SUM(H381:O381))))</f>
        <v/>
      </c>
      <c r="H381" s="423" t="str">
        <f>IF('Calc (ex-animal)'!$F$73=1,"",IF(D381="","",(((VLOOKUP($C$379,'Calc (ex-animal)'!$D$73:$Y$77,6,FALSE)-VLOOKUP($C$379,'Calc (ex-animal)'!$D$73:$Y$77,17,FALSE))*F381/100))*VLOOKUP($C$379,'Calc (ex-animal)'!$D$73:$Y$77,7,FALSE)/100*(1-VLOOKUP(D381,'DB technologies'!$N$182:$Y$194,9,FALSE)/100)))</f>
        <v/>
      </c>
      <c r="I381" s="423" t="str">
        <f>IF(D381="","",((VLOOKUP(D381,'DB technologies'!$N$182:$Y$194,2,FALSE)*VLOOKUP($C$379,'DB animal categories'!$C$137:$AC$146,27,FALSE)*E381/1000)/VLOOKUP($C$379,'DB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'!$S$6/100*(1-VLOOKUP(D381,'DB technologies'!$N$182:$Y$194,9,FALSE)/100)))</f>
        <v/>
      </c>
      <c r="J381" s="434" t="str">
        <f>IF(D381="","",((VLOOKUP(D381,'DB technologies'!$N$182:$Y$194,3,FALSE)*VLOOKUP($C$379,'DB animal categories'!$C$137:$AC$146,27,FALSE)*E381/1000)/VLOOKUP($C$379,'DB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'!$S$7/100*(1-VLOOKUP(D381,'DB technologies'!$N$182:$Y$194,9,FALSE)/100)))</f>
        <v/>
      </c>
      <c r="K381" s="434" t="str">
        <f>IF(D381="","",((VLOOKUP(D381,'DB technologies'!$N$182:$Y$194,4,FALSE)*E381*'DB additional information '!$S$8/100*(1-VLOOKUP(D381,'DB technologies'!$N$182:$Y$194,9,FALSE)/100))/VLOOKUP($C$379,'DB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L381" s="423" t="str">
        <f>IF('Calc (ex-animal)'!$F$73=1,"",IF(D381="","",(((VLOOKUP($C$379,'Calc (ex-animal)'!$D$73:$Y$77,6,FALSE)-VLOOKUP($C$379,'Calc (ex-animal)'!$D$73:$Y$77,17,FALSE))*F381/100))*(1-VLOOKUP($C$379,'Calc (ex-animal)'!$D$73:$Y$77,7,FALSE)/100)*(1-VLOOKUP(D381,'DB technologies'!$N$182:$V$194,8,FALSE)/100)))</f>
        <v/>
      </c>
      <c r="M381" s="434" t="str">
        <f>IF(D381="","",((VLOOKUP(D381,'DB technologies'!$N$182:$Y$194,2,FALSE)*VLOOKUP($C$379,'DB animal categories'!$C$137:$AC$146,27,FALSE)*E381/1000)/VLOOKUP($C$379,'DB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'!$S$6/100)*(1-VLOOKUP(D381,'DB technologies'!$N$182:$Y$194,9,FALSE)/100))</f>
        <v/>
      </c>
      <c r="N381" s="434" t="str">
        <f>IF(D381="","",((VLOOKUP(D381,'DB technologies'!$N$182:$Y$194,3,FALSE)*VLOOKUP($C$379,'DB animal categories'!$C$137:$AC$146,27,FALSE)*E381/1000)/VLOOKUP($C$379,'DB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'!$S$7/100)*(1-VLOOKUP(D381,'DB technologies'!$N$182:$Y$194,9,FALSE)/100))</f>
        <v/>
      </c>
      <c r="O381" s="423" t="str">
        <f>IF(D381="","",((VLOOKUP(D381,'DB technologies'!$N$182:$Y$194,4,FALSE)*E381*(1-'DB additional information '!$S$8/100)*(1-VLOOKUP(D381,'DB technologies'!$N$182:$Y$194,8,FALSE)/100))/VLOOKUP($C$379,'DB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P381" s="438" t="str">
        <f>IF(G381=0,0,IF(E381="","",IF(F381="","",IF($C$379=0,"",IF(D381="","",SUM(H381:K381)/G381*100)))))</f>
        <v/>
      </c>
      <c r="Q381" s="416" t="str">
        <f>IF(D381="","",(VLOOKUP(D381,'DB technologies'!$N$182:$Y$194,2,FALSE)*'DB additional information '!$S$6/100*'DB additional information '!$T$6*VLOOKUP($C$379,'DB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R381" s="416" t="str">
        <f>IF(D381="","",(VLOOKUP(D381,'DB technologies'!$N$182:$Y$194,3,FALSE)*'DB additional information '!$S$7/100*'DB additional information '!$T$7*VLOOKUP($C$379,'DB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S381" s="491" t="str">
        <f>IF(D381="","",(VLOOKUP(D381,'DB technologies'!$N$182:$Y$194,4,FALSE)*('DB additional information '!$S$8/100*'DB additional information '!$T$8*E381/1000/1000)))</f>
        <v/>
      </c>
      <c r="T381" s="264" t="str">
        <f>IF($C$379=0,"",IF('Calc (ex-animal)'!$F$73=1,"",IF(D381="","",((VLOOKUP($C$379,'Calc (ex-animal)'!$D$73:$Y$77,10,FALSE)-VLOOKUP($C$379,'Calc (ex-animal)'!$D$73:$Y$77,18,FALSE))*F381/100+Q381+R381+S381)-AC381-AD381-AE381)))</f>
        <v/>
      </c>
      <c r="U381" s="422" t="str">
        <f>IF(D381="","",(VLOOKUP(D381,'DB technologies'!$N$182:$Y$194,2,FALSE)*'DB additional information '!$S$6/100*'DB additional information '!$U$6*VLOOKUP($C$379,'DB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V381" s="418" t="str">
        <f>IF(D381="","",(VLOOKUP(D381,'DB technologies'!$N$182:$Y$194,3,FALSE)*'DB additional information '!$S$7/100*'DB additional information '!$U$7*VLOOKUP($C$379,'DB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W381" s="417" t="str">
        <f>IF(D381="","",(VLOOKUP(D381,'DB technologies'!$N$182:$Y$194,4,FALSE)*('DB additional information '!$S$8/100*'DB additional information '!$U$8*E381/1000/1000)))</f>
        <v/>
      </c>
      <c r="X381" s="261" t="str">
        <f>IF($C$379=0,"",IF('Calc (ex-animal)'!$F$73=1,"",IF(D381="","",((VLOOKUP($C$379,'Calc (ex-animal)'!$D$73:$Y$77,13,FALSE)-VLOOKUP($C$379,'Calc (ex-animal)'!$D$73:$Y$77,19,FALSE))*F381/100+U381+V381+W381))))</f>
        <v/>
      </c>
      <c r="Y381" s="418" t="str">
        <f>IF(D381="","",(VLOOKUP(D381,'DB technologies'!$N$182:$Y$194,2,FALSE)*'DB additional information '!$S$6/100*'DB additional information '!$V$6*VLOOKUP($C$379,'DB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Z381" s="418" t="str">
        <f>IF(D381="","",(VLOOKUP(D381,'DB technologies'!$N$182:$Y$194,3,FALSE)*'DB additional information '!$S$7/100*'DB additional information '!$V$7*VLOOKUP($C$379,'DB animal categories'!$C$137:$AC$146,27,FALSE)*E381/1000/1000)/VLOOKUP($C$379,'DB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AA381" s="418" t="str">
        <f>IF(D381="","",(VLOOKUP(D381,'DB technologies'!$N$182:$Y$194,4,FALSE)*('DB additional information '!$S$8/100*'DB additional information '!$V$8*E381/1000/1000)))</f>
        <v/>
      </c>
      <c r="AB381" s="261" t="str">
        <f>IF($C$379=0,"",IF('Calc (ex-animal)'!$F$73=1,"",IF(D381="","",((VLOOKUP($C$379,'Calc (ex-animal)'!$D$73:$Y$77,16,FALSE)-VLOOKUP($C$379,'Calc (ex-animal)'!$D$73:$Y$77,20,FALSE))*F381/100+Y381+Z381+AA381))))</f>
        <v/>
      </c>
      <c r="AC381" s="261" t="str">
        <f>IF($C$379=0,"",IF('Calc (ex-animal)'!$F$73=1,"",IF(D381="","",VLOOKUP($C$379,'Calc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categories'!$C$137:$AC$146,26,FALSE)/24)*F381/100*VLOOKUP(D381,'DB technologies'!$N$182:$R$194,5,FALSE)/100)))</f>
        <v/>
      </c>
      <c r="AD381" s="261" t="str">
        <f>IF($C$379=0,"",IF('Calc (ex-animal)'!$F$73=1,"",IF(D381="","",VLOOKUP($C$379,'Calc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categories'!$C$137:$AC$146,26,FALSE)/24)*F381/100*VLOOKUP(D381,'DB technologies'!$N$182:$Y$194,6,FALSE)/100)))</f>
        <v/>
      </c>
      <c r="AE381" s="262" t="str">
        <f>IF($C$379=0,"",IF('Calc (ex-animal)'!$F$73=1,"",IF(D381="","",VLOOKUP($C$379,'Calc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categories'!$C$137:$AC$146,26,FALSE)/24)*F381/100*VLOOKUP(D381,'DB technologies'!$N$182:$Y$194,7,FALSE)/100)))</f>
        <v/>
      </c>
      <c r="AI381" s="181" t="str">
        <f>IF(D381="","",VLOOKUP(D381,'DB technologies'!$N$182:$Y$194,10,FALSE))</f>
        <v/>
      </c>
      <c r="AJ381" s="449" t="e">
        <f>VLOOKUP($C$379,'DB animal categories'!$C$137:$AN$146,27,FALSE)-VLOOKUP($C$379,'DB animal categories'!$C$137:$AN$146,26,FALSE)*VLOOKUP($C$379,'DB animal categories'!$C$137:$AN$146,25,FALSE)/24</f>
        <v>#N/A</v>
      </c>
      <c r="AK381" s="442" t="str">
        <f>IF(AI381="","",AL381+AM381)</f>
        <v/>
      </c>
      <c r="AL381" s="442" t="str">
        <f>IF(D381="","",IF(AI381=2,(('Calc (ex-animal)'!$G$75*'DB additional information '!$K$16/100*(1-VLOOKUP(D381,'DB technologies'!$N$182:$Y$194,9,FALSE)/100)*'Calc (ex-housing, ex-storage)'!F381/100+'Calc (ex-animal)'!$H$75*'DB additional information '!$L$16/100*(1-VLOOKUP(D381,'DB technologies'!$N$182:$Y$194,9,FALSE)/100)*'Calc (ex-housing, ex-storage)'!F381/100))/VLOOKUP($C$379,'DB animal categories'!$C$137:$AC$146,27,FALSE)*AJ381+I381+J381+K381,IF(AI381=1,('Calc (ex-animal)'!$H$75*'DB additional information '!$L$16/100*(1-VLOOKUP(D381,'DB technologies'!$N$182:$Y$194,9,FALSE)/100)*'Calc (ex-housing, ex-storage)'!F381/100)/VLOOKUP($C$379,'DB animal categories'!$C$137:$AC$146,27,FALSE)*AJ381,IF(AI381=4,('Calc (ex-animal)'!$G$75*'DB additional information '!$K$16/100+'Calc (ex-animal)'!$H$75*'DB additional information '!$L$16/100)*(1-VLOOKUP(D381,'DB technologies'!$N$182:$Y$194,9,FALSE)/100)*'Calc (ex-housing, ex-storage)'!F381/100*VLOOKUP(D381,'DB technologies'!$N$182:$Y$194,11,FALSE)/100/VLOOKUP($C$379,'DB animal categories'!$C$137:$AC$146,27,FALSE)*AJ381,0))))</f>
        <v/>
      </c>
      <c r="AM381" s="442" t="str">
        <f>IF(D381="","",IF(AI381=2,(('Calc (ex-animal)'!$G$75*(1-'DB additional information '!$K$16/100)*(1-VLOOKUP(D381,'DB technologies'!$N$182:$Y$194,8,FALSE)/100)*'Calc (ex-housing, ex-storage)'!F381/100+'Calc (ex-animal)'!$H$75*(1-'DB additional information '!$L$16/100)*(1-VLOOKUP(D381,'DB technologies'!$N$182:$Y$194,8,FALSE)/100)*'Calc (ex-housing, ex-storage)'!F381/100))/VLOOKUP($C$379,'DB animal categories'!$C$137:$AC$146,27,FALSE)*AJ381+M381+N381+O381,IF(AI381=1,('Calc (ex-animal)'!$H$75*(1-'DB additional information '!$L$16/100)*(1-VLOOKUP(D381,'DB technologies'!$N$182:$Y$194,8,FALSE)/100)*'Calc (ex-housing, ex-storage)'!F381/100)/VLOOKUP($C$379,'DB animal categories'!$C$137:$AC$146,27,FALSE)*AJ381,IF(AI381=4,('Calc (ex-animal)'!$G$75*(1-'DB additional information '!$K$16/100)+'Calc (ex-animal)'!$H$75*(1-'DB additional information '!$L$16/100))*(1-VLOOKUP(D381,'DB technologies'!$N$182:$Y$194,8,FALSE)/100)*'Calc (ex-housing, ex-storage)'!F381/100*VLOOKUP(D381,'DB technologies'!$N$182:$Y$194,11,FALSE)/100/VLOOKUP($C$379,'DB animal categories'!$C$137:$AC$146,27,FALSE)*AJ381,0))))</f>
        <v/>
      </c>
      <c r="AN381" s="442" t="str">
        <f>IF(AI381="","",IF(AL381=0,0,AL381/AK381*100))</f>
        <v/>
      </c>
      <c r="AO381" s="182" t="str">
        <f>IF(D381="","",IF(AI381=2,(('Calc (ex-animal)'!$L$75*'Calc (ex-housing, ex-storage)'!F381/100+'Calc (ex-animal)'!$K$75*'Calc (ex-housing, ex-storage)'!F381/100))/VLOOKUP($C$379,'DB animal categories'!$C$137:$AC$146,27,FALSE)*AJ381+Q381+R381+S381-AC381,IF(AI381=1,('Calc (ex-animal)'!$L$75*'Calc (ex-housing, ex-storage)'!F381/100)/VLOOKUP($C$379,'DB animal categories'!$C$137:$AC$146,27,FALSE)*AJ381-'Calc (ex-housing, ex-storage)'!AC381,IF(AI381=4,('Calc (ex-animal)'!$L$75+'Calc (ex-animal)'!$K$75)*'Calc (ex-housing, ex-storage)'!F381/100*VLOOKUP(D381,'DB technologies'!$N$182:$Y$194,11,FALSE)/100/VLOOKUP($C$379,'DB animal categories'!$C$137:$AC$146,27,FALSE)*AJ381-AC381*VLOOKUP(D381,'DB technologies'!$N$182:$Y$194,11,FALSE)/100,0))))</f>
        <v/>
      </c>
      <c r="AP381" s="182" t="str">
        <f>IF(D381="","",IF(AO381&lt;-0.01,0,IF(AI381=2,(('Calc (ex-animal)'!$L$75*'Calc (ex-housing, ex-storage)'!F381/100+'Calc (ex-animal)'!$K$75*'Calc (ex-housing, ex-storage)'!F381/100))/VLOOKUP($C$379,'DB animal categories'!$C$137:$AC$146,27,FALSE)*AJ381+Q381+R381+S381-AC381,IF(AI381=1,('Calc (ex-animal)'!$L$75*'Calc (ex-housing, ex-storage)'!F381/100)/VLOOKUP($C$379,'DB animal categories'!$C$137:$AC$146,27,FALSE)*AJ381-'Calc (ex-housing, ex-storage)'!AC381,IF(AI381=4,('Calc (ex-animal)'!$L$75+'Calc (ex-animal)'!$K$75)*'Calc (ex-housing, ex-storage)'!F381/100*VLOOKUP(D381,'DB technologies'!$N$182:$Y$194,11,FALSE)/100/VLOOKUP($C$379,'DB animal categories'!$C$137:$AC$146,27,FALSE)*AJ381-AC381*VLOOKUP(D381,'DB technologies'!$N$182:$Y$194,11,FALSE)/100,0)))))</f>
        <v/>
      </c>
      <c r="AQ381" s="182" t="str">
        <f>IF(D381="","",IF(AI381=2,('Calc (ex-animal)'!$O$75*'Calc (ex-housing, ex-storage)'!F381/100+'Calc (ex-animal)'!$N$75*'Calc (ex-housing, ex-storage)'!F381/100)/VLOOKUP($C$379,'DB animal categories'!$C$137:$AC$146,27,FALSE)*AJ381+U381+V381+W381,IF(AI381=1,'Calc (ex-animal)'!$O$75*'Calc (ex-housing, ex-storage)'!F381/100/VLOOKUP($C$379,'DB animal categories'!$C$137:$AC$146,27,FALSE)*AJ381,IF(AI381=4,('Calc (ex-animal)'!$O$75+'Calc (ex-animal)'!$N$75)*'Calc (ex-housing, ex-storage)'!F381/100*VLOOKUP(D381,'DB technologies'!$N$182:$Y$194,11,FALSE)/100/VLOOKUP($C$379,'DB animal categories'!$C$137:$AC$146,27,FALSE)*AJ381,0))))</f>
        <v/>
      </c>
      <c r="AR381" s="182" t="str">
        <f>IF(D381="","",IF(AI381=2,('Calc (ex-animal)'!$R$75*'Calc (ex-housing, ex-storage)'!F381/100+'Calc (ex-animal)'!$Q$75*'Calc (ex-housing, ex-storage)'!F381/100)/VLOOKUP($C$379,'DB animal categories'!$C$137:$AC$146,27,FALSE)*AJ381+Y381+Z381+AA381,IF(AI381=1,'Calc (ex-animal)'!$R$75*'Calc (ex-housing, ex-storage)'!F381/100/VLOOKUP($C$379,'DB animal categories'!$C$137:$AC$146,27,FALSE)*AJ381,IF(AI381=4,('Calc (ex-animal)'!$R$75+'Calc (ex-animal)'!$Q$75)*'Calc (ex-housing, ex-storage)'!F381/100*VLOOKUP(D381,'DB technologies'!$N$182:$Y$194,11,FALSE)/100/VLOOKUP($C$379,'DB animal categories'!$C$137:$AC$146,27,FALSE)*AJ381,0))))</f>
        <v/>
      </c>
      <c r="AS381" s="181" t="str">
        <f>IF(D381="","",VLOOKUP(D381,'DB technologies'!$N$182:$Y$194,10,FALSE))</f>
        <v/>
      </c>
      <c r="AT381" s="442" t="str">
        <f>IF(AS381="","",AU381+AV381)</f>
        <v/>
      </c>
      <c r="AU381" s="442" t="str">
        <f>IF(D381="","",IF(AS381=2,0,IF(AS381=1,'Calc (ex-animal)'!$G$75*'DB additional information '!$K$16/100*(1-VLOOKUP(D381,'DB technologies'!$N$182:$Y$194,8,FALSE)/100)*'Calc (ex-housing, ex-storage)'!F381/100/VLOOKUP($C$379,'DB animal categories'!$C$137:$AC$146,27,FALSE)*AJ381+I381+J381+K381,IF(AS381=5,(('Calc (ex-animal)'!$G$75*'DB additional information '!$K$16/100+'Calc (ex-animal)'!$H$75*'DB additional information '!$L$16/100))*(1-VLOOKUP(D381,'DB technologies'!$N$182:$Y$194,9,FALSE)/100)*'Calc (ex-housing, ex-storage)'!F381/100/VLOOKUP($C$379,'DB animal categories'!$C$137:$AC$146,27,FALSE)*AJ381+I381+J381+K381,IF(AS381=3,('Calc (ex-animal)'!$G$75*'DB additional information '!$K$16/100+'Calc (ex-animal)'!$H$75*'DB additional information '!$L$16/100)*(1-VLOOKUP(D381,'DB technologies'!$N$182:$Y$194,9,FALSE)/100)*'Calc (ex-housing, ex-storage)'!F381/100/VLOOKUP($C$379,'DB animal categories'!$C$137:$AC$146,27,FALSE)*AJ381+I381+J381+K381,IF(AS381=4,('Calc (ex-animal)'!$G$75*'DB additional information '!$K$16/100+'Calc (ex-animal)'!$H$75*'DB additional information '!$L$16/100)*(1-VLOOKUP(D381,'DB technologies'!$N$182:$Y$194,9,FALSE)/100)*'Calc (ex-housing, ex-storage)'!F381/100*VLOOKUP(D381,'DB technologies'!$N$182:$Y$194,12,FALSE)/100/VLOOKUP($C$379,'DB animal categories'!$C$137:$AC$146,27,FALSE)*AJ381+I381+J381+K381,0))))))</f>
        <v/>
      </c>
      <c r="AV381" s="442" t="str">
        <f>IF(D381="","",IF(AS381=2,0,IF(AS381=1,'Calc (ex-animal)'!$G$75*(1-'DB additional information '!$K$16/100)*(1-VLOOKUP(D381,'DB technologies'!$N$182:$Y$194,8,FALSE)/100)*'Calc (ex-housing, ex-storage)'!F381/100/VLOOKUP($C$379,'DB animal categories'!$C$137:$AC$146,27,FALSE)*AJ381+M381+N381+O381,IF(AS381=5,('Calc (ex-animal)'!$G$75*(1-'DB additional information '!$K$16/100)+'Calc (ex-animal)'!$H$75*(1-'DB additional information '!$L$16/100))*(1-VLOOKUP(D381,'DB technologies'!$N$182:$Y$194,8,FALSE)/100)*'Calc (ex-housing, ex-storage)'!F381/100/VLOOKUP($C$379,'DB animal categories'!$C$137:$AC$146,27,FALSE)*AJ381+M381+N381+O381,IF(AS381=3,('Calc (ex-animal)'!$G$75*(1-'DB additional information '!$K$16/100)+'Calc (ex-animal)'!$H$75*(1-'DB additional information '!$L$16/100))*(1-VLOOKUP(D381,'DB technologies'!$N$182:$Y$194,8,FALSE)/100)*'Calc (ex-housing, ex-storage)'!F381/100/VLOOKUP($C$379,'DB animal categories'!$C$137:$AC$146,27,FALSE)*AJ381+M381+N381+O381,IF(AS381=4,('Calc (ex-animal)'!$G$75*(1-'DB additional information '!$K$16/100)+'Calc (ex-animal)'!$H$75*(1-'DB additional information '!$L$16/100))*(1-VLOOKUP(D381,'DB technologies'!$N$182:$Y$194,8,FALSE)/100)*'Calc (ex-housing, ex-storage)'!F381/100*VLOOKUP(D381,'DB technologies'!$N$182:$Y$194,12,FALSE)/100/VLOOKUP($C$379,'DB animal categories'!$C$137:$AC$146,27,FALSE)*AJ381+M381+N381+O381,0))))))</f>
        <v/>
      </c>
      <c r="AW381" s="442" t="str">
        <f>IF(AS381="","",IF(AU381=0,0,AU381/AT381*100))</f>
        <v/>
      </c>
      <c r="AX381" s="182" t="str">
        <f>IF(D381="","",IF(AS381=2,0,IF(AS381=1,'Calc (ex-animal)'!$K$75*'Calc (ex-housing, ex-storage)'!F381/100/VLOOKUP($C$379,'DB animal categories'!$C$137:$AC$146,27,FALSE)*AJ381+Q381+R381+S381,IF(AS381=5,('Calc (ex-animal)'!$K$75+'Calc (ex-animal)'!$L$75)*'Calc (ex-housing, ex-storage)'!F381/100/VLOOKUP($C$379,'DB animal categories'!$C$137:$AC$146,27,FALSE)*AJ381+Q381+R381+S381-'Calc (ex-housing, ex-storage)'!AC381,IF(AS381=3,('Calc (ex-animal)'!$K$75+'Calc (ex-animal)'!$L$75)*'Calc (ex-housing, ex-storage)'!F381/100/VLOOKUP($C$379,'DB animal categories'!$C$137:$AC$146,27,FALSE)*AJ381+Q381+R381+S381-'Calc (ex-housing, ex-storage)'!AC381-AD381-AE381,IF(AI381=4,('Calc (ex-animal)'!$K$75+'Calc (ex-animal)'!$L$75)*'Calc (ex-housing, ex-storage)'!F381/100*VLOOKUP(D381,'DB technologies'!$N$182:$Y$194,12,FALSE)/100/VLOOKUP($C$379,'DB animal categories'!$C$137:$AC$146,27,FALSE)*AJ381+Q381+R381+S381-(VLOOKUP(D381,'DB technologies'!$N$182:$Y$194,12,FALSE)/100*AC381)-AD381-AE381,0))))))</f>
        <v/>
      </c>
      <c r="AY381" s="182" t="str">
        <f>IF(D381="","",IF(AS381=2,0,IF(AS381=1,'Calc (ex-animal)'!$N$75*'Calc (ex-housing, ex-storage)'!F381/100/VLOOKUP($C$379,'DB animal categories'!$C$137:$AC$146,27,FALSE)*AJ381+U381+V381+W381,IF(AS381=5,('Calc (ex-animal)'!$N$75+'Calc (ex-animal)'!$O$75)*'Calc (ex-housing, ex-storage)'!F381/100/VLOOKUP($C$379,'DB animal categories'!$C$137:$AC$146,27,FALSE)*AJ381+U381+V381+W381,IF(AS381=3,('Calc (ex-animal)'!$N$75+'Calc (ex-animal)'!$O$75)*'Calc (ex-housing, ex-storage)'!F381/100/VLOOKUP($C$379,'DB animal categories'!$C$137:$AC$146,27,FALSE)*AJ381+U381+V381+W381,IF(AS381=4,('Calc (ex-animal)'!$N$75+'Calc (ex-animal)'!$O$75)*'Calc (ex-housing, ex-storage)'!F381/100*VLOOKUP(D381,'DB technologies'!$N$182:$Y$194,12,FALSE)/100/VLOOKUP($C$379,'DB animal categories'!$C$137:$AC$146,27,FALSE)*AJ381+U381+V381+W381,0))))))</f>
        <v/>
      </c>
      <c r="AZ381" s="182" t="str">
        <f>IF(D381="","",IF(AS381=2,0,IF(AS381=1,'Calc (ex-animal)'!$Q$75*'Calc (ex-housing, ex-storage)'!F381/100/VLOOKUP($C$379,'DB animal categories'!$C$137:$AC$146,27,FALSE)*AJ381+Y381+Z381+AA381,IF(AS381=5,('Calc (ex-animal)'!$Q$75+'Calc (ex-animal)'!$R$75)*'Calc (ex-housing, ex-storage)'!F381/100/VLOOKUP($C$379,'DB animal categories'!$C$137:$AC$146,27,FALSE)*AJ381+Y381+Z381+AA381,IF(AS381=3,('Calc (ex-animal)'!$Q$75+'Calc (ex-animal)'!$R$75)*'Calc (ex-housing, ex-storage)'!F381/100/VLOOKUP($C$379,'DB animal categories'!$C$137:$AC$146,27,FALSE)*AJ381+Y381+Z381+AA381,IF(AS381=4,('Calc (ex-animal)'!$Q$75+'Calc (ex-animal)'!$R$75)*'Calc (ex-housing, ex-storage)'!F381/100*VLOOKUP(D381,'DB technologies'!$N$182:$Y$194,12,FALSE)/100/VLOOKUP($C$379,'DB animal categories'!$C$137:$AC$146,27,FALSE)*AJ381+Y381+Z381+AA381,0))))))</f>
        <v/>
      </c>
      <c r="BA381" s="506"/>
      <c r="BB381" s="506"/>
      <c r="BC381" s="506"/>
    </row>
    <row r="382" spans="1:55" x14ac:dyDescent="0.2">
      <c r="A382" s="695"/>
      <c r="B382" s="695"/>
      <c r="C382" s="251"/>
      <c r="D382" s="1357"/>
      <c r="E382" s="1358"/>
      <c r="F382" s="480" t="str">
        <f>IF('Calc (ex-animal)'!$F$73=1,"",IF($C$379=0,"",IF(D382="","",E382/'Calc (ex-animal)'!$E$75*100)))</f>
        <v/>
      </c>
      <c r="G382" s="485" t="str">
        <f>IF($C$379=0,"",IF('Calc (ex-animal)'!$F$73=1,"",IF(D382="","",SUM(H382:O382))))</f>
        <v/>
      </c>
      <c r="H382" s="423" t="str">
        <f>IF('Calc (ex-animal)'!$F$73=1,"",IF(D382="","",(((VLOOKUP($C$379,'Calc (ex-animal)'!$D$73:$Y$77,6,FALSE)-VLOOKUP($C$379,'Calc (ex-animal)'!$D$73:$Y$77,17,FALSE))*F382/100))*VLOOKUP($C$379,'Calc (ex-animal)'!$D$73:$Y$77,7,FALSE)/100*(1-VLOOKUP(D382,'DB technologies'!$N$182:$Y$194,9,FALSE)/100)))</f>
        <v/>
      </c>
      <c r="I382" s="423" t="str">
        <f>IF(D382="","",((VLOOKUP(D382,'DB technologies'!$N$182:$Y$194,2,FALSE)*VLOOKUP($C$379,'DB animal categories'!$C$137:$AC$146,27,FALSE)*E382/1000)/VLOOKUP($C$379,'DB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'!$S$6/100*(1-VLOOKUP(D382,'DB technologies'!$N$182:$Y$194,9,FALSE)/100)))</f>
        <v/>
      </c>
      <c r="J382" s="434" t="str">
        <f>IF(D382="","",((VLOOKUP(D382,'DB technologies'!$N$182:$Y$194,3,FALSE)*VLOOKUP($C$379,'DB animal categories'!$C$137:$AC$146,27,FALSE)*E382/1000)/VLOOKUP($C$379,'DB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'!$S$7/100*(1-VLOOKUP(D382,'DB technologies'!$N$182:$Y$194,9,FALSE)/100)))</f>
        <v/>
      </c>
      <c r="K382" s="434" t="str">
        <f>IF(D382="","",((VLOOKUP(D382,'DB technologies'!$N$182:$Y$194,4,FALSE)*E382*'DB additional information '!$S$8/100*(1-VLOOKUP(D382,'DB technologies'!$N$182:$Y$194,9,FALSE)/100))/VLOOKUP($C$379,'DB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L382" s="423" t="str">
        <f>IF('Calc (ex-animal)'!$F$73=1,"",IF(D382="","",(((VLOOKUP($C$379,'Calc (ex-animal)'!$D$73:$Y$77,6,FALSE)-VLOOKUP($C$379,'Calc (ex-animal)'!$D$73:$Y$77,17,FALSE))*F382/100))*(1-VLOOKUP($C$379,'Calc (ex-animal)'!$D$73:$Y$77,7,FALSE)/100)*(1-VLOOKUP(D382,'DB technologies'!$N$182:$V$194,8,FALSE)/100)))</f>
        <v/>
      </c>
      <c r="M382" s="434" t="str">
        <f>IF(D382="","",((VLOOKUP(D382,'DB technologies'!$N$182:$Y$194,2,FALSE)*VLOOKUP($C$379,'DB animal categories'!$C$137:$AC$146,27,FALSE)*E382/1000)/VLOOKUP($C$379,'DB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'!$S$6/100)*(1-VLOOKUP(D382,'DB technologies'!$N$182:$Y$194,9,FALSE)/100))</f>
        <v/>
      </c>
      <c r="N382" s="434" t="str">
        <f>IF(D382="","",((VLOOKUP(D382,'DB technologies'!$N$182:$Y$194,3,FALSE)*VLOOKUP($C$379,'DB animal categories'!$C$137:$AC$146,27,FALSE)*E382/1000)/VLOOKUP($C$379,'DB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'!$S$7/100)*(1-VLOOKUP(D382,'DB technologies'!$N$182:$Y$194,9,FALSE)/100))</f>
        <v/>
      </c>
      <c r="O382" s="423" t="str">
        <f>IF(D382="","",((VLOOKUP(D382,'DB technologies'!$N$182:$Y$194,4,FALSE)*E382*(1-'DB additional information '!$S$8/100)*(1-VLOOKUP(D382,'DB technologies'!$N$182:$Y$194,8,FALSE)/100))/VLOOKUP($C$379,'DB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P382" s="438" t="str">
        <f>IF(G382=0,0,IF(E382="","",IF(F382="","",IF($C$379=0,"",IF(D382="","",SUM(H382:K382)/G382*100)))))</f>
        <v/>
      </c>
      <c r="Q382" s="416" t="str">
        <f>IF(D382="","",(VLOOKUP(D382,'DB technologies'!$N$182:$Y$194,2,FALSE)*'DB additional information '!$S$6/100*'DB additional information '!$T$6*VLOOKUP($C$379,'DB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R382" s="416" t="str">
        <f>IF(D382="","",(VLOOKUP(D382,'DB technologies'!$N$182:$Y$194,3,FALSE)*'DB additional information '!$S$7/100*'DB additional information '!$T$7*VLOOKUP($C$379,'DB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S382" s="491" t="str">
        <f>IF(D382="","",(VLOOKUP(D382,'DB technologies'!$N$182:$Y$194,4,FALSE)*('DB additional information '!$S$8/100*'DB additional information '!$T$8*E382/1000/1000)))</f>
        <v/>
      </c>
      <c r="T382" s="264" t="str">
        <f>IF($C$379=0,"",IF('Calc (ex-animal)'!$F$73=1,"",IF(D382="","",((VLOOKUP($C$379,'Calc (ex-animal)'!$D$73:$Y$77,10,FALSE)-VLOOKUP($C$379,'Calc (ex-animal)'!$D$73:$Y$77,18,FALSE))*F382/100+Q382+R382+S382)-AC382-AD382-AE382)))</f>
        <v/>
      </c>
      <c r="U382" s="422" t="str">
        <f>IF(D382="","",(VLOOKUP(D382,'DB technologies'!$N$182:$Y$194,2,FALSE)*'DB additional information '!$S$6/100*'DB additional information '!$U$6*VLOOKUP($C$379,'DB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V382" s="418" t="str">
        <f>IF(D382="","",(VLOOKUP(D382,'DB technologies'!$N$182:$Y$194,3,FALSE)*'DB additional information '!$S$7/100*'DB additional information '!$U$7*VLOOKUP($C$379,'DB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W382" s="417" t="str">
        <f>IF(D382="","",(VLOOKUP(D382,'DB technologies'!$N$182:$Y$194,4,FALSE)*('DB additional information '!$S$8/100*'DB additional information '!$U$8*E382/1000/1000)))</f>
        <v/>
      </c>
      <c r="X382" s="261" t="str">
        <f>IF($C$379=0,"",IF('Calc (ex-animal)'!$F$73=1,"",IF(D382="","",((VLOOKUP($C$379,'Calc (ex-animal)'!$D$73:$Y$77,13,FALSE)-VLOOKUP($C$379,'Calc (ex-animal)'!$D$73:$Y$77,19,FALSE))*F382/100+U382+V382+W382))))</f>
        <v/>
      </c>
      <c r="Y382" s="418" t="str">
        <f>IF(D382="","",(VLOOKUP(D382,'DB technologies'!$N$182:$Y$194,2,FALSE)*'DB additional information '!$S$6/100*'DB additional information '!$V$6*VLOOKUP($C$379,'DB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Z382" s="418" t="str">
        <f>IF(D382="","",(VLOOKUP(D382,'DB technologies'!$N$182:$Y$194,3,FALSE)*'DB additional information '!$S$7/100*'DB additional information '!$V$7*VLOOKUP($C$379,'DB animal categories'!$C$137:$AC$146,27,FALSE)*E382/1000/1000)/VLOOKUP($C$379,'DB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AA382" s="418" t="str">
        <f>IF(D382="","",(VLOOKUP(D382,'DB technologies'!$N$182:$Y$194,4,FALSE)*('DB additional information '!$S$8/100*'DB additional information '!$V$8*E382/1000/1000)))</f>
        <v/>
      </c>
      <c r="AB382" s="261" t="str">
        <f>IF($C$379=0,"",IF('Calc (ex-animal)'!$F$73=1,"",IF(D382="","",((VLOOKUP($C$379,'Calc (ex-animal)'!$D$73:$Y$77,16,FALSE)-VLOOKUP($C$379,'Calc (ex-animal)'!$D$73:$Y$77,20,FALSE))*F382/100+Y382+Z382+AA382))))</f>
        <v/>
      </c>
      <c r="AC382" s="261" t="str">
        <f>IF($C$379=0,"",IF('Calc (ex-animal)'!$F$73=1,"",IF(D382="","",VLOOKUP($C$379,'Calc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categories'!$C$137:$AC$146,26,FALSE)/24)*F382/100*VLOOKUP(D382,'DB technologies'!$N$182:$R$194,5,FALSE)/100)))</f>
        <v/>
      </c>
      <c r="AD382" s="261" t="str">
        <f>IF($C$379=0,"",IF('Calc (ex-animal)'!$F$73=1,"",IF(D382="","",VLOOKUP($C$379,'Calc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categories'!$C$137:$AC$146,26,FALSE)/24)*F382/100*VLOOKUP(D382,'DB technologies'!$N$182:$Y$194,6,FALSE)/100)))</f>
        <v/>
      </c>
      <c r="AE382" s="262" t="str">
        <f>IF($C$379=0,"",IF('Calc (ex-animal)'!$F$73=1,"",IF(D382="","",VLOOKUP($C$379,'Calc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categories'!$C$137:$AC$146,26,FALSE)/24)*F382/100*VLOOKUP(D382,'DB technologies'!$N$182:$Y$194,7,FALSE)/100)))</f>
        <v/>
      </c>
      <c r="AI382" s="181" t="str">
        <f>IF(D382="","",VLOOKUP(D382,'DB technologies'!$N$182:$Y$194,10,FALSE))</f>
        <v/>
      </c>
      <c r="AJ382" s="449" t="e">
        <f>VLOOKUP($C$379,'DB animal categories'!$C$137:$AN$146,27,FALSE)-VLOOKUP($C$379,'DB animal categories'!$C$137:$AN$146,26,FALSE)*VLOOKUP($C$379,'DB animal categories'!$C$137:$AN$146,25,FALSE)/24</f>
        <v>#N/A</v>
      </c>
      <c r="AK382" s="442" t="str">
        <f>IF(AI382="","",AL382+AM382)</f>
        <v/>
      </c>
      <c r="AL382" s="442" t="str">
        <f>IF(D382="","",IF(AI382=2,(('Calc (ex-animal)'!$G$75*'DB additional information '!$K$16/100*(1-VLOOKUP(D382,'DB technologies'!$N$182:$Y$194,9,FALSE)/100)*'Calc (ex-housing, ex-storage)'!F382/100+'Calc (ex-animal)'!$H$75*'DB additional information '!$L$16/100*(1-VLOOKUP(D382,'DB technologies'!$N$182:$Y$194,9,FALSE)/100)*'Calc (ex-housing, ex-storage)'!F382/100))/VLOOKUP($C$379,'DB animal categories'!$C$137:$AC$146,27,FALSE)*AJ382+I382+J382+K382,IF(AI382=1,('Calc (ex-animal)'!$H$75*'DB additional information '!$L$16/100*(1-VLOOKUP(D382,'DB technologies'!$N$182:$Y$194,9,FALSE)/100)*'Calc (ex-housing, ex-storage)'!F382/100)/VLOOKUP($C$379,'DB animal categories'!$C$137:$AC$146,27,FALSE)*AJ382,IF(AI382=4,('Calc (ex-animal)'!$G$75*'DB additional information '!$K$16/100+'Calc (ex-animal)'!$H$75*'DB additional information '!$L$16/100)*(1-VLOOKUP(D382,'DB technologies'!$N$182:$Y$194,9,FALSE)/100)*'Calc (ex-housing, ex-storage)'!F382/100*VLOOKUP(D382,'DB technologies'!$N$182:$Y$194,11,FALSE)/100/VLOOKUP($C$379,'DB animal categories'!$C$137:$AC$146,27,FALSE)*AJ382,0))))</f>
        <v/>
      </c>
      <c r="AM382" s="442" t="str">
        <f>IF(D382="","",IF(AI382=2,(('Calc (ex-animal)'!$G$75*(1-'DB additional information '!$K$16/100)*(1-VLOOKUP(D382,'DB technologies'!$N$182:$Y$194,8,FALSE)/100)*'Calc (ex-housing, ex-storage)'!F382/100+'Calc (ex-animal)'!$H$75*(1-'DB additional information '!$L$16/100)*(1-VLOOKUP(D382,'DB technologies'!$N$182:$Y$194,8,FALSE)/100)*'Calc (ex-housing, ex-storage)'!F382/100))/VLOOKUP($C$379,'DB animal categories'!$C$137:$AC$146,27,FALSE)*AJ382+M382+N382+O382,IF(AI382=1,('Calc (ex-animal)'!$H$75*(1-'DB additional information '!$L$16/100)*(1-VLOOKUP(D382,'DB technologies'!$N$182:$Y$194,8,FALSE)/100)*'Calc (ex-housing, ex-storage)'!F382/100)/VLOOKUP($C$379,'DB animal categories'!$C$137:$AC$146,27,FALSE)*AJ382,IF(AI382=4,('Calc (ex-animal)'!$G$75*(1-'DB additional information '!$K$16/100)+'Calc (ex-animal)'!$H$75*(1-'DB additional information '!$L$16/100))*(1-VLOOKUP(D382,'DB technologies'!$N$182:$Y$194,8,FALSE)/100)*'Calc (ex-housing, ex-storage)'!F382/100*VLOOKUP(D382,'DB technologies'!$N$182:$Y$194,11,FALSE)/100/VLOOKUP($C$379,'DB animal categories'!$C$137:$AC$146,27,FALSE)*AJ382,0))))</f>
        <v/>
      </c>
      <c r="AN382" s="442" t="str">
        <f>IF(AI382="","",IF(AL382=0,0,AL382/AK382*100))</f>
        <v/>
      </c>
      <c r="AO382" s="182" t="str">
        <f>IF(D382="","",IF(AI382=2,(('Calc (ex-animal)'!$L$75*'Calc (ex-housing, ex-storage)'!F382/100+'Calc (ex-animal)'!$K$75*'Calc (ex-housing, ex-storage)'!F382/100))/VLOOKUP($C$379,'DB animal categories'!$C$137:$AC$146,27,FALSE)*AJ382+Q382+R382+S382-AC382,IF(AI382=1,('Calc (ex-animal)'!$L$75*'Calc (ex-housing, ex-storage)'!F382/100)/VLOOKUP($C$379,'DB animal categories'!$C$137:$AC$146,27,FALSE)*AJ382-'Calc (ex-housing, ex-storage)'!AC382,IF(AI382=4,('Calc (ex-animal)'!$L$75+'Calc (ex-animal)'!$K$75)*'Calc (ex-housing, ex-storage)'!F382/100*VLOOKUP(D382,'DB technologies'!$N$182:$Y$194,11,FALSE)/100/VLOOKUP($C$379,'DB animal categories'!$C$137:$AC$146,27,FALSE)*AJ382-AC382*VLOOKUP(D382,'DB technologies'!$N$182:$Y$194,11,FALSE)/100,0))))</f>
        <v/>
      </c>
      <c r="AP382" s="182" t="str">
        <f>IF(D382="","",IF(AO382&lt;-0.01,0,IF(AI382=2,(('Calc (ex-animal)'!$L$75*'Calc (ex-housing, ex-storage)'!F382/100+'Calc (ex-animal)'!$K$75*'Calc (ex-housing, ex-storage)'!F382/100))/VLOOKUP($C$379,'DB animal categories'!$C$137:$AC$146,27,FALSE)*AJ382+Q382+R382+S382-AC382,IF(AI382=1,('Calc (ex-animal)'!$L$75*'Calc (ex-housing, ex-storage)'!F382/100)/VLOOKUP($C$379,'DB animal categories'!$C$137:$AC$146,27,FALSE)*AJ382-'Calc (ex-housing, ex-storage)'!AC382,IF(AI382=4,('Calc (ex-animal)'!$L$75+'Calc (ex-animal)'!$K$75)*'Calc (ex-housing, ex-storage)'!F382/100*VLOOKUP(D382,'DB technologies'!$N$182:$Y$194,11,FALSE)/100/VLOOKUP($C$379,'DB animal categories'!$C$137:$AC$146,27,FALSE)*AJ382-AC382*VLOOKUP(D382,'DB technologies'!$N$182:$Y$194,11,FALSE)/100,0)))))</f>
        <v/>
      </c>
      <c r="AQ382" s="182" t="str">
        <f>IF(D382="","",IF(AI382=2,('Calc (ex-animal)'!$O$75*'Calc (ex-housing, ex-storage)'!F382/100+'Calc (ex-animal)'!$N$75*'Calc (ex-housing, ex-storage)'!F382/100)/VLOOKUP($C$379,'DB animal categories'!$C$137:$AC$146,27,FALSE)*AJ382+U382+V382+W382,IF(AI382=1,'Calc (ex-animal)'!$O$75*'Calc (ex-housing, ex-storage)'!F382/100/VLOOKUP($C$379,'DB animal categories'!$C$137:$AC$146,27,FALSE)*AJ382,IF(AI382=4,('Calc (ex-animal)'!$O$75+'Calc (ex-animal)'!$N$75)*'Calc (ex-housing, ex-storage)'!F382/100*VLOOKUP(D382,'DB technologies'!$N$182:$Y$194,11,FALSE)/100/VLOOKUP($C$379,'DB animal categories'!$C$137:$AC$146,27,FALSE)*AJ382,0))))</f>
        <v/>
      </c>
      <c r="AR382" s="182" t="str">
        <f>IF(D382="","",IF(AI382=2,('Calc (ex-animal)'!$R$75*'Calc (ex-housing, ex-storage)'!F382/100+'Calc (ex-animal)'!$Q$75*'Calc (ex-housing, ex-storage)'!F382/100)/VLOOKUP($C$379,'DB animal categories'!$C$137:$AC$146,27,FALSE)*AJ382+Y382+Z382+AA382,IF(AI382=1,'Calc (ex-animal)'!$R$75*'Calc (ex-housing, ex-storage)'!F382/100/VLOOKUP($C$379,'DB animal categories'!$C$137:$AC$146,27,FALSE)*AJ382,IF(AI382=4,('Calc (ex-animal)'!$R$75+'Calc (ex-animal)'!$Q$75)*'Calc (ex-housing, ex-storage)'!F382/100*VLOOKUP(D382,'DB technologies'!$N$182:$Y$194,11,FALSE)/100/VLOOKUP($C$379,'DB animal categories'!$C$137:$AC$146,27,FALSE)*AJ382,0))))</f>
        <v/>
      </c>
      <c r="AS382" s="181" t="str">
        <f>IF(D382="","",VLOOKUP(D382,'DB technologies'!$N$182:$Y$194,10,FALSE))</f>
        <v/>
      </c>
      <c r="AT382" s="442" t="str">
        <f>IF(AS382="","",AU382+AV382)</f>
        <v/>
      </c>
      <c r="AU382" s="442" t="str">
        <f>IF(D382="","",IF(AS382=2,0,IF(AS382=1,'Calc (ex-animal)'!$G$75*'DB additional information '!$K$16/100*(1-VLOOKUP(D382,'DB technologies'!$N$182:$Y$194,8,FALSE)/100)*'Calc (ex-housing, ex-storage)'!F382/100/VLOOKUP($C$379,'DB animal categories'!$C$137:$AC$146,27,FALSE)*AJ382+I382+J382+K382,IF(AS382=5,(('Calc (ex-animal)'!$G$75*'DB additional information '!$K$16/100+'Calc (ex-animal)'!$H$75*'DB additional information '!$L$16/100))*(1-VLOOKUP(D382,'DB technologies'!$N$182:$Y$194,9,FALSE)/100)*'Calc (ex-housing, ex-storage)'!F382/100/VLOOKUP($C$379,'DB animal categories'!$C$137:$AC$146,27,FALSE)*AJ382+I382+J382+K382,IF(AS382=3,('Calc (ex-animal)'!$G$75*'DB additional information '!$K$16/100+'Calc (ex-animal)'!$H$75*'DB additional information '!$L$16/100)*(1-VLOOKUP(D382,'DB technologies'!$N$182:$Y$194,9,FALSE)/100)*'Calc (ex-housing, ex-storage)'!F382/100/VLOOKUP($C$379,'DB animal categories'!$C$137:$AC$146,27,FALSE)*AJ382+I382+J382+K382,IF(AS382=4,('Calc (ex-animal)'!$G$75*'DB additional information '!$K$16/100+'Calc (ex-animal)'!$H$75*'DB additional information '!$L$16/100)*(1-VLOOKUP(D382,'DB technologies'!$N$182:$Y$194,9,FALSE)/100)*'Calc (ex-housing, ex-storage)'!F382/100*VLOOKUP(D382,'DB technologies'!$N$182:$Y$194,12,FALSE)/100/VLOOKUP($C$379,'DB animal categories'!$C$137:$AC$146,27,FALSE)*AJ382+I382+J382+K382,0))))))</f>
        <v/>
      </c>
      <c r="AV382" s="442" t="str">
        <f>IF(D382="","",IF(AS382=2,0,IF(AS382=1,'Calc (ex-animal)'!$G$75*(1-'DB additional information '!$K$16/100)*(1-VLOOKUP(D382,'DB technologies'!$N$182:$Y$194,8,FALSE)/100)*'Calc (ex-housing, ex-storage)'!F382/100/VLOOKUP($C$379,'DB animal categories'!$C$137:$AC$146,27,FALSE)*AJ382+M382+N382+O382,IF(AS382=5,('Calc (ex-animal)'!$G$75*(1-'DB additional information '!$K$16/100)+'Calc (ex-animal)'!$H$75*(1-'DB additional information '!$L$16/100))*(1-VLOOKUP(D382,'DB technologies'!$N$182:$Y$194,8,FALSE)/100)*'Calc (ex-housing, ex-storage)'!F382/100/VLOOKUP($C$379,'DB animal categories'!$C$137:$AC$146,27,FALSE)*AJ382+M382+N382+O382,IF(AS382=3,('Calc (ex-animal)'!$G$75*(1-'DB additional information '!$K$16/100)+'Calc (ex-animal)'!$H$75*(1-'DB additional information '!$L$16/100))*(1-VLOOKUP(D382,'DB technologies'!$N$182:$Y$194,8,FALSE)/100)*'Calc (ex-housing, ex-storage)'!F382/100/VLOOKUP($C$379,'DB animal categories'!$C$137:$AC$146,27,FALSE)*AJ382+M382+N382+O382,IF(AS382=4,('Calc (ex-animal)'!$G$75*(1-'DB additional information '!$K$16/100)+'Calc (ex-animal)'!$H$75*(1-'DB additional information '!$L$16/100))*(1-VLOOKUP(D382,'DB technologies'!$N$182:$Y$194,8,FALSE)/100)*'Calc (ex-housing, ex-storage)'!F382/100*VLOOKUP(D382,'DB technologies'!$N$182:$Y$194,12,FALSE)/100/VLOOKUP($C$379,'DB animal categories'!$C$137:$AC$146,27,FALSE)*AJ382+M382+N382+O382,0))))))</f>
        <v/>
      </c>
      <c r="AW382" s="442" t="str">
        <f>IF(AS382="","",IF(AU382=0,0,AU382/AT382*100))</f>
        <v/>
      </c>
      <c r="AX382" s="182" t="str">
        <f>IF(D382="","",IF(AS382=2,0,IF(AS382=1,'Calc (ex-animal)'!$K$75*'Calc (ex-housing, ex-storage)'!F382/100/VLOOKUP($C$379,'DB animal categories'!$C$137:$AC$146,27,FALSE)*AJ382+Q382+R382+S382,IF(AS382=5,('Calc (ex-animal)'!$K$75+'Calc (ex-animal)'!$L$75)*'Calc (ex-housing, ex-storage)'!F382/100/VLOOKUP($C$379,'DB animal categories'!$C$137:$AC$146,27,FALSE)*AJ382+Q382+R382+S382-'Calc (ex-housing, ex-storage)'!AC382,IF(AS382=3,('Calc (ex-animal)'!$K$75+'Calc (ex-animal)'!$L$75)*'Calc (ex-housing, ex-storage)'!F382/100/VLOOKUP($C$379,'DB animal categories'!$C$137:$AC$146,27,FALSE)*AJ382+Q382+R382+S382-'Calc (ex-housing, ex-storage)'!AC382-AD382-AE382,IF(AI382=4,('Calc (ex-animal)'!$K$75+'Calc (ex-animal)'!$L$75)*'Calc (ex-housing, ex-storage)'!F382/100*VLOOKUP(D382,'DB technologies'!$N$182:$Y$194,12,FALSE)/100/VLOOKUP($C$379,'DB animal categories'!$C$137:$AC$146,27,FALSE)*AJ382+Q382+R382+S382-(VLOOKUP(D382,'DB technologies'!$N$182:$Y$194,12,FALSE)/100*AC382)-AD382-AE382,0))))))</f>
        <v/>
      </c>
      <c r="AY382" s="182" t="str">
        <f>IF(D382="","",IF(AS382=2,0,IF(AS382=1,'Calc (ex-animal)'!$N$75*'Calc (ex-housing, ex-storage)'!F382/100/VLOOKUP($C$379,'DB animal categories'!$C$137:$AC$146,27,FALSE)*AJ382+U382+V382+W382,IF(AS382=5,('Calc (ex-animal)'!$N$75+'Calc (ex-animal)'!$O$75)*'Calc (ex-housing, ex-storage)'!F382/100/VLOOKUP($C$379,'DB animal categories'!$C$137:$AC$146,27,FALSE)*AJ382+U382+V382+W382,IF(AS382=3,('Calc (ex-animal)'!$N$75+'Calc (ex-animal)'!$O$75)*'Calc (ex-housing, ex-storage)'!F382/100/VLOOKUP($C$379,'DB animal categories'!$C$137:$AC$146,27,FALSE)*AJ382+U382+V382+W382,IF(AS382=4,('Calc (ex-animal)'!$N$75+'Calc (ex-animal)'!$O$75)*'Calc (ex-housing, ex-storage)'!F382/100*VLOOKUP(D382,'DB technologies'!$N$182:$Y$194,12,FALSE)/100/VLOOKUP($C$379,'DB animal categories'!$C$137:$AC$146,27,FALSE)*AJ382+U382+V382+W382,0))))))</f>
        <v/>
      </c>
      <c r="AZ382" s="182" t="str">
        <f>IF(D382="","",IF(AS382=2,0,IF(AS382=1,'Calc (ex-animal)'!$Q$75*'Calc (ex-housing, ex-storage)'!F382/100/VLOOKUP($C$379,'DB animal categories'!$C$137:$AC$146,27,FALSE)*AJ382+Y382+Z382+AA382,IF(AS382=5,('Calc (ex-animal)'!$Q$75+'Calc (ex-animal)'!$R$75)*'Calc (ex-housing, ex-storage)'!F382/100/VLOOKUP($C$379,'DB animal categories'!$C$137:$AC$146,27,FALSE)*AJ382+Y382+Z382+AA382,IF(AS382=3,('Calc (ex-animal)'!$Q$75+'Calc (ex-animal)'!$R$75)*'Calc (ex-housing, ex-storage)'!F382/100/VLOOKUP($C$379,'DB animal categories'!$C$137:$AC$146,27,FALSE)*AJ382+Y382+Z382+AA382,IF(AS382=4,('Calc (ex-animal)'!$Q$75+'Calc (ex-animal)'!$R$75)*'Calc (ex-housing, ex-storage)'!F382/100*VLOOKUP(D382,'DB technologies'!$N$182:$Y$194,12,FALSE)/100/VLOOKUP($C$379,'DB animal categories'!$C$137:$AC$146,27,FALSE)*AJ382+Y382+Z382+AA382,0))))))</f>
        <v/>
      </c>
      <c r="BA382" s="506"/>
      <c r="BB382" s="506"/>
      <c r="BC382" s="506"/>
    </row>
    <row r="383" spans="1:55" ht="12" thickBot="1" x14ac:dyDescent="0.25">
      <c r="A383" s="695"/>
      <c r="B383" s="695"/>
      <c r="C383" s="251"/>
      <c r="D383" s="1359"/>
      <c r="E383" s="1360"/>
      <c r="F383" s="481" t="str">
        <f>IF('Calc (ex-animal)'!$F$73=1,"",IF($C$379=0,"",IF(D383="","",E383/'Calc (ex-animal)'!$E$75*100)))</f>
        <v/>
      </c>
      <c r="G383" s="483" t="str">
        <f>IF($C$379=0,"",IF('Calc (ex-animal)'!$F$73=1,"",IF(D383="","",SUM(H383:O383))))</f>
        <v/>
      </c>
      <c r="H383" s="445" t="str">
        <f>IF('Calc (ex-animal)'!$F$73=1,"",IF(D383="","",(((VLOOKUP($C$379,'Calc (ex-animal)'!$D$73:$Y$77,6,FALSE)-VLOOKUP($C$379,'Calc (ex-animal)'!$D$73:$Y$77,17,FALSE))*F383/100))*VLOOKUP($C$379,'Calc (ex-animal)'!$D$73:$Y$77,7,FALSE)/100*(1-VLOOKUP(D383,'DB technologies'!$N$182:$Y$194,9,FALSE)/100)))</f>
        <v/>
      </c>
      <c r="I383" s="445" t="str">
        <f>IF(D383="","",((VLOOKUP(D383,'DB technologies'!$N$182:$Y$194,2,FALSE)*VLOOKUP($C$379,'DB animal categories'!$C$137:$AC$146,27,FALSE)*E383/1000)/VLOOKUP($C$379,'DB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'!$S$6/100*(1-VLOOKUP(D383,'DB technologies'!$N$182:$Y$194,9,FALSE)/100)))</f>
        <v/>
      </c>
      <c r="J383" s="446" t="str">
        <f>IF(D383="","",((VLOOKUP(D383,'DB technologies'!$N$182:$Y$194,3,FALSE)*VLOOKUP($C$379,'DB animal categories'!$C$137:$AC$146,27,FALSE)*E383/1000)/VLOOKUP($C$379,'DB animal categories'!$C$137:$AC$146,27,FALSE)*(VLOOKUP($C$379,'DB animal categories'!$C$137:$AC$146,27,FALSE)-(VLOOKUP($C$379,'DB animal categories'!$C$137:$AC$146,25,FALSE)*VLOOKUP($C$379,'DB animal categories'!$C$137:$AC$146,26,FALSE)/24))*'DB additional information '!$S$7/100*(1-VLOOKUP(D383,'DB technologies'!$N$182:$Y$194,9,FALSE)/100)))</f>
        <v/>
      </c>
      <c r="K383" s="446" t="str">
        <f>IF(D383="","",((VLOOKUP(D383,'DB technologies'!$N$182:$Y$194,4,FALSE)*E383*'DB additional information '!$S$8/100*(1-VLOOKUP(D383,'DB technologies'!$N$182:$Y$194,9,FALSE)/100))/VLOOKUP($C$379,'DB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L383" s="445" t="str">
        <f>IF('Calc (ex-animal)'!$F$73=1,"",IF(D383="","",(((VLOOKUP($C$379,'Calc (ex-animal)'!$D$73:$Y$77,6,FALSE)-VLOOKUP($C$379,'Calc (ex-animal)'!$D$73:$Y$77,17,FALSE))*F383/100))*(1-VLOOKUP($C$379,'Calc (ex-animal)'!$D$73:$Y$77,7,FALSE)/100)*(1-VLOOKUP(D383,'DB technologies'!$N$182:$V$194,8,FALSE)/100)))</f>
        <v/>
      </c>
      <c r="M383" s="446" t="str">
        <f>IF(D383="","",((VLOOKUP(D383,'DB technologies'!$N$182:$Y$194,2,FALSE)*VLOOKUP($C$379,'DB animal categories'!$C$137:$AC$146,27,FALSE)*E383/1000)/VLOOKUP($C$379,'DB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'!$S$6/100)*(1-VLOOKUP(D383,'DB technologies'!$N$182:$Y$194,9,FALSE)/100))</f>
        <v/>
      </c>
      <c r="N383" s="446" t="str">
        <f>IF(D383="","",((VLOOKUP(D383,'DB technologies'!$N$182:$Y$194,3,FALSE)*VLOOKUP($C$379,'DB animal categories'!$C$137:$AC$146,27,FALSE)*E383/1000)/VLOOKUP($C$379,'DB animal categories'!$C$137:$AC$146,27,FALSE)*(VLOOKUP($C$379,'DB animal categories'!$C$137:$AC$146,27,FALSE)-VLOOKUP($C$379,'DB animal categories'!$C$137:$AC$146,25,FALSE)*VLOOKUP($C$379,'DB animal categories'!$C$137:$AC$146,26,FALSE)/24))*(1-'DB additional information '!$S$7/100)*(1-VLOOKUP(D383,'DB technologies'!$N$182:$Y$194,9,FALSE)/100))</f>
        <v/>
      </c>
      <c r="O383" s="445" t="str">
        <f>IF(D383="","",((VLOOKUP(D383,'DB technologies'!$N$182:$Y$194,4,FALSE)*E383*(1-'DB additional information '!$S$8/100)*(1-VLOOKUP(D383,'DB technologies'!$N$182:$Y$194,8,FALSE)/100))/VLOOKUP($C$379,'DB animal categories'!$C$137:$AC$146,27,FALSE)*(VLOOKUP($C$379,'DB animal categories'!$C$137:$AC$146,27,FALSE)-VLOOKUP($C$379,'DB animal categories'!$C$137:$AC$146,25,FALSE)*VLOOKUP($C$379,'DB animal categories'!$C$137:$AC$146,26,FALSE)/24)))</f>
        <v/>
      </c>
      <c r="P383" s="444" t="str">
        <f>IF(G383=0,0,IF(E383="","",IF(F383="","",IF($C$379=0,"",IF(D383="","",SUM(H383:K383)/G383*100)))))</f>
        <v/>
      </c>
      <c r="Q383" s="476" t="str">
        <f>IF(D383="","",(VLOOKUP(D383,'DB technologies'!$N$182:$Y$194,2,FALSE)*'DB additional information '!$S$6/100*'DB additional information '!$T$6*VLOOKUP($C$379,'DB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R383" s="476" t="str">
        <f>IF(D383="","",(VLOOKUP(D383,'DB technologies'!$N$182:$Y$194,3,FALSE)*'DB additional information '!$S$7/100*'DB additional information '!$T$7*VLOOKUP($C$379,'DB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S383" s="494" t="str">
        <f>IF(D383="","",(VLOOKUP(D383,'DB technologies'!$N$182:$Y$194,4,FALSE)*('DB additional information '!$S$8/100*'DB additional information '!$T$8*E383/1000/1000)))</f>
        <v/>
      </c>
      <c r="T383" s="266" t="str">
        <f>IF($C$379=0,"",IF('Calc (ex-animal)'!$F$73=1,"",IF(D383="","",((VLOOKUP($C$379,'Calc (ex-animal)'!$D$73:$Y$77,10,FALSE)-VLOOKUP($C$379,'Calc (ex-animal)'!$D$73:$Y$77,18,FALSE))*F383/100+Q383+R383+S383)-AC383-AD383-AE383)))</f>
        <v/>
      </c>
      <c r="U383" s="477" t="str">
        <f>IF(D383="","",(VLOOKUP(D383,'DB technologies'!$N$182:$Y$194,2,FALSE)*'DB additional information '!$S$6/100*'DB additional information '!$U$6*VLOOKUP($C$379,'DB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V383" s="433" t="str">
        <f>IF(D383="","",(VLOOKUP(D383,'DB technologies'!$N$182:$Y$194,3,FALSE)*'DB additional information '!$S$7/100*'DB additional information '!$U$7*VLOOKUP($C$379,'DB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W383" s="475" t="str">
        <f>IF(D383="","",(VLOOKUP(D383,'DB technologies'!$N$182:$Y$194,4,FALSE)*('DB additional information '!$S$8/100*'DB additional information '!$U$8*E383/1000/1000)))</f>
        <v/>
      </c>
      <c r="X383" s="267" t="str">
        <f>IF($C$379=0,"",IF('Calc (ex-animal)'!$F$73=1,"",IF(D383="","",((VLOOKUP($C$379,'Calc (ex-animal)'!$D$73:$Y$77,13,FALSE)-VLOOKUP($C$379,'Calc (ex-animal)'!$D$73:$Y$77,19,FALSE))*F383/100+U383+V383+W383))))</f>
        <v/>
      </c>
      <c r="Y383" s="433" t="str">
        <f>IF(D383="","",(VLOOKUP(D383,'DB technologies'!$N$182:$Y$194,2,FALSE)*'DB additional information '!$S$6/100*'DB additional information '!$V$6*VLOOKUP($C$379,'DB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Z383" s="433" t="str">
        <f>IF(D383="","",(VLOOKUP(D383,'DB technologies'!$N$182:$Y$194,3,FALSE)*'DB additional information '!$S$7/100*'DB additional information '!$V$7*VLOOKUP($C$379,'DB animal categories'!$C$137:$AC$146,27,FALSE)*E383/1000/1000)/VLOOKUP($C$379,'DB animal categories'!$C$137:$AC$146,27,FALSE)*(VLOOKUP($C$379,'DB animal categories'!$C$137:$AC$146,27,FALSE)-VLOOKUP($C$379,'DB animal categories'!$C$137:$AC$146,25,FALSE)*VLOOKUP($C$379,'DB animal categories'!$C$137:$AC$146,26,FALSE)/24))</f>
        <v/>
      </c>
      <c r="AA383" s="433" t="str">
        <f>IF(D383="","",(VLOOKUP(D383,'DB technologies'!$N$182:$Y$194,4,FALSE)*('DB additional information '!$S$8/100*'DB additional information '!$V$8*E383/1000/1000)))</f>
        <v/>
      </c>
      <c r="AB383" s="267" t="str">
        <f>IF($C$379=0,"",IF('Calc (ex-animal)'!$F$73=1,"",IF(D383="","",((VLOOKUP($C$379,'Calc (ex-animal)'!$D$73:$Y$77,16,FALSE)-VLOOKUP($C$379,'Calc (ex-animal)'!$D$73:$Y$77,20,FALSE))*F383/100+Y383+Z383+AA383))))</f>
        <v/>
      </c>
      <c r="AC383" s="267" t="str">
        <f>IF($C$379=0,"",IF('Calc (ex-animal)'!$F$73=1,"",IF(D383="","",VLOOKUP($C$379,'Calc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categories'!$C$137:$AC$146,26,FALSE)/24)*F383/100*VLOOKUP(D383,'DB technologies'!$N$182:$R$194,5,FALSE)/100)))</f>
        <v/>
      </c>
      <c r="AD383" s="267" t="str">
        <f>IF($C$379=0,"",IF('Calc (ex-animal)'!$F$73=1,"",IF(D383="","",VLOOKUP($C$379,'Calc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categories'!$C$137:$AC$146,26,FALSE)/24)*F383/100*VLOOKUP(D383,'DB technologies'!$N$182:$Y$194,6,FALSE)/100)))</f>
        <v/>
      </c>
      <c r="AE383" s="268" t="str">
        <f>IF($C$379=0,"",IF('Calc (ex-animal)'!$F$73=1,"",IF(D383="","",VLOOKUP($C$379,'Calc (ex-animal)'!$D$73:$Y$77,10,FALSE)/VLOOKUP($C$379,'DB animal categories'!$C$137:$AC$146,27,FALSE)*(VLOOKUP($C$379,'DB animal categories'!$C$137:$AC$146,27,FALSE)-VLOOKUP($C$379,'DB animal categories'!$C$137:$AC$146,25,FALSE)*VLOOKUP($C$379,'DB animal categories'!$C$137:$AC$146,26,FALSE)/24)*F383/100*VLOOKUP(D383,'DB technologies'!$N$182:$Y$194,7,FALSE)/100)))</f>
        <v/>
      </c>
      <c r="AI383" s="183" t="str">
        <f>IF(D383="","",VLOOKUP(D383,'DB technologies'!$N$182:$Y$194,10,FALSE))</f>
        <v/>
      </c>
      <c r="AJ383" s="451" t="e">
        <f>VLOOKUP($C$379,'DB animal categories'!$C$137:$AN$146,27,FALSE)-VLOOKUP($C$379,'DB animal categories'!$C$137:$AN$146,26,FALSE)*VLOOKUP($C$379,'DB animal categories'!$C$137:$AN$146,25,FALSE)/24</f>
        <v>#N/A</v>
      </c>
      <c r="AK383" s="452" t="str">
        <f>IF(AI383="","",AL383+AM383)</f>
        <v/>
      </c>
      <c r="AL383" s="452" t="str">
        <f>IF(D383="","",IF(AI383=2,(('Calc (ex-animal)'!$G$75*'DB additional information '!$K$16/100*(1-VLOOKUP(D383,'DB technologies'!$N$182:$Y$194,9,FALSE)/100)*'Calc (ex-housing, ex-storage)'!F383/100+'Calc (ex-animal)'!$H$75*'DB additional information '!$L$16/100*(1-VLOOKUP(D383,'DB technologies'!$N$182:$Y$194,9,FALSE)/100)*'Calc (ex-housing, ex-storage)'!F383/100))/VLOOKUP($C$379,'DB animal categories'!$C$137:$AC$146,27,FALSE)*AJ383+I383+J383+K383,IF(AI383=1,('Calc (ex-animal)'!$H$75*'DB additional information '!$L$16/100*(1-VLOOKUP(D383,'DB technologies'!$N$182:$Y$194,9,FALSE)/100)*'Calc (ex-housing, ex-storage)'!F383/100)/VLOOKUP($C$379,'DB animal categories'!$C$137:$AC$146,27,FALSE)*AJ383,IF(AI383=4,('Calc (ex-animal)'!$G$75*'DB additional information '!$K$16/100+'Calc (ex-animal)'!$H$75*'DB additional information '!$L$16/100)*(1-VLOOKUP(D383,'DB technologies'!$N$182:$Y$194,9,FALSE)/100)*'Calc (ex-housing, ex-storage)'!F383/100*VLOOKUP(D383,'DB technologies'!$N$182:$Y$194,11,FALSE)/100/VLOOKUP($C$379,'DB animal categories'!$C$137:$AC$146,27,FALSE)*AJ383,0))))</f>
        <v/>
      </c>
      <c r="AM383" s="452" t="str">
        <f>IF(D383="","",IF(AI383=2,(('Calc (ex-animal)'!$G$75*(1-'DB additional information '!$K$16/100)*(1-VLOOKUP(D383,'DB technologies'!$N$182:$Y$194,8,FALSE)/100)*'Calc (ex-housing, ex-storage)'!F383/100+'Calc (ex-animal)'!$H$75*(1-'DB additional information '!$L$16/100)*(1-VLOOKUP(D383,'DB technologies'!$N$182:$Y$194,8,FALSE)/100)*'Calc (ex-housing, ex-storage)'!F383/100))/VLOOKUP($C$379,'DB animal categories'!$C$137:$AC$146,27,FALSE)*AJ383+M383+N383+O383,IF(AI383=1,('Calc (ex-animal)'!$H$75*(1-'DB additional information '!$L$16/100)*(1-VLOOKUP(D383,'DB technologies'!$N$182:$Y$194,8,FALSE)/100)*'Calc (ex-housing, ex-storage)'!F383/100)/VLOOKUP($C$379,'DB animal categories'!$C$137:$AC$146,27,FALSE)*AJ383,IF(AI383=4,('Calc (ex-animal)'!$G$75*(1-'DB additional information '!$K$16/100)+'Calc (ex-animal)'!$H$75*(1-'DB additional information '!$L$16/100))*(1-VLOOKUP(D383,'DB technologies'!$N$182:$Y$194,8,FALSE)/100)*'Calc (ex-housing, ex-storage)'!F383/100*VLOOKUP(D383,'DB technologies'!$N$182:$Y$194,11,FALSE)/100/VLOOKUP($C$379,'DB animal categories'!$C$137:$AC$146,27,FALSE)*AJ383,0))))</f>
        <v/>
      </c>
      <c r="AN383" s="452" t="str">
        <f>IF(AI383="","",IF(AL383=0,0,AL383/AK383*100))</f>
        <v/>
      </c>
      <c r="AO383" s="184" t="str">
        <f>IF(D383="","",IF(AI383=2,(('Calc (ex-animal)'!$L$75*'Calc (ex-housing, ex-storage)'!F383/100+'Calc (ex-animal)'!$K$75*'Calc (ex-housing, ex-storage)'!F383/100))/VLOOKUP($C$379,'DB animal categories'!$C$137:$AC$146,27,FALSE)*AJ383+Q383+R383+S383-AC383,IF(AI383=1,('Calc (ex-animal)'!$L$75*'Calc (ex-housing, ex-storage)'!F383/100)/VLOOKUP($C$379,'DB animal categories'!$C$137:$AC$146,27,FALSE)*AJ383-'Calc (ex-housing, ex-storage)'!AC383,IF(AI383=4,('Calc (ex-animal)'!$L$75+'Calc (ex-animal)'!$K$75)*'Calc (ex-housing, ex-storage)'!F383/100*VLOOKUP(D383,'DB technologies'!$N$182:$Y$194,11,FALSE)/100/VLOOKUP($C$379,'DB animal categories'!$C$137:$AC$146,27,FALSE)*AJ383-AC383*VLOOKUP(D383,'DB technologies'!$N$182:$Y$194,11,FALSE)/100,0))))</f>
        <v/>
      </c>
      <c r="AP383" s="184" t="str">
        <f>IF(D383="","",IF(AO383&lt;-0.01,0,IF(AI383=2,(('Calc (ex-animal)'!$L$75*'Calc (ex-housing, ex-storage)'!F383/100+'Calc (ex-animal)'!$K$75*'Calc (ex-housing, ex-storage)'!F383/100))/VLOOKUP($C$379,'DB animal categories'!$C$137:$AC$146,27,FALSE)*AJ383+Q383+R383+S383-AC383,IF(AI383=1,('Calc (ex-animal)'!$L$75*'Calc (ex-housing, ex-storage)'!F383/100)/VLOOKUP($C$379,'DB animal categories'!$C$137:$AC$146,27,FALSE)*AJ383-'Calc (ex-housing, ex-storage)'!AC383,IF(AI383=4,('Calc (ex-animal)'!$L$75+'Calc (ex-animal)'!$K$75)*'Calc (ex-housing, ex-storage)'!F383/100*VLOOKUP(D383,'DB technologies'!$N$182:$Y$194,11,FALSE)/100/VLOOKUP($C$379,'DB animal categories'!$C$137:$AC$146,27,FALSE)*AJ383-AC383*VLOOKUP(D383,'DB technologies'!$N$182:$Y$194,11,FALSE)/100,0)))))</f>
        <v/>
      </c>
      <c r="AQ383" s="184" t="str">
        <f>IF(D383="","",IF(AI383=2,('Calc (ex-animal)'!$O$75*'Calc (ex-housing, ex-storage)'!F383/100+'Calc (ex-animal)'!$N$75*'Calc (ex-housing, ex-storage)'!F383/100)/VLOOKUP($C$379,'DB animal categories'!$C$137:$AC$146,27,FALSE)*AJ383+U383+V383+W383,IF(AI383=1,'Calc (ex-animal)'!$O$75*'Calc (ex-housing, ex-storage)'!F383/100/VLOOKUP($C$379,'DB animal categories'!$C$137:$AC$146,27,FALSE)*AJ383,IF(AI383=4,('Calc (ex-animal)'!$O$75+'Calc (ex-animal)'!$N$75)*'Calc (ex-housing, ex-storage)'!F383/100*VLOOKUP(D383,'DB technologies'!$N$182:$Y$194,11,FALSE)/100/VLOOKUP($C$379,'DB animal categories'!$C$137:$AC$146,27,FALSE)*AJ383,0))))</f>
        <v/>
      </c>
      <c r="AR383" s="184" t="str">
        <f>IF(D383="","",IF(AI383=2,('Calc (ex-animal)'!$R$75*'Calc (ex-housing, ex-storage)'!F383/100+'Calc (ex-animal)'!$Q$75*'Calc (ex-housing, ex-storage)'!F383/100)/VLOOKUP($C$379,'DB animal categories'!$C$137:$AC$146,27,FALSE)*AJ383+Y383+Z383+AA383,IF(AI383=1,'Calc (ex-animal)'!$R$75*'Calc (ex-housing, ex-storage)'!F383/100/VLOOKUP($C$379,'DB animal categories'!$C$137:$AC$146,27,FALSE)*AJ383,IF(AI383=4,('Calc (ex-animal)'!$R$75+'Calc (ex-animal)'!$Q$75)*'Calc (ex-housing, ex-storage)'!F383/100*VLOOKUP(D383,'DB technologies'!$N$182:$Y$194,11,FALSE)/100/VLOOKUP($C$379,'DB animal categories'!$C$137:$AC$146,27,FALSE)*AJ383,0))))</f>
        <v/>
      </c>
      <c r="AS383" s="183" t="str">
        <f>IF(D383="","",VLOOKUP(D383,'DB technologies'!$N$182:$Y$194,10,FALSE))</f>
        <v/>
      </c>
      <c r="AT383" s="452" t="str">
        <f>IF(AS383="","",AU383+AV383)</f>
        <v/>
      </c>
      <c r="AU383" s="452" t="str">
        <f>IF(D383="","",IF(AS383=2,0,IF(AS383=1,'Calc (ex-animal)'!$G$75*'DB additional information '!$K$16/100*(1-VLOOKUP(D383,'DB technologies'!$N$182:$Y$194,8,FALSE)/100)*'Calc (ex-housing, ex-storage)'!F383/100/VLOOKUP($C$379,'DB animal categories'!$C$137:$AC$146,27,FALSE)*AJ383+I383+J383+K383,IF(AS383=5,(('Calc (ex-animal)'!$G$75*'DB additional information '!$K$16/100+'Calc (ex-animal)'!$H$75*'DB additional information '!$L$16/100))*(1-VLOOKUP(D383,'DB technologies'!$N$182:$Y$194,9,FALSE)/100)*'Calc (ex-housing, ex-storage)'!F383/100/VLOOKUP($C$379,'DB animal categories'!$C$137:$AC$146,27,FALSE)*AJ383+I383+J383+K383,IF(AS383=3,('Calc (ex-animal)'!$G$75*'DB additional information '!$K$16/100+'Calc (ex-animal)'!$H$75*'DB additional information '!$L$16/100)*(1-VLOOKUP(D383,'DB technologies'!$N$182:$Y$194,9,FALSE)/100)*'Calc (ex-housing, ex-storage)'!F383/100/VLOOKUP($C$379,'DB animal categories'!$C$137:$AC$146,27,FALSE)*AJ383+I383+J383+K383,IF(AS383=4,('Calc (ex-animal)'!$G$75*'DB additional information '!$K$16/100+'Calc (ex-animal)'!$H$75*'DB additional information '!$L$16/100)*(1-VLOOKUP(D383,'DB technologies'!$N$182:$Y$194,9,FALSE)/100)*'Calc (ex-housing, ex-storage)'!F383/100*VLOOKUP(D383,'DB technologies'!$N$182:$Y$194,12,FALSE)/100/VLOOKUP($C$379,'DB animal categories'!$C$137:$AC$146,27,FALSE)*AJ383+I383+J383+K383,0))))))</f>
        <v/>
      </c>
      <c r="AV383" s="452" t="str">
        <f>IF(D383="","",IF(AS383=2,0,IF(AS383=1,'Calc (ex-animal)'!$G$75*(1-'DB additional information '!$K$16/100)*(1-VLOOKUP(D383,'DB technologies'!$N$182:$Y$194,8,FALSE)/100)*'Calc (ex-housing, ex-storage)'!F383/100/VLOOKUP($C$379,'DB animal categories'!$C$137:$AC$146,27,FALSE)*AJ383+M383+N383+O383,IF(AS383=5,('Calc (ex-animal)'!$G$75*(1-'DB additional information '!$K$16/100)+'Calc (ex-animal)'!$H$75*(1-'DB additional information '!$L$16/100))*(1-VLOOKUP(D383,'DB technologies'!$N$182:$Y$194,8,FALSE)/100)*'Calc (ex-housing, ex-storage)'!F383/100/VLOOKUP($C$379,'DB animal categories'!$C$137:$AC$146,27,FALSE)*AJ383+M383+N383+O383,IF(AS383=3,('Calc (ex-animal)'!$G$75*(1-'DB additional information '!$K$16/100)+'Calc (ex-animal)'!$H$75*(1-'DB additional information '!$L$16/100))*(1-VLOOKUP(D383,'DB technologies'!$N$182:$Y$194,8,FALSE)/100)*'Calc (ex-housing, ex-storage)'!F383/100/VLOOKUP($C$379,'DB animal categories'!$C$137:$AC$146,27,FALSE)*AJ383+M383+N383+O383,IF(AS383=4,('Calc (ex-animal)'!$G$75*(1-'DB additional information '!$K$16/100)+'Calc (ex-animal)'!$H$75*(1-'DB additional information '!$L$16/100))*(1-VLOOKUP(D383,'DB technologies'!$N$182:$Y$194,8,FALSE)/100)*'Calc (ex-housing, ex-storage)'!F383/100*VLOOKUP(D383,'DB technologies'!$N$182:$Y$194,12,FALSE)/100/VLOOKUP($C$379,'DB animal categories'!$C$137:$AC$146,27,FALSE)*AJ383+M383+N383+O383,0))))))</f>
        <v/>
      </c>
      <c r="AW383" s="452" t="str">
        <f>IF(AS383="","",IF(AU383=0,0,AU383/AT383*100))</f>
        <v/>
      </c>
      <c r="AX383" s="184" t="str">
        <f>IF(D383="","",IF(AS383=2,0,IF(AS383=1,'Calc (ex-animal)'!$K$75*'Calc (ex-housing, ex-storage)'!F383/100/VLOOKUP($C$379,'DB animal categories'!$C$137:$AC$146,27,FALSE)*AJ383+Q383+R383+S383,IF(AS383=5,('Calc (ex-animal)'!$K$75+'Calc (ex-animal)'!$L$75)*'Calc (ex-housing, ex-storage)'!F383/100/VLOOKUP($C$379,'DB animal categories'!$C$137:$AC$146,27,FALSE)*AJ383+Q383+R383+S383-'Calc (ex-housing, ex-storage)'!AC383,IF(AS383=3,('Calc (ex-animal)'!$K$75+'Calc (ex-animal)'!$L$75)*'Calc (ex-housing, ex-storage)'!F383/100/VLOOKUP($C$379,'DB animal categories'!$C$137:$AC$146,27,FALSE)*AJ383+Q383+R383+S383-'Calc (ex-housing, ex-storage)'!AC383-AD383-AE383,IF(AI383=4,('Calc (ex-animal)'!$K$75+'Calc (ex-animal)'!$L$75)*'Calc (ex-housing, ex-storage)'!F383/100*VLOOKUP(D383,'DB technologies'!$N$182:$Y$194,12,FALSE)/100/VLOOKUP($C$379,'DB animal categories'!$C$137:$AC$146,27,FALSE)*AJ383+Q383+R383+S383-(VLOOKUP(D383,'DB technologies'!$N$182:$Y$194,12,FALSE)/100*AC383)-AD383-AE383,0))))))</f>
        <v/>
      </c>
      <c r="AY383" s="184" t="str">
        <f>IF(D383="","",IF(AS383=2,0,IF(AS383=1,'Calc (ex-animal)'!$N$75*'Calc (ex-housing, ex-storage)'!F383/100/VLOOKUP($C$379,'DB animal categories'!$C$137:$AC$146,27,FALSE)*AJ383+U383+V383+W383,IF(AS383=5,('Calc (ex-animal)'!$N$75+'Calc (ex-animal)'!$O$75)*'Calc (ex-housing, ex-storage)'!F383/100/VLOOKUP($C$379,'DB animal categories'!$C$137:$AC$146,27,FALSE)*AJ383+U383+V383+W383,IF(AS383=3,('Calc (ex-animal)'!$N$75+'Calc (ex-animal)'!$O$75)*'Calc (ex-housing, ex-storage)'!F383/100/VLOOKUP($C$379,'DB animal categories'!$C$137:$AC$146,27,FALSE)*AJ383+U383+V383+W383,IF(AS383=4,('Calc (ex-animal)'!$N$75+'Calc (ex-animal)'!$O$75)*'Calc (ex-housing, ex-storage)'!F383/100*VLOOKUP(D383,'DB technologies'!$N$182:$Y$194,12,FALSE)/100/VLOOKUP($C$379,'DB animal categories'!$C$137:$AC$146,27,FALSE)*AJ383+U383+V383+W383,0))))))</f>
        <v/>
      </c>
      <c r="AZ383" s="184" t="str">
        <f>IF(D383="","",IF(AS383=2,0,IF(AS383=1,'Calc (ex-animal)'!$Q$75*'Calc (ex-housing, ex-storage)'!F383/100/VLOOKUP($C$379,'DB animal categories'!$C$137:$AC$146,27,FALSE)*AJ383+Y383+Z383+AA383,IF(AS383=5,('Calc (ex-animal)'!$Q$75+'Calc (ex-animal)'!$R$75)*'Calc (ex-housing, ex-storage)'!F383/100/VLOOKUP($C$379,'DB animal categories'!$C$137:$AC$146,27,FALSE)*AJ383+Y383+Z383+AA383,IF(AS383=3,('Calc (ex-animal)'!$Q$75+'Calc (ex-animal)'!$R$75)*'Calc (ex-housing, ex-storage)'!F383/100/VLOOKUP($C$379,'DB animal categories'!$C$137:$AC$146,27,FALSE)*AJ383+Y383+Z383+AA383,IF(AS383=4,('Calc (ex-animal)'!$Q$75+'Calc (ex-animal)'!$R$75)*'Calc (ex-housing, ex-storage)'!F383/100*VLOOKUP(D383,'DB technologies'!$N$182:$Y$194,12,FALSE)/100/VLOOKUP($C$379,'DB animal categories'!$C$137:$AC$146,27,FALSE)*AJ383+Y383+Z383+AA383,0))))))</f>
        <v/>
      </c>
      <c r="BA383" s="506"/>
      <c r="BB383" s="506"/>
      <c r="BC383" s="506"/>
    </row>
    <row r="384" spans="1:55" ht="12" thickBot="1" x14ac:dyDescent="0.25">
      <c r="A384" s="695"/>
      <c r="B384" s="695"/>
      <c r="C384" s="252"/>
      <c r="D384" s="269" t="s">
        <v>58</v>
      </c>
      <c r="E384" s="270">
        <f>IF(F384&lt;=100,SUM(E379:E383),"ERROR")</f>
        <v>0</v>
      </c>
      <c r="F384" s="284">
        <f>IF(SUM(F379:F383) &lt;=100,SUM(F379:F383),"ERROR, SUM&gt;100%")</f>
        <v>0</v>
      </c>
      <c r="G384" s="550">
        <f>IF('Calc (ex-animal)'!$F$73=1,"",SUM(G379:G383))</f>
        <v>0</v>
      </c>
      <c r="H384" s="418">
        <f>IF('Calc (ex-animal)'!$F$8=1,"",SUM(H379:H383))</f>
        <v>0</v>
      </c>
      <c r="I384" s="418">
        <f>IF('Calc (ex-animal)'!$F$8=1,"",SUM(I379:I383))</f>
        <v>0</v>
      </c>
      <c r="J384" s="418">
        <f>IF('Calc (ex-animal)'!$F$8=1,"",SUM(J379:J383))</f>
        <v>0</v>
      </c>
      <c r="K384" s="418">
        <f>IF('Calc (ex-animal)'!$F$8=1,"",SUM(K379:K383))</f>
        <v>0</v>
      </c>
      <c r="L384" s="418">
        <f>IF('Calc (ex-animal)'!$F$8=1,"",SUM(L379:L383))</f>
        <v>0</v>
      </c>
      <c r="M384" s="551"/>
      <c r="N384" s="551"/>
      <c r="O384" s="551"/>
      <c r="P384" s="552">
        <f>IF(G384=0,0,IF('Calc (ex-animal)'!$F$73=1,"",IF(D384="","",SUM(H384:K384)/G384*100)))</f>
        <v>0</v>
      </c>
      <c r="Q384" s="394"/>
      <c r="R384" s="394"/>
      <c r="S384" s="394"/>
      <c r="T384" s="285">
        <f>IF('Calc (ex-animal)'!$F$75=1,"",SUM(T379:T383))</f>
        <v>0</v>
      </c>
      <c r="U384" s="286"/>
      <c r="V384" s="286"/>
      <c r="W384" s="286"/>
      <c r="X384" s="286">
        <f>IF('Calc (ex-animal)'!$F$75=1,"",SUM(X379:X383))</f>
        <v>0</v>
      </c>
      <c r="Y384" s="286"/>
      <c r="Z384" s="286"/>
      <c r="AA384" s="286"/>
      <c r="AB384" s="286">
        <f>IF('Calc (ex-animal)'!$F$75=1,"",SUM(AB379:AB383))</f>
        <v>0</v>
      </c>
      <c r="AC384" s="286">
        <f>IF('Calc (ex-animal)'!$F$75=1,"",SUM(AC379:AC383))</f>
        <v>0</v>
      </c>
      <c r="AD384" s="286">
        <f>IF('Calc (ex-animal)'!$F$75=1,"",SUM(AD379:AD383))</f>
        <v>0</v>
      </c>
      <c r="AE384" s="287">
        <f>IF('Calc (ex-animal)'!$F$75=1,"",SUM(AE379:AE383))</f>
        <v>0</v>
      </c>
    </row>
    <row r="385" spans="1:55" x14ac:dyDescent="0.2">
      <c r="A385" s="695"/>
      <c r="B385" s="695"/>
      <c r="C385" s="250">
        <f>'Calc (ex-animal)'!D76</f>
        <v>0</v>
      </c>
      <c r="D385" s="1355"/>
      <c r="E385" s="1356"/>
      <c r="F385" s="479" t="str">
        <f>IF('Calc (ex-animal)'!$F$73=1,"",IF($C$385=0,"",IF(D385="","",E385/'Calc (ex-animal)'!$E$76*100)))</f>
        <v/>
      </c>
      <c r="G385" s="484" t="str">
        <f>IF($C$385=0,"",IF('Calc (ex-animal)'!$F$73=1,"",IF(D385="","",SUM(H385:O385))))</f>
        <v/>
      </c>
      <c r="H385" s="471" t="str">
        <f>IF('Calc (ex-animal)'!$F$73=1,"",IF(D385="","",(((VLOOKUP($C$385,'Calc (ex-animal)'!$D$73:$Y$77,6,FALSE)-VLOOKUP($C$385,'Calc (ex-animal)'!$D$73:$Y$77,17,FALSE))*F385/100))*VLOOKUP($C$385,'Calc (ex-animal)'!$D$73:$Y$77,7,FALSE)/100*(1-VLOOKUP(D385,'DB technologies'!$N$182:$Y$194,9,FALSE)/100)))</f>
        <v/>
      </c>
      <c r="I385" s="471" t="str">
        <f>IF(D385="","",((VLOOKUP(D385,'DB technologies'!$N$182:$Y$194,2,FALSE)*VLOOKUP($C$385,'DB animal categories'!$C$137:$AC$146,27,FALSE)*E385/1000)/VLOOKUP($C$385,'DB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'!$S$6/100*(1-VLOOKUP(D385,'DB technologies'!$N$182:$Y$194,9,FALSE)/100)))</f>
        <v/>
      </c>
      <c r="J385" s="472" t="str">
        <f>IF(D385="","",((VLOOKUP(D385,'DB technologies'!$N$182:$Y$194,3,FALSE)*VLOOKUP($C$385,'DB animal categories'!$C$137:$AC$146,27,FALSE)*E385/1000)/VLOOKUP($C$385,'DB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'!$S$7/100*(1-VLOOKUP(D385,'DB technologies'!$N$182:$Y$194,9,FALSE)/100)))</f>
        <v/>
      </c>
      <c r="K385" s="472" t="str">
        <f>IF(D385="","",((VLOOKUP(D385,'DB technologies'!$N$182:$Y$194,4,FALSE)*E385*'DB additional information '!$S$8/100*(1-VLOOKUP(D385,'DB technologies'!$N$182:$Y$194,9,FALSE)/100))/VLOOKUP($C$385,'DB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L385" s="471" t="str">
        <f>IF('Calc (ex-animal)'!$F$73=1,"",IF(D385="","",(((VLOOKUP($C$385,'Calc (ex-animal)'!$D$73:$Y$77,6,FALSE)-VLOOKUP($C$385,'Calc (ex-animal)'!$D$73:$Y$77,17,FALSE))*F385/100))*(1-VLOOKUP($C$385,'Calc (ex-animal)'!$D$73:$Y$77,7,FALSE)/100)*(1-VLOOKUP(D385,'DB technologies'!$N$182:$V$194,8,FALSE)/100)))</f>
        <v/>
      </c>
      <c r="M385" s="472" t="str">
        <f>IF(D385="","",((VLOOKUP(D385,'DB technologies'!$N$182:$Y$194,2,FALSE)*VLOOKUP($C$385,'DB animal categories'!$C$137:$AC$146,27,FALSE)*E385/1000)/VLOOKUP($C$385,'DB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'!$S$6/100)*(1-VLOOKUP(D385,'DB technologies'!$N$182:$Y$194,9,FALSE)/100))</f>
        <v/>
      </c>
      <c r="N385" s="472" t="str">
        <f>IF(D385="","",((VLOOKUP(D385,'DB technologies'!$N$182:$Y$194,3,FALSE)*VLOOKUP($C$385,'DB animal categories'!$C$137:$AC$146,27,FALSE)*E385/1000)/VLOOKUP($C$385,'DB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'!$S$7/100)*(1-VLOOKUP(D385,'DB technologies'!$N$182:$Y$194,9,FALSE)/100))</f>
        <v/>
      </c>
      <c r="O385" s="471" t="str">
        <f>IF(D385="","",((VLOOKUP(D385,'DB technologies'!$N$182:$Y$194,4,FALSE)*E385*(1-'DB additional information '!$S$8/100)*(1-VLOOKUP(D385,'DB technologies'!$N$182:$Y$194,8,FALSE)/100))/VLOOKUP($C$385,'DB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P385" s="443" t="str">
        <f>IF(G385=0,0,IF(E385="","",IF(F385="","",IF($C$385=0,"",IF(D385="","",SUM(H385:K385)/G385*100)))))</f>
        <v/>
      </c>
      <c r="Q385" s="473" t="str">
        <f>IF(D385="","",(VLOOKUP(D385,'DB technologies'!$N$182:$Y$194,2,FALSE)*'DB additional information '!$S$6/100*'DB additional information '!$T$6*VLOOKUP($C$385,'DB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R385" s="473" t="str">
        <f>IF(D385="","",(VLOOKUP(D385,'DB technologies'!$N$182:$Y$194,3,FALSE)*'DB additional information '!$S$7/100*'DB additional information '!$T$7*VLOOKUP($C$385,'DB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S385" s="490" t="str">
        <f>IF(D385="","",(VLOOKUP(D385,'DB technologies'!$N$182:$Y$194,4,FALSE)*('DB additional information '!$S$8/100*'DB additional information '!$T$8*E385/1000/1000)))</f>
        <v/>
      </c>
      <c r="T385" s="263" t="str">
        <f>IF($C$385=0,"",IF('Calc (ex-animal)'!$F$73=1,"",IF(D385="","",((VLOOKUP($C$385,'Calc (ex-animal)'!$D$73:$Y$77,10,FALSE)-VLOOKUP($C$385,'Calc (ex-animal)'!$D$73:$Y$77,18,FALSE))*F385/100+Q385+R385+S385)-AC385-AD385-AE385)))</f>
        <v/>
      </c>
      <c r="U385" s="474" t="str">
        <f>IF(D385="","",(VLOOKUP(D385,'DB technologies'!$N$182:$Y$194,2,FALSE)*'DB additional information '!$S$6/100*'DB additional information '!$U$6*VLOOKUP($C$385,'DB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V385" s="420" t="str">
        <f>IF(D385="","",(VLOOKUP(D385,'DB technologies'!$N$182:$Y$194,3,FALSE)*'DB additional information '!$S$7/100*'DB additional information '!$U$7*VLOOKUP($C$385,'DB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W385" s="415" t="str">
        <f>IF(D385="","",(VLOOKUP(D385,'DB technologies'!$N$182:$Y$194,4,FALSE)*('DB additional information '!$S$8/100*'DB additional information '!$U$8*E385/1000/1000)))</f>
        <v/>
      </c>
      <c r="X385" s="259" t="str">
        <f>IF($C$385=0,"",IF('Calc (ex-animal)'!$F$73=1,"",IF(D385="","",((VLOOKUP($C$385,'Calc (ex-animal)'!$D$73:$Y$77,13,FALSE)-VLOOKUP($C$385,'Calc (ex-animal)'!$D$73:$Y$77,19,FALSE))*F385/100+U385+V385+W385))))</f>
        <v/>
      </c>
      <c r="Y385" s="420" t="str">
        <f>IF(D385="","",(VLOOKUP(D385,'DB technologies'!$N$182:$Y$194,2,FALSE)*'DB additional information '!$S$6/100*'DB additional information '!$V$6*VLOOKUP($C$385,'DB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Z385" s="420" t="str">
        <f>IF(D385="","",(VLOOKUP(D385,'DB technologies'!$N$182:$Y$194,3,FALSE)*'DB additional information '!$S$7/100*'DB additional information '!$V$7*VLOOKUP($C$385,'DB animal categories'!$C$137:$AC$146,27,FALSE)*E385/1000/1000)/VLOOKUP($C$385,'DB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AA385" s="420" t="str">
        <f>IF(D385="","",(VLOOKUP(D385,'DB technologies'!$N$182:$Y$194,4,FALSE)*('DB additional information '!$S$8/100*'DB additional information '!$V$8*E385/1000/1000)))</f>
        <v/>
      </c>
      <c r="AB385" s="259" t="str">
        <f>IF($C$385=0,"",IF('Calc (ex-animal)'!$F$73=1,"",IF(D385="","",((VLOOKUP($C$385,'Calc (ex-animal)'!$D$73:$Y$77,16,FALSE)-VLOOKUP($C$385,'Calc (ex-animal)'!$D$73:$Y$77,20,FALSE))*F385/100+Y385+Z385+AA385))))</f>
        <v/>
      </c>
      <c r="AC385" s="259" t="str">
        <f>IF($C$385=0,"",IF('Calc (ex-animal)'!$F$73=1,"",IF(D385="","",VLOOKUP($C$385,'Calc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categories'!$C$137:$AC$146,26,FALSE)/24)*F385/100*VLOOKUP(D385,'DB technologies'!$N$182:$R$194,5,FALSE)/100)))</f>
        <v/>
      </c>
      <c r="AD385" s="259" t="str">
        <f>IF($C$385=0,"",IF('Calc (ex-animal)'!$F$73=1,"",IF(D385="","",VLOOKUP($C$385,'Calc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categories'!$C$137:$AC$146,26,FALSE)/24)*F385/100*VLOOKUP(D385,'DB technologies'!$N$182:$Y$194,6,FALSE)/100)))</f>
        <v/>
      </c>
      <c r="AE385" s="260" t="str">
        <f>IF($C$385=0,"",IF('Calc (ex-animal)'!$F$73=1,"",IF(D385="","",VLOOKUP($C$385,'Calc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categories'!$C$137:$AC$146,26,FALSE)/24)*F385/100*VLOOKUP(D385,'DB technologies'!$N$182:$Y$194,7,FALSE)/100)))</f>
        <v/>
      </c>
      <c r="AI385" s="179" t="str">
        <f>IF(D385="","",VLOOKUP(D385,'DB technologies'!$N$182:$Y$194,10,FALSE))</f>
        <v/>
      </c>
      <c r="AJ385" s="482" t="e">
        <f>VLOOKUP($C$385,'DB animal categories'!$C$137:$AN$146,27,FALSE)-VLOOKUP($C$385,'DB animal categories'!$C$137:$AN$146,26,FALSE)*VLOOKUP($C$385,'DB animal categories'!$C$137:$AN$146,25,FALSE)/24</f>
        <v>#N/A</v>
      </c>
      <c r="AK385" s="453" t="str">
        <f>IF(AI385="","",AL385+AM385)</f>
        <v/>
      </c>
      <c r="AL385" s="453" t="str">
        <f>IF(D385="","",IF(AI385=2,(('Calc (ex-animal)'!$G$76*'DB additional information '!$K$16/100*(1-VLOOKUP(D385,'DB technologies'!$N$182:$Y$194,9,FALSE)/100)*'Calc (ex-housing, ex-storage)'!F385/100+'Calc (ex-animal)'!$H$76*'DB additional information '!$L$16/100*(1-VLOOKUP(D385,'DB technologies'!$N$182:$Y$194,9,FALSE)/100)*'Calc (ex-housing, ex-storage)'!F385/100))/VLOOKUP($C$385,'DB animal categories'!$C$137:$AC$146,27,FALSE)*AJ385+I385+J385+K385,IF(AI385=1,('Calc (ex-animal)'!$H$76*'DB additional information '!$L$16/100*(1-VLOOKUP(D385,'DB technologies'!$N$182:$Y$194,9,FALSE)/100)*'Calc (ex-housing, ex-storage)'!F385/100)/VLOOKUP($C$385,'DB animal categories'!$C$137:$AC$146,27,FALSE)*AJ385,IF(AI385=4,('Calc (ex-animal)'!$G$76*'DB additional information '!$K$16/100+'Calc (ex-animal)'!$H$76*'DB additional information '!$L$16/100)*(1-VLOOKUP(D385,'DB technologies'!$N$182:$Y$194,9,FALSE)/100)*'Calc (ex-housing, ex-storage)'!F385/100*VLOOKUP(D385,'DB technologies'!$N$182:$Y$194,11,FALSE)/100/VLOOKUP($C$385,'DB animal categories'!$C$137:$AC$146,27,FALSE)*AJ385,0))))</f>
        <v/>
      </c>
      <c r="AM385" s="453" t="str">
        <f>IF(D385="","",IF(AI385=2,(('Calc (ex-animal)'!$G$76*(1-'DB additional information '!$K$16/100)*(1-VLOOKUP(D385,'DB technologies'!$N$182:$Y$194,8,FALSE)/100)*'Calc (ex-housing, ex-storage)'!F385/100+'Calc (ex-animal)'!$H$76*(1-'DB additional information '!$L$16/100)*(1-VLOOKUP(D385,'DB technologies'!$N$182:$Y$194,8,FALSE)/100)*'Calc (ex-housing, ex-storage)'!F385/100))/VLOOKUP($C$385,'DB animal categories'!$C$137:$AC$146,27,FALSE)*AJ385+M385+N385+O385,IF(AI385=1,('Calc (ex-animal)'!$H$76*(1-'DB additional information '!$L$16/100)*(1-VLOOKUP(D385,'DB technologies'!$N$182:$Y$194,8,FALSE)/100)*'Calc (ex-housing, ex-storage)'!F385/100)/VLOOKUP($C$385,'DB animal categories'!$C$137:$AC$146,27,FALSE)*AJ385,IF(AI385=4,('Calc (ex-animal)'!$G$76*(1-'DB additional information '!$K$16/100)+'Calc (ex-animal)'!$H$76*(1-'DB additional information '!$L$16/100))*(1-VLOOKUP(D385,'DB technologies'!$N$182:$Y$194,8,FALSE)/100)*'Calc (ex-housing, ex-storage)'!F385/100*VLOOKUP(D385,'DB technologies'!$N$182:$Y$194,11,FALSE)/100/VLOOKUP($C$385,'DB animal categories'!$C$137:$AC$146,27,FALSE)*AJ385,0))))</f>
        <v/>
      </c>
      <c r="AN385" s="453" t="str">
        <f>IF(AI385="","",IF(AL385=0,0,AL385/AK385*100))</f>
        <v/>
      </c>
      <c r="AO385" s="180" t="str">
        <f>IF(D385="","",IF(AI385=2,(('Calc (ex-animal)'!$L$76*'Calc (ex-housing, ex-storage)'!F385/100+'Calc (ex-animal)'!$K$76*'Calc (ex-housing, ex-storage)'!F385/100))/VLOOKUP($C$385,'DB animal categories'!$C$137:$AC$146,27,FALSE)*AJ385+Q385+R385+S385-AC385,IF(AI385=1,('Calc (ex-animal)'!$L$76*'Calc (ex-housing, ex-storage)'!F385/100)/VLOOKUP($C$385,'DB animal categories'!$C$137:$AC$146,27,FALSE)*AJ385-'Calc (ex-housing, ex-storage)'!AC385,IF(AI385=4,('Calc (ex-animal)'!$L$76+'Calc (ex-animal)'!$K$76)*'Calc (ex-housing, ex-storage)'!F385/100*VLOOKUP(D385,'DB technologies'!$N$182:$Y$194,11,FALSE)/100/VLOOKUP($C$385,'DB animal categories'!$C$137:$AC$146,27,FALSE)*AJ385-AC385*VLOOKUP(D385,'DB technologies'!$N$182:$Y$194,11,FALSE)/100,0))))</f>
        <v/>
      </c>
      <c r="AP385" s="180" t="str">
        <f>IF(D385="","",IF(AO385&lt;-0.01,0,IF(AI385=2,(('Calc (ex-animal)'!$L$76*'Calc (ex-housing, ex-storage)'!F385/100+'Calc (ex-animal)'!$K$76*'Calc (ex-housing, ex-storage)'!F385/100))/VLOOKUP($C$385,'DB animal categories'!$C$137:$AC$146,27,FALSE)*AJ385+Q385+R385+S385-AC385,IF(AI385=1,('Calc (ex-animal)'!$L$76*'Calc (ex-housing, ex-storage)'!F385/100)/VLOOKUP($C$385,'DB animal categories'!$C$137:$AC$146,27,FALSE)*AJ385-'Calc (ex-housing, ex-storage)'!AC385,IF(AI385=4,('Calc (ex-animal)'!$L$76+'Calc (ex-animal)'!$K$76)*'Calc (ex-housing, ex-storage)'!F385/100*VLOOKUP(D385,'DB technologies'!$N$182:$Y$194,11,FALSE)/100/VLOOKUP($C$385,'DB animal categories'!$C$137:$AC$146,27,FALSE)*AJ385-AC385*VLOOKUP(D385,'DB technologies'!$N$182:$Y$194,11,FALSE)/100,0)))))</f>
        <v/>
      </c>
      <c r="AQ385" s="180" t="str">
        <f>IF(D385="","",IF(AI385=2,('Calc (ex-animal)'!$O$76*'Calc (ex-housing, ex-storage)'!F385/100+'Calc (ex-animal)'!$N$76*'Calc (ex-housing, ex-storage)'!F385/100)/VLOOKUP($C$385,'DB animal categories'!$C$137:$AC$146,27,FALSE)*AJ385+U385+V385+W385,IF(AI385=1,'Calc (ex-animal)'!$O$76*'Calc (ex-housing, ex-storage)'!F385/100/VLOOKUP($C$385,'DB animal categories'!$C$137:$AC$146,27,FALSE)*AJ385,IF(AI385=4,('Calc (ex-animal)'!$O$76+'Calc (ex-animal)'!$N$76)*'Calc (ex-housing, ex-storage)'!F385/100*VLOOKUP(D385,'DB technologies'!$N$182:$Y$194,11,FALSE)/100/VLOOKUP($C$385,'DB animal categories'!$C$137:$AC$146,27,FALSE)*AJ385,0))))</f>
        <v/>
      </c>
      <c r="AR385" s="180" t="str">
        <f>IF(D385="","",IF(AI385=2,('Calc (ex-animal)'!$R$76*'Calc (ex-housing, ex-storage)'!F385/100+'Calc (ex-animal)'!$Q$76*'Calc (ex-housing, ex-storage)'!F385/100)/VLOOKUP($C$385,'DB animal categories'!$C$137:$AC$146,27,FALSE)*AJ385+Y385+Z385+AA385,IF(AI385=1,'Calc (ex-animal)'!$R$76*'Calc (ex-housing, ex-storage)'!F385/100/VLOOKUP($C$385,'DB animal categories'!$C$137:$AC$146,27,FALSE)*AJ385,IF(AI385=4,('Calc (ex-animal)'!$R$76+'Calc (ex-animal)'!$Q$76)*'Calc (ex-housing, ex-storage)'!F385/100*VLOOKUP(D385,'DB technologies'!$N$182:$Y$194,11,FALSE)/100/VLOOKUP($C$385,'DB animal categories'!$C$137:$AC$146,27,FALSE)*AJ385,0))))</f>
        <v/>
      </c>
      <c r="AS385" s="179" t="str">
        <f>IF(D385="","",VLOOKUP(D385,'DB technologies'!$N$182:$Y$194,10,FALSE))</f>
        <v/>
      </c>
      <c r="AT385" s="453" t="str">
        <f>IF(AS385="","",AU385+AV385)</f>
        <v/>
      </c>
      <c r="AU385" s="453" t="str">
        <f>IF(D385="","",IF(AS385=2,0,IF(AS385=1,'Calc (ex-animal)'!$G$76*'DB additional information '!$K$16/100*(1-VLOOKUP(D385,'DB technologies'!$N$182:$Y$194,8,FALSE)/100)*'Calc (ex-housing, ex-storage)'!F385/100/VLOOKUP($C$385,'DB animal categories'!$C$137:$AC$146,27,FALSE)*AJ385+I385+J385+K385,IF(AS385=5,(('Calc (ex-animal)'!$G$76*'DB additional information '!$K$16/100+'Calc (ex-animal)'!$H$76*'DB additional information '!$L$16/100))*(1-VLOOKUP(D385,'DB technologies'!$N$182:$Y$194,9,FALSE)/100)*'Calc (ex-housing, ex-storage)'!F385/100/VLOOKUP($C$385,'DB animal categories'!$C$137:$AC$146,27,FALSE)*AJ385+I385+J385+K385,IF(AS385=3,('Calc (ex-animal)'!$G$76*'DB additional information '!$K$16/100+'Calc (ex-animal)'!$H$76*'DB additional information '!$L$16/100)*(1-VLOOKUP(D385,'DB technologies'!$N$182:$Y$194,9,FALSE)/100)*'Calc (ex-housing, ex-storage)'!F385/100/VLOOKUP($C$385,'DB animal categories'!$C$137:$AC$146,27,FALSE)*AJ385+I385+J385+K385,IF(AS385=4,('Calc (ex-animal)'!$G$76*'DB additional information '!$K$16/100+'Calc (ex-animal)'!$H$76*'DB additional information '!$L$16/100)*(1-VLOOKUP(D385,'DB technologies'!$N$182:$Y$194,9,FALSE)/100)*'Calc (ex-housing, ex-storage)'!F385/100*VLOOKUP(D385,'DB technologies'!$N$182:$Y$194,12,FALSE)/100/VLOOKUP($C$385,'DB animal categories'!$C$137:$AC$146,27,FALSE)*AJ385+I385+J385+K385,0))))))</f>
        <v/>
      </c>
      <c r="AV385" s="453" t="str">
        <f>IF(D385="","",IF(AS385=2,0,IF(AS385=1,'Calc (ex-animal)'!$G$76*(1-'DB additional information '!$K$16/100)*(1-VLOOKUP(D385,'DB technologies'!$N$182:$Y$194,8,FALSE)/100)*'Calc (ex-housing, ex-storage)'!F385/100/VLOOKUP($C$385,'DB animal categories'!$C$137:$AC$146,27,FALSE)*AJ385+M385+N385+O385,IF(AS385=5,('Calc (ex-animal)'!$G$76*(1-'DB additional information '!$K$16/100)+'Calc (ex-animal)'!$H$76*(1-'DB additional information '!$L$16/100))*(1-VLOOKUP(D385,'DB technologies'!$N$182:$Y$194,8,FALSE)/100)*'Calc (ex-housing, ex-storage)'!F385/100/VLOOKUP($C$385,'DB animal categories'!$C$137:$AC$146,27,FALSE)*AJ385+M385+N385+O385,IF(AS385=3,('Calc (ex-animal)'!$G$76*(1-'DB additional information '!$K$16/100)+'Calc (ex-animal)'!$H$76*(1-'DB additional information '!$L$16/100))*(1-VLOOKUP(D385,'DB technologies'!$N$182:$Y$194,8,FALSE)/100)*'Calc (ex-housing, ex-storage)'!F385/100/VLOOKUP($C$385,'DB animal categories'!$C$137:$AC$146,27,FALSE)*AJ385+M385+N385+O385,IF(AS385=4,('Calc (ex-animal)'!$G$76*(1-'DB additional information '!$K$16/100)+'Calc (ex-animal)'!$H$76*(1-'DB additional information '!$L$16/100))*(1-VLOOKUP(D385,'DB technologies'!$N$182:$Y$194,8,FALSE)/100)*'Calc (ex-housing, ex-storage)'!F385/100*VLOOKUP(D385,'DB technologies'!$N$182:$Y$194,12,FALSE)/100/VLOOKUP($C$385,'DB animal categories'!$C$137:$AC$146,27,FALSE)*AJ385+M385+N385+O385,0))))))</f>
        <v/>
      </c>
      <c r="AW385" s="453" t="str">
        <f>IF(AS385="","",IF(AU385=0,0,AU385/AT385*100))</f>
        <v/>
      </c>
      <c r="AX385" s="180" t="str">
        <f>IF(D385="","",IF(AS385=2,0,IF(AS385=1,'Calc (ex-animal)'!$K$76*'Calc (ex-housing, ex-storage)'!F385/100/VLOOKUP($C$385,'DB animal categories'!$C$137:$AC$146,27,FALSE)*AJ385+Q385+R385+S385,IF(AS385=5,('Calc (ex-animal)'!$K$76+'Calc (ex-animal)'!$L$76)*'Calc (ex-housing, ex-storage)'!F385/100/VLOOKUP($C$385,'DB animal categories'!$C$137:$AC$146,27,FALSE)*AJ385+Q385+R385+S385-'Calc (ex-housing, ex-storage)'!AC385,IF(AS385=3,('Calc (ex-animal)'!$K$76+'Calc (ex-animal)'!$L$76)*'Calc (ex-housing, ex-storage)'!F385/100/VLOOKUP($C$385,'DB animal categories'!$C$137:$AC$146,27,FALSE)*AJ385+Q385+R385+S385-'Calc (ex-housing, ex-storage)'!AC385-AD385-AE385,IF(AI385=4,('Calc (ex-animal)'!$K$76+'Calc (ex-animal)'!$L$76)*'Calc (ex-housing, ex-storage)'!F385/100*VLOOKUP(D385,'DB technologies'!$N$182:$Y$194,12,FALSE)/100/VLOOKUP($C$385,'DB animal categories'!$C$137:$AC$146,27,FALSE)*AJ385+Q385+R385+S385-(VLOOKUP(D385,'DB technologies'!$N$182:$Y$194,12,FALSE)/100*AC385)-AD385-AE385,0))))))</f>
        <v/>
      </c>
      <c r="AY385" s="180" t="str">
        <f>IF(D385="","",IF(AS385=2,0,IF(AS385=1,'Calc (ex-animal)'!$N$76*'Calc (ex-housing, ex-storage)'!F385/100/VLOOKUP($C$385,'DB animal categories'!$C$137:$AC$146,27,FALSE)*AJ385+U385+V385+W385,IF(AS385=5,('Calc (ex-animal)'!$N$76+'Calc (ex-animal)'!$O$76)*'Calc (ex-housing, ex-storage)'!F385/100/VLOOKUP($C$385,'DB animal categories'!$C$137:$AC$146,27,FALSE)*AJ385+U385+V385+W385,IF(AS385=3,('Calc (ex-animal)'!$N$76+'Calc (ex-animal)'!$O$76)*'Calc (ex-housing, ex-storage)'!F385/100/VLOOKUP($C$385,'DB animal categories'!$C$137:$AC$146,27,FALSE)*AJ385+U385+V385+W385,IF(AS385=4,('Calc (ex-animal)'!$N$76+'Calc (ex-animal)'!$O$76)*'Calc (ex-housing, ex-storage)'!F385/100*VLOOKUP(D385,'DB technologies'!$N$182:$Y$194,12,FALSE)/100/VLOOKUP($C$385,'DB animal categories'!$C$137:$AC$146,27,FALSE)*AJ385+U385+V385+W385,0))))))</f>
        <v/>
      </c>
      <c r="AZ385" s="180" t="str">
        <f>IF(D385="","",IF(AS385=2,0,IF(AS385=1,'Calc (ex-animal)'!$Q$76*'Calc (ex-housing, ex-storage)'!F385/100/VLOOKUP($C$385,'DB animal categories'!$C$137:$AC$146,27,FALSE)*AJ385+Y385+Z385+AA385,IF(AS385=5,('Calc (ex-animal)'!$Q$76+'Calc (ex-animal)'!$R$76)*'Calc (ex-housing, ex-storage)'!F385/100/VLOOKUP($C$385,'DB animal categories'!$C$137:$AC$146,27,FALSE)*AJ385+Y385+Z385+AA385,IF(AS385=3,('Calc (ex-animal)'!$Q$76+'Calc (ex-animal)'!$R$76)*'Calc (ex-housing, ex-storage)'!F385/100/VLOOKUP($C$385,'DB animal categories'!$C$137:$AC$146,27,FALSE)*AJ385+Y385+Z385+AA385,IF(AS385=4,('Calc (ex-animal)'!$Q$76+'Calc (ex-animal)'!$R$76)*'Calc (ex-housing, ex-storage)'!F385/100*VLOOKUP(D385,'DB technologies'!$N$182:$Y$194,12,FALSE)/100/VLOOKUP($C$385,'DB animal categories'!$C$137:$AC$146,27,FALSE)*AJ385+Y385+Z385+AA385,0))))))</f>
        <v/>
      </c>
      <c r="BA385" s="506"/>
      <c r="BB385" s="506"/>
      <c r="BC385" s="506"/>
    </row>
    <row r="386" spans="1:55" x14ac:dyDescent="0.2">
      <c r="A386" s="695"/>
      <c r="B386" s="695"/>
      <c r="C386" s="251"/>
      <c r="D386" s="1357"/>
      <c r="E386" s="1358"/>
      <c r="F386" s="480" t="str">
        <f>IF('Calc (ex-animal)'!$F$73=1,"",IF($C$385=0,"",IF(D386="","",E386/'Calc (ex-animal)'!$E$76*100)))</f>
        <v/>
      </c>
      <c r="G386" s="485" t="str">
        <f>IF($C$385=0,"",IF('Calc (ex-animal)'!$F$73=1,"",IF(D386="","",SUM(H386:O386))))</f>
        <v/>
      </c>
      <c r="H386" s="423" t="str">
        <f>IF('Calc (ex-animal)'!$F$73=1,"",IF(D386="","",(((VLOOKUP($C$385,'Calc (ex-animal)'!$D$73:$Y$77,6,FALSE)-VLOOKUP($C$385,'Calc (ex-animal)'!$D$73:$Y$77,17,FALSE))*F386/100))*VLOOKUP($C$385,'Calc (ex-animal)'!$D$73:$Y$77,7,FALSE)/100*(1-VLOOKUP(D386,'DB technologies'!$N$182:$Y$194,9,FALSE)/100)))</f>
        <v/>
      </c>
      <c r="I386" s="423" t="str">
        <f>IF(D386="","",((VLOOKUP(D386,'DB technologies'!$N$182:$Y$194,2,FALSE)*VLOOKUP($C$385,'DB animal categories'!$C$137:$AC$146,27,FALSE)*E386/1000)/VLOOKUP($C$385,'DB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'!$S$6/100*(1-VLOOKUP(D386,'DB technologies'!$N$182:$Y$194,9,FALSE)/100)))</f>
        <v/>
      </c>
      <c r="J386" s="434" t="str">
        <f>IF(D386="","",((VLOOKUP(D386,'DB technologies'!$N$182:$Y$194,3,FALSE)*VLOOKUP($C$385,'DB animal categories'!$C$137:$AC$146,27,FALSE)*E386/1000)/VLOOKUP($C$385,'DB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'!$S$7/100*(1-VLOOKUP(D386,'DB technologies'!$N$182:$Y$194,9,FALSE)/100)))</f>
        <v/>
      </c>
      <c r="K386" s="434" t="str">
        <f>IF(D386="","",((VLOOKUP(D386,'DB technologies'!$N$182:$Y$194,4,FALSE)*E386*'DB additional information '!$S$8/100*(1-VLOOKUP(D386,'DB technologies'!$N$182:$Y$194,9,FALSE)/100))/VLOOKUP($C$385,'DB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L386" s="423" t="str">
        <f>IF('Calc (ex-animal)'!$F$73=1,"",IF(D386="","",(((VLOOKUP($C$385,'Calc (ex-animal)'!$D$73:$Y$77,6,FALSE)-VLOOKUP($C$385,'Calc (ex-animal)'!$D$73:$Y$77,17,FALSE))*F386/100))*(1-VLOOKUP($C$385,'Calc (ex-animal)'!$D$73:$Y$77,7,FALSE)/100)*(1-VLOOKUP(D386,'DB technologies'!$N$182:$V$194,8,FALSE)/100)))</f>
        <v/>
      </c>
      <c r="M386" s="434" t="str">
        <f>IF(D386="","",((VLOOKUP(D386,'DB technologies'!$N$182:$Y$194,2,FALSE)*VLOOKUP($C$385,'DB animal categories'!$C$137:$AC$146,27,FALSE)*E386/1000)/VLOOKUP($C$385,'DB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'!$S$6/100)*(1-VLOOKUP(D386,'DB technologies'!$N$182:$Y$194,9,FALSE)/100))</f>
        <v/>
      </c>
      <c r="N386" s="434" t="str">
        <f>IF(D386="","",((VLOOKUP(D386,'DB technologies'!$N$182:$Y$194,3,FALSE)*VLOOKUP($C$385,'DB animal categories'!$C$137:$AC$146,27,FALSE)*E386/1000)/VLOOKUP($C$385,'DB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'!$S$7/100)*(1-VLOOKUP(D386,'DB technologies'!$N$182:$Y$194,9,FALSE)/100))</f>
        <v/>
      </c>
      <c r="O386" s="423" t="str">
        <f>IF(D386="","",((VLOOKUP(D386,'DB technologies'!$N$182:$Y$194,4,FALSE)*E386*(1-'DB additional information '!$S$8/100)*(1-VLOOKUP(D386,'DB technologies'!$N$182:$Y$194,8,FALSE)/100))/VLOOKUP($C$385,'DB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P386" s="438" t="str">
        <f>IF(G386=0,0,IF(E386="","",IF(F386="","",IF($C$385=0,"",IF(D386="","",SUM(H386:K386)/G386*100)))))</f>
        <v/>
      </c>
      <c r="Q386" s="416" t="str">
        <f>IF(D386="","",(VLOOKUP(D386,'DB technologies'!$N$182:$Y$194,2,FALSE)*'DB additional information '!$S$6/100*'DB additional information '!$T$6*VLOOKUP($C$385,'DB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R386" s="416" t="str">
        <f>IF(D386="","",(VLOOKUP(D386,'DB technologies'!$N$182:$Y$194,3,FALSE)*'DB additional information '!$S$7/100*'DB additional information '!$T$7*VLOOKUP($C$385,'DB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S386" s="491" t="str">
        <f>IF(D386="","",(VLOOKUP(D386,'DB technologies'!$N$182:$Y$194,4,FALSE)*('DB additional information '!$S$8/100*'DB additional information '!$T$8*E386/1000/1000)))</f>
        <v/>
      </c>
      <c r="T386" s="264" t="str">
        <f>IF($C$385=0,"",IF('Calc (ex-animal)'!$F$73=1,"",IF(D386="","",((VLOOKUP($C$385,'Calc (ex-animal)'!$D$73:$Y$77,10,FALSE)-VLOOKUP($C$385,'Calc (ex-animal)'!$D$73:$Y$77,18,FALSE))*F386/100+Q386+R386+S386)-AC386-AD386-AE386)))</f>
        <v/>
      </c>
      <c r="U386" s="422" t="str">
        <f>IF(D386="","",(VLOOKUP(D386,'DB technologies'!$N$182:$Y$194,2,FALSE)*'DB additional information '!$S$6/100*'DB additional information '!$U$6*VLOOKUP($C$385,'DB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V386" s="418" t="str">
        <f>IF(D386="","",(VLOOKUP(D386,'DB technologies'!$N$182:$Y$194,3,FALSE)*'DB additional information '!$S$7/100*'DB additional information '!$U$7*VLOOKUP($C$385,'DB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W386" s="417" t="str">
        <f>IF(D386="","",(VLOOKUP(D386,'DB technologies'!$N$182:$Y$194,4,FALSE)*('DB additional information '!$S$8/100*'DB additional information '!$U$8*E386/1000/1000)))</f>
        <v/>
      </c>
      <c r="X386" s="261" t="str">
        <f>IF($C$385=0,"",IF('Calc (ex-animal)'!$F$73=1,"",IF(D386="","",((VLOOKUP($C$385,'Calc (ex-animal)'!$D$73:$Y$77,13,FALSE)-VLOOKUP($C$385,'Calc (ex-animal)'!$D$73:$Y$77,19,FALSE))*F386/100+U386+V386+W386))))</f>
        <v/>
      </c>
      <c r="Y386" s="418" t="str">
        <f>IF(D386="","",(VLOOKUP(D386,'DB technologies'!$N$182:$Y$194,2,FALSE)*'DB additional information '!$S$6/100*'DB additional information '!$V$6*VLOOKUP($C$385,'DB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Z386" s="418" t="str">
        <f>IF(D386="","",(VLOOKUP(D386,'DB technologies'!$N$182:$Y$194,3,FALSE)*'DB additional information '!$S$7/100*'DB additional information '!$V$7*VLOOKUP($C$385,'DB animal categories'!$C$137:$AC$146,27,FALSE)*E386/1000/1000)/VLOOKUP($C$385,'DB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AA386" s="418" t="str">
        <f>IF(D386="","",(VLOOKUP(D386,'DB technologies'!$N$182:$Y$194,4,FALSE)*('DB additional information '!$S$8/100*'DB additional information '!$V$8*E386/1000/1000)))</f>
        <v/>
      </c>
      <c r="AB386" s="261" t="str">
        <f>IF($C$385=0,"",IF('Calc (ex-animal)'!$F$73=1,"",IF(D386="","",((VLOOKUP($C$385,'Calc (ex-animal)'!$D$73:$Y$77,16,FALSE)-VLOOKUP($C$385,'Calc (ex-animal)'!$D$73:$Y$77,20,FALSE))*F386/100+Y386+Z386+AA386))))</f>
        <v/>
      </c>
      <c r="AC386" s="261" t="str">
        <f>IF($C$385=0,"",IF('Calc (ex-animal)'!$F$73=1,"",IF(D386="","",VLOOKUP($C$385,'Calc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categories'!$C$137:$AC$146,26,FALSE)/24)*F386/100*VLOOKUP(D386,'DB technologies'!$N$182:$R$194,5,FALSE)/100)))</f>
        <v/>
      </c>
      <c r="AD386" s="261" t="str">
        <f>IF($C$385=0,"",IF('Calc (ex-animal)'!$F$73=1,"",IF(D386="","",VLOOKUP($C$385,'Calc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categories'!$C$137:$AC$146,26,FALSE)/24)*F386/100*VLOOKUP(D386,'DB technologies'!$N$182:$Y$194,6,FALSE)/100)))</f>
        <v/>
      </c>
      <c r="AE386" s="262" t="str">
        <f>IF($C$385=0,"",IF('Calc (ex-animal)'!$F$73=1,"",IF(D386="","",VLOOKUP($C$385,'Calc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categories'!$C$137:$AC$146,26,FALSE)/24)*F386/100*VLOOKUP(D386,'DB technologies'!$N$182:$Y$194,7,FALSE)/100)))</f>
        <v/>
      </c>
      <c r="AI386" s="181" t="str">
        <f>IF(D386="","",VLOOKUP(D386,'DB technologies'!$N$182:$Y$194,10,FALSE))</f>
        <v/>
      </c>
      <c r="AJ386" s="449" t="e">
        <f>VLOOKUP($C$385,'DB animal categories'!$C$137:$AN$146,27,FALSE)-VLOOKUP($C$385,'DB animal categories'!$C$137:$AN$146,26,FALSE)*VLOOKUP($C$385,'DB animal categories'!$C$137:$AN$146,25,FALSE)/24</f>
        <v>#N/A</v>
      </c>
      <c r="AK386" s="442" t="str">
        <f>IF(AI386="","",AL386+AM386)</f>
        <v/>
      </c>
      <c r="AL386" s="442" t="str">
        <f>IF(D386="","",IF(AI386=2,(('Calc (ex-animal)'!$G$76*'DB additional information '!$K$16/100*(1-VLOOKUP(D386,'DB technologies'!$N$182:$Y$194,9,FALSE)/100)*'Calc (ex-housing, ex-storage)'!F386/100+'Calc (ex-animal)'!$H$76*'DB additional information '!$L$16/100*(1-VLOOKUP(D386,'DB technologies'!$N$182:$Y$194,9,FALSE)/100)*'Calc (ex-housing, ex-storage)'!F386/100))/VLOOKUP($C$385,'DB animal categories'!$C$137:$AC$146,27,FALSE)*AJ386+I386+J386+K386,IF(AI386=1,('Calc (ex-animal)'!$H$76*'DB additional information '!$L$16/100*(1-VLOOKUP(D386,'DB technologies'!$N$182:$Y$194,9,FALSE)/100)*'Calc (ex-housing, ex-storage)'!F386/100)/VLOOKUP($C$385,'DB animal categories'!$C$137:$AC$146,27,FALSE)*AJ386,IF(AI386=4,('Calc (ex-animal)'!$G$76*'DB additional information '!$K$16/100+'Calc (ex-animal)'!$H$76*'DB additional information '!$L$16/100)*(1-VLOOKUP(D386,'DB technologies'!$N$182:$Y$194,9,FALSE)/100)*'Calc (ex-housing, ex-storage)'!F386/100*VLOOKUP(D386,'DB technologies'!$N$182:$Y$194,11,FALSE)/100/VLOOKUP($C$385,'DB animal categories'!$C$137:$AC$146,27,FALSE)*AJ386,0))))</f>
        <v/>
      </c>
      <c r="AM386" s="442" t="str">
        <f>IF(D386="","",IF(AI386=2,(('Calc (ex-animal)'!$G$76*(1-'DB additional information '!$K$16/100)*(1-VLOOKUP(D386,'DB technologies'!$N$182:$Y$194,8,FALSE)/100)*'Calc (ex-housing, ex-storage)'!F386/100+'Calc (ex-animal)'!$H$76*(1-'DB additional information '!$L$16/100)*(1-VLOOKUP(D386,'DB technologies'!$N$182:$Y$194,8,FALSE)/100)*'Calc (ex-housing, ex-storage)'!F386/100))/VLOOKUP($C$385,'DB animal categories'!$C$137:$AC$146,27,FALSE)*AJ386+M386+N386+O386,IF(AI386=1,('Calc (ex-animal)'!$H$76*(1-'DB additional information '!$L$16/100)*(1-VLOOKUP(D386,'DB technologies'!$N$182:$Y$194,8,FALSE)/100)*'Calc (ex-housing, ex-storage)'!F386/100)/VLOOKUP($C$385,'DB animal categories'!$C$137:$AC$146,27,FALSE)*AJ386,IF(AI386=4,('Calc (ex-animal)'!$G$76*(1-'DB additional information '!$K$16/100)+'Calc (ex-animal)'!$H$76*(1-'DB additional information '!$L$16/100))*(1-VLOOKUP(D386,'DB technologies'!$N$182:$Y$194,8,FALSE)/100)*'Calc (ex-housing, ex-storage)'!F386/100*VLOOKUP(D386,'DB technologies'!$N$182:$Y$194,11,FALSE)/100/VLOOKUP($C$385,'DB animal categories'!$C$137:$AC$146,27,FALSE)*AJ386,0))))</f>
        <v/>
      </c>
      <c r="AN386" s="442" t="str">
        <f>IF(AI386="","",IF(AL386=0,0,AL386/AK386*100))</f>
        <v/>
      </c>
      <c r="AO386" s="182" t="str">
        <f>IF(D386="","",IF(AI386=2,(('Calc (ex-animal)'!$L$76*'Calc (ex-housing, ex-storage)'!F386/100+'Calc (ex-animal)'!$K$76*'Calc (ex-housing, ex-storage)'!F386/100))/VLOOKUP($C$385,'DB animal categories'!$C$137:$AC$146,27,FALSE)*AJ386+Q386+R386+S386-AC386,IF(AI386=1,('Calc (ex-animal)'!$L$76*'Calc (ex-housing, ex-storage)'!F386/100)/VLOOKUP($C$385,'DB animal categories'!$C$137:$AC$146,27,FALSE)*AJ386-'Calc (ex-housing, ex-storage)'!AC386,IF(AI386=4,('Calc (ex-animal)'!$L$76+'Calc (ex-animal)'!$K$76)*'Calc (ex-housing, ex-storage)'!F386/100*VLOOKUP(D386,'DB technologies'!$N$182:$Y$194,11,FALSE)/100/VLOOKUP($C$385,'DB animal categories'!$C$137:$AC$146,27,FALSE)*AJ386-AC386*VLOOKUP(D386,'DB technologies'!$N$182:$Y$194,11,FALSE)/100,0))))</f>
        <v/>
      </c>
      <c r="AP386" s="182" t="str">
        <f>IF(D386="","",IF(AO386&lt;-0.01,0,IF(AI386=2,(('Calc (ex-animal)'!$L$76*'Calc (ex-housing, ex-storage)'!F386/100+'Calc (ex-animal)'!$K$76*'Calc (ex-housing, ex-storage)'!F386/100))/VLOOKUP($C$385,'DB animal categories'!$C$137:$AC$146,27,FALSE)*AJ386+Q386+R386+S386-AC386,IF(AI386=1,('Calc (ex-animal)'!$L$76*'Calc (ex-housing, ex-storage)'!F386/100)/VLOOKUP($C$385,'DB animal categories'!$C$137:$AC$146,27,FALSE)*AJ386-'Calc (ex-housing, ex-storage)'!AC386,IF(AI386=4,('Calc (ex-animal)'!$L$76+'Calc (ex-animal)'!$K$76)*'Calc (ex-housing, ex-storage)'!F386/100*VLOOKUP(D386,'DB technologies'!$N$182:$Y$194,11,FALSE)/100/VLOOKUP($C$385,'DB animal categories'!$C$137:$AC$146,27,FALSE)*AJ386-AC386*VLOOKUP(D386,'DB technologies'!$N$182:$Y$194,11,FALSE)/100,0)))))</f>
        <v/>
      </c>
      <c r="AQ386" s="182" t="str">
        <f>IF(D386="","",IF(AI386=2,('Calc (ex-animal)'!$O$76*'Calc (ex-housing, ex-storage)'!F386/100+'Calc (ex-animal)'!$N$76*'Calc (ex-housing, ex-storage)'!F386/100)/VLOOKUP($C$385,'DB animal categories'!$C$137:$AC$146,27,FALSE)*AJ386+U386+V386+W386,IF(AI386=1,'Calc (ex-animal)'!$O$76*'Calc (ex-housing, ex-storage)'!F386/100/VLOOKUP($C$385,'DB animal categories'!$C$137:$AC$146,27,FALSE)*AJ386,IF(AI386=4,('Calc (ex-animal)'!$O$76+'Calc (ex-animal)'!$N$76)*'Calc (ex-housing, ex-storage)'!F386/100*VLOOKUP(D386,'DB technologies'!$N$182:$Y$194,11,FALSE)/100/VLOOKUP($C$385,'DB animal categories'!$C$137:$AC$146,27,FALSE)*AJ386,0))))</f>
        <v/>
      </c>
      <c r="AR386" s="182" t="str">
        <f>IF(D386="","",IF(AI386=2,('Calc (ex-animal)'!$R$76*'Calc (ex-housing, ex-storage)'!F386/100+'Calc (ex-animal)'!$Q$76*'Calc (ex-housing, ex-storage)'!F386/100)/VLOOKUP($C$385,'DB animal categories'!$C$137:$AC$146,27,FALSE)*AJ386+Y386+Z386+AA386,IF(AI386=1,'Calc (ex-animal)'!$R$76*'Calc (ex-housing, ex-storage)'!F386/100/VLOOKUP($C$385,'DB animal categories'!$C$137:$AC$146,27,FALSE)*AJ386,IF(AI386=4,('Calc (ex-animal)'!$R$76+'Calc (ex-animal)'!$Q$76)*'Calc (ex-housing, ex-storage)'!F386/100*VLOOKUP(D386,'DB technologies'!$N$182:$Y$194,11,FALSE)/100/VLOOKUP($C$385,'DB animal categories'!$C$137:$AC$146,27,FALSE)*AJ386,0))))</f>
        <v/>
      </c>
      <c r="AS386" s="181" t="str">
        <f>IF(D386="","",VLOOKUP(D386,'DB technologies'!$N$182:$Y$194,10,FALSE))</f>
        <v/>
      </c>
      <c r="AT386" s="442" t="str">
        <f>IF(AS386="","",AU386+AV386)</f>
        <v/>
      </c>
      <c r="AU386" s="442" t="str">
        <f>IF(D386="","",IF(AS386=2,0,IF(AS386=1,'Calc (ex-animal)'!$G$76*'DB additional information '!$K$16/100*(1-VLOOKUP(D386,'DB technologies'!$N$182:$Y$194,8,FALSE)/100)*'Calc (ex-housing, ex-storage)'!F386/100/VLOOKUP($C$385,'DB animal categories'!$C$137:$AC$146,27,FALSE)*AJ386+I386+J386+K386,IF(AS386=5,(('Calc (ex-animal)'!$G$76*'DB additional information '!$K$16/100+'Calc (ex-animal)'!$H$76*'DB additional information '!$L$16/100))*(1-VLOOKUP(D386,'DB technologies'!$N$182:$Y$194,9,FALSE)/100)*'Calc (ex-housing, ex-storage)'!F386/100/VLOOKUP($C$385,'DB animal categories'!$C$137:$AC$146,27,FALSE)*AJ386+I386+J386+K386,IF(AS386=3,('Calc (ex-animal)'!$G$76*'DB additional information '!$K$16/100+'Calc (ex-animal)'!$H$76*'DB additional information '!$L$16/100)*(1-VLOOKUP(D386,'DB technologies'!$N$182:$Y$194,9,FALSE)/100)*'Calc (ex-housing, ex-storage)'!F386/100/VLOOKUP($C$385,'DB animal categories'!$C$137:$AC$146,27,FALSE)*AJ386+I386+J386+K386,IF(AS386=4,('Calc (ex-animal)'!$G$76*'DB additional information '!$K$16/100+'Calc (ex-animal)'!$H$76*'DB additional information '!$L$16/100)*(1-VLOOKUP(D386,'DB technologies'!$N$182:$Y$194,9,FALSE)/100)*'Calc (ex-housing, ex-storage)'!F386/100*VLOOKUP(D386,'DB technologies'!$N$182:$Y$194,12,FALSE)/100/VLOOKUP($C$385,'DB animal categories'!$C$137:$AC$146,27,FALSE)*AJ386+I386+J386+K386,0))))))</f>
        <v/>
      </c>
      <c r="AV386" s="442" t="str">
        <f>IF(D386="","",IF(AS386=2,0,IF(AS386=1,'Calc (ex-animal)'!$G$76*(1-'DB additional information '!$K$16/100)*(1-VLOOKUP(D386,'DB technologies'!$N$182:$Y$194,8,FALSE)/100)*'Calc (ex-housing, ex-storage)'!F386/100/VLOOKUP($C$385,'DB animal categories'!$C$137:$AC$146,27,FALSE)*AJ386+M386+N386+O386,IF(AS386=5,('Calc (ex-animal)'!$G$76*(1-'DB additional information '!$K$16/100)+'Calc (ex-animal)'!$H$76*(1-'DB additional information '!$L$16/100))*(1-VLOOKUP(D386,'DB technologies'!$N$182:$Y$194,8,FALSE)/100)*'Calc (ex-housing, ex-storage)'!F386/100/VLOOKUP($C$385,'DB animal categories'!$C$137:$AC$146,27,FALSE)*AJ386+M386+N386+O386,IF(AS386=3,('Calc (ex-animal)'!$G$76*(1-'DB additional information '!$K$16/100)+'Calc (ex-animal)'!$H$76*(1-'DB additional information '!$L$16/100))*(1-VLOOKUP(D386,'DB technologies'!$N$182:$Y$194,8,FALSE)/100)*'Calc (ex-housing, ex-storage)'!F386/100/VLOOKUP($C$385,'DB animal categories'!$C$137:$AC$146,27,FALSE)*AJ386+M386+N386+O386,IF(AS386=4,('Calc (ex-animal)'!$G$76*(1-'DB additional information '!$K$16/100)+'Calc (ex-animal)'!$H$76*(1-'DB additional information '!$L$16/100))*(1-VLOOKUP(D386,'DB technologies'!$N$182:$Y$194,8,FALSE)/100)*'Calc (ex-housing, ex-storage)'!F386/100*VLOOKUP(D386,'DB technologies'!$N$182:$Y$194,12,FALSE)/100/VLOOKUP($C$385,'DB animal categories'!$C$137:$AC$146,27,FALSE)*AJ386+M386+N386+O386,0))))))</f>
        <v/>
      </c>
      <c r="AW386" s="442" t="str">
        <f>IF(AS386="","",IF(AU386=0,0,AU386/AT386*100))</f>
        <v/>
      </c>
      <c r="AX386" s="182" t="str">
        <f>IF(D386="","",IF(AS386=2,0,IF(AS386=1,'Calc (ex-animal)'!$K$76*'Calc (ex-housing, ex-storage)'!F386/100/VLOOKUP($C$385,'DB animal categories'!$C$137:$AC$146,27,FALSE)*AJ386+Q386+R386+S386,IF(AS386=5,('Calc (ex-animal)'!$K$76+'Calc (ex-animal)'!$L$76)*'Calc (ex-housing, ex-storage)'!F386/100/VLOOKUP($C$385,'DB animal categories'!$C$137:$AC$146,27,FALSE)*AJ386+Q386+R386+S386-'Calc (ex-housing, ex-storage)'!AC386,IF(AS386=3,('Calc (ex-animal)'!$K$76+'Calc (ex-animal)'!$L$76)*'Calc (ex-housing, ex-storage)'!F386/100/VLOOKUP($C$385,'DB animal categories'!$C$137:$AC$146,27,FALSE)*AJ386+Q386+R386+S386-'Calc (ex-housing, ex-storage)'!AC386-AD386-AE386,IF(AI386=4,('Calc (ex-animal)'!$K$76+'Calc (ex-animal)'!$L$76)*'Calc (ex-housing, ex-storage)'!F386/100*VLOOKUP(D386,'DB technologies'!$N$182:$Y$194,12,FALSE)/100/VLOOKUP($C$385,'DB animal categories'!$C$137:$AC$146,27,FALSE)*AJ386+Q386+R386+S386-(VLOOKUP(D386,'DB technologies'!$N$182:$Y$194,12,FALSE)/100*AC386)-AD386-AE386,0))))))</f>
        <v/>
      </c>
      <c r="AY386" s="182" t="str">
        <f>IF(D386="","",IF(AS386=2,0,IF(AS386=1,'Calc (ex-animal)'!$N$76*'Calc (ex-housing, ex-storage)'!F386/100/VLOOKUP($C$385,'DB animal categories'!$C$137:$AC$146,27,FALSE)*AJ386+U386+V386+W386,IF(AS386=5,('Calc (ex-animal)'!$N$76+'Calc (ex-animal)'!$O$76)*'Calc (ex-housing, ex-storage)'!F386/100/VLOOKUP($C$385,'DB animal categories'!$C$137:$AC$146,27,FALSE)*AJ386+U386+V386+W386,IF(AS386=3,('Calc (ex-animal)'!$N$76+'Calc (ex-animal)'!$O$76)*'Calc (ex-housing, ex-storage)'!F386/100/VLOOKUP($C$385,'DB animal categories'!$C$137:$AC$146,27,FALSE)*AJ386+U386+V386+W386,IF(AS386=4,('Calc (ex-animal)'!$N$76+'Calc (ex-animal)'!$O$76)*'Calc (ex-housing, ex-storage)'!F386/100*VLOOKUP(D386,'DB technologies'!$N$182:$Y$194,12,FALSE)/100/VLOOKUP($C$385,'DB animal categories'!$C$137:$AC$146,27,FALSE)*AJ386+U386+V386+W386,0))))))</f>
        <v/>
      </c>
      <c r="AZ386" s="182" t="str">
        <f>IF(D386="","",IF(AS386=2,0,IF(AS386=1,'Calc (ex-animal)'!$Q$76*'Calc (ex-housing, ex-storage)'!F386/100/VLOOKUP($C$385,'DB animal categories'!$C$137:$AC$146,27,FALSE)*AJ386+Y386+Z386+AA386,IF(AS386=5,('Calc (ex-animal)'!$Q$76+'Calc (ex-animal)'!$R$76)*'Calc (ex-housing, ex-storage)'!F386/100/VLOOKUP($C$385,'DB animal categories'!$C$137:$AC$146,27,FALSE)*AJ386+Y386+Z386+AA386,IF(AS386=3,('Calc (ex-animal)'!$Q$76+'Calc (ex-animal)'!$R$76)*'Calc (ex-housing, ex-storage)'!F386/100/VLOOKUP($C$385,'DB animal categories'!$C$137:$AC$146,27,FALSE)*AJ386+Y386+Z386+AA386,IF(AS386=4,('Calc (ex-animal)'!$Q$76+'Calc (ex-animal)'!$R$76)*'Calc (ex-housing, ex-storage)'!F386/100*VLOOKUP(D386,'DB technologies'!$N$182:$Y$194,12,FALSE)/100/VLOOKUP($C$385,'DB animal categories'!$C$137:$AC$146,27,FALSE)*AJ386+Y386+Z386+AA386,0))))))</f>
        <v/>
      </c>
      <c r="BA386" s="506"/>
      <c r="BB386" s="506"/>
      <c r="BC386" s="506"/>
    </row>
    <row r="387" spans="1:55" x14ac:dyDescent="0.2">
      <c r="A387" s="695"/>
      <c r="B387" s="695"/>
      <c r="C387" s="251"/>
      <c r="D387" s="1357"/>
      <c r="E387" s="1358"/>
      <c r="F387" s="480" t="str">
        <f>IF('Calc (ex-animal)'!$F$73=1,"",IF($C$385=0,"",IF(D387="","",E387/'Calc (ex-animal)'!$E$76*100)))</f>
        <v/>
      </c>
      <c r="G387" s="485" t="str">
        <f>IF($C$385=0,"",IF('Calc (ex-animal)'!$F$73=1,"",IF(D387="","",SUM(H387:O387))))</f>
        <v/>
      </c>
      <c r="H387" s="423" t="str">
        <f>IF('Calc (ex-animal)'!$F$73=1,"",IF(D387="","",(((VLOOKUP($C$385,'Calc (ex-animal)'!$D$73:$Y$77,6,FALSE)-VLOOKUP($C$385,'Calc (ex-animal)'!$D$73:$Y$77,17,FALSE))*F387/100))*VLOOKUP($C$385,'Calc (ex-animal)'!$D$73:$Y$77,7,FALSE)/100*(1-VLOOKUP(D387,'DB technologies'!$N$182:$Y$194,9,FALSE)/100)))</f>
        <v/>
      </c>
      <c r="I387" s="423" t="str">
        <f>IF(D387="","",((VLOOKUP(D387,'DB technologies'!$N$182:$Y$194,2,FALSE)*VLOOKUP($C$385,'DB animal categories'!$C$137:$AC$146,27,FALSE)*E387/1000)/VLOOKUP($C$385,'DB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'!$S$6/100*(1-VLOOKUP(D387,'DB technologies'!$N$182:$Y$194,9,FALSE)/100)))</f>
        <v/>
      </c>
      <c r="J387" s="434" t="str">
        <f>IF(D387="","",((VLOOKUP(D387,'DB technologies'!$N$182:$Y$194,3,FALSE)*VLOOKUP($C$385,'DB animal categories'!$C$137:$AC$146,27,FALSE)*E387/1000)/VLOOKUP($C$385,'DB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'!$S$7/100*(1-VLOOKUP(D387,'DB technologies'!$N$182:$Y$194,9,FALSE)/100)))</f>
        <v/>
      </c>
      <c r="K387" s="434" t="str">
        <f>IF(D387="","",((VLOOKUP(D387,'DB technologies'!$N$182:$Y$194,4,FALSE)*E387*'DB additional information '!$S$8/100*(1-VLOOKUP(D387,'DB technologies'!$N$182:$Y$194,9,FALSE)/100))/VLOOKUP($C$385,'DB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L387" s="423" t="str">
        <f>IF('Calc (ex-animal)'!$F$73=1,"",IF(D387="","",(((VLOOKUP($C$385,'Calc (ex-animal)'!$D$73:$Y$77,6,FALSE)-VLOOKUP($C$385,'Calc (ex-animal)'!$D$73:$Y$77,17,FALSE))*F387/100))*(1-VLOOKUP($C$385,'Calc (ex-animal)'!$D$73:$Y$77,7,FALSE)/100)*(1-VLOOKUP(D387,'DB technologies'!$N$182:$V$194,8,FALSE)/100)))</f>
        <v/>
      </c>
      <c r="M387" s="434" t="str">
        <f>IF(D387="","",((VLOOKUP(D387,'DB technologies'!$N$182:$Y$194,2,FALSE)*VLOOKUP($C$385,'DB animal categories'!$C$137:$AC$146,27,FALSE)*E387/1000)/VLOOKUP($C$385,'DB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'!$S$6/100)*(1-VLOOKUP(D387,'DB technologies'!$N$182:$Y$194,9,FALSE)/100))</f>
        <v/>
      </c>
      <c r="N387" s="434" t="str">
        <f>IF(D387="","",((VLOOKUP(D387,'DB technologies'!$N$182:$Y$194,3,FALSE)*VLOOKUP($C$385,'DB animal categories'!$C$137:$AC$146,27,FALSE)*E387/1000)/VLOOKUP($C$385,'DB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'!$S$7/100)*(1-VLOOKUP(D387,'DB technologies'!$N$182:$Y$194,9,FALSE)/100))</f>
        <v/>
      </c>
      <c r="O387" s="423" t="str">
        <f>IF(D387="","",((VLOOKUP(D387,'DB technologies'!$N$182:$Y$194,4,FALSE)*E387*(1-'DB additional information '!$S$8/100)*(1-VLOOKUP(D387,'DB technologies'!$N$182:$Y$194,8,FALSE)/100))/VLOOKUP($C$385,'DB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P387" s="438" t="str">
        <f>IF(G387=0,0,IF(E387="","",IF(F387="","",IF($C$385=0,"",IF(D387="","",SUM(H387:K387)/G387*100)))))</f>
        <v/>
      </c>
      <c r="Q387" s="416" t="str">
        <f>IF(D387="","",(VLOOKUP(D387,'DB technologies'!$N$182:$Y$194,2,FALSE)*'DB additional information '!$S$6/100*'DB additional information '!$T$6*VLOOKUP($C$385,'DB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R387" s="416" t="str">
        <f>IF(D387="","",(VLOOKUP(D387,'DB technologies'!$N$182:$Y$194,3,FALSE)*'DB additional information '!$S$7/100*'DB additional information '!$T$7*VLOOKUP($C$385,'DB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S387" s="491" t="str">
        <f>IF(D387="","",(VLOOKUP(D387,'DB technologies'!$N$182:$Y$194,4,FALSE)*('DB additional information '!$S$8/100*'DB additional information '!$T$8*E387/1000/1000)))</f>
        <v/>
      </c>
      <c r="T387" s="264" t="str">
        <f>IF($C$385=0,"",IF('Calc (ex-animal)'!$F$73=1,"",IF(D387="","",((VLOOKUP($C$385,'Calc (ex-animal)'!$D$73:$Y$77,10,FALSE)-VLOOKUP($C$385,'Calc (ex-animal)'!$D$73:$Y$77,18,FALSE))*F387/100+Q387+R387+S387)-AC387-AD387-AE387)))</f>
        <v/>
      </c>
      <c r="U387" s="422" t="str">
        <f>IF(D387="","",(VLOOKUP(D387,'DB technologies'!$N$182:$Y$194,2,FALSE)*'DB additional information '!$S$6/100*'DB additional information '!$U$6*VLOOKUP($C$385,'DB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V387" s="418" t="str">
        <f>IF(D387="","",(VLOOKUP(D387,'DB technologies'!$N$182:$Y$194,3,FALSE)*'DB additional information '!$S$7/100*'DB additional information '!$U$7*VLOOKUP($C$385,'DB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W387" s="417" t="str">
        <f>IF(D387="","",(VLOOKUP(D387,'DB technologies'!$N$182:$Y$194,4,FALSE)*('DB additional information '!$S$8/100*'DB additional information '!$U$8*E387/1000/1000)))</f>
        <v/>
      </c>
      <c r="X387" s="261" t="str">
        <f>IF($C$385=0,"",IF('Calc (ex-animal)'!$F$73=1,"",IF(D387="","",((VLOOKUP($C$385,'Calc (ex-animal)'!$D$73:$Y$77,13,FALSE)-VLOOKUP($C$385,'Calc (ex-animal)'!$D$73:$Y$77,19,FALSE))*F387/100+U387+V387+W387))))</f>
        <v/>
      </c>
      <c r="Y387" s="418" t="str">
        <f>IF(D387="","",(VLOOKUP(D387,'DB technologies'!$N$182:$Y$194,2,FALSE)*'DB additional information '!$S$6/100*'DB additional information '!$V$6*VLOOKUP($C$385,'DB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Z387" s="418" t="str">
        <f>IF(D387="","",(VLOOKUP(D387,'DB technologies'!$N$182:$Y$194,3,FALSE)*'DB additional information '!$S$7/100*'DB additional information '!$V$7*VLOOKUP($C$385,'DB animal categories'!$C$137:$AC$146,27,FALSE)*E387/1000/1000)/VLOOKUP($C$385,'DB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AA387" s="418" t="str">
        <f>IF(D387="","",(VLOOKUP(D387,'DB technologies'!$N$182:$Y$194,4,FALSE)*('DB additional information '!$S$8/100*'DB additional information '!$V$8*E387/1000/1000)))</f>
        <v/>
      </c>
      <c r="AB387" s="261" t="str">
        <f>IF($C$385=0,"",IF('Calc (ex-animal)'!$F$73=1,"",IF(D387="","",((VLOOKUP($C$385,'Calc (ex-animal)'!$D$73:$Y$77,16,FALSE)-VLOOKUP($C$385,'Calc (ex-animal)'!$D$73:$Y$77,20,FALSE))*F387/100+Y387+Z387+AA387))))</f>
        <v/>
      </c>
      <c r="AC387" s="261" t="str">
        <f>IF($C$385=0,"",IF('Calc (ex-animal)'!$F$73=1,"",IF(D387="","",VLOOKUP($C$385,'Calc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categories'!$C$137:$AC$146,26,FALSE)/24)*F387/100*VLOOKUP(D387,'DB technologies'!$N$182:$R$194,5,FALSE)/100)))</f>
        <v/>
      </c>
      <c r="AD387" s="261" t="str">
        <f>IF($C$385=0,"",IF('Calc (ex-animal)'!$F$73=1,"",IF(D387="","",VLOOKUP($C$385,'Calc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categories'!$C$137:$AC$146,26,FALSE)/24)*F387/100*VLOOKUP(D387,'DB technologies'!$N$182:$Y$194,6,FALSE)/100)))</f>
        <v/>
      </c>
      <c r="AE387" s="262" t="str">
        <f>IF($C$385=0,"",IF('Calc (ex-animal)'!$F$73=1,"",IF(D387="","",VLOOKUP($C$385,'Calc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categories'!$C$137:$AC$146,26,FALSE)/24)*F387/100*VLOOKUP(D387,'DB technologies'!$N$182:$Y$194,7,FALSE)/100)))</f>
        <v/>
      </c>
      <c r="AI387" s="181" t="str">
        <f>IF(D387="","",VLOOKUP(D387,'DB technologies'!$N$182:$Y$194,10,FALSE))</f>
        <v/>
      </c>
      <c r="AJ387" s="449" t="e">
        <f>VLOOKUP($C$385,'DB animal categories'!$C$137:$AN$146,27,FALSE)-VLOOKUP($C$385,'DB animal categories'!$C$137:$AN$146,26,FALSE)*VLOOKUP($C$385,'DB animal categories'!$C$137:$AN$146,25,FALSE)/24</f>
        <v>#N/A</v>
      </c>
      <c r="AK387" s="442" t="str">
        <f>IF(AI387="","",AL387+AM387)</f>
        <v/>
      </c>
      <c r="AL387" s="442" t="str">
        <f>IF(D387="","",IF(AI387=2,(('Calc (ex-animal)'!$G$76*'DB additional information '!$K$16/100*(1-VLOOKUP(D387,'DB technologies'!$N$182:$Y$194,9,FALSE)/100)*'Calc (ex-housing, ex-storage)'!F387/100+'Calc (ex-animal)'!$H$76*'DB additional information '!$L$16/100*(1-VLOOKUP(D387,'DB technologies'!$N$182:$Y$194,9,FALSE)/100)*'Calc (ex-housing, ex-storage)'!F387/100))/VLOOKUP($C$385,'DB animal categories'!$C$137:$AC$146,27,FALSE)*AJ387+I387+J387+K387,IF(AI387=1,('Calc (ex-animal)'!$H$76*'DB additional information '!$L$16/100*(1-VLOOKUP(D387,'DB technologies'!$N$182:$Y$194,9,FALSE)/100)*'Calc (ex-housing, ex-storage)'!F387/100)/VLOOKUP($C$385,'DB animal categories'!$C$137:$AC$146,27,FALSE)*AJ387,IF(AI387=4,('Calc (ex-animal)'!$G$76*'DB additional information '!$K$16/100+'Calc (ex-animal)'!$H$76*'DB additional information '!$L$16/100)*(1-VLOOKUP(D387,'DB technologies'!$N$182:$Y$194,9,FALSE)/100)*'Calc (ex-housing, ex-storage)'!F387/100*VLOOKUP(D387,'DB technologies'!$N$182:$Y$194,11,FALSE)/100/VLOOKUP($C$385,'DB animal categories'!$C$137:$AC$146,27,FALSE)*AJ387,0))))</f>
        <v/>
      </c>
      <c r="AM387" s="442" t="str">
        <f>IF(D387="","",IF(AI387=2,(('Calc (ex-animal)'!$G$76*(1-'DB additional information '!$K$16/100)*(1-VLOOKUP(D387,'DB technologies'!$N$182:$Y$194,8,FALSE)/100)*'Calc (ex-housing, ex-storage)'!F387/100+'Calc (ex-animal)'!$H$76*(1-'DB additional information '!$L$16/100)*(1-VLOOKUP(D387,'DB technologies'!$N$182:$Y$194,8,FALSE)/100)*'Calc (ex-housing, ex-storage)'!F387/100))/VLOOKUP($C$385,'DB animal categories'!$C$137:$AC$146,27,FALSE)*AJ387+M387+N387+O387,IF(AI387=1,('Calc (ex-animal)'!$H$76*(1-'DB additional information '!$L$16/100)*(1-VLOOKUP(D387,'DB technologies'!$N$182:$Y$194,8,FALSE)/100)*'Calc (ex-housing, ex-storage)'!F387/100)/VLOOKUP($C$385,'DB animal categories'!$C$137:$AC$146,27,FALSE)*AJ387,IF(AI387=4,('Calc (ex-animal)'!$G$76*(1-'DB additional information '!$K$16/100)+'Calc (ex-animal)'!$H$76*(1-'DB additional information '!$L$16/100))*(1-VLOOKUP(D387,'DB technologies'!$N$182:$Y$194,8,FALSE)/100)*'Calc (ex-housing, ex-storage)'!F387/100*VLOOKUP(D387,'DB technologies'!$N$182:$Y$194,11,FALSE)/100/VLOOKUP($C$385,'DB animal categories'!$C$137:$AC$146,27,FALSE)*AJ387,0))))</f>
        <v/>
      </c>
      <c r="AN387" s="442" t="str">
        <f>IF(AI387="","",IF(AL387=0,0,AL387/AK387*100))</f>
        <v/>
      </c>
      <c r="AO387" s="182" t="str">
        <f>IF(D387="","",IF(AI387=2,(('Calc (ex-animal)'!$L$76*'Calc (ex-housing, ex-storage)'!F387/100+'Calc (ex-animal)'!$K$76*'Calc (ex-housing, ex-storage)'!F387/100))/VLOOKUP($C$385,'DB animal categories'!$C$137:$AC$146,27,FALSE)*AJ387+Q387+R387+S387-AC387,IF(AI387=1,('Calc (ex-animal)'!$L$76*'Calc (ex-housing, ex-storage)'!F387/100)/VLOOKUP($C$385,'DB animal categories'!$C$137:$AC$146,27,FALSE)*AJ387-'Calc (ex-housing, ex-storage)'!AC387,IF(AI387=4,('Calc (ex-animal)'!$L$76+'Calc (ex-animal)'!$K$76)*'Calc (ex-housing, ex-storage)'!F387/100*VLOOKUP(D387,'DB technologies'!$N$182:$Y$194,11,FALSE)/100/VLOOKUP($C$385,'DB animal categories'!$C$137:$AC$146,27,FALSE)*AJ387-AC387*VLOOKUP(D387,'DB technologies'!$N$182:$Y$194,11,FALSE)/100,0))))</f>
        <v/>
      </c>
      <c r="AP387" s="182" t="str">
        <f>IF(D387="","",IF(AO387&lt;-0.01,0,IF(AI387=2,(('Calc (ex-animal)'!$L$76*'Calc (ex-housing, ex-storage)'!F387/100+'Calc (ex-animal)'!$K$76*'Calc (ex-housing, ex-storage)'!F387/100))/VLOOKUP($C$385,'DB animal categories'!$C$137:$AC$146,27,FALSE)*AJ387+Q387+R387+S387-AC387,IF(AI387=1,('Calc (ex-animal)'!$L$76*'Calc (ex-housing, ex-storage)'!F387/100)/VLOOKUP($C$385,'DB animal categories'!$C$137:$AC$146,27,FALSE)*AJ387-'Calc (ex-housing, ex-storage)'!AC387,IF(AI387=4,('Calc (ex-animal)'!$L$76+'Calc (ex-animal)'!$K$76)*'Calc (ex-housing, ex-storage)'!F387/100*VLOOKUP(D387,'DB technologies'!$N$182:$Y$194,11,FALSE)/100/VLOOKUP($C$385,'DB animal categories'!$C$137:$AC$146,27,FALSE)*AJ387-AC387*VLOOKUP(D387,'DB technologies'!$N$182:$Y$194,11,FALSE)/100,0)))))</f>
        <v/>
      </c>
      <c r="AQ387" s="182" t="str">
        <f>IF(D387="","",IF(AI387=2,('Calc (ex-animal)'!$O$76*'Calc (ex-housing, ex-storage)'!F387/100+'Calc (ex-animal)'!$N$76*'Calc (ex-housing, ex-storage)'!F387/100)/VLOOKUP($C$385,'DB animal categories'!$C$137:$AC$146,27,FALSE)*AJ387+U387+V387+W387,IF(AI387=1,'Calc (ex-animal)'!$O$76*'Calc (ex-housing, ex-storage)'!F387/100/VLOOKUP($C$385,'DB animal categories'!$C$137:$AC$146,27,FALSE)*AJ387,IF(AI387=4,('Calc (ex-animal)'!$O$76+'Calc (ex-animal)'!$N$76)*'Calc (ex-housing, ex-storage)'!F387/100*VLOOKUP(D387,'DB technologies'!$N$182:$Y$194,11,FALSE)/100/VLOOKUP($C$385,'DB animal categories'!$C$137:$AC$146,27,FALSE)*AJ387,0))))</f>
        <v/>
      </c>
      <c r="AR387" s="182" t="str">
        <f>IF(D387="","",IF(AI387=2,('Calc (ex-animal)'!$R$76*'Calc (ex-housing, ex-storage)'!F387/100+'Calc (ex-animal)'!$Q$76*'Calc (ex-housing, ex-storage)'!F387/100)/VLOOKUP($C$385,'DB animal categories'!$C$137:$AC$146,27,FALSE)*AJ387+Y387+Z387+AA387,IF(AI387=1,'Calc (ex-animal)'!$R$76*'Calc (ex-housing, ex-storage)'!F387/100/VLOOKUP($C$385,'DB animal categories'!$C$137:$AC$146,27,FALSE)*AJ387,IF(AI387=4,('Calc (ex-animal)'!$R$76+'Calc (ex-animal)'!$Q$76)*'Calc (ex-housing, ex-storage)'!F387/100*VLOOKUP(D387,'DB technologies'!$N$182:$Y$194,11,FALSE)/100/VLOOKUP($C$385,'DB animal categories'!$C$137:$AC$146,27,FALSE)*AJ387,0))))</f>
        <v/>
      </c>
      <c r="AS387" s="181" t="str">
        <f>IF(D387="","",VLOOKUP(D387,'DB technologies'!$N$182:$Y$194,10,FALSE))</f>
        <v/>
      </c>
      <c r="AT387" s="442" t="str">
        <f>IF(AS387="","",AU387+AV387)</f>
        <v/>
      </c>
      <c r="AU387" s="442" t="str">
        <f>IF(D387="","",IF(AS387=2,0,IF(AS387=1,'Calc (ex-animal)'!$G$76*'DB additional information '!$K$16/100*(1-VLOOKUP(D387,'DB technologies'!$N$182:$Y$194,8,FALSE)/100)*'Calc (ex-housing, ex-storage)'!F387/100/VLOOKUP($C$385,'DB animal categories'!$C$137:$AC$146,27,FALSE)*AJ387+I387+J387+K387,IF(AS387=5,(('Calc (ex-animal)'!$G$76*'DB additional information '!$K$16/100+'Calc (ex-animal)'!$H$76*'DB additional information '!$L$16/100))*(1-VLOOKUP(D387,'DB technologies'!$N$182:$Y$194,9,FALSE)/100)*'Calc (ex-housing, ex-storage)'!F387/100/VLOOKUP($C$385,'DB animal categories'!$C$137:$AC$146,27,FALSE)*AJ387+I387+J387+K387,IF(AS387=3,('Calc (ex-animal)'!$G$76*'DB additional information '!$K$16/100+'Calc (ex-animal)'!$H$76*'DB additional information '!$L$16/100)*(1-VLOOKUP(D387,'DB technologies'!$N$182:$Y$194,9,FALSE)/100)*'Calc (ex-housing, ex-storage)'!F387/100/VLOOKUP($C$385,'DB animal categories'!$C$137:$AC$146,27,FALSE)*AJ387+I387+J387+K387,IF(AS387=4,('Calc (ex-animal)'!$G$76*'DB additional information '!$K$16/100+'Calc (ex-animal)'!$H$76*'DB additional information '!$L$16/100)*(1-VLOOKUP(D387,'DB technologies'!$N$182:$Y$194,9,FALSE)/100)*'Calc (ex-housing, ex-storage)'!F387/100*VLOOKUP(D387,'DB technologies'!$N$182:$Y$194,12,FALSE)/100/VLOOKUP($C$385,'DB animal categories'!$C$137:$AC$146,27,FALSE)*AJ387+I387+J387+K387,0))))))</f>
        <v/>
      </c>
      <c r="AV387" s="442" t="str">
        <f>IF(D387="","",IF(AS387=2,0,IF(AS387=1,'Calc (ex-animal)'!$G$76*(1-'DB additional information '!$K$16/100)*(1-VLOOKUP(D387,'DB technologies'!$N$182:$Y$194,8,FALSE)/100)*'Calc (ex-housing, ex-storage)'!F387/100/VLOOKUP($C$385,'DB animal categories'!$C$137:$AC$146,27,FALSE)*AJ387+M387+N387+O387,IF(AS387=5,('Calc (ex-animal)'!$G$76*(1-'DB additional information '!$K$16/100)+'Calc (ex-animal)'!$H$76*(1-'DB additional information '!$L$16/100))*(1-VLOOKUP(D387,'DB technologies'!$N$182:$Y$194,8,FALSE)/100)*'Calc (ex-housing, ex-storage)'!F387/100/VLOOKUP($C$385,'DB animal categories'!$C$137:$AC$146,27,FALSE)*AJ387+M387+N387+O387,IF(AS387=3,('Calc (ex-animal)'!$G$76*(1-'DB additional information '!$K$16/100)+'Calc (ex-animal)'!$H$76*(1-'DB additional information '!$L$16/100))*(1-VLOOKUP(D387,'DB technologies'!$N$182:$Y$194,8,FALSE)/100)*'Calc (ex-housing, ex-storage)'!F387/100/VLOOKUP($C$385,'DB animal categories'!$C$137:$AC$146,27,FALSE)*AJ387+M387+N387+O387,IF(AS387=4,('Calc (ex-animal)'!$G$76*(1-'DB additional information '!$K$16/100)+'Calc (ex-animal)'!$H$76*(1-'DB additional information '!$L$16/100))*(1-VLOOKUP(D387,'DB technologies'!$N$182:$Y$194,8,FALSE)/100)*'Calc (ex-housing, ex-storage)'!F387/100*VLOOKUP(D387,'DB technologies'!$N$182:$Y$194,12,FALSE)/100/VLOOKUP($C$385,'DB animal categories'!$C$137:$AC$146,27,FALSE)*AJ387+M387+N387+O387,0))))))</f>
        <v/>
      </c>
      <c r="AW387" s="442" t="str">
        <f>IF(AS387="","",IF(AU387=0,0,AU387/AT387*100))</f>
        <v/>
      </c>
      <c r="AX387" s="182" t="str">
        <f>IF(D387="","",IF(AS387=2,0,IF(AS387=1,'Calc (ex-animal)'!$K$76*'Calc (ex-housing, ex-storage)'!F387/100/VLOOKUP($C$385,'DB animal categories'!$C$137:$AC$146,27,FALSE)*AJ387+Q387+R387+S387,IF(AS387=5,('Calc (ex-animal)'!$K$76+'Calc (ex-animal)'!$L$76)*'Calc (ex-housing, ex-storage)'!F387/100/VLOOKUP($C$385,'DB animal categories'!$C$137:$AC$146,27,FALSE)*AJ387+Q387+R387+S387-'Calc (ex-housing, ex-storage)'!AC387,IF(AS387=3,('Calc (ex-animal)'!$K$76+'Calc (ex-animal)'!$L$76)*'Calc (ex-housing, ex-storage)'!F387/100/VLOOKUP($C$385,'DB animal categories'!$C$137:$AC$146,27,FALSE)*AJ387+Q387+R387+S387-'Calc (ex-housing, ex-storage)'!AC387-AD387-AE387,IF(AI387=4,('Calc (ex-animal)'!$K$76+'Calc (ex-animal)'!$L$76)*'Calc (ex-housing, ex-storage)'!F387/100*VLOOKUP(D387,'DB technologies'!$N$182:$Y$194,12,FALSE)/100/VLOOKUP($C$385,'DB animal categories'!$C$137:$AC$146,27,FALSE)*AJ387+Q387+R387+S387-(VLOOKUP(D387,'DB technologies'!$N$182:$Y$194,12,FALSE)/100*AC387)-AD387-AE387,0))))))</f>
        <v/>
      </c>
      <c r="AY387" s="182" t="str">
        <f>IF(D387="","",IF(AS387=2,0,IF(AS387=1,'Calc (ex-animal)'!$N$76*'Calc (ex-housing, ex-storage)'!F387/100/VLOOKUP($C$385,'DB animal categories'!$C$137:$AC$146,27,FALSE)*AJ387+U387+V387+W387,IF(AS387=5,('Calc (ex-animal)'!$N$76+'Calc (ex-animal)'!$O$76)*'Calc (ex-housing, ex-storage)'!F387/100/VLOOKUP($C$385,'DB animal categories'!$C$137:$AC$146,27,FALSE)*AJ387+U387+V387+W387,IF(AS387=3,('Calc (ex-animal)'!$N$76+'Calc (ex-animal)'!$O$76)*'Calc (ex-housing, ex-storage)'!F387/100/VLOOKUP($C$385,'DB animal categories'!$C$137:$AC$146,27,FALSE)*AJ387+U387+V387+W387,IF(AS387=4,('Calc (ex-animal)'!$N$76+'Calc (ex-animal)'!$O$76)*'Calc (ex-housing, ex-storage)'!F387/100*VLOOKUP(D387,'DB technologies'!$N$182:$Y$194,12,FALSE)/100/VLOOKUP($C$385,'DB animal categories'!$C$137:$AC$146,27,FALSE)*AJ387+U387+V387+W387,0))))))</f>
        <v/>
      </c>
      <c r="AZ387" s="182" t="str">
        <f>IF(D387="","",IF(AS387=2,0,IF(AS387=1,'Calc (ex-animal)'!$Q$76*'Calc (ex-housing, ex-storage)'!F387/100/VLOOKUP($C$385,'DB animal categories'!$C$137:$AC$146,27,FALSE)*AJ387+Y387+Z387+AA387,IF(AS387=5,('Calc (ex-animal)'!$Q$76+'Calc (ex-animal)'!$R$76)*'Calc (ex-housing, ex-storage)'!F387/100/VLOOKUP($C$385,'DB animal categories'!$C$137:$AC$146,27,FALSE)*AJ387+Y387+Z387+AA387,IF(AS387=3,('Calc (ex-animal)'!$Q$76+'Calc (ex-animal)'!$R$76)*'Calc (ex-housing, ex-storage)'!F387/100/VLOOKUP($C$385,'DB animal categories'!$C$137:$AC$146,27,FALSE)*AJ387+Y387+Z387+AA387,IF(AS387=4,('Calc (ex-animal)'!$Q$76+'Calc (ex-animal)'!$R$76)*'Calc (ex-housing, ex-storage)'!F387/100*VLOOKUP(D387,'DB technologies'!$N$182:$Y$194,12,FALSE)/100/VLOOKUP($C$385,'DB animal categories'!$C$137:$AC$146,27,FALSE)*AJ387+Y387+Z387+AA387,0))))))</f>
        <v/>
      </c>
      <c r="BA387" s="506"/>
      <c r="BB387" s="506"/>
      <c r="BC387" s="506"/>
    </row>
    <row r="388" spans="1:55" x14ac:dyDescent="0.2">
      <c r="A388" s="695"/>
      <c r="B388" s="695"/>
      <c r="C388" s="251"/>
      <c r="D388" s="1357"/>
      <c r="E388" s="1358"/>
      <c r="F388" s="480" t="str">
        <f>IF('Calc (ex-animal)'!$F$73=1,"",IF($C$385=0,"",IF(D388="","",E388/'Calc (ex-animal)'!$E$76*100)))</f>
        <v/>
      </c>
      <c r="G388" s="485" t="str">
        <f>IF($C$385=0,"",IF('Calc (ex-animal)'!$F$73=1,"",IF(D388="","",SUM(H388:O388))))</f>
        <v/>
      </c>
      <c r="H388" s="423" t="str">
        <f>IF('Calc (ex-animal)'!$F$73=1,"",IF(D388="","",(((VLOOKUP($C$385,'Calc (ex-animal)'!$D$73:$Y$77,6,FALSE)-VLOOKUP($C$385,'Calc (ex-animal)'!$D$73:$Y$77,17,FALSE))*F388/100))*VLOOKUP($C$385,'Calc (ex-animal)'!$D$73:$Y$77,7,FALSE)/100*(1-VLOOKUP(D388,'DB technologies'!$N$182:$Y$194,9,FALSE)/100)))</f>
        <v/>
      </c>
      <c r="I388" s="423" t="str">
        <f>IF(D388="","",((VLOOKUP(D388,'DB technologies'!$N$182:$Y$194,2,FALSE)*VLOOKUP($C$385,'DB animal categories'!$C$137:$AC$146,27,FALSE)*E388/1000)/VLOOKUP($C$385,'DB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'!$S$6/100*(1-VLOOKUP(D388,'DB technologies'!$N$182:$Y$194,9,FALSE)/100)))</f>
        <v/>
      </c>
      <c r="J388" s="434" t="str">
        <f>IF(D388="","",((VLOOKUP(D388,'DB technologies'!$N$182:$Y$194,3,FALSE)*VLOOKUP($C$385,'DB animal categories'!$C$137:$AC$146,27,FALSE)*E388/1000)/VLOOKUP($C$385,'DB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'!$S$7/100*(1-VLOOKUP(D388,'DB technologies'!$N$182:$Y$194,9,FALSE)/100)))</f>
        <v/>
      </c>
      <c r="K388" s="434" t="str">
        <f>IF(D388="","",((VLOOKUP(D388,'DB technologies'!$N$182:$Y$194,4,FALSE)*E388*'DB additional information '!$S$8/100*(1-VLOOKUP(D388,'DB technologies'!$N$182:$Y$194,9,FALSE)/100))/VLOOKUP($C$385,'DB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L388" s="423" t="str">
        <f>IF('Calc (ex-animal)'!$F$73=1,"",IF(D388="","",(((VLOOKUP($C$385,'Calc (ex-animal)'!$D$73:$Y$77,6,FALSE)-VLOOKUP($C$385,'Calc (ex-animal)'!$D$73:$Y$77,17,FALSE))*F388/100))*(1-VLOOKUP($C$385,'Calc (ex-animal)'!$D$73:$Y$77,7,FALSE)/100)*(1-VLOOKUP(D388,'DB technologies'!$N$182:$V$194,8,FALSE)/100)))</f>
        <v/>
      </c>
      <c r="M388" s="434" t="str">
        <f>IF(D388="","",((VLOOKUP(D388,'DB technologies'!$N$182:$Y$194,2,FALSE)*VLOOKUP($C$385,'DB animal categories'!$C$137:$AC$146,27,FALSE)*E388/1000)/VLOOKUP($C$385,'DB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'!$S$6/100)*(1-VLOOKUP(D388,'DB technologies'!$N$182:$Y$194,9,FALSE)/100))</f>
        <v/>
      </c>
      <c r="N388" s="434" t="str">
        <f>IF(D388="","",((VLOOKUP(D388,'DB technologies'!$N$182:$Y$194,3,FALSE)*VLOOKUP($C$385,'DB animal categories'!$C$137:$AC$146,27,FALSE)*E388/1000)/VLOOKUP($C$385,'DB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'!$S$7/100)*(1-VLOOKUP(D388,'DB technologies'!$N$182:$Y$194,9,FALSE)/100))</f>
        <v/>
      </c>
      <c r="O388" s="423" t="str">
        <f>IF(D388="","",((VLOOKUP(D388,'DB technologies'!$N$182:$Y$194,4,FALSE)*E388*(1-'DB additional information '!$S$8/100)*(1-VLOOKUP(D388,'DB technologies'!$N$182:$Y$194,8,FALSE)/100))/VLOOKUP($C$385,'DB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P388" s="438" t="str">
        <f>IF(G388=0,0,IF(E388="","",IF(F388="","",IF($C$385=0,"",IF(D388="","",SUM(H388:K388)/G388*100)))))</f>
        <v/>
      </c>
      <c r="Q388" s="416" t="str">
        <f>IF(D388="","",(VLOOKUP(D388,'DB technologies'!$N$182:$Y$194,2,FALSE)*'DB additional information '!$S$6/100*'DB additional information '!$T$6*VLOOKUP($C$385,'DB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R388" s="416" t="str">
        <f>IF(D388="","",(VLOOKUP(D388,'DB technologies'!$N$182:$Y$194,3,FALSE)*'DB additional information '!$S$7/100*'DB additional information '!$T$7*VLOOKUP($C$385,'DB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S388" s="491" t="str">
        <f>IF(D388="","",(VLOOKUP(D388,'DB technologies'!$N$182:$Y$194,4,FALSE)*('DB additional information '!$S$8/100*'DB additional information '!$T$8*E388/1000/1000)))</f>
        <v/>
      </c>
      <c r="T388" s="264" t="str">
        <f>IF($C$385=0,"",IF('Calc (ex-animal)'!$F$73=1,"",IF(D388="","",((VLOOKUP($C$385,'Calc (ex-animal)'!$D$73:$Y$77,10,FALSE)-VLOOKUP($C$385,'Calc (ex-animal)'!$D$73:$Y$77,18,FALSE))*F388/100+Q388+R388+S388)-AC388-AD388-AE388)))</f>
        <v/>
      </c>
      <c r="U388" s="422" t="str">
        <f>IF(D388="","",(VLOOKUP(D388,'DB technologies'!$N$182:$Y$194,2,FALSE)*'DB additional information '!$S$6/100*'DB additional information '!$U$6*VLOOKUP($C$385,'DB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V388" s="418" t="str">
        <f>IF(D388="","",(VLOOKUP(D388,'DB technologies'!$N$182:$Y$194,3,FALSE)*'DB additional information '!$S$7/100*'DB additional information '!$U$7*VLOOKUP($C$385,'DB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W388" s="417" t="str">
        <f>IF(D388="","",(VLOOKUP(D388,'DB technologies'!$N$182:$Y$194,4,FALSE)*('DB additional information '!$S$8/100*'DB additional information '!$U$8*E388/1000/1000)))</f>
        <v/>
      </c>
      <c r="X388" s="261" t="str">
        <f>IF($C$385=0,"",IF('Calc (ex-animal)'!$F$73=1,"",IF(D388="","",((VLOOKUP($C$385,'Calc (ex-animal)'!$D$73:$Y$77,13,FALSE)-VLOOKUP($C$385,'Calc (ex-animal)'!$D$73:$Y$77,19,FALSE))*F388/100+U388+V388+W388))))</f>
        <v/>
      </c>
      <c r="Y388" s="418" t="str">
        <f>IF(D388="","",(VLOOKUP(D388,'DB technologies'!$N$182:$Y$194,2,FALSE)*'DB additional information '!$S$6/100*'DB additional information '!$V$6*VLOOKUP($C$385,'DB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Z388" s="418" t="str">
        <f>IF(D388="","",(VLOOKUP(D388,'DB technologies'!$N$182:$Y$194,3,FALSE)*'DB additional information '!$S$7/100*'DB additional information '!$V$7*VLOOKUP($C$385,'DB animal categories'!$C$137:$AC$146,27,FALSE)*E388/1000/1000)/VLOOKUP($C$385,'DB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AA388" s="418" t="str">
        <f>IF(D388="","",(VLOOKUP(D388,'DB technologies'!$N$182:$Y$194,4,FALSE)*('DB additional information '!$S$8/100*'DB additional information '!$V$8*E388/1000/1000)))</f>
        <v/>
      </c>
      <c r="AB388" s="261" t="str">
        <f>IF($C$385=0,"",IF('Calc (ex-animal)'!$F$73=1,"",IF(D388="","",((VLOOKUP($C$385,'Calc (ex-animal)'!$D$73:$Y$77,16,FALSE)-VLOOKUP($C$385,'Calc (ex-animal)'!$D$73:$Y$77,20,FALSE))*F388/100+Y388+Z388+AA388))))</f>
        <v/>
      </c>
      <c r="AC388" s="261" t="str">
        <f>IF($C$385=0,"",IF('Calc (ex-animal)'!$F$73=1,"",IF(D388="","",VLOOKUP($C$385,'Calc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categories'!$C$137:$AC$146,26,FALSE)/24)*F388/100*VLOOKUP(D388,'DB technologies'!$N$182:$R$194,5,FALSE)/100)))</f>
        <v/>
      </c>
      <c r="AD388" s="261" t="str">
        <f>IF($C$385=0,"",IF('Calc (ex-animal)'!$F$73=1,"",IF(D388="","",VLOOKUP($C$385,'Calc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categories'!$C$137:$AC$146,26,FALSE)/24)*F388/100*VLOOKUP(D388,'DB technologies'!$N$182:$Y$194,6,FALSE)/100)))</f>
        <v/>
      </c>
      <c r="AE388" s="262" t="str">
        <f>IF($C$385=0,"",IF('Calc (ex-animal)'!$F$73=1,"",IF(D388="","",VLOOKUP($C$385,'Calc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categories'!$C$137:$AC$146,26,FALSE)/24)*F388/100*VLOOKUP(D388,'DB technologies'!$N$182:$Y$194,7,FALSE)/100)))</f>
        <v/>
      </c>
      <c r="AI388" s="181" t="str">
        <f>IF(D388="","",VLOOKUP(D388,'DB technologies'!$N$182:$Y$194,10,FALSE))</f>
        <v/>
      </c>
      <c r="AJ388" s="449" t="e">
        <f>VLOOKUP($C$385,'DB animal categories'!$C$137:$AN$146,27,FALSE)-VLOOKUP($C$385,'DB animal categories'!$C$137:$AN$146,26,FALSE)*VLOOKUP($C$385,'DB animal categories'!$C$137:$AN$146,25,FALSE)/24</f>
        <v>#N/A</v>
      </c>
      <c r="AK388" s="442" t="str">
        <f>IF(AI388="","",AL388+AM388)</f>
        <v/>
      </c>
      <c r="AL388" s="442" t="str">
        <f>IF(D388="","",IF(AI388=2,(('Calc (ex-animal)'!$G$76*'DB additional information '!$K$16/100*(1-VLOOKUP(D388,'DB technologies'!$N$182:$Y$194,9,FALSE)/100)*'Calc (ex-housing, ex-storage)'!F388/100+'Calc (ex-animal)'!$H$76*'DB additional information '!$L$16/100*(1-VLOOKUP(D388,'DB technologies'!$N$182:$Y$194,9,FALSE)/100)*'Calc (ex-housing, ex-storage)'!F388/100))/VLOOKUP($C$385,'DB animal categories'!$C$137:$AC$146,27,FALSE)*AJ388+I388+J388+K388,IF(AI388=1,('Calc (ex-animal)'!$H$76*'DB additional information '!$L$16/100*(1-VLOOKUP(D388,'DB technologies'!$N$182:$Y$194,9,FALSE)/100)*'Calc (ex-housing, ex-storage)'!F388/100)/VLOOKUP($C$385,'DB animal categories'!$C$137:$AC$146,27,FALSE)*AJ388,IF(AI388=4,('Calc (ex-animal)'!$G$76*'DB additional information '!$K$16/100+'Calc (ex-animal)'!$H$76*'DB additional information '!$L$16/100)*(1-VLOOKUP(D388,'DB technologies'!$N$182:$Y$194,9,FALSE)/100)*'Calc (ex-housing, ex-storage)'!F388/100*VLOOKUP(D388,'DB technologies'!$N$182:$Y$194,11,FALSE)/100/VLOOKUP($C$385,'DB animal categories'!$C$137:$AC$146,27,FALSE)*AJ388,0))))</f>
        <v/>
      </c>
      <c r="AM388" s="442" t="str">
        <f>IF(D388="","",IF(AI388=2,(('Calc (ex-animal)'!$G$76*(1-'DB additional information '!$K$16/100)*(1-VLOOKUP(D388,'DB technologies'!$N$182:$Y$194,8,FALSE)/100)*'Calc (ex-housing, ex-storage)'!F388/100+'Calc (ex-animal)'!$H$76*(1-'DB additional information '!$L$16/100)*(1-VLOOKUP(D388,'DB technologies'!$N$182:$Y$194,8,FALSE)/100)*'Calc (ex-housing, ex-storage)'!F388/100))/VLOOKUP($C$385,'DB animal categories'!$C$137:$AC$146,27,FALSE)*AJ388+M388+N388+O388,IF(AI388=1,('Calc (ex-animal)'!$H$76*(1-'DB additional information '!$L$16/100)*(1-VLOOKUP(D388,'DB technologies'!$N$182:$Y$194,8,FALSE)/100)*'Calc (ex-housing, ex-storage)'!F388/100)/VLOOKUP($C$385,'DB animal categories'!$C$137:$AC$146,27,FALSE)*AJ388,IF(AI388=4,('Calc (ex-animal)'!$G$76*(1-'DB additional information '!$K$16/100)+'Calc (ex-animal)'!$H$76*(1-'DB additional information '!$L$16/100))*(1-VLOOKUP(D388,'DB technologies'!$N$182:$Y$194,8,FALSE)/100)*'Calc (ex-housing, ex-storage)'!F388/100*VLOOKUP(D388,'DB technologies'!$N$182:$Y$194,11,FALSE)/100/VLOOKUP($C$385,'DB animal categories'!$C$137:$AC$146,27,FALSE)*AJ388,0))))</f>
        <v/>
      </c>
      <c r="AN388" s="442" t="str">
        <f>IF(AI388="","",IF(AL388=0,0,AL388/AK388*100))</f>
        <v/>
      </c>
      <c r="AO388" s="182" t="str">
        <f>IF(D388="","",IF(AI388=2,(('Calc (ex-animal)'!$L$76*'Calc (ex-housing, ex-storage)'!F388/100+'Calc (ex-animal)'!$K$76*'Calc (ex-housing, ex-storage)'!F388/100))/VLOOKUP($C$385,'DB animal categories'!$C$137:$AC$146,27,FALSE)*AJ388+Q388+R388+S388-AC388,IF(AI388=1,('Calc (ex-animal)'!$L$76*'Calc (ex-housing, ex-storage)'!F388/100)/VLOOKUP($C$385,'DB animal categories'!$C$137:$AC$146,27,FALSE)*AJ388-'Calc (ex-housing, ex-storage)'!AC388,IF(AI388=4,('Calc (ex-animal)'!$L$76+'Calc (ex-animal)'!$K$76)*'Calc (ex-housing, ex-storage)'!F388/100*VLOOKUP(D388,'DB technologies'!$N$182:$Y$194,11,FALSE)/100/VLOOKUP($C$385,'DB animal categories'!$C$137:$AC$146,27,FALSE)*AJ388-AC388*VLOOKUP(D388,'DB technologies'!$N$182:$Y$194,11,FALSE)/100,0))))</f>
        <v/>
      </c>
      <c r="AP388" s="182" t="str">
        <f>IF(D388="","",IF(AO388&lt;-0.01,0,IF(AI388=2,(('Calc (ex-animal)'!$L$76*'Calc (ex-housing, ex-storage)'!F388/100+'Calc (ex-animal)'!$K$76*'Calc (ex-housing, ex-storage)'!F388/100))/VLOOKUP($C$385,'DB animal categories'!$C$137:$AC$146,27,FALSE)*AJ388+Q388+R388+S388-AC388,IF(AI388=1,('Calc (ex-animal)'!$L$76*'Calc (ex-housing, ex-storage)'!F388/100)/VLOOKUP($C$385,'DB animal categories'!$C$137:$AC$146,27,FALSE)*AJ388-'Calc (ex-housing, ex-storage)'!AC388,IF(AI388=4,('Calc (ex-animal)'!$L$76+'Calc (ex-animal)'!$K$76)*'Calc (ex-housing, ex-storage)'!F388/100*VLOOKUP(D388,'DB technologies'!$N$182:$Y$194,11,FALSE)/100/VLOOKUP($C$385,'DB animal categories'!$C$137:$AC$146,27,FALSE)*AJ388-AC388*VLOOKUP(D388,'DB technologies'!$N$182:$Y$194,11,FALSE)/100,0)))))</f>
        <v/>
      </c>
      <c r="AQ388" s="182" t="str">
        <f>IF(D388="","",IF(AI388=2,('Calc (ex-animal)'!$O$76*'Calc (ex-housing, ex-storage)'!F388/100+'Calc (ex-animal)'!$N$76*'Calc (ex-housing, ex-storage)'!F388/100)/VLOOKUP($C$385,'DB animal categories'!$C$137:$AC$146,27,FALSE)*AJ388+U388+V388+W388,IF(AI388=1,'Calc (ex-animal)'!$O$76*'Calc (ex-housing, ex-storage)'!F388/100/VLOOKUP($C$385,'DB animal categories'!$C$137:$AC$146,27,FALSE)*AJ388,IF(AI388=4,('Calc (ex-animal)'!$O$76+'Calc (ex-animal)'!$N$76)*'Calc (ex-housing, ex-storage)'!F388/100*VLOOKUP(D388,'DB technologies'!$N$182:$Y$194,11,FALSE)/100/VLOOKUP($C$385,'DB animal categories'!$C$137:$AC$146,27,FALSE)*AJ388,0))))</f>
        <v/>
      </c>
      <c r="AR388" s="182" t="str">
        <f>IF(D388="","",IF(AI388=2,('Calc (ex-animal)'!$R$76*'Calc (ex-housing, ex-storage)'!F388/100+'Calc (ex-animal)'!$Q$76*'Calc (ex-housing, ex-storage)'!F388/100)/VLOOKUP($C$385,'DB animal categories'!$C$137:$AC$146,27,FALSE)*AJ388+Y388+Z388+AA388,IF(AI388=1,'Calc (ex-animal)'!$R$76*'Calc (ex-housing, ex-storage)'!F388/100/VLOOKUP($C$385,'DB animal categories'!$C$137:$AC$146,27,FALSE)*AJ388,IF(AI388=4,('Calc (ex-animal)'!$R$76+'Calc (ex-animal)'!$Q$76)*'Calc (ex-housing, ex-storage)'!F388/100*VLOOKUP(D388,'DB technologies'!$N$182:$Y$194,11,FALSE)/100/VLOOKUP($C$385,'DB animal categories'!$C$137:$AC$146,27,FALSE)*AJ388,0))))</f>
        <v/>
      </c>
      <c r="AS388" s="181" t="str">
        <f>IF(D388="","",VLOOKUP(D388,'DB technologies'!$N$182:$Y$194,10,FALSE))</f>
        <v/>
      </c>
      <c r="AT388" s="442" t="str">
        <f>IF(AS388="","",AU388+AV388)</f>
        <v/>
      </c>
      <c r="AU388" s="442" t="str">
        <f>IF(D388="","",IF(AS388=2,0,IF(AS388=1,'Calc (ex-animal)'!$G$76*'DB additional information '!$K$16/100*(1-VLOOKUP(D388,'DB technologies'!$N$182:$Y$194,8,FALSE)/100)*'Calc (ex-housing, ex-storage)'!F388/100/VLOOKUP($C$385,'DB animal categories'!$C$137:$AC$146,27,FALSE)*AJ388+I388+J388+K388,IF(AS388=5,(('Calc (ex-animal)'!$G$76*'DB additional information '!$K$16/100+'Calc (ex-animal)'!$H$76*'DB additional information '!$L$16/100))*(1-VLOOKUP(D388,'DB technologies'!$N$182:$Y$194,9,FALSE)/100)*'Calc (ex-housing, ex-storage)'!F388/100/VLOOKUP($C$385,'DB animal categories'!$C$137:$AC$146,27,FALSE)*AJ388+I388+J388+K388,IF(AS388=3,('Calc (ex-animal)'!$G$76*'DB additional information '!$K$16/100+'Calc (ex-animal)'!$H$76*'DB additional information '!$L$16/100)*(1-VLOOKUP(D388,'DB technologies'!$N$182:$Y$194,9,FALSE)/100)*'Calc (ex-housing, ex-storage)'!F388/100/VLOOKUP($C$385,'DB animal categories'!$C$137:$AC$146,27,FALSE)*AJ388+I388+J388+K388,IF(AS388=4,('Calc (ex-animal)'!$G$76*'DB additional information '!$K$16/100+'Calc (ex-animal)'!$H$76*'DB additional information '!$L$16/100)*(1-VLOOKUP(D388,'DB technologies'!$N$182:$Y$194,9,FALSE)/100)*'Calc (ex-housing, ex-storage)'!F388/100*VLOOKUP(D388,'DB technologies'!$N$182:$Y$194,12,FALSE)/100/VLOOKUP($C$385,'DB animal categories'!$C$137:$AC$146,27,FALSE)*AJ388+I388+J388+K388,0))))))</f>
        <v/>
      </c>
      <c r="AV388" s="442" t="str">
        <f>IF(D388="","",IF(AS388=2,0,IF(AS388=1,'Calc (ex-animal)'!$G$76*(1-'DB additional information '!$K$16/100)*(1-VLOOKUP(D388,'DB technologies'!$N$182:$Y$194,8,FALSE)/100)*'Calc (ex-housing, ex-storage)'!F388/100/VLOOKUP($C$385,'DB animal categories'!$C$137:$AC$146,27,FALSE)*AJ388+M388+N388+O388,IF(AS388=5,('Calc (ex-animal)'!$G$76*(1-'DB additional information '!$K$16/100)+'Calc (ex-animal)'!$H$76*(1-'DB additional information '!$L$16/100))*(1-VLOOKUP(D388,'DB technologies'!$N$182:$Y$194,8,FALSE)/100)*'Calc (ex-housing, ex-storage)'!F388/100/VLOOKUP($C$385,'DB animal categories'!$C$137:$AC$146,27,FALSE)*AJ388+M388+N388+O388,IF(AS388=3,('Calc (ex-animal)'!$G$76*(1-'DB additional information '!$K$16/100)+'Calc (ex-animal)'!$H$76*(1-'DB additional information '!$L$16/100))*(1-VLOOKUP(D388,'DB technologies'!$N$182:$Y$194,8,FALSE)/100)*'Calc (ex-housing, ex-storage)'!F388/100/VLOOKUP($C$385,'DB animal categories'!$C$137:$AC$146,27,FALSE)*AJ388+M388+N388+O388,IF(AS388=4,('Calc (ex-animal)'!$G$76*(1-'DB additional information '!$K$16/100)+'Calc (ex-animal)'!$H$76*(1-'DB additional information '!$L$16/100))*(1-VLOOKUP(D388,'DB technologies'!$N$182:$Y$194,8,FALSE)/100)*'Calc (ex-housing, ex-storage)'!F388/100*VLOOKUP(D388,'DB technologies'!$N$182:$Y$194,12,FALSE)/100/VLOOKUP($C$385,'DB animal categories'!$C$137:$AC$146,27,FALSE)*AJ388+M388+N388+O388,0))))))</f>
        <v/>
      </c>
      <c r="AW388" s="442" t="str">
        <f>IF(AS388="","",IF(AU388=0,0,AU388/AT388*100))</f>
        <v/>
      </c>
      <c r="AX388" s="182" t="str">
        <f>IF(D388="","",IF(AS388=2,0,IF(AS388=1,'Calc (ex-animal)'!$K$76*'Calc (ex-housing, ex-storage)'!F388/100/VLOOKUP($C$385,'DB animal categories'!$C$137:$AC$146,27,FALSE)*AJ388+Q388+R388+S388,IF(AS388=5,('Calc (ex-animal)'!$K$76+'Calc (ex-animal)'!$L$76)*'Calc (ex-housing, ex-storage)'!F388/100/VLOOKUP($C$385,'DB animal categories'!$C$137:$AC$146,27,FALSE)*AJ388+Q388+R388+S388-'Calc (ex-housing, ex-storage)'!AC388,IF(AS388=3,('Calc (ex-animal)'!$K$76+'Calc (ex-animal)'!$L$76)*'Calc (ex-housing, ex-storage)'!F388/100/VLOOKUP($C$385,'DB animal categories'!$C$137:$AC$146,27,FALSE)*AJ388+Q388+R388+S388-'Calc (ex-housing, ex-storage)'!AC388-AD388-AE388,IF(AI388=4,('Calc (ex-animal)'!$K$76+'Calc (ex-animal)'!$L$76)*'Calc (ex-housing, ex-storage)'!F388/100*VLOOKUP(D388,'DB technologies'!$N$182:$Y$194,12,FALSE)/100/VLOOKUP($C$385,'DB animal categories'!$C$137:$AC$146,27,FALSE)*AJ388+Q388+R388+S388-(VLOOKUP(D388,'DB technologies'!$N$182:$Y$194,12,FALSE)/100*AC388)-AD388-AE388,0))))))</f>
        <v/>
      </c>
      <c r="AY388" s="182" t="str">
        <f>IF(D388="","",IF(AS388=2,0,IF(AS388=1,'Calc (ex-animal)'!$N$76*'Calc (ex-housing, ex-storage)'!F388/100/VLOOKUP($C$385,'DB animal categories'!$C$137:$AC$146,27,FALSE)*AJ388+U388+V388+W388,IF(AS388=5,('Calc (ex-animal)'!$N$76+'Calc (ex-animal)'!$O$76)*'Calc (ex-housing, ex-storage)'!F388/100/VLOOKUP($C$385,'DB animal categories'!$C$137:$AC$146,27,FALSE)*AJ388+U388+V388+W388,IF(AS388=3,('Calc (ex-animal)'!$N$76+'Calc (ex-animal)'!$O$76)*'Calc (ex-housing, ex-storage)'!F388/100/VLOOKUP($C$385,'DB animal categories'!$C$137:$AC$146,27,FALSE)*AJ388+U388+V388+W388,IF(AS388=4,('Calc (ex-animal)'!$N$76+'Calc (ex-animal)'!$O$76)*'Calc (ex-housing, ex-storage)'!F388/100*VLOOKUP(D388,'DB technologies'!$N$182:$Y$194,12,FALSE)/100/VLOOKUP($C$385,'DB animal categories'!$C$137:$AC$146,27,FALSE)*AJ388+U388+V388+W388,0))))))</f>
        <v/>
      </c>
      <c r="AZ388" s="182" t="str">
        <f>IF(D388="","",IF(AS388=2,0,IF(AS388=1,'Calc (ex-animal)'!$Q$76*'Calc (ex-housing, ex-storage)'!F388/100/VLOOKUP($C$385,'DB animal categories'!$C$137:$AC$146,27,FALSE)*AJ388+Y388+Z388+AA388,IF(AS388=5,('Calc (ex-animal)'!$Q$76+'Calc (ex-animal)'!$R$76)*'Calc (ex-housing, ex-storage)'!F388/100/VLOOKUP($C$385,'DB animal categories'!$C$137:$AC$146,27,FALSE)*AJ388+Y388+Z388+AA388,IF(AS388=3,('Calc (ex-animal)'!$Q$76+'Calc (ex-animal)'!$R$76)*'Calc (ex-housing, ex-storage)'!F388/100/VLOOKUP($C$385,'DB animal categories'!$C$137:$AC$146,27,FALSE)*AJ388+Y388+Z388+AA388,IF(AS388=4,('Calc (ex-animal)'!$Q$76+'Calc (ex-animal)'!$R$76)*'Calc (ex-housing, ex-storage)'!F388/100*VLOOKUP(D388,'DB technologies'!$N$182:$Y$194,12,FALSE)/100/VLOOKUP($C$385,'DB animal categories'!$C$137:$AC$146,27,FALSE)*AJ388+Y388+Z388+AA388,0))))))</f>
        <v/>
      </c>
      <c r="BA388" s="506"/>
      <c r="BB388" s="506"/>
      <c r="BC388" s="506"/>
    </row>
    <row r="389" spans="1:55" ht="12" thickBot="1" x14ac:dyDescent="0.25">
      <c r="A389" s="695"/>
      <c r="B389" s="695"/>
      <c r="C389" s="251"/>
      <c r="D389" s="1359"/>
      <c r="E389" s="1360"/>
      <c r="F389" s="481" t="str">
        <f>IF('Calc (ex-animal)'!$F$73=1,"",IF($C$385=0,"",IF(D389="","",E389/'Calc (ex-animal)'!$E$76*100)))</f>
        <v/>
      </c>
      <c r="G389" s="483" t="str">
        <f>IF($C$385=0,"",IF('Calc (ex-animal)'!$F$73=1,"",IF(D389="","",SUM(H389:O389))))</f>
        <v/>
      </c>
      <c r="H389" s="445" t="str">
        <f>IF('Calc (ex-animal)'!$F$73=1,"",IF(D389="","",(((VLOOKUP($C$385,'Calc (ex-animal)'!$D$73:$Y$77,6,FALSE)-VLOOKUP($C$385,'Calc (ex-animal)'!$D$73:$Y$77,17,FALSE))*F389/100))*VLOOKUP($C$385,'Calc (ex-animal)'!$D$73:$Y$77,7,FALSE)/100*(1-VLOOKUP(D389,'DB technologies'!$N$182:$Y$194,9,FALSE)/100)))</f>
        <v/>
      </c>
      <c r="I389" s="445" t="str">
        <f>IF(D389="","",((VLOOKUP(D389,'DB technologies'!$N$182:$Y$194,2,FALSE)*VLOOKUP($C$385,'DB animal categories'!$C$137:$AC$146,27,FALSE)*E389/1000)/VLOOKUP($C$385,'DB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'!$S$6/100*(1-VLOOKUP(D389,'DB technologies'!$N$182:$Y$194,9,FALSE)/100)))</f>
        <v/>
      </c>
      <c r="J389" s="446" t="str">
        <f>IF(D389="","",((VLOOKUP(D389,'DB technologies'!$N$182:$Y$194,3,FALSE)*VLOOKUP($C$385,'DB animal categories'!$C$137:$AC$146,27,FALSE)*E389/1000)/VLOOKUP($C$385,'DB animal categories'!$C$137:$AC$146,27,FALSE)*(VLOOKUP($C$385,'DB animal categories'!$C$137:$AC$146,27,FALSE)-(VLOOKUP($C$385,'DB animal categories'!$C$137:$AC$146,25,FALSE)*VLOOKUP($C$385,'DB animal categories'!$C$137:$AC$146,26,FALSE)/24))*'DB additional information '!$S$7/100*(1-VLOOKUP(D389,'DB technologies'!$N$182:$Y$194,9,FALSE)/100)))</f>
        <v/>
      </c>
      <c r="K389" s="446" t="str">
        <f>IF(D389="","",((VLOOKUP(D389,'DB technologies'!$N$182:$Y$194,4,FALSE)*E389*'DB additional information '!$S$8/100*(1-VLOOKUP(D389,'DB technologies'!$N$182:$Y$194,9,FALSE)/100))/VLOOKUP($C$385,'DB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L389" s="445" t="str">
        <f>IF('Calc (ex-animal)'!$F$73=1,"",IF(D389="","",(((VLOOKUP($C$385,'Calc (ex-animal)'!$D$73:$Y$77,6,FALSE)-VLOOKUP($C$385,'Calc (ex-animal)'!$D$73:$Y$77,17,FALSE))*F389/100))*(1-VLOOKUP($C$385,'Calc (ex-animal)'!$D$73:$Y$77,7,FALSE)/100)*(1-VLOOKUP(D389,'DB technologies'!$N$182:$V$194,8,FALSE)/100)))</f>
        <v/>
      </c>
      <c r="M389" s="446" t="str">
        <f>IF(D389="","",((VLOOKUP(D389,'DB technologies'!$N$182:$Y$194,2,FALSE)*VLOOKUP($C$385,'DB animal categories'!$C$137:$AC$146,27,FALSE)*E389/1000)/VLOOKUP($C$385,'DB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'!$S$6/100)*(1-VLOOKUP(D389,'DB technologies'!$N$182:$Y$194,9,FALSE)/100))</f>
        <v/>
      </c>
      <c r="N389" s="446" t="str">
        <f>IF(D389="","",((VLOOKUP(D389,'DB technologies'!$N$182:$Y$194,3,FALSE)*VLOOKUP($C$385,'DB animal categories'!$C$137:$AC$146,27,FALSE)*E389/1000)/VLOOKUP($C$385,'DB animal categories'!$C$137:$AC$146,27,FALSE)*(VLOOKUP($C$385,'DB animal categories'!$C$137:$AC$146,27,FALSE)-VLOOKUP($C$385,'DB animal categories'!$C$137:$AC$146,25,FALSE)*VLOOKUP($C$385,'DB animal categories'!$C$137:$AC$146,26,FALSE)/24))*(1-'DB additional information '!$S$7/100)*(1-VLOOKUP(D389,'DB technologies'!$N$182:$Y$194,9,FALSE)/100))</f>
        <v/>
      </c>
      <c r="O389" s="445" t="str">
        <f>IF(D389="","",((VLOOKUP(D389,'DB technologies'!$N$182:$Y$194,4,FALSE)*E389*(1-'DB additional information '!$S$8/100)*(1-VLOOKUP(D389,'DB technologies'!$N$182:$Y$194,8,FALSE)/100))/VLOOKUP($C$385,'DB animal categories'!$C$137:$AC$146,27,FALSE)*(VLOOKUP($C$385,'DB animal categories'!$C$137:$AC$146,27,FALSE)-VLOOKUP($C$385,'DB animal categories'!$C$137:$AC$146,25,FALSE)*VLOOKUP($C$385,'DB animal categories'!$C$137:$AC$146,26,FALSE)/24)))</f>
        <v/>
      </c>
      <c r="P389" s="444" t="str">
        <f>IF(G389=0,0,IF(E389="","",IF(F389="","",IF($C$385=0,"",IF(D389="","",SUM(H389:K389)/G389*100)))))</f>
        <v/>
      </c>
      <c r="Q389" s="476" t="str">
        <f>IF(D389="","",(VLOOKUP(D389,'DB technologies'!$N$182:$Y$194,2,FALSE)*'DB additional information '!$S$6/100*'DB additional information '!$T$6*VLOOKUP($C$385,'DB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R389" s="476" t="str">
        <f>IF(D389="","",(VLOOKUP(D389,'DB technologies'!$N$182:$Y$194,3,FALSE)*'DB additional information '!$S$7/100*'DB additional information '!$T$7*VLOOKUP($C$385,'DB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S389" s="494" t="str">
        <f>IF(D389="","",(VLOOKUP(D389,'DB technologies'!$N$182:$Y$194,4,FALSE)*('DB additional information '!$S$8/100*'DB additional information '!$T$8*E389/1000/1000)))</f>
        <v/>
      </c>
      <c r="T389" s="266" t="str">
        <f>IF($C$385=0,"",IF('Calc (ex-animal)'!$F$73=1,"",IF(D389="","",((VLOOKUP($C$385,'Calc (ex-animal)'!$D$73:$Y$77,10,FALSE)-VLOOKUP($C$385,'Calc (ex-animal)'!$D$73:$Y$77,18,FALSE))*F389/100+Q389+R389+S389)-AC389-AD389-AE389)))</f>
        <v/>
      </c>
      <c r="U389" s="477" t="str">
        <f>IF(D389="","",(VLOOKUP(D389,'DB technologies'!$N$182:$Y$194,2,FALSE)*'DB additional information '!$S$6/100*'DB additional information '!$U$6*VLOOKUP($C$385,'DB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V389" s="433" t="str">
        <f>IF(D389="","",(VLOOKUP(D389,'DB technologies'!$N$182:$Y$194,3,FALSE)*'DB additional information '!$S$7/100*'DB additional information '!$U$7*VLOOKUP($C$385,'DB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W389" s="475" t="str">
        <f>IF(D389="","",(VLOOKUP(D389,'DB technologies'!$N$182:$Y$194,4,FALSE)*('DB additional information '!$S$8/100*'DB additional information '!$U$8*E389/1000/1000)))</f>
        <v/>
      </c>
      <c r="X389" s="267" t="str">
        <f>IF($C$385=0,"",IF('Calc (ex-animal)'!$F$73=1,"",IF(D389="","",((VLOOKUP($C$385,'Calc (ex-animal)'!$D$73:$Y$77,13,FALSE)-VLOOKUP($C$385,'Calc (ex-animal)'!$D$73:$Y$77,19,FALSE))*F389/100+U389+V389+W389))))</f>
        <v/>
      </c>
      <c r="Y389" s="433" t="str">
        <f>IF(D389="","",(VLOOKUP(D389,'DB technologies'!$N$182:$Y$194,2,FALSE)*'DB additional information '!$S$6/100*'DB additional information '!$V$6*VLOOKUP($C$385,'DB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Z389" s="433" t="str">
        <f>IF(D389="","",(VLOOKUP(D389,'DB technologies'!$N$182:$Y$194,3,FALSE)*'DB additional information '!$S$7/100*'DB additional information '!$V$7*VLOOKUP($C$385,'DB animal categories'!$C$137:$AC$146,27,FALSE)*E389/1000/1000)/VLOOKUP($C$385,'DB animal categories'!$C$137:$AC$146,27,FALSE)*(VLOOKUP($C$385,'DB animal categories'!$C$137:$AC$146,27,FALSE)-VLOOKUP($C$385,'DB animal categories'!$C$137:$AC$146,25,FALSE)*VLOOKUP($C$385,'DB animal categories'!$C$137:$AC$146,26,FALSE)/24))</f>
        <v/>
      </c>
      <c r="AA389" s="433" t="str">
        <f>IF(D389="","",(VLOOKUP(D389,'DB technologies'!$N$182:$Y$194,4,FALSE)*('DB additional information '!$S$8/100*'DB additional information '!$V$8*E389/1000/1000)))</f>
        <v/>
      </c>
      <c r="AB389" s="267" t="str">
        <f>IF($C$385=0,"",IF('Calc (ex-animal)'!$F$73=1,"",IF(D389="","",((VLOOKUP($C$385,'Calc (ex-animal)'!$D$73:$Y$77,16,FALSE)-VLOOKUP($C$385,'Calc (ex-animal)'!$D$73:$Y$77,20,FALSE))*F389/100+Y389+Z389+AA389))))</f>
        <v/>
      </c>
      <c r="AC389" s="267" t="str">
        <f>IF($C$385=0,"",IF('Calc (ex-animal)'!$F$73=1,"",IF(D389="","",VLOOKUP($C$385,'Calc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categories'!$C$137:$AC$146,26,FALSE)/24)*F389/100*VLOOKUP(D389,'DB technologies'!$N$182:$R$194,5,FALSE)/100)))</f>
        <v/>
      </c>
      <c r="AD389" s="267" t="str">
        <f>IF($C$385=0,"",IF('Calc (ex-animal)'!$F$73=1,"",IF(D389="","",VLOOKUP($C$385,'Calc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categories'!$C$137:$AC$146,26,FALSE)/24)*F389/100*VLOOKUP(D389,'DB technologies'!$N$182:$Y$194,6,FALSE)/100)))</f>
        <v/>
      </c>
      <c r="AE389" s="268" t="str">
        <f>IF($C$385=0,"",IF('Calc (ex-animal)'!$F$73=1,"",IF(D389="","",VLOOKUP($C$385,'Calc (ex-animal)'!$D$73:$Y$77,10,FALSE)/VLOOKUP($C$385,'DB animal categories'!$C$137:$AC$146,27,FALSE)*(VLOOKUP($C$385,'DB animal categories'!$C$137:$AC$146,27,FALSE)-VLOOKUP($C$385,'DB animal categories'!$C$137:$AC$146,25,FALSE)*VLOOKUP($C$385,'DB animal categories'!$C$137:$AC$146,26,FALSE)/24)*F389/100*VLOOKUP(D389,'DB technologies'!$N$182:$Y$194,7,FALSE)/100)))</f>
        <v/>
      </c>
      <c r="AI389" s="183" t="str">
        <f>IF(D389="","",VLOOKUP(D389,'DB technologies'!$N$182:$Y$194,10,FALSE))</f>
        <v/>
      </c>
      <c r="AJ389" s="451" t="e">
        <f>VLOOKUP($C$385,'DB animal categories'!$C$137:$AN$146,27,FALSE)-VLOOKUP($C$385,'DB animal categories'!$C$137:$AN$146,26,FALSE)*VLOOKUP($C$385,'DB animal categories'!$C$137:$AN$146,25,FALSE)/24</f>
        <v>#N/A</v>
      </c>
      <c r="AK389" s="452" t="str">
        <f>IF(AI389="","",AL389+AM389)</f>
        <v/>
      </c>
      <c r="AL389" s="452" t="str">
        <f>IF(D389="","",IF(AI389=2,(('Calc (ex-animal)'!$G$76*'DB additional information '!$K$16/100*(1-VLOOKUP(D389,'DB technologies'!$N$182:$Y$194,9,FALSE)/100)*'Calc (ex-housing, ex-storage)'!F389/100+'Calc (ex-animal)'!$H$76*'DB additional information '!$L$16/100*(1-VLOOKUP(D389,'DB technologies'!$N$182:$Y$194,9,FALSE)/100)*'Calc (ex-housing, ex-storage)'!F389/100))/VLOOKUP($C$385,'DB animal categories'!$C$137:$AC$146,27,FALSE)*AJ389+I389+J389+K389,IF(AI389=1,('Calc (ex-animal)'!$H$76*'DB additional information '!$L$16/100*(1-VLOOKUP(D389,'DB technologies'!$N$182:$Y$194,9,FALSE)/100)*'Calc (ex-housing, ex-storage)'!F389/100)/VLOOKUP($C$385,'DB animal categories'!$C$137:$AC$146,27,FALSE)*AJ389,IF(AI389=4,('Calc (ex-animal)'!$G$76*'DB additional information '!$K$16/100+'Calc (ex-animal)'!$H$76*'DB additional information '!$L$16/100)*(1-VLOOKUP(D389,'DB technologies'!$N$182:$Y$194,9,FALSE)/100)*'Calc (ex-housing, ex-storage)'!F389/100*VLOOKUP(D389,'DB technologies'!$N$182:$Y$194,11,FALSE)/100/VLOOKUP($C$385,'DB animal categories'!$C$137:$AC$146,27,FALSE)*AJ389,0))))</f>
        <v/>
      </c>
      <c r="AM389" s="452" t="str">
        <f>IF(D389="","",IF(AI389=2,(('Calc (ex-animal)'!$G$76*(1-'DB additional information '!$K$16/100)*(1-VLOOKUP(D389,'DB technologies'!$N$182:$Y$194,8,FALSE)/100)*'Calc (ex-housing, ex-storage)'!F389/100+'Calc (ex-animal)'!$H$76*(1-'DB additional information '!$L$16/100)*(1-VLOOKUP(D389,'DB technologies'!$N$182:$Y$194,8,FALSE)/100)*'Calc (ex-housing, ex-storage)'!F389/100))/VLOOKUP($C$385,'DB animal categories'!$C$137:$AC$146,27,FALSE)*AJ389+M389+N389+O389,IF(AI389=1,('Calc (ex-animal)'!$H$76*(1-'DB additional information '!$L$16/100)*(1-VLOOKUP(D389,'DB technologies'!$N$182:$Y$194,8,FALSE)/100)*'Calc (ex-housing, ex-storage)'!F389/100)/VLOOKUP($C$385,'DB animal categories'!$C$137:$AC$146,27,FALSE)*AJ389,IF(AI389=4,('Calc (ex-animal)'!$G$76*(1-'DB additional information '!$K$16/100)+'Calc (ex-animal)'!$H$76*(1-'DB additional information '!$L$16/100))*(1-VLOOKUP(D389,'DB technologies'!$N$182:$Y$194,8,FALSE)/100)*'Calc (ex-housing, ex-storage)'!F389/100*VLOOKUP(D389,'DB technologies'!$N$182:$Y$194,11,FALSE)/100/VLOOKUP($C$385,'DB animal categories'!$C$137:$AC$146,27,FALSE)*AJ389,0))))</f>
        <v/>
      </c>
      <c r="AN389" s="452" t="str">
        <f>IF(AI389="","",IF(AL389=0,0,AL389/AK389*100))</f>
        <v/>
      </c>
      <c r="AO389" s="184" t="str">
        <f>IF(D389="","",IF(AI389=2,(('Calc (ex-animal)'!$L$76*'Calc (ex-housing, ex-storage)'!F389/100+'Calc (ex-animal)'!$K$76*'Calc (ex-housing, ex-storage)'!F389/100))/VLOOKUP($C$385,'DB animal categories'!$C$137:$AC$146,27,FALSE)*AJ389+Q389+R389+S389-AC389,IF(AI389=1,('Calc (ex-animal)'!$L$76*'Calc (ex-housing, ex-storage)'!F389/100)/VLOOKUP($C$385,'DB animal categories'!$C$137:$AC$146,27,FALSE)*AJ389-'Calc (ex-housing, ex-storage)'!AC389,IF(AI389=4,('Calc (ex-animal)'!$L$76+'Calc (ex-animal)'!$K$76)*'Calc (ex-housing, ex-storage)'!F389/100*VLOOKUP(D389,'DB technologies'!$N$182:$Y$194,11,FALSE)/100/VLOOKUP($C$385,'DB animal categories'!$C$137:$AC$146,27,FALSE)*AJ389-AC389*VLOOKUP(D389,'DB technologies'!$N$182:$Y$194,11,FALSE)/100,0))))</f>
        <v/>
      </c>
      <c r="AP389" s="184" t="str">
        <f>IF(D389="","",IF(AO389&lt;-0.01,0,IF(AI389=2,(('Calc (ex-animal)'!$L$76*'Calc (ex-housing, ex-storage)'!F389/100+'Calc (ex-animal)'!$K$76*'Calc (ex-housing, ex-storage)'!F389/100))/VLOOKUP($C$385,'DB animal categories'!$C$137:$AC$146,27,FALSE)*AJ389+Q389+R389+S389-AC389,IF(AI389=1,('Calc (ex-animal)'!$L$76*'Calc (ex-housing, ex-storage)'!F389/100)/VLOOKUP($C$385,'DB animal categories'!$C$137:$AC$146,27,FALSE)*AJ389-'Calc (ex-housing, ex-storage)'!AC389,IF(AI389=4,('Calc (ex-animal)'!$L$76+'Calc (ex-animal)'!$K$76)*'Calc (ex-housing, ex-storage)'!F389/100*VLOOKUP(D389,'DB technologies'!$N$182:$Y$194,11,FALSE)/100/VLOOKUP($C$385,'DB animal categories'!$C$137:$AC$146,27,FALSE)*AJ389-AC389*VLOOKUP(D389,'DB technologies'!$N$182:$Y$194,11,FALSE)/100,0)))))</f>
        <v/>
      </c>
      <c r="AQ389" s="184" t="str">
        <f>IF(D389="","",IF(AI389=2,('Calc (ex-animal)'!$O$76*'Calc (ex-housing, ex-storage)'!F389/100+'Calc (ex-animal)'!$N$76*'Calc (ex-housing, ex-storage)'!F389/100)/VLOOKUP($C$385,'DB animal categories'!$C$137:$AC$146,27,FALSE)*AJ389+U389+V389+W389,IF(AI389=1,'Calc (ex-animal)'!$O$76*'Calc (ex-housing, ex-storage)'!F389/100/VLOOKUP($C$385,'DB animal categories'!$C$137:$AC$146,27,FALSE)*AJ389,IF(AI389=4,('Calc (ex-animal)'!$O$76+'Calc (ex-animal)'!$N$76)*'Calc (ex-housing, ex-storage)'!F389/100*VLOOKUP(D389,'DB technologies'!$N$182:$Y$194,11,FALSE)/100/VLOOKUP($C$385,'DB animal categories'!$C$137:$AC$146,27,FALSE)*AJ389,0))))</f>
        <v/>
      </c>
      <c r="AR389" s="184" t="str">
        <f>IF(D389="","",IF(AI389=2,('Calc (ex-animal)'!$R$76*'Calc (ex-housing, ex-storage)'!F389/100+'Calc (ex-animal)'!$Q$76*'Calc (ex-housing, ex-storage)'!F389/100)/VLOOKUP($C$385,'DB animal categories'!$C$137:$AC$146,27,FALSE)*AJ389+Y389+Z389+AA389,IF(AI389=1,'Calc (ex-animal)'!$R$76*'Calc (ex-housing, ex-storage)'!F389/100/VLOOKUP($C$385,'DB animal categories'!$C$137:$AC$146,27,FALSE)*AJ389,IF(AI389=4,('Calc (ex-animal)'!$R$76+'Calc (ex-animal)'!$Q$76)*'Calc (ex-housing, ex-storage)'!F389/100*VLOOKUP(D389,'DB technologies'!$N$182:$Y$194,11,FALSE)/100/VLOOKUP($C$385,'DB animal categories'!$C$137:$AC$146,27,FALSE)*AJ389,0))))</f>
        <v/>
      </c>
      <c r="AS389" s="183" t="str">
        <f>IF(D389="","",VLOOKUP(D389,'DB technologies'!$N$182:$Y$194,10,FALSE))</f>
        <v/>
      </c>
      <c r="AT389" s="452" t="str">
        <f>IF(AS389="","",AU389+AV389)</f>
        <v/>
      </c>
      <c r="AU389" s="452" t="str">
        <f>IF(D389="","",IF(AS389=2,0,IF(AS389=1,'Calc (ex-animal)'!$G$76*'DB additional information '!$K$16/100*(1-VLOOKUP(D389,'DB technologies'!$N$182:$Y$194,8,FALSE)/100)*'Calc (ex-housing, ex-storage)'!F389/100/VLOOKUP($C$385,'DB animal categories'!$C$137:$AC$146,27,FALSE)*AJ389+I389+J389+K389,IF(AS389=5,(('Calc (ex-animal)'!$G$76*'DB additional information '!$K$16/100+'Calc (ex-animal)'!$H$76*'DB additional information '!$L$16/100))*(1-VLOOKUP(D389,'DB technologies'!$N$182:$Y$194,9,FALSE)/100)*'Calc (ex-housing, ex-storage)'!F389/100/VLOOKUP($C$385,'DB animal categories'!$C$137:$AC$146,27,FALSE)*AJ389+I389+J389+K389,IF(AS389=3,('Calc (ex-animal)'!$G$76*'DB additional information '!$K$16/100+'Calc (ex-animal)'!$H$76*'DB additional information '!$L$16/100)*(1-VLOOKUP(D389,'DB technologies'!$N$182:$Y$194,9,FALSE)/100)*'Calc (ex-housing, ex-storage)'!F389/100/VLOOKUP($C$385,'DB animal categories'!$C$137:$AC$146,27,FALSE)*AJ389+I389+J389+K389,IF(AS389=4,('Calc (ex-animal)'!$G$76*'DB additional information '!$K$16/100+'Calc (ex-animal)'!$H$76*'DB additional information '!$L$16/100)*(1-VLOOKUP(D389,'DB technologies'!$N$182:$Y$194,9,FALSE)/100)*'Calc (ex-housing, ex-storage)'!F389/100*VLOOKUP(D389,'DB technologies'!$N$182:$Y$194,12,FALSE)/100/VLOOKUP($C$385,'DB animal categories'!$C$137:$AC$146,27,FALSE)*AJ389+I389+J389+K389,0))))))</f>
        <v/>
      </c>
      <c r="AV389" s="452" t="str">
        <f>IF(D389="","",IF(AS389=2,0,IF(AS389=1,'Calc (ex-animal)'!$G$76*(1-'DB additional information '!$K$16/100)*(1-VLOOKUP(D389,'DB technologies'!$N$182:$Y$194,8,FALSE)/100)*'Calc (ex-housing, ex-storage)'!F389/100/VLOOKUP($C$385,'DB animal categories'!$C$137:$AC$146,27,FALSE)*AJ389+M389+N389+O389,IF(AS389=5,('Calc (ex-animal)'!$G$76*(1-'DB additional information '!$K$16/100)+'Calc (ex-animal)'!$H$76*(1-'DB additional information '!$L$16/100))*(1-VLOOKUP(D389,'DB technologies'!$N$182:$Y$194,8,FALSE)/100)*'Calc (ex-housing, ex-storage)'!F389/100/VLOOKUP($C$385,'DB animal categories'!$C$137:$AC$146,27,FALSE)*AJ389+M389+N389+O389,IF(AS389=3,('Calc (ex-animal)'!$G$76*(1-'DB additional information '!$K$16/100)+'Calc (ex-animal)'!$H$76*(1-'DB additional information '!$L$16/100))*(1-VLOOKUP(D389,'DB technologies'!$N$182:$Y$194,8,FALSE)/100)*'Calc (ex-housing, ex-storage)'!F389/100/VLOOKUP($C$385,'DB animal categories'!$C$137:$AC$146,27,FALSE)*AJ389+M389+N389+O389,IF(AS389=4,('Calc (ex-animal)'!$G$76*(1-'DB additional information '!$K$16/100)+'Calc (ex-animal)'!$H$76*(1-'DB additional information '!$L$16/100))*(1-VLOOKUP(D389,'DB technologies'!$N$182:$Y$194,8,FALSE)/100)*'Calc (ex-housing, ex-storage)'!F389/100*VLOOKUP(D389,'DB technologies'!$N$182:$Y$194,12,FALSE)/100/VLOOKUP($C$385,'DB animal categories'!$C$137:$AC$146,27,FALSE)*AJ389+M389+N389+O389,0))))))</f>
        <v/>
      </c>
      <c r="AW389" s="452" t="str">
        <f>IF(AS389="","",IF(AU389=0,0,AU389/AT389*100))</f>
        <v/>
      </c>
      <c r="AX389" s="184" t="str">
        <f>IF(D389="","",IF(AS389=2,0,IF(AS389=1,'Calc (ex-animal)'!$K$76*'Calc (ex-housing, ex-storage)'!F389/100/VLOOKUP($C$385,'DB animal categories'!$C$137:$AC$146,27,FALSE)*AJ389+Q389+R389+S389,IF(AS389=5,('Calc (ex-animal)'!$K$76+'Calc (ex-animal)'!$L$76)*'Calc (ex-housing, ex-storage)'!F389/100/VLOOKUP($C$385,'DB animal categories'!$C$137:$AC$146,27,FALSE)*AJ389+Q389+R389+S389-'Calc (ex-housing, ex-storage)'!AC389,IF(AS389=3,('Calc (ex-animal)'!$K$76+'Calc (ex-animal)'!$L$76)*'Calc (ex-housing, ex-storage)'!F389/100/VLOOKUP($C$385,'DB animal categories'!$C$137:$AC$146,27,FALSE)*AJ389+Q389+R389+S389-'Calc (ex-housing, ex-storage)'!AC389-AD389-AE389,IF(AI389=4,('Calc (ex-animal)'!$K$76+'Calc (ex-animal)'!$L$76)*'Calc (ex-housing, ex-storage)'!F389/100*VLOOKUP(D389,'DB technologies'!$N$182:$Y$194,12,FALSE)/100/VLOOKUP($C$385,'DB animal categories'!$C$137:$AC$146,27,FALSE)*AJ389+Q389+R389+S389-(VLOOKUP(D389,'DB technologies'!$N$182:$Y$194,12,FALSE)/100*AC389)-AD389-AE389,0))))))</f>
        <v/>
      </c>
      <c r="AY389" s="184" t="str">
        <f>IF(D389="","",IF(AS389=2,0,IF(AS389=1,'Calc (ex-animal)'!$N$76*'Calc (ex-housing, ex-storage)'!F389/100/VLOOKUP($C$385,'DB animal categories'!$C$137:$AC$146,27,FALSE)*AJ389+U389+V389+W389,IF(AS389=5,('Calc (ex-animal)'!$N$76+'Calc (ex-animal)'!$O$76)*'Calc (ex-housing, ex-storage)'!F389/100/VLOOKUP($C$385,'DB animal categories'!$C$137:$AC$146,27,FALSE)*AJ389+U389+V389+W389,IF(AS389=3,('Calc (ex-animal)'!$N$76+'Calc (ex-animal)'!$O$76)*'Calc (ex-housing, ex-storage)'!F389/100/VLOOKUP($C$385,'DB animal categories'!$C$137:$AC$146,27,FALSE)*AJ389+U389+V389+W389,IF(AS389=4,('Calc (ex-animal)'!$N$76+'Calc (ex-animal)'!$O$76)*'Calc (ex-housing, ex-storage)'!F389/100*VLOOKUP(D389,'DB technologies'!$N$182:$Y$194,12,FALSE)/100/VLOOKUP($C$385,'DB animal categories'!$C$137:$AC$146,27,FALSE)*AJ389+U389+V389+W389,0))))))</f>
        <v/>
      </c>
      <c r="AZ389" s="184" t="str">
        <f>IF(D389="","",IF(AS389=2,0,IF(AS389=1,'Calc (ex-animal)'!$Q$76*'Calc (ex-housing, ex-storage)'!F389/100/VLOOKUP($C$385,'DB animal categories'!$C$137:$AC$146,27,FALSE)*AJ389+Y389+Z389+AA389,IF(AS389=5,('Calc (ex-animal)'!$Q$76+'Calc (ex-animal)'!$R$76)*'Calc (ex-housing, ex-storage)'!F389/100/VLOOKUP($C$385,'DB animal categories'!$C$137:$AC$146,27,FALSE)*AJ389+Y389+Z389+AA389,IF(AS389=3,('Calc (ex-animal)'!$Q$76+'Calc (ex-animal)'!$R$76)*'Calc (ex-housing, ex-storage)'!F389/100/VLOOKUP($C$385,'DB animal categories'!$C$137:$AC$146,27,FALSE)*AJ389+Y389+Z389+AA389,IF(AS389=4,('Calc (ex-animal)'!$Q$76+'Calc (ex-animal)'!$R$76)*'Calc (ex-housing, ex-storage)'!F389/100*VLOOKUP(D389,'DB technologies'!$N$182:$Y$194,12,FALSE)/100/VLOOKUP($C$385,'DB animal categories'!$C$137:$AC$146,27,FALSE)*AJ389+Y389+Z389+AA389,0))))))</f>
        <v/>
      </c>
      <c r="BA389" s="506"/>
      <c r="BB389" s="506"/>
      <c r="BC389" s="506"/>
    </row>
    <row r="390" spans="1:55" ht="12" thickBot="1" x14ac:dyDescent="0.25">
      <c r="A390" s="695"/>
      <c r="B390" s="695"/>
      <c r="C390" s="252"/>
      <c r="D390" s="269" t="s">
        <v>58</v>
      </c>
      <c r="E390" s="270">
        <f>IF(F390&lt;=100,SUM(E385:E389),"ERROR")</f>
        <v>0</v>
      </c>
      <c r="F390" s="284">
        <f>IF(SUM(F385:F389) &lt;=100,SUM(F385:F389),"ERROR, SUM&gt;100%")</f>
        <v>0</v>
      </c>
      <c r="G390" s="550">
        <f>IF('Calc (ex-animal)'!$F$73=1,"",SUM(G385:G389))</f>
        <v>0</v>
      </c>
      <c r="H390" s="418">
        <f>IF('Calc (ex-animal)'!$F$8=1,"",SUM(H385:H389))</f>
        <v>0</v>
      </c>
      <c r="I390" s="418">
        <f>IF('Calc (ex-animal)'!$F$8=1,"",SUM(I385:I389))</f>
        <v>0</v>
      </c>
      <c r="J390" s="418">
        <f>IF('Calc (ex-animal)'!$F$8=1,"",SUM(J385:J389))</f>
        <v>0</v>
      </c>
      <c r="K390" s="418">
        <f>IF('Calc (ex-animal)'!$F$8=1,"",SUM(K385:K389))</f>
        <v>0</v>
      </c>
      <c r="L390" s="418">
        <f>IF('Calc (ex-animal)'!$F$8=1,"",SUM(L385:L389))</f>
        <v>0</v>
      </c>
      <c r="M390" s="551"/>
      <c r="N390" s="551"/>
      <c r="O390" s="551"/>
      <c r="P390" s="552">
        <f>IF(G390=0,0,IF('Calc (ex-animal)'!$F$73=1,"",IF(D390="","",SUM(H390:K390)/G390*100)))</f>
        <v>0</v>
      </c>
      <c r="Q390" s="394"/>
      <c r="R390" s="394"/>
      <c r="S390" s="394"/>
      <c r="T390" s="285">
        <f>IF('Calc (ex-animal)'!$F$76=1,"",SUM(T385:T389))</f>
        <v>0</v>
      </c>
      <c r="U390" s="286"/>
      <c r="V390" s="286"/>
      <c r="W390" s="286"/>
      <c r="X390" s="286">
        <f>IF('Calc (ex-animal)'!$F$76=1,"",SUM(X385:X389))</f>
        <v>0</v>
      </c>
      <c r="Y390" s="286"/>
      <c r="Z390" s="286"/>
      <c r="AA390" s="286"/>
      <c r="AB390" s="286">
        <f>IF('Calc (ex-animal)'!$F$76=1,"",SUM(AB385:AB389))</f>
        <v>0</v>
      </c>
      <c r="AC390" s="286">
        <f>IF('Calc (ex-animal)'!$F$76=1,"",SUM(AC385:AC389))</f>
        <v>0</v>
      </c>
      <c r="AD390" s="286">
        <f>IF('Calc (ex-animal)'!$F$76=1,"",SUM(AD385:AD389))</f>
        <v>0</v>
      </c>
      <c r="AE390" s="287">
        <f>IF('Calc (ex-animal)'!$F$76=1,"",SUM(AE385:AE389))</f>
        <v>0</v>
      </c>
    </row>
    <row r="391" spans="1:55" x14ac:dyDescent="0.2">
      <c r="A391" s="695"/>
      <c r="B391" s="695"/>
      <c r="C391" s="250">
        <f>'Calc (ex-animal)'!D77</f>
        <v>0</v>
      </c>
      <c r="D391" s="1355"/>
      <c r="E391" s="1356"/>
      <c r="F391" s="479" t="str">
        <f>IF('Calc (ex-animal)'!$F$73=1,"",IF($C$391=0,"",IF(D391="","",E391/'Calc (ex-animal)'!$E$77*100)))</f>
        <v/>
      </c>
      <c r="G391" s="484" t="str">
        <f>IF($C$391=0,"",IF('Calc (ex-animal)'!$F$73=1,"",IF(D391="","",SUM(H391:O391))))</f>
        <v/>
      </c>
      <c r="H391" s="471" t="str">
        <f>IF('Calc (ex-animal)'!$F$73=1,"",IF(D391="","",(((VLOOKUP($C$391,'Calc (ex-animal)'!$D$73:$Y$77,6,FALSE)-VLOOKUP($C$391,'Calc (ex-animal)'!$D$73:$Y$77,17,FALSE))*F391/100))*VLOOKUP($C$391,'Calc (ex-animal)'!$D$73:$Y$77,7,FALSE)/100*(1-VLOOKUP(D391,'DB technologies'!$N$182:$Y$194,9,FALSE)/100)))</f>
        <v/>
      </c>
      <c r="I391" s="471" t="str">
        <f>IF(D391="","",((VLOOKUP(D391,'DB technologies'!$N$182:$Y$194,2,FALSE)*VLOOKUP($C$391,'DB animal categories'!$C$137:$AC$146,27,FALSE)*E391/1000)/VLOOKUP($C$391,'DB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'!$S$6/100*(1-VLOOKUP(D391,'DB technologies'!$N$182:$Y$194,9,FALSE)/100)))</f>
        <v/>
      </c>
      <c r="J391" s="472" t="str">
        <f>IF(D391="","",((VLOOKUP(D391,'DB technologies'!$N$182:$Y$194,3,FALSE)*VLOOKUP($C$391,'DB animal categories'!$C$137:$AC$146,27,FALSE)*E391/1000)/VLOOKUP($C$391,'DB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'!$S$7/100*(1-VLOOKUP(D391,'DB technologies'!$N$182:$Y$194,9,FALSE)/100)))</f>
        <v/>
      </c>
      <c r="K391" s="472" t="str">
        <f>IF(D391="","",((VLOOKUP(D391,'DB technologies'!$N$182:$Y$194,4,FALSE)*E391*'DB additional information '!$S$8/100*(1-VLOOKUP(D391,'DB technologies'!$N$182:$Y$194,9,FALSE)/100))/VLOOKUP($C$391,'DB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L391" s="471" t="str">
        <f>IF('Calc (ex-animal)'!$F$73=1,"",IF(D391="","",(((VLOOKUP($C$391,'Calc (ex-animal)'!$D$73:$Y$77,6,FALSE)-VLOOKUP($C$391,'Calc (ex-animal)'!$D$73:$Y$77,17,FALSE))*F391/100))*(1-VLOOKUP($C$391,'Calc (ex-animal)'!$D$73:$Y$77,7,FALSE)/100)*(1-VLOOKUP(D391,'DB technologies'!$N$182:$V$194,8,FALSE)/100)))</f>
        <v/>
      </c>
      <c r="M391" s="472" t="str">
        <f>IF(D391="","",((VLOOKUP(D391,'DB technologies'!$N$182:$Y$194,2,FALSE)*VLOOKUP($C$391,'DB animal categories'!$C$137:$AC$146,27,FALSE)*E391/1000)/VLOOKUP($C$391,'DB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'!$S$6/100)*(1-VLOOKUP(D391,'DB technologies'!$N$182:$Y$194,9,FALSE)/100))</f>
        <v/>
      </c>
      <c r="N391" s="472" t="str">
        <f>IF(D391="","",((VLOOKUP(D391,'DB technologies'!$N$182:$Y$194,3,FALSE)*VLOOKUP($C$391,'DB animal categories'!$C$137:$AC$146,27,FALSE)*E391/1000)/VLOOKUP($C$391,'DB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'!$S$7/100)*(1-VLOOKUP(D391,'DB technologies'!$N$182:$Y$194,9,FALSE)/100))</f>
        <v/>
      </c>
      <c r="O391" s="471" t="str">
        <f>IF(D391="","",((VLOOKUP(D391,'DB technologies'!$N$182:$Y$194,4,FALSE)*E391*(1-'DB additional information '!$S$8/100)*(1-VLOOKUP(D391,'DB technologies'!$N$182:$Y$194,8,FALSE)/100))/VLOOKUP($C$391,'DB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P391" s="443" t="str">
        <f>IF(G391=0,0,IF(E391="","",IF(F391="","",IF($C$391=0,"",IF(D391="","",SUM(H391:K391)/G391*100)))))</f>
        <v/>
      </c>
      <c r="Q391" s="473" t="str">
        <f>IF(D391="","",(VLOOKUP(D391,'DB technologies'!$N$182:$Y$194,2,FALSE)*'DB additional information '!$S$6/100*'DB additional information '!$T$6*VLOOKUP($C$391,'DB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R391" s="473" t="str">
        <f>IF(D391="","",(VLOOKUP(D391,'DB technologies'!$N$182:$Y$194,3,FALSE)*'DB additional information '!$S$7/100*'DB additional information '!$T$7*VLOOKUP($C$391,'DB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S391" s="490" t="str">
        <f>IF(D391="","",(VLOOKUP(D391,'DB technologies'!$N$182:$Y$194,4,FALSE)*('DB additional information '!$S$8/100*'DB additional information '!$T$8*E391/1000/1000)))</f>
        <v/>
      </c>
      <c r="T391" s="263" t="str">
        <f>IF($C$391=0,"",IF('Calc (ex-animal)'!$F$73=1,"",IF(D391="","",((VLOOKUP($C$391,'Calc (ex-animal)'!$D$73:$Y$77,10,FALSE)-VLOOKUP($C$391,'Calc (ex-animal)'!$D$73:$Y$77,18,FALSE))*F391/100+Q391+R391+S391)-AC391-AD391-AE391)))</f>
        <v/>
      </c>
      <c r="U391" s="474" t="str">
        <f>IF(D391="","",(VLOOKUP(D391,'DB technologies'!$N$182:$Y$194,2,FALSE)*'DB additional information '!$S$6/100*'DB additional information '!$U$6*VLOOKUP($C$391,'DB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V391" s="420" t="str">
        <f>IF(D391="","",(VLOOKUP(D391,'DB technologies'!$N$182:$Y$194,3,FALSE)*'DB additional information '!$S$7/100*'DB additional information '!$U$7*VLOOKUP($C$391,'DB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W391" s="415" t="str">
        <f>IF(D391="","",(VLOOKUP(D391,'DB technologies'!$N$182:$Y$194,4,FALSE)*('DB additional information '!$S$8/100*'DB additional information '!$U$8*E391/1000/1000)))</f>
        <v/>
      </c>
      <c r="X391" s="259" t="str">
        <f>IF($C$391=0,"",IF('Calc (ex-animal)'!$F$73=1,"",IF(D391="","",((VLOOKUP($C$391,'Calc (ex-animal)'!$D$73:$Y$77,13,FALSE)-VLOOKUP($C$391,'Calc (ex-animal)'!$D$73:$Y$77,19,FALSE))*F391/100+U391+V391+W391))))</f>
        <v/>
      </c>
      <c r="Y391" s="420" t="str">
        <f>IF(D391="","",(VLOOKUP(D391,'DB technologies'!$N$182:$Y$194,2,FALSE)*'DB additional information '!$S$6/100*'DB additional information '!$V$6*VLOOKUP($C$391,'DB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Z391" s="420" t="str">
        <f>IF(D391="","",(VLOOKUP(D391,'DB technologies'!$N$182:$Y$194,3,FALSE)*'DB additional information '!$S$7/100*'DB additional information '!$V$7*VLOOKUP($C$391,'DB animal categories'!$C$137:$AC$146,27,FALSE)*E391/1000/1000)/VLOOKUP($C$391,'DB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AA391" s="420" t="str">
        <f>IF(D391="","",(VLOOKUP(D391,'DB technologies'!$N$182:$Y$194,4,FALSE)*('DB additional information '!$S$8/100*'DB additional information '!$V$8*E391/1000/1000)))</f>
        <v/>
      </c>
      <c r="AB391" s="259" t="str">
        <f>IF($C$391=0,"",IF('Calc (ex-animal)'!$F$73=1,"",IF(D391="","",((VLOOKUP($C$391,'Calc (ex-animal)'!$D$73:$Y$77,16,FALSE)-VLOOKUP($C$391,'Calc (ex-animal)'!$D$73:$Y$77,20,FALSE))*F391/100+Y391+Z391+AA391))))</f>
        <v/>
      </c>
      <c r="AC391" s="259" t="str">
        <f>IF($C$391=0,"",IF('Calc (ex-animal)'!$F$73=1,"",IF(D391="","",VLOOKUP($C$391,'Calc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categories'!$C$137:$AC$146,26,FALSE)/24)*F391/100*VLOOKUP(D391,'DB technologies'!$N$182:$R$194,5,FALSE)/100)))</f>
        <v/>
      </c>
      <c r="AD391" s="259" t="str">
        <f>IF($C$391=0,"",IF('Calc (ex-animal)'!$F$73=1,"",IF(D391="","",VLOOKUP($C$391,'Calc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categories'!$C$137:$AC$146,26,FALSE)/24)*F391/100*VLOOKUP(D391,'DB technologies'!$N$182:$Y$194,6,FALSE)/100)))</f>
        <v/>
      </c>
      <c r="AE391" s="260" t="str">
        <f>IF($C$391=0,"",IF('Calc (ex-animal)'!$F$73=1,"",IF(D391="","",VLOOKUP($C$391,'Calc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categories'!$C$137:$AC$146,26,FALSE)/24)*F391/100*VLOOKUP(D391,'DB technologies'!$N$182:$Y$194,7,FALSE)/100)))</f>
        <v/>
      </c>
      <c r="AI391" s="179" t="str">
        <f>IF(D391="","",VLOOKUP(D391,'DB technologies'!$N$182:$Y$194,10,FALSE))</f>
        <v/>
      </c>
      <c r="AJ391" s="482" t="e">
        <f>VLOOKUP($C$391,'DB animal categories'!$C$137:$AN$146,27,FALSE)-VLOOKUP($C$391,'DB animal categories'!$C$137:$AN$146,26,FALSE)*VLOOKUP($C$391,'DB animal categories'!$C$137:$AN$146,25,FALSE)/24</f>
        <v>#N/A</v>
      </c>
      <c r="AK391" s="453" t="str">
        <f>IF(AI391="","",AL391+AM391)</f>
        <v/>
      </c>
      <c r="AL391" s="453" t="str">
        <f>IF(D391="","",IF(AI391=2,(('Calc (ex-animal)'!$G$77*'DB additional information '!$K$16/100*(1-VLOOKUP(D391,'DB technologies'!$N$182:$Y$194,9,FALSE)/100)*'Calc (ex-housing, ex-storage)'!F391/100+'Calc (ex-animal)'!$H$77*'DB additional information '!$L$16/100*(1-VLOOKUP(D391,'DB technologies'!$N$182:$Y$194,9,FALSE)/100)*'Calc (ex-housing, ex-storage)'!F391/100))/VLOOKUP($C$391,'DB animal categories'!$C$137:$AC$146,27,FALSE)*AJ391+I391+J391+K391,IF(AI391=1,('Calc (ex-animal)'!$H$77*'DB additional information '!$L$16/100*(1-VLOOKUP(D391,'DB technologies'!$N$182:$Y$194,9,FALSE)/100)*'Calc (ex-housing, ex-storage)'!F391/100)/VLOOKUP($C$391,'DB animal categories'!$C$137:$AC$146,27,FALSE)*AJ391,IF(AI391=4,('Calc (ex-animal)'!$G$77*'DB additional information '!$K$16/100+'Calc (ex-animal)'!$H$77*'DB additional information '!$L$16/100)*(1-VLOOKUP(D391,'DB technologies'!$N$182:$Y$194,9,FALSE)/100)*'Calc (ex-housing, ex-storage)'!F391/100*VLOOKUP(D391,'DB technologies'!$N$182:$Y$194,11,FALSE)/100/VLOOKUP($C$391,'DB animal categories'!$C$137:$AC$146,27,FALSE)*AJ391,0))))</f>
        <v/>
      </c>
      <c r="AM391" s="453" t="str">
        <f>IF(D391="","",IF(AI391=2,(('Calc (ex-animal)'!$G$77*(1-'DB additional information '!$K$16/100)*(1-VLOOKUP(D391,'DB technologies'!$N$182:$Y$194,8,FALSE)/100)*'Calc (ex-housing, ex-storage)'!F391/100+'Calc (ex-animal)'!$H$77*(1-'DB additional information '!$L$16/100)*(1-VLOOKUP(D391,'DB technologies'!$N$182:$Y$194,8,FALSE)/100)*'Calc (ex-housing, ex-storage)'!F391/100))/VLOOKUP($C$391,'DB animal categories'!$C$137:$AC$146,27,FALSE)*AJ391+M391+N391+O391,IF(AI391=1,('Calc (ex-animal)'!$H$77*(1-'DB additional information '!$L$16/100)*(1-VLOOKUP(D391,'DB technologies'!$N$182:$Y$194,8,FALSE)/100)*'Calc (ex-housing, ex-storage)'!F391/100)/VLOOKUP($C$391,'DB animal categories'!$C$137:$AC$146,27,FALSE)*AJ391,IF(AI391=4,('Calc (ex-animal)'!$G$77*(1-'DB additional information '!$K$16/100)+'Calc (ex-animal)'!$H$77*(1-'DB additional information '!$L$16/100))*(1-VLOOKUP(D391,'DB technologies'!$N$182:$Y$194,8,FALSE)/100)*'Calc (ex-housing, ex-storage)'!F391/100*VLOOKUP(D391,'DB technologies'!$N$182:$Y$194,11,FALSE)/100/VLOOKUP($C$391,'DB animal categories'!$C$137:$AC$146,27,FALSE)*AJ391,0))))</f>
        <v/>
      </c>
      <c r="AN391" s="453" t="str">
        <f>IF(AI391="","",IF(AL391=0,0,AL391/AK391*100))</f>
        <v/>
      </c>
      <c r="AO391" s="180" t="str">
        <f>IF(D391="","",IF(AI391=2,(('Calc (ex-animal)'!$L$77*'Calc (ex-housing, ex-storage)'!F391/100+'Calc (ex-animal)'!$K$77*'Calc (ex-housing, ex-storage)'!F391/100))/VLOOKUP($C$391,'DB animal categories'!$C$137:$AC$146,27,FALSE)*AJ391+Q391+R391+S391-AC391,IF(AI391=1,('Calc (ex-animal)'!$L$77*'Calc (ex-housing, ex-storage)'!F391/100)/VLOOKUP($C$391,'DB animal categories'!$C$137:$AC$146,27,FALSE)*AJ391-'Calc (ex-housing, ex-storage)'!AC391,IF(AI391=4,('Calc (ex-animal)'!$L$77+'Calc (ex-animal)'!$K$77)*'Calc (ex-housing, ex-storage)'!F391/100*VLOOKUP(D391,'DB technologies'!$N$182:$Y$194,11,FALSE)/100/VLOOKUP($C$391,'DB animal categories'!$C$137:$AC$146,27,FALSE)*AJ391-AC391*VLOOKUP(D391,'DB technologies'!$N$182:$Y$194,11,FALSE)/100,0))))</f>
        <v/>
      </c>
      <c r="AP391" s="180" t="str">
        <f>IF(D391="","",IF(AO391&lt;-0.01,0,IF(AI391=2,(('Calc (ex-animal)'!$L$77*'Calc (ex-housing, ex-storage)'!F391/100+'Calc (ex-animal)'!$K$77*'Calc (ex-housing, ex-storage)'!F391/100))/VLOOKUP($C$391,'DB animal categories'!$C$137:$AC$146,27,FALSE)*AJ391+Q391+R391+S391-AC391,IF(AI391=1,('Calc (ex-animal)'!$L$77*'Calc (ex-housing, ex-storage)'!F391/100)/VLOOKUP($C$391,'DB animal categories'!$C$137:$AC$146,27,FALSE)*AJ391-'Calc (ex-housing, ex-storage)'!AC391,IF(AI391=4,('Calc (ex-animal)'!$L$77+'Calc (ex-animal)'!$K$77)*'Calc (ex-housing, ex-storage)'!F391/100*VLOOKUP(D391,'DB technologies'!$N$182:$Y$194,11,FALSE)/100/VLOOKUP($C$391,'DB animal categories'!$C$137:$AC$146,27,FALSE)*AJ391-AC391*VLOOKUP(D391,'DB technologies'!$N$182:$Y$194,11,FALSE)/100,0)))))</f>
        <v/>
      </c>
      <c r="AQ391" s="180" t="str">
        <f>IF(D391="","",IF(AI391=2,('Calc (ex-animal)'!$O$77*'Calc (ex-housing, ex-storage)'!F391/100+'Calc (ex-animal)'!$N$77*'Calc (ex-housing, ex-storage)'!F391/100)/VLOOKUP($C$391,'DB animal categories'!$C$137:$AC$146,27,FALSE)*AJ391+U391+V391+W391,IF(AI391=1,'Calc (ex-animal)'!$O$77*'Calc (ex-housing, ex-storage)'!F391/100/VLOOKUP($C$391,'DB animal categories'!$C$137:$AC$146,27,FALSE)*AJ391,IF(AI391=4,('Calc (ex-animal)'!$O$77+'Calc (ex-animal)'!$N$77)*'Calc (ex-housing, ex-storage)'!F391/100*VLOOKUP(D391,'DB technologies'!$N$182:$Y$194,11,FALSE)/100/VLOOKUP($C$391,'DB animal categories'!$C$137:$AC$146,27,FALSE)*AJ391,0))))</f>
        <v/>
      </c>
      <c r="AR391" s="180" t="str">
        <f>IF(D391="","",IF(AI391=2,('Calc (ex-animal)'!$R$77*'Calc (ex-housing, ex-storage)'!F391/100+'Calc (ex-animal)'!$Q$77*'Calc (ex-housing, ex-storage)'!F391/100)/VLOOKUP($C$391,'DB animal categories'!$C$137:$AC$146,27,FALSE)*AJ391+Y391+Z391+AA391,IF(AI391=1,'Calc (ex-animal)'!$R$77*'Calc (ex-housing, ex-storage)'!F391/100/VLOOKUP($C$391,'DB animal categories'!$C$137:$AC$146,27,FALSE)*AJ391,IF(AI391=4,('Calc (ex-animal)'!$R$77+'Calc (ex-animal)'!$Q$77)*'Calc (ex-housing, ex-storage)'!F391/100*VLOOKUP(D391,'DB technologies'!$N$182:$Y$194,11,FALSE)/100/VLOOKUP($C$391,'DB animal categories'!$C$137:$AC$146,27,FALSE)*AJ391,0))))</f>
        <v/>
      </c>
      <c r="AS391" s="179" t="str">
        <f>IF(D391="","",VLOOKUP(D391,'DB technologies'!$N$182:$Y$194,10,FALSE))</f>
        <v/>
      </c>
      <c r="AT391" s="453" t="str">
        <f>IF(AS391="","",AU391+AV391)</f>
        <v/>
      </c>
      <c r="AU391" s="453" t="str">
        <f>IF(D391="","",IF(AS391=2,0,IF(AS391=1,'Calc (ex-animal)'!$G$77*'DB additional information '!$K$16/100*(1-VLOOKUP(D391,'DB technologies'!$N$182:$Y$194,8,FALSE)/100)*'Calc (ex-housing, ex-storage)'!F391/100/VLOOKUP($C$391,'DB animal categories'!$C$137:$AC$146,27,FALSE)*AJ391+I391+J391+K391,IF(AS391=5,(('Calc (ex-animal)'!$G$77*'DB additional information '!$K$16/100+'Calc (ex-animal)'!$H$77*'DB additional information '!$L$16/100))*(1-VLOOKUP(D391,'DB technologies'!$N$182:$Y$194,9,FALSE)/100)*'Calc (ex-housing, ex-storage)'!F391/100/VLOOKUP($C$391,'DB animal categories'!$C$137:$AC$146,27,FALSE)*AJ391+I391+J391+K391,IF(AS391=3,('Calc (ex-animal)'!$G$77*'DB additional information '!$K$16/100+'Calc (ex-animal)'!$H$77*'DB additional information '!$L$16/100)*(1-VLOOKUP(D391,'DB technologies'!$N$182:$Y$194,9,FALSE)/100)*'Calc (ex-housing, ex-storage)'!F391/100/VLOOKUP($C$391,'DB animal categories'!$C$137:$AC$146,27,FALSE)*AJ391+I391+J391+K391,IF(AS391=4,('Calc (ex-animal)'!$G$77*'DB additional information '!$K$16/100+'Calc (ex-animal)'!$H$77*'DB additional information '!$L$16/100)*(1-VLOOKUP(D391,'DB technologies'!$N$182:$Y$194,9,FALSE)/100)*'Calc (ex-housing, ex-storage)'!F391/100*VLOOKUP(D391,'DB technologies'!$N$182:$Y$194,12,FALSE)/100/VLOOKUP($C$391,'DB animal categories'!$C$137:$AC$146,27,FALSE)*AJ391+I391+J391+K391,0))))))</f>
        <v/>
      </c>
      <c r="AV391" s="453" t="str">
        <f>IF(D391="","",IF(AS391=2,0,IF(AS391=1,'Calc (ex-animal)'!$G$77*(1-'DB additional information '!$K$16/100)*(1-VLOOKUP(D391,'DB technologies'!$N$182:$Y$194,8,FALSE)/100)*'Calc (ex-housing, ex-storage)'!F391/100/VLOOKUP($C$391,'DB animal categories'!$C$137:$AC$146,27,FALSE)*AJ391+M391+N391+O391,IF(AS391=5,('Calc (ex-animal)'!$G$77*(1-'DB additional information '!$K$16/100)+'Calc (ex-animal)'!$H$77*(1-'DB additional information '!$L$16/100))*(1-VLOOKUP(D391,'DB technologies'!$N$182:$Y$194,8,FALSE)/100)*'Calc (ex-housing, ex-storage)'!F391/100/VLOOKUP($C$391,'DB animal categories'!$C$137:$AC$146,27,FALSE)*AJ391+M391+N391+O391,IF(AS391=3,('Calc (ex-animal)'!$G$77*(1-'DB additional information '!$K$16/100)+'Calc (ex-animal)'!$H$77*(1-'DB additional information '!$L$16/100))*(1-VLOOKUP(D391,'DB technologies'!$N$182:$Y$194,8,FALSE)/100)*'Calc (ex-housing, ex-storage)'!F391/100/VLOOKUP($C$391,'DB animal categories'!$C$137:$AC$146,27,FALSE)*AJ391+M391+N391+O391,IF(AS391=4,('Calc (ex-animal)'!$G$77*(1-'DB additional information '!$K$16/100)+'Calc (ex-animal)'!$H$77*(1-'DB additional information '!$L$16/100))*(1-VLOOKUP(D391,'DB technologies'!$N$182:$Y$194,8,FALSE)/100)*'Calc (ex-housing, ex-storage)'!F391/100*VLOOKUP(D391,'DB technologies'!$N$182:$Y$194,12,FALSE)/100/VLOOKUP($C$391,'DB animal categories'!$C$137:$AC$146,27,FALSE)*AJ391+M391+N391+O391,0))))))</f>
        <v/>
      </c>
      <c r="AW391" s="453" t="str">
        <f>IF(AS391="","",IF(AU391=0,0,AU391/AT391*100))</f>
        <v/>
      </c>
      <c r="AX391" s="180" t="str">
        <f>IF(D391="","",IF(AS391=2,0,IF(AS391=1,'Calc (ex-animal)'!$K$77*'Calc (ex-housing, ex-storage)'!F391/100/VLOOKUP($C$391,'DB animal categories'!$C$137:$AC$146,27,FALSE)*AJ391+Q391+R391+S391,IF(AS391=5,('Calc (ex-animal)'!$K$77+'Calc (ex-animal)'!$L$77)*'Calc (ex-housing, ex-storage)'!F391/100/VLOOKUP($C$391,'DB animal categories'!$C$137:$AC$146,27,FALSE)*AJ391+Q391+R391+S391-'Calc (ex-housing, ex-storage)'!AC391,IF(AS391=3,('Calc (ex-animal)'!$K$77+'Calc (ex-animal)'!$L$77)*'Calc (ex-housing, ex-storage)'!F391/100/VLOOKUP($C$391,'DB animal categories'!$C$137:$AC$146,27,FALSE)*AJ391+Q391+R391+S391-'Calc (ex-housing, ex-storage)'!AC391-AD391-AE391,IF(AI391=4,('Calc (ex-animal)'!$K$77+'Calc (ex-animal)'!$L$77)*'Calc (ex-housing, ex-storage)'!F391/100*VLOOKUP(D391,'DB technologies'!$N$182:$Y$194,12,FALSE)/100/VLOOKUP($C$391,'DB animal categories'!$C$137:$AC$146,27,FALSE)*AJ391+Q391+R391+S391-(VLOOKUP(D391,'DB technologies'!$N$182:$Y$194,12,FALSE)/100*AC391)-AD391-AE391,0))))))</f>
        <v/>
      </c>
      <c r="AY391" s="180" t="str">
        <f>IF(D391="","",IF(AS391=2,0,IF(AS391=1,'Calc (ex-animal)'!$N$77*'Calc (ex-housing, ex-storage)'!F391/100/VLOOKUP($C$391,'DB animal categories'!$C$137:$AC$146,27,FALSE)*AJ391+U391+V391+W391,IF(AS391=5,('Calc (ex-animal)'!$N$77+'Calc (ex-animal)'!$O$77)*'Calc (ex-housing, ex-storage)'!F391/100/VLOOKUP($C$391,'DB animal categories'!$C$137:$AC$146,27,FALSE)*AJ391+U391+V391+W391,IF(AS391=3,('Calc (ex-animal)'!$N$77+'Calc (ex-animal)'!$O$77)*'Calc (ex-housing, ex-storage)'!F391/100/VLOOKUP($C$391,'DB animal categories'!$C$137:$AC$146,27,FALSE)*AJ391+U391+V391+W391,IF(AS391=4,('Calc (ex-animal)'!$N$77+'Calc (ex-animal)'!$O$77)*'Calc (ex-housing, ex-storage)'!F391/100*VLOOKUP(D391,'DB technologies'!$N$182:$Y$194,12,FALSE)/100/VLOOKUP($C$391,'DB animal categories'!$C$137:$AC$146,27,FALSE)*AJ391+U391+V391+W391,0))))))</f>
        <v/>
      </c>
      <c r="AZ391" s="180" t="str">
        <f>IF(D391="","",IF(AS391=2,0,IF(AS391=1,'Calc (ex-animal)'!$Q$77*'Calc (ex-housing, ex-storage)'!F391/100/VLOOKUP($C$391,'DB animal categories'!$C$137:$AC$146,27,FALSE)*AJ391+Y391+Z391+AA391,IF(AS391=5,('Calc (ex-animal)'!$Q$77+'Calc (ex-animal)'!$R$77)*'Calc (ex-housing, ex-storage)'!F391/100/VLOOKUP($C$391,'DB animal categories'!$C$137:$AC$146,27,FALSE)*AJ391+Y391+Z391+AA391,IF(AS391=3,('Calc (ex-animal)'!$Q$77+'Calc (ex-animal)'!$R$77)*'Calc (ex-housing, ex-storage)'!F391/100/VLOOKUP($C$391,'DB animal categories'!$C$137:$AC$146,27,FALSE)*AJ391+Y391+Z391+AA391,IF(AS391=4,('Calc (ex-animal)'!$Q$77+'Calc (ex-animal)'!$R$77)*'Calc (ex-housing, ex-storage)'!F391/100*VLOOKUP(D391,'DB technologies'!$N$182:$Y$194,12,FALSE)/100/VLOOKUP($C$391,'DB animal categories'!$C$137:$AC$146,27,FALSE)*AJ391+Y391+Z391+AA391,0))))))</f>
        <v/>
      </c>
      <c r="BA391" s="506"/>
      <c r="BB391" s="506"/>
      <c r="BC391" s="506"/>
    </row>
    <row r="392" spans="1:55" x14ac:dyDescent="0.2">
      <c r="A392" s="695"/>
      <c r="B392" s="695"/>
      <c r="C392" s="251"/>
      <c r="D392" s="1357"/>
      <c r="E392" s="1358"/>
      <c r="F392" s="480" t="str">
        <f>IF('Calc (ex-animal)'!$F$73=1,"",IF($C$391=0,"",IF(D392="","",E392/'Calc (ex-animal)'!$E$77*100)))</f>
        <v/>
      </c>
      <c r="G392" s="485" t="str">
        <f>IF($C$391=0,"",IF('Calc (ex-animal)'!$F$73=1,"",IF(D392="","",SUM(H392:O392))))</f>
        <v/>
      </c>
      <c r="H392" s="423" t="str">
        <f>IF('Calc (ex-animal)'!$F$73=1,"",IF(D392="","",(((VLOOKUP($C$391,'Calc (ex-animal)'!$D$73:$Y$77,6,FALSE)-VLOOKUP($C$391,'Calc (ex-animal)'!$D$73:$Y$77,17,FALSE))*F392/100))*VLOOKUP($C$391,'Calc (ex-animal)'!$D$73:$Y$77,7,FALSE)/100*(1-VLOOKUP(D392,'DB technologies'!$N$182:$Y$194,9,FALSE)/100)))</f>
        <v/>
      </c>
      <c r="I392" s="423" t="str">
        <f>IF(D392="","",((VLOOKUP(D392,'DB technologies'!$N$182:$Y$194,2,FALSE)*VLOOKUP($C$391,'DB animal categories'!$C$137:$AC$146,27,FALSE)*E392/1000)/VLOOKUP($C$391,'DB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'!$S$6/100*(1-VLOOKUP(D392,'DB technologies'!$N$182:$Y$194,9,FALSE)/100)))</f>
        <v/>
      </c>
      <c r="J392" s="434" t="str">
        <f>IF(D392="","",((VLOOKUP(D392,'DB technologies'!$N$182:$Y$194,3,FALSE)*VLOOKUP($C$391,'DB animal categories'!$C$137:$AC$146,27,FALSE)*E392/1000)/VLOOKUP($C$391,'DB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'!$S$7/100*(1-VLOOKUP(D392,'DB technologies'!$N$182:$Y$194,9,FALSE)/100)))</f>
        <v/>
      </c>
      <c r="K392" s="434" t="str">
        <f>IF(D392="","",((VLOOKUP(D392,'DB technologies'!$N$182:$Y$194,4,FALSE)*E392*'DB additional information '!$S$8/100*(1-VLOOKUP(D392,'DB technologies'!$N$182:$Y$194,9,FALSE)/100))/VLOOKUP($C$391,'DB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L392" s="423" t="str">
        <f>IF('Calc (ex-animal)'!$F$73=1,"",IF(D392="","",(((VLOOKUP($C$391,'Calc (ex-animal)'!$D$73:$Y$77,6,FALSE)-VLOOKUP($C$391,'Calc (ex-animal)'!$D$73:$Y$77,17,FALSE))*F392/100))*(1-VLOOKUP($C$391,'Calc (ex-animal)'!$D$73:$Y$77,7,FALSE)/100)*(1-VLOOKUP(D392,'DB technologies'!$N$182:$V$194,8,FALSE)/100)))</f>
        <v/>
      </c>
      <c r="M392" s="434" t="str">
        <f>IF(D392="","",((VLOOKUP(D392,'DB technologies'!$N$182:$Y$194,2,FALSE)*VLOOKUP($C$391,'DB animal categories'!$C$137:$AC$146,27,FALSE)*E392/1000)/VLOOKUP($C$391,'DB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'!$S$6/100)*(1-VLOOKUP(D392,'DB technologies'!$N$182:$Y$194,9,FALSE)/100))</f>
        <v/>
      </c>
      <c r="N392" s="434" t="str">
        <f>IF(D392="","",((VLOOKUP(D392,'DB technologies'!$N$182:$Y$194,3,FALSE)*VLOOKUP($C$391,'DB animal categories'!$C$137:$AC$146,27,FALSE)*E392/1000)/VLOOKUP($C$391,'DB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'!$S$7/100)*(1-VLOOKUP(D392,'DB technologies'!$N$182:$Y$194,9,FALSE)/100))</f>
        <v/>
      </c>
      <c r="O392" s="423" t="str">
        <f>IF(D392="","",((VLOOKUP(D392,'DB technologies'!$N$182:$Y$194,4,FALSE)*E392*(1-'DB additional information '!$S$8/100)*(1-VLOOKUP(D392,'DB technologies'!$N$182:$Y$194,8,FALSE)/100))/VLOOKUP($C$391,'DB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P392" s="438" t="str">
        <f>IF(G392=0,0,IF(E392="","",IF(F392="","",IF($C$391=0,"",IF(D392="","",SUM(H392:K392)/G392*100)))))</f>
        <v/>
      </c>
      <c r="Q392" s="416" t="str">
        <f>IF(D392="","",(VLOOKUP(D392,'DB technologies'!$N$182:$Y$194,2,FALSE)*'DB additional information '!$S$6/100*'DB additional information '!$T$6*VLOOKUP($C$391,'DB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R392" s="416" t="str">
        <f>IF(D392="","",(VLOOKUP(D392,'DB technologies'!$N$182:$Y$194,3,FALSE)*'DB additional information '!$S$7/100*'DB additional information '!$T$7*VLOOKUP($C$391,'DB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S392" s="491" t="str">
        <f>IF(D392="","",(VLOOKUP(D392,'DB technologies'!$N$182:$Y$194,4,FALSE)*('DB additional information '!$S$8/100*'DB additional information '!$T$8*E392/1000/1000)))</f>
        <v/>
      </c>
      <c r="T392" s="264" t="str">
        <f>IF($C$391=0,"",IF('Calc (ex-animal)'!$F$73=1,"",IF(D392="","",((VLOOKUP($C$391,'Calc (ex-animal)'!$D$73:$Y$77,10,FALSE)-VLOOKUP($C$391,'Calc (ex-animal)'!$D$73:$Y$77,18,FALSE))*F392/100+Q392+R392+S392)-AC392-AD392-AE392)))</f>
        <v/>
      </c>
      <c r="U392" s="422" t="str">
        <f>IF(D392="","",(VLOOKUP(D392,'DB technologies'!$N$182:$Y$194,2,FALSE)*'DB additional information '!$S$6/100*'DB additional information '!$U$6*VLOOKUP($C$391,'DB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V392" s="418" t="str">
        <f>IF(D392="","",(VLOOKUP(D392,'DB technologies'!$N$182:$Y$194,3,FALSE)*'DB additional information '!$S$7/100*'DB additional information '!$U$7*VLOOKUP($C$391,'DB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W392" s="417" t="str">
        <f>IF(D392="","",(VLOOKUP(D392,'DB technologies'!$N$182:$Y$194,4,FALSE)*('DB additional information '!$S$8/100*'DB additional information '!$U$8*E392/1000/1000)))</f>
        <v/>
      </c>
      <c r="X392" s="261" t="str">
        <f>IF($C$391=0,"",IF('Calc (ex-animal)'!$F$73=1,"",IF(D392="","",((VLOOKUP($C$391,'Calc (ex-animal)'!$D$73:$Y$77,13,FALSE)-VLOOKUP($C$391,'Calc (ex-animal)'!$D$73:$Y$77,19,FALSE))*F392/100+U392+V392+W392))))</f>
        <v/>
      </c>
      <c r="Y392" s="418" t="str">
        <f>IF(D392="","",(VLOOKUP(D392,'DB technologies'!$N$182:$Y$194,2,FALSE)*'DB additional information '!$S$6/100*'DB additional information '!$V$6*VLOOKUP($C$391,'DB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Z392" s="418" t="str">
        <f>IF(D392="","",(VLOOKUP(D392,'DB technologies'!$N$182:$Y$194,3,FALSE)*'DB additional information '!$S$7/100*'DB additional information '!$V$7*VLOOKUP($C$391,'DB animal categories'!$C$137:$AC$146,27,FALSE)*E392/1000/1000)/VLOOKUP($C$391,'DB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AA392" s="418" t="str">
        <f>IF(D392="","",(VLOOKUP(D392,'DB technologies'!$N$182:$Y$194,4,FALSE)*('DB additional information '!$S$8/100*'DB additional information '!$V$8*E392/1000/1000)))</f>
        <v/>
      </c>
      <c r="AB392" s="261" t="str">
        <f>IF($C$391=0,"",IF('Calc (ex-animal)'!$F$73=1,"",IF(D392="","",((VLOOKUP($C$391,'Calc (ex-animal)'!$D$73:$Y$77,16,FALSE)-VLOOKUP($C$391,'Calc (ex-animal)'!$D$73:$Y$77,20,FALSE))*F392/100+Y392+Z392+AA392))))</f>
        <v/>
      </c>
      <c r="AC392" s="261" t="str">
        <f>IF($C$391=0,"",IF('Calc (ex-animal)'!$F$73=1,"",IF(D392="","",VLOOKUP($C$391,'Calc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categories'!$C$137:$AC$146,26,FALSE)/24)*F392/100*VLOOKUP(D392,'DB technologies'!$N$182:$R$194,5,FALSE)/100)))</f>
        <v/>
      </c>
      <c r="AD392" s="261" t="str">
        <f>IF($C$391=0,"",IF('Calc (ex-animal)'!$F$73=1,"",IF(D392="","",VLOOKUP($C$391,'Calc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categories'!$C$137:$AC$146,26,FALSE)/24)*F392/100*VLOOKUP(D392,'DB technologies'!$N$182:$Y$194,6,FALSE)/100)))</f>
        <v/>
      </c>
      <c r="AE392" s="262" t="str">
        <f>IF($C$391=0,"",IF('Calc (ex-animal)'!$F$73=1,"",IF(D392="","",VLOOKUP($C$391,'Calc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categories'!$C$137:$AC$146,26,FALSE)/24)*F392/100*VLOOKUP(D392,'DB technologies'!$N$182:$Y$194,7,FALSE)/100)))</f>
        <v/>
      </c>
      <c r="AI392" s="181" t="str">
        <f>IF(D392="","",VLOOKUP(D392,'DB technologies'!$N$182:$Y$194,10,FALSE))</f>
        <v/>
      </c>
      <c r="AJ392" s="449" t="e">
        <f>VLOOKUP($C$391,'DB animal categories'!$C$137:$AN$146,27,FALSE)-VLOOKUP($C$391,'DB animal categories'!$C$137:$AN$146,26,FALSE)*VLOOKUP($C$391,'DB animal categories'!$C$137:$AN$146,25,FALSE)/24</f>
        <v>#N/A</v>
      </c>
      <c r="AK392" s="442" t="str">
        <f>IF(AI392="","",AL392+AM392)</f>
        <v/>
      </c>
      <c r="AL392" s="442" t="str">
        <f>IF(D392="","",IF(AI392=2,(('Calc (ex-animal)'!$G$77*'DB additional information '!$K$16/100*(1-VLOOKUP(D392,'DB technologies'!$N$182:$Y$194,9,FALSE)/100)*'Calc (ex-housing, ex-storage)'!F392/100+'Calc (ex-animal)'!$H$77*'DB additional information '!$L$16/100*(1-VLOOKUP(D392,'DB technologies'!$N$182:$Y$194,9,FALSE)/100)*'Calc (ex-housing, ex-storage)'!F392/100))/VLOOKUP($C$391,'DB animal categories'!$C$137:$AC$146,27,FALSE)*AJ392+I392+J392+K392,IF(AI392=1,('Calc (ex-animal)'!$H$77*'DB additional information '!$L$16/100*(1-VLOOKUP(D392,'DB technologies'!$N$182:$Y$194,9,FALSE)/100)*'Calc (ex-housing, ex-storage)'!F392/100)/VLOOKUP($C$391,'DB animal categories'!$C$137:$AC$146,27,FALSE)*AJ392,IF(AI392=4,('Calc (ex-animal)'!$G$77*'DB additional information '!$K$16/100+'Calc (ex-animal)'!$H$77*'DB additional information '!$L$16/100)*(1-VLOOKUP(D392,'DB technologies'!$N$182:$Y$194,9,FALSE)/100)*'Calc (ex-housing, ex-storage)'!F392/100*VLOOKUP(D392,'DB technologies'!$N$182:$Y$194,11,FALSE)/100/VLOOKUP($C$391,'DB animal categories'!$C$137:$AC$146,27,FALSE)*AJ392,0))))</f>
        <v/>
      </c>
      <c r="AM392" s="442" t="str">
        <f>IF(D392="","",IF(AI392=2,(('Calc (ex-animal)'!$G$77*(1-'DB additional information '!$K$16/100)*(1-VLOOKUP(D392,'DB technologies'!$N$182:$Y$194,8,FALSE)/100)*'Calc (ex-housing, ex-storage)'!F392/100+'Calc (ex-animal)'!$H$77*(1-'DB additional information '!$L$16/100)*(1-VLOOKUP(D392,'DB technologies'!$N$182:$Y$194,8,FALSE)/100)*'Calc (ex-housing, ex-storage)'!F392/100))/VLOOKUP($C$391,'DB animal categories'!$C$137:$AC$146,27,FALSE)*AJ392+M392+N392+O392,IF(AI392=1,('Calc (ex-animal)'!$H$77*(1-'DB additional information '!$L$16/100)*(1-VLOOKUP(D392,'DB technologies'!$N$182:$Y$194,8,FALSE)/100)*'Calc (ex-housing, ex-storage)'!F392/100)/VLOOKUP($C$391,'DB animal categories'!$C$137:$AC$146,27,FALSE)*AJ392,IF(AI392=4,('Calc (ex-animal)'!$G$77*(1-'DB additional information '!$K$16/100)+'Calc (ex-animal)'!$H$77*(1-'DB additional information '!$L$16/100))*(1-VLOOKUP(D392,'DB technologies'!$N$182:$Y$194,8,FALSE)/100)*'Calc (ex-housing, ex-storage)'!F392/100*VLOOKUP(D392,'DB technologies'!$N$182:$Y$194,11,FALSE)/100/VLOOKUP($C$391,'DB animal categories'!$C$137:$AC$146,27,FALSE)*AJ392,0))))</f>
        <v/>
      </c>
      <c r="AN392" s="442" t="str">
        <f>IF(AI392="","",IF(AL392=0,0,AL392/AK392*100))</f>
        <v/>
      </c>
      <c r="AO392" s="182" t="str">
        <f>IF(D392="","",IF(AI392=2,(('Calc (ex-animal)'!$L$77*'Calc (ex-housing, ex-storage)'!F392/100+'Calc (ex-animal)'!$K$77*'Calc (ex-housing, ex-storage)'!F392/100))/VLOOKUP($C$391,'DB animal categories'!$C$137:$AC$146,27,FALSE)*AJ392+Q392+R392+S392-AC392,IF(AI392=1,('Calc (ex-animal)'!$L$77*'Calc (ex-housing, ex-storage)'!F392/100)/VLOOKUP($C$391,'DB animal categories'!$C$137:$AC$146,27,FALSE)*AJ392-'Calc (ex-housing, ex-storage)'!AC392,IF(AI392=4,('Calc (ex-animal)'!$L$77+'Calc (ex-animal)'!$K$77)*'Calc (ex-housing, ex-storage)'!F392/100*VLOOKUP(D392,'DB technologies'!$N$182:$Y$194,11,FALSE)/100/VLOOKUP($C$391,'DB animal categories'!$C$137:$AC$146,27,FALSE)*AJ392-AC392*VLOOKUP(D392,'DB technologies'!$N$182:$Y$194,11,FALSE)/100,0))))</f>
        <v/>
      </c>
      <c r="AP392" s="182" t="str">
        <f>IF(D392="","",IF(AO392&lt;-0.01,0,IF(AI392=2,(('Calc (ex-animal)'!$L$77*'Calc (ex-housing, ex-storage)'!F392/100+'Calc (ex-animal)'!$K$77*'Calc (ex-housing, ex-storage)'!F392/100))/VLOOKUP($C$391,'DB animal categories'!$C$137:$AC$146,27,FALSE)*AJ392+Q392+R392+S392-AC392,IF(AI392=1,('Calc (ex-animal)'!$L$77*'Calc (ex-housing, ex-storage)'!F392/100)/VLOOKUP($C$391,'DB animal categories'!$C$137:$AC$146,27,FALSE)*AJ392-'Calc (ex-housing, ex-storage)'!AC392,IF(AI392=4,('Calc (ex-animal)'!$L$77+'Calc (ex-animal)'!$K$77)*'Calc (ex-housing, ex-storage)'!F392/100*VLOOKUP(D392,'DB technologies'!$N$182:$Y$194,11,FALSE)/100/VLOOKUP($C$391,'DB animal categories'!$C$137:$AC$146,27,FALSE)*AJ392-AC392*VLOOKUP(D392,'DB technologies'!$N$182:$Y$194,11,FALSE)/100,0)))))</f>
        <v/>
      </c>
      <c r="AQ392" s="182" t="str">
        <f>IF(D392="","",IF(AI392=2,('Calc (ex-animal)'!$O$77*'Calc (ex-housing, ex-storage)'!F392/100+'Calc (ex-animal)'!$N$77*'Calc (ex-housing, ex-storage)'!F392/100)/VLOOKUP($C$391,'DB animal categories'!$C$137:$AC$146,27,FALSE)*AJ392+U392+V392+W392,IF(AI392=1,'Calc (ex-animal)'!$O$77*'Calc (ex-housing, ex-storage)'!F392/100/VLOOKUP($C$391,'DB animal categories'!$C$137:$AC$146,27,FALSE)*AJ392,IF(AI392=4,('Calc (ex-animal)'!$O$77+'Calc (ex-animal)'!$N$77)*'Calc (ex-housing, ex-storage)'!F392/100*VLOOKUP(D392,'DB technologies'!$N$182:$Y$194,11,FALSE)/100/VLOOKUP($C$391,'DB animal categories'!$C$137:$AC$146,27,FALSE)*AJ392,0))))</f>
        <v/>
      </c>
      <c r="AR392" s="182" t="str">
        <f>IF(D392="","",IF(AI392=2,('Calc (ex-animal)'!$R$77*'Calc (ex-housing, ex-storage)'!F392/100+'Calc (ex-animal)'!$Q$77*'Calc (ex-housing, ex-storage)'!F392/100)/VLOOKUP($C$391,'DB animal categories'!$C$137:$AC$146,27,FALSE)*AJ392+Y392+Z392+AA392,IF(AI392=1,'Calc (ex-animal)'!$R$77*'Calc (ex-housing, ex-storage)'!F392/100/VLOOKUP($C$391,'DB animal categories'!$C$137:$AC$146,27,FALSE)*AJ392,IF(AI392=4,('Calc (ex-animal)'!$R$77+'Calc (ex-animal)'!$Q$77)*'Calc (ex-housing, ex-storage)'!F392/100*VLOOKUP(D392,'DB technologies'!$N$182:$Y$194,11,FALSE)/100/VLOOKUP($C$391,'DB animal categories'!$C$137:$AC$146,27,FALSE)*AJ392,0))))</f>
        <v/>
      </c>
      <c r="AS392" s="181" t="str">
        <f>IF(D392="","",VLOOKUP(D392,'DB technologies'!$N$182:$Y$194,10,FALSE))</f>
        <v/>
      </c>
      <c r="AT392" s="442" t="str">
        <f>IF(AS392="","",AU392+AV392)</f>
        <v/>
      </c>
      <c r="AU392" s="442" t="str">
        <f>IF(D392="","",IF(AS392=2,0,IF(AS392=1,'Calc (ex-animal)'!$G$77*'DB additional information '!$K$16/100*(1-VLOOKUP(D392,'DB technologies'!$N$182:$Y$194,8,FALSE)/100)*'Calc (ex-housing, ex-storage)'!F392/100/VLOOKUP($C$391,'DB animal categories'!$C$137:$AC$146,27,FALSE)*AJ392+I392+J392+K392,IF(AS392=5,(('Calc (ex-animal)'!$G$77*'DB additional information '!$K$16/100+'Calc (ex-animal)'!$H$77*'DB additional information '!$L$16/100))*(1-VLOOKUP(D392,'DB technologies'!$N$182:$Y$194,9,FALSE)/100)*'Calc (ex-housing, ex-storage)'!F392/100/VLOOKUP($C$391,'DB animal categories'!$C$137:$AC$146,27,FALSE)*AJ392+I392+J392+K392,IF(AS392=3,('Calc (ex-animal)'!$G$77*'DB additional information '!$K$16/100+'Calc (ex-animal)'!$H$77*'DB additional information '!$L$16/100)*(1-VLOOKUP(D392,'DB technologies'!$N$182:$Y$194,9,FALSE)/100)*'Calc (ex-housing, ex-storage)'!F392/100/VLOOKUP($C$391,'DB animal categories'!$C$137:$AC$146,27,FALSE)*AJ392+I392+J392+K392,IF(AS392=4,('Calc (ex-animal)'!$G$77*'DB additional information '!$K$16/100+'Calc (ex-animal)'!$H$77*'DB additional information '!$L$16/100)*(1-VLOOKUP(D392,'DB technologies'!$N$182:$Y$194,9,FALSE)/100)*'Calc (ex-housing, ex-storage)'!F392/100*VLOOKUP(D392,'DB technologies'!$N$182:$Y$194,12,FALSE)/100/VLOOKUP($C$391,'DB animal categories'!$C$137:$AC$146,27,FALSE)*AJ392+I392+J392+K392,0))))))</f>
        <v/>
      </c>
      <c r="AV392" s="442" t="str">
        <f>IF(D392="","",IF(AS392=2,0,IF(AS392=1,'Calc (ex-animal)'!$G$77*(1-'DB additional information '!$K$16/100)*(1-VLOOKUP(D392,'DB technologies'!$N$182:$Y$194,8,FALSE)/100)*'Calc (ex-housing, ex-storage)'!F392/100/VLOOKUP($C$391,'DB animal categories'!$C$137:$AC$146,27,FALSE)*AJ392+M392+N392+O392,IF(AS392=5,('Calc (ex-animal)'!$G$77*(1-'DB additional information '!$K$16/100)+'Calc (ex-animal)'!$H$77*(1-'DB additional information '!$L$16/100))*(1-VLOOKUP(D392,'DB technologies'!$N$182:$Y$194,8,FALSE)/100)*'Calc (ex-housing, ex-storage)'!F392/100/VLOOKUP($C$391,'DB animal categories'!$C$137:$AC$146,27,FALSE)*AJ392+M392+N392+O392,IF(AS392=3,('Calc (ex-animal)'!$G$77*(1-'DB additional information '!$K$16/100)+'Calc (ex-animal)'!$H$77*(1-'DB additional information '!$L$16/100))*(1-VLOOKUP(D392,'DB technologies'!$N$182:$Y$194,8,FALSE)/100)*'Calc (ex-housing, ex-storage)'!F392/100/VLOOKUP($C$391,'DB animal categories'!$C$137:$AC$146,27,FALSE)*AJ392+M392+N392+O392,IF(AS392=4,('Calc (ex-animal)'!$G$77*(1-'DB additional information '!$K$16/100)+'Calc (ex-animal)'!$H$77*(1-'DB additional information '!$L$16/100))*(1-VLOOKUP(D392,'DB technologies'!$N$182:$Y$194,8,FALSE)/100)*'Calc (ex-housing, ex-storage)'!F392/100*VLOOKUP(D392,'DB technologies'!$N$182:$Y$194,12,FALSE)/100/VLOOKUP($C$391,'DB animal categories'!$C$137:$AC$146,27,FALSE)*AJ392+M392+N392+O392,0))))))</f>
        <v/>
      </c>
      <c r="AW392" s="442" t="str">
        <f>IF(AS392="","",IF(AU392=0,0,AU392/AT392*100))</f>
        <v/>
      </c>
      <c r="AX392" s="182" t="str">
        <f>IF(D392="","",IF(AS392=2,0,IF(AS392=1,'Calc (ex-animal)'!$K$77*'Calc (ex-housing, ex-storage)'!F392/100/VLOOKUP($C$391,'DB animal categories'!$C$137:$AC$146,27,FALSE)*AJ392+Q392+R392+S392,IF(AS392=5,('Calc (ex-animal)'!$K$77+'Calc (ex-animal)'!$L$77)*'Calc (ex-housing, ex-storage)'!F392/100/VLOOKUP($C$391,'DB animal categories'!$C$137:$AC$146,27,FALSE)*AJ392+Q392+R392+S392-'Calc (ex-housing, ex-storage)'!AC392,IF(AS392=3,('Calc (ex-animal)'!$K$77+'Calc (ex-animal)'!$L$77)*'Calc (ex-housing, ex-storage)'!F392/100/VLOOKUP($C$391,'DB animal categories'!$C$137:$AC$146,27,FALSE)*AJ392+Q392+R392+S392-'Calc (ex-housing, ex-storage)'!AC392-AD392-AE392,IF(AI392=4,('Calc (ex-animal)'!$K$77+'Calc (ex-animal)'!$L$77)*'Calc (ex-housing, ex-storage)'!F392/100*VLOOKUP(D392,'DB technologies'!$N$182:$Y$194,12,FALSE)/100/VLOOKUP($C$391,'DB animal categories'!$C$137:$AC$146,27,FALSE)*AJ392+Q392+R392+S392-(VLOOKUP(D392,'DB technologies'!$N$182:$Y$194,12,FALSE)/100*AC392)-AD392-AE392,0))))))</f>
        <v/>
      </c>
      <c r="AY392" s="182" t="str">
        <f>IF(D392="","",IF(AS392=2,0,IF(AS392=1,'Calc (ex-animal)'!$N$77*'Calc (ex-housing, ex-storage)'!F392/100/VLOOKUP($C$391,'DB animal categories'!$C$137:$AC$146,27,FALSE)*AJ392+U392+V392+W392,IF(AS392=5,('Calc (ex-animal)'!$N$77+'Calc (ex-animal)'!$O$77)*'Calc (ex-housing, ex-storage)'!F392/100/VLOOKUP($C$391,'DB animal categories'!$C$137:$AC$146,27,FALSE)*AJ392+U392+V392+W392,IF(AS392=3,('Calc (ex-animal)'!$N$77+'Calc (ex-animal)'!$O$77)*'Calc (ex-housing, ex-storage)'!F392/100/VLOOKUP($C$391,'DB animal categories'!$C$137:$AC$146,27,FALSE)*AJ392+U392+V392+W392,IF(AS392=4,('Calc (ex-animal)'!$N$77+'Calc (ex-animal)'!$O$77)*'Calc (ex-housing, ex-storage)'!F392/100*VLOOKUP(D392,'DB technologies'!$N$182:$Y$194,12,FALSE)/100/VLOOKUP($C$391,'DB animal categories'!$C$137:$AC$146,27,FALSE)*AJ392+U392+V392+W392,0))))))</f>
        <v/>
      </c>
      <c r="AZ392" s="182" t="str">
        <f>IF(D392="","",IF(AS392=2,0,IF(AS392=1,'Calc (ex-animal)'!$Q$77*'Calc (ex-housing, ex-storage)'!F392/100/VLOOKUP($C$391,'DB animal categories'!$C$137:$AC$146,27,FALSE)*AJ392+Y392+Z392+AA392,IF(AS392=5,('Calc (ex-animal)'!$Q$77+'Calc (ex-animal)'!$R$77)*'Calc (ex-housing, ex-storage)'!F392/100/VLOOKUP($C$391,'DB animal categories'!$C$137:$AC$146,27,FALSE)*AJ392+Y392+Z392+AA392,IF(AS392=3,('Calc (ex-animal)'!$Q$77+'Calc (ex-animal)'!$R$77)*'Calc (ex-housing, ex-storage)'!F392/100/VLOOKUP($C$391,'DB animal categories'!$C$137:$AC$146,27,FALSE)*AJ392+Y392+Z392+AA392,IF(AS392=4,('Calc (ex-animal)'!$Q$77+'Calc (ex-animal)'!$R$77)*'Calc (ex-housing, ex-storage)'!F392/100*VLOOKUP(D392,'DB technologies'!$N$182:$Y$194,12,FALSE)/100/VLOOKUP($C$391,'DB animal categories'!$C$137:$AC$146,27,FALSE)*AJ392+Y392+Z392+AA392,0))))))</f>
        <v/>
      </c>
      <c r="BA392" s="506"/>
      <c r="BB392" s="506"/>
      <c r="BC392" s="506"/>
    </row>
    <row r="393" spans="1:55" x14ac:dyDescent="0.2">
      <c r="A393" s="695"/>
      <c r="B393" s="695"/>
      <c r="C393" s="251"/>
      <c r="D393" s="1357"/>
      <c r="E393" s="1358"/>
      <c r="F393" s="480" t="str">
        <f>IF('Calc (ex-animal)'!$F$73=1,"",IF($C$391=0,"",IF(D393="","",E393/'Calc (ex-animal)'!$E$77*100)))</f>
        <v/>
      </c>
      <c r="G393" s="485" t="str">
        <f>IF($C$391=0,"",IF('Calc (ex-animal)'!$F$73=1,"",IF(D393="","",SUM(H393:O393))))</f>
        <v/>
      </c>
      <c r="H393" s="423" t="str">
        <f>IF('Calc (ex-animal)'!$F$73=1,"",IF(D393="","",(((VLOOKUP($C$391,'Calc (ex-animal)'!$D$73:$Y$77,6,FALSE)-VLOOKUP($C$391,'Calc (ex-animal)'!$D$73:$Y$77,17,FALSE))*F393/100))*VLOOKUP($C$391,'Calc (ex-animal)'!$D$73:$Y$77,7,FALSE)/100*(1-VLOOKUP(D393,'DB technologies'!$N$182:$Y$194,9,FALSE)/100)))</f>
        <v/>
      </c>
      <c r="I393" s="423" t="str">
        <f>IF(D393="","",((VLOOKUP(D393,'DB technologies'!$N$182:$Y$194,2,FALSE)*VLOOKUP($C$391,'DB animal categories'!$C$137:$AC$146,27,FALSE)*E393/1000)/VLOOKUP($C$391,'DB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'!$S$6/100*(1-VLOOKUP(D393,'DB technologies'!$N$182:$Y$194,9,FALSE)/100)))</f>
        <v/>
      </c>
      <c r="J393" s="434" t="str">
        <f>IF(D393="","",((VLOOKUP(D393,'DB technologies'!$N$182:$Y$194,3,FALSE)*VLOOKUP($C$391,'DB animal categories'!$C$137:$AC$146,27,FALSE)*E393/1000)/VLOOKUP($C$391,'DB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'!$S$7/100*(1-VLOOKUP(D393,'DB technologies'!$N$182:$Y$194,9,FALSE)/100)))</f>
        <v/>
      </c>
      <c r="K393" s="434" t="str">
        <f>IF(D393="","",((VLOOKUP(D393,'DB technologies'!$N$182:$Y$194,4,FALSE)*E393*'DB additional information '!$S$8/100*(1-VLOOKUP(D393,'DB technologies'!$N$182:$Y$194,9,FALSE)/100))/VLOOKUP($C$391,'DB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L393" s="423" t="str">
        <f>IF('Calc (ex-animal)'!$F$73=1,"",IF(D393="","",(((VLOOKUP($C$391,'Calc (ex-animal)'!$D$73:$Y$77,6,FALSE)-VLOOKUP($C$391,'Calc (ex-animal)'!$D$73:$Y$77,17,FALSE))*F393/100))*(1-VLOOKUP($C$391,'Calc (ex-animal)'!$D$73:$Y$77,7,FALSE)/100)*(1-VLOOKUP(D393,'DB technologies'!$N$182:$V$194,8,FALSE)/100)))</f>
        <v/>
      </c>
      <c r="M393" s="434" t="str">
        <f>IF(D393="","",((VLOOKUP(D393,'DB technologies'!$N$182:$Y$194,2,FALSE)*VLOOKUP($C$391,'DB animal categories'!$C$137:$AC$146,27,FALSE)*E393/1000)/VLOOKUP($C$391,'DB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'!$S$6/100)*(1-VLOOKUP(D393,'DB technologies'!$N$182:$Y$194,9,FALSE)/100))</f>
        <v/>
      </c>
      <c r="N393" s="434" t="str">
        <f>IF(D393="","",((VLOOKUP(D393,'DB technologies'!$N$182:$Y$194,3,FALSE)*VLOOKUP($C$391,'DB animal categories'!$C$137:$AC$146,27,FALSE)*E393/1000)/VLOOKUP($C$391,'DB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'!$S$7/100)*(1-VLOOKUP(D393,'DB technologies'!$N$182:$Y$194,9,FALSE)/100))</f>
        <v/>
      </c>
      <c r="O393" s="423" t="str">
        <f>IF(D393="","",((VLOOKUP(D393,'DB technologies'!$N$182:$Y$194,4,FALSE)*E393*(1-'DB additional information '!$S$8/100)*(1-VLOOKUP(D393,'DB technologies'!$N$182:$Y$194,8,FALSE)/100))/VLOOKUP($C$391,'DB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P393" s="438" t="str">
        <f>IF(G393=0,0,IF(E393="","",IF(F393="","",IF($C$391=0,"",IF(D393="","",SUM(H393:K393)/G393*100)))))</f>
        <v/>
      </c>
      <c r="Q393" s="416" t="str">
        <f>IF(D393="","",(VLOOKUP(D393,'DB technologies'!$N$182:$Y$194,2,FALSE)*'DB additional information '!$S$6/100*'DB additional information '!$T$6*VLOOKUP($C$391,'DB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R393" s="416" t="str">
        <f>IF(D393="","",(VLOOKUP(D393,'DB technologies'!$N$182:$Y$194,3,FALSE)*'DB additional information '!$S$7/100*'DB additional information '!$T$7*VLOOKUP($C$391,'DB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S393" s="491" t="str">
        <f>IF(D393="","",(VLOOKUP(D393,'DB technologies'!$N$182:$Y$194,4,FALSE)*('DB additional information '!$S$8/100*'DB additional information '!$T$8*E393/1000/1000)))</f>
        <v/>
      </c>
      <c r="T393" s="264" t="str">
        <f>IF($C$391=0,"",IF('Calc (ex-animal)'!$F$73=1,"",IF(D393="","",((VLOOKUP($C$391,'Calc (ex-animal)'!$D$73:$Y$77,10,FALSE)-VLOOKUP($C$391,'Calc (ex-animal)'!$D$73:$Y$77,18,FALSE))*F393/100+Q393+R393+S393)-AC393-AD393-AE393)))</f>
        <v/>
      </c>
      <c r="U393" s="422" t="str">
        <f>IF(D393="","",(VLOOKUP(D393,'DB technologies'!$N$182:$Y$194,2,FALSE)*'DB additional information '!$S$6/100*'DB additional information '!$U$6*VLOOKUP($C$391,'DB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V393" s="418" t="str">
        <f>IF(D393="","",(VLOOKUP(D393,'DB technologies'!$N$182:$Y$194,3,FALSE)*'DB additional information '!$S$7/100*'DB additional information '!$U$7*VLOOKUP($C$391,'DB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W393" s="417" t="str">
        <f>IF(D393="","",(VLOOKUP(D393,'DB technologies'!$N$182:$Y$194,4,FALSE)*('DB additional information '!$S$8/100*'DB additional information '!$U$8*E393/1000/1000)))</f>
        <v/>
      </c>
      <c r="X393" s="261" t="str">
        <f>IF($C$391=0,"",IF('Calc (ex-animal)'!$F$73=1,"",IF(D393="","",((VLOOKUP($C$391,'Calc (ex-animal)'!$D$73:$Y$77,13,FALSE)-VLOOKUP($C$391,'Calc (ex-animal)'!$D$73:$Y$77,19,FALSE))*F393/100+U393+V393+W393))))</f>
        <v/>
      </c>
      <c r="Y393" s="418" t="str">
        <f>IF(D393="","",(VLOOKUP(D393,'DB technologies'!$N$182:$Y$194,2,FALSE)*'DB additional information '!$S$6/100*'DB additional information '!$V$6*VLOOKUP($C$391,'DB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Z393" s="418" t="str">
        <f>IF(D393="","",(VLOOKUP(D393,'DB technologies'!$N$182:$Y$194,3,FALSE)*'DB additional information '!$S$7/100*'DB additional information '!$V$7*VLOOKUP($C$391,'DB animal categories'!$C$137:$AC$146,27,FALSE)*E393/1000/1000)/VLOOKUP($C$391,'DB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AA393" s="418" t="str">
        <f>IF(D393="","",(VLOOKUP(D393,'DB technologies'!$N$182:$Y$194,4,FALSE)*('DB additional information '!$S$8/100*'DB additional information '!$V$8*E393/1000/1000)))</f>
        <v/>
      </c>
      <c r="AB393" s="261" t="str">
        <f>IF($C$391=0,"",IF('Calc (ex-animal)'!$F$73=1,"",IF(D393="","",((VLOOKUP($C$391,'Calc (ex-animal)'!$D$73:$Y$77,16,FALSE)-VLOOKUP($C$391,'Calc (ex-animal)'!$D$73:$Y$77,20,FALSE))*F393/100+Y393+Z393+AA393))))</f>
        <v/>
      </c>
      <c r="AC393" s="261" t="str">
        <f>IF($C$391=0,"",IF('Calc (ex-animal)'!$F$73=1,"",IF(D393="","",VLOOKUP($C$391,'Calc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categories'!$C$137:$AC$146,26,FALSE)/24)*F393/100*VLOOKUP(D393,'DB technologies'!$N$182:$R$194,5,FALSE)/100)))</f>
        <v/>
      </c>
      <c r="AD393" s="261" t="str">
        <f>IF($C$391=0,"",IF('Calc (ex-animal)'!$F$73=1,"",IF(D393="","",VLOOKUP($C$391,'Calc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categories'!$C$137:$AC$146,26,FALSE)/24)*F393/100*VLOOKUP(D393,'DB technologies'!$N$182:$Y$194,6,FALSE)/100)))</f>
        <v/>
      </c>
      <c r="AE393" s="262" t="str">
        <f>IF($C$391=0,"",IF('Calc (ex-animal)'!$F$73=1,"",IF(D393="","",VLOOKUP($C$391,'Calc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categories'!$C$137:$AC$146,26,FALSE)/24)*F393/100*VLOOKUP(D393,'DB technologies'!$N$182:$Y$194,7,FALSE)/100)))</f>
        <v/>
      </c>
      <c r="AI393" s="181" t="str">
        <f>IF(D393="","",VLOOKUP(D393,'DB technologies'!$N$182:$Y$194,10,FALSE))</f>
        <v/>
      </c>
      <c r="AJ393" s="449" t="e">
        <f>VLOOKUP($C$391,'DB animal categories'!$C$137:$AN$146,27,FALSE)-VLOOKUP($C$391,'DB animal categories'!$C$137:$AN$146,26,FALSE)*VLOOKUP($C$391,'DB animal categories'!$C$137:$AN$146,25,FALSE)/24</f>
        <v>#N/A</v>
      </c>
      <c r="AK393" s="442" t="str">
        <f>IF(AI393="","",AL393+AM393)</f>
        <v/>
      </c>
      <c r="AL393" s="442" t="str">
        <f>IF(D393="","",IF(AI393=2,(('Calc (ex-animal)'!$G$77*'DB additional information '!$K$16/100*(1-VLOOKUP(D393,'DB technologies'!$N$182:$Y$194,9,FALSE)/100)*'Calc (ex-housing, ex-storage)'!F393/100+'Calc (ex-animal)'!$H$77*'DB additional information '!$L$16/100*(1-VLOOKUP(D393,'DB technologies'!$N$182:$Y$194,9,FALSE)/100)*'Calc (ex-housing, ex-storage)'!F393/100))/VLOOKUP($C$391,'DB animal categories'!$C$137:$AC$146,27,FALSE)*AJ393+I393+J393+K393,IF(AI393=1,('Calc (ex-animal)'!$H$77*'DB additional information '!$L$16/100*(1-VLOOKUP(D393,'DB technologies'!$N$182:$Y$194,9,FALSE)/100)*'Calc (ex-housing, ex-storage)'!F393/100)/VLOOKUP($C$391,'DB animal categories'!$C$137:$AC$146,27,FALSE)*AJ393,IF(AI393=4,('Calc (ex-animal)'!$G$77*'DB additional information '!$K$16/100+'Calc (ex-animal)'!$H$77*'DB additional information '!$L$16/100)*(1-VLOOKUP(D393,'DB technologies'!$N$182:$Y$194,9,FALSE)/100)*'Calc (ex-housing, ex-storage)'!F393/100*VLOOKUP(D393,'DB technologies'!$N$182:$Y$194,11,FALSE)/100/VLOOKUP($C$391,'DB animal categories'!$C$137:$AC$146,27,FALSE)*AJ393,0))))</f>
        <v/>
      </c>
      <c r="AM393" s="442" t="str">
        <f>IF(D393="","",IF(AI393=2,(('Calc (ex-animal)'!$G$77*(1-'DB additional information '!$K$16/100)*(1-VLOOKUP(D393,'DB technologies'!$N$182:$Y$194,8,FALSE)/100)*'Calc (ex-housing, ex-storage)'!F393/100+'Calc (ex-animal)'!$H$77*(1-'DB additional information '!$L$16/100)*(1-VLOOKUP(D393,'DB technologies'!$N$182:$Y$194,8,FALSE)/100)*'Calc (ex-housing, ex-storage)'!F393/100))/VLOOKUP($C$391,'DB animal categories'!$C$137:$AC$146,27,FALSE)*AJ393+M393+N393+O393,IF(AI393=1,('Calc (ex-animal)'!$H$77*(1-'DB additional information '!$L$16/100)*(1-VLOOKUP(D393,'DB technologies'!$N$182:$Y$194,8,FALSE)/100)*'Calc (ex-housing, ex-storage)'!F393/100)/VLOOKUP($C$391,'DB animal categories'!$C$137:$AC$146,27,FALSE)*AJ393,IF(AI393=4,('Calc (ex-animal)'!$G$77*(1-'DB additional information '!$K$16/100)+'Calc (ex-animal)'!$H$77*(1-'DB additional information '!$L$16/100))*(1-VLOOKUP(D393,'DB technologies'!$N$182:$Y$194,8,FALSE)/100)*'Calc (ex-housing, ex-storage)'!F393/100*VLOOKUP(D393,'DB technologies'!$N$182:$Y$194,11,FALSE)/100/VLOOKUP($C$391,'DB animal categories'!$C$137:$AC$146,27,FALSE)*AJ393,0))))</f>
        <v/>
      </c>
      <c r="AN393" s="442" t="str">
        <f>IF(AI393="","",IF(AL393=0,0,AL393/AK393*100))</f>
        <v/>
      </c>
      <c r="AO393" s="182" t="str">
        <f>IF(D393="","",IF(AI393=2,(('Calc (ex-animal)'!$L$77*'Calc (ex-housing, ex-storage)'!F393/100+'Calc (ex-animal)'!$K$77*'Calc (ex-housing, ex-storage)'!F393/100))/VLOOKUP($C$391,'DB animal categories'!$C$137:$AC$146,27,FALSE)*AJ393+Q393+R393+S393-AC393,IF(AI393=1,('Calc (ex-animal)'!$L$77*'Calc (ex-housing, ex-storage)'!F393/100)/VLOOKUP($C$391,'DB animal categories'!$C$137:$AC$146,27,FALSE)*AJ393-'Calc (ex-housing, ex-storage)'!AC393,IF(AI393=4,('Calc (ex-animal)'!$L$77+'Calc (ex-animal)'!$K$77)*'Calc (ex-housing, ex-storage)'!F393/100*VLOOKUP(D393,'DB technologies'!$N$182:$Y$194,11,FALSE)/100/VLOOKUP($C$391,'DB animal categories'!$C$137:$AC$146,27,FALSE)*AJ393-AC393*VLOOKUP(D393,'DB technologies'!$N$182:$Y$194,11,FALSE)/100,0))))</f>
        <v/>
      </c>
      <c r="AP393" s="182" t="str">
        <f>IF(D393="","",IF(AO393&lt;-0.01,0,IF(AI393=2,(('Calc (ex-animal)'!$L$77*'Calc (ex-housing, ex-storage)'!F393/100+'Calc (ex-animal)'!$K$77*'Calc (ex-housing, ex-storage)'!F393/100))/VLOOKUP($C$391,'DB animal categories'!$C$137:$AC$146,27,FALSE)*AJ393+Q393+R393+S393-AC393,IF(AI393=1,('Calc (ex-animal)'!$L$77*'Calc (ex-housing, ex-storage)'!F393/100)/VLOOKUP($C$391,'DB animal categories'!$C$137:$AC$146,27,FALSE)*AJ393-'Calc (ex-housing, ex-storage)'!AC393,IF(AI393=4,('Calc (ex-animal)'!$L$77+'Calc (ex-animal)'!$K$77)*'Calc (ex-housing, ex-storage)'!F393/100*VLOOKUP(D393,'DB technologies'!$N$182:$Y$194,11,FALSE)/100/VLOOKUP($C$391,'DB animal categories'!$C$137:$AC$146,27,FALSE)*AJ393-AC393*VLOOKUP(D393,'DB technologies'!$N$182:$Y$194,11,FALSE)/100,0)))))</f>
        <v/>
      </c>
      <c r="AQ393" s="182" t="str">
        <f>IF(D393="","",IF(AI393=2,('Calc (ex-animal)'!$O$77*'Calc (ex-housing, ex-storage)'!F393/100+'Calc (ex-animal)'!$N$77*'Calc (ex-housing, ex-storage)'!F393/100)/VLOOKUP($C$391,'DB animal categories'!$C$137:$AC$146,27,FALSE)*AJ393+U393+V393+W393,IF(AI393=1,'Calc (ex-animal)'!$O$77*'Calc (ex-housing, ex-storage)'!F393/100/VLOOKUP($C$391,'DB animal categories'!$C$137:$AC$146,27,FALSE)*AJ393,IF(AI393=4,('Calc (ex-animal)'!$O$77+'Calc (ex-animal)'!$N$77)*'Calc (ex-housing, ex-storage)'!F393/100*VLOOKUP(D393,'DB technologies'!$N$182:$Y$194,11,FALSE)/100/VLOOKUP($C$391,'DB animal categories'!$C$137:$AC$146,27,FALSE)*AJ393,0))))</f>
        <v/>
      </c>
      <c r="AR393" s="182" t="str">
        <f>IF(D393="","",IF(AI393=2,('Calc (ex-animal)'!$R$77*'Calc (ex-housing, ex-storage)'!F393/100+'Calc (ex-animal)'!$Q$77*'Calc (ex-housing, ex-storage)'!F393/100)/VLOOKUP($C$391,'DB animal categories'!$C$137:$AC$146,27,FALSE)*AJ393+Y393+Z393+AA393,IF(AI393=1,'Calc (ex-animal)'!$R$77*'Calc (ex-housing, ex-storage)'!F393/100/VLOOKUP($C$391,'DB animal categories'!$C$137:$AC$146,27,FALSE)*AJ393,IF(AI393=4,('Calc (ex-animal)'!$R$77+'Calc (ex-animal)'!$Q$77)*'Calc (ex-housing, ex-storage)'!F393/100*VLOOKUP(D393,'DB technologies'!$N$182:$Y$194,11,FALSE)/100/VLOOKUP($C$391,'DB animal categories'!$C$137:$AC$146,27,FALSE)*AJ393,0))))</f>
        <v/>
      </c>
      <c r="AS393" s="181" t="str">
        <f>IF(D393="","",VLOOKUP(D393,'DB technologies'!$N$182:$Y$194,10,FALSE))</f>
        <v/>
      </c>
      <c r="AT393" s="442" t="str">
        <f>IF(AS393="","",AU393+AV393)</f>
        <v/>
      </c>
      <c r="AU393" s="442" t="str">
        <f>IF(D393="","",IF(AS393=2,0,IF(AS393=1,'Calc (ex-animal)'!$G$77*'DB additional information '!$K$16/100*(1-VLOOKUP(D393,'DB technologies'!$N$182:$Y$194,8,FALSE)/100)*'Calc (ex-housing, ex-storage)'!F393/100/VLOOKUP($C$391,'DB animal categories'!$C$137:$AC$146,27,FALSE)*AJ393+I393+J393+K393,IF(AS393=5,(('Calc (ex-animal)'!$G$77*'DB additional information '!$K$16/100+'Calc (ex-animal)'!$H$77*'DB additional information '!$L$16/100))*(1-VLOOKUP(D393,'DB technologies'!$N$182:$Y$194,9,FALSE)/100)*'Calc (ex-housing, ex-storage)'!F393/100/VLOOKUP($C$391,'DB animal categories'!$C$137:$AC$146,27,FALSE)*AJ393+I393+J393+K393,IF(AS393=3,('Calc (ex-animal)'!$G$77*'DB additional information '!$K$16/100+'Calc (ex-animal)'!$H$77*'DB additional information '!$L$16/100)*(1-VLOOKUP(D393,'DB technologies'!$N$182:$Y$194,9,FALSE)/100)*'Calc (ex-housing, ex-storage)'!F393/100/VLOOKUP($C$391,'DB animal categories'!$C$137:$AC$146,27,FALSE)*AJ393+I393+J393+K393,IF(AS393=4,('Calc (ex-animal)'!$G$77*'DB additional information '!$K$16/100+'Calc (ex-animal)'!$H$77*'DB additional information '!$L$16/100)*(1-VLOOKUP(D393,'DB technologies'!$N$182:$Y$194,9,FALSE)/100)*'Calc (ex-housing, ex-storage)'!F393/100*VLOOKUP(D393,'DB technologies'!$N$182:$Y$194,12,FALSE)/100/VLOOKUP($C$391,'DB animal categories'!$C$137:$AC$146,27,FALSE)*AJ393+I393+J393+K393,0))))))</f>
        <v/>
      </c>
      <c r="AV393" s="442" t="str">
        <f>IF(D393="","",IF(AS393=2,0,IF(AS393=1,'Calc (ex-animal)'!$G$77*(1-'DB additional information '!$K$16/100)*(1-VLOOKUP(D393,'DB technologies'!$N$182:$Y$194,8,FALSE)/100)*'Calc (ex-housing, ex-storage)'!F393/100/VLOOKUP($C$391,'DB animal categories'!$C$137:$AC$146,27,FALSE)*AJ393+M393+N393+O393,IF(AS393=5,('Calc (ex-animal)'!$G$77*(1-'DB additional information '!$K$16/100)+'Calc (ex-animal)'!$H$77*(1-'DB additional information '!$L$16/100))*(1-VLOOKUP(D393,'DB technologies'!$N$182:$Y$194,8,FALSE)/100)*'Calc (ex-housing, ex-storage)'!F393/100/VLOOKUP($C$391,'DB animal categories'!$C$137:$AC$146,27,FALSE)*AJ393+M393+N393+O393,IF(AS393=3,('Calc (ex-animal)'!$G$77*(1-'DB additional information '!$K$16/100)+'Calc (ex-animal)'!$H$77*(1-'DB additional information '!$L$16/100))*(1-VLOOKUP(D393,'DB technologies'!$N$182:$Y$194,8,FALSE)/100)*'Calc (ex-housing, ex-storage)'!F393/100/VLOOKUP($C$391,'DB animal categories'!$C$137:$AC$146,27,FALSE)*AJ393+M393+N393+O393,IF(AS393=4,('Calc (ex-animal)'!$G$77*(1-'DB additional information '!$K$16/100)+'Calc (ex-animal)'!$H$77*(1-'DB additional information '!$L$16/100))*(1-VLOOKUP(D393,'DB technologies'!$N$182:$Y$194,8,FALSE)/100)*'Calc (ex-housing, ex-storage)'!F393/100*VLOOKUP(D393,'DB technologies'!$N$182:$Y$194,12,FALSE)/100/VLOOKUP($C$391,'DB animal categories'!$C$137:$AC$146,27,FALSE)*AJ393+M393+N393+O393,0))))))</f>
        <v/>
      </c>
      <c r="AW393" s="442" t="str">
        <f>IF(AS393="","",IF(AU393=0,0,AU393/AT393*100))</f>
        <v/>
      </c>
      <c r="AX393" s="182" t="str">
        <f>IF(D393="","",IF(AS393=2,0,IF(AS393=1,'Calc (ex-animal)'!$K$77*'Calc (ex-housing, ex-storage)'!F393/100/VLOOKUP($C$391,'DB animal categories'!$C$137:$AC$146,27,FALSE)*AJ393+Q393+R393+S393,IF(AS393=5,('Calc (ex-animal)'!$K$77+'Calc (ex-animal)'!$L$77)*'Calc (ex-housing, ex-storage)'!F393/100/VLOOKUP($C$391,'DB animal categories'!$C$137:$AC$146,27,FALSE)*AJ393+Q393+R393+S393-'Calc (ex-housing, ex-storage)'!AC393,IF(AS393=3,('Calc (ex-animal)'!$K$77+'Calc (ex-animal)'!$L$77)*'Calc (ex-housing, ex-storage)'!F393/100/VLOOKUP($C$391,'DB animal categories'!$C$137:$AC$146,27,FALSE)*AJ393+Q393+R393+S393-'Calc (ex-housing, ex-storage)'!AC393-AD393-AE393,IF(AI393=4,('Calc (ex-animal)'!$K$77+'Calc (ex-animal)'!$L$77)*'Calc (ex-housing, ex-storage)'!F393/100*VLOOKUP(D393,'DB technologies'!$N$182:$Y$194,12,FALSE)/100/VLOOKUP($C$391,'DB animal categories'!$C$137:$AC$146,27,FALSE)*AJ393+Q393+R393+S393-(VLOOKUP(D393,'DB technologies'!$N$182:$Y$194,12,FALSE)/100*AC393)-AD393-AE393,0))))))</f>
        <v/>
      </c>
      <c r="AY393" s="182" t="str">
        <f>IF(D393="","",IF(AS393=2,0,IF(AS393=1,'Calc (ex-animal)'!$N$77*'Calc (ex-housing, ex-storage)'!F393/100/VLOOKUP($C$391,'DB animal categories'!$C$137:$AC$146,27,FALSE)*AJ393+U393+V393+W393,IF(AS393=5,('Calc (ex-animal)'!$N$77+'Calc (ex-animal)'!$O$77)*'Calc (ex-housing, ex-storage)'!F393/100/VLOOKUP($C$391,'DB animal categories'!$C$137:$AC$146,27,FALSE)*AJ393+U393+V393+W393,IF(AS393=3,('Calc (ex-animal)'!$N$77+'Calc (ex-animal)'!$O$77)*'Calc (ex-housing, ex-storage)'!F393/100/VLOOKUP($C$391,'DB animal categories'!$C$137:$AC$146,27,FALSE)*AJ393+U393+V393+W393,IF(AS393=4,('Calc (ex-animal)'!$N$77+'Calc (ex-animal)'!$O$77)*'Calc (ex-housing, ex-storage)'!F393/100*VLOOKUP(D393,'DB technologies'!$N$182:$Y$194,12,FALSE)/100/VLOOKUP($C$391,'DB animal categories'!$C$137:$AC$146,27,FALSE)*AJ393+U393+V393+W393,0))))))</f>
        <v/>
      </c>
      <c r="AZ393" s="182" t="str">
        <f>IF(D393="","",IF(AS393=2,0,IF(AS393=1,'Calc (ex-animal)'!$Q$77*'Calc (ex-housing, ex-storage)'!F393/100/VLOOKUP($C$391,'DB animal categories'!$C$137:$AC$146,27,FALSE)*AJ393+Y393+Z393+AA393,IF(AS393=5,('Calc (ex-animal)'!$Q$77+'Calc (ex-animal)'!$R$77)*'Calc (ex-housing, ex-storage)'!F393/100/VLOOKUP($C$391,'DB animal categories'!$C$137:$AC$146,27,FALSE)*AJ393+Y393+Z393+AA393,IF(AS393=3,('Calc (ex-animal)'!$Q$77+'Calc (ex-animal)'!$R$77)*'Calc (ex-housing, ex-storage)'!F393/100/VLOOKUP($C$391,'DB animal categories'!$C$137:$AC$146,27,FALSE)*AJ393+Y393+Z393+AA393,IF(AS393=4,('Calc (ex-animal)'!$Q$77+'Calc (ex-animal)'!$R$77)*'Calc (ex-housing, ex-storage)'!F393/100*VLOOKUP(D393,'DB technologies'!$N$182:$Y$194,12,FALSE)/100/VLOOKUP($C$391,'DB animal categories'!$C$137:$AC$146,27,FALSE)*AJ393+Y393+Z393+AA393,0))))))</f>
        <v/>
      </c>
      <c r="BA393" s="506"/>
      <c r="BB393" s="506"/>
      <c r="BC393" s="506"/>
    </row>
    <row r="394" spans="1:55" x14ac:dyDescent="0.2">
      <c r="A394" s="695"/>
      <c r="B394" s="695"/>
      <c r="C394" s="251"/>
      <c r="D394" s="1357"/>
      <c r="E394" s="1358"/>
      <c r="F394" s="480" t="str">
        <f>IF('Calc (ex-animal)'!$F$73=1,"",IF($C$391=0,"",IF(D394="","",E394/'Calc (ex-animal)'!$E$77*100)))</f>
        <v/>
      </c>
      <c r="G394" s="485" t="str">
        <f>IF($C$391=0,"",IF('Calc (ex-animal)'!$F$73=1,"",IF(D394="","",SUM(H394:O394))))</f>
        <v/>
      </c>
      <c r="H394" s="423" t="str">
        <f>IF('Calc (ex-animal)'!$F$73=1,"",IF(D394="","",(((VLOOKUP($C$391,'Calc (ex-animal)'!$D$73:$Y$77,6,FALSE)-VLOOKUP($C$391,'Calc (ex-animal)'!$D$73:$Y$77,17,FALSE))*F394/100))*VLOOKUP($C$391,'Calc (ex-animal)'!$D$73:$Y$77,7,FALSE)/100*(1-VLOOKUP(D394,'DB technologies'!$N$182:$Y$194,9,FALSE)/100)))</f>
        <v/>
      </c>
      <c r="I394" s="423" t="str">
        <f>IF(D394="","",((VLOOKUP(D394,'DB technologies'!$N$182:$Y$194,2,FALSE)*VLOOKUP($C$391,'DB animal categories'!$C$137:$AC$146,27,FALSE)*E394/1000)/VLOOKUP($C$391,'DB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'!$S$6/100*(1-VLOOKUP(D394,'DB technologies'!$N$182:$Y$194,9,FALSE)/100)))</f>
        <v/>
      </c>
      <c r="J394" s="434" t="str">
        <f>IF(D394="","",((VLOOKUP(D394,'DB technologies'!$N$182:$Y$194,3,FALSE)*VLOOKUP($C$391,'DB animal categories'!$C$137:$AC$146,27,FALSE)*E394/1000)/VLOOKUP($C$391,'DB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'!$S$7/100*(1-VLOOKUP(D394,'DB technologies'!$N$182:$Y$194,9,FALSE)/100)))</f>
        <v/>
      </c>
      <c r="K394" s="434" t="str">
        <f>IF(D394="","",((VLOOKUP(D394,'DB technologies'!$N$182:$Y$194,4,FALSE)*E394*'DB additional information '!$S$8/100*(1-VLOOKUP(D394,'DB technologies'!$N$182:$Y$194,9,FALSE)/100))/VLOOKUP($C$391,'DB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L394" s="423" t="str">
        <f>IF('Calc (ex-animal)'!$F$73=1,"",IF(D394="","",(((VLOOKUP($C$391,'Calc (ex-animal)'!$D$73:$Y$77,6,FALSE)-VLOOKUP($C$391,'Calc (ex-animal)'!$D$73:$Y$77,17,FALSE))*F394/100))*(1-VLOOKUP($C$391,'Calc (ex-animal)'!$D$73:$Y$77,7,FALSE)/100)*(1-VLOOKUP(D394,'DB technologies'!$N$182:$V$194,8,FALSE)/100)))</f>
        <v/>
      </c>
      <c r="M394" s="434" t="str">
        <f>IF(D394="","",((VLOOKUP(D394,'DB technologies'!$N$182:$Y$194,2,FALSE)*VLOOKUP($C$391,'DB animal categories'!$C$137:$AC$146,27,FALSE)*E394/1000)/VLOOKUP($C$391,'DB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'!$S$6/100)*(1-VLOOKUP(D394,'DB technologies'!$N$182:$Y$194,9,FALSE)/100))</f>
        <v/>
      </c>
      <c r="N394" s="434" t="str">
        <f>IF(D394="","",((VLOOKUP(D394,'DB technologies'!$N$182:$Y$194,3,FALSE)*VLOOKUP($C$391,'DB animal categories'!$C$137:$AC$146,27,FALSE)*E394/1000)/VLOOKUP($C$391,'DB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'!$S$7/100)*(1-VLOOKUP(D394,'DB technologies'!$N$182:$Y$194,9,FALSE)/100))</f>
        <v/>
      </c>
      <c r="O394" s="423" t="str">
        <f>IF(D394="","",((VLOOKUP(D394,'DB technologies'!$N$182:$Y$194,4,FALSE)*E394*(1-'DB additional information '!$S$8/100)*(1-VLOOKUP(D394,'DB technologies'!$N$182:$Y$194,8,FALSE)/100))/VLOOKUP($C$391,'DB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P394" s="438" t="str">
        <f>IF(G394=0,0,IF(E394="","",IF(F394="","",IF($C$391=0,"",IF(D394="","",SUM(H394:K394)/G394*100)))))</f>
        <v/>
      </c>
      <c r="Q394" s="416" t="str">
        <f>IF(D394="","",(VLOOKUP(D394,'DB technologies'!$N$182:$Y$194,2,FALSE)*'DB additional information '!$S$6/100*'DB additional information '!$T$6*VLOOKUP($C$391,'DB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R394" s="416" t="str">
        <f>IF(D394="","",(VLOOKUP(D394,'DB technologies'!$N$182:$Y$194,3,FALSE)*'DB additional information '!$S$7/100*'DB additional information '!$T$7*VLOOKUP($C$391,'DB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S394" s="491" t="str">
        <f>IF(D394="","",(VLOOKUP(D394,'DB technologies'!$N$182:$Y$194,4,FALSE)*('DB additional information '!$S$8/100*'DB additional information '!$T$8*E394/1000/1000)))</f>
        <v/>
      </c>
      <c r="T394" s="264" t="str">
        <f>IF($C$391=0,"",IF('Calc (ex-animal)'!$F$73=1,"",IF(D394="","",((VLOOKUP($C$391,'Calc (ex-animal)'!$D$73:$Y$77,10,FALSE)-VLOOKUP($C$391,'Calc (ex-animal)'!$D$73:$Y$77,18,FALSE))*F394/100+Q394+R394+S394)-AC394-AD394-AE394)))</f>
        <v/>
      </c>
      <c r="U394" s="422" t="str">
        <f>IF(D394="","",(VLOOKUP(D394,'DB technologies'!$N$182:$Y$194,2,FALSE)*'DB additional information '!$S$6/100*'DB additional information '!$U$6*VLOOKUP($C$391,'DB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V394" s="418" t="str">
        <f>IF(D394="","",(VLOOKUP(D394,'DB technologies'!$N$182:$Y$194,3,FALSE)*'DB additional information '!$S$7/100*'DB additional information '!$U$7*VLOOKUP($C$391,'DB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W394" s="417" t="str">
        <f>IF(D394="","",(VLOOKUP(D394,'DB technologies'!$N$182:$Y$194,4,FALSE)*('DB additional information '!$S$8/100*'DB additional information '!$U$8*E394/1000/1000)))</f>
        <v/>
      </c>
      <c r="X394" s="261" t="str">
        <f>IF($C$391=0,"",IF('Calc (ex-animal)'!$F$73=1,"",IF(D394="","",((VLOOKUP($C$391,'Calc (ex-animal)'!$D$73:$Y$77,13,FALSE)-VLOOKUP($C$391,'Calc (ex-animal)'!$D$73:$Y$77,19,FALSE))*F394/100+U394+V394+W394))))</f>
        <v/>
      </c>
      <c r="Y394" s="418" t="str">
        <f>IF(D394="","",(VLOOKUP(D394,'DB technologies'!$N$182:$Y$194,2,FALSE)*'DB additional information '!$S$6/100*'DB additional information '!$V$6*VLOOKUP($C$391,'DB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Z394" s="418" t="str">
        <f>IF(D394="","",(VLOOKUP(D394,'DB technologies'!$N$182:$Y$194,3,FALSE)*'DB additional information '!$S$7/100*'DB additional information '!$V$7*VLOOKUP($C$391,'DB animal categories'!$C$137:$AC$146,27,FALSE)*E394/1000/1000)/VLOOKUP($C$391,'DB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AA394" s="418" t="str">
        <f>IF(D394="","",(VLOOKUP(D394,'DB technologies'!$N$182:$Y$194,4,FALSE)*('DB additional information '!$S$8/100*'DB additional information '!$V$8*E394/1000/1000)))</f>
        <v/>
      </c>
      <c r="AB394" s="261" t="str">
        <f>IF($C$391=0,"",IF('Calc (ex-animal)'!$F$73=1,"",IF(D394="","",((VLOOKUP($C$391,'Calc (ex-animal)'!$D$73:$Y$77,16,FALSE)-VLOOKUP($C$391,'Calc (ex-animal)'!$D$73:$Y$77,20,FALSE))*F394/100+Y394+Z394+AA394))))</f>
        <v/>
      </c>
      <c r="AC394" s="261" t="str">
        <f>IF($C$391=0,"",IF('Calc (ex-animal)'!$F$73=1,"",IF(D394="","",VLOOKUP($C$391,'Calc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categories'!$C$137:$AC$146,26,FALSE)/24)*F394/100*VLOOKUP(D394,'DB technologies'!$N$182:$R$194,5,FALSE)/100)))</f>
        <v/>
      </c>
      <c r="AD394" s="261" t="str">
        <f>IF($C$391=0,"",IF('Calc (ex-animal)'!$F$73=1,"",IF(D394="","",VLOOKUP($C$391,'Calc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categories'!$C$137:$AC$146,26,FALSE)/24)*F394/100*VLOOKUP(D394,'DB technologies'!$N$182:$Y$194,6,FALSE)/100)))</f>
        <v/>
      </c>
      <c r="AE394" s="262" t="str">
        <f>IF($C$391=0,"",IF('Calc (ex-animal)'!$F$73=1,"",IF(D394="","",VLOOKUP($C$391,'Calc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categories'!$C$137:$AC$146,26,FALSE)/24)*F394/100*VLOOKUP(D394,'DB technologies'!$N$182:$Y$194,7,FALSE)/100)))</f>
        <v/>
      </c>
      <c r="AI394" s="181" t="str">
        <f>IF(D394="","",VLOOKUP(D394,'DB technologies'!$N$182:$Y$194,10,FALSE))</f>
        <v/>
      </c>
      <c r="AJ394" s="449" t="e">
        <f>VLOOKUP($C$391,'DB animal categories'!$C$137:$AN$146,27,FALSE)-VLOOKUP($C$391,'DB animal categories'!$C$137:$AN$146,26,FALSE)*VLOOKUP($C$391,'DB animal categories'!$C$137:$AN$146,25,FALSE)/24</f>
        <v>#N/A</v>
      </c>
      <c r="AK394" s="442" t="str">
        <f>IF(AI394="","",AL394+AM394)</f>
        <v/>
      </c>
      <c r="AL394" s="442" t="str">
        <f>IF(D394="","",IF(AI394=2,(('Calc (ex-animal)'!$G$77*'DB additional information '!$K$16/100*(1-VLOOKUP(D394,'DB technologies'!$N$182:$Y$194,9,FALSE)/100)*'Calc (ex-housing, ex-storage)'!F394/100+'Calc (ex-animal)'!$H$77*'DB additional information '!$L$16/100*(1-VLOOKUP(D394,'DB technologies'!$N$182:$Y$194,9,FALSE)/100)*'Calc (ex-housing, ex-storage)'!F394/100))/VLOOKUP($C$391,'DB animal categories'!$C$137:$AC$146,27,FALSE)*AJ394+I394+J394+K394,IF(AI394=1,('Calc (ex-animal)'!$H$77*'DB additional information '!$L$16/100*(1-VLOOKUP(D394,'DB technologies'!$N$182:$Y$194,9,FALSE)/100)*'Calc (ex-housing, ex-storage)'!F394/100)/VLOOKUP($C$391,'DB animal categories'!$C$137:$AC$146,27,FALSE)*AJ394,IF(AI394=4,('Calc (ex-animal)'!$G$77*'DB additional information '!$K$16/100+'Calc (ex-animal)'!$H$77*'DB additional information '!$L$16/100)*(1-VLOOKUP(D394,'DB technologies'!$N$182:$Y$194,9,FALSE)/100)*'Calc (ex-housing, ex-storage)'!F394/100*VLOOKUP(D394,'DB technologies'!$N$182:$Y$194,11,FALSE)/100/VLOOKUP($C$391,'DB animal categories'!$C$137:$AC$146,27,FALSE)*AJ394,0))))</f>
        <v/>
      </c>
      <c r="AM394" s="442" t="str">
        <f>IF(D394="","",IF(AI394=2,(('Calc (ex-animal)'!$G$77*(1-'DB additional information '!$K$16/100)*(1-VLOOKUP(D394,'DB technologies'!$N$182:$Y$194,8,FALSE)/100)*'Calc (ex-housing, ex-storage)'!F394/100+'Calc (ex-animal)'!$H$77*(1-'DB additional information '!$L$16/100)*(1-VLOOKUP(D394,'DB technologies'!$N$182:$Y$194,8,FALSE)/100)*'Calc (ex-housing, ex-storage)'!F394/100))/VLOOKUP($C$391,'DB animal categories'!$C$137:$AC$146,27,FALSE)*AJ394+M394+N394+O394,IF(AI394=1,('Calc (ex-animal)'!$H$77*(1-'DB additional information '!$L$16/100)*(1-VLOOKUP(D394,'DB technologies'!$N$182:$Y$194,8,FALSE)/100)*'Calc (ex-housing, ex-storage)'!F394/100)/VLOOKUP($C$391,'DB animal categories'!$C$137:$AC$146,27,FALSE)*AJ394,IF(AI394=4,('Calc (ex-animal)'!$G$77*(1-'DB additional information '!$K$16/100)+'Calc (ex-animal)'!$H$77*(1-'DB additional information '!$L$16/100))*(1-VLOOKUP(D394,'DB technologies'!$N$182:$Y$194,8,FALSE)/100)*'Calc (ex-housing, ex-storage)'!F394/100*VLOOKUP(D394,'DB technologies'!$N$182:$Y$194,11,FALSE)/100/VLOOKUP($C$391,'DB animal categories'!$C$137:$AC$146,27,FALSE)*AJ394,0))))</f>
        <v/>
      </c>
      <c r="AN394" s="442" t="str">
        <f>IF(AI394="","",IF(AL394=0,0,AL394/AK394*100))</f>
        <v/>
      </c>
      <c r="AO394" s="182" t="str">
        <f>IF(D394="","",IF(AI394=2,(('Calc (ex-animal)'!$L$77*'Calc (ex-housing, ex-storage)'!F394/100+'Calc (ex-animal)'!$K$77*'Calc (ex-housing, ex-storage)'!F394/100))/VLOOKUP($C$391,'DB animal categories'!$C$137:$AC$146,27,FALSE)*AJ394+Q394+R394+S394-AC394,IF(AI394=1,('Calc (ex-animal)'!$L$77*'Calc (ex-housing, ex-storage)'!F394/100)/VLOOKUP($C$391,'DB animal categories'!$C$137:$AC$146,27,FALSE)*AJ394-'Calc (ex-housing, ex-storage)'!AC394,IF(AI394=4,('Calc (ex-animal)'!$L$77+'Calc (ex-animal)'!$K$77)*'Calc (ex-housing, ex-storage)'!F394/100*VLOOKUP(D394,'DB technologies'!$N$182:$Y$194,11,FALSE)/100/VLOOKUP($C$391,'DB animal categories'!$C$137:$AC$146,27,FALSE)*AJ394-AC394*VLOOKUP(D394,'DB technologies'!$N$182:$Y$194,11,FALSE)/100,0))))</f>
        <v/>
      </c>
      <c r="AP394" s="182" t="str">
        <f>IF(D394="","",IF(AO394&lt;-0.01,0,IF(AI394=2,(('Calc (ex-animal)'!$L$77*'Calc (ex-housing, ex-storage)'!F394/100+'Calc (ex-animal)'!$K$77*'Calc (ex-housing, ex-storage)'!F394/100))/VLOOKUP($C$391,'DB animal categories'!$C$137:$AC$146,27,FALSE)*AJ394+Q394+R394+S394-AC394,IF(AI394=1,('Calc (ex-animal)'!$L$77*'Calc (ex-housing, ex-storage)'!F394/100)/VLOOKUP($C$391,'DB animal categories'!$C$137:$AC$146,27,FALSE)*AJ394-'Calc (ex-housing, ex-storage)'!AC394,IF(AI394=4,('Calc (ex-animal)'!$L$77+'Calc (ex-animal)'!$K$77)*'Calc (ex-housing, ex-storage)'!F394/100*VLOOKUP(D394,'DB technologies'!$N$182:$Y$194,11,FALSE)/100/VLOOKUP($C$391,'DB animal categories'!$C$137:$AC$146,27,FALSE)*AJ394-AC394*VLOOKUP(D394,'DB technologies'!$N$182:$Y$194,11,FALSE)/100,0)))))</f>
        <v/>
      </c>
      <c r="AQ394" s="182" t="str">
        <f>IF(D394="","",IF(AI394=2,('Calc (ex-animal)'!$O$77*'Calc (ex-housing, ex-storage)'!F394/100+'Calc (ex-animal)'!$N$77*'Calc (ex-housing, ex-storage)'!F394/100)/VLOOKUP($C$391,'DB animal categories'!$C$137:$AC$146,27,FALSE)*AJ394+U394+V394+W394,IF(AI394=1,'Calc (ex-animal)'!$O$77*'Calc (ex-housing, ex-storage)'!F394/100/VLOOKUP($C$391,'DB animal categories'!$C$137:$AC$146,27,FALSE)*AJ394,IF(AI394=4,('Calc (ex-animal)'!$O$77+'Calc (ex-animal)'!$N$77)*'Calc (ex-housing, ex-storage)'!F394/100*VLOOKUP(D394,'DB technologies'!$N$182:$Y$194,11,FALSE)/100/VLOOKUP($C$391,'DB animal categories'!$C$137:$AC$146,27,FALSE)*AJ394,0))))</f>
        <v/>
      </c>
      <c r="AR394" s="182" t="str">
        <f>IF(D394="","",IF(AI394=2,('Calc (ex-animal)'!$R$77*'Calc (ex-housing, ex-storage)'!F394/100+'Calc (ex-animal)'!$Q$77*'Calc (ex-housing, ex-storage)'!F394/100)/VLOOKUP($C$391,'DB animal categories'!$C$137:$AC$146,27,FALSE)*AJ394+Y394+Z394+AA394,IF(AI394=1,'Calc (ex-animal)'!$R$77*'Calc (ex-housing, ex-storage)'!F394/100/VLOOKUP($C$391,'DB animal categories'!$C$137:$AC$146,27,FALSE)*AJ394,IF(AI394=4,('Calc (ex-animal)'!$R$77+'Calc (ex-animal)'!$Q$77)*'Calc (ex-housing, ex-storage)'!F394/100*VLOOKUP(D394,'DB technologies'!$N$182:$Y$194,11,FALSE)/100/VLOOKUP($C$391,'DB animal categories'!$C$137:$AC$146,27,FALSE)*AJ394,0))))</f>
        <v/>
      </c>
      <c r="AS394" s="181" t="str">
        <f>IF(D394="","",VLOOKUP(D394,'DB technologies'!$N$182:$Y$194,10,FALSE))</f>
        <v/>
      </c>
      <c r="AT394" s="442" t="str">
        <f>IF(AS394="","",AU394+AV394)</f>
        <v/>
      </c>
      <c r="AU394" s="442" t="str">
        <f>IF(D394="","",IF(AS394=2,0,IF(AS394=1,'Calc (ex-animal)'!$G$77*'DB additional information '!$K$16/100*(1-VLOOKUP(D394,'DB technologies'!$N$182:$Y$194,8,FALSE)/100)*'Calc (ex-housing, ex-storage)'!F394/100/VLOOKUP($C$391,'DB animal categories'!$C$137:$AC$146,27,FALSE)*AJ394+I394+J394+K394,IF(AS394=5,(('Calc (ex-animal)'!$G$77*'DB additional information '!$K$16/100+'Calc (ex-animal)'!$H$77*'DB additional information '!$L$16/100))*(1-VLOOKUP(D394,'DB technologies'!$N$182:$Y$194,9,FALSE)/100)*'Calc (ex-housing, ex-storage)'!F394/100/VLOOKUP($C$391,'DB animal categories'!$C$137:$AC$146,27,FALSE)*AJ394+I394+J394+K394,IF(AS394=3,('Calc (ex-animal)'!$G$77*'DB additional information '!$K$16/100+'Calc (ex-animal)'!$H$77*'DB additional information '!$L$16/100)*(1-VLOOKUP(D394,'DB technologies'!$N$182:$Y$194,9,FALSE)/100)*'Calc (ex-housing, ex-storage)'!F394/100/VLOOKUP($C$391,'DB animal categories'!$C$137:$AC$146,27,FALSE)*AJ394+I394+J394+K394,IF(AS394=4,('Calc (ex-animal)'!$G$77*'DB additional information '!$K$16/100+'Calc (ex-animal)'!$H$77*'DB additional information '!$L$16/100)*(1-VLOOKUP(D394,'DB technologies'!$N$182:$Y$194,9,FALSE)/100)*'Calc (ex-housing, ex-storage)'!F394/100*VLOOKUP(D394,'DB technologies'!$N$182:$Y$194,12,FALSE)/100/VLOOKUP($C$391,'DB animal categories'!$C$137:$AC$146,27,FALSE)*AJ394+I394+J394+K394,0))))))</f>
        <v/>
      </c>
      <c r="AV394" s="442" t="str">
        <f>IF(D394="","",IF(AS394=2,0,IF(AS394=1,'Calc (ex-animal)'!$G$77*(1-'DB additional information '!$K$16/100)*(1-VLOOKUP(D394,'DB technologies'!$N$182:$Y$194,8,FALSE)/100)*'Calc (ex-housing, ex-storage)'!F394/100/VLOOKUP($C$391,'DB animal categories'!$C$137:$AC$146,27,FALSE)*AJ394+M394+N394+O394,IF(AS394=5,('Calc (ex-animal)'!$G$77*(1-'DB additional information '!$K$16/100)+'Calc (ex-animal)'!$H$77*(1-'DB additional information '!$L$16/100))*(1-VLOOKUP(D394,'DB technologies'!$N$182:$Y$194,8,FALSE)/100)*'Calc (ex-housing, ex-storage)'!F394/100/VLOOKUP($C$391,'DB animal categories'!$C$137:$AC$146,27,FALSE)*AJ394+M394+N394+O394,IF(AS394=3,('Calc (ex-animal)'!$G$77*(1-'DB additional information '!$K$16/100)+'Calc (ex-animal)'!$H$77*(1-'DB additional information '!$L$16/100))*(1-VLOOKUP(D394,'DB technologies'!$N$182:$Y$194,8,FALSE)/100)*'Calc (ex-housing, ex-storage)'!F394/100/VLOOKUP($C$391,'DB animal categories'!$C$137:$AC$146,27,FALSE)*AJ394+M394+N394+O394,IF(AS394=4,('Calc (ex-animal)'!$G$77*(1-'DB additional information '!$K$16/100)+'Calc (ex-animal)'!$H$77*(1-'DB additional information '!$L$16/100))*(1-VLOOKUP(D394,'DB technologies'!$N$182:$Y$194,8,FALSE)/100)*'Calc (ex-housing, ex-storage)'!F394/100*VLOOKUP(D394,'DB technologies'!$N$182:$Y$194,12,FALSE)/100/VLOOKUP($C$391,'DB animal categories'!$C$137:$AC$146,27,FALSE)*AJ394+M394+N394+O394,0))))))</f>
        <v/>
      </c>
      <c r="AW394" s="442" t="str">
        <f>IF(AS394="","",IF(AU394=0,0,AU394/AT394*100))</f>
        <v/>
      </c>
      <c r="AX394" s="182" t="str">
        <f>IF(D394="","",IF(AS394=2,0,IF(AS394=1,'Calc (ex-animal)'!$K$77*'Calc (ex-housing, ex-storage)'!F394/100/VLOOKUP($C$391,'DB animal categories'!$C$137:$AC$146,27,FALSE)*AJ394+Q394+R394+S394,IF(AS394=5,('Calc (ex-animal)'!$K$77+'Calc (ex-animal)'!$L$77)*'Calc (ex-housing, ex-storage)'!F394/100/VLOOKUP($C$391,'DB animal categories'!$C$137:$AC$146,27,FALSE)*AJ394+Q394+R394+S394-'Calc (ex-housing, ex-storage)'!AC394,IF(AS394=3,('Calc (ex-animal)'!$K$77+'Calc (ex-animal)'!$L$77)*'Calc (ex-housing, ex-storage)'!F394/100/VLOOKUP($C$391,'DB animal categories'!$C$137:$AC$146,27,FALSE)*AJ394+Q394+R394+S394-'Calc (ex-housing, ex-storage)'!AC394-AD394-AE394,IF(AI394=4,('Calc (ex-animal)'!$K$77+'Calc (ex-animal)'!$L$77)*'Calc (ex-housing, ex-storage)'!F394/100*VLOOKUP(D394,'DB technologies'!$N$182:$Y$194,12,FALSE)/100/VLOOKUP($C$391,'DB animal categories'!$C$137:$AC$146,27,FALSE)*AJ394+Q394+R394+S394-(VLOOKUP(D394,'DB technologies'!$N$182:$Y$194,12,FALSE)/100*AC394)-AD394-AE394,0))))))</f>
        <v/>
      </c>
      <c r="AY394" s="182" t="str">
        <f>IF(D394="","",IF(AS394=2,0,IF(AS394=1,'Calc (ex-animal)'!$N$77*'Calc (ex-housing, ex-storage)'!F394/100/VLOOKUP($C$391,'DB animal categories'!$C$137:$AC$146,27,FALSE)*AJ394+U394+V394+W394,IF(AS394=5,('Calc (ex-animal)'!$N$77+'Calc (ex-animal)'!$O$77)*'Calc (ex-housing, ex-storage)'!F394/100/VLOOKUP($C$391,'DB animal categories'!$C$137:$AC$146,27,FALSE)*AJ394+U394+V394+W394,IF(AS394=3,('Calc (ex-animal)'!$N$77+'Calc (ex-animal)'!$O$77)*'Calc (ex-housing, ex-storage)'!F394/100/VLOOKUP($C$391,'DB animal categories'!$C$137:$AC$146,27,FALSE)*AJ394+U394+V394+W394,IF(AS394=4,('Calc (ex-animal)'!$N$77+'Calc (ex-animal)'!$O$77)*'Calc (ex-housing, ex-storage)'!F394/100*VLOOKUP(D394,'DB technologies'!$N$182:$Y$194,12,FALSE)/100/VLOOKUP($C$391,'DB animal categories'!$C$137:$AC$146,27,FALSE)*AJ394+U394+V394+W394,0))))))</f>
        <v/>
      </c>
      <c r="AZ394" s="182" t="str">
        <f>IF(D394="","",IF(AS394=2,0,IF(AS394=1,'Calc (ex-animal)'!$Q$77*'Calc (ex-housing, ex-storage)'!F394/100/VLOOKUP($C$391,'DB animal categories'!$C$137:$AC$146,27,FALSE)*AJ394+Y394+Z394+AA394,IF(AS394=5,('Calc (ex-animal)'!$Q$77+'Calc (ex-animal)'!$R$77)*'Calc (ex-housing, ex-storage)'!F394/100/VLOOKUP($C$391,'DB animal categories'!$C$137:$AC$146,27,FALSE)*AJ394+Y394+Z394+AA394,IF(AS394=3,('Calc (ex-animal)'!$Q$77+'Calc (ex-animal)'!$R$77)*'Calc (ex-housing, ex-storage)'!F394/100/VLOOKUP($C$391,'DB animal categories'!$C$137:$AC$146,27,FALSE)*AJ394+Y394+Z394+AA394,IF(AS394=4,('Calc (ex-animal)'!$Q$77+'Calc (ex-animal)'!$R$77)*'Calc (ex-housing, ex-storage)'!F394/100*VLOOKUP(D394,'DB technologies'!$N$182:$Y$194,12,FALSE)/100/VLOOKUP($C$391,'DB animal categories'!$C$137:$AC$146,27,FALSE)*AJ394+Y394+Z394+AA394,0))))))</f>
        <v/>
      </c>
      <c r="BA394" s="506"/>
      <c r="BB394" s="506"/>
      <c r="BC394" s="506"/>
    </row>
    <row r="395" spans="1:55" ht="12" thickBot="1" x14ac:dyDescent="0.25">
      <c r="A395" s="695"/>
      <c r="B395" s="695"/>
      <c r="C395" s="251"/>
      <c r="D395" s="1359"/>
      <c r="E395" s="1360"/>
      <c r="F395" s="481" t="str">
        <f>IF('Calc (ex-animal)'!$F$73=1,"",IF($C$391=0,"",IF(D395="","",E395/'Calc (ex-animal)'!$E$77*100)))</f>
        <v/>
      </c>
      <c r="G395" s="483" t="str">
        <f>IF($C$391=0,"",IF('Calc (ex-animal)'!$F$73=1,"",IF(D395="","",SUM(H395:O395))))</f>
        <v/>
      </c>
      <c r="H395" s="445" t="str">
        <f>IF('Calc (ex-animal)'!$F$73=1,"",IF(D395="","",(((VLOOKUP($C$391,'Calc (ex-animal)'!$D$73:$Y$77,6,FALSE)-VLOOKUP($C$391,'Calc (ex-animal)'!$D$73:$Y$77,17,FALSE))*F395/100))*VLOOKUP($C$391,'Calc (ex-animal)'!$D$73:$Y$77,7,FALSE)/100*(1-VLOOKUP(D395,'DB technologies'!$N$182:$Y$194,9,FALSE)/100)))</f>
        <v/>
      </c>
      <c r="I395" s="445" t="str">
        <f>IF(D395="","",((VLOOKUP(D395,'DB technologies'!$N$182:$Y$194,2,FALSE)*VLOOKUP($C$391,'DB animal categories'!$C$137:$AC$146,27,FALSE)*E395/1000)/VLOOKUP($C$391,'DB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'!$S$6/100*(1-VLOOKUP(D395,'DB technologies'!$N$182:$Y$194,9,FALSE)/100)))</f>
        <v/>
      </c>
      <c r="J395" s="446" t="str">
        <f>IF(D395="","",((VLOOKUP(D395,'DB technologies'!$N$182:$Y$194,3,FALSE)*VLOOKUP($C$391,'DB animal categories'!$C$137:$AC$146,27,FALSE)*E395/1000)/VLOOKUP($C$391,'DB animal categories'!$C$137:$AC$146,27,FALSE)*(VLOOKUP($C$391,'DB animal categories'!$C$137:$AC$146,27,FALSE)-(VLOOKUP($C$391,'DB animal categories'!$C$137:$AC$146,25,FALSE)*VLOOKUP($C$391,'DB animal categories'!$C$137:$AC$146,26,FALSE)/24))*'DB additional information '!$S$7/100*(1-VLOOKUP(D395,'DB technologies'!$N$182:$Y$194,9,FALSE)/100)))</f>
        <v/>
      </c>
      <c r="K395" s="446" t="str">
        <f>IF(D395="","",((VLOOKUP(D395,'DB technologies'!$N$182:$Y$194,4,FALSE)*E395*'DB additional information '!$S$8/100*(1-VLOOKUP(D395,'DB technologies'!$N$182:$Y$194,9,FALSE)/100))/VLOOKUP($C$391,'DB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L395" s="445" t="str">
        <f>IF('Calc (ex-animal)'!$F$73=1,"",IF(D395="","",(((VLOOKUP($C$391,'Calc (ex-animal)'!$D$73:$Y$77,6,FALSE)-VLOOKUP($C$391,'Calc (ex-animal)'!$D$73:$Y$77,17,FALSE))*F395/100))*(1-VLOOKUP($C$391,'Calc (ex-animal)'!$D$73:$Y$77,7,FALSE)/100)*(1-VLOOKUP(D395,'DB technologies'!$N$182:$V$194,8,FALSE)/100)))</f>
        <v/>
      </c>
      <c r="M395" s="446" t="str">
        <f>IF(D395="","",((VLOOKUP(D395,'DB technologies'!$N$182:$Y$194,2,FALSE)*VLOOKUP($C$391,'DB animal categories'!$C$137:$AC$146,27,FALSE)*E395/1000)/VLOOKUP($C$391,'DB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'!$S$6/100)*(1-VLOOKUP(D395,'DB technologies'!$N$182:$Y$194,9,FALSE)/100))</f>
        <v/>
      </c>
      <c r="N395" s="446" t="str">
        <f>IF(D395="","",((VLOOKUP(D395,'DB technologies'!$N$182:$Y$194,3,FALSE)*VLOOKUP($C$391,'DB animal categories'!$C$137:$AC$146,27,FALSE)*E395/1000)/VLOOKUP($C$391,'DB animal categories'!$C$137:$AC$146,27,FALSE)*(VLOOKUP($C$391,'DB animal categories'!$C$137:$AC$146,27,FALSE)-VLOOKUP($C$391,'DB animal categories'!$C$137:$AC$146,25,FALSE)*VLOOKUP($C$391,'DB animal categories'!$C$137:$AC$146,26,FALSE)/24))*(1-'DB additional information '!$S$7/100)*(1-VLOOKUP(D395,'DB technologies'!$N$182:$Y$194,9,FALSE)/100))</f>
        <v/>
      </c>
      <c r="O395" s="445" t="str">
        <f>IF(D395="","",((VLOOKUP(D395,'DB technologies'!$N$182:$Y$194,4,FALSE)*E395*(1-'DB additional information '!$S$8/100)*(1-VLOOKUP(D395,'DB technologies'!$N$182:$Y$194,8,FALSE)/100))/VLOOKUP($C$391,'DB animal categories'!$C$137:$AC$146,27,FALSE)*(VLOOKUP($C$391,'DB animal categories'!$C$137:$AC$146,27,FALSE)-VLOOKUP($C$391,'DB animal categories'!$C$137:$AC$146,25,FALSE)*VLOOKUP($C$391,'DB animal categories'!$C$137:$AC$146,26,FALSE)/24)))</f>
        <v/>
      </c>
      <c r="P395" s="444" t="str">
        <f>IF(G395=0,0,IF(E395="","",IF(F395="","",IF($C$391=0,"",IF(D395="","",SUM(H395:K395)/G395*100)))))</f>
        <v/>
      </c>
      <c r="Q395" s="476" t="str">
        <f>IF(D395="","",(VLOOKUP(D395,'DB technologies'!$N$182:$Y$194,2,FALSE)*'DB additional information '!$S$6/100*'DB additional information '!$T$6*VLOOKUP($C$391,'DB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R395" s="476" t="str">
        <f>IF(D395="","",(VLOOKUP(D395,'DB technologies'!$N$182:$Y$194,3,FALSE)*'DB additional information '!$S$7/100*'DB additional information '!$T$7*VLOOKUP($C$391,'DB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S395" s="494" t="str">
        <f>IF(D395="","",(VLOOKUP(D395,'DB technologies'!$N$182:$Y$194,4,FALSE)*('DB additional information '!$S$8/100*'DB additional information '!$T$8*E395/1000/1000)))</f>
        <v/>
      </c>
      <c r="T395" s="266" t="str">
        <f>IF($C$391=0,"",IF('Calc (ex-animal)'!$F$73=1,"",IF(D395="","",((VLOOKUP($C$391,'Calc (ex-animal)'!$D$73:$Y$77,10,FALSE)-VLOOKUP($C$391,'Calc (ex-animal)'!$D$73:$Y$77,18,FALSE))*F395/100+Q395+R395+S395)-AC395-AD395-AE395)))</f>
        <v/>
      </c>
      <c r="U395" s="477" t="str">
        <f>IF(D395="","",(VLOOKUP(D395,'DB technologies'!$N$182:$Y$194,2,FALSE)*'DB additional information '!$S$6/100*'DB additional information '!$U$6*VLOOKUP($C$391,'DB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V395" s="433" t="str">
        <f>IF(D395="","",(VLOOKUP(D395,'DB technologies'!$N$182:$Y$194,3,FALSE)*'DB additional information '!$S$7/100*'DB additional information '!$U$7*VLOOKUP($C$391,'DB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W395" s="475" t="str">
        <f>IF(D395="","",(VLOOKUP(D395,'DB technologies'!$N$182:$Y$194,4,FALSE)*('DB additional information '!$S$8/100*'DB additional information '!$U$8*E395/1000/1000)))</f>
        <v/>
      </c>
      <c r="X395" s="267" t="str">
        <f>IF($C$391=0,"",IF('Calc (ex-animal)'!$F$73=1,"",IF(D395="","",((VLOOKUP($C$391,'Calc (ex-animal)'!$D$73:$Y$77,13,FALSE)-VLOOKUP($C$391,'Calc (ex-animal)'!$D$73:$Y$77,19,FALSE))*F395/100+U395+V395+W395))))</f>
        <v/>
      </c>
      <c r="Y395" s="433" t="str">
        <f>IF(D395="","",(VLOOKUP(D395,'DB technologies'!$N$182:$Y$194,2,FALSE)*'DB additional information '!$S$6/100*'DB additional information '!$V$6*VLOOKUP($C$391,'DB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Z395" s="433" t="str">
        <f>IF(D395="","",(VLOOKUP(D395,'DB technologies'!$N$182:$Y$194,3,FALSE)*'DB additional information '!$S$7/100*'DB additional information '!$V$7*VLOOKUP($C$391,'DB animal categories'!$C$137:$AC$146,27,FALSE)*E395/1000/1000)/VLOOKUP($C$391,'DB animal categories'!$C$137:$AC$146,27,FALSE)*(VLOOKUP($C$391,'DB animal categories'!$C$137:$AC$146,27,FALSE)-VLOOKUP($C$391,'DB animal categories'!$C$137:$AC$146,25,FALSE)*VLOOKUP($C$391,'DB animal categories'!$C$137:$AC$146,26,FALSE)/24))</f>
        <v/>
      </c>
      <c r="AA395" s="433" t="str">
        <f>IF(D395="","",(VLOOKUP(D395,'DB technologies'!$N$182:$Y$194,4,FALSE)*('DB additional information '!$S$8/100*'DB additional information '!$V$8*E395/1000/1000)))</f>
        <v/>
      </c>
      <c r="AB395" s="267" t="str">
        <f>IF($C$391=0,"",IF('Calc (ex-animal)'!$F$73=1,"",IF(D395="","",((VLOOKUP($C$391,'Calc (ex-animal)'!$D$73:$Y$77,16,FALSE)-VLOOKUP($C$391,'Calc (ex-animal)'!$D$73:$Y$77,20,FALSE))*F395/100+Y395+Z395+AA395))))</f>
        <v/>
      </c>
      <c r="AC395" s="267" t="str">
        <f>IF($C$391=0,"",IF('Calc (ex-animal)'!$F$73=1,"",IF(D395="","",VLOOKUP($C$391,'Calc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categories'!$C$137:$AC$146,26,FALSE)/24)*F395/100*VLOOKUP(D395,'DB technologies'!$N$182:$R$194,5,FALSE)/100)))</f>
        <v/>
      </c>
      <c r="AD395" s="267" t="str">
        <f>IF($C$391=0,"",IF('Calc (ex-animal)'!$F$73=1,"",IF(D395="","",VLOOKUP($C$391,'Calc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categories'!$C$137:$AC$146,26,FALSE)/24)*F395/100*VLOOKUP(D395,'DB technologies'!$N$182:$Y$194,6,FALSE)/100)))</f>
        <v/>
      </c>
      <c r="AE395" s="268" t="str">
        <f>IF($C$391=0,"",IF('Calc (ex-animal)'!$F$73=1,"",IF(D395="","",VLOOKUP($C$391,'Calc (ex-animal)'!$D$73:$Y$77,10,FALSE)/VLOOKUP($C$391,'DB animal categories'!$C$137:$AC$146,27,FALSE)*(VLOOKUP($C$391,'DB animal categories'!$C$137:$AC$146,27,FALSE)-VLOOKUP($C$391,'DB animal categories'!$C$137:$AC$146,25,FALSE)*VLOOKUP($C$391,'DB animal categories'!$C$137:$AC$146,26,FALSE)/24)*F395/100*VLOOKUP(D395,'DB technologies'!$N$182:$Y$194,7,FALSE)/100)))</f>
        <v/>
      </c>
      <c r="AI395" s="183" t="str">
        <f>IF(D395="","",VLOOKUP(D395,'DB technologies'!$N$182:$Y$194,10,FALSE))</f>
        <v/>
      </c>
      <c r="AJ395" s="451" t="e">
        <f>VLOOKUP($C$391,'DB animal categories'!$C$137:$AN$146,27,FALSE)-VLOOKUP($C$391,'DB animal categories'!$C$137:$AN$146,26,FALSE)*VLOOKUP($C$391,'DB animal categories'!$C$137:$AN$146,25,FALSE)/24</f>
        <v>#N/A</v>
      </c>
      <c r="AK395" s="452" t="str">
        <f>IF(AI395="","",AL395+AM395)</f>
        <v/>
      </c>
      <c r="AL395" s="452" t="str">
        <f>IF(D395="","",IF(AI395=2,(('Calc (ex-animal)'!$G$77*'DB additional information '!$K$16/100*(1-VLOOKUP(D395,'DB technologies'!$N$182:$Y$194,9,FALSE)/100)*'Calc (ex-housing, ex-storage)'!F395/100+'Calc (ex-animal)'!$H$77*'DB additional information '!$L$16/100*(1-VLOOKUP(D395,'DB technologies'!$N$182:$Y$194,9,FALSE)/100)*'Calc (ex-housing, ex-storage)'!F395/100))/VLOOKUP($C$391,'DB animal categories'!$C$137:$AC$146,27,FALSE)*AJ395+I395+J395+K395,IF(AI395=1,('Calc (ex-animal)'!$H$77*'DB additional information '!$L$16/100*(1-VLOOKUP(D395,'DB technologies'!$N$182:$Y$194,9,FALSE)/100)*'Calc (ex-housing, ex-storage)'!F395/100)/VLOOKUP($C$391,'DB animal categories'!$C$137:$AC$146,27,FALSE)*AJ395,IF(AI395=4,('Calc (ex-animal)'!$G$77*'DB additional information '!$K$16/100+'Calc (ex-animal)'!$H$77*'DB additional information '!$L$16/100)*(1-VLOOKUP(D395,'DB technologies'!$N$182:$Y$194,9,FALSE)/100)*'Calc (ex-housing, ex-storage)'!F395/100*VLOOKUP(D395,'DB technologies'!$N$182:$Y$194,11,FALSE)/100/VLOOKUP($C$391,'DB animal categories'!$C$137:$AC$146,27,FALSE)*AJ395,0))))</f>
        <v/>
      </c>
      <c r="AM395" s="452" t="str">
        <f>IF(D395="","",IF(AI395=2,(('Calc (ex-animal)'!$G$77*(1-'DB additional information '!$K$16/100)*(1-VLOOKUP(D395,'DB technologies'!$N$182:$Y$194,8,FALSE)/100)*'Calc (ex-housing, ex-storage)'!F395/100+'Calc (ex-animal)'!$H$77*(1-'DB additional information '!$L$16/100)*(1-VLOOKUP(D395,'DB technologies'!$N$182:$Y$194,8,FALSE)/100)*'Calc (ex-housing, ex-storage)'!F395/100))/VLOOKUP($C$391,'DB animal categories'!$C$137:$AC$146,27,FALSE)*AJ395+M395+N395+O395,IF(AI395=1,('Calc (ex-animal)'!$H$77*(1-'DB additional information '!$L$16/100)*(1-VLOOKUP(D395,'DB technologies'!$N$182:$Y$194,8,FALSE)/100)*'Calc (ex-housing, ex-storage)'!F395/100)/VLOOKUP($C$391,'DB animal categories'!$C$137:$AC$146,27,FALSE)*AJ395,IF(AI395=4,('Calc (ex-animal)'!$G$77*(1-'DB additional information '!$K$16/100)+'Calc (ex-animal)'!$H$77*(1-'DB additional information '!$L$16/100))*(1-VLOOKUP(D395,'DB technologies'!$N$182:$Y$194,8,FALSE)/100)*'Calc (ex-housing, ex-storage)'!F395/100*VLOOKUP(D395,'DB technologies'!$N$182:$Y$194,11,FALSE)/100/VLOOKUP($C$391,'DB animal categories'!$C$137:$AC$146,27,FALSE)*AJ395,0))))</f>
        <v/>
      </c>
      <c r="AN395" s="452" t="str">
        <f>IF(AI395="","",IF(AL395=0,0,AL395/AK395*100))</f>
        <v/>
      </c>
      <c r="AO395" s="184" t="str">
        <f>IF(D395="","",IF(AI395=2,(('Calc (ex-animal)'!$L$77*'Calc (ex-housing, ex-storage)'!F395/100+'Calc (ex-animal)'!$K$77*'Calc (ex-housing, ex-storage)'!F395/100))/VLOOKUP($C$391,'DB animal categories'!$C$137:$AC$146,27,FALSE)*AJ395+Q395+R395+S395-AC395,IF(AI395=1,('Calc (ex-animal)'!$L$77*'Calc (ex-housing, ex-storage)'!F395/100)/VLOOKUP($C$391,'DB animal categories'!$C$137:$AC$146,27,FALSE)*AJ395-'Calc (ex-housing, ex-storage)'!AC395,IF(AI395=4,('Calc (ex-animal)'!$L$77+'Calc (ex-animal)'!$K$77)*'Calc (ex-housing, ex-storage)'!F395/100*VLOOKUP(D395,'DB technologies'!$N$182:$Y$194,11,FALSE)/100/VLOOKUP($C$391,'DB animal categories'!$C$137:$AC$146,27,FALSE)*AJ395-AC395*VLOOKUP(D395,'DB technologies'!$N$182:$Y$194,11,FALSE)/100,0))))</f>
        <v/>
      </c>
      <c r="AP395" s="184" t="str">
        <f>IF(D395="","",IF(AO395&lt;-0.01,0,IF(AI395=2,(('Calc (ex-animal)'!$L$77*'Calc (ex-housing, ex-storage)'!F395/100+'Calc (ex-animal)'!$K$77*'Calc (ex-housing, ex-storage)'!F395/100))/VLOOKUP($C$391,'DB animal categories'!$C$137:$AC$146,27,FALSE)*AJ395+Q395+R395+S395-AC395,IF(AI395=1,('Calc (ex-animal)'!$L$77*'Calc (ex-housing, ex-storage)'!F395/100)/VLOOKUP($C$391,'DB animal categories'!$C$137:$AC$146,27,FALSE)*AJ395-'Calc (ex-housing, ex-storage)'!AC395,IF(AI395=4,('Calc (ex-animal)'!$L$77+'Calc (ex-animal)'!$K$77)*'Calc (ex-housing, ex-storage)'!F395/100*VLOOKUP(D395,'DB technologies'!$N$182:$Y$194,11,FALSE)/100/VLOOKUP($C$391,'DB animal categories'!$C$137:$AC$146,27,FALSE)*AJ395-AC395*VLOOKUP(D395,'DB technologies'!$N$182:$Y$194,11,FALSE)/100,0)))))</f>
        <v/>
      </c>
      <c r="AQ395" s="184" t="str">
        <f>IF(D395="","",IF(AI395=2,('Calc (ex-animal)'!$O$77*'Calc (ex-housing, ex-storage)'!F395/100+'Calc (ex-animal)'!$N$77*'Calc (ex-housing, ex-storage)'!F395/100)/VLOOKUP($C$391,'DB animal categories'!$C$137:$AC$146,27,FALSE)*AJ395+U395+V395+W395,IF(AI395=1,'Calc (ex-animal)'!$O$77*'Calc (ex-housing, ex-storage)'!F395/100/VLOOKUP($C$391,'DB animal categories'!$C$137:$AC$146,27,FALSE)*AJ395,IF(AI395=4,('Calc (ex-animal)'!$O$77+'Calc (ex-animal)'!$N$77)*'Calc (ex-housing, ex-storage)'!F395/100*VLOOKUP(D395,'DB technologies'!$N$182:$Y$194,11,FALSE)/100/VLOOKUP($C$391,'DB animal categories'!$C$137:$AC$146,27,FALSE)*AJ395,0))))</f>
        <v/>
      </c>
      <c r="AR395" s="184" t="str">
        <f>IF(D395="","",IF(AI395=2,('Calc (ex-animal)'!$R$77*'Calc (ex-housing, ex-storage)'!F395/100+'Calc (ex-animal)'!$Q$77*'Calc (ex-housing, ex-storage)'!F395/100)/VLOOKUP($C$391,'DB animal categories'!$C$137:$AC$146,27,FALSE)*AJ395+Y395+Z395+AA395,IF(AI395=1,'Calc (ex-animal)'!$R$77*'Calc (ex-housing, ex-storage)'!F395/100/VLOOKUP($C$391,'DB animal categories'!$C$137:$AC$146,27,FALSE)*AJ395,IF(AI395=4,('Calc (ex-animal)'!$R$77+'Calc (ex-animal)'!$Q$77)*'Calc (ex-housing, ex-storage)'!F395/100*VLOOKUP(D395,'DB technologies'!$N$182:$Y$194,11,FALSE)/100/VLOOKUP($C$391,'DB animal categories'!$C$137:$AC$146,27,FALSE)*AJ395,0))))</f>
        <v/>
      </c>
      <c r="AS395" s="183" t="str">
        <f>IF(D395="","",VLOOKUP(D395,'DB technologies'!$N$182:$Y$194,10,FALSE))</f>
        <v/>
      </c>
      <c r="AT395" s="452" t="str">
        <f>IF(AS395="","",AU395+AV395)</f>
        <v/>
      </c>
      <c r="AU395" s="452" t="str">
        <f>IF(D395="","",IF(AS395=2,0,IF(AS395=1,'Calc (ex-animal)'!$G$77*'DB additional information '!$K$16/100*(1-VLOOKUP(D395,'DB technologies'!$N$182:$Y$194,8,FALSE)/100)*'Calc (ex-housing, ex-storage)'!F395/100/VLOOKUP($C$391,'DB animal categories'!$C$137:$AC$146,27,FALSE)*AJ395+I395+J395+K395,IF(AS395=5,(('Calc (ex-animal)'!$G$77*'DB additional information '!$K$16/100+'Calc (ex-animal)'!$H$77*'DB additional information '!$L$16/100))*(1-VLOOKUP(D395,'DB technologies'!$N$182:$Y$194,9,FALSE)/100)*'Calc (ex-housing, ex-storage)'!F395/100/VLOOKUP($C$391,'DB animal categories'!$C$137:$AC$146,27,FALSE)*AJ395+I395+J395+K395,IF(AS395=3,('Calc (ex-animal)'!$G$77*'DB additional information '!$K$16/100+'Calc (ex-animal)'!$H$77*'DB additional information '!$L$16/100)*(1-VLOOKUP(D395,'DB technologies'!$N$182:$Y$194,9,FALSE)/100)*'Calc (ex-housing, ex-storage)'!F395/100/VLOOKUP($C$391,'DB animal categories'!$C$137:$AC$146,27,FALSE)*AJ395+I395+J395+K395,IF(AS395=4,('Calc (ex-animal)'!$G$77*'DB additional information '!$K$16/100+'Calc (ex-animal)'!$H$77*'DB additional information '!$L$16/100)*(1-VLOOKUP(D395,'DB technologies'!$N$182:$Y$194,9,FALSE)/100)*'Calc (ex-housing, ex-storage)'!F395/100*VLOOKUP(D395,'DB technologies'!$N$182:$Y$194,12,FALSE)/100/VLOOKUP($C$391,'DB animal categories'!$C$137:$AC$146,27,FALSE)*AJ395+I395+J395+K395,0))))))</f>
        <v/>
      </c>
      <c r="AV395" s="452" t="str">
        <f>IF(D395="","",IF(AS395=2,0,IF(AS395=1,'Calc (ex-animal)'!$G$77*(1-'DB additional information '!$K$16/100)*(1-VLOOKUP(D395,'DB technologies'!$N$182:$Y$194,8,FALSE)/100)*'Calc (ex-housing, ex-storage)'!F395/100/VLOOKUP($C$391,'DB animal categories'!$C$137:$AC$146,27,FALSE)*AJ395+M395+N395+O395,IF(AS395=5,('Calc (ex-animal)'!$G$77*(1-'DB additional information '!$K$16/100)+'Calc (ex-animal)'!$H$77*(1-'DB additional information '!$L$16/100))*(1-VLOOKUP(D395,'DB technologies'!$N$182:$Y$194,8,FALSE)/100)*'Calc (ex-housing, ex-storage)'!F395/100/VLOOKUP($C$391,'DB animal categories'!$C$137:$AC$146,27,FALSE)*AJ395+M395+N395+O395,IF(AS395=3,('Calc (ex-animal)'!$G$77*(1-'DB additional information '!$K$16/100)+'Calc (ex-animal)'!$H$77*(1-'DB additional information '!$L$16/100))*(1-VLOOKUP(D395,'DB technologies'!$N$182:$Y$194,8,FALSE)/100)*'Calc (ex-housing, ex-storage)'!F395/100/VLOOKUP($C$391,'DB animal categories'!$C$137:$AC$146,27,FALSE)*AJ395+M395+N395+O395,IF(AS395=4,('Calc (ex-animal)'!$G$77*(1-'DB additional information '!$K$16/100)+'Calc (ex-animal)'!$H$77*(1-'DB additional information '!$L$16/100))*(1-VLOOKUP(D395,'DB technologies'!$N$182:$Y$194,8,FALSE)/100)*'Calc (ex-housing, ex-storage)'!F395/100*VLOOKUP(D395,'DB technologies'!$N$182:$Y$194,12,FALSE)/100/VLOOKUP($C$391,'DB animal categories'!$C$137:$AC$146,27,FALSE)*AJ395+M395+N395+O395,0))))))</f>
        <v/>
      </c>
      <c r="AW395" s="452" t="str">
        <f>IF(AS395="","",IF(AU395=0,0,AU395/AT395*100))</f>
        <v/>
      </c>
      <c r="AX395" s="184" t="str">
        <f>IF(D395="","",IF(AS395=2,0,IF(AS395=1,'Calc (ex-animal)'!$K$77*'Calc (ex-housing, ex-storage)'!F395/100/VLOOKUP($C$391,'DB animal categories'!$C$137:$AC$146,27,FALSE)*AJ395+Q395+R395+S395,IF(AS395=5,('Calc (ex-animal)'!$K$77+'Calc (ex-animal)'!$L$77)*'Calc (ex-housing, ex-storage)'!F395/100/VLOOKUP($C$391,'DB animal categories'!$C$137:$AC$146,27,FALSE)*AJ395+Q395+R395+S395-'Calc (ex-housing, ex-storage)'!AC395,IF(AS395=3,('Calc (ex-animal)'!$K$77+'Calc (ex-animal)'!$L$77)*'Calc (ex-housing, ex-storage)'!F395/100/VLOOKUP($C$391,'DB animal categories'!$C$137:$AC$146,27,FALSE)*AJ395+Q395+R395+S395-'Calc (ex-housing, ex-storage)'!AC395-AD395-AE395,IF(AI395=4,('Calc (ex-animal)'!$K$77+'Calc (ex-animal)'!$L$77)*'Calc (ex-housing, ex-storage)'!F395/100*VLOOKUP(D395,'DB technologies'!$N$182:$Y$194,12,FALSE)/100/VLOOKUP($C$391,'DB animal categories'!$C$137:$AC$146,27,FALSE)*AJ395+Q395+R395+S395-(VLOOKUP(D395,'DB technologies'!$N$182:$Y$194,12,FALSE)/100*AC395)-AD395-AE395,0))))))</f>
        <v/>
      </c>
      <c r="AY395" s="184" t="str">
        <f>IF(D395="","",IF(AS395=2,0,IF(AS395=1,'Calc (ex-animal)'!$N$77*'Calc (ex-housing, ex-storage)'!F395/100/VLOOKUP($C$391,'DB animal categories'!$C$137:$AC$146,27,FALSE)*AJ395+U395+V395+W395,IF(AS395=5,('Calc (ex-animal)'!$N$77+'Calc (ex-animal)'!$O$77)*'Calc (ex-housing, ex-storage)'!F395/100/VLOOKUP($C$391,'DB animal categories'!$C$137:$AC$146,27,FALSE)*AJ395+U395+V395+W395,IF(AS395=3,('Calc (ex-animal)'!$N$77+'Calc (ex-animal)'!$O$77)*'Calc (ex-housing, ex-storage)'!F395/100/VLOOKUP($C$391,'DB animal categories'!$C$137:$AC$146,27,FALSE)*AJ395+U395+V395+W395,IF(AS395=4,('Calc (ex-animal)'!$N$77+'Calc (ex-animal)'!$O$77)*'Calc (ex-housing, ex-storage)'!F395/100*VLOOKUP(D395,'DB technologies'!$N$182:$Y$194,12,FALSE)/100/VLOOKUP($C$391,'DB animal categories'!$C$137:$AC$146,27,FALSE)*AJ395+U395+V395+W395,0))))))</f>
        <v/>
      </c>
      <c r="AZ395" s="184" t="str">
        <f>IF(D395="","",IF(AS395=2,0,IF(AS395=1,'Calc (ex-animal)'!$Q$77*'Calc (ex-housing, ex-storage)'!F395/100/VLOOKUP($C$391,'DB animal categories'!$C$137:$AC$146,27,FALSE)*AJ395+Y395+Z395+AA395,IF(AS395=5,('Calc (ex-animal)'!$Q$77+'Calc (ex-animal)'!$R$77)*'Calc (ex-housing, ex-storage)'!F395/100/VLOOKUP($C$391,'DB animal categories'!$C$137:$AC$146,27,FALSE)*AJ395+Y395+Z395+AA395,IF(AS395=3,('Calc (ex-animal)'!$Q$77+'Calc (ex-animal)'!$R$77)*'Calc (ex-housing, ex-storage)'!F395/100/VLOOKUP($C$391,'DB animal categories'!$C$137:$AC$146,27,FALSE)*AJ395+Y395+Z395+AA395,IF(AS395=4,('Calc (ex-animal)'!$Q$77+'Calc (ex-animal)'!$R$77)*'Calc (ex-housing, ex-storage)'!F395/100*VLOOKUP(D395,'DB technologies'!$N$182:$Y$194,12,FALSE)/100/VLOOKUP($C$391,'DB animal categories'!$C$137:$AC$146,27,FALSE)*AJ395+Y395+Z395+AA395,0))))))</f>
        <v/>
      </c>
      <c r="BA395" s="506"/>
      <c r="BB395" s="506"/>
      <c r="BC395" s="506"/>
    </row>
    <row r="396" spans="1:55" ht="12" thickBot="1" x14ac:dyDescent="0.25">
      <c r="A396" s="695"/>
      <c r="B396" s="696"/>
      <c r="C396" s="252"/>
      <c r="D396" s="269" t="s">
        <v>58</v>
      </c>
      <c r="E396" s="270">
        <f>IF(F396&lt;=100,SUM(E391:E395),"ERROR")</f>
        <v>0</v>
      </c>
      <c r="F396" s="284">
        <f>IF(SUM(F391:F395) &lt;=100,SUM(F391:F395),"ERROR, SUM&gt;100%")</f>
        <v>0</v>
      </c>
      <c r="G396" s="550">
        <f>IF('Calc (ex-animal)'!$F$73=1,"",SUM(G391:G395))</f>
        <v>0</v>
      </c>
      <c r="H396" s="418">
        <f>IF('Calc (ex-animal)'!$F$8=1,"",SUM(H391:H395))</f>
        <v>0</v>
      </c>
      <c r="I396" s="418">
        <f>IF('Calc (ex-animal)'!$F$8=1,"",SUM(I391:I395))</f>
        <v>0</v>
      </c>
      <c r="J396" s="418">
        <f>IF('Calc (ex-animal)'!$F$8=1,"",SUM(J391:J395))</f>
        <v>0</v>
      </c>
      <c r="K396" s="418">
        <f>IF('Calc (ex-animal)'!$F$8=1,"",SUM(K391:K395))</f>
        <v>0</v>
      </c>
      <c r="L396" s="418">
        <f>IF('Calc (ex-animal)'!$F$8=1,"",SUM(L391:L395))</f>
        <v>0</v>
      </c>
      <c r="M396" s="551"/>
      <c r="N396" s="551"/>
      <c r="O396" s="551"/>
      <c r="P396" s="552">
        <f>IF(G396=0,0,IF('Calc (ex-animal)'!$F$73=1,"",IF(D396="","",SUM(H396:K396)/G396*100)))</f>
        <v>0</v>
      </c>
      <c r="Q396" s="394"/>
      <c r="R396" s="394"/>
      <c r="S396" s="394"/>
      <c r="T396" s="285">
        <f>IF('Calc (ex-animal)'!$F$77=1,"",SUM(T391:T395))</f>
        <v>0</v>
      </c>
      <c r="U396" s="286"/>
      <c r="V396" s="286"/>
      <c r="W396" s="286"/>
      <c r="X396" s="286">
        <f>IF('Calc (ex-animal)'!$F$77=1,"",SUM(X391:X395))</f>
        <v>0</v>
      </c>
      <c r="Y396" s="286"/>
      <c r="Z396" s="286"/>
      <c r="AA396" s="286"/>
      <c r="AB396" s="286">
        <f>IF('Calc (ex-animal)'!$F$77=1,"",SUM(AB391:AB395))</f>
        <v>0</v>
      </c>
      <c r="AC396" s="286">
        <f>IF('Calc (ex-animal)'!$F$77=1,"",SUM(AC391:AC395))</f>
        <v>0</v>
      </c>
      <c r="AD396" s="286">
        <f>IF('Calc (ex-animal)'!$F$77=1,"",SUM(AD391:AD395))</f>
        <v>0</v>
      </c>
      <c r="AE396" s="287">
        <f>IF('Calc (ex-animal)'!$F$77=1,"",SUM(AE391:AE395))</f>
        <v>0</v>
      </c>
    </row>
    <row r="397" spans="1:55" x14ac:dyDescent="0.2">
      <c r="A397" s="695"/>
      <c r="B397" s="694" t="s">
        <v>187</v>
      </c>
      <c r="C397" s="254">
        <f>'Calc (ex-animal)'!D78</f>
        <v>0</v>
      </c>
      <c r="D397" s="1355"/>
      <c r="E397" s="1356"/>
      <c r="F397" s="479" t="str">
        <f>IF('Calc (ex-animal)'!$F$78=1,"",IF($C$397=0,"",IF(D397="","",E397/'Calc (ex-animal)'!$E$78*100)))</f>
        <v/>
      </c>
      <c r="G397" s="484" t="str">
        <f>IF($C$397=0,"",IF('Calc (ex-animal)'!$F$78=1,"",IF(D397="","",SUM(H397:O397))))</f>
        <v/>
      </c>
      <c r="H397" s="471" t="str">
        <f>IF('Calc (ex-animal)'!$F$78=1,"",IF(D397="","",(((VLOOKUP($C$397,'Calc (ex-animal)'!$D$78:$Y$82,6,FALSE)-VLOOKUP($C$397,'Calc (ex-animal)'!$D$78:$Y$82,17,FALSE))*F397/100))*VLOOKUP($C$397,'Calc (ex-animal)'!$D$78:$Y$82,7,FALSE)/100*(1-VLOOKUP(D397,'DB technologies'!$N$196:$Y$208,9,FALSE)/100)))</f>
        <v/>
      </c>
      <c r="I397" s="471" t="str">
        <f>IF(D397="","",((VLOOKUP(D397,'DB technologies'!$N$196:$Y$208,2,FALSE)*VLOOKUP($C$397,'DB animal categories'!$C$147:$AC$156,27,FALSE)*E397/1000)/VLOOKUP($C$397,'DB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'!$S$6/100*(1-VLOOKUP(D397,'DB technologies'!$N$196:$Y$208,9,FALSE)/100)))</f>
        <v/>
      </c>
      <c r="J397" s="472" t="str">
        <f>IF(D397="","",((VLOOKUP(D397,'DB technologies'!$N$196:$Y$208,3,FALSE)*VLOOKUP($C$397,'DB animal categories'!$C$147:$AC$156,27,FALSE)*E397/1000)/VLOOKUP($C$397,'DB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'!$S$7/100*(1-VLOOKUP(D397,'DB technologies'!$N$196:$Y$208,9,FALSE)/100)))</f>
        <v/>
      </c>
      <c r="K397" s="472" t="str">
        <f>IF(D397="","",((VLOOKUP(D397,'DB technologies'!$N$196:$Y$208,4,FALSE)*E397*'DB additional information '!$S$8/100*(1-VLOOKUP(D397,'DB technologies'!$N$196:$Y$208,9,FALSE)/100))/VLOOKUP($C$397,'DB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L397" s="471" t="str">
        <f>IF('Calc (ex-animal)'!$F$78=1,"",IF(D397="","",(((VLOOKUP($C$397,'Calc (ex-animal)'!$D$78:$Y$82,6,FALSE)-VLOOKUP($C$397,'Calc (ex-animal)'!$D$78:$Y$82,17,FALSE))*F397/100))*(1-VLOOKUP($C$397,'Calc (ex-animal)'!$D$78:$Y$82,7,FALSE)/100)*(1-VLOOKUP(D397,'DB technologies'!$N$196:$V$208,8,FALSE)/100)))</f>
        <v/>
      </c>
      <c r="M397" s="472" t="str">
        <f>IF(D397="","",((VLOOKUP(D397,'DB technologies'!$N$196:$Y$208,2,FALSE)*VLOOKUP($C$397,'DB animal categories'!$C$147:$AC$156,27,FALSE)*E397/1000)/VLOOKUP($C$397,'DB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'!$S$6/100)*(1-VLOOKUP(D397,'DB technologies'!$N$196:$Y$208,9,FALSE)/100))</f>
        <v/>
      </c>
      <c r="N397" s="472" t="str">
        <f>IF(D397="","",((VLOOKUP(D397,'DB technologies'!$N$196:$Y$208,3,FALSE)*VLOOKUP($C$397,'DB animal categories'!$C$147:$AC$156,27,FALSE)*E397/1000)/VLOOKUP($C$397,'DB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'!$S$7/100)*(1-VLOOKUP(D397,'DB technologies'!$N$196:$Y$208,9,FALSE)/100))</f>
        <v/>
      </c>
      <c r="O397" s="471" t="str">
        <f>IF(D397="","",((VLOOKUP(D397,'DB technologies'!$N$196:$Y$208,4,FALSE)*E397*(1-'DB additional information '!$S$8/100)*(1-VLOOKUP(D397,'DB technologies'!$N$196:$Y$208,8,FALSE)/100))/VLOOKUP($C$397,'DB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P397" s="443" t="str">
        <f>IF(G397=0,0,IF(E397="","",IF(F397="","",IF($C$397=0,"",IF(D397="","",SUM(H397:K397)/G397*100)))))</f>
        <v/>
      </c>
      <c r="Q397" s="473" t="str">
        <f>IF(D397="","",(VLOOKUP(D397,'DB technologies'!$N$196:$Y$208,2,FALSE)*'DB additional information '!$S$6/100*'DB additional information '!$T$6*VLOOKUP($C$397,'DB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R397" s="473" t="str">
        <f>IF(D397="","",(VLOOKUP(D397,'DB technologies'!$N$196:$Y$208,3,FALSE)*'DB additional information '!$S$7/100*'DB additional information '!$T$7*VLOOKUP($C$397,'DB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S397" s="490" t="str">
        <f>IF(D397="","",(VLOOKUP(D397,'DB technologies'!$N$196:$Y$208,4,FALSE)*('DB additional information '!$S$8/100*'DB additional information '!$T$8*E397/1000/1000)))</f>
        <v/>
      </c>
      <c r="T397" s="263" t="str">
        <f>IF($C$397=0,"",IF('Calc (ex-animal)'!$F$78=1,"",IF(D397="","",((VLOOKUP($C$397,'Calc (ex-animal)'!$D$78:$Y$82,10,FALSE)-VLOOKUP($C$397,'Calc (ex-animal)'!$D$78:$Y$82,18,FALSE))*F397/100+Q397+R397+S397)-AC397-AD397-AE397)))</f>
        <v/>
      </c>
      <c r="U397" s="474" t="str">
        <f>IF(D397="","",(VLOOKUP(D397,'DB technologies'!$N$196:$Y$208,2,FALSE)*'DB additional information '!$S$6/100*'DB additional information '!$U$6*VLOOKUP($C$397,'DB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V397" s="420" t="str">
        <f>IF(D397="","",(VLOOKUP(D397,'DB technologies'!$N$196:$Y$208,3,FALSE)*'DB additional information '!$S$7/100*'DB additional information '!$U$7*VLOOKUP($C$397,'DB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W397" s="415" t="str">
        <f>IF(D397="","",(VLOOKUP(D397,'DB technologies'!$N$196:$Y$208,4,FALSE)*('DB additional information '!$S$8/100*'DB additional information '!$U$8*E397/1000/1000)))</f>
        <v/>
      </c>
      <c r="X397" s="259" t="str">
        <f>IF($C$397=0,"",IF('Calc (ex-animal)'!$F$78=1,"",IF(D397="","",((VLOOKUP($C$397,'Calc (ex-animal)'!$D$78:$Y$82,13,FALSE)-VLOOKUP($C$397,'Calc (ex-animal)'!$D$78:$Y$82,19,FALSE))*F397/100+U397+V397+W397))))</f>
        <v/>
      </c>
      <c r="Y397" s="420" t="str">
        <f>IF(D397="","",(VLOOKUP(D397,'DB technologies'!$N$196:$Y$208,2,FALSE)*'DB additional information '!$S$6/100*'DB additional information '!$V$6*VLOOKUP($C$397,'DB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Z397" s="420" t="str">
        <f>IF(D397="","",(VLOOKUP(D397,'DB technologies'!$N$196:$Y$208,3,FALSE)*'DB additional information '!$S$7/100*'DB additional information '!$V$7*VLOOKUP($C$397,'DB animal categories'!$C$147:$AC$156,27,FALSE)*E397/1000/1000)/VLOOKUP($C$397,'DB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AA397" s="420" t="str">
        <f>IF(D397="","",(VLOOKUP(D397,'DB technologies'!$N$196:$Y$208,4,FALSE)*('DB additional information '!$S$8/100*'DB additional information '!$V$8*E397/1000/1000)))</f>
        <v/>
      </c>
      <c r="AB397" s="259" t="str">
        <f>IF($C$397=0,"",IF('Calc (ex-animal)'!$F$78=1,"",IF(D397="","",((VLOOKUP($C$397,'Calc (ex-animal)'!$D$78:$Y$82,16,FALSE)-VLOOKUP($C$397,'Calc (ex-animal)'!$D$78:$Y$82,20,FALSE))*F397/100+Y397+Z397+AA397))))</f>
        <v/>
      </c>
      <c r="AC397" s="259" t="str">
        <f>IF($C$397=0,"",IF('Calc (ex-animal)'!$F$78=1,"",IF(D397="","",VLOOKUP($C$397,'Calc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categories'!$C$147:$AC$156,26,FALSE)/24)*F397/100*VLOOKUP(D397,'DB technologies'!$N$196:$R$208,5,FALSE)/100)))</f>
        <v/>
      </c>
      <c r="AD397" s="259" t="str">
        <f>IF($C$397=0,"",IF('Calc (ex-animal)'!$F$78=1,"",IF(D397="","",VLOOKUP($C$397,'Calc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categories'!$C$147:$AC$156,26,FALSE)/24)*F397/100*VLOOKUP(D397,'DB technologies'!$N$196:$Y$208,6,FALSE)/100)))</f>
        <v/>
      </c>
      <c r="AE397" s="260" t="str">
        <f>IF($C$397=0,"",IF('Calc (ex-animal)'!$F$78=1,"",IF(D397="","",VLOOKUP($C$397,'Calc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categories'!$C$147:$AC$156,26,FALSE)/24)*F397/100*VLOOKUP(D397,'DB technologies'!$N$196:$Y$208,7,FALSE)/100)))</f>
        <v/>
      </c>
      <c r="AI397" s="179" t="str">
        <f>IF(D397="","",VLOOKUP(D397,'DB technologies'!$N$196:$Y$208,10,FALSE))</f>
        <v/>
      </c>
      <c r="AJ397" s="482" t="e">
        <f>VLOOKUP($C$397,'DB animal categories'!$C$147:$AN$156,27,FALSE)-VLOOKUP($C$397,'DB animal categories'!$C$147:$AN$156,26,FALSE)*VLOOKUP($C$397,'DB animal categories'!$C$147:$AN$156,25,FALSE)/24</f>
        <v>#N/A</v>
      </c>
      <c r="AK397" s="453" t="str">
        <f>IF(AI397="","",AL397+AM397)</f>
        <v/>
      </c>
      <c r="AL397" s="453" t="str">
        <f>IF(D397="","",IF(AI397=2,(('Calc (ex-animal)'!$G$78*'DB additional information '!$K$17/100*(1-VLOOKUP(D397,'DB technologies'!$N$196:$Y$208,9,FALSE)/100)*'Calc (ex-housing, ex-storage)'!F397/100+'Calc (ex-animal)'!$H$78*'DB additional information '!$L$17/100*(1-VLOOKUP(D397,'DB technologies'!$N$196:$Y$208,9,FALSE)/100)*'Calc (ex-housing, ex-storage)'!F397/100))/VLOOKUP($C$397,'DB animal categories'!$C$147:$AC$156,27,FALSE)*AJ397+I397+J397+K397,IF(AI397=1,('Calc (ex-animal)'!$H$78*'DB additional information '!$L$17/100*(1-VLOOKUP(D397,'DB technologies'!$N$196:$Y$208,9,FALSE)/100)*'Calc (ex-housing, ex-storage)'!F397/100)/VLOOKUP($C$397,'DB animal categories'!$C$147:$AC$156,27,FALSE)*AJ397,IF(AI397=4,('Calc (ex-animal)'!$G$78*'DB additional information '!$K$17/100+'Calc (ex-animal)'!$H$78*'DB additional information '!$L$17/100)*(1-VLOOKUP(D397,'DB technologies'!$N$196:$Y$208,9,FALSE)/100)*'Calc (ex-housing, ex-storage)'!F397/100*VLOOKUP(D397,'DB technologies'!$N$196:$Y$208,11,FALSE)/100/VLOOKUP($C$397,'DB animal categories'!$C$147:$AC$156,27,FALSE)*AJ397,0))))</f>
        <v/>
      </c>
      <c r="AM397" s="453" t="str">
        <f>IF(D397="","",IF(AI397=2,(('Calc (ex-animal)'!$G$78*(1-'DB additional information '!$K$17/100)*(1-VLOOKUP(D397,'DB technologies'!$N$196:$Y$208,8,FALSE)/100)*'Calc (ex-housing, ex-storage)'!F397/100+'Calc (ex-animal)'!$H$78*(1-'DB additional information '!$L$17/100)*(1-VLOOKUP(D397,'DB technologies'!$N$196:$Y$208,8,FALSE)/100)*'Calc (ex-housing, ex-storage)'!F397/100))/VLOOKUP($C$397,'DB animal categories'!$C$147:$AC$156,27,FALSE)*AJ397+M397+N397+O397,IF(AI397=1,('Calc (ex-animal)'!$H$78*(1-'DB additional information '!$L$17/100)*(1-VLOOKUP(D397,'DB technologies'!$N$196:$Y$208,8,FALSE)/100)*'Calc (ex-housing, ex-storage)'!F397/100)/VLOOKUP($C$397,'DB animal categories'!$C$147:$AC$156,27,FALSE)*AJ397,IF(AI397=4,('Calc (ex-animal)'!$G$78*(1-'DB additional information '!$K$17/100)+'Calc (ex-animal)'!$H$78*(1-'DB additional information '!$L$17/100))*(1-VLOOKUP(D397,'DB technologies'!$N$196:$Y$208,8,FALSE)/100)*'Calc (ex-housing, ex-storage)'!F397/100*VLOOKUP(D397,'DB technologies'!$N$196:$Y$208,11,FALSE)/100/VLOOKUP($C$397,'DB animal categories'!$C$147:$AC$156,27,FALSE)*AJ397,0))))</f>
        <v/>
      </c>
      <c r="AN397" s="453" t="str">
        <f>IF(AI397="","",IF(AL397=0,0,AL397/AK397*100))</f>
        <v/>
      </c>
      <c r="AO397" s="180" t="str">
        <f>IF(D397="","",IF(AI397=2,(('Calc (ex-animal)'!$L$78*'Calc (ex-housing, ex-storage)'!F397/100+'Calc (ex-animal)'!$K$78*'Calc (ex-housing, ex-storage)'!F397/100))/VLOOKUP($C$397,'DB animal categories'!$C$147:$AC$156,27,FALSE)*AJ397+Q397+R397+S397-AC397,IF(AI397=1,('Calc (ex-animal)'!$L$78*'Calc (ex-housing, ex-storage)'!F397/100)/VLOOKUP($C$397,'DB animal categories'!$C$147:$AC$156,27,FALSE)*AJ397-'Calc (ex-housing, ex-storage)'!AC397,IF(AI397=4,('Calc (ex-animal)'!$L$78+'Calc (ex-animal)'!$K$78)*'Calc (ex-housing, ex-storage)'!F397/100*VLOOKUP(D397,'DB technologies'!$N$196:$Y$208,11,FALSE)/100/VLOOKUP($C$397,'DB animal categories'!$C$147:$AC$156,27,FALSE)*AJ397-AC397*VLOOKUP(D397,'DB technologies'!$N$196:$Y$208,11,FALSE)/100,0))))</f>
        <v/>
      </c>
      <c r="AP397" s="180" t="str">
        <f>IF(D397="","",IF(AO397&lt;-0.01,0,IF(AI397=2,(('Calc (ex-animal)'!$L$78*'Calc (ex-housing, ex-storage)'!F397/100+'Calc (ex-animal)'!$K$78*'Calc (ex-housing, ex-storage)'!F397/100))/VLOOKUP($C$397,'DB animal categories'!$C$147:$AC$156,27,FALSE)*AJ397+Q397+R397+S397-AC397,IF(AI397=1,('Calc (ex-animal)'!$L$78*'Calc (ex-housing, ex-storage)'!F397/100)/VLOOKUP($C$397,'DB animal categories'!$C$147:$AC$156,27,FALSE)*AJ397-'Calc (ex-housing, ex-storage)'!AC397,IF(AI397=4,('Calc (ex-animal)'!$L$78+'Calc (ex-animal)'!$K$78)*'Calc (ex-housing, ex-storage)'!F397/100*VLOOKUP(D397,'DB technologies'!$N$196:$Y$208,11,FALSE)/100/VLOOKUP($C$397,'DB animal categories'!$C$147:$AC$156,27,FALSE)*AJ397-AC397*VLOOKUP(D397,'DB technologies'!$N$196:$Y$208,11,FALSE)/100,0)))))</f>
        <v/>
      </c>
      <c r="AQ397" s="180" t="str">
        <f>IF(D397="","",IF(AI397=2,('Calc (ex-animal)'!$O$78*'Calc (ex-housing, ex-storage)'!F397/100+'Calc (ex-animal)'!$N$78*'Calc (ex-housing, ex-storage)'!F397/100)/VLOOKUP($C$397,'DB animal categories'!$C$147:$AC$156,27,FALSE)*AJ397+U397+V397+W397,IF(AI397=1,'Calc (ex-animal)'!$O$78*'Calc (ex-housing, ex-storage)'!F397/100/VLOOKUP($C$397,'DB animal categories'!$C$147:$AC$156,27,FALSE)*AJ397,IF(AI397=4,('Calc (ex-animal)'!$O$78+'Calc (ex-animal)'!$N$78)*'Calc (ex-housing, ex-storage)'!F397/100*VLOOKUP(D397,'DB technologies'!$N$196:$Y$208,11,FALSE)/100/VLOOKUP($C$397,'DB animal categories'!$C$147:$AC$156,27,FALSE)*AJ397,0))))</f>
        <v/>
      </c>
      <c r="AR397" s="180" t="str">
        <f>IF(D397="","",IF(AI397=2,('Calc (ex-animal)'!$R$78*'Calc (ex-housing, ex-storage)'!F397/100+'Calc (ex-animal)'!$Q$78*'Calc (ex-housing, ex-storage)'!F397/100)/VLOOKUP($C$397,'DB animal categories'!$C$147:$AC$156,27,FALSE)*AJ397+Y397+Z397+AA397,IF(AI397=1,'Calc (ex-animal)'!$R$78*'Calc (ex-housing, ex-storage)'!F397/100/VLOOKUP($C$397,'DB animal categories'!$C$147:$AC$156,27,FALSE)*AJ397,IF(AI397=4,('Calc (ex-animal)'!$R$78+'Calc (ex-animal)'!$Q$78)*'Calc (ex-housing, ex-storage)'!F397/100*VLOOKUP(D397,'DB technologies'!$N$196:$Y$208,11,FALSE)/100/VLOOKUP($C$397,'DB animal categories'!$C$147:$AC$156,27,FALSE)*AJ397,0))))</f>
        <v/>
      </c>
      <c r="AS397" s="179" t="str">
        <f>IF(D397="","",VLOOKUP(D397,'DB technologies'!$N$196:$Y$208,10,FALSE))</f>
        <v/>
      </c>
      <c r="AT397" s="453" t="str">
        <f>IF(AS397="","",AU397+AV397)</f>
        <v/>
      </c>
      <c r="AU397" s="453" t="str">
        <f>IF(D397="","",IF(AS397=2,0,IF(AS397=1,'Calc (ex-animal)'!$G$78*'DB additional information '!$K$17/100*(1-VLOOKUP(D397,'DB technologies'!$N$196:$Y$208,8,FALSE)/100)*'Calc (ex-housing, ex-storage)'!F397/100/VLOOKUP($C$397,'DB animal categories'!$C$147:$AC$156,27,FALSE)*AJ397+I397+J397+K397,IF(AS397=5,(('Calc (ex-animal)'!$G$78*'DB additional information '!$K$17/100+'Calc (ex-animal)'!$H$78*'DB additional information '!$L$17/100))*(1-VLOOKUP(D397,'DB technologies'!$N$196:$Y$208,9,FALSE)/100)*'Calc (ex-housing, ex-storage)'!F397/100/VLOOKUP($C$397,'DB animal categories'!$C$147:$AC$156,27,FALSE)*AJ397+I397+J397+K397,IF(AS397=3,('Calc (ex-animal)'!$G$78*'DB additional information '!$K$17/100+'Calc (ex-animal)'!$H$78*'DB additional information '!$L$17/100)*(1-VLOOKUP(D397,'DB technologies'!$N$196:$Y$208,9,FALSE)/100)*'Calc (ex-housing, ex-storage)'!F397/100/VLOOKUP($C$397,'DB animal categories'!$C$147:$AC$156,27,FALSE)*AJ397+I397+J397+K397,IF(AS397=4,('Calc (ex-animal)'!$G$78*'DB additional information '!$K$17/100+'Calc (ex-animal)'!$H$78*'DB additional information '!$L$17/100)*(1-VLOOKUP(D397,'DB technologies'!$N$196:$Y$208,9,FALSE)/100)*'Calc (ex-housing, ex-storage)'!F397/100*VLOOKUP(D397,'DB technologies'!$N$196:$Y$208,12,FALSE)/100/VLOOKUP($C$397,'DB animal categories'!$C$147:$AC$156,27,FALSE)*AJ397+I397+J397+K397,0))))))</f>
        <v/>
      </c>
      <c r="AV397" s="453" t="str">
        <f>IF(D397="","",IF(AS397=2,0,IF(AS397=1,'Calc (ex-animal)'!$G$78*(1-'DB additional information '!$K$17/100)*(1-VLOOKUP(D397,'DB technologies'!$N$196:$Y$208,8,FALSE)/100)*'Calc (ex-housing, ex-storage)'!F397/100/VLOOKUP($C$397,'DB animal categories'!$C$147:$AC$156,27,FALSE)*AJ397+M397+N397+O397,IF(AS397=5,('Calc (ex-animal)'!$G$78*(1-'DB additional information '!$K$17/100)+'Calc (ex-animal)'!$H$78*(1-'DB additional information '!$L$17/100))*(1-VLOOKUP(D397,'DB technologies'!$N$196:$Y$208,8,FALSE)/100)*'Calc (ex-housing, ex-storage)'!F397/100/VLOOKUP($C$397,'DB animal categories'!$C$147:$AC$156,27,FALSE)*AJ397+M397+N397+O397,IF(AS397=3,('Calc (ex-animal)'!$G$78*(1-'DB additional information '!$K$17/100)+'Calc (ex-animal)'!$H$78*(1-'DB additional information '!$L$17/100))*(1-VLOOKUP(D397,'DB technologies'!$N$196:$Y$208,8,FALSE)/100)*'Calc (ex-housing, ex-storage)'!F397/100/VLOOKUP($C$397,'DB animal categories'!$C$147:$AC$156,27,FALSE)*AJ397+M397+N397+O397,IF(AS397=4,('Calc (ex-animal)'!$G$78*(1-'DB additional information '!$K$17/100)+'Calc (ex-animal)'!$H$78*(1-'DB additional information '!$L$17/100))*(1-VLOOKUP(D397,'DB technologies'!$N$196:$Y$208,8,FALSE)/100)*'Calc (ex-housing, ex-storage)'!F397/100*VLOOKUP(D397,'DB technologies'!$N$196:$Y$208,12,FALSE)/100/VLOOKUP($C$397,'DB animal categories'!$C$147:$AC$156,27,FALSE)*AJ397+M397+N397+O397,0))))))</f>
        <v/>
      </c>
      <c r="AW397" s="453" t="str">
        <f>IF(AS397="","",IF(AU397=0,0,AU397/AT397*100))</f>
        <v/>
      </c>
      <c r="AX397" s="180" t="str">
        <f>IF(D397="","",IF(AS397=2,0,IF(AS397=1,'Calc (ex-animal)'!$K$78*'Calc (ex-housing, ex-storage)'!F397/100/VLOOKUP($C$397,'DB animal categories'!$C$147:$AC$156,27,FALSE)*AJ397+Q397+R397+S397,IF(AS397=5,('Calc (ex-animal)'!$K$78+'Calc (ex-animal)'!$L$78)*'Calc (ex-housing, ex-storage)'!F397/100/VLOOKUP($C$397,'DB animal categories'!$C$147:$AC$156,27,FALSE)*AJ397+Q397+R397+S397-'Calc (ex-housing, ex-storage)'!AC397,IF(AS397=3,('Calc (ex-animal)'!$K$78+'Calc (ex-animal)'!$L$78)*'Calc (ex-housing, ex-storage)'!F397/100/VLOOKUP($C$397,'DB animal categories'!$C$147:$AC$156,27,FALSE)*AJ397+Q397+R397+S397-'Calc (ex-housing, ex-storage)'!AC397-AD397-AE397,IF(AI397=4,('Calc (ex-animal)'!$K$78+'Calc (ex-animal)'!$L$78)*'Calc (ex-housing, ex-storage)'!F397/100*VLOOKUP(D397,'DB technologies'!$N$196:$Y$208,12,FALSE)/100/VLOOKUP($C$397,'DB animal categories'!$C$147:$AC$156,27,FALSE)*AJ397+Q397+R397+S397-(VLOOKUP(D397,'DB technologies'!$N$196:$Y$208,12,FALSE)/100*AC397)-AD397-AE397,0))))))</f>
        <v/>
      </c>
      <c r="AY397" s="180" t="str">
        <f>IF(D397="","",IF(AS397=2,0,IF(AS397=1,'Calc (ex-animal)'!$N$78*'Calc (ex-housing, ex-storage)'!F397/100/VLOOKUP($C$397,'DB animal categories'!$C$147:$AC$156,27,FALSE)*AJ397+U397+V397+W397,IF(AS397=5,('Calc (ex-animal)'!$N$78+'Calc (ex-animal)'!$O$78)*'Calc (ex-housing, ex-storage)'!F397/100/VLOOKUP($C$397,'DB animal categories'!$C$147:$AC$156,27,FALSE)*AJ397+U397+V397+W397,IF(AS397=3,('Calc (ex-animal)'!$N$78+'Calc (ex-animal)'!$O$78)*'Calc (ex-housing, ex-storage)'!F397/100/VLOOKUP($C$397,'DB animal categories'!$C$147:$AC$156,27,FALSE)*AJ397+U397+V397+W397,IF(AS397=4,('Calc (ex-animal)'!$N$78+'Calc (ex-animal)'!$O$78)*'Calc (ex-housing, ex-storage)'!F397/100*VLOOKUP(D397,'DB technologies'!$N$196:$Y$208,12,FALSE)/100/VLOOKUP($C$397,'DB animal categories'!$C$147:$AC$156,27,FALSE)*AJ397+U397+V397+W397,0))))))</f>
        <v/>
      </c>
      <c r="AZ397" s="180" t="str">
        <f>IF(D397="","",IF(AS397=2,0,IF(AS397=1,'Calc (ex-animal)'!$Q$78*'Calc (ex-housing, ex-storage)'!F397/100/VLOOKUP($C$397,'DB animal categories'!$C$147:$AC$156,27,FALSE)*AJ397+Y397+Z397+AA397,IF(AS397=5,('Calc (ex-animal)'!$Q$78+'Calc (ex-animal)'!$R$78)*'Calc (ex-housing, ex-storage)'!F397/100/VLOOKUP($C$397,'DB animal categories'!$C$147:$AC$156,27,FALSE)*AJ397+Y397+Z397+AA397,IF(AS397=3,('Calc (ex-animal)'!$Q$78+'Calc (ex-animal)'!$R$78)*'Calc (ex-housing, ex-storage)'!F397/100/VLOOKUP($C$397,'DB animal categories'!$C$147:$AC$156,27,FALSE)*AJ397+Y397+Z397+AA397,IF(AS397=4,('Calc (ex-animal)'!$Q$78+'Calc (ex-animal)'!$R$78)*'Calc (ex-housing, ex-storage)'!F397/100*VLOOKUP(D397,'DB technologies'!$N$196:$Y$208,12,FALSE)/100/VLOOKUP($C$397,'DB animal categories'!$C$147:$AC$156,27,FALSE)*AJ397+Y397+Z397+AA397,0))))))</f>
        <v/>
      </c>
      <c r="BA397" s="506"/>
      <c r="BB397" s="506"/>
      <c r="BC397" s="506"/>
    </row>
    <row r="398" spans="1:55" x14ac:dyDescent="0.2">
      <c r="A398" s="695"/>
      <c r="B398" s="695"/>
      <c r="C398" s="255"/>
      <c r="D398" s="1357"/>
      <c r="E398" s="1399"/>
      <c r="F398" s="480" t="str">
        <f>IF('Calc (ex-animal)'!$F$78=1,"",IF($C$397=0,"",IF(D398="","",E398/'Calc (ex-animal)'!$E$78*100)))</f>
        <v/>
      </c>
      <c r="G398" s="485" t="str">
        <f>IF($C$397=0,"",IF('Calc (ex-animal)'!$F$78=1,"",IF(D398="","",SUM(H398:O398))))</f>
        <v/>
      </c>
      <c r="H398" s="423" t="str">
        <f>IF('Calc (ex-animal)'!$F$78=1,"",IF(D398="","",(((VLOOKUP($C$397,'Calc (ex-animal)'!$D$78:$Y$82,6,FALSE)-VLOOKUP($C$397,'Calc (ex-animal)'!$D$78:$Y$82,17,FALSE))*F398/100))*VLOOKUP($C$397,'Calc (ex-animal)'!$D$78:$Y$82,7,FALSE)/100*(1-VLOOKUP(D398,'DB technologies'!$N$196:$Y$208,9,FALSE)/100)))</f>
        <v/>
      </c>
      <c r="I398" s="423" t="str">
        <f>IF(D398="","",((VLOOKUP(D398,'DB technologies'!$N$196:$Y$208,2,FALSE)*VLOOKUP($C$397,'DB animal categories'!$C$147:$AC$156,27,FALSE)*E398/1000)/VLOOKUP($C$397,'DB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'!$S$6/100*(1-VLOOKUP(D398,'DB technologies'!$N$196:$Y$208,9,FALSE)/100)))</f>
        <v/>
      </c>
      <c r="J398" s="434" t="str">
        <f>IF(D398="","",((VLOOKUP(D398,'DB technologies'!$N$196:$Y$208,3,FALSE)*VLOOKUP($C$397,'DB animal categories'!$C$147:$AC$156,27,FALSE)*E398/1000)/VLOOKUP($C$397,'DB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'!$S$7/100*(1-VLOOKUP(D398,'DB technologies'!$N$196:$Y$208,9,FALSE)/100)))</f>
        <v/>
      </c>
      <c r="K398" s="434" t="str">
        <f>IF(D398="","",((VLOOKUP(D398,'DB technologies'!$N$196:$Y$208,4,FALSE)*E398*'DB additional information '!$S$8/100*(1-VLOOKUP(D398,'DB technologies'!$N$196:$Y$208,9,FALSE)/100))/VLOOKUP($C$397,'DB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L398" s="423" t="str">
        <f>IF('Calc (ex-animal)'!$F$78=1,"",IF(D398="","",(((VLOOKUP($C$397,'Calc (ex-animal)'!$D$78:$Y$82,6,FALSE)-VLOOKUP($C$397,'Calc (ex-animal)'!$D$78:$Y$82,17,FALSE))*F398/100))*(1-VLOOKUP($C$397,'Calc (ex-animal)'!$D$78:$Y$82,7,FALSE)/100)*(1-VLOOKUP(D398,'DB technologies'!$N$196:$V$208,8,FALSE)/100)))</f>
        <v/>
      </c>
      <c r="M398" s="434" t="str">
        <f>IF(D398="","",((VLOOKUP(D398,'DB technologies'!$N$196:$Y$208,2,FALSE)*VLOOKUP($C$397,'DB animal categories'!$C$147:$AC$156,27,FALSE)*E398/1000)/VLOOKUP($C$397,'DB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'!$S$6/100)*(1-VLOOKUP(D398,'DB technologies'!$N$196:$Y$208,9,FALSE)/100))</f>
        <v/>
      </c>
      <c r="N398" s="434" t="str">
        <f>IF(D398="","",((VLOOKUP(D398,'DB technologies'!$N$196:$Y$208,3,FALSE)*VLOOKUP($C$397,'DB animal categories'!$C$147:$AC$156,27,FALSE)*E398/1000)/VLOOKUP($C$397,'DB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'!$S$7/100)*(1-VLOOKUP(D398,'DB technologies'!$N$196:$Y$208,9,FALSE)/100))</f>
        <v/>
      </c>
      <c r="O398" s="423" t="str">
        <f>IF(D398="","",((VLOOKUP(D398,'DB technologies'!$N$196:$Y$208,4,FALSE)*E398*(1-'DB additional information '!$S$8/100)*(1-VLOOKUP(D398,'DB technologies'!$N$196:$Y$208,8,FALSE)/100))/VLOOKUP($C$397,'DB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P398" s="438" t="str">
        <f>IF(G398=0,0,IF(E398="","",IF(F398="","",IF($C$397=0,"",IF(D398="","",SUM(H398:K398)/G398*100)))))</f>
        <v/>
      </c>
      <c r="Q398" s="416" t="str">
        <f>IF(D398="","",(VLOOKUP(D398,'DB technologies'!$N$196:$Y$208,2,FALSE)*'DB additional information '!$S$6/100*'DB additional information '!$T$6*VLOOKUP($C$397,'DB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R398" s="416" t="str">
        <f>IF(D398="","",(VLOOKUP(D398,'DB technologies'!$N$196:$Y$208,3,FALSE)*'DB additional information '!$S$7/100*'DB additional information '!$T$7*VLOOKUP($C$397,'DB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S398" s="491" t="str">
        <f>IF(D398="","",(VLOOKUP(D398,'DB technologies'!$N$196:$Y$208,4,FALSE)*('DB additional information '!$S$8/100*'DB additional information '!$T$8*E398/1000/1000)))</f>
        <v/>
      </c>
      <c r="T398" s="264" t="str">
        <f>IF($C$397=0,"",IF('Calc (ex-animal)'!$F$78=1,"",IF(D398="","",((VLOOKUP($C$397,'Calc (ex-animal)'!$D$78:$Y$82,10,FALSE)-VLOOKUP($C$397,'Calc (ex-animal)'!$D$78:$Y$82,18,FALSE))*F398/100+Q398+R398+S398)-AC398-AD398-AE398)))</f>
        <v/>
      </c>
      <c r="U398" s="422" t="str">
        <f>IF(D398="","",(VLOOKUP(D398,'DB technologies'!$N$196:$Y$208,2,FALSE)*'DB additional information '!$S$6/100*'DB additional information '!$U$6*VLOOKUP($C$397,'DB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V398" s="418" t="str">
        <f>IF(D398="","",(VLOOKUP(D398,'DB technologies'!$N$196:$Y$208,3,FALSE)*'DB additional information '!$S$7/100*'DB additional information '!$U$7*VLOOKUP($C$397,'DB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W398" s="417" t="str">
        <f>IF(D398="","",(VLOOKUP(D398,'DB technologies'!$N$196:$Y$208,4,FALSE)*('DB additional information '!$S$8/100*'DB additional information '!$U$8*E398/1000/1000)))</f>
        <v/>
      </c>
      <c r="X398" s="261" t="str">
        <f>IF($C$397=0,"",IF('Calc (ex-animal)'!$F$78=1,"",IF(D398="","",((VLOOKUP($C$397,'Calc (ex-animal)'!$D$78:$Y$82,13,FALSE)-VLOOKUP($C$397,'Calc (ex-animal)'!$D$78:$Y$82,19,FALSE))*F398/100+U398+V398+W398))))</f>
        <v/>
      </c>
      <c r="Y398" s="418" t="str">
        <f>IF(D398="","",(VLOOKUP(D398,'DB technologies'!$N$196:$Y$208,2,FALSE)*'DB additional information '!$S$6/100*'DB additional information '!$V$6*VLOOKUP($C$397,'DB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Z398" s="418" t="str">
        <f>IF(D398="","",(VLOOKUP(D398,'DB technologies'!$N$196:$Y$208,3,FALSE)*'DB additional information '!$S$7/100*'DB additional information '!$V$7*VLOOKUP($C$397,'DB animal categories'!$C$147:$AC$156,27,FALSE)*E398/1000/1000)/VLOOKUP($C$397,'DB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AA398" s="418" t="str">
        <f>IF(D398="","",(VLOOKUP(D398,'DB technologies'!$N$196:$Y$208,4,FALSE)*('DB additional information '!$S$8/100*'DB additional information '!$V$8*E398/1000/1000)))</f>
        <v/>
      </c>
      <c r="AB398" s="261" t="str">
        <f>IF($C$397=0,"",IF('Calc (ex-animal)'!$F$78=1,"",IF(D398="","",((VLOOKUP($C$397,'Calc (ex-animal)'!$D$78:$Y$82,16,FALSE)-VLOOKUP($C$397,'Calc (ex-animal)'!$D$78:$Y$82,20,FALSE))*F398/100+Y398+Z398+AA398))))</f>
        <v/>
      </c>
      <c r="AC398" s="261" t="str">
        <f>IF($C$397=0,"",IF('Calc (ex-animal)'!$F$78=1,"",IF(D398="","",VLOOKUP($C$397,'Calc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categories'!$C$147:$AC$156,26,FALSE)/24)*F398/100*VLOOKUP(D398,'DB technologies'!$N$196:$R$208,5,FALSE)/100)))</f>
        <v/>
      </c>
      <c r="AD398" s="261" t="str">
        <f>IF($C$397=0,"",IF('Calc (ex-animal)'!$F$78=1,"",IF(D398="","",VLOOKUP($C$397,'Calc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categories'!$C$147:$AC$156,26,FALSE)/24)*F398/100*VLOOKUP(D398,'DB technologies'!$N$196:$Y$208,6,FALSE)/100)))</f>
        <v/>
      </c>
      <c r="AE398" s="262" t="str">
        <f>IF($C$397=0,"",IF('Calc (ex-animal)'!$F$78=1,"",IF(D398="","",VLOOKUP($C$397,'Calc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categories'!$C$147:$AC$156,26,FALSE)/24)*F398/100*VLOOKUP(D398,'DB technologies'!$N$196:$Y$208,7,FALSE)/100)))</f>
        <v/>
      </c>
      <c r="AI398" s="181" t="str">
        <f>IF(D398="","",VLOOKUP(D398,'DB technologies'!$N$196:$Y$208,10,FALSE))</f>
        <v/>
      </c>
      <c r="AJ398" s="449" t="e">
        <f>VLOOKUP($C$397,'DB animal categories'!$C$147:$AN$156,27,FALSE)-VLOOKUP($C$397,'DB animal categories'!$C$147:$AN$156,26,FALSE)*VLOOKUP($C$397,'DB animal categories'!$C$147:$AN$156,25,FALSE)/24</f>
        <v>#N/A</v>
      </c>
      <c r="AK398" s="442" t="str">
        <f>IF(AI398="","",AL398+AM398)</f>
        <v/>
      </c>
      <c r="AL398" s="442" t="str">
        <f>IF(D398="","",IF(AI398=2,(('Calc (ex-animal)'!$G$78*'DB additional information '!$K$17/100*(1-VLOOKUP(D398,'DB technologies'!$N$196:$Y$208,9,FALSE)/100)*'Calc (ex-housing, ex-storage)'!F398/100+'Calc (ex-animal)'!$H$78*'DB additional information '!$L$17/100*(1-VLOOKUP(D398,'DB technologies'!$N$196:$Y$208,9,FALSE)/100)*'Calc (ex-housing, ex-storage)'!F398/100))/VLOOKUP($C$397,'DB animal categories'!$C$147:$AC$156,27,FALSE)*AJ398+I398+J398+K398,IF(AI398=1,('Calc (ex-animal)'!$H$78*'DB additional information '!$L$17/100*(1-VLOOKUP(D398,'DB technologies'!$N$196:$Y$208,9,FALSE)/100)*'Calc (ex-housing, ex-storage)'!F398/100)/VLOOKUP($C$397,'DB animal categories'!$C$147:$AC$156,27,FALSE)*AJ398,IF(AI398=4,('Calc (ex-animal)'!$G$78*'DB additional information '!$K$17/100+'Calc (ex-animal)'!$H$78*'DB additional information '!$L$17/100)*(1-VLOOKUP(D398,'DB technologies'!$N$196:$Y$208,9,FALSE)/100)*'Calc (ex-housing, ex-storage)'!F398/100*VLOOKUP(D398,'DB technologies'!$N$196:$Y$208,11,FALSE)/100/VLOOKUP($C$397,'DB animal categories'!$C$147:$AC$156,27,FALSE)*AJ398,0))))</f>
        <v/>
      </c>
      <c r="AM398" s="442" t="str">
        <f>IF(D398="","",IF(AI398=2,(('Calc (ex-animal)'!$G$78*(1-'DB additional information '!$K$17/100)*(1-VLOOKUP(D398,'DB technologies'!$N$196:$Y$208,8,FALSE)/100)*'Calc (ex-housing, ex-storage)'!F398/100+'Calc (ex-animal)'!$H$78*(1-'DB additional information '!$L$17/100)*(1-VLOOKUP(D398,'DB technologies'!$N$196:$Y$208,8,FALSE)/100)*'Calc (ex-housing, ex-storage)'!F398/100))/VLOOKUP($C$397,'DB animal categories'!$C$147:$AC$156,27,FALSE)*AJ398+M398+N398+O398,IF(AI398=1,('Calc (ex-animal)'!$H$78*(1-'DB additional information '!$L$17/100)*(1-VLOOKUP(D398,'DB technologies'!$N$196:$Y$208,8,FALSE)/100)*'Calc (ex-housing, ex-storage)'!F398/100)/VLOOKUP($C$397,'DB animal categories'!$C$147:$AC$156,27,FALSE)*AJ398,IF(AI398=4,('Calc (ex-animal)'!$G$78*(1-'DB additional information '!$K$17/100)+'Calc (ex-animal)'!$H$78*(1-'DB additional information '!$L$17/100))*(1-VLOOKUP(D398,'DB technologies'!$N$196:$Y$208,8,FALSE)/100)*'Calc (ex-housing, ex-storage)'!F398/100*VLOOKUP(D398,'DB technologies'!$N$196:$Y$208,11,FALSE)/100/VLOOKUP($C$397,'DB animal categories'!$C$147:$AC$156,27,FALSE)*AJ398,0))))</f>
        <v/>
      </c>
      <c r="AN398" s="442" t="str">
        <f>IF(AI398="","",IF(AL398=0,0,AL398/AK398*100))</f>
        <v/>
      </c>
      <c r="AO398" s="182" t="str">
        <f>IF(D398="","",IF(AI398=2,(('Calc (ex-animal)'!$L$78*'Calc (ex-housing, ex-storage)'!F398/100+'Calc (ex-animal)'!$K$78*'Calc (ex-housing, ex-storage)'!F398/100))/VLOOKUP($C$397,'DB animal categories'!$C$147:$AC$156,27,FALSE)*AJ398+Q398+R398+S398-AC398,IF(AI398=1,('Calc (ex-animal)'!$L$78*'Calc (ex-housing, ex-storage)'!F398/100)/VLOOKUP($C$397,'DB animal categories'!$C$147:$AC$156,27,FALSE)*AJ398-'Calc (ex-housing, ex-storage)'!AC398,IF(AI398=4,('Calc (ex-animal)'!$L$78+'Calc (ex-animal)'!$K$78)*'Calc (ex-housing, ex-storage)'!F398/100*VLOOKUP(D398,'DB technologies'!$N$196:$Y$208,11,FALSE)/100/VLOOKUP($C$397,'DB animal categories'!$C$147:$AC$156,27,FALSE)*AJ398-AC398*VLOOKUP(D398,'DB technologies'!$N$196:$Y$208,11,FALSE)/100,0))))</f>
        <v/>
      </c>
      <c r="AP398" s="182" t="str">
        <f>IF(D398="","",IF(AO398&lt;-0.01,0,IF(AI398=2,(('Calc (ex-animal)'!$L$78*'Calc (ex-housing, ex-storage)'!F398/100+'Calc (ex-animal)'!$K$78*'Calc (ex-housing, ex-storage)'!F398/100))/VLOOKUP($C$397,'DB animal categories'!$C$147:$AC$156,27,FALSE)*AJ398+Q398+R398+S398-AC398,IF(AI398=1,('Calc (ex-animal)'!$L$78*'Calc (ex-housing, ex-storage)'!F398/100)/VLOOKUP($C$397,'DB animal categories'!$C$147:$AC$156,27,FALSE)*AJ398-'Calc (ex-housing, ex-storage)'!AC398,IF(AI398=4,('Calc (ex-animal)'!$L$78+'Calc (ex-animal)'!$K$78)*'Calc (ex-housing, ex-storage)'!F398/100*VLOOKUP(D398,'DB technologies'!$N$196:$Y$208,11,FALSE)/100/VLOOKUP($C$397,'DB animal categories'!$C$147:$AC$156,27,FALSE)*AJ398-AC398*VLOOKUP(D398,'DB technologies'!$N$196:$Y$208,11,FALSE)/100,0)))))</f>
        <v/>
      </c>
      <c r="AQ398" s="182" t="str">
        <f>IF(D398="","",IF(AI398=2,('Calc (ex-animal)'!$O$78*'Calc (ex-housing, ex-storage)'!F398/100+'Calc (ex-animal)'!$N$78*'Calc (ex-housing, ex-storage)'!F398/100)/VLOOKUP($C$397,'DB animal categories'!$C$147:$AC$156,27,FALSE)*AJ398+U398+V398+W398,IF(AI398=1,'Calc (ex-animal)'!$O$78*'Calc (ex-housing, ex-storage)'!F398/100/VLOOKUP($C$397,'DB animal categories'!$C$147:$AC$156,27,FALSE)*AJ398,IF(AI398=4,('Calc (ex-animal)'!$O$78+'Calc (ex-animal)'!$N$78)*'Calc (ex-housing, ex-storage)'!F398/100*VLOOKUP(D398,'DB technologies'!$N$196:$Y$208,11,FALSE)/100/VLOOKUP($C$397,'DB animal categories'!$C$147:$AC$156,27,FALSE)*AJ398,0))))</f>
        <v/>
      </c>
      <c r="AR398" s="182" t="str">
        <f>IF(D398="","",IF(AI398=2,('Calc (ex-animal)'!$R$78*'Calc (ex-housing, ex-storage)'!F398/100+'Calc (ex-animal)'!$Q$78*'Calc (ex-housing, ex-storage)'!F398/100)/VLOOKUP($C$397,'DB animal categories'!$C$147:$AC$156,27,FALSE)*AJ398+Y398+Z398+AA398,IF(AI398=1,'Calc (ex-animal)'!$R$78*'Calc (ex-housing, ex-storage)'!F398/100/VLOOKUP($C$397,'DB animal categories'!$C$147:$AC$156,27,FALSE)*AJ398,IF(AI398=4,('Calc (ex-animal)'!$R$78+'Calc (ex-animal)'!$Q$78)*'Calc (ex-housing, ex-storage)'!F398/100*VLOOKUP(D398,'DB technologies'!$N$196:$Y$208,11,FALSE)/100/VLOOKUP($C$397,'DB animal categories'!$C$147:$AC$156,27,FALSE)*AJ398,0))))</f>
        <v/>
      </c>
      <c r="AS398" s="181" t="str">
        <f>IF(D398="","",VLOOKUP(D398,'DB technologies'!$N$196:$Y$208,10,FALSE))</f>
        <v/>
      </c>
      <c r="AT398" s="442" t="str">
        <f>IF(AS398="","",AU398+AV398)</f>
        <v/>
      </c>
      <c r="AU398" s="442" t="str">
        <f>IF(D398="","",IF(AS398=2,0,IF(AS398=1,'Calc (ex-animal)'!$G$78*'DB additional information '!$K$17/100*(1-VLOOKUP(D398,'DB technologies'!$N$196:$Y$208,8,FALSE)/100)*'Calc (ex-housing, ex-storage)'!F398/100/VLOOKUP($C$397,'DB animal categories'!$C$147:$AC$156,27,FALSE)*AJ398+I398+J398+K398,IF(AS398=5,(('Calc (ex-animal)'!$G$78*'DB additional information '!$K$17/100+'Calc (ex-animal)'!$H$78*'DB additional information '!$L$17/100))*(1-VLOOKUP(D398,'DB technologies'!$N$196:$Y$208,9,FALSE)/100)*'Calc (ex-housing, ex-storage)'!F398/100/VLOOKUP($C$397,'DB animal categories'!$C$147:$AC$156,27,FALSE)*AJ398+I398+J398+K398,IF(AS398=3,('Calc (ex-animal)'!$G$78*'DB additional information '!$K$17/100+'Calc (ex-animal)'!$H$78*'DB additional information '!$L$17/100)*(1-VLOOKUP(D398,'DB technologies'!$N$196:$Y$208,9,FALSE)/100)*'Calc (ex-housing, ex-storage)'!F398/100/VLOOKUP($C$397,'DB animal categories'!$C$147:$AC$156,27,FALSE)*AJ398+I398+J398+K398,IF(AS398=4,('Calc (ex-animal)'!$G$78*'DB additional information '!$K$17/100+'Calc (ex-animal)'!$H$78*'DB additional information '!$L$17/100)*(1-VLOOKUP(D398,'DB technologies'!$N$196:$Y$208,9,FALSE)/100)*'Calc (ex-housing, ex-storage)'!F398/100*VLOOKUP(D398,'DB technologies'!$N$196:$Y$208,12,FALSE)/100/VLOOKUP($C$397,'DB animal categories'!$C$147:$AC$156,27,FALSE)*AJ398+I398+J398+K398,0))))))</f>
        <v/>
      </c>
      <c r="AV398" s="442" t="str">
        <f>IF(D398="","",IF(AS398=2,0,IF(AS398=1,'Calc (ex-animal)'!$G$78*(1-'DB additional information '!$K$17/100)*(1-VLOOKUP(D398,'DB technologies'!$N$196:$Y$208,8,FALSE)/100)*'Calc (ex-housing, ex-storage)'!F398/100/VLOOKUP($C$397,'DB animal categories'!$C$147:$AC$156,27,FALSE)*AJ398+M398+N398+O398,IF(AS398=5,('Calc (ex-animal)'!$G$78*(1-'DB additional information '!$K$17/100)+'Calc (ex-animal)'!$H$78*(1-'DB additional information '!$L$17/100))*(1-VLOOKUP(D398,'DB technologies'!$N$196:$Y$208,8,FALSE)/100)*'Calc (ex-housing, ex-storage)'!F398/100/VLOOKUP($C$397,'DB animal categories'!$C$147:$AC$156,27,FALSE)*AJ398+M398+N398+O398,IF(AS398=3,('Calc (ex-animal)'!$G$78*(1-'DB additional information '!$K$17/100)+'Calc (ex-animal)'!$H$78*(1-'DB additional information '!$L$17/100))*(1-VLOOKUP(D398,'DB technologies'!$N$196:$Y$208,8,FALSE)/100)*'Calc (ex-housing, ex-storage)'!F398/100/VLOOKUP($C$397,'DB animal categories'!$C$147:$AC$156,27,FALSE)*AJ398+M398+N398+O398,IF(AS398=4,('Calc (ex-animal)'!$G$78*(1-'DB additional information '!$K$17/100)+'Calc (ex-animal)'!$H$78*(1-'DB additional information '!$L$17/100))*(1-VLOOKUP(D398,'DB technologies'!$N$196:$Y$208,8,FALSE)/100)*'Calc (ex-housing, ex-storage)'!F398/100*VLOOKUP(D398,'DB technologies'!$N$196:$Y$208,12,FALSE)/100/VLOOKUP($C$397,'DB animal categories'!$C$147:$AC$156,27,FALSE)*AJ398+M398+N398+O398,0))))))</f>
        <v/>
      </c>
      <c r="AW398" s="442" t="str">
        <f>IF(AS398="","",IF(AU398=0,0,AU398/AT398*100))</f>
        <v/>
      </c>
      <c r="AX398" s="182" t="str">
        <f>IF(D398="","",IF(AS398=2,0,IF(AS398=1,'Calc (ex-animal)'!$K$78*'Calc (ex-housing, ex-storage)'!F398/100/VLOOKUP($C$397,'DB animal categories'!$C$147:$AC$156,27,FALSE)*AJ398+Q398+R398+S398,IF(AS398=5,('Calc (ex-animal)'!$K$78+'Calc (ex-animal)'!$L$78)*'Calc (ex-housing, ex-storage)'!F398/100/VLOOKUP($C$397,'DB animal categories'!$C$147:$AC$156,27,FALSE)*AJ398+Q398+R398+S398-'Calc (ex-housing, ex-storage)'!AC398,IF(AS398=3,('Calc (ex-animal)'!$K$78+'Calc (ex-animal)'!$L$78)*'Calc (ex-housing, ex-storage)'!F398/100/VLOOKUP($C$397,'DB animal categories'!$C$147:$AC$156,27,FALSE)*AJ398+Q398+R398+S398-'Calc (ex-housing, ex-storage)'!AC398-AD398-AE398,IF(AI398=4,('Calc (ex-animal)'!$K$78+'Calc (ex-animal)'!$L$78)*'Calc (ex-housing, ex-storage)'!F398/100*VLOOKUP(D398,'DB technologies'!$N$196:$Y$208,12,FALSE)/100/VLOOKUP($C$397,'DB animal categories'!$C$147:$AC$156,27,FALSE)*AJ398+Q398+R398+S398-(VLOOKUP(D398,'DB technologies'!$N$196:$Y$208,12,FALSE)/100*AC398)-AD398-AE398,0))))))</f>
        <v/>
      </c>
      <c r="AY398" s="182" t="str">
        <f>IF(D398="","",IF(AS398=2,0,IF(AS398=1,'Calc (ex-animal)'!$N$78*'Calc (ex-housing, ex-storage)'!F398/100/VLOOKUP($C$397,'DB animal categories'!$C$147:$AC$156,27,FALSE)*AJ398+U398+V398+W398,IF(AS398=5,('Calc (ex-animal)'!$N$78+'Calc (ex-animal)'!$O$78)*'Calc (ex-housing, ex-storage)'!F398/100/VLOOKUP($C$397,'DB animal categories'!$C$147:$AC$156,27,FALSE)*AJ398+U398+V398+W398,IF(AS398=3,('Calc (ex-animal)'!$N$78+'Calc (ex-animal)'!$O$78)*'Calc (ex-housing, ex-storage)'!F398/100/VLOOKUP($C$397,'DB animal categories'!$C$147:$AC$156,27,FALSE)*AJ398+U398+V398+W398,IF(AS398=4,('Calc (ex-animal)'!$N$78+'Calc (ex-animal)'!$O$78)*'Calc (ex-housing, ex-storage)'!F398/100*VLOOKUP(D398,'DB technologies'!$N$196:$Y$208,12,FALSE)/100/VLOOKUP($C$397,'DB animal categories'!$C$147:$AC$156,27,FALSE)*AJ398+U398+V398+W398,0))))))</f>
        <v/>
      </c>
      <c r="AZ398" s="182" t="str">
        <f>IF(D398="","",IF(AS398=2,0,IF(AS398=1,'Calc (ex-animal)'!$Q$78*'Calc (ex-housing, ex-storage)'!F398/100/VLOOKUP($C$397,'DB animal categories'!$C$147:$AC$156,27,FALSE)*AJ398+Y398+Z398+AA398,IF(AS398=5,('Calc (ex-animal)'!$Q$78+'Calc (ex-animal)'!$R$78)*'Calc (ex-housing, ex-storage)'!F398/100/VLOOKUP($C$397,'DB animal categories'!$C$147:$AC$156,27,FALSE)*AJ398+Y398+Z398+AA398,IF(AS398=3,('Calc (ex-animal)'!$Q$78+'Calc (ex-animal)'!$R$78)*'Calc (ex-housing, ex-storage)'!F398/100/VLOOKUP($C$397,'DB animal categories'!$C$147:$AC$156,27,FALSE)*AJ398+Y398+Z398+AA398,IF(AS398=4,('Calc (ex-animal)'!$Q$78+'Calc (ex-animal)'!$R$78)*'Calc (ex-housing, ex-storage)'!F398/100*VLOOKUP(D398,'DB technologies'!$N$196:$Y$208,12,FALSE)/100/VLOOKUP($C$397,'DB animal categories'!$C$147:$AC$156,27,FALSE)*AJ398+Y398+Z398+AA398,0))))))</f>
        <v/>
      </c>
      <c r="BA398" s="506"/>
      <c r="BB398" s="506"/>
      <c r="BC398" s="506"/>
    </row>
    <row r="399" spans="1:55" x14ac:dyDescent="0.2">
      <c r="A399" s="695"/>
      <c r="B399" s="695"/>
      <c r="C399" s="255"/>
      <c r="D399" s="1357"/>
      <c r="E399" s="1399"/>
      <c r="F399" s="480" t="str">
        <f>IF('Calc (ex-animal)'!$F$78=1,"",IF($C$397=0,"",IF(D399="","",E399/'Calc (ex-animal)'!$E$78*100)))</f>
        <v/>
      </c>
      <c r="G399" s="485" t="str">
        <f>IF($C$397=0,"",IF('Calc (ex-animal)'!$F$78=1,"",IF(D399="","",SUM(H399:O399))))</f>
        <v/>
      </c>
      <c r="H399" s="423" t="str">
        <f>IF('Calc (ex-animal)'!$F$78=1,"",IF(D399="","",(((VLOOKUP($C$397,'Calc (ex-animal)'!$D$78:$Y$82,6,FALSE)-VLOOKUP($C$397,'Calc (ex-animal)'!$D$78:$Y$82,17,FALSE))*F399/100))*VLOOKUP($C$397,'Calc (ex-animal)'!$D$78:$Y$82,7,FALSE)/100*(1-VLOOKUP(D399,'DB technologies'!$N$196:$Y$208,9,FALSE)/100)))</f>
        <v/>
      </c>
      <c r="I399" s="423" t="str">
        <f>IF(D399="","",((VLOOKUP(D399,'DB technologies'!$N$196:$Y$208,2,FALSE)*VLOOKUP($C$397,'DB animal categories'!$C$147:$AC$156,27,FALSE)*E399/1000)/VLOOKUP($C$397,'DB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'!$S$6/100*(1-VLOOKUP(D399,'DB technologies'!$N$196:$Y$208,9,FALSE)/100)))</f>
        <v/>
      </c>
      <c r="J399" s="434" t="str">
        <f>IF(D399="","",((VLOOKUP(D399,'DB technologies'!$N$196:$Y$208,3,FALSE)*VLOOKUP($C$397,'DB animal categories'!$C$147:$AC$156,27,FALSE)*E399/1000)/VLOOKUP($C$397,'DB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'!$S$7/100*(1-VLOOKUP(D399,'DB technologies'!$N$196:$Y$208,9,FALSE)/100)))</f>
        <v/>
      </c>
      <c r="K399" s="434" t="str">
        <f>IF(D399="","",((VLOOKUP(D399,'DB technologies'!$N$196:$Y$208,4,FALSE)*E399*'DB additional information '!$S$8/100*(1-VLOOKUP(D399,'DB technologies'!$N$196:$Y$208,9,FALSE)/100))/VLOOKUP($C$397,'DB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L399" s="423" t="str">
        <f>IF('Calc (ex-animal)'!$F$78=1,"",IF(D399="","",(((VLOOKUP($C$397,'Calc (ex-animal)'!$D$78:$Y$82,6,FALSE)-VLOOKUP($C$397,'Calc (ex-animal)'!$D$78:$Y$82,17,FALSE))*F399/100))*(1-VLOOKUP($C$397,'Calc (ex-animal)'!$D$78:$Y$82,7,FALSE)/100)*(1-VLOOKUP(D399,'DB technologies'!$N$196:$V$208,8,FALSE)/100)))</f>
        <v/>
      </c>
      <c r="M399" s="434" t="str">
        <f>IF(D399="","",((VLOOKUP(D399,'DB technologies'!$N$196:$Y$208,2,FALSE)*VLOOKUP($C$397,'DB animal categories'!$C$147:$AC$156,27,FALSE)*E399/1000)/VLOOKUP($C$397,'DB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'!$S$6/100)*(1-VLOOKUP(D399,'DB technologies'!$N$196:$Y$208,9,FALSE)/100))</f>
        <v/>
      </c>
      <c r="N399" s="434" t="str">
        <f>IF(D399="","",((VLOOKUP(D399,'DB technologies'!$N$196:$Y$208,3,FALSE)*VLOOKUP($C$397,'DB animal categories'!$C$147:$AC$156,27,FALSE)*E399/1000)/VLOOKUP($C$397,'DB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'!$S$7/100)*(1-VLOOKUP(D399,'DB technologies'!$N$196:$Y$208,9,FALSE)/100))</f>
        <v/>
      </c>
      <c r="O399" s="423" t="str">
        <f>IF(D399="","",((VLOOKUP(D399,'DB technologies'!$N$196:$Y$208,4,FALSE)*E399*(1-'DB additional information '!$S$8/100)*(1-VLOOKUP(D399,'DB technologies'!$N$196:$Y$208,8,FALSE)/100))/VLOOKUP($C$397,'DB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P399" s="438" t="str">
        <f>IF(G399=0,0,IF(E399="","",IF(F399="","",IF($C$397=0,"",IF(D399="","",SUM(H399:K399)/G399*100)))))</f>
        <v/>
      </c>
      <c r="Q399" s="416" t="str">
        <f>IF(D399="","",(VLOOKUP(D399,'DB technologies'!$N$196:$Y$208,2,FALSE)*'DB additional information '!$S$6/100*'DB additional information '!$T$6*VLOOKUP($C$397,'DB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R399" s="416" t="str">
        <f>IF(D399="","",(VLOOKUP(D399,'DB technologies'!$N$196:$Y$208,3,FALSE)*'DB additional information '!$S$7/100*'DB additional information '!$T$7*VLOOKUP($C$397,'DB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S399" s="491" t="str">
        <f>IF(D399="","",(VLOOKUP(D399,'DB technologies'!$N$196:$Y$208,4,FALSE)*('DB additional information '!$S$8/100*'DB additional information '!$T$8*E399/1000/1000)))</f>
        <v/>
      </c>
      <c r="T399" s="264" t="str">
        <f>IF($C$397=0,"",IF('Calc (ex-animal)'!$F$78=1,"",IF(D399="","",((VLOOKUP($C$397,'Calc (ex-animal)'!$D$78:$Y$82,10,FALSE)-VLOOKUP($C$397,'Calc (ex-animal)'!$D$78:$Y$82,18,FALSE))*F399/100+Q399+R399+S399)-AC399-AD399-AE399)))</f>
        <v/>
      </c>
      <c r="U399" s="422" t="str">
        <f>IF(D399="","",(VLOOKUP(D399,'DB technologies'!$N$196:$Y$208,2,FALSE)*'DB additional information '!$S$6/100*'DB additional information '!$U$6*VLOOKUP($C$397,'DB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V399" s="418" t="str">
        <f>IF(D399="","",(VLOOKUP(D399,'DB technologies'!$N$196:$Y$208,3,FALSE)*'DB additional information '!$S$7/100*'DB additional information '!$U$7*VLOOKUP($C$397,'DB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W399" s="417" t="str">
        <f>IF(D399="","",(VLOOKUP(D399,'DB technologies'!$N$196:$Y$208,4,FALSE)*('DB additional information '!$S$8/100*'DB additional information '!$U$8*E399/1000/1000)))</f>
        <v/>
      </c>
      <c r="X399" s="261" t="str">
        <f>IF($C$397=0,"",IF('Calc (ex-animal)'!$F$78=1,"",IF(D399="","",((VLOOKUP($C$397,'Calc (ex-animal)'!$D$78:$Y$82,13,FALSE)-VLOOKUP($C$397,'Calc (ex-animal)'!$D$78:$Y$82,19,FALSE))*F399/100+U399+V399+W399))))</f>
        <v/>
      </c>
      <c r="Y399" s="418" t="str">
        <f>IF(D399="","",(VLOOKUP(D399,'DB technologies'!$N$196:$Y$208,2,FALSE)*'DB additional information '!$S$6/100*'DB additional information '!$V$6*VLOOKUP($C$397,'DB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Z399" s="418" t="str">
        <f>IF(D399="","",(VLOOKUP(D399,'DB technologies'!$N$196:$Y$208,3,FALSE)*'DB additional information '!$S$7/100*'DB additional information '!$V$7*VLOOKUP($C$397,'DB animal categories'!$C$147:$AC$156,27,FALSE)*E399/1000/1000)/VLOOKUP($C$397,'DB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AA399" s="418" t="str">
        <f>IF(D399="","",(VLOOKUP(D399,'DB technologies'!$N$196:$Y$208,4,FALSE)*('DB additional information '!$S$8/100*'DB additional information '!$V$8*E399/1000/1000)))</f>
        <v/>
      </c>
      <c r="AB399" s="261" t="str">
        <f>IF($C$397=0,"",IF('Calc (ex-animal)'!$F$78=1,"",IF(D399="","",((VLOOKUP($C$397,'Calc (ex-animal)'!$D$78:$Y$82,16,FALSE)-VLOOKUP($C$397,'Calc (ex-animal)'!$D$78:$Y$82,20,FALSE))*F399/100+Y399+Z399+AA399))))</f>
        <v/>
      </c>
      <c r="AC399" s="261" t="str">
        <f>IF($C$397=0,"",IF('Calc (ex-animal)'!$F$78=1,"",IF(D399="","",VLOOKUP($C$397,'Calc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categories'!$C$147:$AC$156,26,FALSE)/24)*F399/100*VLOOKUP(D399,'DB technologies'!$N$196:$R$208,5,FALSE)/100)))</f>
        <v/>
      </c>
      <c r="AD399" s="261" t="str">
        <f>IF($C$397=0,"",IF('Calc (ex-animal)'!$F$78=1,"",IF(D399="","",VLOOKUP($C$397,'Calc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categories'!$C$147:$AC$156,26,FALSE)/24)*F399/100*VLOOKUP(D399,'DB technologies'!$N$196:$Y$208,6,FALSE)/100)))</f>
        <v/>
      </c>
      <c r="AE399" s="262" t="str">
        <f>IF($C$397=0,"",IF('Calc (ex-animal)'!$F$78=1,"",IF(D399="","",VLOOKUP($C$397,'Calc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categories'!$C$147:$AC$156,26,FALSE)/24)*F399/100*VLOOKUP(D399,'DB technologies'!$N$196:$Y$208,7,FALSE)/100)))</f>
        <v/>
      </c>
      <c r="AI399" s="181" t="str">
        <f>IF(D399="","",VLOOKUP(D399,'DB technologies'!$N$196:$Y$208,10,FALSE))</f>
        <v/>
      </c>
      <c r="AJ399" s="449" t="e">
        <f>VLOOKUP($C$397,'DB animal categories'!$C$147:$AN$156,27,FALSE)-VLOOKUP($C$397,'DB animal categories'!$C$147:$AN$156,26,FALSE)*VLOOKUP($C$397,'DB animal categories'!$C$147:$AN$156,25,FALSE)/24</f>
        <v>#N/A</v>
      </c>
      <c r="AK399" s="442" t="str">
        <f>IF(AI399="","",AL399+AM399)</f>
        <v/>
      </c>
      <c r="AL399" s="442" t="str">
        <f>IF(D399="","",IF(AI399=2,(('Calc (ex-animal)'!$G$78*'DB additional information '!$K$17/100*(1-VLOOKUP(D399,'DB technologies'!$N$196:$Y$208,9,FALSE)/100)*'Calc (ex-housing, ex-storage)'!F399/100+'Calc (ex-animal)'!$H$78*'DB additional information '!$L$17/100*(1-VLOOKUP(D399,'DB technologies'!$N$196:$Y$208,9,FALSE)/100)*'Calc (ex-housing, ex-storage)'!F399/100))/VLOOKUP($C$397,'DB animal categories'!$C$147:$AC$156,27,FALSE)*AJ399+I399+J399+K399,IF(AI399=1,('Calc (ex-animal)'!$H$78*'DB additional information '!$L$17/100*(1-VLOOKUP(D399,'DB technologies'!$N$196:$Y$208,9,FALSE)/100)*'Calc (ex-housing, ex-storage)'!F399/100)/VLOOKUP($C$397,'DB animal categories'!$C$147:$AC$156,27,FALSE)*AJ399,IF(AI399=4,('Calc (ex-animal)'!$G$78*'DB additional information '!$K$17/100+'Calc (ex-animal)'!$H$78*'DB additional information '!$L$17/100)*(1-VLOOKUP(D399,'DB technologies'!$N$196:$Y$208,9,FALSE)/100)*'Calc (ex-housing, ex-storage)'!F399/100*VLOOKUP(D399,'DB technologies'!$N$196:$Y$208,11,FALSE)/100/VLOOKUP($C$397,'DB animal categories'!$C$147:$AC$156,27,FALSE)*AJ399,0))))</f>
        <v/>
      </c>
      <c r="AM399" s="442" t="str">
        <f>IF(D399="","",IF(AI399=2,(('Calc (ex-animal)'!$G$78*(1-'DB additional information '!$K$17/100)*(1-VLOOKUP(D399,'DB technologies'!$N$196:$Y$208,8,FALSE)/100)*'Calc (ex-housing, ex-storage)'!F399/100+'Calc (ex-animal)'!$H$78*(1-'DB additional information '!$L$17/100)*(1-VLOOKUP(D399,'DB technologies'!$N$196:$Y$208,8,FALSE)/100)*'Calc (ex-housing, ex-storage)'!F399/100))/VLOOKUP($C$397,'DB animal categories'!$C$147:$AC$156,27,FALSE)*AJ399+M399+N399+O399,IF(AI399=1,('Calc (ex-animal)'!$H$78*(1-'DB additional information '!$L$17/100)*(1-VLOOKUP(D399,'DB technologies'!$N$196:$Y$208,8,FALSE)/100)*'Calc (ex-housing, ex-storage)'!F399/100)/VLOOKUP($C$397,'DB animal categories'!$C$147:$AC$156,27,FALSE)*AJ399,IF(AI399=4,('Calc (ex-animal)'!$G$78*(1-'DB additional information '!$K$17/100)+'Calc (ex-animal)'!$H$78*(1-'DB additional information '!$L$17/100))*(1-VLOOKUP(D399,'DB technologies'!$N$196:$Y$208,8,FALSE)/100)*'Calc (ex-housing, ex-storage)'!F399/100*VLOOKUP(D399,'DB technologies'!$N$196:$Y$208,11,FALSE)/100/VLOOKUP($C$397,'DB animal categories'!$C$147:$AC$156,27,FALSE)*AJ399,0))))</f>
        <v/>
      </c>
      <c r="AN399" s="442" t="str">
        <f>IF(AI399="","",IF(AL399=0,0,AL399/AK399*100))</f>
        <v/>
      </c>
      <c r="AO399" s="182" t="str">
        <f>IF(D399="","",IF(AI399=2,(('Calc (ex-animal)'!$L$78*'Calc (ex-housing, ex-storage)'!F399/100+'Calc (ex-animal)'!$K$78*'Calc (ex-housing, ex-storage)'!F399/100))/VLOOKUP($C$397,'DB animal categories'!$C$147:$AC$156,27,FALSE)*AJ399+Q399+R399+S399-AC399,IF(AI399=1,('Calc (ex-animal)'!$L$78*'Calc (ex-housing, ex-storage)'!F399/100)/VLOOKUP($C$397,'DB animal categories'!$C$147:$AC$156,27,FALSE)*AJ399-'Calc (ex-housing, ex-storage)'!AC399,IF(AI399=4,('Calc (ex-animal)'!$L$78+'Calc (ex-animal)'!$K$78)*'Calc (ex-housing, ex-storage)'!F399/100*VLOOKUP(D399,'DB technologies'!$N$196:$Y$208,11,FALSE)/100/VLOOKUP($C$397,'DB animal categories'!$C$147:$AC$156,27,FALSE)*AJ399-AC399*VLOOKUP(D399,'DB technologies'!$N$196:$Y$208,11,FALSE)/100,0))))</f>
        <v/>
      </c>
      <c r="AP399" s="182" t="str">
        <f>IF(D399="","",IF(AO399&lt;-0.01,0,IF(AI399=2,(('Calc (ex-animal)'!$L$78*'Calc (ex-housing, ex-storage)'!F399/100+'Calc (ex-animal)'!$K$78*'Calc (ex-housing, ex-storage)'!F399/100))/VLOOKUP($C$397,'DB animal categories'!$C$147:$AC$156,27,FALSE)*AJ399+Q399+R399+S399-AC399,IF(AI399=1,('Calc (ex-animal)'!$L$78*'Calc (ex-housing, ex-storage)'!F399/100)/VLOOKUP($C$397,'DB animal categories'!$C$147:$AC$156,27,FALSE)*AJ399-'Calc (ex-housing, ex-storage)'!AC399,IF(AI399=4,('Calc (ex-animal)'!$L$78+'Calc (ex-animal)'!$K$78)*'Calc (ex-housing, ex-storage)'!F399/100*VLOOKUP(D399,'DB technologies'!$N$196:$Y$208,11,FALSE)/100/VLOOKUP($C$397,'DB animal categories'!$C$147:$AC$156,27,FALSE)*AJ399-AC399*VLOOKUP(D399,'DB technologies'!$N$196:$Y$208,11,FALSE)/100,0)))))</f>
        <v/>
      </c>
      <c r="AQ399" s="182" t="str">
        <f>IF(D399="","",IF(AI399=2,('Calc (ex-animal)'!$O$78*'Calc (ex-housing, ex-storage)'!F399/100+'Calc (ex-animal)'!$N$78*'Calc (ex-housing, ex-storage)'!F399/100)/VLOOKUP($C$397,'DB animal categories'!$C$147:$AC$156,27,FALSE)*AJ399+U399+V399+W399,IF(AI399=1,'Calc (ex-animal)'!$O$78*'Calc (ex-housing, ex-storage)'!F399/100/VLOOKUP($C$397,'DB animal categories'!$C$147:$AC$156,27,FALSE)*AJ399,IF(AI399=4,('Calc (ex-animal)'!$O$78+'Calc (ex-animal)'!$N$78)*'Calc (ex-housing, ex-storage)'!F399/100*VLOOKUP(D399,'DB technologies'!$N$196:$Y$208,11,FALSE)/100/VLOOKUP($C$397,'DB animal categories'!$C$147:$AC$156,27,FALSE)*AJ399,0))))</f>
        <v/>
      </c>
      <c r="AR399" s="182" t="str">
        <f>IF(D399="","",IF(AI399=2,('Calc (ex-animal)'!$R$78*'Calc (ex-housing, ex-storage)'!F399/100+'Calc (ex-animal)'!$Q$78*'Calc (ex-housing, ex-storage)'!F399/100)/VLOOKUP($C$397,'DB animal categories'!$C$147:$AC$156,27,FALSE)*AJ399+Y399+Z399+AA399,IF(AI399=1,'Calc (ex-animal)'!$R$78*'Calc (ex-housing, ex-storage)'!F399/100/VLOOKUP($C$397,'DB animal categories'!$C$147:$AC$156,27,FALSE)*AJ399,IF(AI399=4,('Calc (ex-animal)'!$R$78+'Calc (ex-animal)'!$Q$78)*'Calc (ex-housing, ex-storage)'!F399/100*VLOOKUP(D399,'DB technologies'!$N$196:$Y$208,11,FALSE)/100/VLOOKUP($C$397,'DB animal categories'!$C$147:$AC$156,27,FALSE)*AJ399,0))))</f>
        <v/>
      </c>
      <c r="AS399" s="181" t="str">
        <f>IF(D399="","",VLOOKUP(D399,'DB technologies'!$N$196:$Y$208,10,FALSE))</f>
        <v/>
      </c>
      <c r="AT399" s="442" t="str">
        <f>IF(AS399="","",AU399+AV399)</f>
        <v/>
      </c>
      <c r="AU399" s="442" t="str">
        <f>IF(D399="","",IF(AS399=2,0,IF(AS399=1,'Calc (ex-animal)'!$G$78*'DB additional information '!$K$17/100*(1-VLOOKUP(D399,'DB technologies'!$N$196:$Y$208,8,FALSE)/100)*'Calc (ex-housing, ex-storage)'!F399/100/VLOOKUP($C$397,'DB animal categories'!$C$147:$AC$156,27,FALSE)*AJ399+I399+J399+K399,IF(AS399=5,(('Calc (ex-animal)'!$G$78*'DB additional information '!$K$17/100+'Calc (ex-animal)'!$H$78*'DB additional information '!$L$17/100))*(1-VLOOKUP(D399,'DB technologies'!$N$196:$Y$208,9,FALSE)/100)*'Calc (ex-housing, ex-storage)'!F399/100/VLOOKUP($C$397,'DB animal categories'!$C$147:$AC$156,27,FALSE)*AJ399+I399+J399+K399,IF(AS399=3,('Calc (ex-animal)'!$G$78*'DB additional information '!$K$17/100+'Calc (ex-animal)'!$H$78*'DB additional information '!$L$17/100)*(1-VLOOKUP(D399,'DB technologies'!$N$196:$Y$208,9,FALSE)/100)*'Calc (ex-housing, ex-storage)'!F399/100/VLOOKUP($C$397,'DB animal categories'!$C$147:$AC$156,27,FALSE)*AJ399+I399+J399+K399,IF(AS399=4,('Calc (ex-animal)'!$G$78*'DB additional information '!$K$17/100+'Calc (ex-animal)'!$H$78*'DB additional information '!$L$17/100)*(1-VLOOKUP(D399,'DB technologies'!$N$196:$Y$208,9,FALSE)/100)*'Calc (ex-housing, ex-storage)'!F399/100*VLOOKUP(D399,'DB technologies'!$N$196:$Y$208,12,FALSE)/100/VLOOKUP($C$397,'DB animal categories'!$C$147:$AC$156,27,FALSE)*AJ399+I399+J399+K399,0))))))</f>
        <v/>
      </c>
      <c r="AV399" s="442" t="str">
        <f>IF(D399="","",IF(AS399=2,0,IF(AS399=1,'Calc (ex-animal)'!$G$78*(1-'DB additional information '!$K$17/100)*(1-VLOOKUP(D399,'DB technologies'!$N$196:$Y$208,8,FALSE)/100)*'Calc (ex-housing, ex-storage)'!F399/100/VLOOKUP($C$397,'DB animal categories'!$C$147:$AC$156,27,FALSE)*AJ399+M399+N399+O399,IF(AS399=5,('Calc (ex-animal)'!$G$78*(1-'DB additional information '!$K$17/100)+'Calc (ex-animal)'!$H$78*(1-'DB additional information '!$L$17/100))*(1-VLOOKUP(D399,'DB technologies'!$N$196:$Y$208,8,FALSE)/100)*'Calc (ex-housing, ex-storage)'!F399/100/VLOOKUP($C$397,'DB animal categories'!$C$147:$AC$156,27,FALSE)*AJ399+M399+N399+O399,IF(AS399=3,('Calc (ex-animal)'!$G$78*(1-'DB additional information '!$K$17/100)+'Calc (ex-animal)'!$H$78*(1-'DB additional information '!$L$17/100))*(1-VLOOKUP(D399,'DB technologies'!$N$196:$Y$208,8,FALSE)/100)*'Calc (ex-housing, ex-storage)'!F399/100/VLOOKUP($C$397,'DB animal categories'!$C$147:$AC$156,27,FALSE)*AJ399+M399+N399+O399,IF(AS399=4,('Calc (ex-animal)'!$G$78*(1-'DB additional information '!$K$17/100)+'Calc (ex-animal)'!$H$78*(1-'DB additional information '!$L$17/100))*(1-VLOOKUP(D399,'DB technologies'!$N$196:$Y$208,8,FALSE)/100)*'Calc (ex-housing, ex-storage)'!F399/100*VLOOKUP(D399,'DB technologies'!$N$196:$Y$208,12,FALSE)/100/VLOOKUP($C$397,'DB animal categories'!$C$147:$AC$156,27,FALSE)*AJ399+M399+N399+O399,0))))))</f>
        <v/>
      </c>
      <c r="AW399" s="442" t="str">
        <f>IF(AS399="","",IF(AU399=0,0,AU399/AT399*100))</f>
        <v/>
      </c>
      <c r="AX399" s="182" t="str">
        <f>IF(D399="","",IF(AS399=2,0,IF(AS399=1,'Calc (ex-animal)'!$K$78*'Calc (ex-housing, ex-storage)'!F399/100/VLOOKUP($C$397,'DB animal categories'!$C$147:$AC$156,27,FALSE)*AJ399+Q399+R399+S399,IF(AS399=5,('Calc (ex-animal)'!$K$78+'Calc (ex-animal)'!$L$78)*'Calc (ex-housing, ex-storage)'!F399/100/VLOOKUP($C$397,'DB animal categories'!$C$147:$AC$156,27,FALSE)*AJ399+Q399+R399+S399-'Calc (ex-housing, ex-storage)'!AC399,IF(AS399=3,('Calc (ex-animal)'!$K$78+'Calc (ex-animal)'!$L$78)*'Calc (ex-housing, ex-storage)'!F399/100/VLOOKUP($C$397,'DB animal categories'!$C$147:$AC$156,27,FALSE)*AJ399+Q399+R399+S399-'Calc (ex-housing, ex-storage)'!AC399-AD399-AE399,IF(AI399=4,('Calc (ex-animal)'!$K$78+'Calc (ex-animal)'!$L$78)*'Calc (ex-housing, ex-storage)'!F399/100*VLOOKUP(D399,'DB technologies'!$N$196:$Y$208,12,FALSE)/100/VLOOKUP($C$397,'DB animal categories'!$C$147:$AC$156,27,FALSE)*AJ399+Q399+R399+S399-(VLOOKUP(D399,'DB technologies'!$N$196:$Y$208,12,FALSE)/100*AC399)-AD399-AE399,0))))))</f>
        <v/>
      </c>
      <c r="AY399" s="182" t="str">
        <f>IF(D399="","",IF(AS399=2,0,IF(AS399=1,'Calc (ex-animal)'!$N$78*'Calc (ex-housing, ex-storage)'!F399/100/VLOOKUP($C$397,'DB animal categories'!$C$147:$AC$156,27,FALSE)*AJ399+U399+V399+W399,IF(AS399=5,('Calc (ex-animal)'!$N$78+'Calc (ex-animal)'!$O$78)*'Calc (ex-housing, ex-storage)'!F399/100/VLOOKUP($C$397,'DB animal categories'!$C$147:$AC$156,27,FALSE)*AJ399+U399+V399+W399,IF(AS399=3,('Calc (ex-animal)'!$N$78+'Calc (ex-animal)'!$O$78)*'Calc (ex-housing, ex-storage)'!F399/100/VLOOKUP($C$397,'DB animal categories'!$C$147:$AC$156,27,FALSE)*AJ399+U399+V399+W399,IF(AS399=4,('Calc (ex-animal)'!$N$78+'Calc (ex-animal)'!$O$78)*'Calc (ex-housing, ex-storage)'!F399/100*VLOOKUP(D399,'DB technologies'!$N$196:$Y$208,12,FALSE)/100/VLOOKUP($C$397,'DB animal categories'!$C$147:$AC$156,27,FALSE)*AJ399+U399+V399+W399,0))))))</f>
        <v/>
      </c>
      <c r="AZ399" s="182" t="str">
        <f>IF(D399="","",IF(AS399=2,0,IF(AS399=1,'Calc (ex-animal)'!$Q$78*'Calc (ex-housing, ex-storage)'!F399/100/VLOOKUP($C$397,'DB animal categories'!$C$147:$AC$156,27,FALSE)*AJ399+Y399+Z399+AA399,IF(AS399=5,('Calc (ex-animal)'!$Q$78+'Calc (ex-animal)'!$R$78)*'Calc (ex-housing, ex-storage)'!F399/100/VLOOKUP($C$397,'DB animal categories'!$C$147:$AC$156,27,FALSE)*AJ399+Y399+Z399+AA399,IF(AS399=3,('Calc (ex-animal)'!$Q$78+'Calc (ex-animal)'!$R$78)*'Calc (ex-housing, ex-storage)'!F399/100/VLOOKUP($C$397,'DB animal categories'!$C$147:$AC$156,27,FALSE)*AJ399+Y399+Z399+AA399,IF(AS399=4,('Calc (ex-animal)'!$Q$78+'Calc (ex-animal)'!$R$78)*'Calc (ex-housing, ex-storage)'!F399/100*VLOOKUP(D399,'DB technologies'!$N$196:$Y$208,12,FALSE)/100/VLOOKUP($C$397,'DB animal categories'!$C$147:$AC$156,27,FALSE)*AJ399+Y399+Z399+AA399,0))))))</f>
        <v/>
      </c>
      <c r="BA399" s="506"/>
      <c r="BB399" s="506"/>
      <c r="BC399" s="506"/>
    </row>
    <row r="400" spans="1:55" x14ac:dyDescent="0.2">
      <c r="A400" s="695"/>
      <c r="B400" s="695"/>
      <c r="C400" s="255"/>
      <c r="D400" s="1357"/>
      <c r="E400" s="1399"/>
      <c r="F400" s="480" t="str">
        <f>IF('Calc (ex-animal)'!$F$78=1,"",IF($C$397=0,"",IF(D400="","",E400/'Calc (ex-animal)'!$E$78*100)))</f>
        <v/>
      </c>
      <c r="G400" s="485" t="str">
        <f>IF($C$397=0,"",IF('Calc (ex-animal)'!$F$78=1,"",IF(D400="","",SUM(H400:O400))))</f>
        <v/>
      </c>
      <c r="H400" s="423" t="str">
        <f>IF('Calc (ex-animal)'!$F$78=1,"",IF(D400="","",(((VLOOKUP($C$397,'Calc (ex-animal)'!$D$78:$Y$82,6,FALSE)-VLOOKUP($C$397,'Calc (ex-animal)'!$D$78:$Y$82,17,FALSE))*F400/100))*VLOOKUP($C$397,'Calc (ex-animal)'!$D$78:$Y$82,7,FALSE)/100*(1-VLOOKUP(D400,'DB technologies'!$N$196:$Y$208,9,FALSE)/100)))</f>
        <v/>
      </c>
      <c r="I400" s="423" t="str">
        <f>IF(D400="","",((VLOOKUP(D400,'DB technologies'!$N$196:$Y$208,2,FALSE)*VLOOKUP($C$397,'DB animal categories'!$C$147:$AC$156,27,FALSE)*E400/1000)/VLOOKUP($C$397,'DB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'!$S$6/100*(1-VLOOKUP(D400,'DB technologies'!$N$196:$Y$208,9,FALSE)/100)))</f>
        <v/>
      </c>
      <c r="J400" s="434" t="str">
        <f>IF(D400="","",((VLOOKUP(D400,'DB technologies'!$N$196:$Y$208,3,FALSE)*VLOOKUP($C$397,'DB animal categories'!$C$147:$AC$156,27,FALSE)*E400/1000)/VLOOKUP($C$397,'DB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'!$S$7/100*(1-VLOOKUP(D400,'DB technologies'!$N$196:$Y$208,9,FALSE)/100)))</f>
        <v/>
      </c>
      <c r="K400" s="434" t="str">
        <f>IF(D400="","",((VLOOKUP(D400,'DB technologies'!$N$196:$Y$208,4,FALSE)*E400*'DB additional information '!$S$8/100*(1-VLOOKUP(D400,'DB technologies'!$N$196:$Y$208,9,FALSE)/100))/VLOOKUP($C$397,'DB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L400" s="423" t="str">
        <f>IF('Calc (ex-animal)'!$F$78=1,"",IF(D400="","",(((VLOOKUP($C$397,'Calc (ex-animal)'!$D$78:$Y$82,6,FALSE)-VLOOKUP($C$397,'Calc (ex-animal)'!$D$78:$Y$82,17,FALSE))*F400/100))*(1-VLOOKUP($C$397,'Calc (ex-animal)'!$D$78:$Y$82,7,FALSE)/100)*(1-VLOOKUP(D400,'DB technologies'!$N$196:$V$208,8,FALSE)/100)))</f>
        <v/>
      </c>
      <c r="M400" s="434" t="str">
        <f>IF(D400="","",((VLOOKUP(D400,'DB technologies'!$N$196:$Y$208,2,FALSE)*VLOOKUP($C$397,'DB animal categories'!$C$147:$AC$156,27,FALSE)*E400/1000)/VLOOKUP($C$397,'DB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'!$S$6/100)*(1-VLOOKUP(D400,'DB technologies'!$N$196:$Y$208,9,FALSE)/100))</f>
        <v/>
      </c>
      <c r="N400" s="434" t="str">
        <f>IF(D400="","",((VLOOKUP(D400,'DB technologies'!$N$196:$Y$208,3,FALSE)*VLOOKUP($C$397,'DB animal categories'!$C$147:$AC$156,27,FALSE)*E400/1000)/VLOOKUP($C$397,'DB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'!$S$7/100)*(1-VLOOKUP(D400,'DB technologies'!$N$196:$Y$208,9,FALSE)/100))</f>
        <v/>
      </c>
      <c r="O400" s="423" t="str">
        <f>IF(D400="","",((VLOOKUP(D400,'DB technologies'!$N$196:$Y$208,4,FALSE)*E400*(1-'DB additional information '!$S$8/100)*(1-VLOOKUP(D400,'DB technologies'!$N$196:$Y$208,8,FALSE)/100))/VLOOKUP($C$397,'DB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P400" s="438" t="str">
        <f>IF(G400=0,0,IF(E400="","",IF(F400="","",IF($C$397=0,"",IF(D400="","",SUM(H400:K400)/G400*100)))))</f>
        <v/>
      </c>
      <c r="Q400" s="416" t="str">
        <f>IF(D400="","",(VLOOKUP(D400,'DB technologies'!$N$196:$Y$208,2,FALSE)*'DB additional information '!$S$6/100*'DB additional information '!$T$6*VLOOKUP($C$397,'DB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R400" s="416" t="str">
        <f>IF(D400="","",(VLOOKUP(D400,'DB technologies'!$N$196:$Y$208,3,FALSE)*'DB additional information '!$S$7/100*'DB additional information '!$T$7*VLOOKUP($C$397,'DB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S400" s="491" t="str">
        <f>IF(D400="","",(VLOOKUP(D400,'DB technologies'!$N$196:$Y$208,4,FALSE)*('DB additional information '!$S$8/100*'DB additional information '!$T$8*E400/1000/1000)))</f>
        <v/>
      </c>
      <c r="T400" s="264" t="str">
        <f>IF($C$397=0,"",IF('Calc (ex-animal)'!$F$78=1,"",IF(D400="","",((VLOOKUP($C$397,'Calc (ex-animal)'!$D$78:$Y$82,10,FALSE)-VLOOKUP($C$397,'Calc (ex-animal)'!$D$78:$Y$82,18,FALSE))*F400/100+Q400+R400+S400)-AC400-AD400-AE400)))</f>
        <v/>
      </c>
      <c r="U400" s="422" t="str">
        <f>IF(D400="","",(VLOOKUP(D400,'DB technologies'!$N$196:$Y$208,2,FALSE)*'DB additional information '!$S$6/100*'DB additional information '!$U$6*VLOOKUP($C$397,'DB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V400" s="418" t="str">
        <f>IF(D400="","",(VLOOKUP(D400,'DB technologies'!$N$196:$Y$208,3,FALSE)*'DB additional information '!$S$7/100*'DB additional information '!$U$7*VLOOKUP($C$397,'DB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W400" s="417" t="str">
        <f>IF(D400="","",(VLOOKUP(D400,'DB technologies'!$N$196:$Y$208,4,FALSE)*('DB additional information '!$S$8/100*'DB additional information '!$U$8*E400/1000/1000)))</f>
        <v/>
      </c>
      <c r="X400" s="261" t="str">
        <f>IF($C$397=0,"",IF('Calc (ex-animal)'!$F$78=1,"",IF(D400="","",((VLOOKUP($C$397,'Calc (ex-animal)'!$D$78:$Y$82,13,FALSE)-VLOOKUP($C$397,'Calc (ex-animal)'!$D$78:$Y$82,19,FALSE))*F400/100+U400+V400+W400))))</f>
        <v/>
      </c>
      <c r="Y400" s="418" t="str">
        <f>IF(D400="","",(VLOOKUP(D400,'DB technologies'!$N$196:$Y$208,2,FALSE)*'DB additional information '!$S$6/100*'DB additional information '!$V$6*VLOOKUP($C$397,'DB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Z400" s="418" t="str">
        <f>IF(D400="","",(VLOOKUP(D400,'DB technologies'!$N$196:$Y$208,3,FALSE)*'DB additional information '!$S$7/100*'DB additional information '!$V$7*VLOOKUP($C$397,'DB animal categories'!$C$147:$AC$156,27,FALSE)*E400/1000/1000)/VLOOKUP($C$397,'DB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AA400" s="418" t="str">
        <f>IF(D400="","",(VLOOKUP(D400,'DB technologies'!$N$196:$Y$208,4,FALSE)*('DB additional information '!$S$8/100*'DB additional information '!$V$8*E400/1000/1000)))</f>
        <v/>
      </c>
      <c r="AB400" s="261" t="str">
        <f>IF($C$397=0,"",IF('Calc (ex-animal)'!$F$78=1,"",IF(D400="","",((VLOOKUP($C$397,'Calc (ex-animal)'!$D$78:$Y$82,16,FALSE)-VLOOKUP($C$397,'Calc (ex-animal)'!$D$78:$Y$82,20,FALSE))*F400/100+Y400+Z400+AA400))))</f>
        <v/>
      </c>
      <c r="AC400" s="261" t="str">
        <f>IF($C$397=0,"",IF('Calc (ex-animal)'!$F$78=1,"",IF(D400="","",VLOOKUP($C$397,'Calc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categories'!$C$147:$AC$156,26,FALSE)/24)*F400/100*VLOOKUP(D400,'DB technologies'!$N$196:$R$208,5,FALSE)/100)))</f>
        <v/>
      </c>
      <c r="AD400" s="261" t="str">
        <f>IF($C$397=0,"",IF('Calc (ex-animal)'!$F$78=1,"",IF(D400="","",VLOOKUP($C$397,'Calc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categories'!$C$147:$AC$156,26,FALSE)/24)*F400/100*VLOOKUP(D400,'DB technologies'!$N$196:$Y$208,6,FALSE)/100)))</f>
        <v/>
      </c>
      <c r="AE400" s="262" t="str">
        <f>IF($C$397=0,"",IF('Calc (ex-animal)'!$F$78=1,"",IF(D400="","",VLOOKUP($C$397,'Calc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categories'!$C$147:$AC$156,26,FALSE)/24)*F400/100*VLOOKUP(D400,'DB technologies'!$N$196:$Y$208,7,FALSE)/100)))</f>
        <v/>
      </c>
      <c r="AI400" s="181" t="str">
        <f>IF(D400="","",VLOOKUP(D400,'DB technologies'!$N$196:$Y$208,10,FALSE))</f>
        <v/>
      </c>
      <c r="AJ400" s="449" t="e">
        <f>VLOOKUP($C$397,'DB animal categories'!$C$147:$AN$156,27,FALSE)-VLOOKUP($C$397,'DB animal categories'!$C$147:$AN$156,26,FALSE)*VLOOKUP($C$397,'DB animal categories'!$C$147:$AN$156,25,FALSE)/24</f>
        <v>#N/A</v>
      </c>
      <c r="AK400" s="442" t="str">
        <f>IF(AI400="","",AL400+AM400)</f>
        <v/>
      </c>
      <c r="AL400" s="442" t="str">
        <f>IF(D400="","",IF(AI400=2,(('Calc (ex-animal)'!$G$78*'DB additional information '!$K$17/100*(1-VLOOKUP(D400,'DB technologies'!$N$196:$Y$208,9,FALSE)/100)*'Calc (ex-housing, ex-storage)'!F400/100+'Calc (ex-animal)'!$H$78*'DB additional information '!$L$17/100*(1-VLOOKUP(D400,'DB technologies'!$N$196:$Y$208,9,FALSE)/100)*'Calc (ex-housing, ex-storage)'!F400/100))/VLOOKUP($C$397,'DB animal categories'!$C$147:$AC$156,27,FALSE)*AJ400+I400+J400+K400,IF(AI400=1,('Calc (ex-animal)'!$H$78*'DB additional information '!$L$17/100*(1-VLOOKUP(D400,'DB technologies'!$N$196:$Y$208,9,FALSE)/100)*'Calc (ex-housing, ex-storage)'!F400/100)/VLOOKUP($C$397,'DB animal categories'!$C$147:$AC$156,27,FALSE)*AJ400,IF(AI400=4,('Calc (ex-animal)'!$G$78*'DB additional information '!$K$17/100+'Calc (ex-animal)'!$H$78*'DB additional information '!$L$17/100)*(1-VLOOKUP(D400,'DB technologies'!$N$196:$Y$208,9,FALSE)/100)*'Calc (ex-housing, ex-storage)'!F400/100*VLOOKUP(D400,'DB technologies'!$N$196:$Y$208,11,FALSE)/100/VLOOKUP($C$397,'DB animal categories'!$C$147:$AC$156,27,FALSE)*AJ400,0))))</f>
        <v/>
      </c>
      <c r="AM400" s="442" t="str">
        <f>IF(D400="","",IF(AI400=2,(('Calc (ex-animal)'!$G$78*(1-'DB additional information '!$K$17/100)*(1-VLOOKUP(D400,'DB technologies'!$N$196:$Y$208,8,FALSE)/100)*'Calc (ex-housing, ex-storage)'!F400/100+'Calc (ex-animal)'!$H$78*(1-'DB additional information '!$L$17/100)*(1-VLOOKUP(D400,'DB technologies'!$N$196:$Y$208,8,FALSE)/100)*'Calc (ex-housing, ex-storage)'!F400/100))/VLOOKUP($C$397,'DB animal categories'!$C$147:$AC$156,27,FALSE)*AJ400+M400+N400+O400,IF(AI400=1,('Calc (ex-animal)'!$H$78*(1-'DB additional information '!$L$17/100)*(1-VLOOKUP(D400,'DB technologies'!$N$196:$Y$208,8,FALSE)/100)*'Calc (ex-housing, ex-storage)'!F400/100)/VLOOKUP($C$397,'DB animal categories'!$C$147:$AC$156,27,FALSE)*AJ400,IF(AI400=4,('Calc (ex-animal)'!$G$78*(1-'DB additional information '!$K$17/100)+'Calc (ex-animal)'!$H$78*(1-'DB additional information '!$L$17/100))*(1-VLOOKUP(D400,'DB technologies'!$N$196:$Y$208,8,FALSE)/100)*'Calc (ex-housing, ex-storage)'!F400/100*VLOOKUP(D400,'DB technologies'!$N$196:$Y$208,11,FALSE)/100/VLOOKUP($C$397,'DB animal categories'!$C$147:$AC$156,27,FALSE)*AJ400,0))))</f>
        <v/>
      </c>
      <c r="AN400" s="442" t="str">
        <f>IF(AI400="","",IF(AL400=0,0,AL400/AK400*100))</f>
        <v/>
      </c>
      <c r="AO400" s="182" t="str">
        <f>IF(D400="","",IF(AI400=2,(('Calc (ex-animal)'!$L$78*'Calc (ex-housing, ex-storage)'!F400/100+'Calc (ex-animal)'!$K$78*'Calc (ex-housing, ex-storage)'!F400/100))/VLOOKUP($C$397,'DB animal categories'!$C$147:$AC$156,27,FALSE)*AJ400+Q400+R400+S400-AC400,IF(AI400=1,('Calc (ex-animal)'!$L$78*'Calc (ex-housing, ex-storage)'!F400/100)/VLOOKUP($C$397,'DB animal categories'!$C$147:$AC$156,27,FALSE)*AJ400-'Calc (ex-housing, ex-storage)'!AC400,IF(AI400=4,('Calc (ex-animal)'!$L$78+'Calc (ex-animal)'!$K$78)*'Calc (ex-housing, ex-storage)'!F400/100*VLOOKUP(D400,'DB technologies'!$N$196:$Y$208,11,FALSE)/100/VLOOKUP($C$397,'DB animal categories'!$C$147:$AC$156,27,FALSE)*AJ400-AC400*VLOOKUP(D400,'DB technologies'!$N$196:$Y$208,11,FALSE)/100,0))))</f>
        <v/>
      </c>
      <c r="AP400" s="182" t="str">
        <f>IF(D400="","",IF(AO400&lt;-0.01,0,IF(AI400=2,(('Calc (ex-animal)'!$L$78*'Calc (ex-housing, ex-storage)'!F400/100+'Calc (ex-animal)'!$K$78*'Calc (ex-housing, ex-storage)'!F400/100))/VLOOKUP($C$397,'DB animal categories'!$C$147:$AC$156,27,FALSE)*AJ400+Q400+R400+S400-AC400,IF(AI400=1,('Calc (ex-animal)'!$L$78*'Calc (ex-housing, ex-storage)'!F400/100)/VLOOKUP($C$397,'DB animal categories'!$C$147:$AC$156,27,FALSE)*AJ400-'Calc (ex-housing, ex-storage)'!AC400,IF(AI400=4,('Calc (ex-animal)'!$L$78+'Calc (ex-animal)'!$K$78)*'Calc (ex-housing, ex-storage)'!F400/100*VLOOKUP(D400,'DB technologies'!$N$196:$Y$208,11,FALSE)/100/VLOOKUP($C$397,'DB animal categories'!$C$147:$AC$156,27,FALSE)*AJ400-AC400*VLOOKUP(D400,'DB technologies'!$N$196:$Y$208,11,FALSE)/100,0)))))</f>
        <v/>
      </c>
      <c r="AQ400" s="182" t="str">
        <f>IF(D400="","",IF(AI400=2,('Calc (ex-animal)'!$O$78*'Calc (ex-housing, ex-storage)'!F400/100+'Calc (ex-animal)'!$N$78*'Calc (ex-housing, ex-storage)'!F400/100)/VLOOKUP($C$397,'DB animal categories'!$C$147:$AC$156,27,FALSE)*AJ400+U400+V400+W400,IF(AI400=1,'Calc (ex-animal)'!$O$78*'Calc (ex-housing, ex-storage)'!F400/100/VLOOKUP($C$397,'DB animal categories'!$C$147:$AC$156,27,FALSE)*AJ400,IF(AI400=4,('Calc (ex-animal)'!$O$78+'Calc (ex-animal)'!$N$78)*'Calc (ex-housing, ex-storage)'!F400/100*VLOOKUP(D400,'DB technologies'!$N$196:$Y$208,11,FALSE)/100/VLOOKUP($C$397,'DB animal categories'!$C$147:$AC$156,27,FALSE)*AJ400,0))))</f>
        <v/>
      </c>
      <c r="AR400" s="182" t="str">
        <f>IF(D400="","",IF(AI400=2,('Calc (ex-animal)'!$R$78*'Calc (ex-housing, ex-storage)'!F400/100+'Calc (ex-animal)'!$Q$78*'Calc (ex-housing, ex-storage)'!F400/100)/VLOOKUP($C$397,'DB animal categories'!$C$147:$AC$156,27,FALSE)*AJ400+Y400+Z400+AA400,IF(AI400=1,'Calc (ex-animal)'!$R$78*'Calc (ex-housing, ex-storage)'!F400/100/VLOOKUP($C$397,'DB animal categories'!$C$147:$AC$156,27,FALSE)*AJ400,IF(AI400=4,('Calc (ex-animal)'!$R$78+'Calc (ex-animal)'!$Q$78)*'Calc (ex-housing, ex-storage)'!F400/100*VLOOKUP(D400,'DB technologies'!$N$196:$Y$208,11,FALSE)/100/VLOOKUP($C$397,'DB animal categories'!$C$147:$AC$156,27,FALSE)*AJ400,0))))</f>
        <v/>
      </c>
      <c r="AS400" s="181" t="str">
        <f>IF(D400="","",VLOOKUP(D400,'DB technologies'!$N$196:$Y$208,10,FALSE))</f>
        <v/>
      </c>
      <c r="AT400" s="442" t="str">
        <f>IF(AS400="","",AU400+AV400)</f>
        <v/>
      </c>
      <c r="AU400" s="442" t="str">
        <f>IF(D400="","",IF(AS400=2,0,IF(AS400=1,'Calc (ex-animal)'!$G$78*'DB additional information '!$K$17/100*(1-VLOOKUP(D400,'DB technologies'!$N$196:$Y$208,8,FALSE)/100)*'Calc (ex-housing, ex-storage)'!F400/100/VLOOKUP($C$397,'DB animal categories'!$C$147:$AC$156,27,FALSE)*AJ400+I400+J400+K400,IF(AS400=5,(('Calc (ex-animal)'!$G$78*'DB additional information '!$K$17/100+'Calc (ex-animal)'!$H$78*'DB additional information '!$L$17/100))*(1-VLOOKUP(D400,'DB technologies'!$N$196:$Y$208,9,FALSE)/100)*'Calc (ex-housing, ex-storage)'!F400/100/VLOOKUP($C$397,'DB animal categories'!$C$147:$AC$156,27,FALSE)*AJ400+I400+J400+K400,IF(AS400=3,('Calc (ex-animal)'!$G$78*'DB additional information '!$K$17/100+'Calc (ex-animal)'!$H$78*'DB additional information '!$L$17/100)*(1-VLOOKUP(D400,'DB technologies'!$N$196:$Y$208,9,FALSE)/100)*'Calc (ex-housing, ex-storage)'!F400/100/VLOOKUP($C$397,'DB animal categories'!$C$147:$AC$156,27,FALSE)*AJ400+I400+J400+K400,IF(AS400=4,('Calc (ex-animal)'!$G$78*'DB additional information '!$K$17/100+'Calc (ex-animal)'!$H$78*'DB additional information '!$L$17/100)*(1-VLOOKUP(D400,'DB technologies'!$N$196:$Y$208,9,FALSE)/100)*'Calc (ex-housing, ex-storage)'!F400/100*VLOOKUP(D400,'DB technologies'!$N$196:$Y$208,12,FALSE)/100/VLOOKUP($C$397,'DB animal categories'!$C$147:$AC$156,27,FALSE)*AJ400+I400+J400+K400,0))))))</f>
        <v/>
      </c>
      <c r="AV400" s="442" t="str">
        <f>IF(D400="","",IF(AS400=2,0,IF(AS400=1,'Calc (ex-animal)'!$G$78*(1-'DB additional information '!$K$17/100)*(1-VLOOKUP(D400,'DB technologies'!$N$196:$Y$208,8,FALSE)/100)*'Calc (ex-housing, ex-storage)'!F400/100/VLOOKUP($C$397,'DB animal categories'!$C$147:$AC$156,27,FALSE)*AJ400+M400+N400+O400,IF(AS400=5,('Calc (ex-animal)'!$G$78*(1-'DB additional information '!$K$17/100)+'Calc (ex-animal)'!$H$78*(1-'DB additional information '!$L$17/100))*(1-VLOOKUP(D400,'DB technologies'!$N$196:$Y$208,8,FALSE)/100)*'Calc (ex-housing, ex-storage)'!F400/100/VLOOKUP($C$397,'DB animal categories'!$C$147:$AC$156,27,FALSE)*AJ400+M400+N400+O400,IF(AS400=3,('Calc (ex-animal)'!$G$78*(1-'DB additional information '!$K$17/100)+'Calc (ex-animal)'!$H$78*(1-'DB additional information '!$L$17/100))*(1-VLOOKUP(D400,'DB technologies'!$N$196:$Y$208,8,FALSE)/100)*'Calc (ex-housing, ex-storage)'!F400/100/VLOOKUP($C$397,'DB animal categories'!$C$147:$AC$156,27,FALSE)*AJ400+M400+N400+O400,IF(AS400=4,('Calc (ex-animal)'!$G$78*(1-'DB additional information '!$K$17/100)+'Calc (ex-animal)'!$H$78*(1-'DB additional information '!$L$17/100))*(1-VLOOKUP(D400,'DB technologies'!$N$196:$Y$208,8,FALSE)/100)*'Calc (ex-housing, ex-storage)'!F400/100*VLOOKUP(D400,'DB technologies'!$N$196:$Y$208,12,FALSE)/100/VLOOKUP($C$397,'DB animal categories'!$C$147:$AC$156,27,FALSE)*AJ400+M400+N400+O400,0))))))</f>
        <v/>
      </c>
      <c r="AW400" s="442" t="str">
        <f>IF(AS400="","",IF(AU400=0,0,AU400/AT400*100))</f>
        <v/>
      </c>
      <c r="AX400" s="182" t="str">
        <f>IF(D400="","",IF(AS400=2,0,IF(AS400=1,'Calc (ex-animal)'!$K$78*'Calc (ex-housing, ex-storage)'!F400/100/VLOOKUP($C$397,'DB animal categories'!$C$147:$AC$156,27,FALSE)*AJ400+Q400+R400+S400,IF(AS400=5,('Calc (ex-animal)'!$K$78+'Calc (ex-animal)'!$L$78)*'Calc (ex-housing, ex-storage)'!F400/100/VLOOKUP($C$397,'DB animal categories'!$C$147:$AC$156,27,FALSE)*AJ400+Q400+R400+S400-'Calc (ex-housing, ex-storage)'!AC400,IF(AS400=3,('Calc (ex-animal)'!$K$78+'Calc (ex-animal)'!$L$78)*'Calc (ex-housing, ex-storage)'!F400/100/VLOOKUP($C$397,'DB animal categories'!$C$147:$AC$156,27,FALSE)*AJ400+Q400+R400+S400-'Calc (ex-housing, ex-storage)'!AC400-AD400-AE400,IF(AI400=4,('Calc (ex-animal)'!$K$78+'Calc (ex-animal)'!$L$78)*'Calc (ex-housing, ex-storage)'!F400/100*VLOOKUP(D400,'DB technologies'!$N$196:$Y$208,12,FALSE)/100/VLOOKUP($C$397,'DB animal categories'!$C$147:$AC$156,27,FALSE)*AJ400+Q400+R400+S400-(VLOOKUP(D400,'DB technologies'!$N$196:$Y$208,12,FALSE)/100*AC400)-AD400-AE400,0))))))</f>
        <v/>
      </c>
      <c r="AY400" s="182" t="str">
        <f>IF(D400="","",IF(AS400=2,0,IF(AS400=1,'Calc (ex-animal)'!$N$78*'Calc (ex-housing, ex-storage)'!F400/100/VLOOKUP($C$397,'DB animal categories'!$C$147:$AC$156,27,FALSE)*AJ400+U400+V400+W400,IF(AS400=5,('Calc (ex-animal)'!$N$78+'Calc (ex-animal)'!$O$78)*'Calc (ex-housing, ex-storage)'!F400/100/VLOOKUP($C$397,'DB animal categories'!$C$147:$AC$156,27,FALSE)*AJ400+U400+V400+W400,IF(AS400=3,('Calc (ex-animal)'!$N$78+'Calc (ex-animal)'!$O$78)*'Calc (ex-housing, ex-storage)'!F400/100/VLOOKUP($C$397,'DB animal categories'!$C$147:$AC$156,27,FALSE)*AJ400+U400+V400+W400,IF(AS400=4,('Calc (ex-animal)'!$N$78+'Calc (ex-animal)'!$O$78)*'Calc (ex-housing, ex-storage)'!F400/100*VLOOKUP(D400,'DB technologies'!$N$196:$Y$208,12,FALSE)/100/VLOOKUP($C$397,'DB animal categories'!$C$147:$AC$156,27,FALSE)*AJ400+U400+V400+W400,0))))))</f>
        <v/>
      </c>
      <c r="AZ400" s="182" t="str">
        <f>IF(D400="","",IF(AS400=2,0,IF(AS400=1,'Calc (ex-animal)'!$Q$78*'Calc (ex-housing, ex-storage)'!F400/100/VLOOKUP($C$397,'DB animal categories'!$C$147:$AC$156,27,FALSE)*AJ400+Y400+Z400+AA400,IF(AS400=5,('Calc (ex-animal)'!$Q$78+'Calc (ex-animal)'!$R$78)*'Calc (ex-housing, ex-storage)'!F400/100/VLOOKUP($C$397,'DB animal categories'!$C$147:$AC$156,27,FALSE)*AJ400+Y400+Z400+AA400,IF(AS400=3,('Calc (ex-animal)'!$Q$78+'Calc (ex-animal)'!$R$78)*'Calc (ex-housing, ex-storage)'!F400/100/VLOOKUP($C$397,'DB animal categories'!$C$147:$AC$156,27,FALSE)*AJ400+Y400+Z400+AA400,IF(AS400=4,('Calc (ex-animal)'!$Q$78+'Calc (ex-animal)'!$R$78)*'Calc (ex-housing, ex-storage)'!F400/100*VLOOKUP(D400,'DB technologies'!$N$196:$Y$208,12,FALSE)/100/VLOOKUP($C$397,'DB animal categories'!$C$147:$AC$156,27,FALSE)*AJ400+Y400+Z400+AA400,0))))))</f>
        <v/>
      </c>
      <c r="BA400" s="506"/>
      <c r="BB400" s="506"/>
      <c r="BC400" s="506"/>
    </row>
    <row r="401" spans="1:55" ht="12" thickBot="1" x14ac:dyDescent="0.25">
      <c r="A401" s="695"/>
      <c r="B401" s="695"/>
      <c r="C401" s="255"/>
      <c r="D401" s="1359"/>
      <c r="E401" s="1400"/>
      <c r="F401" s="481" t="str">
        <f>IF('Calc (ex-animal)'!$F$78=1,"",IF($C$397=0,"",IF(D401="","",E401/'Calc (ex-animal)'!$E$78*100)))</f>
        <v/>
      </c>
      <c r="G401" s="483" t="str">
        <f>IF($C$397=0,"",IF('Calc (ex-animal)'!$F$78=1,"",IF(D401="","",SUM(H401:O401))))</f>
        <v/>
      </c>
      <c r="H401" s="445" t="str">
        <f>IF('Calc (ex-animal)'!$F$78=1,"",IF(D401="","",(((VLOOKUP($C$397,'Calc (ex-animal)'!$D$78:$Y$82,6,FALSE)-VLOOKUP($C$397,'Calc (ex-animal)'!$D$78:$Y$82,17,FALSE))*F401/100))*VLOOKUP($C$397,'Calc (ex-animal)'!$D$78:$Y$82,7,FALSE)/100*(1-VLOOKUP(D401,'DB technologies'!$N$196:$Y$208,9,FALSE)/100)))</f>
        <v/>
      </c>
      <c r="I401" s="445" t="str">
        <f>IF(D401="","",((VLOOKUP(D401,'DB technologies'!$N$196:$Y$208,2,FALSE)*VLOOKUP($C$397,'DB animal categories'!$C$147:$AC$156,27,FALSE)*E401/1000)/VLOOKUP($C$397,'DB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'!$S$6/100*(1-VLOOKUP(D401,'DB technologies'!$N$196:$Y$208,9,FALSE)/100)))</f>
        <v/>
      </c>
      <c r="J401" s="446" t="str">
        <f>IF(D401="","",((VLOOKUP(D401,'DB technologies'!$N$196:$Y$208,3,FALSE)*VLOOKUP($C$397,'DB animal categories'!$C$147:$AC$156,27,FALSE)*E401/1000)/VLOOKUP($C$397,'DB animal categories'!$C$147:$AC$156,27,FALSE)*(VLOOKUP($C$397,'DB animal categories'!$C$147:$AC$156,27,FALSE)-(VLOOKUP($C$397,'DB animal categories'!$C$147:$AC$156,25,FALSE)*VLOOKUP($C$397,'DB animal categories'!$C$147:$AC$156,26,FALSE)/24))*'DB additional information '!$S$7/100*(1-VLOOKUP(D401,'DB technologies'!$N$196:$Y$208,9,FALSE)/100)))</f>
        <v/>
      </c>
      <c r="K401" s="446" t="str">
        <f>IF(D401="","",((VLOOKUP(D401,'DB technologies'!$N$196:$Y$208,4,FALSE)*E401*'DB additional information '!$S$8/100*(1-VLOOKUP(D401,'DB technologies'!$N$196:$Y$208,9,FALSE)/100))/VLOOKUP($C$397,'DB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L401" s="445" t="str">
        <f>IF('Calc (ex-animal)'!$F$78=1,"",IF(D401="","",(((VLOOKUP($C$397,'Calc (ex-animal)'!$D$78:$Y$82,6,FALSE)-VLOOKUP($C$397,'Calc (ex-animal)'!$D$78:$Y$82,17,FALSE))*F401/100))*(1-VLOOKUP($C$397,'Calc (ex-animal)'!$D$78:$Y$82,7,FALSE)/100)*(1-VLOOKUP(D401,'DB technologies'!$N$196:$V$208,8,FALSE)/100)))</f>
        <v/>
      </c>
      <c r="M401" s="446" t="str">
        <f>IF(D401="","",((VLOOKUP(D401,'DB technologies'!$N$196:$Y$208,2,FALSE)*VLOOKUP($C$397,'DB animal categories'!$C$147:$AC$156,27,FALSE)*E401/1000)/VLOOKUP($C$397,'DB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'!$S$6/100)*(1-VLOOKUP(D401,'DB technologies'!$N$196:$Y$208,9,FALSE)/100))</f>
        <v/>
      </c>
      <c r="N401" s="446" t="str">
        <f>IF(D401="","",((VLOOKUP(D401,'DB technologies'!$N$196:$Y$208,3,FALSE)*VLOOKUP($C$397,'DB animal categories'!$C$147:$AC$156,27,FALSE)*E401/1000)/VLOOKUP($C$397,'DB animal categories'!$C$147:$AC$156,27,FALSE)*(VLOOKUP($C$397,'DB animal categories'!$C$147:$AC$156,27,FALSE)-VLOOKUP($C$397,'DB animal categories'!$C$147:$AC$156,25,FALSE)*VLOOKUP($C$397,'DB animal categories'!$C$147:$AC$156,26,FALSE)/24))*(1-'DB additional information '!$S$7/100)*(1-VLOOKUP(D401,'DB technologies'!$N$196:$Y$208,9,FALSE)/100))</f>
        <v/>
      </c>
      <c r="O401" s="445" t="str">
        <f>IF(D401="","",((VLOOKUP(D401,'DB technologies'!$N$196:$Y$208,4,FALSE)*E401*(1-'DB additional information '!$S$8/100)*(1-VLOOKUP(D401,'DB technologies'!$N$196:$Y$208,8,FALSE)/100))/VLOOKUP($C$397,'DB animal categories'!$C$147:$AC$156,27,FALSE)*(VLOOKUP($C$397,'DB animal categories'!$C$147:$AC$156,27,FALSE)-VLOOKUP($C$397,'DB animal categories'!$C$147:$AC$156,25,FALSE)*VLOOKUP($C$397,'DB animal categories'!$C$147:$AC$156,26,FALSE)/24)))</f>
        <v/>
      </c>
      <c r="P401" s="444" t="str">
        <f>IF(G401=0,0,IF(E401="","",IF(F401="","",IF($C$397=0,"",IF(D401="","",SUM(H401:K401)/G401*100)))))</f>
        <v/>
      </c>
      <c r="Q401" s="476" t="str">
        <f>IF(D401="","",(VLOOKUP(D401,'DB technologies'!$N$196:$Y$208,2,FALSE)*'DB additional information '!$S$6/100*'DB additional information '!$T$6*VLOOKUP($C$397,'DB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R401" s="476" t="str">
        <f>IF(D401="","",(VLOOKUP(D401,'DB technologies'!$N$196:$Y$208,3,FALSE)*'DB additional information '!$S$7/100*'DB additional information '!$T$7*VLOOKUP($C$397,'DB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S401" s="494" t="str">
        <f>IF(D401="","",(VLOOKUP(D401,'DB technologies'!$N$196:$Y$208,4,FALSE)*('DB additional information '!$S$8/100*'DB additional information '!$T$8*E401/1000/1000)))</f>
        <v/>
      </c>
      <c r="T401" s="266" t="str">
        <f>IF($C$397=0,"",IF('Calc (ex-animal)'!$F$78=1,"",IF(D401="","",((VLOOKUP($C$397,'Calc (ex-animal)'!$D$78:$Y$82,10,FALSE)-VLOOKUP($C$397,'Calc (ex-animal)'!$D$78:$Y$82,18,FALSE))*F401/100+Q401+R401+S401)-AC401-AD401-AE401)))</f>
        <v/>
      </c>
      <c r="U401" s="477" t="str">
        <f>IF(D401="","",(VLOOKUP(D401,'DB technologies'!$N$196:$Y$208,2,FALSE)*'DB additional information '!$S$6/100*'DB additional information '!$U$6*VLOOKUP($C$397,'DB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V401" s="433" t="str">
        <f>IF(D401="","",(VLOOKUP(D401,'DB technologies'!$N$196:$Y$208,3,FALSE)*'DB additional information '!$S$7/100*'DB additional information '!$U$7*VLOOKUP($C$397,'DB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W401" s="475" t="str">
        <f>IF(D401="","",(VLOOKUP(D401,'DB technologies'!$N$196:$Y$208,4,FALSE)*('DB additional information '!$S$8/100*'DB additional information '!$U$8*E401/1000/1000)))</f>
        <v/>
      </c>
      <c r="X401" s="267" t="str">
        <f>IF($C$397=0,"",IF('Calc (ex-animal)'!$F$78=1,"",IF(D401="","",((VLOOKUP($C$397,'Calc (ex-animal)'!$D$78:$Y$82,13,FALSE)-VLOOKUP($C$397,'Calc (ex-animal)'!$D$78:$Y$82,19,FALSE))*F401/100+U401+V401+W401))))</f>
        <v/>
      </c>
      <c r="Y401" s="433" t="str">
        <f>IF(D401="","",(VLOOKUP(D401,'DB technologies'!$N$196:$Y$208,2,FALSE)*'DB additional information '!$S$6/100*'DB additional information '!$V$6*VLOOKUP($C$397,'DB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Z401" s="433" t="str">
        <f>IF(D401="","",(VLOOKUP(D401,'DB technologies'!$N$196:$Y$208,3,FALSE)*'DB additional information '!$S$7/100*'DB additional information '!$V$7*VLOOKUP($C$397,'DB animal categories'!$C$147:$AC$156,27,FALSE)*E401/1000/1000)/VLOOKUP($C$397,'DB animal categories'!$C$147:$AC$156,27,FALSE)*(VLOOKUP($C$397,'DB animal categories'!$C$147:$AC$156,27,FALSE)-VLOOKUP($C$397,'DB animal categories'!$C$147:$AC$156,25,FALSE)*VLOOKUP($C$397,'DB animal categories'!$C$147:$AC$156,26,FALSE)/24))</f>
        <v/>
      </c>
      <c r="AA401" s="433" t="str">
        <f>IF(D401="","",(VLOOKUP(D401,'DB technologies'!$N$196:$Y$208,4,FALSE)*('DB additional information '!$S$8/100*'DB additional information '!$V$8*E401/1000/1000)))</f>
        <v/>
      </c>
      <c r="AB401" s="267" t="str">
        <f>IF($C$397=0,"",IF('Calc (ex-animal)'!$F$78=1,"",IF(D401="","",((VLOOKUP($C$397,'Calc (ex-animal)'!$D$78:$Y$82,16,FALSE)-VLOOKUP($C$397,'Calc (ex-animal)'!$D$78:$Y$82,20,FALSE))*F401/100+Y401+Z401+AA401))))</f>
        <v/>
      </c>
      <c r="AC401" s="267" t="str">
        <f>IF($C$397=0,"",IF('Calc (ex-animal)'!$F$78=1,"",IF(D401="","",VLOOKUP($C$397,'Calc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categories'!$C$147:$AC$156,26,FALSE)/24)*F401/100*VLOOKUP(D401,'DB technologies'!$N$196:$R$208,5,FALSE)/100)))</f>
        <v/>
      </c>
      <c r="AD401" s="267" t="str">
        <f>IF($C$397=0,"",IF('Calc (ex-animal)'!$F$78=1,"",IF(D401="","",VLOOKUP($C$397,'Calc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categories'!$C$147:$AC$156,26,FALSE)/24)*F401/100*VLOOKUP(D401,'DB technologies'!$N$196:$Y$208,6,FALSE)/100)))</f>
        <v/>
      </c>
      <c r="AE401" s="268" t="str">
        <f>IF($C$397=0,"",IF('Calc (ex-animal)'!$F$78=1,"",IF(D401="","",VLOOKUP($C$397,'Calc (ex-animal)'!$D$78:$Y$82,10,FALSE)/VLOOKUP($C$397,'DB animal categories'!$C$147:$AC$156,27,FALSE)*(VLOOKUP($C$397,'DB animal categories'!$C$147:$AC$156,27,FALSE)-VLOOKUP($C$397,'DB animal categories'!$C$147:$AC$156,25,FALSE)*VLOOKUP($C$397,'DB animal categories'!$C$147:$AC$156,26,FALSE)/24)*F401/100*VLOOKUP(D401,'DB technologies'!$N$196:$Y$208,7,FALSE)/100)))</f>
        <v/>
      </c>
      <c r="AI401" s="183" t="str">
        <f>IF(D401="","",VLOOKUP(D401,'DB technologies'!$N$196:$Y$208,10,FALSE))</f>
        <v/>
      </c>
      <c r="AJ401" s="451" t="e">
        <f>VLOOKUP($C$397,'DB animal categories'!$C$147:$AN$156,27,FALSE)-VLOOKUP($C$397,'DB animal categories'!$C$147:$AN$156,26,FALSE)*VLOOKUP($C$397,'DB animal categories'!$C$147:$AN$156,25,FALSE)/24</f>
        <v>#N/A</v>
      </c>
      <c r="AK401" s="452" t="str">
        <f>IF(AI401="","",AL401+AM401)</f>
        <v/>
      </c>
      <c r="AL401" s="452" t="str">
        <f>IF(D401="","",IF(AI401=2,(('Calc (ex-animal)'!$G$78*'DB additional information '!$K$17/100*(1-VLOOKUP(D401,'DB technologies'!$N$196:$Y$208,9,FALSE)/100)*'Calc (ex-housing, ex-storage)'!F401/100+'Calc (ex-animal)'!$H$78*'DB additional information '!$L$17/100*(1-VLOOKUP(D401,'DB technologies'!$N$196:$Y$208,9,FALSE)/100)*'Calc (ex-housing, ex-storage)'!F401/100))/VLOOKUP($C$397,'DB animal categories'!$C$147:$AC$156,27,FALSE)*AJ401+I401+J401+K401,IF(AI401=1,('Calc (ex-animal)'!$H$78*'DB additional information '!$L$17/100*(1-VLOOKUP(D401,'DB technologies'!$N$196:$Y$208,9,FALSE)/100)*'Calc (ex-housing, ex-storage)'!F401/100)/VLOOKUP($C$397,'DB animal categories'!$C$147:$AC$156,27,FALSE)*AJ401,IF(AI401=4,('Calc (ex-animal)'!$G$78*'DB additional information '!$K$17/100+'Calc (ex-animal)'!$H$78*'DB additional information '!$L$17/100)*(1-VLOOKUP(D401,'DB technologies'!$N$196:$Y$208,9,FALSE)/100)*'Calc (ex-housing, ex-storage)'!F401/100*VLOOKUP(D401,'DB technologies'!$N$196:$Y$208,11,FALSE)/100/VLOOKUP($C$397,'DB animal categories'!$C$147:$AC$156,27,FALSE)*AJ401,0))))</f>
        <v/>
      </c>
      <c r="AM401" s="452" t="str">
        <f>IF(D401="","",IF(AI401=2,(('Calc (ex-animal)'!$G$78*(1-'DB additional information '!$K$17/100)*(1-VLOOKUP(D401,'DB technologies'!$N$196:$Y$208,8,FALSE)/100)*'Calc (ex-housing, ex-storage)'!F401/100+'Calc (ex-animal)'!$H$78*(1-'DB additional information '!$L$17/100)*(1-VLOOKUP(D401,'DB technologies'!$N$196:$Y$208,8,FALSE)/100)*'Calc (ex-housing, ex-storage)'!F401/100))/VLOOKUP($C$397,'DB animal categories'!$C$147:$AC$156,27,FALSE)*AJ401+M401+N401+O401,IF(AI401=1,('Calc (ex-animal)'!$H$78*(1-'DB additional information '!$L$17/100)*(1-VLOOKUP(D401,'DB technologies'!$N$196:$Y$208,8,FALSE)/100)*'Calc (ex-housing, ex-storage)'!F401/100)/VLOOKUP($C$397,'DB animal categories'!$C$147:$AC$156,27,FALSE)*AJ401,IF(AI401=4,('Calc (ex-animal)'!$G$78*(1-'DB additional information '!$K$17/100)+'Calc (ex-animal)'!$H$78*(1-'DB additional information '!$L$17/100))*(1-VLOOKUP(D401,'DB technologies'!$N$196:$Y$208,8,FALSE)/100)*'Calc (ex-housing, ex-storage)'!F401/100*VLOOKUP(D401,'DB technologies'!$N$196:$Y$208,11,FALSE)/100/VLOOKUP($C$397,'DB animal categories'!$C$147:$AC$156,27,FALSE)*AJ401,0))))</f>
        <v/>
      </c>
      <c r="AN401" s="452" t="str">
        <f>IF(AI401="","",IF(AL401=0,0,AL401/AK401*100))</f>
        <v/>
      </c>
      <c r="AO401" s="184" t="str">
        <f>IF(D401="","",IF(AI401=2,(('Calc (ex-animal)'!$L$78*'Calc (ex-housing, ex-storage)'!F401/100+'Calc (ex-animal)'!$K$78*'Calc (ex-housing, ex-storage)'!F401/100))/VLOOKUP($C$397,'DB animal categories'!$C$147:$AC$156,27,FALSE)*AJ401+Q401+R401+S401-AC401,IF(AI401=1,('Calc (ex-animal)'!$L$78*'Calc (ex-housing, ex-storage)'!F401/100)/VLOOKUP($C$397,'DB animal categories'!$C$147:$AC$156,27,FALSE)*AJ401-'Calc (ex-housing, ex-storage)'!AC401,IF(AI401=4,('Calc (ex-animal)'!$L$78+'Calc (ex-animal)'!$K$78)*'Calc (ex-housing, ex-storage)'!F401/100*VLOOKUP(D401,'DB technologies'!$N$196:$Y$208,11,FALSE)/100/VLOOKUP($C$397,'DB animal categories'!$C$147:$AC$156,27,FALSE)*AJ401-AC401*VLOOKUP(D401,'DB technologies'!$N$196:$Y$208,11,FALSE)/100,0))))</f>
        <v/>
      </c>
      <c r="AP401" s="184" t="str">
        <f>IF(D401="","",IF(AO401&lt;-0.01,0,IF(AI401=2,(('Calc (ex-animal)'!$L$78*'Calc (ex-housing, ex-storage)'!F401/100+'Calc (ex-animal)'!$K$78*'Calc (ex-housing, ex-storage)'!F401/100))/VLOOKUP($C$397,'DB animal categories'!$C$147:$AC$156,27,FALSE)*AJ401+Q401+R401+S401-AC401,IF(AI401=1,('Calc (ex-animal)'!$L$78*'Calc (ex-housing, ex-storage)'!F401/100)/VLOOKUP($C$397,'DB animal categories'!$C$147:$AC$156,27,FALSE)*AJ401-'Calc (ex-housing, ex-storage)'!AC401,IF(AI401=4,('Calc (ex-animal)'!$L$78+'Calc (ex-animal)'!$K$78)*'Calc (ex-housing, ex-storage)'!F401/100*VLOOKUP(D401,'DB technologies'!$N$196:$Y$208,11,FALSE)/100/VLOOKUP($C$397,'DB animal categories'!$C$147:$AC$156,27,FALSE)*AJ401-AC401*VLOOKUP(D401,'DB technologies'!$N$196:$Y$208,11,FALSE)/100,0)))))</f>
        <v/>
      </c>
      <c r="AQ401" s="184" t="str">
        <f>IF(D401="","",IF(AI401=2,('Calc (ex-animal)'!$O$78*'Calc (ex-housing, ex-storage)'!F401/100+'Calc (ex-animal)'!$N$78*'Calc (ex-housing, ex-storage)'!F401/100)/VLOOKUP($C$397,'DB animal categories'!$C$147:$AC$156,27,FALSE)*AJ401+U401+V401+W401,IF(AI401=1,'Calc (ex-animal)'!$O$78*'Calc (ex-housing, ex-storage)'!F401/100/VLOOKUP($C$397,'DB animal categories'!$C$147:$AC$156,27,FALSE)*AJ401,IF(AI401=4,('Calc (ex-animal)'!$O$78+'Calc (ex-animal)'!$N$78)*'Calc (ex-housing, ex-storage)'!F401/100*VLOOKUP(D401,'DB technologies'!$N$196:$Y$208,11,FALSE)/100/VLOOKUP($C$397,'DB animal categories'!$C$147:$AC$156,27,FALSE)*AJ401,0))))</f>
        <v/>
      </c>
      <c r="AR401" s="184" t="str">
        <f>IF(D401="","",IF(AI401=2,('Calc (ex-animal)'!$R$78*'Calc (ex-housing, ex-storage)'!F401/100+'Calc (ex-animal)'!$Q$78*'Calc (ex-housing, ex-storage)'!F401/100)/VLOOKUP($C$397,'DB animal categories'!$C$147:$AC$156,27,FALSE)*AJ401+Y401+Z401+AA401,IF(AI401=1,'Calc (ex-animal)'!$R$78*'Calc (ex-housing, ex-storage)'!F401/100/VLOOKUP($C$397,'DB animal categories'!$C$147:$AC$156,27,FALSE)*AJ401,IF(AI401=4,('Calc (ex-animal)'!$R$78+'Calc (ex-animal)'!$Q$78)*'Calc (ex-housing, ex-storage)'!F401/100*VLOOKUP(D401,'DB technologies'!$N$196:$Y$208,11,FALSE)/100/VLOOKUP($C$397,'DB animal categories'!$C$147:$AC$156,27,FALSE)*AJ401,0))))</f>
        <v/>
      </c>
      <c r="AS401" s="183" t="str">
        <f>IF(D401="","",VLOOKUP(D401,'DB technologies'!$N$196:$Y$208,10,FALSE))</f>
        <v/>
      </c>
      <c r="AT401" s="452" t="str">
        <f>IF(AS401="","",AU401+AV401)</f>
        <v/>
      </c>
      <c r="AU401" s="452" t="str">
        <f>IF(D401="","",IF(AS401=2,0,IF(AS401=1,'Calc (ex-animal)'!$G$78*'DB additional information '!$K$17/100*(1-VLOOKUP(D401,'DB technologies'!$N$196:$Y$208,8,FALSE)/100)*'Calc (ex-housing, ex-storage)'!F401/100/VLOOKUP($C$397,'DB animal categories'!$C$147:$AC$156,27,FALSE)*AJ401+I401+J401+K401,IF(AS401=5,(('Calc (ex-animal)'!$G$78*'DB additional information '!$K$17/100+'Calc (ex-animal)'!$H$78*'DB additional information '!$L$17/100))*(1-VLOOKUP(D401,'DB technologies'!$N$196:$Y$208,9,FALSE)/100)*'Calc (ex-housing, ex-storage)'!F401/100/VLOOKUP($C$397,'DB animal categories'!$C$147:$AC$156,27,FALSE)*AJ401+I401+J401+K401,IF(AS401=3,('Calc (ex-animal)'!$G$78*'DB additional information '!$K$17/100+'Calc (ex-animal)'!$H$78*'DB additional information '!$L$17/100)*(1-VLOOKUP(D401,'DB technologies'!$N$196:$Y$208,9,FALSE)/100)*'Calc (ex-housing, ex-storage)'!F401/100/VLOOKUP($C$397,'DB animal categories'!$C$147:$AC$156,27,FALSE)*AJ401+I401+J401+K401,IF(AS401=4,('Calc (ex-animal)'!$G$78*'DB additional information '!$K$17/100+'Calc (ex-animal)'!$H$78*'DB additional information '!$L$17/100)*(1-VLOOKUP(D401,'DB technologies'!$N$196:$Y$208,9,FALSE)/100)*'Calc (ex-housing, ex-storage)'!F401/100*VLOOKUP(D401,'DB technologies'!$N$196:$Y$208,12,FALSE)/100/VLOOKUP($C$397,'DB animal categories'!$C$147:$AC$156,27,FALSE)*AJ401+I401+J401+K401,0))))))</f>
        <v/>
      </c>
      <c r="AV401" s="452" t="str">
        <f>IF(D401="","",IF(AS401=2,0,IF(AS401=1,'Calc (ex-animal)'!$G$78*(1-'DB additional information '!$K$17/100)*(1-VLOOKUP(D401,'DB technologies'!$N$196:$Y$208,8,FALSE)/100)*'Calc (ex-housing, ex-storage)'!F401/100/VLOOKUP($C$397,'DB animal categories'!$C$147:$AC$156,27,FALSE)*AJ401+M401+N401+O401,IF(AS401=5,('Calc (ex-animal)'!$G$78*(1-'DB additional information '!$K$17/100)+'Calc (ex-animal)'!$H$78*(1-'DB additional information '!$L$17/100))*(1-VLOOKUP(D401,'DB technologies'!$N$196:$Y$208,8,FALSE)/100)*'Calc (ex-housing, ex-storage)'!F401/100/VLOOKUP($C$397,'DB animal categories'!$C$147:$AC$156,27,FALSE)*AJ401+M401+N401+O401,IF(AS401=3,('Calc (ex-animal)'!$G$78*(1-'DB additional information '!$K$17/100)+'Calc (ex-animal)'!$H$78*(1-'DB additional information '!$L$17/100))*(1-VLOOKUP(D401,'DB technologies'!$N$196:$Y$208,8,FALSE)/100)*'Calc (ex-housing, ex-storage)'!F401/100/VLOOKUP($C$397,'DB animal categories'!$C$147:$AC$156,27,FALSE)*AJ401+M401+N401+O401,IF(AS401=4,('Calc (ex-animal)'!$G$78*(1-'DB additional information '!$K$17/100)+'Calc (ex-animal)'!$H$78*(1-'DB additional information '!$L$17/100))*(1-VLOOKUP(D401,'DB technologies'!$N$196:$Y$208,8,FALSE)/100)*'Calc (ex-housing, ex-storage)'!F401/100*VLOOKUP(D401,'DB technologies'!$N$196:$Y$208,12,FALSE)/100/VLOOKUP($C$397,'DB animal categories'!$C$147:$AC$156,27,FALSE)*AJ401+M401+N401+O401,0))))))</f>
        <v/>
      </c>
      <c r="AW401" s="452" t="str">
        <f>IF(AS401="","",IF(AU401=0,0,AU401/AT401*100))</f>
        <v/>
      </c>
      <c r="AX401" s="184" t="str">
        <f>IF(D401="","",IF(AS401=2,0,IF(AS401=1,'Calc (ex-animal)'!$K$78*'Calc (ex-housing, ex-storage)'!F401/100/VLOOKUP($C$397,'DB animal categories'!$C$147:$AC$156,27,FALSE)*AJ401+Q401+R401+S401,IF(AS401=5,('Calc (ex-animal)'!$K$78+'Calc (ex-animal)'!$L$78)*'Calc (ex-housing, ex-storage)'!F401/100/VLOOKUP($C$397,'DB animal categories'!$C$147:$AC$156,27,FALSE)*AJ401+Q401+R401+S401-'Calc (ex-housing, ex-storage)'!AC401,IF(AS401=3,('Calc (ex-animal)'!$K$78+'Calc (ex-animal)'!$L$78)*'Calc (ex-housing, ex-storage)'!F401/100/VLOOKUP($C$397,'DB animal categories'!$C$147:$AC$156,27,FALSE)*AJ401+Q401+R401+S401-'Calc (ex-housing, ex-storage)'!AC401-AD401-AE401,IF(AI401=4,('Calc (ex-animal)'!$K$78+'Calc (ex-animal)'!$L$78)*'Calc (ex-housing, ex-storage)'!F401/100*VLOOKUP(D401,'DB technologies'!$N$196:$Y$208,12,FALSE)/100/VLOOKUP($C$397,'DB animal categories'!$C$147:$AC$156,27,FALSE)*AJ401+Q401+R401+S401-(VLOOKUP(D401,'DB technologies'!$N$196:$Y$208,12,FALSE)/100*AC401)-AD401-AE401,0))))))</f>
        <v/>
      </c>
      <c r="AY401" s="184" t="str">
        <f>IF(D401="","",IF(AS401=2,0,IF(AS401=1,'Calc (ex-animal)'!$N$78*'Calc (ex-housing, ex-storage)'!F401/100/VLOOKUP($C$397,'DB animal categories'!$C$147:$AC$156,27,FALSE)*AJ401+U401+V401+W401,IF(AS401=5,('Calc (ex-animal)'!$N$78+'Calc (ex-animal)'!$O$78)*'Calc (ex-housing, ex-storage)'!F401/100/VLOOKUP($C$397,'DB animal categories'!$C$147:$AC$156,27,FALSE)*AJ401+U401+V401+W401,IF(AS401=3,('Calc (ex-animal)'!$N$78+'Calc (ex-animal)'!$O$78)*'Calc (ex-housing, ex-storage)'!F401/100/VLOOKUP($C$397,'DB animal categories'!$C$147:$AC$156,27,FALSE)*AJ401+U401+V401+W401,IF(AS401=4,('Calc (ex-animal)'!$N$78+'Calc (ex-animal)'!$O$78)*'Calc (ex-housing, ex-storage)'!F401/100*VLOOKUP(D401,'DB technologies'!$N$196:$Y$208,12,FALSE)/100/VLOOKUP($C$397,'DB animal categories'!$C$147:$AC$156,27,FALSE)*AJ401+U401+V401+W401,0))))))</f>
        <v/>
      </c>
      <c r="AZ401" s="184" t="str">
        <f>IF(D401="","",IF(AS401=2,0,IF(AS401=1,'Calc (ex-animal)'!$Q$78*'Calc (ex-housing, ex-storage)'!F401/100/VLOOKUP($C$397,'DB animal categories'!$C$147:$AC$156,27,FALSE)*AJ401+Y401+Z401+AA401,IF(AS401=5,('Calc (ex-animal)'!$Q$78+'Calc (ex-animal)'!$R$78)*'Calc (ex-housing, ex-storage)'!F401/100/VLOOKUP($C$397,'DB animal categories'!$C$147:$AC$156,27,FALSE)*AJ401+Y401+Z401+AA401,IF(AS401=3,('Calc (ex-animal)'!$Q$78+'Calc (ex-animal)'!$R$78)*'Calc (ex-housing, ex-storage)'!F401/100/VLOOKUP($C$397,'DB animal categories'!$C$147:$AC$156,27,FALSE)*AJ401+Y401+Z401+AA401,IF(AS401=4,('Calc (ex-animal)'!$Q$78+'Calc (ex-animal)'!$R$78)*'Calc (ex-housing, ex-storage)'!F401/100*VLOOKUP(D401,'DB technologies'!$N$196:$Y$208,12,FALSE)/100/VLOOKUP($C$397,'DB animal categories'!$C$147:$AC$156,27,FALSE)*AJ401+Y401+Z401+AA401,0))))))</f>
        <v/>
      </c>
      <c r="BA401" s="506"/>
      <c r="BB401" s="506"/>
      <c r="BC401" s="506"/>
    </row>
    <row r="402" spans="1:55" ht="12" thickBot="1" x14ac:dyDescent="0.25">
      <c r="A402" s="695"/>
      <c r="B402" s="695"/>
      <c r="C402" s="252"/>
      <c r="D402" s="269" t="s">
        <v>58</v>
      </c>
      <c r="E402" s="270">
        <f>IF('Calc (ex-animal)'!F78=1,'Calc (ex-animal)'!E78,IF(F402&lt;=100,SUM(E397:E401),"ERROR"))</f>
        <v>0</v>
      </c>
      <c r="F402" s="284">
        <f>IF('Calc (ex-animal)'!F78=1,100,IF(SUM(F397:F401) &lt;=100,SUM(F397:F401),"ERROR, SUM&gt;100%"))</f>
        <v>0</v>
      </c>
      <c r="G402" s="550">
        <f>IF('Calc (ex-animal)'!$F$78=1,"",SUM(G397:G401))</f>
        <v>0</v>
      </c>
      <c r="H402" s="418">
        <f>IF('Calc (ex-animal)'!$F$8=1,"",SUM(H397:H401))</f>
        <v>0</v>
      </c>
      <c r="I402" s="418">
        <f>IF('Calc (ex-animal)'!$F$8=1,"",SUM(I397:I401))</f>
        <v>0</v>
      </c>
      <c r="J402" s="418">
        <f>IF('Calc (ex-animal)'!$F$8=1,"",SUM(J397:J401))</f>
        <v>0</v>
      </c>
      <c r="K402" s="418">
        <f>IF('Calc (ex-animal)'!$F$8=1,"",SUM(K397:K401))</f>
        <v>0</v>
      </c>
      <c r="L402" s="418">
        <f>IF('Calc (ex-animal)'!$F$8=1,"",SUM(L397:L401))</f>
        <v>0</v>
      </c>
      <c r="M402" s="551"/>
      <c r="N402" s="551"/>
      <c r="O402" s="551"/>
      <c r="P402" s="552">
        <f>IF(G402=0,0,IF('Calc (ex-animal)'!$F$78=1,"",IF(D402="","",SUM(H402:K402)/G402*100)))</f>
        <v>0</v>
      </c>
      <c r="Q402" s="394"/>
      <c r="R402" s="394"/>
      <c r="S402" s="394"/>
      <c r="T402" s="285">
        <f>IF('Calc (ex-animal)'!$F$78=1,"",SUM(T397:T401))</f>
        <v>0</v>
      </c>
      <c r="U402" s="286"/>
      <c r="V402" s="286"/>
      <c r="W402" s="286"/>
      <c r="X402" s="286">
        <f>IF('Calc (ex-animal)'!$F$78=1,"",SUM(X397:X401))</f>
        <v>0</v>
      </c>
      <c r="Y402" s="286"/>
      <c r="Z402" s="286"/>
      <c r="AA402" s="286"/>
      <c r="AB402" s="286">
        <f>IF('Calc (ex-animal)'!$F$78=1,"",SUM(AB397:AB401))</f>
        <v>0</v>
      </c>
      <c r="AC402" s="286">
        <f>IF('Calc (ex-animal)'!$F$78=1,"",SUM(AC397:AC401))</f>
        <v>0</v>
      </c>
      <c r="AD402" s="286">
        <f>IF('Calc (ex-animal)'!$F$78=1,"",SUM(AD397:AD401))</f>
        <v>0</v>
      </c>
      <c r="AE402" s="287">
        <f>IF('Calc (ex-animal)'!$F$78=1,"",SUM(AE397:AE401))</f>
        <v>0</v>
      </c>
    </row>
    <row r="403" spans="1:55" x14ac:dyDescent="0.2">
      <c r="A403" s="695"/>
      <c r="B403" s="695"/>
      <c r="C403" s="250">
        <f>'Calc (ex-animal)'!D79</f>
        <v>0</v>
      </c>
      <c r="D403" s="1355"/>
      <c r="E403" s="1356"/>
      <c r="F403" s="479" t="str">
        <f>IF('Calc (ex-animal)'!$F$78=1,"",IF($C$403=0,"",IF(D403="","",E403/'Calc (ex-animal)'!$E$79*100)))</f>
        <v/>
      </c>
      <c r="G403" s="484" t="str">
        <f>IF($C$403=0,"",IF('Calc (ex-animal)'!$F$78=1,"",IF(D403="","",SUM(H403:O403))))</f>
        <v/>
      </c>
      <c r="H403" s="471" t="str">
        <f>IF('Calc (ex-animal)'!$F$78=1,"",IF(D403="","",(((VLOOKUP($C$403,'Calc (ex-animal)'!$D$78:$Y$82,6,FALSE)-VLOOKUP($C$403,'Calc (ex-animal)'!$D$78:$Y$82,17,FALSE))*F403/100))*VLOOKUP($C$403,'Calc (ex-animal)'!$D$78:$Y$82,7,FALSE)/100*(1-VLOOKUP(D403,'DB technologies'!$N$196:$Y$208,9,FALSE)/100)))</f>
        <v/>
      </c>
      <c r="I403" s="471" t="str">
        <f>IF(D403="","",((VLOOKUP(D403,'DB technologies'!$N$196:$Y$208,2,FALSE)*VLOOKUP($C$403,'DB animal categories'!$C$147:$AC$156,27,FALSE)*E403/1000)/VLOOKUP($C$403,'DB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'!$S$6/100*(1-VLOOKUP(D403,'DB technologies'!$N$196:$Y$208,9,FALSE)/100)))</f>
        <v/>
      </c>
      <c r="J403" s="472" t="str">
        <f>IF(D403="","",((VLOOKUP(D403,'DB technologies'!$N$196:$Y$208,3,FALSE)*VLOOKUP($C$403,'DB animal categories'!$C$147:$AC$156,27,FALSE)*E403/1000)/VLOOKUP($C$403,'DB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'!$S$7/100*(1-VLOOKUP(D403,'DB technologies'!$N$196:$Y$208,9,FALSE)/100)))</f>
        <v/>
      </c>
      <c r="K403" s="472" t="str">
        <f>IF(D403="","",((VLOOKUP(D403,'DB technologies'!$N$196:$Y$208,4,FALSE)*E403*'DB additional information '!$S$8/100*(1-VLOOKUP(D403,'DB technologies'!$N$196:$Y$208,9,FALSE)/100))/VLOOKUP($C$403,'DB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L403" s="471" t="str">
        <f>IF('Calc (ex-animal)'!$F$78=1,"",IF(D403="","",(((VLOOKUP($C$403,'Calc (ex-animal)'!$D$78:$Y$82,6,FALSE)-VLOOKUP($C$403,'Calc (ex-animal)'!$D$78:$Y$82,17,FALSE))*F403/100))*(1-VLOOKUP($C$403,'Calc (ex-animal)'!$D$78:$Y$82,7,FALSE)/100)*(1-VLOOKUP(D403,'DB technologies'!$N$196:$V$208,8,FALSE)/100)))</f>
        <v/>
      </c>
      <c r="M403" s="472" t="str">
        <f>IF(D403="","",((VLOOKUP(D403,'DB technologies'!$N$196:$Y$208,2,FALSE)*VLOOKUP($C$403,'DB animal categories'!$C$147:$AC$156,27,FALSE)*E403/1000)/VLOOKUP($C$403,'DB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'!$S$6/100)*(1-VLOOKUP(D403,'DB technologies'!$N$196:$Y$208,9,FALSE)/100))</f>
        <v/>
      </c>
      <c r="N403" s="472" t="str">
        <f>IF(D403="","",((VLOOKUP(D403,'DB technologies'!$N$196:$Y$208,3,FALSE)*VLOOKUP($C$403,'DB animal categories'!$C$147:$AC$156,27,FALSE)*E403/1000)/VLOOKUP($C$403,'DB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'!$S$7/100)*(1-VLOOKUP(D403,'DB technologies'!$N$196:$Y$208,9,FALSE)/100))</f>
        <v/>
      </c>
      <c r="O403" s="471" t="str">
        <f>IF(D403="","",((VLOOKUP(D403,'DB technologies'!$N$196:$Y$208,4,FALSE)*E403*(1-'DB additional information '!$S$8/100)*(1-VLOOKUP(D403,'DB technologies'!$N$196:$Y$208,8,FALSE)/100))/VLOOKUP($C$403,'DB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P403" s="443" t="str">
        <f>IF(G403=0,0,IF(E403="","",IF(F403="","",IF($C$403=0,"",IF(D403="","",SUM(H403:K403)/G403*100)))))</f>
        <v/>
      </c>
      <c r="Q403" s="473" t="str">
        <f>IF(D403="","",(VLOOKUP(D403,'DB technologies'!$N$196:$Y$208,2,FALSE)*'DB additional information '!$S$6/100*'DB additional information '!$T$6*VLOOKUP($C$403,'DB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R403" s="473" t="str">
        <f>IF(D403="","",(VLOOKUP(D403,'DB technologies'!$N$196:$Y$208,3,FALSE)*'DB additional information '!$S$7/100*'DB additional information '!$T$7*VLOOKUP($C$403,'DB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S403" s="490" t="str">
        <f>IF(D403="","",(VLOOKUP(D403,'DB technologies'!$N$196:$Y$208,4,FALSE)*('DB additional information '!$S$8/100*'DB additional information '!$T$8*E403/1000/1000)))</f>
        <v/>
      </c>
      <c r="T403" s="263" t="str">
        <f>IF($C$403=0,"",IF('Calc (ex-animal)'!$F$78=1,"",IF(D403="","",((VLOOKUP($C$403,'Calc (ex-animal)'!$D$78:$Y$82,10,FALSE)-VLOOKUP($C$403,'Calc (ex-animal)'!$D$78:$Y$82,18,FALSE))*F403/100+Q403+R403+S403)-AC403-AD403-AE403)))</f>
        <v/>
      </c>
      <c r="U403" s="474" t="str">
        <f>IF(D403="","",(VLOOKUP(D403,'DB technologies'!$N$196:$Y$208,2,FALSE)*'DB additional information '!$S$6/100*'DB additional information '!$U$6*VLOOKUP($C$403,'DB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V403" s="420" t="str">
        <f>IF(D403="","",(VLOOKUP(D403,'DB technologies'!$N$196:$Y$208,3,FALSE)*'DB additional information '!$S$7/100*'DB additional information '!$U$7*VLOOKUP($C$403,'DB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W403" s="415" t="str">
        <f>IF(D403="","",(VLOOKUP(D403,'DB technologies'!$N$196:$Y$208,4,FALSE)*('DB additional information '!$S$8/100*'DB additional information '!$U$8*E403/1000/1000)))</f>
        <v/>
      </c>
      <c r="X403" s="259" t="str">
        <f>IF($C$403=0,"",IF('Calc (ex-animal)'!$F$78=1,"",IF(D403="","",((VLOOKUP($C$403,'Calc (ex-animal)'!$D$78:$Y$82,13,FALSE)-VLOOKUP($C$403,'Calc (ex-animal)'!$D$78:$Y$82,19,FALSE))*F403/100+U403+V403+W403))))</f>
        <v/>
      </c>
      <c r="Y403" s="420" t="str">
        <f>IF(D403="","",(VLOOKUP(D403,'DB technologies'!$N$196:$Y$208,2,FALSE)*'DB additional information '!$S$6/100*'DB additional information '!$V$6*VLOOKUP($C$403,'DB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Z403" s="420" t="str">
        <f>IF(D403="","",(VLOOKUP(D403,'DB technologies'!$N$196:$Y$208,3,FALSE)*'DB additional information '!$S$7/100*'DB additional information '!$V$7*VLOOKUP($C$403,'DB animal categories'!$C$147:$AC$156,27,FALSE)*E403/1000/1000)/VLOOKUP($C$403,'DB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AA403" s="420" t="str">
        <f>IF(D403="","",(VLOOKUP(D403,'DB technologies'!$N$196:$Y$208,4,FALSE)*('DB additional information '!$S$8/100*'DB additional information '!$V$8*E403/1000/1000)))</f>
        <v/>
      </c>
      <c r="AB403" s="259" t="str">
        <f>IF($C$403=0,"",IF('Calc (ex-animal)'!$F$78=1,"",IF(D403="","",((VLOOKUP($C$403,'Calc (ex-animal)'!$D$78:$Y$82,16,FALSE)-VLOOKUP($C$403,'Calc (ex-animal)'!$D$78:$Y$82,20,FALSE))*F403/100+Y403+Z403+AA403))))</f>
        <v/>
      </c>
      <c r="AC403" s="259" t="str">
        <f>IF($C$403=0,"",IF('Calc (ex-animal)'!$F$78=1,"",IF(D403="","",VLOOKUP($C$403,'Calc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categories'!$C$147:$AC$156,26,FALSE)/24)*F403/100*VLOOKUP(D403,'DB technologies'!$N$196:$R$208,5,FALSE)/100)))</f>
        <v/>
      </c>
      <c r="AD403" s="259" t="str">
        <f>IF($C$403=0,"",IF('Calc (ex-animal)'!$F$78=1,"",IF(D403="","",VLOOKUP($C$403,'Calc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categories'!$C$147:$AC$156,26,FALSE)/24)*F403/100*VLOOKUP(D403,'DB technologies'!$N$196:$Y$208,6,FALSE)/100)))</f>
        <v/>
      </c>
      <c r="AE403" s="260" t="str">
        <f>IF($C$403=0,"",IF('Calc (ex-animal)'!$F$78=1,"",IF(D403="","",VLOOKUP($C$403,'Calc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categories'!$C$147:$AC$156,26,FALSE)/24)*F403/100*VLOOKUP(D403,'DB technologies'!$N$196:$Y$208,7,FALSE)/100)))</f>
        <v/>
      </c>
      <c r="AI403" s="179" t="str">
        <f>IF(D403="","",VLOOKUP(D403,'DB technologies'!$N$196:$Y$208,10,FALSE))</f>
        <v/>
      </c>
      <c r="AJ403" s="482" t="e">
        <f>VLOOKUP($C$403,'DB animal categories'!$C$147:$AN$156,27,FALSE)-VLOOKUP($C$403,'DB animal categories'!$C$147:$AN$156,26,FALSE)*VLOOKUP($C$403,'DB animal categories'!$C$147:$AN$156,25,FALSE)/24</f>
        <v>#N/A</v>
      </c>
      <c r="AK403" s="453" t="str">
        <f>IF(AI403="","",AL403+AM403)</f>
        <v/>
      </c>
      <c r="AL403" s="453" t="str">
        <f>IF(D403="","",IF(AI403=2,(('Calc (ex-animal)'!$G$79*'DB additional information '!$K$17/100*(1-VLOOKUP(D403,'DB technologies'!$N$196:$Y$208,9,FALSE)/100)*'Calc (ex-housing, ex-storage)'!F403/100+'Calc (ex-animal)'!$H$79*'DB additional information '!$L$17/100*(1-VLOOKUP(D403,'DB technologies'!$N$196:$Y$208,9,FALSE)/100)*'Calc (ex-housing, ex-storage)'!F403/100))/VLOOKUP($C$403,'DB animal categories'!$C$147:$AC$156,27,FALSE)*AJ403+I403+J403+K403,IF(AI403=1,('Calc (ex-animal)'!$H$79*'DB additional information '!$L$17/100*(1-VLOOKUP(D403,'DB technologies'!$N$196:$Y$208,9,FALSE)/100)*'Calc (ex-housing, ex-storage)'!F403/100)/VLOOKUP($C$403,'DB animal categories'!$C$147:$AC$156,27,FALSE)*AJ403,IF(AI403=4,('Calc (ex-animal)'!$G$79*'DB additional information '!$K$17/100+'Calc (ex-animal)'!$H$79*'DB additional information '!$L$17/100)*(1-VLOOKUP(D403,'DB technologies'!$N$196:$Y$208,9,FALSE)/100)*'Calc (ex-housing, ex-storage)'!F403/100*VLOOKUP(D403,'DB technologies'!$N$196:$Y$208,11,FALSE)/100/VLOOKUP($C$403,'DB animal categories'!$C$147:$AC$156,27,FALSE)*AJ403,0))))</f>
        <v/>
      </c>
      <c r="AM403" s="453" t="str">
        <f>IF(D403="","",IF(AI403=2,(('Calc (ex-animal)'!$G$79*(1-'DB additional information '!$K$17/100)*(1-VLOOKUP(D403,'DB technologies'!$N$196:$Y$208,8,FALSE)/100)*'Calc (ex-housing, ex-storage)'!F403/100+'Calc (ex-animal)'!$H$79*(1-'DB additional information '!$L$17/100)*(1-VLOOKUP(D403,'DB technologies'!$N$196:$Y$208,8,FALSE)/100)*'Calc (ex-housing, ex-storage)'!F403/100))/VLOOKUP($C$403,'DB animal categories'!$C$147:$AC$156,27,FALSE)*AJ403+M403+N403+O403,IF(AI403=1,('Calc (ex-animal)'!$H$79*(1-'DB additional information '!$L$17/100)*(1-VLOOKUP(D403,'DB technologies'!$N$196:$Y$208,8,FALSE)/100)*'Calc (ex-housing, ex-storage)'!F403/100)/VLOOKUP($C$403,'DB animal categories'!$C$147:$AC$156,27,FALSE)*AJ403,IF(AI403=4,('Calc (ex-animal)'!$G$79*(1-'DB additional information '!$K$17/100)+'Calc (ex-animal)'!$H$79*(1-'DB additional information '!$L$17/100))*(1-VLOOKUP(D403,'DB technologies'!$N$196:$Y$208,8,FALSE)/100)*'Calc (ex-housing, ex-storage)'!F403/100*VLOOKUP(D403,'DB technologies'!$N$196:$Y$208,11,FALSE)/100/VLOOKUP($C$403,'DB animal categories'!$C$147:$AC$156,27,FALSE)*AJ403,0))))</f>
        <v/>
      </c>
      <c r="AN403" s="453" t="str">
        <f>IF(AI403="","",IF(AL403=0,0,AL403/AK403*100))</f>
        <v/>
      </c>
      <c r="AO403" s="180" t="str">
        <f>IF(D403="","",IF(AI403=2,(('Calc (ex-animal)'!$L$79*'Calc (ex-housing, ex-storage)'!F403/100+'Calc (ex-animal)'!$K$79*'Calc (ex-housing, ex-storage)'!F403/100))/VLOOKUP($C$403,'DB animal categories'!$C$147:$AC$156,27,FALSE)*AJ403+Q403+R403+S403-AC403,IF(AI403=1,('Calc (ex-animal)'!$L$79*'Calc (ex-housing, ex-storage)'!F403/100)/VLOOKUP($C$403,'DB animal categories'!$C$147:$AC$156,27,FALSE)*AJ403-'Calc (ex-housing, ex-storage)'!AC403,IF(AI403=4,('Calc (ex-animal)'!$L$79+'Calc (ex-animal)'!$K$79)*'Calc (ex-housing, ex-storage)'!F403/100*VLOOKUP(D403,'DB technologies'!$N$196:$Y$208,11,FALSE)/100/VLOOKUP($C$403,'DB animal categories'!$C$147:$AC$156,27,FALSE)*AJ403-AC403*VLOOKUP(D403,'DB technologies'!$N$196:$Y$208,11,FALSE)/100,0))))</f>
        <v/>
      </c>
      <c r="AP403" s="180" t="str">
        <f>IF(D403="","",IF(AO403&lt;-0.01,0,IF(AI403=2,(('Calc (ex-animal)'!$L$79*'Calc (ex-housing, ex-storage)'!F403/100+'Calc (ex-animal)'!$K$79*'Calc (ex-housing, ex-storage)'!F403/100))/VLOOKUP($C$403,'DB animal categories'!$C$147:$AC$156,27,FALSE)*AJ403+Q403+R403+S403-AC403,IF(AI403=1,('Calc (ex-animal)'!$L$79*'Calc (ex-housing, ex-storage)'!F403/100)/VLOOKUP($C$403,'DB animal categories'!$C$147:$AC$156,27,FALSE)*AJ403-'Calc (ex-housing, ex-storage)'!AC403,IF(AI403=4,('Calc (ex-animal)'!$L$79+'Calc (ex-animal)'!$K$79)*'Calc (ex-housing, ex-storage)'!F403/100*VLOOKUP(D403,'DB technologies'!$N$196:$Y$208,11,FALSE)/100/VLOOKUP($C$403,'DB animal categories'!$C$147:$AC$156,27,FALSE)*AJ403-AC403*VLOOKUP(D403,'DB technologies'!$N$196:$Y$208,11,FALSE)/100,0)))))</f>
        <v/>
      </c>
      <c r="AQ403" s="180" t="str">
        <f>IF(D403="","",IF(AI403=2,('Calc (ex-animal)'!$O$79*'Calc (ex-housing, ex-storage)'!F403/100+'Calc (ex-animal)'!$N$79*'Calc (ex-housing, ex-storage)'!F403/100)/VLOOKUP($C$403,'DB animal categories'!$C$147:$AC$156,27,FALSE)*AJ403+U403+V403+W403,IF(AI403=1,'Calc (ex-animal)'!$O$79*'Calc (ex-housing, ex-storage)'!F403/100/VLOOKUP($C$403,'DB animal categories'!$C$147:$AC$156,27,FALSE)*AJ403,IF(AI403=4,('Calc (ex-animal)'!$O$79+'Calc (ex-animal)'!$N$79)*'Calc (ex-housing, ex-storage)'!F403/100*VLOOKUP(D403,'DB technologies'!$N$196:$Y$208,11,FALSE)/100/VLOOKUP($C$403,'DB animal categories'!$C$147:$AC$156,27,FALSE)*AJ403,0))))</f>
        <v/>
      </c>
      <c r="AR403" s="180" t="str">
        <f>IF(D403="","",IF(AI403=2,('Calc (ex-animal)'!$R$79*'Calc (ex-housing, ex-storage)'!F403/100+'Calc (ex-animal)'!$Q$79*'Calc (ex-housing, ex-storage)'!F403/100)/VLOOKUP($C$403,'DB animal categories'!$C$147:$AC$156,27,FALSE)*AJ403+Y403+Z403+AA403,IF(AI403=1,'Calc (ex-animal)'!$R$79*'Calc (ex-housing, ex-storage)'!F403/100/VLOOKUP($C$403,'DB animal categories'!$C$147:$AC$156,27,FALSE)*AJ403,IF(AI403=4,('Calc (ex-animal)'!$R$79+'Calc (ex-animal)'!$Q$79)*'Calc (ex-housing, ex-storage)'!F403/100*VLOOKUP(D403,'DB technologies'!$N$196:$Y$208,11,FALSE)/100/VLOOKUP($C$403,'DB animal categories'!$C$147:$AC$156,27,FALSE)*AJ403,0))))</f>
        <v/>
      </c>
      <c r="AS403" s="179" t="str">
        <f>IF(D403="","",VLOOKUP(D403,'DB technologies'!$N$196:$Y$208,10,FALSE))</f>
        <v/>
      </c>
      <c r="AT403" s="453" t="str">
        <f>IF(AS403="","",AU403+AV403)</f>
        <v/>
      </c>
      <c r="AU403" s="453" t="str">
        <f>IF(D403="","",IF(AS403=2,0,IF(AS403=1,'Calc (ex-animal)'!$G$79*'DB additional information '!$K$17/100*(1-VLOOKUP(D403,'DB technologies'!$N$196:$Y$208,8,FALSE)/100)*'Calc (ex-housing, ex-storage)'!F403/100/VLOOKUP($C$403,'DB animal categories'!$C$147:$AC$156,27,FALSE)*AJ403+I403+J403+K403,IF(AS403=5,(('Calc (ex-animal)'!$G$79*'DB additional information '!$K$17/100+'Calc (ex-animal)'!$H$79*'DB additional information '!$L$17/100))*(1-VLOOKUP(D403,'DB technologies'!$N$196:$Y$208,9,FALSE)/100)*'Calc (ex-housing, ex-storage)'!F403/100/VLOOKUP($C$403,'DB animal categories'!$C$147:$AC$156,27,FALSE)*AJ403+I403+J403+K403,IF(AS403=3,('Calc (ex-animal)'!$G$79*'DB additional information '!$K$17/100+'Calc (ex-animal)'!$H$79*'DB additional information '!$L$17/100)*(1-VLOOKUP(D403,'DB technologies'!$N$196:$Y$208,9,FALSE)/100)*'Calc (ex-housing, ex-storage)'!F403/100/VLOOKUP($C$403,'DB animal categories'!$C$147:$AC$156,27,FALSE)*AJ403+I403+J403+K403,IF(AS403=4,('Calc (ex-animal)'!$G$79*'DB additional information '!$K$17/100+'Calc (ex-animal)'!$H$79*'DB additional information '!$L$17/100)*(1-VLOOKUP(D403,'DB technologies'!$N$196:$Y$208,9,FALSE)/100)*'Calc (ex-housing, ex-storage)'!F403/100*VLOOKUP(D403,'DB technologies'!$N$196:$Y$208,12,FALSE)/100/VLOOKUP($C$403,'DB animal categories'!$C$147:$AC$156,27,FALSE)*AJ403+I403+J403+K403,0))))))</f>
        <v/>
      </c>
      <c r="AV403" s="453" t="str">
        <f>IF(D403="","",IF(AS403=2,0,IF(AS403=1,'Calc (ex-animal)'!$G$79*(1-'DB additional information '!$K$17/100)*(1-VLOOKUP(D403,'DB technologies'!$N$196:$Y$208,8,FALSE)/100)*'Calc (ex-housing, ex-storage)'!F403/100/VLOOKUP($C$403,'DB animal categories'!$C$147:$AC$156,27,FALSE)*AJ403+M403+N403+O403,IF(AS403=5,('Calc (ex-animal)'!$G$79*(1-'DB additional information '!$K$17/100)+'Calc (ex-animal)'!$H$79*(1-'DB additional information '!$L$17/100))*(1-VLOOKUP(D403,'DB technologies'!$N$196:$Y$208,8,FALSE)/100)*'Calc (ex-housing, ex-storage)'!F403/100/VLOOKUP($C$403,'DB animal categories'!$C$147:$AC$156,27,FALSE)*AJ403+M403+N403+O403,IF(AS403=3,('Calc (ex-animal)'!$G$79*(1-'DB additional information '!$K$17/100)+'Calc (ex-animal)'!$H$79*(1-'DB additional information '!$L$17/100))*(1-VLOOKUP(D403,'DB technologies'!$N$196:$Y$208,8,FALSE)/100)*'Calc (ex-housing, ex-storage)'!F403/100/VLOOKUP($C$403,'DB animal categories'!$C$147:$AC$156,27,FALSE)*AJ403+M403+N403+O403,IF(AS403=4,('Calc (ex-animal)'!$G$79*(1-'DB additional information '!$K$17/100)+'Calc (ex-animal)'!$H$79*(1-'DB additional information '!$L$17/100))*(1-VLOOKUP(D403,'DB technologies'!$N$196:$Y$208,8,FALSE)/100)*'Calc (ex-housing, ex-storage)'!F403/100*VLOOKUP(D403,'DB technologies'!$N$196:$Y$208,12,FALSE)/100/VLOOKUP($C$403,'DB animal categories'!$C$147:$AC$156,27,FALSE)*AJ403+M403+N403+O403,0))))))</f>
        <v/>
      </c>
      <c r="AW403" s="453" t="str">
        <f>IF(AS403="","",IF(AU403=0,0,AU403/AT403*100))</f>
        <v/>
      </c>
      <c r="AX403" s="180" t="str">
        <f>IF(D403="","",IF(AS403=2,0,IF(AS403=1,'Calc (ex-animal)'!$K$79*'Calc (ex-housing, ex-storage)'!F403/100/VLOOKUP($C$403,'DB animal categories'!$C$147:$AC$156,27,FALSE)*AJ403+Q403+R403+S403,IF(AS403=5,('Calc (ex-animal)'!$K$79+'Calc (ex-animal)'!$L$79)*'Calc (ex-housing, ex-storage)'!F403/100/VLOOKUP($C$403,'DB animal categories'!$C$147:$AC$156,27,FALSE)*AJ403+Q403+R403+S403-'Calc (ex-housing, ex-storage)'!AC403,IF(AS403=3,('Calc (ex-animal)'!$K$79+'Calc (ex-animal)'!$L$79)*'Calc (ex-housing, ex-storage)'!F403/100/VLOOKUP($C$403,'DB animal categories'!$C$147:$AC$156,27,FALSE)*AJ403+Q403+R403+S403-'Calc (ex-housing, ex-storage)'!AC403-AD403-AE403,IF(AI403=4,('Calc (ex-animal)'!$K$79+'Calc (ex-animal)'!$L$79)*'Calc (ex-housing, ex-storage)'!F403/100*VLOOKUP(D403,'DB technologies'!$N$196:$Y$208,12,FALSE)/100/VLOOKUP($C$403,'DB animal categories'!$C$147:$AC$156,27,FALSE)*AJ403+Q403+R403+S403-(VLOOKUP(D403,'DB technologies'!$N$196:$Y$208,12,FALSE)/100*AC403)-AD403-AE403,0))))))</f>
        <v/>
      </c>
      <c r="AY403" s="180" t="str">
        <f>IF(D403="","",IF(AS403=2,0,IF(AS403=1,'Calc (ex-animal)'!$N$79*'Calc (ex-housing, ex-storage)'!F403/100/VLOOKUP($C$403,'DB animal categories'!$C$147:$AC$156,27,FALSE)*AJ403+U403+V403+W403,IF(AS403=5,('Calc (ex-animal)'!$N$79+'Calc (ex-animal)'!$O$79)*'Calc (ex-housing, ex-storage)'!F403/100/VLOOKUP($C$403,'DB animal categories'!$C$147:$AC$156,27,FALSE)*AJ403+U403+V403+W403,IF(AS403=3,('Calc (ex-animal)'!$N$79+'Calc (ex-animal)'!$O$79)*'Calc (ex-housing, ex-storage)'!F403/100/VLOOKUP($C$403,'DB animal categories'!$C$147:$AC$156,27,FALSE)*AJ403+U403+V403+W403,IF(AS403=4,('Calc (ex-animal)'!$N$79+'Calc (ex-animal)'!$O$79)*'Calc (ex-housing, ex-storage)'!F403/100*VLOOKUP(D403,'DB technologies'!$N$196:$Y$208,12,FALSE)/100/VLOOKUP($C$403,'DB animal categories'!$C$147:$AC$156,27,FALSE)*AJ403+U403+V403+W403,0))))))</f>
        <v/>
      </c>
      <c r="AZ403" s="180" t="str">
        <f>IF(D403="","",IF(AS403=2,0,IF(AS403=1,'Calc (ex-animal)'!$Q$79*'Calc (ex-housing, ex-storage)'!F403/100/VLOOKUP($C$403,'DB animal categories'!$C$147:$AC$156,27,FALSE)*AJ403+Y403+Z403+AA403,IF(AS403=5,('Calc (ex-animal)'!$Q$79+'Calc (ex-animal)'!$R$79)*'Calc (ex-housing, ex-storage)'!F403/100/VLOOKUP($C$403,'DB animal categories'!$C$147:$AC$156,27,FALSE)*AJ403+Y403+Z403+AA403,IF(AS403=3,('Calc (ex-animal)'!$Q$79+'Calc (ex-animal)'!$R$79)*'Calc (ex-housing, ex-storage)'!F403/100/VLOOKUP($C$403,'DB animal categories'!$C$147:$AC$156,27,FALSE)*AJ403+Y403+Z403+AA403,IF(AS403=4,('Calc (ex-animal)'!$Q$79+'Calc (ex-animal)'!$R$79)*'Calc (ex-housing, ex-storage)'!F403/100*VLOOKUP(D403,'DB technologies'!$N$196:$Y$208,12,FALSE)/100/VLOOKUP($C$403,'DB animal categories'!$C$147:$AC$156,27,FALSE)*AJ403+Y403+Z403+AA403,0))))))</f>
        <v/>
      </c>
      <c r="BA403" s="506"/>
      <c r="BB403" s="506"/>
      <c r="BC403" s="506"/>
    </row>
    <row r="404" spans="1:55" x14ac:dyDescent="0.2">
      <c r="A404" s="695"/>
      <c r="B404" s="695"/>
      <c r="C404" s="251"/>
      <c r="D404" s="1357"/>
      <c r="E404" s="1399"/>
      <c r="F404" s="480" t="str">
        <f>IF('Calc (ex-animal)'!$F$78=1,"",IF($C$403=0,"",IF(D404="","",E404/'Calc (ex-animal)'!$E$79*100)))</f>
        <v/>
      </c>
      <c r="G404" s="485" t="str">
        <f>IF($C$403=0,"",IF('Calc (ex-animal)'!$F$78=1,"",IF(D404="","",SUM(H404:O404))))</f>
        <v/>
      </c>
      <c r="H404" s="423" t="str">
        <f>IF('Calc (ex-animal)'!$F$78=1,"",IF(D404="","",(((VLOOKUP($C$403,'Calc (ex-animal)'!$D$78:$Y$82,6,FALSE)-VLOOKUP($C$403,'Calc (ex-animal)'!$D$78:$Y$82,17,FALSE))*F404/100))*VLOOKUP($C$403,'Calc (ex-animal)'!$D$78:$Y$82,7,FALSE)/100*(1-VLOOKUP(D404,'DB technologies'!$N$196:$Y$208,9,FALSE)/100)))</f>
        <v/>
      </c>
      <c r="I404" s="423" t="str">
        <f>IF(D404="","",((VLOOKUP(D404,'DB technologies'!$N$196:$Y$208,2,FALSE)*VLOOKUP($C$403,'DB animal categories'!$C$147:$AC$156,27,FALSE)*E404/1000)/VLOOKUP($C$403,'DB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'!$S$6/100*(1-VLOOKUP(D404,'DB technologies'!$N$196:$Y$208,9,FALSE)/100)))</f>
        <v/>
      </c>
      <c r="J404" s="434" t="str">
        <f>IF(D404="","",((VLOOKUP(D404,'DB technologies'!$N$196:$Y$208,3,FALSE)*VLOOKUP($C$403,'DB animal categories'!$C$147:$AC$156,27,FALSE)*E404/1000)/VLOOKUP($C$403,'DB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'!$S$7/100*(1-VLOOKUP(D404,'DB technologies'!$N$196:$Y$208,9,FALSE)/100)))</f>
        <v/>
      </c>
      <c r="K404" s="434" t="str">
        <f>IF(D404="","",((VLOOKUP(D404,'DB technologies'!$N$196:$Y$208,4,FALSE)*E404*'DB additional information '!$S$8/100*(1-VLOOKUP(D404,'DB technologies'!$N$196:$Y$208,9,FALSE)/100))/VLOOKUP($C$403,'DB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L404" s="423" t="str">
        <f>IF('Calc (ex-animal)'!$F$78=1,"",IF(D404="","",(((VLOOKUP($C$403,'Calc (ex-animal)'!$D$78:$Y$82,6,FALSE)-VLOOKUP($C$403,'Calc (ex-animal)'!$D$78:$Y$82,17,FALSE))*F404/100))*(1-VLOOKUP($C$403,'Calc (ex-animal)'!$D$78:$Y$82,7,FALSE)/100)*(1-VLOOKUP(D404,'DB technologies'!$N$196:$V$208,8,FALSE)/100)))</f>
        <v/>
      </c>
      <c r="M404" s="434" t="str">
        <f>IF(D404="","",((VLOOKUP(D404,'DB technologies'!$N$196:$Y$208,2,FALSE)*VLOOKUP($C$403,'DB animal categories'!$C$147:$AC$156,27,FALSE)*E404/1000)/VLOOKUP($C$403,'DB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'!$S$6/100)*(1-VLOOKUP(D404,'DB technologies'!$N$196:$Y$208,9,FALSE)/100))</f>
        <v/>
      </c>
      <c r="N404" s="434" t="str">
        <f>IF(D404="","",((VLOOKUP(D404,'DB technologies'!$N$196:$Y$208,3,FALSE)*VLOOKUP($C$403,'DB animal categories'!$C$147:$AC$156,27,FALSE)*E404/1000)/VLOOKUP($C$403,'DB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'!$S$7/100)*(1-VLOOKUP(D404,'DB technologies'!$N$196:$Y$208,9,FALSE)/100))</f>
        <v/>
      </c>
      <c r="O404" s="423" t="str">
        <f>IF(D404="","",((VLOOKUP(D404,'DB technologies'!$N$196:$Y$208,4,FALSE)*E404*(1-'DB additional information '!$S$8/100)*(1-VLOOKUP(D404,'DB technologies'!$N$196:$Y$208,8,FALSE)/100))/VLOOKUP($C$403,'DB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P404" s="438" t="str">
        <f>IF(G404=0,0,IF(E404="","",IF(F404="","",IF($C$403=0,"",IF(D404="","",SUM(H404:K404)/G404*100)))))</f>
        <v/>
      </c>
      <c r="Q404" s="416" t="str">
        <f>IF(D404="","",(VLOOKUP(D404,'DB technologies'!$N$196:$Y$208,2,FALSE)*'DB additional information '!$S$6/100*'DB additional information '!$T$6*VLOOKUP($C$403,'DB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R404" s="416" t="str">
        <f>IF(D404="","",(VLOOKUP(D404,'DB technologies'!$N$196:$Y$208,3,FALSE)*'DB additional information '!$S$7/100*'DB additional information '!$T$7*VLOOKUP($C$403,'DB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S404" s="491" t="str">
        <f>IF(D404="","",(VLOOKUP(D404,'DB technologies'!$N$196:$Y$208,4,FALSE)*('DB additional information '!$S$8/100*'DB additional information '!$T$8*E404/1000/1000)))</f>
        <v/>
      </c>
      <c r="T404" s="264" t="str">
        <f>IF($C$403=0,"",IF('Calc (ex-animal)'!$F$78=1,"",IF(D404="","",((VLOOKUP($C$403,'Calc (ex-animal)'!$D$78:$Y$82,10,FALSE)-VLOOKUP($C$403,'Calc (ex-animal)'!$D$78:$Y$82,18,FALSE))*F404/100+Q404+R404+S404)-AC404-AD404-AE404)))</f>
        <v/>
      </c>
      <c r="U404" s="422" t="str">
        <f>IF(D404="","",(VLOOKUP(D404,'DB technologies'!$N$196:$Y$208,2,FALSE)*'DB additional information '!$S$6/100*'DB additional information '!$U$6*VLOOKUP($C$403,'DB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V404" s="418" t="str">
        <f>IF(D404="","",(VLOOKUP(D404,'DB technologies'!$N$196:$Y$208,3,FALSE)*'DB additional information '!$S$7/100*'DB additional information '!$U$7*VLOOKUP($C$403,'DB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W404" s="417" t="str">
        <f>IF(D404="","",(VLOOKUP(D404,'DB technologies'!$N$196:$Y$208,4,FALSE)*('DB additional information '!$S$8/100*'DB additional information '!$U$8*E404/1000/1000)))</f>
        <v/>
      </c>
      <c r="X404" s="261" t="str">
        <f>IF($C$403=0,"",IF('Calc (ex-animal)'!$F$78=1,"",IF(D404="","",((VLOOKUP($C$403,'Calc (ex-animal)'!$D$78:$Y$82,13,FALSE)-VLOOKUP($C$403,'Calc (ex-animal)'!$D$78:$Y$82,19,FALSE))*F404/100+U404+V404+W404))))</f>
        <v/>
      </c>
      <c r="Y404" s="418" t="str">
        <f>IF(D404="","",(VLOOKUP(D404,'DB technologies'!$N$196:$Y$208,2,FALSE)*'DB additional information '!$S$6/100*'DB additional information '!$V$6*VLOOKUP($C$403,'DB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Z404" s="418" t="str">
        <f>IF(D404="","",(VLOOKUP(D404,'DB technologies'!$N$196:$Y$208,3,FALSE)*'DB additional information '!$S$7/100*'DB additional information '!$V$7*VLOOKUP($C$403,'DB animal categories'!$C$147:$AC$156,27,FALSE)*E404/1000/1000)/VLOOKUP($C$403,'DB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AA404" s="418" t="str">
        <f>IF(D404="","",(VLOOKUP(D404,'DB technologies'!$N$196:$Y$208,4,FALSE)*('DB additional information '!$S$8/100*'DB additional information '!$V$8*E404/1000/1000)))</f>
        <v/>
      </c>
      <c r="AB404" s="261" t="str">
        <f>IF($C$403=0,"",IF('Calc (ex-animal)'!$F$78=1,"",IF(D404="","",((VLOOKUP($C$403,'Calc (ex-animal)'!$D$78:$Y$82,16,FALSE)-VLOOKUP($C$403,'Calc (ex-animal)'!$D$78:$Y$82,20,FALSE))*F404/100+Y404+Z404+AA404))))</f>
        <v/>
      </c>
      <c r="AC404" s="261" t="str">
        <f>IF($C$403=0,"",IF('Calc (ex-animal)'!$F$78=1,"",IF(D404="","",VLOOKUP($C$403,'Calc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categories'!$C$147:$AC$156,26,FALSE)/24)*F404/100*VLOOKUP(D404,'DB technologies'!$N$196:$R$208,5,FALSE)/100)))</f>
        <v/>
      </c>
      <c r="AD404" s="261" t="str">
        <f>IF($C$403=0,"",IF('Calc (ex-animal)'!$F$78=1,"",IF(D404="","",VLOOKUP($C$403,'Calc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categories'!$C$147:$AC$156,26,FALSE)/24)*F404/100*VLOOKUP(D404,'DB technologies'!$N$196:$Y$208,6,FALSE)/100)))</f>
        <v/>
      </c>
      <c r="AE404" s="262" t="str">
        <f>IF($C$403=0,"",IF('Calc (ex-animal)'!$F$78=1,"",IF(D404="","",VLOOKUP($C$403,'Calc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categories'!$C$147:$AC$156,26,FALSE)/24)*F404/100*VLOOKUP(D404,'DB technologies'!$N$196:$Y$208,7,FALSE)/100)))</f>
        <v/>
      </c>
      <c r="AI404" s="181" t="str">
        <f>IF(D404="","",VLOOKUP(D404,'DB technologies'!$N$196:$Y$208,10,FALSE))</f>
        <v/>
      </c>
      <c r="AJ404" s="449" t="e">
        <f>VLOOKUP($C$403,'DB animal categories'!$C$147:$AN$156,27,FALSE)-VLOOKUP($C$403,'DB animal categories'!$C$147:$AN$156,26,FALSE)*VLOOKUP($C$403,'DB animal categories'!$C$147:$AN$156,25,FALSE)/24</f>
        <v>#N/A</v>
      </c>
      <c r="AK404" s="442" t="str">
        <f>IF(AI404="","",AL404+AM404)</f>
        <v/>
      </c>
      <c r="AL404" s="442" t="str">
        <f>IF(D404="","",IF(AI404=2,(('Calc (ex-animal)'!$G$79*'DB additional information '!$K$17/100*(1-VLOOKUP(D404,'DB technologies'!$N$196:$Y$208,9,FALSE)/100)*'Calc (ex-housing, ex-storage)'!F404/100+'Calc (ex-animal)'!$H$79*'DB additional information '!$L$17/100*(1-VLOOKUP(D404,'DB technologies'!$N$196:$Y$208,9,FALSE)/100)*'Calc (ex-housing, ex-storage)'!F404/100))/VLOOKUP($C$403,'DB animal categories'!$C$147:$AC$156,27,FALSE)*AJ404+I404+J404+K404,IF(AI404=1,('Calc (ex-animal)'!$H$79*'DB additional information '!$L$17/100*(1-VLOOKUP(D404,'DB technologies'!$N$196:$Y$208,9,FALSE)/100)*'Calc (ex-housing, ex-storage)'!F404/100)/VLOOKUP($C$403,'DB animal categories'!$C$147:$AC$156,27,FALSE)*AJ404,IF(AI404=4,('Calc (ex-animal)'!$G$79*'DB additional information '!$K$17/100+'Calc (ex-animal)'!$H$79*'DB additional information '!$L$17/100)*(1-VLOOKUP(D404,'DB technologies'!$N$196:$Y$208,9,FALSE)/100)*'Calc (ex-housing, ex-storage)'!F404/100*VLOOKUP(D404,'DB technologies'!$N$196:$Y$208,11,FALSE)/100/VLOOKUP($C$403,'DB animal categories'!$C$147:$AC$156,27,FALSE)*AJ404,0))))</f>
        <v/>
      </c>
      <c r="AM404" s="442" t="str">
        <f>IF(D404="","",IF(AI404=2,(('Calc (ex-animal)'!$G$79*(1-'DB additional information '!$K$17/100)*(1-VLOOKUP(D404,'DB technologies'!$N$196:$Y$208,8,FALSE)/100)*'Calc (ex-housing, ex-storage)'!F404/100+'Calc (ex-animal)'!$H$79*(1-'DB additional information '!$L$17/100)*(1-VLOOKUP(D404,'DB technologies'!$N$196:$Y$208,8,FALSE)/100)*'Calc (ex-housing, ex-storage)'!F404/100))/VLOOKUP($C$403,'DB animal categories'!$C$147:$AC$156,27,FALSE)*AJ404+M404+N404+O404,IF(AI404=1,('Calc (ex-animal)'!$H$79*(1-'DB additional information '!$L$17/100)*(1-VLOOKUP(D404,'DB technologies'!$N$196:$Y$208,8,FALSE)/100)*'Calc (ex-housing, ex-storage)'!F404/100)/VLOOKUP($C$403,'DB animal categories'!$C$147:$AC$156,27,FALSE)*AJ404,IF(AI404=4,('Calc (ex-animal)'!$G$79*(1-'DB additional information '!$K$17/100)+'Calc (ex-animal)'!$H$79*(1-'DB additional information '!$L$17/100))*(1-VLOOKUP(D404,'DB technologies'!$N$196:$Y$208,8,FALSE)/100)*'Calc (ex-housing, ex-storage)'!F404/100*VLOOKUP(D404,'DB technologies'!$N$196:$Y$208,11,FALSE)/100/VLOOKUP($C$403,'DB animal categories'!$C$147:$AC$156,27,FALSE)*AJ404,0))))</f>
        <v/>
      </c>
      <c r="AN404" s="442" t="str">
        <f>IF(AI404="","",IF(AL404=0,0,AL404/AK404*100))</f>
        <v/>
      </c>
      <c r="AO404" s="182" t="str">
        <f>IF(D404="","",IF(AI404=2,(('Calc (ex-animal)'!$L$79*'Calc (ex-housing, ex-storage)'!F404/100+'Calc (ex-animal)'!$K$79*'Calc (ex-housing, ex-storage)'!F404/100))/VLOOKUP($C$403,'DB animal categories'!$C$147:$AC$156,27,FALSE)*AJ404+Q404+R404+S404-AC404,IF(AI404=1,('Calc (ex-animal)'!$L$79*'Calc (ex-housing, ex-storage)'!F404/100)/VLOOKUP($C$403,'DB animal categories'!$C$147:$AC$156,27,FALSE)*AJ404-'Calc (ex-housing, ex-storage)'!AC404,IF(AI404=4,('Calc (ex-animal)'!$L$79+'Calc (ex-animal)'!$K$79)*'Calc (ex-housing, ex-storage)'!F404/100*VLOOKUP(D404,'DB technologies'!$N$196:$Y$208,11,FALSE)/100/VLOOKUP($C$403,'DB animal categories'!$C$147:$AC$156,27,FALSE)*AJ404-AC404*VLOOKUP(D404,'DB technologies'!$N$196:$Y$208,11,FALSE)/100,0))))</f>
        <v/>
      </c>
      <c r="AP404" s="182" t="str">
        <f>IF(D404="","",IF(AO404&lt;-0.01,0,IF(AI404=2,(('Calc (ex-animal)'!$L$79*'Calc (ex-housing, ex-storage)'!F404/100+'Calc (ex-animal)'!$K$79*'Calc (ex-housing, ex-storage)'!F404/100))/VLOOKUP($C$403,'DB animal categories'!$C$147:$AC$156,27,FALSE)*AJ404+Q404+R404+S404-AC404,IF(AI404=1,('Calc (ex-animal)'!$L$79*'Calc (ex-housing, ex-storage)'!F404/100)/VLOOKUP($C$403,'DB animal categories'!$C$147:$AC$156,27,FALSE)*AJ404-'Calc (ex-housing, ex-storage)'!AC404,IF(AI404=4,('Calc (ex-animal)'!$L$79+'Calc (ex-animal)'!$K$79)*'Calc (ex-housing, ex-storage)'!F404/100*VLOOKUP(D404,'DB technologies'!$N$196:$Y$208,11,FALSE)/100/VLOOKUP($C$403,'DB animal categories'!$C$147:$AC$156,27,FALSE)*AJ404-AC404*VLOOKUP(D404,'DB technologies'!$N$196:$Y$208,11,FALSE)/100,0)))))</f>
        <v/>
      </c>
      <c r="AQ404" s="182" t="str">
        <f>IF(D404="","",IF(AI404=2,('Calc (ex-animal)'!$O$79*'Calc (ex-housing, ex-storage)'!F404/100+'Calc (ex-animal)'!$N$79*'Calc (ex-housing, ex-storage)'!F404/100)/VLOOKUP($C$403,'DB animal categories'!$C$147:$AC$156,27,FALSE)*AJ404+U404+V404+W404,IF(AI404=1,'Calc (ex-animal)'!$O$79*'Calc (ex-housing, ex-storage)'!F404/100/VLOOKUP($C$403,'DB animal categories'!$C$147:$AC$156,27,FALSE)*AJ404,IF(AI404=4,('Calc (ex-animal)'!$O$79+'Calc (ex-animal)'!$N$79)*'Calc (ex-housing, ex-storage)'!F404/100*VLOOKUP(D404,'DB technologies'!$N$196:$Y$208,11,FALSE)/100/VLOOKUP($C$403,'DB animal categories'!$C$147:$AC$156,27,FALSE)*AJ404,0))))</f>
        <v/>
      </c>
      <c r="AR404" s="182" t="str">
        <f>IF(D404="","",IF(AI404=2,('Calc (ex-animal)'!$R$79*'Calc (ex-housing, ex-storage)'!F404/100+'Calc (ex-animal)'!$Q$79*'Calc (ex-housing, ex-storage)'!F404/100)/VLOOKUP($C$403,'DB animal categories'!$C$147:$AC$156,27,FALSE)*AJ404+Y404+Z404+AA404,IF(AI404=1,'Calc (ex-animal)'!$R$79*'Calc (ex-housing, ex-storage)'!F404/100/VLOOKUP($C$403,'DB animal categories'!$C$147:$AC$156,27,FALSE)*AJ404,IF(AI404=4,('Calc (ex-animal)'!$R$79+'Calc (ex-animal)'!$Q$79)*'Calc (ex-housing, ex-storage)'!F404/100*VLOOKUP(D404,'DB technologies'!$N$196:$Y$208,11,FALSE)/100/VLOOKUP($C$403,'DB animal categories'!$C$147:$AC$156,27,FALSE)*AJ404,0))))</f>
        <v/>
      </c>
      <c r="AS404" s="181" t="str">
        <f>IF(D404="","",VLOOKUP(D404,'DB technologies'!$N$196:$Y$208,10,FALSE))</f>
        <v/>
      </c>
      <c r="AT404" s="442" t="str">
        <f>IF(AS404="","",AU404+AV404)</f>
        <v/>
      </c>
      <c r="AU404" s="442" t="str">
        <f>IF(D404="","",IF(AS404=2,0,IF(AS404=1,'Calc (ex-animal)'!$G$79*'DB additional information '!$K$17/100*(1-VLOOKUP(D404,'DB technologies'!$N$196:$Y$208,8,FALSE)/100)*'Calc (ex-housing, ex-storage)'!F404/100/VLOOKUP($C$403,'DB animal categories'!$C$147:$AC$156,27,FALSE)*AJ404+I404+J404+K404,IF(AS404=5,(('Calc (ex-animal)'!$G$79*'DB additional information '!$K$17/100+'Calc (ex-animal)'!$H$79*'DB additional information '!$L$17/100))*(1-VLOOKUP(D404,'DB technologies'!$N$196:$Y$208,9,FALSE)/100)*'Calc (ex-housing, ex-storage)'!F404/100/VLOOKUP($C$403,'DB animal categories'!$C$147:$AC$156,27,FALSE)*AJ404+I404+J404+K404,IF(AS404=3,('Calc (ex-animal)'!$G$79*'DB additional information '!$K$17/100+'Calc (ex-animal)'!$H$79*'DB additional information '!$L$17/100)*(1-VLOOKUP(D404,'DB technologies'!$N$196:$Y$208,9,FALSE)/100)*'Calc (ex-housing, ex-storage)'!F404/100/VLOOKUP($C$403,'DB animal categories'!$C$147:$AC$156,27,FALSE)*AJ404+I404+J404+K404,IF(AS404=4,('Calc (ex-animal)'!$G$79*'DB additional information '!$K$17/100+'Calc (ex-animal)'!$H$79*'DB additional information '!$L$17/100)*(1-VLOOKUP(D404,'DB technologies'!$N$196:$Y$208,9,FALSE)/100)*'Calc (ex-housing, ex-storage)'!F404/100*VLOOKUP(D404,'DB technologies'!$N$196:$Y$208,12,FALSE)/100/VLOOKUP($C$403,'DB animal categories'!$C$147:$AC$156,27,FALSE)*AJ404+I404+J404+K404,0))))))</f>
        <v/>
      </c>
      <c r="AV404" s="442" t="str">
        <f>IF(D404="","",IF(AS404=2,0,IF(AS404=1,'Calc (ex-animal)'!$G$79*(1-'DB additional information '!$K$17/100)*(1-VLOOKUP(D404,'DB technologies'!$N$196:$Y$208,8,FALSE)/100)*'Calc (ex-housing, ex-storage)'!F404/100/VLOOKUP($C$403,'DB animal categories'!$C$147:$AC$156,27,FALSE)*AJ404+M404+N404+O404,IF(AS404=5,('Calc (ex-animal)'!$G$79*(1-'DB additional information '!$K$17/100)+'Calc (ex-animal)'!$H$79*(1-'DB additional information '!$L$17/100))*(1-VLOOKUP(D404,'DB technologies'!$N$196:$Y$208,8,FALSE)/100)*'Calc (ex-housing, ex-storage)'!F404/100/VLOOKUP($C$403,'DB animal categories'!$C$147:$AC$156,27,FALSE)*AJ404+M404+N404+O404,IF(AS404=3,('Calc (ex-animal)'!$G$79*(1-'DB additional information '!$K$17/100)+'Calc (ex-animal)'!$H$79*(1-'DB additional information '!$L$17/100))*(1-VLOOKUP(D404,'DB technologies'!$N$196:$Y$208,8,FALSE)/100)*'Calc (ex-housing, ex-storage)'!F404/100/VLOOKUP($C$403,'DB animal categories'!$C$147:$AC$156,27,FALSE)*AJ404+M404+N404+O404,IF(AS404=4,('Calc (ex-animal)'!$G$79*(1-'DB additional information '!$K$17/100)+'Calc (ex-animal)'!$H$79*(1-'DB additional information '!$L$17/100))*(1-VLOOKUP(D404,'DB technologies'!$N$196:$Y$208,8,FALSE)/100)*'Calc (ex-housing, ex-storage)'!F404/100*VLOOKUP(D404,'DB technologies'!$N$196:$Y$208,12,FALSE)/100/VLOOKUP($C$403,'DB animal categories'!$C$147:$AC$156,27,FALSE)*AJ404+M404+N404+O404,0))))))</f>
        <v/>
      </c>
      <c r="AW404" s="442" t="str">
        <f>IF(AS404="","",IF(AU404=0,0,AU404/AT404*100))</f>
        <v/>
      </c>
      <c r="AX404" s="182" t="str">
        <f>IF(D404="","",IF(AS404=2,0,IF(AS404=1,'Calc (ex-animal)'!$K$79*'Calc (ex-housing, ex-storage)'!F404/100/VLOOKUP($C$403,'DB animal categories'!$C$147:$AC$156,27,FALSE)*AJ404+Q404+R404+S404,IF(AS404=5,('Calc (ex-animal)'!$K$79+'Calc (ex-animal)'!$L$79)*'Calc (ex-housing, ex-storage)'!F404/100/VLOOKUP($C$403,'DB animal categories'!$C$147:$AC$156,27,FALSE)*AJ404+Q404+R404+S404-'Calc (ex-housing, ex-storage)'!AC404,IF(AS404=3,('Calc (ex-animal)'!$K$79+'Calc (ex-animal)'!$L$79)*'Calc (ex-housing, ex-storage)'!F404/100/VLOOKUP($C$403,'DB animal categories'!$C$147:$AC$156,27,FALSE)*AJ404+Q404+R404+S404-'Calc (ex-housing, ex-storage)'!AC404-AD404-AE404,IF(AI404=4,('Calc (ex-animal)'!$K$79+'Calc (ex-animal)'!$L$79)*'Calc (ex-housing, ex-storage)'!F404/100*VLOOKUP(D404,'DB technologies'!$N$196:$Y$208,12,FALSE)/100/VLOOKUP($C$403,'DB animal categories'!$C$147:$AC$156,27,FALSE)*AJ404+Q404+R404+S404-(VLOOKUP(D404,'DB technologies'!$N$196:$Y$208,12,FALSE)/100*AC404)-AD404-AE404,0))))))</f>
        <v/>
      </c>
      <c r="AY404" s="182" t="str">
        <f>IF(D404="","",IF(AS404=2,0,IF(AS404=1,'Calc (ex-animal)'!$N$79*'Calc (ex-housing, ex-storage)'!F404/100/VLOOKUP($C$403,'DB animal categories'!$C$147:$AC$156,27,FALSE)*AJ404+U404+V404+W404,IF(AS404=5,('Calc (ex-animal)'!$N$79+'Calc (ex-animal)'!$O$79)*'Calc (ex-housing, ex-storage)'!F404/100/VLOOKUP($C$403,'DB animal categories'!$C$147:$AC$156,27,FALSE)*AJ404+U404+V404+W404,IF(AS404=3,('Calc (ex-animal)'!$N$79+'Calc (ex-animal)'!$O$79)*'Calc (ex-housing, ex-storage)'!F404/100/VLOOKUP($C$403,'DB animal categories'!$C$147:$AC$156,27,FALSE)*AJ404+U404+V404+W404,IF(AS404=4,('Calc (ex-animal)'!$N$79+'Calc (ex-animal)'!$O$79)*'Calc (ex-housing, ex-storage)'!F404/100*VLOOKUP(D404,'DB technologies'!$N$196:$Y$208,12,FALSE)/100/VLOOKUP($C$403,'DB animal categories'!$C$147:$AC$156,27,FALSE)*AJ404+U404+V404+W404,0))))))</f>
        <v/>
      </c>
      <c r="AZ404" s="182" t="str">
        <f>IF(D404="","",IF(AS404=2,0,IF(AS404=1,'Calc (ex-animal)'!$Q$79*'Calc (ex-housing, ex-storage)'!F404/100/VLOOKUP($C$403,'DB animal categories'!$C$147:$AC$156,27,FALSE)*AJ404+Y404+Z404+AA404,IF(AS404=5,('Calc (ex-animal)'!$Q$79+'Calc (ex-animal)'!$R$79)*'Calc (ex-housing, ex-storage)'!F404/100/VLOOKUP($C$403,'DB animal categories'!$C$147:$AC$156,27,FALSE)*AJ404+Y404+Z404+AA404,IF(AS404=3,('Calc (ex-animal)'!$Q$79+'Calc (ex-animal)'!$R$79)*'Calc (ex-housing, ex-storage)'!F404/100/VLOOKUP($C$403,'DB animal categories'!$C$147:$AC$156,27,FALSE)*AJ404+Y404+Z404+AA404,IF(AS404=4,('Calc (ex-animal)'!$Q$79+'Calc (ex-animal)'!$R$79)*'Calc (ex-housing, ex-storage)'!F404/100*VLOOKUP(D404,'DB technologies'!$N$196:$Y$208,12,FALSE)/100/VLOOKUP($C$403,'DB animal categories'!$C$147:$AC$156,27,FALSE)*AJ404+Y404+Z404+AA404,0))))))</f>
        <v/>
      </c>
      <c r="BA404" s="506"/>
      <c r="BB404" s="506"/>
      <c r="BC404" s="506"/>
    </row>
    <row r="405" spans="1:55" x14ac:dyDescent="0.2">
      <c r="A405" s="695"/>
      <c r="B405" s="695"/>
      <c r="C405" s="251"/>
      <c r="D405" s="1357"/>
      <c r="E405" s="1399"/>
      <c r="F405" s="480" t="str">
        <f>IF('Calc (ex-animal)'!$F$78=1,"",IF($C$403=0,"",IF(D405="","",E405/'Calc (ex-animal)'!$E$79*100)))</f>
        <v/>
      </c>
      <c r="G405" s="485" t="str">
        <f>IF($C$403=0,"",IF('Calc (ex-animal)'!$F$78=1,"",IF(D405="","",SUM(H405:O405))))</f>
        <v/>
      </c>
      <c r="H405" s="423" t="str">
        <f>IF('Calc (ex-animal)'!$F$78=1,"",IF(D405="","",(((VLOOKUP($C$403,'Calc (ex-animal)'!$D$78:$Y$82,6,FALSE)-VLOOKUP($C$403,'Calc (ex-animal)'!$D$78:$Y$82,17,FALSE))*F405/100))*VLOOKUP($C$403,'Calc (ex-animal)'!$D$78:$Y$82,7,FALSE)/100*(1-VLOOKUP(D405,'DB technologies'!$N$196:$Y$208,9,FALSE)/100)))</f>
        <v/>
      </c>
      <c r="I405" s="423" t="str">
        <f>IF(D405="","",((VLOOKUP(D405,'DB technologies'!$N$196:$Y$208,2,FALSE)*VLOOKUP($C$403,'DB animal categories'!$C$147:$AC$156,27,FALSE)*E405/1000)/VLOOKUP($C$403,'DB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'!$S$6/100*(1-VLOOKUP(D405,'DB technologies'!$N$196:$Y$208,9,FALSE)/100)))</f>
        <v/>
      </c>
      <c r="J405" s="434" t="str">
        <f>IF(D405="","",((VLOOKUP(D405,'DB technologies'!$N$196:$Y$208,3,FALSE)*VLOOKUP($C$403,'DB animal categories'!$C$147:$AC$156,27,FALSE)*E405/1000)/VLOOKUP($C$403,'DB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'!$S$7/100*(1-VLOOKUP(D405,'DB technologies'!$N$196:$Y$208,9,FALSE)/100)))</f>
        <v/>
      </c>
      <c r="K405" s="434" t="str">
        <f>IF(D405="","",((VLOOKUP(D405,'DB technologies'!$N$196:$Y$208,4,FALSE)*E405*'DB additional information '!$S$8/100*(1-VLOOKUP(D405,'DB technologies'!$N$196:$Y$208,9,FALSE)/100))/VLOOKUP($C$403,'DB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L405" s="423" t="str">
        <f>IF('Calc (ex-animal)'!$F$78=1,"",IF(D405="","",(((VLOOKUP($C$403,'Calc (ex-animal)'!$D$78:$Y$82,6,FALSE)-VLOOKUP($C$403,'Calc (ex-animal)'!$D$78:$Y$82,17,FALSE))*F405/100))*(1-VLOOKUP($C$403,'Calc (ex-animal)'!$D$78:$Y$82,7,FALSE)/100)*(1-VLOOKUP(D405,'DB technologies'!$N$196:$V$208,8,FALSE)/100)))</f>
        <v/>
      </c>
      <c r="M405" s="434" t="str">
        <f>IF(D405="","",((VLOOKUP(D405,'DB technologies'!$N$196:$Y$208,2,FALSE)*VLOOKUP($C$403,'DB animal categories'!$C$147:$AC$156,27,FALSE)*E405/1000)/VLOOKUP($C$403,'DB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'!$S$6/100)*(1-VLOOKUP(D405,'DB technologies'!$N$196:$Y$208,9,FALSE)/100))</f>
        <v/>
      </c>
      <c r="N405" s="434" t="str">
        <f>IF(D405="","",((VLOOKUP(D405,'DB technologies'!$N$196:$Y$208,3,FALSE)*VLOOKUP($C$403,'DB animal categories'!$C$147:$AC$156,27,FALSE)*E405/1000)/VLOOKUP($C$403,'DB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'!$S$7/100)*(1-VLOOKUP(D405,'DB technologies'!$N$196:$Y$208,9,FALSE)/100))</f>
        <v/>
      </c>
      <c r="O405" s="423" t="str">
        <f>IF(D405="","",((VLOOKUP(D405,'DB technologies'!$N$196:$Y$208,4,FALSE)*E405*(1-'DB additional information '!$S$8/100)*(1-VLOOKUP(D405,'DB technologies'!$N$196:$Y$208,8,FALSE)/100))/VLOOKUP($C$403,'DB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P405" s="438" t="str">
        <f>IF(G405=0,0,IF(E405="","",IF(F405="","",IF($C$403=0,"",IF(D405="","",SUM(H405:K405)/G405*100)))))</f>
        <v/>
      </c>
      <c r="Q405" s="416" t="str">
        <f>IF(D405="","",(VLOOKUP(D405,'DB technologies'!$N$196:$Y$208,2,FALSE)*'DB additional information '!$S$6/100*'DB additional information '!$T$6*VLOOKUP($C$403,'DB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R405" s="416" t="str">
        <f>IF(D405="","",(VLOOKUP(D405,'DB technologies'!$N$196:$Y$208,3,FALSE)*'DB additional information '!$S$7/100*'DB additional information '!$T$7*VLOOKUP($C$403,'DB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S405" s="491" t="str">
        <f>IF(D405="","",(VLOOKUP(D405,'DB technologies'!$N$196:$Y$208,4,FALSE)*('DB additional information '!$S$8/100*'DB additional information '!$T$8*E405/1000/1000)))</f>
        <v/>
      </c>
      <c r="T405" s="264" t="str">
        <f>IF($C$403=0,"",IF('Calc (ex-animal)'!$F$78=1,"",IF(D405="","",((VLOOKUP($C$403,'Calc (ex-animal)'!$D$78:$Y$82,10,FALSE)-VLOOKUP($C$403,'Calc (ex-animal)'!$D$78:$Y$82,18,FALSE))*F405/100+Q405+R405+S405)-AC405-AD405-AE405)))</f>
        <v/>
      </c>
      <c r="U405" s="422" t="str">
        <f>IF(D405="","",(VLOOKUP(D405,'DB technologies'!$N$196:$Y$208,2,FALSE)*'DB additional information '!$S$6/100*'DB additional information '!$U$6*VLOOKUP($C$403,'DB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V405" s="418" t="str">
        <f>IF(D405="","",(VLOOKUP(D405,'DB technologies'!$N$196:$Y$208,3,FALSE)*'DB additional information '!$S$7/100*'DB additional information '!$U$7*VLOOKUP($C$403,'DB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W405" s="417" t="str">
        <f>IF(D405="","",(VLOOKUP(D405,'DB technologies'!$N$196:$Y$208,4,FALSE)*('DB additional information '!$S$8/100*'DB additional information '!$U$8*E405/1000/1000)))</f>
        <v/>
      </c>
      <c r="X405" s="261" t="str">
        <f>IF($C$403=0,"",IF('Calc (ex-animal)'!$F$78=1,"",IF(D405="","",((VLOOKUP($C$403,'Calc (ex-animal)'!$D$78:$Y$82,13,FALSE)-VLOOKUP($C$403,'Calc (ex-animal)'!$D$78:$Y$82,19,FALSE))*F405/100+U405+V405+W405))))</f>
        <v/>
      </c>
      <c r="Y405" s="418" t="str">
        <f>IF(D405="","",(VLOOKUP(D405,'DB technologies'!$N$196:$Y$208,2,FALSE)*'DB additional information '!$S$6/100*'DB additional information '!$V$6*VLOOKUP($C$403,'DB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Z405" s="418" t="str">
        <f>IF(D405="","",(VLOOKUP(D405,'DB technologies'!$N$196:$Y$208,3,FALSE)*'DB additional information '!$S$7/100*'DB additional information '!$V$7*VLOOKUP($C$403,'DB animal categories'!$C$147:$AC$156,27,FALSE)*E405/1000/1000)/VLOOKUP($C$403,'DB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AA405" s="418" t="str">
        <f>IF(D405="","",(VLOOKUP(D405,'DB technologies'!$N$196:$Y$208,4,FALSE)*('DB additional information '!$S$8/100*'DB additional information '!$V$8*E405/1000/1000)))</f>
        <v/>
      </c>
      <c r="AB405" s="261" t="str">
        <f>IF($C$403=0,"",IF('Calc (ex-animal)'!$F$78=1,"",IF(D405="","",((VLOOKUP($C$403,'Calc (ex-animal)'!$D$78:$Y$82,16,FALSE)-VLOOKUP($C$403,'Calc (ex-animal)'!$D$78:$Y$82,20,FALSE))*F405/100+Y405+Z405+AA405))))</f>
        <v/>
      </c>
      <c r="AC405" s="261" t="str">
        <f>IF($C$403=0,"",IF('Calc (ex-animal)'!$F$78=1,"",IF(D405="","",VLOOKUP($C$403,'Calc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categories'!$C$147:$AC$156,26,FALSE)/24)*F405/100*VLOOKUP(D405,'DB technologies'!$N$196:$R$208,5,FALSE)/100)))</f>
        <v/>
      </c>
      <c r="AD405" s="261" t="str">
        <f>IF($C$403=0,"",IF('Calc (ex-animal)'!$F$78=1,"",IF(D405="","",VLOOKUP($C$403,'Calc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categories'!$C$147:$AC$156,26,FALSE)/24)*F405/100*VLOOKUP(D405,'DB technologies'!$N$196:$Y$208,6,FALSE)/100)))</f>
        <v/>
      </c>
      <c r="AE405" s="262" t="str">
        <f>IF($C$403=0,"",IF('Calc (ex-animal)'!$F$78=1,"",IF(D405="","",VLOOKUP($C$403,'Calc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categories'!$C$147:$AC$156,26,FALSE)/24)*F405/100*VLOOKUP(D405,'DB technologies'!$N$196:$Y$208,7,FALSE)/100)))</f>
        <v/>
      </c>
      <c r="AI405" s="181" t="str">
        <f>IF(D405="","",VLOOKUP(D405,'DB technologies'!$N$196:$Y$208,10,FALSE))</f>
        <v/>
      </c>
      <c r="AJ405" s="449" t="e">
        <f>VLOOKUP($C$403,'DB animal categories'!$C$147:$AN$156,27,FALSE)-VLOOKUP($C$403,'DB animal categories'!$C$147:$AN$156,26,FALSE)*VLOOKUP($C$403,'DB animal categories'!$C$147:$AN$156,25,FALSE)/24</f>
        <v>#N/A</v>
      </c>
      <c r="AK405" s="442" t="str">
        <f>IF(AI405="","",AL405+AM405)</f>
        <v/>
      </c>
      <c r="AL405" s="442" t="str">
        <f>IF(D405="","",IF(AI405=2,(('Calc (ex-animal)'!$G$79*'DB additional information '!$K$17/100*(1-VLOOKUP(D405,'DB technologies'!$N$196:$Y$208,9,FALSE)/100)*'Calc (ex-housing, ex-storage)'!F405/100+'Calc (ex-animal)'!$H$79*'DB additional information '!$L$17/100*(1-VLOOKUP(D405,'DB technologies'!$N$196:$Y$208,9,FALSE)/100)*'Calc (ex-housing, ex-storage)'!F405/100))/VLOOKUP($C$403,'DB animal categories'!$C$147:$AC$156,27,FALSE)*AJ405+I405+J405+K405,IF(AI405=1,('Calc (ex-animal)'!$H$79*'DB additional information '!$L$17/100*(1-VLOOKUP(D405,'DB technologies'!$N$196:$Y$208,9,FALSE)/100)*'Calc (ex-housing, ex-storage)'!F405/100)/VLOOKUP($C$403,'DB animal categories'!$C$147:$AC$156,27,FALSE)*AJ405,IF(AI405=4,('Calc (ex-animal)'!$G$79*'DB additional information '!$K$17/100+'Calc (ex-animal)'!$H$79*'DB additional information '!$L$17/100)*(1-VLOOKUP(D405,'DB technologies'!$N$196:$Y$208,9,FALSE)/100)*'Calc (ex-housing, ex-storage)'!F405/100*VLOOKUP(D405,'DB technologies'!$N$196:$Y$208,11,FALSE)/100/VLOOKUP($C$403,'DB animal categories'!$C$147:$AC$156,27,FALSE)*AJ405,0))))</f>
        <v/>
      </c>
      <c r="AM405" s="442" t="str">
        <f>IF(D405="","",IF(AI405=2,(('Calc (ex-animal)'!$G$79*(1-'DB additional information '!$K$17/100)*(1-VLOOKUP(D405,'DB technologies'!$N$196:$Y$208,8,FALSE)/100)*'Calc (ex-housing, ex-storage)'!F405/100+'Calc (ex-animal)'!$H$79*(1-'DB additional information '!$L$17/100)*(1-VLOOKUP(D405,'DB technologies'!$N$196:$Y$208,8,FALSE)/100)*'Calc (ex-housing, ex-storage)'!F405/100))/VLOOKUP($C$403,'DB animal categories'!$C$147:$AC$156,27,FALSE)*AJ405+M405+N405+O405,IF(AI405=1,('Calc (ex-animal)'!$H$79*(1-'DB additional information '!$L$17/100)*(1-VLOOKUP(D405,'DB technologies'!$N$196:$Y$208,8,FALSE)/100)*'Calc (ex-housing, ex-storage)'!F405/100)/VLOOKUP($C$403,'DB animal categories'!$C$147:$AC$156,27,FALSE)*AJ405,IF(AI405=4,('Calc (ex-animal)'!$G$79*(1-'DB additional information '!$K$17/100)+'Calc (ex-animal)'!$H$79*(1-'DB additional information '!$L$17/100))*(1-VLOOKUP(D405,'DB technologies'!$N$196:$Y$208,8,FALSE)/100)*'Calc (ex-housing, ex-storage)'!F405/100*VLOOKUP(D405,'DB technologies'!$N$196:$Y$208,11,FALSE)/100/VLOOKUP($C$403,'DB animal categories'!$C$147:$AC$156,27,FALSE)*AJ405,0))))</f>
        <v/>
      </c>
      <c r="AN405" s="442" t="str">
        <f>IF(AI405="","",IF(AL405=0,0,AL405/AK405*100))</f>
        <v/>
      </c>
      <c r="AO405" s="182" t="str">
        <f>IF(D405="","",IF(AI405=2,(('Calc (ex-animal)'!$L$79*'Calc (ex-housing, ex-storage)'!F405/100+'Calc (ex-animal)'!$K$79*'Calc (ex-housing, ex-storage)'!F405/100))/VLOOKUP($C$403,'DB animal categories'!$C$147:$AC$156,27,FALSE)*AJ405+Q405+R405+S405-AC405,IF(AI405=1,('Calc (ex-animal)'!$L$79*'Calc (ex-housing, ex-storage)'!F405/100)/VLOOKUP($C$403,'DB animal categories'!$C$147:$AC$156,27,FALSE)*AJ405-'Calc (ex-housing, ex-storage)'!AC405,IF(AI405=4,('Calc (ex-animal)'!$L$79+'Calc (ex-animal)'!$K$79)*'Calc (ex-housing, ex-storage)'!F405/100*VLOOKUP(D405,'DB technologies'!$N$196:$Y$208,11,FALSE)/100/VLOOKUP($C$403,'DB animal categories'!$C$147:$AC$156,27,FALSE)*AJ405-AC405*VLOOKUP(D405,'DB technologies'!$N$196:$Y$208,11,FALSE)/100,0))))</f>
        <v/>
      </c>
      <c r="AP405" s="182" t="str">
        <f>IF(D405="","",IF(AO405&lt;-0.01,0,IF(AI405=2,(('Calc (ex-animal)'!$L$79*'Calc (ex-housing, ex-storage)'!F405/100+'Calc (ex-animal)'!$K$79*'Calc (ex-housing, ex-storage)'!F405/100))/VLOOKUP($C$403,'DB animal categories'!$C$147:$AC$156,27,FALSE)*AJ405+Q405+R405+S405-AC405,IF(AI405=1,('Calc (ex-animal)'!$L$79*'Calc (ex-housing, ex-storage)'!F405/100)/VLOOKUP($C$403,'DB animal categories'!$C$147:$AC$156,27,FALSE)*AJ405-'Calc (ex-housing, ex-storage)'!AC405,IF(AI405=4,('Calc (ex-animal)'!$L$79+'Calc (ex-animal)'!$K$79)*'Calc (ex-housing, ex-storage)'!F405/100*VLOOKUP(D405,'DB technologies'!$N$196:$Y$208,11,FALSE)/100/VLOOKUP($C$403,'DB animal categories'!$C$147:$AC$156,27,FALSE)*AJ405-AC405*VLOOKUP(D405,'DB technologies'!$N$196:$Y$208,11,FALSE)/100,0)))))</f>
        <v/>
      </c>
      <c r="AQ405" s="182" t="str">
        <f>IF(D405="","",IF(AI405=2,('Calc (ex-animal)'!$O$79*'Calc (ex-housing, ex-storage)'!F405/100+'Calc (ex-animal)'!$N$79*'Calc (ex-housing, ex-storage)'!F405/100)/VLOOKUP($C$403,'DB animal categories'!$C$147:$AC$156,27,FALSE)*AJ405+U405+V405+W405,IF(AI405=1,'Calc (ex-animal)'!$O$79*'Calc (ex-housing, ex-storage)'!F405/100/VLOOKUP($C$403,'DB animal categories'!$C$147:$AC$156,27,FALSE)*AJ405,IF(AI405=4,('Calc (ex-animal)'!$O$79+'Calc (ex-animal)'!$N$79)*'Calc (ex-housing, ex-storage)'!F405/100*VLOOKUP(D405,'DB technologies'!$N$196:$Y$208,11,FALSE)/100/VLOOKUP($C$403,'DB animal categories'!$C$147:$AC$156,27,FALSE)*AJ405,0))))</f>
        <v/>
      </c>
      <c r="AR405" s="182" t="str">
        <f>IF(D405="","",IF(AI405=2,('Calc (ex-animal)'!$R$79*'Calc (ex-housing, ex-storage)'!F405/100+'Calc (ex-animal)'!$Q$79*'Calc (ex-housing, ex-storage)'!F405/100)/VLOOKUP($C$403,'DB animal categories'!$C$147:$AC$156,27,FALSE)*AJ405+Y405+Z405+AA405,IF(AI405=1,'Calc (ex-animal)'!$R$79*'Calc (ex-housing, ex-storage)'!F405/100/VLOOKUP($C$403,'DB animal categories'!$C$147:$AC$156,27,FALSE)*AJ405,IF(AI405=4,('Calc (ex-animal)'!$R$79+'Calc (ex-animal)'!$Q$79)*'Calc (ex-housing, ex-storage)'!F405/100*VLOOKUP(D405,'DB technologies'!$N$196:$Y$208,11,FALSE)/100/VLOOKUP($C$403,'DB animal categories'!$C$147:$AC$156,27,FALSE)*AJ405,0))))</f>
        <v/>
      </c>
      <c r="AS405" s="181" t="str">
        <f>IF(D405="","",VLOOKUP(D405,'DB technologies'!$N$196:$Y$208,10,FALSE))</f>
        <v/>
      </c>
      <c r="AT405" s="442" t="str">
        <f>IF(AS405="","",AU405+AV405)</f>
        <v/>
      </c>
      <c r="AU405" s="442" t="str">
        <f>IF(D405="","",IF(AS405=2,0,IF(AS405=1,'Calc (ex-animal)'!$G$79*'DB additional information '!$K$17/100*(1-VLOOKUP(D405,'DB technologies'!$N$196:$Y$208,8,FALSE)/100)*'Calc (ex-housing, ex-storage)'!F405/100/VLOOKUP($C$403,'DB animal categories'!$C$147:$AC$156,27,FALSE)*AJ405+I405+J405+K405,IF(AS405=5,(('Calc (ex-animal)'!$G$79*'DB additional information '!$K$17/100+'Calc (ex-animal)'!$H$79*'DB additional information '!$L$17/100))*(1-VLOOKUP(D405,'DB technologies'!$N$196:$Y$208,9,FALSE)/100)*'Calc (ex-housing, ex-storage)'!F405/100/VLOOKUP($C$403,'DB animal categories'!$C$147:$AC$156,27,FALSE)*AJ405+I405+J405+K405,IF(AS405=3,('Calc (ex-animal)'!$G$79*'DB additional information '!$K$17/100+'Calc (ex-animal)'!$H$79*'DB additional information '!$L$17/100)*(1-VLOOKUP(D405,'DB technologies'!$N$196:$Y$208,9,FALSE)/100)*'Calc (ex-housing, ex-storage)'!F405/100/VLOOKUP($C$403,'DB animal categories'!$C$147:$AC$156,27,FALSE)*AJ405+I405+J405+K405,IF(AS405=4,('Calc (ex-animal)'!$G$79*'DB additional information '!$K$17/100+'Calc (ex-animal)'!$H$79*'DB additional information '!$L$17/100)*(1-VLOOKUP(D405,'DB technologies'!$N$196:$Y$208,9,FALSE)/100)*'Calc (ex-housing, ex-storage)'!F405/100*VLOOKUP(D405,'DB technologies'!$N$196:$Y$208,12,FALSE)/100/VLOOKUP($C$403,'DB animal categories'!$C$147:$AC$156,27,FALSE)*AJ405+I405+J405+K405,0))))))</f>
        <v/>
      </c>
      <c r="AV405" s="442" t="str">
        <f>IF(D405="","",IF(AS405=2,0,IF(AS405=1,'Calc (ex-animal)'!$G$79*(1-'DB additional information '!$K$17/100)*(1-VLOOKUP(D405,'DB technologies'!$N$196:$Y$208,8,FALSE)/100)*'Calc (ex-housing, ex-storage)'!F405/100/VLOOKUP($C$403,'DB animal categories'!$C$147:$AC$156,27,FALSE)*AJ405+M405+N405+O405,IF(AS405=5,('Calc (ex-animal)'!$G$79*(1-'DB additional information '!$K$17/100)+'Calc (ex-animal)'!$H$79*(1-'DB additional information '!$L$17/100))*(1-VLOOKUP(D405,'DB technologies'!$N$196:$Y$208,8,FALSE)/100)*'Calc (ex-housing, ex-storage)'!F405/100/VLOOKUP($C$403,'DB animal categories'!$C$147:$AC$156,27,FALSE)*AJ405+M405+N405+O405,IF(AS405=3,('Calc (ex-animal)'!$G$79*(1-'DB additional information '!$K$17/100)+'Calc (ex-animal)'!$H$79*(1-'DB additional information '!$L$17/100))*(1-VLOOKUP(D405,'DB technologies'!$N$196:$Y$208,8,FALSE)/100)*'Calc (ex-housing, ex-storage)'!F405/100/VLOOKUP($C$403,'DB animal categories'!$C$147:$AC$156,27,FALSE)*AJ405+M405+N405+O405,IF(AS405=4,('Calc (ex-animal)'!$G$79*(1-'DB additional information '!$K$17/100)+'Calc (ex-animal)'!$H$79*(1-'DB additional information '!$L$17/100))*(1-VLOOKUP(D405,'DB technologies'!$N$196:$Y$208,8,FALSE)/100)*'Calc (ex-housing, ex-storage)'!F405/100*VLOOKUP(D405,'DB technologies'!$N$196:$Y$208,12,FALSE)/100/VLOOKUP($C$403,'DB animal categories'!$C$147:$AC$156,27,FALSE)*AJ405+M405+N405+O405,0))))))</f>
        <v/>
      </c>
      <c r="AW405" s="442" t="str">
        <f>IF(AS405="","",IF(AU405=0,0,AU405/AT405*100))</f>
        <v/>
      </c>
      <c r="AX405" s="182" t="str">
        <f>IF(D405="","",IF(AS405=2,0,IF(AS405=1,'Calc (ex-animal)'!$K$79*'Calc (ex-housing, ex-storage)'!F405/100/VLOOKUP($C$403,'DB animal categories'!$C$147:$AC$156,27,FALSE)*AJ405+Q405+R405+S405,IF(AS405=5,('Calc (ex-animal)'!$K$79+'Calc (ex-animal)'!$L$79)*'Calc (ex-housing, ex-storage)'!F405/100/VLOOKUP($C$403,'DB animal categories'!$C$147:$AC$156,27,FALSE)*AJ405+Q405+R405+S405-'Calc (ex-housing, ex-storage)'!AC405,IF(AS405=3,('Calc (ex-animal)'!$K$79+'Calc (ex-animal)'!$L$79)*'Calc (ex-housing, ex-storage)'!F405/100/VLOOKUP($C$403,'DB animal categories'!$C$147:$AC$156,27,FALSE)*AJ405+Q405+R405+S405-'Calc (ex-housing, ex-storage)'!AC405-AD405-AE405,IF(AI405=4,('Calc (ex-animal)'!$K$79+'Calc (ex-animal)'!$L$79)*'Calc (ex-housing, ex-storage)'!F405/100*VLOOKUP(D405,'DB technologies'!$N$196:$Y$208,12,FALSE)/100/VLOOKUP($C$403,'DB animal categories'!$C$147:$AC$156,27,FALSE)*AJ405+Q405+R405+S405-(VLOOKUP(D405,'DB technologies'!$N$196:$Y$208,12,FALSE)/100*AC405)-AD405-AE405,0))))))</f>
        <v/>
      </c>
      <c r="AY405" s="182" t="str">
        <f>IF(D405="","",IF(AS405=2,0,IF(AS405=1,'Calc (ex-animal)'!$N$79*'Calc (ex-housing, ex-storage)'!F405/100/VLOOKUP($C$403,'DB animal categories'!$C$147:$AC$156,27,FALSE)*AJ405+U405+V405+W405,IF(AS405=5,('Calc (ex-animal)'!$N$79+'Calc (ex-animal)'!$O$79)*'Calc (ex-housing, ex-storage)'!F405/100/VLOOKUP($C$403,'DB animal categories'!$C$147:$AC$156,27,FALSE)*AJ405+U405+V405+W405,IF(AS405=3,('Calc (ex-animal)'!$N$79+'Calc (ex-animal)'!$O$79)*'Calc (ex-housing, ex-storage)'!F405/100/VLOOKUP($C$403,'DB animal categories'!$C$147:$AC$156,27,FALSE)*AJ405+U405+V405+W405,IF(AS405=4,('Calc (ex-animal)'!$N$79+'Calc (ex-animal)'!$O$79)*'Calc (ex-housing, ex-storage)'!F405/100*VLOOKUP(D405,'DB technologies'!$N$196:$Y$208,12,FALSE)/100/VLOOKUP($C$403,'DB animal categories'!$C$147:$AC$156,27,FALSE)*AJ405+U405+V405+W405,0))))))</f>
        <v/>
      </c>
      <c r="AZ405" s="182" t="str">
        <f>IF(D405="","",IF(AS405=2,0,IF(AS405=1,'Calc (ex-animal)'!$Q$79*'Calc (ex-housing, ex-storage)'!F405/100/VLOOKUP($C$403,'DB animal categories'!$C$147:$AC$156,27,FALSE)*AJ405+Y405+Z405+AA405,IF(AS405=5,('Calc (ex-animal)'!$Q$79+'Calc (ex-animal)'!$R$79)*'Calc (ex-housing, ex-storage)'!F405/100/VLOOKUP($C$403,'DB animal categories'!$C$147:$AC$156,27,FALSE)*AJ405+Y405+Z405+AA405,IF(AS405=3,('Calc (ex-animal)'!$Q$79+'Calc (ex-animal)'!$R$79)*'Calc (ex-housing, ex-storage)'!F405/100/VLOOKUP($C$403,'DB animal categories'!$C$147:$AC$156,27,FALSE)*AJ405+Y405+Z405+AA405,IF(AS405=4,('Calc (ex-animal)'!$Q$79+'Calc (ex-animal)'!$R$79)*'Calc (ex-housing, ex-storage)'!F405/100*VLOOKUP(D405,'DB technologies'!$N$196:$Y$208,12,FALSE)/100/VLOOKUP($C$403,'DB animal categories'!$C$147:$AC$156,27,FALSE)*AJ405+Y405+Z405+AA405,0))))))</f>
        <v/>
      </c>
      <c r="BA405" s="506"/>
      <c r="BB405" s="506"/>
      <c r="BC405" s="506"/>
    </row>
    <row r="406" spans="1:55" x14ac:dyDescent="0.2">
      <c r="A406" s="695"/>
      <c r="B406" s="695"/>
      <c r="C406" s="251"/>
      <c r="D406" s="1357"/>
      <c r="E406" s="1399"/>
      <c r="F406" s="480" t="str">
        <f>IF('Calc (ex-animal)'!$F$78=1,"",IF($C$403=0,"",IF(D406="","",E406/'Calc (ex-animal)'!$E$79*100)))</f>
        <v/>
      </c>
      <c r="G406" s="485" t="str">
        <f>IF($C$403=0,"",IF('Calc (ex-animal)'!$F$78=1,"",IF(D406="","",SUM(H406:O406))))</f>
        <v/>
      </c>
      <c r="H406" s="423" t="str">
        <f>IF('Calc (ex-animal)'!$F$78=1,"",IF(D406="","",(((VLOOKUP($C$403,'Calc (ex-animal)'!$D$78:$Y$82,6,FALSE)-VLOOKUP($C$403,'Calc (ex-animal)'!$D$78:$Y$82,17,FALSE))*F406/100))*VLOOKUP($C$403,'Calc (ex-animal)'!$D$78:$Y$82,7,FALSE)/100*(1-VLOOKUP(D406,'DB technologies'!$N$196:$Y$208,9,FALSE)/100)))</f>
        <v/>
      </c>
      <c r="I406" s="423" t="str">
        <f>IF(D406="","",((VLOOKUP(D406,'DB technologies'!$N$196:$Y$208,2,FALSE)*VLOOKUP($C$403,'DB animal categories'!$C$147:$AC$156,27,FALSE)*E406/1000)/VLOOKUP($C$403,'DB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'!$S$6/100*(1-VLOOKUP(D406,'DB technologies'!$N$196:$Y$208,9,FALSE)/100)))</f>
        <v/>
      </c>
      <c r="J406" s="434" t="str">
        <f>IF(D406="","",((VLOOKUP(D406,'DB technologies'!$N$196:$Y$208,3,FALSE)*VLOOKUP($C$403,'DB animal categories'!$C$147:$AC$156,27,FALSE)*E406/1000)/VLOOKUP($C$403,'DB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'!$S$7/100*(1-VLOOKUP(D406,'DB technologies'!$N$196:$Y$208,9,FALSE)/100)))</f>
        <v/>
      </c>
      <c r="K406" s="434" t="str">
        <f>IF(D406="","",((VLOOKUP(D406,'DB technologies'!$N$196:$Y$208,4,FALSE)*E406*'DB additional information '!$S$8/100*(1-VLOOKUP(D406,'DB technologies'!$N$196:$Y$208,9,FALSE)/100))/VLOOKUP($C$403,'DB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L406" s="423" t="str">
        <f>IF('Calc (ex-animal)'!$F$78=1,"",IF(D406="","",(((VLOOKUP($C$403,'Calc (ex-animal)'!$D$78:$Y$82,6,FALSE)-VLOOKUP($C$403,'Calc (ex-animal)'!$D$78:$Y$82,17,FALSE))*F406/100))*(1-VLOOKUP($C$403,'Calc (ex-animal)'!$D$78:$Y$82,7,FALSE)/100)*(1-VLOOKUP(D406,'DB technologies'!$N$196:$V$208,8,FALSE)/100)))</f>
        <v/>
      </c>
      <c r="M406" s="434" t="str">
        <f>IF(D406="","",((VLOOKUP(D406,'DB technologies'!$N$196:$Y$208,2,FALSE)*VLOOKUP($C$403,'DB animal categories'!$C$147:$AC$156,27,FALSE)*E406/1000)/VLOOKUP($C$403,'DB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'!$S$6/100)*(1-VLOOKUP(D406,'DB technologies'!$N$196:$Y$208,9,FALSE)/100))</f>
        <v/>
      </c>
      <c r="N406" s="434" t="str">
        <f>IF(D406="","",((VLOOKUP(D406,'DB technologies'!$N$196:$Y$208,3,FALSE)*VLOOKUP($C$403,'DB animal categories'!$C$147:$AC$156,27,FALSE)*E406/1000)/VLOOKUP($C$403,'DB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'!$S$7/100)*(1-VLOOKUP(D406,'DB technologies'!$N$196:$Y$208,9,FALSE)/100))</f>
        <v/>
      </c>
      <c r="O406" s="423" t="str">
        <f>IF(D406="","",((VLOOKUP(D406,'DB technologies'!$N$196:$Y$208,4,FALSE)*E406*(1-'DB additional information '!$S$8/100)*(1-VLOOKUP(D406,'DB technologies'!$N$196:$Y$208,8,FALSE)/100))/VLOOKUP($C$403,'DB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P406" s="438" t="str">
        <f>IF(G406=0,0,IF(E406="","",IF(F406="","",IF($C$403=0,"",IF(D406="","",SUM(H406:K406)/G406*100)))))</f>
        <v/>
      </c>
      <c r="Q406" s="416" t="str">
        <f>IF(D406="","",(VLOOKUP(D406,'DB technologies'!$N$196:$Y$208,2,FALSE)*'DB additional information '!$S$6/100*'DB additional information '!$T$6*VLOOKUP($C$403,'DB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R406" s="416" t="str">
        <f>IF(D406="","",(VLOOKUP(D406,'DB technologies'!$N$196:$Y$208,3,FALSE)*'DB additional information '!$S$7/100*'DB additional information '!$T$7*VLOOKUP($C$403,'DB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S406" s="491" t="str">
        <f>IF(D406="","",(VLOOKUP(D406,'DB technologies'!$N$196:$Y$208,4,FALSE)*('DB additional information '!$S$8/100*'DB additional information '!$T$8*E406/1000/1000)))</f>
        <v/>
      </c>
      <c r="T406" s="264" t="str">
        <f>IF($C$403=0,"",IF('Calc (ex-animal)'!$F$78=1,"",IF(D406="","",((VLOOKUP($C$403,'Calc (ex-animal)'!$D$78:$Y$82,10,FALSE)-VLOOKUP($C$403,'Calc (ex-animal)'!$D$78:$Y$82,18,FALSE))*F406/100+Q406+R406+S406)-AC406-AD406-AE406)))</f>
        <v/>
      </c>
      <c r="U406" s="422" t="str">
        <f>IF(D406="","",(VLOOKUP(D406,'DB technologies'!$N$196:$Y$208,2,FALSE)*'DB additional information '!$S$6/100*'DB additional information '!$U$6*VLOOKUP($C$403,'DB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V406" s="418" t="str">
        <f>IF(D406="","",(VLOOKUP(D406,'DB technologies'!$N$196:$Y$208,3,FALSE)*'DB additional information '!$S$7/100*'DB additional information '!$U$7*VLOOKUP($C$403,'DB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W406" s="417" t="str">
        <f>IF(D406="","",(VLOOKUP(D406,'DB technologies'!$N$196:$Y$208,4,FALSE)*('DB additional information '!$S$8/100*'DB additional information '!$U$8*E406/1000/1000)))</f>
        <v/>
      </c>
      <c r="X406" s="261" t="str">
        <f>IF($C$403=0,"",IF('Calc (ex-animal)'!$F$78=1,"",IF(D406="","",((VLOOKUP($C$403,'Calc (ex-animal)'!$D$78:$Y$82,13,FALSE)-VLOOKUP($C$403,'Calc (ex-animal)'!$D$78:$Y$82,19,FALSE))*F406/100+U406+V406+W406))))</f>
        <v/>
      </c>
      <c r="Y406" s="418" t="str">
        <f>IF(D406="","",(VLOOKUP(D406,'DB technologies'!$N$196:$Y$208,2,FALSE)*'DB additional information '!$S$6/100*'DB additional information '!$V$6*VLOOKUP($C$403,'DB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Z406" s="418" t="str">
        <f>IF(D406="","",(VLOOKUP(D406,'DB technologies'!$N$196:$Y$208,3,FALSE)*'DB additional information '!$S$7/100*'DB additional information '!$V$7*VLOOKUP($C$403,'DB animal categories'!$C$147:$AC$156,27,FALSE)*E406/1000/1000)/VLOOKUP($C$403,'DB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AA406" s="418" t="str">
        <f>IF(D406="","",(VLOOKUP(D406,'DB technologies'!$N$196:$Y$208,4,FALSE)*('DB additional information '!$S$8/100*'DB additional information '!$V$8*E406/1000/1000)))</f>
        <v/>
      </c>
      <c r="AB406" s="261" t="str">
        <f>IF($C$403=0,"",IF('Calc (ex-animal)'!$F$78=1,"",IF(D406="","",((VLOOKUP($C$403,'Calc (ex-animal)'!$D$78:$Y$82,16,FALSE)-VLOOKUP($C$403,'Calc (ex-animal)'!$D$78:$Y$82,20,FALSE))*F406/100+Y406+Z406+AA406))))</f>
        <v/>
      </c>
      <c r="AC406" s="261" t="str">
        <f>IF($C$403=0,"",IF('Calc (ex-animal)'!$F$78=1,"",IF(D406="","",VLOOKUP($C$403,'Calc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categories'!$C$147:$AC$156,26,FALSE)/24)*F406/100*VLOOKUP(D406,'DB technologies'!$N$196:$R$208,5,FALSE)/100)))</f>
        <v/>
      </c>
      <c r="AD406" s="261" t="str">
        <f>IF($C$403=0,"",IF('Calc (ex-animal)'!$F$78=1,"",IF(D406="","",VLOOKUP($C$403,'Calc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categories'!$C$147:$AC$156,26,FALSE)/24)*F406/100*VLOOKUP(D406,'DB technologies'!$N$196:$Y$208,6,FALSE)/100)))</f>
        <v/>
      </c>
      <c r="AE406" s="262" t="str">
        <f>IF($C$403=0,"",IF('Calc (ex-animal)'!$F$78=1,"",IF(D406="","",VLOOKUP($C$403,'Calc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categories'!$C$147:$AC$156,26,FALSE)/24)*F406/100*VLOOKUP(D406,'DB technologies'!$N$196:$Y$208,7,FALSE)/100)))</f>
        <v/>
      </c>
      <c r="AI406" s="181" t="str">
        <f>IF(D406="","",VLOOKUP(D406,'DB technologies'!$N$196:$Y$208,10,FALSE))</f>
        <v/>
      </c>
      <c r="AJ406" s="449" t="e">
        <f>VLOOKUP($C$403,'DB animal categories'!$C$147:$AN$156,27,FALSE)-VLOOKUP($C$403,'DB animal categories'!$C$147:$AN$156,26,FALSE)*VLOOKUP($C$403,'DB animal categories'!$C$147:$AN$156,25,FALSE)/24</f>
        <v>#N/A</v>
      </c>
      <c r="AK406" s="442" t="str">
        <f>IF(AI406="","",AL406+AM406)</f>
        <v/>
      </c>
      <c r="AL406" s="442" t="str">
        <f>IF(D406="","",IF(AI406=2,(('Calc (ex-animal)'!$G$79*'DB additional information '!$K$17/100*(1-VLOOKUP(D406,'DB technologies'!$N$196:$Y$208,9,FALSE)/100)*'Calc (ex-housing, ex-storage)'!F406/100+'Calc (ex-animal)'!$H$79*'DB additional information '!$L$17/100*(1-VLOOKUP(D406,'DB technologies'!$N$196:$Y$208,9,FALSE)/100)*'Calc (ex-housing, ex-storage)'!F406/100))/VLOOKUP($C$403,'DB animal categories'!$C$147:$AC$156,27,FALSE)*AJ406+I406+J406+K406,IF(AI406=1,('Calc (ex-animal)'!$H$79*'DB additional information '!$L$17/100*(1-VLOOKUP(D406,'DB technologies'!$N$196:$Y$208,9,FALSE)/100)*'Calc (ex-housing, ex-storage)'!F406/100)/VLOOKUP($C$403,'DB animal categories'!$C$147:$AC$156,27,FALSE)*AJ406,IF(AI406=4,('Calc (ex-animal)'!$G$79*'DB additional information '!$K$17/100+'Calc (ex-animal)'!$H$79*'DB additional information '!$L$17/100)*(1-VLOOKUP(D406,'DB technologies'!$N$196:$Y$208,9,FALSE)/100)*'Calc (ex-housing, ex-storage)'!F406/100*VLOOKUP(D406,'DB technologies'!$N$196:$Y$208,11,FALSE)/100/VLOOKUP($C$403,'DB animal categories'!$C$147:$AC$156,27,FALSE)*AJ406,0))))</f>
        <v/>
      </c>
      <c r="AM406" s="442" t="str">
        <f>IF(D406="","",IF(AI406=2,(('Calc (ex-animal)'!$G$79*(1-'DB additional information '!$K$17/100)*(1-VLOOKUP(D406,'DB technologies'!$N$196:$Y$208,8,FALSE)/100)*'Calc (ex-housing, ex-storage)'!F406/100+'Calc (ex-animal)'!$H$79*(1-'DB additional information '!$L$17/100)*(1-VLOOKUP(D406,'DB technologies'!$N$196:$Y$208,8,FALSE)/100)*'Calc (ex-housing, ex-storage)'!F406/100))/VLOOKUP($C$403,'DB animal categories'!$C$147:$AC$156,27,FALSE)*AJ406+M406+N406+O406,IF(AI406=1,('Calc (ex-animal)'!$H$79*(1-'DB additional information '!$L$17/100)*(1-VLOOKUP(D406,'DB technologies'!$N$196:$Y$208,8,FALSE)/100)*'Calc (ex-housing, ex-storage)'!F406/100)/VLOOKUP($C$403,'DB animal categories'!$C$147:$AC$156,27,FALSE)*AJ406,IF(AI406=4,('Calc (ex-animal)'!$G$79*(1-'DB additional information '!$K$17/100)+'Calc (ex-animal)'!$H$79*(1-'DB additional information '!$L$17/100))*(1-VLOOKUP(D406,'DB technologies'!$N$196:$Y$208,8,FALSE)/100)*'Calc (ex-housing, ex-storage)'!F406/100*VLOOKUP(D406,'DB technologies'!$N$196:$Y$208,11,FALSE)/100/VLOOKUP($C$403,'DB animal categories'!$C$147:$AC$156,27,FALSE)*AJ406,0))))</f>
        <v/>
      </c>
      <c r="AN406" s="442" t="str">
        <f>IF(AI406="","",IF(AL406=0,0,AL406/AK406*100))</f>
        <v/>
      </c>
      <c r="AO406" s="182" t="str">
        <f>IF(D406="","",IF(AI406=2,(('Calc (ex-animal)'!$L$79*'Calc (ex-housing, ex-storage)'!F406/100+'Calc (ex-animal)'!$K$79*'Calc (ex-housing, ex-storage)'!F406/100))/VLOOKUP($C$403,'DB animal categories'!$C$147:$AC$156,27,FALSE)*AJ406+Q406+R406+S406-AC406,IF(AI406=1,('Calc (ex-animal)'!$L$79*'Calc (ex-housing, ex-storage)'!F406/100)/VLOOKUP($C$403,'DB animal categories'!$C$147:$AC$156,27,FALSE)*AJ406-'Calc (ex-housing, ex-storage)'!AC406,IF(AI406=4,('Calc (ex-animal)'!$L$79+'Calc (ex-animal)'!$K$79)*'Calc (ex-housing, ex-storage)'!F406/100*VLOOKUP(D406,'DB technologies'!$N$196:$Y$208,11,FALSE)/100/VLOOKUP($C$403,'DB animal categories'!$C$147:$AC$156,27,FALSE)*AJ406-AC406*VLOOKUP(D406,'DB technologies'!$N$196:$Y$208,11,FALSE)/100,0))))</f>
        <v/>
      </c>
      <c r="AP406" s="182" t="str">
        <f>IF(D406="","",IF(AO406&lt;-0.01,0,IF(AI406=2,(('Calc (ex-animal)'!$L$79*'Calc (ex-housing, ex-storage)'!F406/100+'Calc (ex-animal)'!$K$79*'Calc (ex-housing, ex-storage)'!F406/100))/VLOOKUP($C$403,'DB animal categories'!$C$147:$AC$156,27,FALSE)*AJ406+Q406+R406+S406-AC406,IF(AI406=1,('Calc (ex-animal)'!$L$79*'Calc (ex-housing, ex-storage)'!F406/100)/VLOOKUP($C$403,'DB animal categories'!$C$147:$AC$156,27,FALSE)*AJ406-'Calc (ex-housing, ex-storage)'!AC406,IF(AI406=4,('Calc (ex-animal)'!$L$79+'Calc (ex-animal)'!$K$79)*'Calc (ex-housing, ex-storage)'!F406/100*VLOOKUP(D406,'DB technologies'!$N$196:$Y$208,11,FALSE)/100/VLOOKUP($C$403,'DB animal categories'!$C$147:$AC$156,27,FALSE)*AJ406-AC406*VLOOKUP(D406,'DB technologies'!$N$196:$Y$208,11,FALSE)/100,0)))))</f>
        <v/>
      </c>
      <c r="AQ406" s="182" t="str">
        <f>IF(D406="","",IF(AI406=2,('Calc (ex-animal)'!$O$79*'Calc (ex-housing, ex-storage)'!F406/100+'Calc (ex-animal)'!$N$79*'Calc (ex-housing, ex-storage)'!F406/100)/VLOOKUP($C$403,'DB animal categories'!$C$147:$AC$156,27,FALSE)*AJ406+U406+V406+W406,IF(AI406=1,'Calc (ex-animal)'!$O$79*'Calc (ex-housing, ex-storage)'!F406/100/VLOOKUP($C$403,'DB animal categories'!$C$147:$AC$156,27,FALSE)*AJ406,IF(AI406=4,('Calc (ex-animal)'!$O$79+'Calc (ex-animal)'!$N$79)*'Calc (ex-housing, ex-storage)'!F406/100*VLOOKUP(D406,'DB technologies'!$N$196:$Y$208,11,FALSE)/100/VLOOKUP($C$403,'DB animal categories'!$C$147:$AC$156,27,FALSE)*AJ406,0))))</f>
        <v/>
      </c>
      <c r="AR406" s="182" t="str">
        <f>IF(D406="","",IF(AI406=2,('Calc (ex-animal)'!$R$79*'Calc (ex-housing, ex-storage)'!F406/100+'Calc (ex-animal)'!$Q$79*'Calc (ex-housing, ex-storage)'!F406/100)/VLOOKUP($C$403,'DB animal categories'!$C$147:$AC$156,27,FALSE)*AJ406+Y406+Z406+AA406,IF(AI406=1,'Calc (ex-animal)'!$R$79*'Calc (ex-housing, ex-storage)'!F406/100/VLOOKUP($C$403,'DB animal categories'!$C$147:$AC$156,27,FALSE)*AJ406,IF(AI406=4,('Calc (ex-animal)'!$R$79+'Calc (ex-animal)'!$Q$79)*'Calc (ex-housing, ex-storage)'!F406/100*VLOOKUP(D406,'DB technologies'!$N$196:$Y$208,11,FALSE)/100/VLOOKUP($C$403,'DB animal categories'!$C$147:$AC$156,27,FALSE)*AJ406,0))))</f>
        <v/>
      </c>
      <c r="AS406" s="181" t="str">
        <f>IF(D406="","",VLOOKUP(D406,'DB technologies'!$N$196:$Y$208,10,FALSE))</f>
        <v/>
      </c>
      <c r="AT406" s="442" t="str">
        <f>IF(AS406="","",AU406+AV406)</f>
        <v/>
      </c>
      <c r="AU406" s="442" t="str">
        <f>IF(D406="","",IF(AS406=2,0,IF(AS406=1,'Calc (ex-animal)'!$G$79*'DB additional information '!$K$17/100*(1-VLOOKUP(D406,'DB technologies'!$N$196:$Y$208,8,FALSE)/100)*'Calc (ex-housing, ex-storage)'!F406/100/VLOOKUP($C$403,'DB animal categories'!$C$147:$AC$156,27,FALSE)*AJ406+I406+J406+K406,IF(AS406=5,(('Calc (ex-animal)'!$G$79*'DB additional information '!$K$17/100+'Calc (ex-animal)'!$H$79*'DB additional information '!$L$17/100))*(1-VLOOKUP(D406,'DB technologies'!$N$196:$Y$208,9,FALSE)/100)*'Calc (ex-housing, ex-storage)'!F406/100/VLOOKUP($C$403,'DB animal categories'!$C$147:$AC$156,27,FALSE)*AJ406+I406+J406+K406,IF(AS406=3,('Calc (ex-animal)'!$G$79*'DB additional information '!$K$17/100+'Calc (ex-animal)'!$H$79*'DB additional information '!$L$17/100)*(1-VLOOKUP(D406,'DB technologies'!$N$196:$Y$208,9,FALSE)/100)*'Calc (ex-housing, ex-storage)'!F406/100/VLOOKUP($C$403,'DB animal categories'!$C$147:$AC$156,27,FALSE)*AJ406+I406+J406+K406,IF(AS406=4,('Calc (ex-animal)'!$G$79*'DB additional information '!$K$17/100+'Calc (ex-animal)'!$H$79*'DB additional information '!$L$17/100)*(1-VLOOKUP(D406,'DB technologies'!$N$196:$Y$208,9,FALSE)/100)*'Calc (ex-housing, ex-storage)'!F406/100*VLOOKUP(D406,'DB technologies'!$N$196:$Y$208,12,FALSE)/100/VLOOKUP($C$403,'DB animal categories'!$C$147:$AC$156,27,FALSE)*AJ406+I406+J406+K406,0))))))</f>
        <v/>
      </c>
      <c r="AV406" s="442" t="str">
        <f>IF(D406="","",IF(AS406=2,0,IF(AS406=1,'Calc (ex-animal)'!$G$79*(1-'DB additional information '!$K$17/100)*(1-VLOOKUP(D406,'DB technologies'!$N$196:$Y$208,8,FALSE)/100)*'Calc (ex-housing, ex-storage)'!F406/100/VLOOKUP($C$403,'DB animal categories'!$C$147:$AC$156,27,FALSE)*AJ406+M406+N406+O406,IF(AS406=5,('Calc (ex-animal)'!$G$79*(1-'DB additional information '!$K$17/100)+'Calc (ex-animal)'!$H$79*(1-'DB additional information '!$L$17/100))*(1-VLOOKUP(D406,'DB technologies'!$N$196:$Y$208,8,FALSE)/100)*'Calc (ex-housing, ex-storage)'!F406/100/VLOOKUP($C$403,'DB animal categories'!$C$147:$AC$156,27,FALSE)*AJ406+M406+N406+O406,IF(AS406=3,('Calc (ex-animal)'!$G$79*(1-'DB additional information '!$K$17/100)+'Calc (ex-animal)'!$H$79*(1-'DB additional information '!$L$17/100))*(1-VLOOKUP(D406,'DB technologies'!$N$196:$Y$208,8,FALSE)/100)*'Calc (ex-housing, ex-storage)'!F406/100/VLOOKUP($C$403,'DB animal categories'!$C$147:$AC$156,27,FALSE)*AJ406+M406+N406+O406,IF(AS406=4,('Calc (ex-animal)'!$G$79*(1-'DB additional information '!$K$17/100)+'Calc (ex-animal)'!$H$79*(1-'DB additional information '!$L$17/100))*(1-VLOOKUP(D406,'DB technologies'!$N$196:$Y$208,8,FALSE)/100)*'Calc (ex-housing, ex-storage)'!F406/100*VLOOKUP(D406,'DB technologies'!$N$196:$Y$208,12,FALSE)/100/VLOOKUP($C$403,'DB animal categories'!$C$147:$AC$156,27,FALSE)*AJ406+M406+N406+O406,0))))))</f>
        <v/>
      </c>
      <c r="AW406" s="442" t="str">
        <f>IF(AS406="","",IF(AU406=0,0,AU406/AT406*100))</f>
        <v/>
      </c>
      <c r="AX406" s="182" t="str">
        <f>IF(D406="","",IF(AS406=2,0,IF(AS406=1,'Calc (ex-animal)'!$K$79*'Calc (ex-housing, ex-storage)'!F406/100/VLOOKUP($C$403,'DB animal categories'!$C$147:$AC$156,27,FALSE)*AJ406+Q406+R406+S406,IF(AS406=5,('Calc (ex-animal)'!$K$79+'Calc (ex-animal)'!$L$79)*'Calc (ex-housing, ex-storage)'!F406/100/VLOOKUP($C$403,'DB animal categories'!$C$147:$AC$156,27,FALSE)*AJ406+Q406+R406+S406-'Calc (ex-housing, ex-storage)'!AC406,IF(AS406=3,('Calc (ex-animal)'!$K$79+'Calc (ex-animal)'!$L$79)*'Calc (ex-housing, ex-storage)'!F406/100/VLOOKUP($C$403,'DB animal categories'!$C$147:$AC$156,27,FALSE)*AJ406+Q406+R406+S406-'Calc (ex-housing, ex-storage)'!AC406-AD406-AE406,IF(AI406=4,('Calc (ex-animal)'!$K$79+'Calc (ex-animal)'!$L$79)*'Calc (ex-housing, ex-storage)'!F406/100*VLOOKUP(D406,'DB technologies'!$N$196:$Y$208,12,FALSE)/100/VLOOKUP($C$403,'DB animal categories'!$C$147:$AC$156,27,FALSE)*AJ406+Q406+R406+S406-(VLOOKUP(D406,'DB technologies'!$N$196:$Y$208,12,FALSE)/100*AC406)-AD406-AE406,0))))))</f>
        <v/>
      </c>
      <c r="AY406" s="182" t="str">
        <f>IF(D406="","",IF(AS406=2,0,IF(AS406=1,'Calc (ex-animal)'!$N$79*'Calc (ex-housing, ex-storage)'!F406/100/VLOOKUP($C$403,'DB animal categories'!$C$147:$AC$156,27,FALSE)*AJ406+U406+V406+W406,IF(AS406=5,('Calc (ex-animal)'!$N$79+'Calc (ex-animal)'!$O$79)*'Calc (ex-housing, ex-storage)'!F406/100/VLOOKUP($C$403,'DB animal categories'!$C$147:$AC$156,27,FALSE)*AJ406+U406+V406+W406,IF(AS406=3,('Calc (ex-animal)'!$N$79+'Calc (ex-animal)'!$O$79)*'Calc (ex-housing, ex-storage)'!F406/100/VLOOKUP($C$403,'DB animal categories'!$C$147:$AC$156,27,FALSE)*AJ406+U406+V406+W406,IF(AS406=4,('Calc (ex-animal)'!$N$79+'Calc (ex-animal)'!$O$79)*'Calc (ex-housing, ex-storage)'!F406/100*VLOOKUP(D406,'DB technologies'!$N$196:$Y$208,12,FALSE)/100/VLOOKUP($C$403,'DB animal categories'!$C$147:$AC$156,27,FALSE)*AJ406+U406+V406+W406,0))))))</f>
        <v/>
      </c>
      <c r="AZ406" s="182" t="str">
        <f>IF(D406="","",IF(AS406=2,0,IF(AS406=1,'Calc (ex-animal)'!$Q$79*'Calc (ex-housing, ex-storage)'!F406/100/VLOOKUP($C$403,'DB animal categories'!$C$147:$AC$156,27,FALSE)*AJ406+Y406+Z406+AA406,IF(AS406=5,('Calc (ex-animal)'!$Q$79+'Calc (ex-animal)'!$R$79)*'Calc (ex-housing, ex-storage)'!F406/100/VLOOKUP($C$403,'DB animal categories'!$C$147:$AC$156,27,FALSE)*AJ406+Y406+Z406+AA406,IF(AS406=3,('Calc (ex-animal)'!$Q$79+'Calc (ex-animal)'!$R$79)*'Calc (ex-housing, ex-storage)'!F406/100/VLOOKUP($C$403,'DB animal categories'!$C$147:$AC$156,27,FALSE)*AJ406+Y406+Z406+AA406,IF(AS406=4,('Calc (ex-animal)'!$Q$79+'Calc (ex-animal)'!$R$79)*'Calc (ex-housing, ex-storage)'!F406/100*VLOOKUP(D406,'DB technologies'!$N$196:$Y$208,12,FALSE)/100/VLOOKUP($C$403,'DB animal categories'!$C$147:$AC$156,27,FALSE)*AJ406+Y406+Z406+AA406,0))))))</f>
        <v/>
      </c>
      <c r="BA406" s="506"/>
      <c r="BB406" s="506"/>
      <c r="BC406" s="506"/>
    </row>
    <row r="407" spans="1:55" ht="12" thickBot="1" x14ac:dyDescent="0.25">
      <c r="A407" s="695"/>
      <c r="B407" s="695"/>
      <c r="C407" s="251"/>
      <c r="D407" s="1359"/>
      <c r="E407" s="1400"/>
      <c r="F407" s="481" t="str">
        <f>IF('Calc (ex-animal)'!$F$78=1,"",IF($C$403=0,"",IF(D407="","",E407/'Calc (ex-animal)'!$E$79*100)))</f>
        <v/>
      </c>
      <c r="G407" s="483" t="str">
        <f>IF($C$403=0,"",IF('Calc (ex-animal)'!$F$78=1,"",IF(D407="","",SUM(H407:O407))))</f>
        <v/>
      </c>
      <c r="H407" s="445" t="str">
        <f>IF('Calc (ex-animal)'!$F$78=1,"",IF(D407="","",(((VLOOKUP($C$403,'Calc (ex-animal)'!$D$78:$Y$82,6,FALSE)-VLOOKUP($C$403,'Calc (ex-animal)'!$D$78:$Y$82,17,FALSE))*F407/100))*VLOOKUP($C$403,'Calc (ex-animal)'!$D$78:$Y$82,7,FALSE)/100*(1-VLOOKUP(D407,'DB technologies'!$N$196:$Y$208,9,FALSE)/100)))</f>
        <v/>
      </c>
      <c r="I407" s="445" t="str">
        <f>IF(D407="","",((VLOOKUP(D407,'DB technologies'!$N$196:$Y$208,2,FALSE)*VLOOKUP($C$403,'DB animal categories'!$C$147:$AC$156,27,FALSE)*E407/1000)/VLOOKUP($C$403,'DB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'!$S$6/100*(1-VLOOKUP(D407,'DB technologies'!$N$196:$Y$208,9,FALSE)/100)))</f>
        <v/>
      </c>
      <c r="J407" s="446" t="str">
        <f>IF(D407="","",((VLOOKUP(D407,'DB technologies'!$N$196:$Y$208,3,FALSE)*VLOOKUP($C$403,'DB animal categories'!$C$147:$AC$156,27,FALSE)*E407/1000)/VLOOKUP($C$403,'DB animal categories'!$C$147:$AC$156,27,FALSE)*(VLOOKUP($C$403,'DB animal categories'!$C$147:$AC$156,27,FALSE)-(VLOOKUP($C$403,'DB animal categories'!$C$147:$AC$156,25,FALSE)*VLOOKUP($C$403,'DB animal categories'!$C$147:$AC$156,26,FALSE)/24))*'DB additional information '!$S$7/100*(1-VLOOKUP(D407,'DB technologies'!$N$196:$Y$208,9,FALSE)/100)))</f>
        <v/>
      </c>
      <c r="K407" s="446" t="str">
        <f>IF(D407="","",((VLOOKUP(D407,'DB technologies'!$N$196:$Y$208,4,FALSE)*E407*'DB additional information '!$S$8/100*(1-VLOOKUP(D407,'DB technologies'!$N$196:$Y$208,9,FALSE)/100))/VLOOKUP($C$403,'DB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L407" s="445" t="str">
        <f>IF('Calc (ex-animal)'!$F$78=1,"",IF(D407="","",(((VLOOKUP($C$403,'Calc (ex-animal)'!$D$78:$Y$82,6,FALSE)-VLOOKUP($C$403,'Calc (ex-animal)'!$D$78:$Y$82,17,FALSE))*F407/100))*(1-VLOOKUP($C$403,'Calc (ex-animal)'!$D$78:$Y$82,7,FALSE)/100)*(1-VLOOKUP(D407,'DB technologies'!$N$196:$V$208,8,FALSE)/100)))</f>
        <v/>
      </c>
      <c r="M407" s="446" t="str">
        <f>IF(D407="","",((VLOOKUP(D407,'DB technologies'!$N$196:$Y$208,2,FALSE)*VLOOKUP($C$403,'DB animal categories'!$C$147:$AC$156,27,FALSE)*E407/1000)/VLOOKUP($C$403,'DB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'!$S$6/100)*(1-VLOOKUP(D407,'DB technologies'!$N$196:$Y$208,9,FALSE)/100))</f>
        <v/>
      </c>
      <c r="N407" s="446" t="str">
        <f>IF(D407="","",((VLOOKUP(D407,'DB technologies'!$N$196:$Y$208,3,FALSE)*VLOOKUP($C$403,'DB animal categories'!$C$147:$AC$156,27,FALSE)*E407/1000)/VLOOKUP($C$403,'DB animal categories'!$C$147:$AC$156,27,FALSE)*(VLOOKUP($C$403,'DB animal categories'!$C$147:$AC$156,27,FALSE)-VLOOKUP($C$403,'DB animal categories'!$C$147:$AC$156,25,FALSE)*VLOOKUP($C$403,'DB animal categories'!$C$147:$AC$156,26,FALSE)/24))*(1-'DB additional information '!$S$7/100)*(1-VLOOKUP(D407,'DB technologies'!$N$196:$Y$208,9,FALSE)/100))</f>
        <v/>
      </c>
      <c r="O407" s="445" t="str">
        <f>IF(D407="","",((VLOOKUP(D407,'DB technologies'!$N$196:$Y$208,4,FALSE)*E407*(1-'DB additional information '!$S$8/100)*(1-VLOOKUP(D407,'DB technologies'!$N$196:$Y$208,8,FALSE)/100))/VLOOKUP($C$403,'DB animal categories'!$C$147:$AC$156,27,FALSE)*(VLOOKUP($C$403,'DB animal categories'!$C$147:$AC$156,27,FALSE)-VLOOKUP($C$403,'DB animal categories'!$C$147:$AC$156,25,FALSE)*VLOOKUP($C$403,'DB animal categories'!$C$147:$AC$156,26,FALSE)/24)))</f>
        <v/>
      </c>
      <c r="P407" s="444" t="str">
        <f>IF(G407=0,0,IF(E407="","",IF(F407="","",IF($C$403=0,"",IF(D407="","",SUM(H407:K407)/G407*100)))))</f>
        <v/>
      </c>
      <c r="Q407" s="476" t="str">
        <f>IF(D407="","",(VLOOKUP(D407,'DB technologies'!$N$196:$Y$208,2,FALSE)*'DB additional information '!$S$6/100*'DB additional information '!$T$6*VLOOKUP($C$403,'DB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R407" s="476" t="str">
        <f>IF(D407="","",(VLOOKUP(D407,'DB technologies'!$N$196:$Y$208,3,FALSE)*'DB additional information '!$S$7/100*'DB additional information '!$T$7*VLOOKUP($C$403,'DB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S407" s="494" t="str">
        <f>IF(D407="","",(VLOOKUP(D407,'DB technologies'!$N$196:$Y$208,4,FALSE)*('DB additional information '!$S$8/100*'DB additional information '!$T$8*E407/1000/1000)))</f>
        <v/>
      </c>
      <c r="T407" s="266" t="str">
        <f>IF($C$403=0,"",IF('Calc (ex-animal)'!$F$78=1,"",IF(D407="","",((VLOOKUP($C$403,'Calc (ex-animal)'!$D$78:$Y$82,10,FALSE)-VLOOKUP($C$403,'Calc (ex-animal)'!$D$78:$Y$82,18,FALSE))*F407/100+Q407+R407+S407)-AC407-AD407-AE407)))</f>
        <v/>
      </c>
      <c r="U407" s="477" t="str">
        <f>IF(D407="","",(VLOOKUP(D407,'DB technologies'!$N$196:$Y$208,2,FALSE)*'DB additional information '!$S$6/100*'DB additional information '!$U$6*VLOOKUP($C$403,'DB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V407" s="433" t="str">
        <f>IF(D407="","",(VLOOKUP(D407,'DB technologies'!$N$196:$Y$208,3,FALSE)*'DB additional information '!$S$7/100*'DB additional information '!$U$7*VLOOKUP($C$403,'DB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W407" s="475" t="str">
        <f>IF(D407="","",(VLOOKUP(D407,'DB technologies'!$N$196:$Y$208,4,FALSE)*('DB additional information '!$S$8/100*'DB additional information '!$U$8*E407/1000/1000)))</f>
        <v/>
      </c>
      <c r="X407" s="267" t="str">
        <f>IF($C$403=0,"",IF('Calc (ex-animal)'!$F$78=1,"",IF(D407="","",((VLOOKUP($C$403,'Calc (ex-animal)'!$D$78:$Y$82,13,FALSE)-VLOOKUP($C$403,'Calc (ex-animal)'!$D$78:$Y$82,19,FALSE))*F407/100+U407+V407+W407))))</f>
        <v/>
      </c>
      <c r="Y407" s="433" t="str">
        <f>IF(D407="","",(VLOOKUP(D407,'DB technologies'!$N$196:$Y$208,2,FALSE)*'DB additional information '!$S$6/100*'DB additional information '!$V$6*VLOOKUP($C$403,'DB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Z407" s="433" t="str">
        <f>IF(D407="","",(VLOOKUP(D407,'DB technologies'!$N$196:$Y$208,3,FALSE)*'DB additional information '!$S$7/100*'DB additional information '!$V$7*VLOOKUP($C$403,'DB animal categories'!$C$147:$AC$156,27,FALSE)*E407/1000/1000)/VLOOKUP($C$403,'DB animal categories'!$C$147:$AC$156,27,FALSE)*(VLOOKUP($C$403,'DB animal categories'!$C$147:$AC$156,27,FALSE)-VLOOKUP($C$403,'DB animal categories'!$C$147:$AC$156,25,FALSE)*VLOOKUP($C$403,'DB animal categories'!$C$147:$AC$156,26,FALSE)/24))</f>
        <v/>
      </c>
      <c r="AA407" s="433" t="str">
        <f>IF(D407="","",(VLOOKUP(D407,'DB technologies'!$N$196:$Y$208,4,FALSE)*('DB additional information '!$S$8/100*'DB additional information '!$V$8*E407/1000/1000)))</f>
        <v/>
      </c>
      <c r="AB407" s="267" t="str">
        <f>IF($C$403=0,"",IF('Calc (ex-animal)'!$F$78=1,"",IF(D407="","",((VLOOKUP($C$403,'Calc (ex-animal)'!$D$78:$Y$82,16,FALSE)-VLOOKUP($C$403,'Calc (ex-animal)'!$D$78:$Y$82,20,FALSE))*F407/100+Y407+Z407+AA407))))</f>
        <v/>
      </c>
      <c r="AC407" s="267" t="str">
        <f>IF($C$403=0,"",IF('Calc (ex-animal)'!$F$78=1,"",IF(D407="","",VLOOKUP($C$403,'Calc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categories'!$C$147:$AC$156,26,FALSE)/24)*F407/100*VLOOKUP(D407,'DB technologies'!$N$196:$R$208,5,FALSE)/100)))</f>
        <v/>
      </c>
      <c r="AD407" s="267" t="str">
        <f>IF($C$403=0,"",IF('Calc (ex-animal)'!$F$78=1,"",IF(D407="","",VLOOKUP($C$403,'Calc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categories'!$C$147:$AC$156,26,FALSE)/24)*F407/100*VLOOKUP(D407,'DB technologies'!$N$196:$Y$208,6,FALSE)/100)))</f>
        <v/>
      </c>
      <c r="AE407" s="268" t="str">
        <f>IF($C$403=0,"",IF('Calc (ex-animal)'!$F$78=1,"",IF(D407="","",VLOOKUP($C$403,'Calc (ex-animal)'!$D$78:$Y$82,10,FALSE)/VLOOKUP($C$403,'DB animal categories'!$C$147:$AC$156,27,FALSE)*(VLOOKUP($C$403,'DB animal categories'!$C$147:$AC$156,27,FALSE)-VLOOKUP($C$403,'DB animal categories'!$C$147:$AC$156,25,FALSE)*VLOOKUP($C$403,'DB animal categories'!$C$147:$AC$156,26,FALSE)/24)*F407/100*VLOOKUP(D407,'DB technologies'!$N$196:$Y$208,7,FALSE)/100)))</f>
        <v/>
      </c>
      <c r="AI407" s="183" t="str">
        <f>IF(D407="","",VLOOKUP(D407,'DB technologies'!$N$196:$Y$208,10,FALSE))</f>
        <v/>
      </c>
      <c r="AJ407" s="451" t="e">
        <f>VLOOKUP($C$403,'DB animal categories'!$C$147:$AN$156,27,FALSE)-VLOOKUP($C$403,'DB animal categories'!$C$147:$AN$156,26,FALSE)*VLOOKUP($C$403,'DB animal categories'!$C$147:$AN$156,25,FALSE)/24</f>
        <v>#N/A</v>
      </c>
      <c r="AK407" s="452" t="str">
        <f>IF(AI407="","",AL407+AM407)</f>
        <v/>
      </c>
      <c r="AL407" s="452" t="str">
        <f>IF(D407="","",IF(AI407=2,(('Calc (ex-animal)'!$G$79*'DB additional information '!$K$17/100*(1-VLOOKUP(D407,'DB technologies'!$N$196:$Y$208,9,FALSE)/100)*'Calc (ex-housing, ex-storage)'!F407/100+'Calc (ex-animal)'!$H$79*'DB additional information '!$L$17/100*(1-VLOOKUP(D407,'DB technologies'!$N$196:$Y$208,9,FALSE)/100)*'Calc (ex-housing, ex-storage)'!F407/100))/VLOOKUP($C$403,'DB animal categories'!$C$147:$AC$156,27,FALSE)*AJ407+I407+J407+K407,IF(AI407=1,('Calc (ex-animal)'!$H$79*'DB additional information '!$L$17/100*(1-VLOOKUP(D407,'DB technologies'!$N$196:$Y$208,9,FALSE)/100)*'Calc (ex-housing, ex-storage)'!F407/100)/VLOOKUP($C$403,'DB animal categories'!$C$147:$AC$156,27,FALSE)*AJ407,IF(AI407=4,('Calc (ex-animal)'!$G$79*'DB additional information '!$K$17/100+'Calc (ex-animal)'!$H$79*'DB additional information '!$L$17/100)*(1-VLOOKUP(D407,'DB technologies'!$N$196:$Y$208,9,FALSE)/100)*'Calc (ex-housing, ex-storage)'!F407/100*VLOOKUP(D407,'DB technologies'!$N$196:$Y$208,11,FALSE)/100/VLOOKUP($C$403,'DB animal categories'!$C$147:$AC$156,27,FALSE)*AJ407,0))))</f>
        <v/>
      </c>
      <c r="AM407" s="452" t="str">
        <f>IF(D407="","",IF(AI407=2,(('Calc (ex-animal)'!$G$79*(1-'DB additional information '!$K$17/100)*(1-VLOOKUP(D407,'DB technologies'!$N$196:$Y$208,8,FALSE)/100)*'Calc (ex-housing, ex-storage)'!F407/100+'Calc (ex-animal)'!$H$79*(1-'DB additional information '!$L$17/100)*(1-VLOOKUP(D407,'DB technologies'!$N$196:$Y$208,8,FALSE)/100)*'Calc (ex-housing, ex-storage)'!F407/100))/VLOOKUP($C$403,'DB animal categories'!$C$147:$AC$156,27,FALSE)*AJ407+M407+N407+O407,IF(AI407=1,('Calc (ex-animal)'!$H$79*(1-'DB additional information '!$L$17/100)*(1-VLOOKUP(D407,'DB technologies'!$N$196:$Y$208,8,FALSE)/100)*'Calc (ex-housing, ex-storage)'!F407/100)/VLOOKUP($C$403,'DB animal categories'!$C$147:$AC$156,27,FALSE)*AJ407,IF(AI407=4,('Calc (ex-animal)'!$G$79*(1-'DB additional information '!$K$17/100)+'Calc (ex-animal)'!$H$79*(1-'DB additional information '!$L$17/100))*(1-VLOOKUP(D407,'DB technologies'!$N$196:$Y$208,8,FALSE)/100)*'Calc (ex-housing, ex-storage)'!F407/100*VLOOKUP(D407,'DB technologies'!$N$196:$Y$208,11,FALSE)/100/VLOOKUP($C$403,'DB animal categories'!$C$147:$AC$156,27,FALSE)*AJ407,0))))</f>
        <v/>
      </c>
      <c r="AN407" s="452" t="str">
        <f>IF(AI407="","",IF(AL407=0,0,AL407/AK407*100))</f>
        <v/>
      </c>
      <c r="AO407" s="184" t="str">
        <f>IF(D407="","",IF(AI407=2,(('Calc (ex-animal)'!$L$79*'Calc (ex-housing, ex-storage)'!F407/100+'Calc (ex-animal)'!$K$79*'Calc (ex-housing, ex-storage)'!F407/100))/VLOOKUP($C$403,'DB animal categories'!$C$147:$AC$156,27,FALSE)*AJ407+Q407+R407+S407-AC407,IF(AI407=1,('Calc (ex-animal)'!$L$79*'Calc (ex-housing, ex-storage)'!F407/100)/VLOOKUP($C$403,'DB animal categories'!$C$147:$AC$156,27,FALSE)*AJ407-'Calc (ex-housing, ex-storage)'!AC407,IF(AI407=4,('Calc (ex-animal)'!$L$79+'Calc (ex-animal)'!$K$79)*'Calc (ex-housing, ex-storage)'!F407/100*VLOOKUP(D407,'DB technologies'!$N$196:$Y$208,11,FALSE)/100/VLOOKUP($C$403,'DB animal categories'!$C$147:$AC$156,27,FALSE)*AJ407-AC407*VLOOKUP(D407,'DB technologies'!$N$196:$Y$208,11,FALSE)/100,0))))</f>
        <v/>
      </c>
      <c r="AP407" s="184" t="str">
        <f>IF(D407="","",IF(AO407&lt;-0.01,0,IF(AI407=2,(('Calc (ex-animal)'!$L$79*'Calc (ex-housing, ex-storage)'!F407/100+'Calc (ex-animal)'!$K$79*'Calc (ex-housing, ex-storage)'!F407/100))/VLOOKUP($C$403,'DB animal categories'!$C$147:$AC$156,27,FALSE)*AJ407+Q407+R407+S407-AC407,IF(AI407=1,('Calc (ex-animal)'!$L$79*'Calc (ex-housing, ex-storage)'!F407/100)/VLOOKUP($C$403,'DB animal categories'!$C$147:$AC$156,27,FALSE)*AJ407-'Calc (ex-housing, ex-storage)'!AC407,IF(AI407=4,('Calc (ex-animal)'!$L$79+'Calc (ex-animal)'!$K$79)*'Calc (ex-housing, ex-storage)'!F407/100*VLOOKUP(D407,'DB technologies'!$N$196:$Y$208,11,FALSE)/100/VLOOKUP($C$403,'DB animal categories'!$C$147:$AC$156,27,FALSE)*AJ407-AC407*VLOOKUP(D407,'DB technologies'!$N$196:$Y$208,11,FALSE)/100,0)))))</f>
        <v/>
      </c>
      <c r="AQ407" s="184" t="str">
        <f>IF(D407="","",IF(AI407=2,('Calc (ex-animal)'!$O$79*'Calc (ex-housing, ex-storage)'!F407/100+'Calc (ex-animal)'!$N$79*'Calc (ex-housing, ex-storage)'!F407/100)/VLOOKUP($C$403,'DB animal categories'!$C$147:$AC$156,27,FALSE)*AJ407+U407+V407+W407,IF(AI407=1,'Calc (ex-animal)'!$O$79*'Calc (ex-housing, ex-storage)'!F407/100/VLOOKUP($C$403,'DB animal categories'!$C$147:$AC$156,27,FALSE)*AJ407,IF(AI407=4,('Calc (ex-animal)'!$O$79+'Calc (ex-animal)'!$N$79)*'Calc (ex-housing, ex-storage)'!F407/100*VLOOKUP(D407,'DB technologies'!$N$196:$Y$208,11,FALSE)/100/VLOOKUP($C$403,'DB animal categories'!$C$147:$AC$156,27,FALSE)*AJ407,0))))</f>
        <v/>
      </c>
      <c r="AR407" s="184" t="str">
        <f>IF(D407="","",IF(AI407=2,('Calc (ex-animal)'!$R$79*'Calc (ex-housing, ex-storage)'!F407/100+'Calc (ex-animal)'!$Q$79*'Calc (ex-housing, ex-storage)'!F407/100)/VLOOKUP($C$403,'DB animal categories'!$C$147:$AC$156,27,FALSE)*AJ407+Y407+Z407+AA407,IF(AI407=1,'Calc (ex-animal)'!$R$79*'Calc (ex-housing, ex-storage)'!F407/100/VLOOKUP($C$403,'DB animal categories'!$C$147:$AC$156,27,FALSE)*AJ407,IF(AI407=4,('Calc (ex-animal)'!$R$79+'Calc (ex-animal)'!$Q$79)*'Calc (ex-housing, ex-storage)'!F407/100*VLOOKUP(D407,'DB technologies'!$N$196:$Y$208,11,FALSE)/100/VLOOKUP($C$403,'DB animal categories'!$C$147:$AC$156,27,FALSE)*AJ407,0))))</f>
        <v/>
      </c>
      <c r="AS407" s="183" t="str">
        <f>IF(D407="","",VLOOKUP(D407,'DB technologies'!$N$196:$Y$208,10,FALSE))</f>
        <v/>
      </c>
      <c r="AT407" s="452" t="str">
        <f>IF(AS407="","",AU407+AV407)</f>
        <v/>
      </c>
      <c r="AU407" s="452" t="str">
        <f>IF(D407="","",IF(AS407=2,0,IF(AS407=1,'Calc (ex-animal)'!$G$79*'DB additional information '!$K$17/100*(1-VLOOKUP(D407,'DB technologies'!$N$196:$Y$208,8,FALSE)/100)*'Calc (ex-housing, ex-storage)'!F407/100/VLOOKUP($C$403,'DB animal categories'!$C$147:$AC$156,27,FALSE)*AJ407+I407+J407+K407,IF(AS407=5,(('Calc (ex-animal)'!$G$79*'DB additional information '!$K$17/100+'Calc (ex-animal)'!$H$79*'DB additional information '!$L$17/100))*(1-VLOOKUP(D407,'DB technologies'!$N$196:$Y$208,9,FALSE)/100)*'Calc (ex-housing, ex-storage)'!F407/100/VLOOKUP($C$403,'DB animal categories'!$C$147:$AC$156,27,FALSE)*AJ407+I407+J407+K407,IF(AS407=3,('Calc (ex-animal)'!$G$79*'DB additional information '!$K$17/100+'Calc (ex-animal)'!$H$79*'DB additional information '!$L$17/100)*(1-VLOOKUP(D407,'DB technologies'!$N$196:$Y$208,9,FALSE)/100)*'Calc (ex-housing, ex-storage)'!F407/100/VLOOKUP($C$403,'DB animal categories'!$C$147:$AC$156,27,FALSE)*AJ407+I407+J407+K407,IF(AS407=4,('Calc (ex-animal)'!$G$79*'DB additional information '!$K$17/100+'Calc (ex-animal)'!$H$79*'DB additional information '!$L$17/100)*(1-VLOOKUP(D407,'DB technologies'!$N$196:$Y$208,9,FALSE)/100)*'Calc (ex-housing, ex-storage)'!F407/100*VLOOKUP(D407,'DB technologies'!$N$196:$Y$208,12,FALSE)/100/VLOOKUP($C$403,'DB animal categories'!$C$147:$AC$156,27,FALSE)*AJ407+I407+J407+K407,0))))))</f>
        <v/>
      </c>
      <c r="AV407" s="452" t="str">
        <f>IF(D407="","",IF(AS407=2,0,IF(AS407=1,'Calc (ex-animal)'!$G$79*(1-'DB additional information '!$K$17/100)*(1-VLOOKUP(D407,'DB technologies'!$N$196:$Y$208,8,FALSE)/100)*'Calc (ex-housing, ex-storage)'!F407/100/VLOOKUP($C$403,'DB animal categories'!$C$147:$AC$156,27,FALSE)*AJ407+M407+N407+O407,IF(AS407=5,('Calc (ex-animal)'!$G$79*(1-'DB additional information '!$K$17/100)+'Calc (ex-animal)'!$H$79*(1-'DB additional information '!$L$17/100))*(1-VLOOKUP(D407,'DB technologies'!$N$196:$Y$208,8,FALSE)/100)*'Calc (ex-housing, ex-storage)'!F407/100/VLOOKUP($C$403,'DB animal categories'!$C$147:$AC$156,27,FALSE)*AJ407+M407+N407+O407,IF(AS407=3,('Calc (ex-animal)'!$G$79*(1-'DB additional information '!$K$17/100)+'Calc (ex-animal)'!$H$79*(1-'DB additional information '!$L$17/100))*(1-VLOOKUP(D407,'DB technologies'!$N$196:$Y$208,8,FALSE)/100)*'Calc (ex-housing, ex-storage)'!F407/100/VLOOKUP($C$403,'DB animal categories'!$C$147:$AC$156,27,FALSE)*AJ407+M407+N407+O407,IF(AS407=4,('Calc (ex-animal)'!$G$79*(1-'DB additional information '!$K$17/100)+'Calc (ex-animal)'!$H$79*(1-'DB additional information '!$L$17/100))*(1-VLOOKUP(D407,'DB technologies'!$N$196:$Y$208,8,FALSE)/100)*'Calc (ex-housing, ex-storage)'!F407/100*VLOOKUP(D407,'DB technologies'!$N$196:$Y$208,12,FALSE)/100/VLOOKUP($C$403,'DB animal categories'!$C$147:$AC$156,27,FALSE)*AJ407+M407+N407+O407,0))))))</f>
        <v/>
      </c>
      <c r="AW407" s="452" t="str">
        <f>IF(AS407="","",IF(AU407=0,0,AU407/AT407*100))</f>
        <v/>
      </c>
      <c r="AX407" s="184" t="str">
        <f>IF(D407="","",IF(AS407=2,0,IF(AS407=1,'Calc (ex-animal)'!$K$79*'Calc (ex-housing, ex-storage)'!F407/100/VLOOKUP($C$403,'DB animal categories'!$C$147:$AC$156,27,FALSE)*AJ407+Q407+R407+S407,IF(AS407=5,('Calc (ex-animal)'!$K$79+'Calc (ex-animal)'!$L$79)*'Calc (ex-housing, ex-storage)'!F407/100/VLOOKUP($C$403,'DB animal categories'!$C$147:$AC$156,27,FALSE)*AJ407+Q407+R407+S407-'Calc (ex-housing, ex-storage)'!AC407,IF(AS407=3,('Calc (ex-animal)'!$K$79+'Calc (ex-animal)'!$L$79)*'Calc (ex-housing, ex-storage)'!F407/100/VLOOKUP($C$403,'DB animal categories'!$C$147:$AC$156,27,FALSE)*AJ407+Q407+R407+S407-'Calc (ex-housing, ex-storage)'!AC407-AD407-AE407,IF(AI407=4,('Calc (ex-animal)'!$K$79+'Calc (ex-animal)'!$L$79)*'Calc (ex-housing, ex-storage)'!F407/100*VLOOKUP(D407,'DB technologies'!$N$196:$Y$208,12,FALSE)/100/VLOOKUP($C$403,'DB animal categories'!$C$147:$AC$156,27,FALSE)*AJ407+Q407+R407+S407-(VLOOKUP(D407,'DB technologies'!$N$196:$Y$208,12,FALSE)/100*AC407)-AD407-AE407,0))))))</f>
        <v/>
      </c>
      <c r="AY407" s="184" t="str">
        <f>IF(D407="","",IF(AS407=2,0,IF(AS407=1,'Calc (ex-animal)'!$N$79*'Calc (ex-housing, ex-storage)'!F407/100/VLOOKUP($C$403,'DB animal categories'!$C$147:$AC$156,27,FALSE)*AJ407+U407+V407+W407,IF(AS407=5,('Calc (ex-animal)'!$N$79+'Calc (ex-animal)'!$O$79)*'Calc (ex-housing, ex-storage)'!F407/100/VLOOKUP($C$403,'DB animal categories'!$C$147:$AC$156,27,FALSE)*AJ407+U407+V407+W407,IF(AS407=3,('Calc (ex-animal)'!$N$79+'Calc (ex-animal)'!$O$79)*'Calc (ex-housing, ex-storage)'!F407/100/VLOOKUP($C$403,'DB animal categories'!$C$147:$AC$156,27,FALSE)*AJ407+U407+V407+W407,IF(AS407=4,('Calc (ex-animal)'!$N$79+'Calc (ex-animal)'!$O$79)*'Calc (ex-housing, ex-storage)'!F407/100*VLOOKUP(D407,'DB technologies'!$N$196:$Y$208,12,FALSE)/100/VLOOKUP($C$403,'DB animal categories'!$C$147:$AC$156,27,FALSE)*AJ407+U407+V407+W407,0))))))</f>
        <v/>
      </c>
      <c r="AZ407" s="184" t="str">
        <f>IF(D407="","",IF(AS407=2,0,IF(AS407=1,'Calc (ex-animal)'!$Q$79*'Calc (ex-housing, ex-storage)'!F407/100/VLOOKUP($C$403,'DB animal categories'!$C$147:$AC$156,27,FALSE)*AJ407+Y407+Z407+AA407,IF(AS407=5,('Calc (ex-animal)'!$Q$79+'Calc (ex-animal)'!$R$79)*'Calc (ex-housing, ex-storage)'!F407/100/VLOOKUP($C$403,'DB animal categories'!$C$147:$AC$156,27,FALSE)*AJ407+Y407+Z407+AA407,IF(AS407=3,('Calc (ex-animal)'!$Q$79+'Calc (ex-animal)'!$R$79)*'Calc (ex-housing, ex-storage)'!F407/100/VLOOKUP($C$403,'DB animal categories'!$C$147:$AC$156,27,FALSE)*AJ407+Y407+Z407+AA407,IF(AS407=4,('Calc (ex-animal)'!$Q$79+'Calc (ex-animal)'!$R$79)*'Calc (ex-housing, ex-storage)'!F407/100*VLOOKUP(D407,'DB technologies'!$N$196:$Y$208,12,FALSE)/100/VLOOKUP($C$403,'DB animal categories'!$C$147:$AC$156,27,FALSE)*AJ407+Y407+Z407+AA407,0))))))</f>
        <v/>
      </c>
      <c r="BA407" s="506"/>
      <c r="BB407" s="506"/>
      <c r="BC407" s="506"/>
    </row>
    <row r="408" spans="1:55" ht="12" thickBot="1" x14ac:dyDescent="0.25">
      <c r="A408" s="695"/>
      <c r="B408" s="695"/>
      <c r="C408" s="252"/>
      <c r="D408" s="269" t="s">
        <v>58</v>
      </c>
      <c r="E408" s="270">
        <f>IF(F408&lt;=100,SUM(E403:E407),"ERROR")</f>
        <v>0</v>
      </c>
      <c r="F408" s="284">
        <f>IF(SUM(F403:F407) &lt;=100,SUM(F403:F407),"ERROR, SUM&gt;100%")</f>
        <v>0</v>
      </c>
      <c r="G408" s="550">
        <f>IF('Calc (ex-animal)'!$F$78=1,"",SUM(G403:G407))</f>
        <v>0</v>
      </c>
      <c r="H408" s="418">
        <f>IF('Calc (ex-animal)'!$F$8=1,"",SUM(H403:H407))</f>
        <v>0</v>
      </c>
      <c r="I408" s="418">
        <f>IF('Calc (ex-animal)'!$F$8=1,"",SUM(I403:I407))</f>
        <v>0</v>
      </c>
      <c r="J408" s="418">
        <f>IF('Calc (ex-animal)'!$F$8=1,"",SUM(J403:J407))</f>
        <v>0</v>
      </c>
      <c r="K408" s="418">
        <f>IF('Calc (ex-animal)'!$F$8=1,"",SUM(K403:K407))</f>
        <v>0</v>
      </c>
      <c r="L408" s="418">
        <f>IF('Calc (ex-animal)'!$F$8=1,"",SUM(L403:L407))</f>
        <v>0</v>
      </c>
      <c r="M408" s="551"/>
      <c r="N408" s="551"/>
      <c r="O408" s="551"/>
      <c r="P408" s="552">
        <f>IF(G408=0,0,IF('Calc (ex-animal)'!$F$78=1,"",IF(D408="","",SUM(H408:K408)/G408*100)))</f>
        <v>0</v>
      </c>
      <c r="Q408" s="394"/>
      <c r="R408" s="394"/>
      <c r="S408" s="394"/>
      <c r="T408" s="285">
        <f>IF('Calc (ex-animal)'!$F$79=1,"",SUM(T403:T407))</f>
        <v>0</v>
      </c>
      <c r="U408" s="286"/>
      <c r="V408" s="286"/>
      <c r="W408" s="286"/>
      <c r="X408" s="286">
        <f>IF('Calc (ex-animal)'!$F$79=1,"",SUM(X403:X407))</f>
        <v>0</v>
      </c>
      <c r="Y408" s="286"/>
      <c r="Z408" s="286"/>
      <c r="AA408" s="286"/>
      <c r="AB408" s="286">
        <f>IF('Calc (ex-animal)'!$F$79=1,"",SUM(AB403:AB407))</f>
        <v>0</v>
      </c>
      <c r="AC408" s="286">
        <f>IF('Calc (ex-animal)'!$F$79=1,"",SUM(AC403:AC407))</f>
        <v>0</v>
      </c>
      <c r="AD408" s="286">
        <f>IF('Calc (ex-animal)'!$F$79=1,"",SUM(AD403:AD407))</f>
        <v>0</v>
      </c>
      <c r="AE408" s="287">
        <f>IF('Calc (ex-animal)'!$F$79=1,"",SUM(AE403:AE407))</f>
        <v>0</v>
      </c>
    </row>
    <row r="409" spans="1:55" x14ac:dyDescent="0.2">
      <c r="A409" s="695"/>
      <c r="B409" s="695"/>
      <c r="C409" s="250">
        <f>'Calc (ex-animal)'!D80</f>
        <v>0</v>
      </c>
      <c r="D409" s="1355"/>
      <c r="E409" s="1356"/>
      <c r="F409" s="479" t="str">
        <f>IF('Calc (ex-animal)'!$F$78=1,"",IF($C$409=0,"",IF(D409="","",E409/'Calc (ex-animal)'!$E$80*100)))</f>
        <v/>
      </c>
      <c r="G409" s="484" t="str">
        <f>IF($C$409=0,"",IF('Calc (ex-animal)'!$F$78=1,"",IF(D409="","",SUM(H409:O409))))</f>
        <v/>
      </c>
      <c r="H409" s="471" t="str">
        <f>IF('Calc (ex-animal)'!$F$78=1,"",IF(D409="","",(((VLOOKUP($C$409,'Calc (ex-animal)'!$D$78:$Y$82,6,FALSE)-VLOOKUP($C$409,'Calc (ex-animal)'!$D$78:$Y$82,17,FALSE))*F409/100))*VLOOKUP($C$409,'Calc (ex-animal)'!$D$78:$Y$82,7,FALSE)/100*(1-VLOOKUP(D409,'DB technologies'!$N$196:$Y$208,9,FALSE)/100)))</f>
        <v/>
      </c>
      <c r="I409" s="471" t="str">
        <f>IF(D409="","",((VLOOKUP(D409,'DB technologies'!$N$196:$Y$208,2,FALSE)*VLOOKUP($C$409,'DB animal categories'!$C$147:$AC$156,27,FALSE)*E409/1000)/VLOOKUP($C$409,'DB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'!$S$6/100*(1-VLOOKUP(D409,'DB technologies'!$N$196:$Y$208,9,FALSE)/100)))</f>
        <v/>
      </c>
      <c r="J409" s="472" t="str">
        <f>IF(D409="","",((VLOOKUP(D409,'DB technologies'!$N$196:$Y$208,3,FALSE)*VLOOKUP($C$409,'DB animal categories'!$C$147:$AC$156,27,FALSE)*E409/1000)/VLOOKUP($C$409,'DB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'!$S$7/100*(1-VLOOKUP(D409,'DB technologies'!$N$196:$Y$208,9,FALSE)/100)))</f>
        <v/>
      </c>
      <c r="K409" s="472" t="str">
        <f>IF(D409="","",((VLOOKUP(D409,'DB technologies'!$N$196:$Y$208,4,FALSE)*E409*'DB additional information '!$S$8/100*(1-VLOOKUP(D409,'DB technologies'!$N$196:$Y$208,9,FALSE)/100))/VLOOKUP($C$409,'DB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L409" s="471" t="str">
        <f>IF('Calc (ex-animal)'!$F$78=1,"",IF(D409="","",(((VLOOKUP($C$409,'Calc (ex-animal)'!$D$78:$Y$82,6,FALSE)-VLOOKUP($C$409,'Calc (ex-animal)'!$D$78:$Y$82,17,FALSE))*F409/100))*(1-VLOOKUP($C$409,'Calc (ex-animal)'!$D$78:$Y$82,7,FALSE)/100)*(1-VLOOKUP(D409,'DB technologies'!$N$196:$V$208,8,FALSE)/100)))</f>
        <v/>
      </c>
      <c r="M409" s="472" t="str">
        <f>IF(D409="","",((VLOOKUP(D409,'DB technologies'!$N$196:$Y$208,2,FALSE)*VLOOKUP($C$409,'DB animal categories'!$C$147:$AC$156,27,FALSE)*E409/1000)/VLOOKUP($C$409,'DB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'!$S$6/100)*(1-VLOOKUP(D409,'DB technologies'!$N$196:$Y$208,9,FALSE)/100))</f>
        <v/>
      </c>
      <c r="N409" s="472" t="str">
        <f>IF(D409="","",((VLOOKUP(D409,'DB technologies'!$N$196:$Y$208,3,FALSE)*VLOOKUP($C$409,'DB animal categories'!$C$147:$AC$156,27,FALSE)*E409/1000)/VLOOKUP($C$409,'DB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'!$S$7/100)*(1-VLOOKUP(D409,'DB technologies'!$N$196:$Y$208,9,FALSE)/100))</f>
        <v/>
      </c>
      <c r="O409" s="471" t="str">
        <f>IF(D409="","",((VLOOKUP(D409,'DB technologies'!$N$196:$Y$208,4,FALSE)*E409*(1-'DB additional information '!$S$8/100)*(1-VLOOKUP(D409,'DB technologies'!$N$196:$Y$208,8,FALSE)/100))/VLOOKUP($C$409,'DB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P409" s="443" t="str">
        <f>IF(G409=0,0,IF(E409="","",IF(F409="","",IF($C$409=0,"",IF(D409="","",SUM(H409:K409)/G409*100)))))</f>
        <v/>
      </c>
      <c r="Q409" s="473" t="str">
        <f>IF(D409="","",(VLOOKUP(D409,'DB technologies'!$N$196:$Y$208,2,FALSE)*'DB additional information '!$S$6/100*'DB additional information '!$T$6*VLOOKUP($C$409,'DB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R409" s="473" t="str">
        <f>IF(D409="","",(VLOOKUP(D409,'DB technologies'!$N$196:$Y$208,3,FALSE)*'DB additional information '!$S$7/100*'DB additional information '!$T$7*VLOOKUP($C$409,'DB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S409" s="490" t="str">
        <f>IF(D409="","",(VLOOKUP(D409,'DB technologies'!$N$196:$Y$208,4,FALSE)*('DB additional information '!$S$8/100*'DB additional information '!$T$8*E409/1000/1000)))</f>
        <v/>
      </c>
      <c r="T409" s="263" t="str">
        <f>IF($C$409=0,"",IF('Calc (ex-animal)'!$F$78=1,"",IF(D409="","",((VLOOKUP($C$409,'Calc (ex-animal)'!$D$78:$Y$82,10,FALSE)-VLOOKUP($C$409,'Calc (ex-animal)'!$D$78:$Y$82,18,FALSE))*F409/100+Q409+R409+S409)-AC409-AD409-AE409)))</f>
        <v/>
      </c>
      <c r="U409" s="474" t="str">
        <f>IF(D409="","",(VLOOKUP(D409,'DB technologies'!$N$196:$Y$208,2,FALSE)*'DB additional information '!$S$6/100*'DB additional information '!$U$6*VLOOKUP($C$409,'DB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V409" s="420" t="str">
        <f>IF(D409="","",(VLOOKUP(D409,'DB technologies'!$N$196:$Y$208,3,FALSE)*'DB additional information '!$S$7/100*'DB additional information '!$U$7*VLOOKUP($C$409,'DB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W409" s="415" t="str">
        <f>IF(D409="","",(VLOOKUP(D409,'DB technologies'!$N$196:$Y$208,4,FALSE)*('DB additional information '!$S$8/100*'DB additional information '!$U$8*E409/1000/1000)))</f>
        <v/>
      </c>
      <c r="X409" s="259" t="str">
        <f>IF($C$409=0,"",IF('Calc (ex-animal)'!$F$78=1,"",IF(D409="","",((VLOOKUP($C$409,'Calc (ex-animal)'!$D$78:$Y$82,13,FALSE)-VLOOKUP($C$409,'Calc (ex-animal)'!$D$78:$Y$82,19,FALSE))*F409/100+U409+V409+W409))))</f>
        <v/>
      </c>
      <c r="Y409" s="420" t="str">
        <f>IF(D409="","",(VLOOKUP(D409,'DB technologies'!$N$196:$Y$208,2,FALSE)*'DB additional information '!$S$6/100*'DB additional information '!$V$6*VLOOKUP($C$409,'DB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Z409" s="420" t="str">
        <f>IF(D409="","",(VLOOKUP(D409,'DB technologies'!$N$196:$Y$208,3,FALSE)*'DB additional information '!$S$7/100*'DB additional information '!$V$7*VLOOKUP($C$409,'DB animal categories'!$C$147:$AC$156,27,FALSE)*E409/1000/1000)/VLOOKUP($C$409,'DB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AA409" s="420" t="str">
        <f>IF(D409="","",(VLOOKUP(D409,'DB technologies'!$N$196:$Y$208,4,FALSE)*('DB additional information '!$S$8/100*'DB additional information '!$V$8*E409/1000/1000)))</f>
        <v/>
      </c>
      <c r="AB409" s="259" t="str">
        <f>IF($C$409=0,"",IF('Calc (ex-animal)'!$F$78=1,"",IF(D409="","",((VLOOKUP($C$409,'Calc (ex-animal)'!$D$78:$Y$82,16,FALSE)-VLOOKUP($C$409,'Calc (ex-animal)'!$D$78:$Y$82,20,FALSE))*F409/100+Y409+Z409+AA409))))</f>
        <v/>
      </c>
      <c r="AC409" s="259" t="str">
        <f>IF($C$409=0,"",IF('Calc (ex-animal)'!$F$78=1,"",IF(D409="","",VLOOKUP($C$409,'Calc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categories'!$C$147:$AC$156,26,FALSE)/24)*F409/100*VLOOKUP(D409,'DB technologies'!$N$196:$R$208,5,FALSE)/100)))</f>
        <v/>
      </c>
      <c r="AD409" s="259" t="str">
        <f>IF($C$409=0,"",IF('Calc (ex-animal)'!$F$78=1,"",IF(D409="","",VLOOKUP($C$409,'Calc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categories'!$C$147:$AC$156,26,FALSE)/24)*F409/100*VLOOKUP(D409,'DB technologies'!$N$196:$Y$208,6,FALSE)/100)))</f>
        <v/>
      </c>
      <c r="AE409" s="260" t="str">
        <f>IF($C$409=0,"",IF('Calc (ex-animal)'!$F$78=1,"",IF(D409="","",VLOOKUP($C$409,'Calc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categories'!$C$147:$AC$156,26,FALSE)/24)*F409/100*VLOOKUP(D409,'DB technologies'!$N$196:$Y$208,7,FALSE)/100)))</f>
        <v/>
      </c>
      <c r="AI409" s="179" t="str">
        <f>IF(D409="","",VLOOKUP(D409,'DB technologies'!$N$196:$Y$208,10,FALSE))</f>
        <v/>
      </c>
      <c r="AJ409" s="482" t="e">
        <f>VLOOKUP($C$409,'DB animal categories'!$C$147:$AN$156,27,FALSE)-VLOOKUP($C$409,'DB animal categories'!$C$147:$AN$156,26,FALSE)*VLOOKUP($C$409,'DB animal categories'!$C$147:$AN$156,25,FALSE)/24</f>
        <v>#N/A</v>
      </c>
      <c r="AK409" s="453" t="str">
        <f>IF(AI409="","",AL409+AM409)</f>
        <v/>
      </c>
      <c r="AL409" s="453" t="str">
        <f>IF(D409="","",IF(AI409=2,(('Calc (ex-animal)'!$G$80*'DB additional information '!$K$17/100*(1-VLOOKUP(D409,'DB technologies'!$N$196:$Y$208,9,FALSE)/100)*'Calc (ex-housing, ex-storage)'!F409/100+'Calc (ex-animal)'!$H$80*'DB additional information '!$L$17/100*(1-VLOOKUP(D409,'DB technologies'!$N$196:$Y$208,9,FALSE)/100)*'Calc (ex-housing, ex-storage)'!F409/100))/VLOOKUP($C$409,'DB animal categories'!$C$147:$AC$156,27,FALSE)*AJ409+I409+J409+K409,IF(AI409=1,('Calc (ex-animal)'!$H$80*'DB additional information '!$L$17/100*(1-VLOOKUP(D409,'DB technologies'!$N$196:$Y$208,9,FALSE)/100)*'Calc (ex-housing, ex-storage)'!F409/100)/VLOOKUP($C$409,'DB animal categories'!$C$147:$AC$156,27,FALSE)*AJ409,IF(AI409=4,('Calc (ex-animal)'!$G$80*'DB additional information '!$K$17/100+'Calc (ex-animal)'!$H$80*'DB additional information '!$L$17/100)*(1-VLOOKUP(D409,'DB technologies'!$N$196:$Y$208,9,FALSE)/100)*'Calc (ex-housing, ex-storage)'!F409/100*VLOOKUP(D409,'DB technologies'!$N$196:$Y$208,11,FALSE)/100/VLOOKUP($C$409,'DB animal categories'!$C$147:$AC$156,27,FALSE)*AJ409,0))))</f>
        <v/>
      </c>
      <c r="AM409" s="453" t="str">
        <f>IF(D409="","",IF(AI409=2,(('Calc (ex-animal)'!$G$80*(1-'DB additional information '!$K$17/100)*(1-VLOOKUP(D409,'DB technologies'!$N$196:$Y$208,8,FALSE)/100)*'Calc (ex-housing, ex-storage)'!F409/100+'Calc (ex-animal)'!$H$80*(1-'DB additional information '!$L$17/100)*(1-VLOOKUP(D409,'DB technologies'!$N$196:$Y$208,8,FALSE)/100)*'Calc (ex-housing, ex-storage)'!F409/100))/VLOOKUP($C$409,'DB animal categories'!$C$147:$AC$156,27,FALSE)*AJ409+M409+N409+O409,IF(AI409=1,('Calc (ex-animal)'!$H$80*(1-'DB additional information '!$L$17/100)*(1-VLOOKUP(D409,'DB technologies'!$N$196:$Y$208,8,FALSE)/100)*'Calc (ex-housing, ex-storage)'!F409/100)/VLOOKUP($C$409,'DB animal categories'!$C$147:$AC$156,27,FALSE)*AJ409,IF(AI409=4,('Calc (ex-animal)'!$G$80*(1-'DB additional information '!$K$17/100)+'Calc (ex-animal)'!$H$80*(1-'DB additional information '!$L$17/100))*(1-VLOOKUP(D409,'DB technologies'!$N$196:$Y$208,8,FALSE)/100)*'Calc (ex-housing, ex-storage)'!F409/100*VLOOKUP(D409,'DB technologies'!$N$196:$Y$208,11,FALSE)/100/VLOOKUP($C$409,'DB animal categories'!$C$147:$AC$156,27,FALSE)*AJ409,0))))</f>
        <v/>
      </c>
      <c r="AN409" s="453" t="str">
        <f>IF(AI409="","",IF(AL409=0,0,AL409/AK409*100))</f>
        <v/>
      </c>
      <c r="AO409" s="180" t="str">
        <f>IF(D409="","",IF(AI409=2,(('Calc (ex-animal)'!$L$80*'Calc (ex-housing, ex-storage)'!F409/100+'Calc (ex-animal)'!$K$80*'Calc (ex-housing, ex-storage)'!F409/100))/VLOOKUP($C$409,'DB animal categories'!$C$147:$AC$156,27,FALSE)*AJ409+Q409+R409+S409-AC409,IF(AI409=1,('Calc (ex-animal)'!$L$80*'Calc (ex-housing, ex-storage)'!F409/100)/VLOOKUP($C$409,'DB animal categories'!$C$147:$AC$156,27,FALSE)*AJ409-'Calc (ex-housing, ex-storage)'!AC409,IF(AI409=4,('Calc (ex-animal)'!$L$80+'Calc (ex-animal)'!$K$80)*'Calc (ex-housing, ex-storage)'!F409/100*VLOOKUP(D409,'DB technologies'!$N$196:$Y$208,11,FALSE)/100/VLOOKUP($C$409,'DB animal categories'!$C$147:$AC$156,27,FALSE)*AJ409-AC409*VLOOKUP(D409,'DB technologies'!$N$196:$Y$208,11,FALSE)/100,0))))</f>
        <v/>
      </c>
      <c r="AP409" s="180" t="str">
        <f>IF(D409="","",IF(AO409&lt;-0.01,0,IF(AI409=2,(('Calc (ex-animal)'!$L$80*'Calc (ex-housing, ex-storage)'!F409/100+'Calc (ex-animal)'!$K$80*'Calc (ex-housing, ex-storage)'!F409/100))/VLOOKUP($C$409,'DB animal categories'!$C$147:$AC$156,27,FALSE)*AJ409+Q409+R409+S409-AC409,IF(AI409=1,('Calc (ex-animal)'!$L$80*'Calc (ex-housing, ex-storage)'!F409/100)/VLOOKUP($C$409,'DB animal categories'!$C$147:$AC$156,27,FALSE)*AJ409-'Calc (ex-housing, ex-storage)'!AC409,IF(AI409=4,('Calc (ex-animal)'!$L$80+'Calc (ex-animal)'!$K$80)*'Calc (ex-housing, ex-storage)'!F409/100*VLOOKUP(D409,'DB technologies'!$N$196:$Y$208,11,FALSE)/100/VLOOKUP($C$409,'DB animal categories'!$C$147:$AC$156,27,FALSE)*AJ409-AC409*VLOOKUP(D409,'DB technologies'!$N$196:$Y$208,11,FALSE)/100,0)))))</f>
        <v/>
      </c>
      <c r="AQ409" s="180" t="str">
        <f>IF(D409="","",IF(AI409=2,('Calc (ex-animal)'!$O$80*'Calc (ex-housing, ex-storage)'!F409/100+'Calc (ex-animal)'!$N$80*'Calc (ex-housing, ex-storage)'!F409/100)/VLOOKUP($C$409,'DB animal categories'!$C$147:$AC$156,27,FALSE)*AJ409+U409+V409+W409,IF(AI409=1,'Calc (ex-animal)'!$O$80*'Calc (ex-housing, ex-storage)'!F409/100/VLOOKUP($C$409,'DB animal categories'!$C$147:$AC$156,27,FALSE)*AJ409,IF(AI409=4,('Calc (ex-animal)'!$O$80+'Calc (ex-animal)'!$N$80)*'Calc (ex-housing, ex-storage)'!F409/100*VLOOKUP(D409,'DB technologies'!$N$196:$Y$208,11,FALSE)/100/VLOOKUP($C$409,'DB animal categories'!$C$147:$AC$156,27,FALSE)*AJ409,0))))</f>
        <v/>
      </c>
      <c r="AR409" s="180" t="str">
        <f>IF(D409="","",IF(AI409=2,('Calc (ex-animal)'!$R$80*'Calc (ex-housing, ex-storage)'!F409/100+'Calc (ex-animal)'!$Q$80*'Calc (ex-housing, ex-storage)'!F409/100)/VLOOKUP($C$409,'DB animal categories'!$C$147:$AC$156,27,FALSE)*AJ409+Y409+Z409+AA409,IF(AI409=1,'Calc (ex-animal)'!$R$80*'Calc (ex-housing, ex-storage)'!F409/100/VLOOKUP($C$409,'DB animal categories'!$C$147:$AC$156,27,FALSE)*AJ409,IF(AI409=4,('Calc (ex-animal)'!$R$80+'Calc (ex-animal)'!$Q$80)*'Calc (ex-housing, ex-storage)'!F409/100*VLOOKUP(D409,'DB technologies'!$N$196:$Y$208,11,FALSE)/100/VLOOKUP($C$409,'DB animal categories'!$C$147:$AC$156,27,FALSE)*AJ409,0))))</f>
        <v/>
      </c>
      <c r="AS409" s="179" t="str">
        <f>IF(D409="","",VLOOKUP(D409,'DB technologies'!$N$196:$Y$208,10,FALSE))</f>
        <v/>
      </c>
      <c r="AT409" s="453" t="str">
        <f>IF(AS409="","",AU409+AV409)</f>
        <v/>
      </c>
      <c r="AU409" s="453" t="str">
        <f>IF(D409="","",IF(AS409=2,0,IF(AS409=1,'Calc (ex-animal)'!$G$80*'DB additional information '!$K$17/100*(1-VLOOKUP(D409,'DB technologies'!$N$196:$Y$208,8,FALSE)/100)*'Calc (ex-housing, ex-storage)'!F409/100/VLOOKUP($C$409,'DB animal categories'!$C$147:$AC$156,27,FALSE)*AJ409+I409+J409+K409,IF(AS409=5,(('Calc (ex-animal)'!$G$80*'DB additional information '!$K$17/100+'Calc (ex-animal)'!$H$80*'DB additional information '!$L$17/100))*(1-VLOOKUP(D409,'DB technologies'!$N$196:$Y$208,9,FALSE)/100)*'Calc (ex-housing, ex-storage)'!F409/100/VLOOKUP($C$409,'DB animal categories'!$C$147:$AC$156,27,FALSE)*AJ409+I409+J409+K409,IF(AS409=3,('Calc (ex-animal)'!$G$80*'DB additional information '!$K$17/100+'Calc (ex-animal)'!$H$80*'DB additional information '!$L$17/100)*(1-VLOOKUP(D409,'DB technologies'!$N$196:$Y$208,9,FALSE)/100)*'Calc (ex-housing, ex-storage)'!F409/100/VLOOKUP($C$409,'DB animal categories'!$C$147:$AC$156,27,FALSE)*AJ409+I409+J409+K409,IF(AS409=4,('Calc (ex-animal)'!$G$80*'DB additional information '!$K$17/100+'Calc (ex-animal)'!$H$80*'DB additional information '!$L$17/100)*(1-VLOOKUP(D409,'DB technologies'!$N$196:$Y$208,9,FALSE)/100)*'Calc (ex-housing, ex-storage)'!F409/100*VLOOKUP(D409,'DB technologies'!$N$196:$Y$208,12,FALSE)/100/VLOOKUP($C$409,'DB animal categories'!$C$147:$AC$156,27,FALSE)*AJ409+I409+J409+K409,0))))))</f>
        <v/>
      </c>
      <c r="AV409" s="453" t="str">
        <f>IF(D409="","",IF(AS409=2,0,IF(AS409=1,'Calc (ex-animal)'!$G$80*(1-'DB additional information '!$K$17/100)*(1-VLOOKUP(D409,'DB technologies'!$N$196:$Y$208,8,FALSE)/100)*'Calc (ex-housing, ex-storage)'!F409/100/VLOOKUP($C$409,'DB animal categories'!$C$147:$AC$156,27,FALSE)*AJ409+M409+N409+O409,IF(AS409=5,('Calc (ex-animal)'!$G$80*(1-'DB additional information '!$K$17/100)+'Calc (ex-animal)'!$H$80*(1-'DB additional information '!$L$17/100))*(1-VLOOKUP(D409,'DB technologies'!$N$196:$Y$208,8,FALSE)/100)*'Calc (ex-housing, ex-storage)'!F409/100/VLOOKUP($C$409,'DB animal categories'!$C$147:$AC$156,27,FALSE)*AJ409+M409+N409+O409,IF(AS409=3,('Calc (ex-animal)'!$G$80*(1-'DB additional information '!$K$17/100)+'Calc (ex-animal)'!$H$80*(1-'DB additional information '!$L$17/100))*(1-VLOOKUP(D409,'DB technologies'!$N$196:$Y$208,8,FALSE)/100)*'Calc (ex-housing, ex-storage)'!F409/100/VLOOKUP($C$409,'DB animal categories'!$C$147:$AC$156,27,FALSE)*AJ409+M409+N409+O409,IF(AS409=4,('Calc (ex-animal)'!$G$80*(1-'DB additional information '!$K$17/100)+'Calc (ex-animal)'!$H$80*(1-'DB additional information '!$L$17/100))*(1-VLOOKUP(D409,'DB technologies'!$N$196:$Y$208,8,FALSE)/100)*'Calc (ex-housing, ex-storage)'!F409/100*VLOOKUP(D409,'DB technologies'!$N$196:$Y$208,12,FALSE)/100/VLOOKUP($C$409,'DB animal categories'!$C$147:$AC$156,27,FALSE)*AJ409+M409+N409+O409,0))))))</f>
        <v/>
      </c>
      <c r="AW409" s="453" t="str">
        <f>IF(AS409="","",IF(AU409=0,0,AU409/AT409*100))</f>
        <v/>
      </c>
      <c r="AX409" s="180" t="str">
        <f>IF(D409="","",IF(AS409=2,0,IF(AS409=1,'Calc (ex-animal)'!$K$80*'Calc (ex-housing, ex-storage)'!F409/100/VLOOKUP($C$409,'DB animal categories'!$C$147:$AC$156,27,FALSE)*AJ409+Q409+R409+S409,IF(AS409=5,('Calc (ex-animal)'!$K$80+'Calc (ex-animal)'!$L$80)*'Calc (ex-housing, ex-storage)'!F409/100/VLOOKUP($C$409,'DB animal categories'!$C$147:$AC$156,27,FALSE)*AJ409+Q409+R409+S409-'Calc (ex-housing, ex-storage)'!AC409,IF(AS409=3,('Calc (ex-animal)'!$K$80+'Calc (ex-animal)'!$L$80)*'Calc (ex-housing, ex-storage)'!F409/100/VLOOKUP($C$409,'DB animal categories'!$C$147:$AC$156,27,FALSE)*AJ409+Q409+R409+S409-'Calc (ex-housing, ex-storage)'!AC409-AD409-AE409,IF(AI409=4,('Calc (ex-animal)'!$K$80+'Calc (ex-animal)'!$L$80)*'Calc (ex-housing, ex-storage)'!F409/100*VLOOKUP(D409,'DB technologies'!$N$196:$Y$208,12,FALSE)/100/VLOOKUP($C$409,'DB animal categories'!$C$147:$AC$156,27,FALSE)*AJ409+Q409+R409+S409-(VLOOKUP(D409,'DB technologies'!$N$196:$Y$208,12,FALSE)/100*AC409)-AD409-AE409,0))))))</f>
        <v/>
      </c>
      <c r="AY409" s="180" t="str">
        <f>IF(D409="","",IF(AS409=2,0,IF(AS409=1,'Calc (ex-animal)'!$N$80*'Calc (ex-housing, ex-storage)'!F409/100/VLOOKUP($C$409,'DB animal categories'!$C$147:$AC$156,27,FALSE)*AJ409+U409+V409+W409,IF(AS409=5,('Calc (ex-animal)'!$N$80+'Calc (ex-animal)'!$O$80)*'Calc (ex-housing, ex-storage)'!F409/100/VLOOKUP($C$409,'DB animal categories'!$C$147:$AC$156,27,FALSE)*AJ409+U409+V409+W409,IF(AS409=3,('Calc (ex-animal)'!$N$80+'Calc (ex-animal)'!$O$80)*'Calc (ex-housing, ex-storage)'!F409/100/VLOOKUP($C$409,'DB animal categories'!$C$147:$AC$156,27,FALSE)*AJ409+U409+V409+W409,IF(AS409=4,('Calc (ex-animal)'!$N$80+'Calc (ex-animal)'!$O$80)*'Calc (ex-housing, ex-storage)'!F409/100*VLOOKUP(D409,'DB technologies'!$N$196:$Y$208,12,FALSE)/100/VLOOKUP($C$409,'DB animal categories'!$C$147:$AC$156,27,FALSE)*AJ409+U409+V409+W409,0))))))</f>
        <v/>
      </c>
      <c r="AZ409" s="180" t="str">
        <f>IF(D409="","",IF(AS409=2,0,IF(AS409=1,'Calc (ex-animal)'!$Q$80*'Calc (ex-housing, ex-storage)'!F409/100/VLOOKUP($C$409,'DB animal categories'!$C$147:$AC$156,27,FALSE)*AJ409+Y409+Z409+AA409,IF(AS409=5,('Calc (ex-animal)'!$Q$80+'Calc (ex-animal)'!$R$80)*'Calc (ex-housing, ex-storage)'!F409/100/VLOOKUP($C$409,'DB animal categories'!$C$147:$AC$156,27,FALSE)*AJ409+Y409+Z409+AA409,IF(AS409=3,('Calc (ex-animal)'!$Q$80+'Calc (ex-animal)'!$R$80)*'Calc (ex-housing, ex-storage)'!F409/100/VLOOKUP($C$409,'DB animal categories'!$C$147:$AC$156,27,FALSE)*AJ409+Y409+Z409+AA409,IF(AS409=4,('Calc (ex-animal)'!$Q$80+'Calc (ex-animal)'!$R$80)*'Calc (ex-housing, ex-storage)'!F409/100*VLOOKUP(D409,'DB technologies'!$N$196:$Y$208,12,FALSE)/100/VLOOKUP($C$409,'DB animal categories'!$C$147:$AC$156,27,FALSE)*AJ409+Y409+Z409+AA409,0))))))</f>
        <v/>
      </c>
      <c r="BA409" s="506"/>
      <c r="BB409" s="506"/>
      <c r="BC409" s="506"/>
    </row>
    <row r="410" spans="1:55" x14ac:dyDescent="0.2">
      <c r="A410" s="695"/>
      <c r="B410" s="695"/>
      <c r="C410" s="251"/>
      <c r="D410" s="1357"/>
      <c r="E410" s="1399"/>
      <c r="F410" s="480" t="str">
        <f>IF('Calc (ex-animal)'!$F$78=1,"",IF($C$409=0,"",IF(D410="","",E410/'Calc (ex-animal)'!$E$80*100)))</f>
        <v/>
      </c>
      <c r="G410" s="485" t="str">
        <f>IF($C$409=0,"",IF('Calc (ex-animal)'!$F$78=1,"",IF(D410="","",SUM(H410:O410))))</f>
        <v/>
      </c>
      <c r="H410" s="423" t="str">
        <f>IF('Calc (ex-animal)'!$F$78=1,"",IF(D410="","",(((VLOOKUP($C$409,'Calc (ex-animal)'!$D$78:$Y$82,6,FALSE)-VLOOKUP($C$409,'Calc (ex-animal)'!$D$78:$Y$82,17,FALSE))*F410/100))*VLOOKUP($C$409,'Calc (ex-animal)'!$D$78:$Y$82,7,FALSE)/100*(1-VLOOKUP(D410,'DB technologies'!$N$196:$Y$208,9,FALSE)/100)))</f>
        <v/>
      </c>
      <c r="I410" s="423" t="str">
        <f>IF(D410="","",((VLOOKUP(D410,'DB technologies'!$N$196:$Y$208,2,FALSE)*VLOOKUP($C$409,'DB animal categories'!$C$147:$AC$156,27,FALSE)*E410/1000)/VLOOKUP($C$409,'DB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'!$S$6/100*(1-VLOOKUP(D410,'DB technologies'!$N$196:$Y$208,9,FALSE)/100)))</f>
        <v/>
      </c>
      <c r="J410" s="434" t="str">
        <f>IF(D410="","",((VLOOKUP(D410,'DB technologies'!$N$196:$Y$208,3,FALSE)*VLOOKUP($C$409,'DB animal categories'!$C$147:$AC$156,27,FALSE)*E410/1000)/VLOOKUP($C$409,'DB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'!$S$7/100*(1-VLOOKUP(D410,'DB technologies'!$N$196:$Y$208,9,FALSE)/100)))</f>
        <v/>
      </c>
      <c r="K410" s="434" t="str">
        <f>IF(D410="","",((VLOOKUP(D410,'DB technologies'!$N$196:$Y$208,4,FALSE)*E410*'DB additional information '!$S$8/100*(1-VLOOKUP(D410,'DB technologies'!$N$196:$Y$208,9,FALSE)/100))/VLOOKUP($C$409,'DB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L410" s="423" t="str">
        <f>IF('Calc (ex-animal)'!$F$78=1,"",IF(D410="","",(((VLOOKUP($C$409,'Calc (ex-animal)'!$D$78:$Y$82,6,FALSE)-VLOOKUP($C$409,'Calc (ex-animal)'!$D$78:$Y$82,17,FALSE))*F410/100))*(1-VLOOKUP($C$409,'Calc (ex-animal)'!$D$78:$Y$82,7,FALSE)/100)*(1-VLOOKUP(D410,'DB technologies'!$N$196:$V$208,8,FALSE)/100)))</f>
        <v/>
      </c>
      <c r="M410" s="434" t="str">
        <f>IF(D410="","",((VLOOKUP(D410,'DB technologies'!$N$196:$Y$208,2,FALSE)*VLOOKUP($C$409,'DB animal categories'!$C$147:$AC$156,27,FALSE)*E410/1000)/VLOOKUP($C$409,'DB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'!$S$6/100)*(1-VLOOKUP(D410,'DB technologies'!$N$196:$Y$208,9,FALSE)/100))</f>
        <v/>
      </c>
      <c r="N410" s="434" t="str">
        <f>IF(D410="","",((VLOOKUP(D410,'DB technologies'!$N$196:$Y$208,3,FALSE)*VLOOKUP($C$409,'DB animal categories'!$C$147:$AC$156,27,FALSE)*E410/1000)/VLOOKUP($C$409,'DB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'!$S$7/100)*(1-VLOOKUP(D410,'DB technologies'!$N$196:$Y$208,9,FALSE)/100))</f>
        <v/>
      </c>
      <c r="O410" s="423" t="str">
        <f>IF(D410="","",((VLOOKUP(D410,'DB technologies'!$N$196:$Y$208,4,FALSE)*E410*(1-'DB additional information '!$S$8/100)*(1-VLOOKUP(D410,'DB technologies'!$N$196:$Y$208,8,FALSE)/100))/VLOOKUP($C$409,'DB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P410" s="438" t="str">
        <f>IF(G410=0,0,IF(E410="","",IF(F410="","",IF($C$409=0,"",IF(D410="","",SUM(H410:K410)/G410*100)))))</f>
        <v/>
      </c>
      <c r="Q410" s="416" t="str">
        <f>IF(D410="","",(VLOOKUP(D410,'DB technologies'!$N$196:$Y$208,2,FALSE)*'DB additional information '!$S$6/100*'DB additional information '!$T$6*VLOOKUP($C$409,'DB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R410" s="416" t="str">
        <f>IF(D410="","",(VLOOKUP(D410,'DB technologies'!$N$196:$Y$208,3,FALSE)*'DB additional information '!$S$7/100*'DB additional information '!$T$7*VLOOKUP($C$409,'DB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S410" s="491" t="str">
        <f>IF(D410="","",(VLOOKUP(D410,'DB technologies'!$N$196:$Y$208,4,FALSE)*('DB additional information '!$S$8/100*'DB additional information '!$T$8*E410/1000/1000)))</f>
        <v/>
      </c>
      <c r="T410" s="264" t="str">
        <f>IF($C$409=0,"",IF('Calc (ex-animal)'!$F$78=1,"",IF(D410="","",((VLOOKUP($C$409,'Calc (ex-animal)'!$D$78:$Y$82,10,FALSE)-VLOOKUP($C$409,'Calc (ex-animal)'!$D$78:$Y$82,18,FALSE))*F410/100+Q410+R410+S410)-AC410-AD410-AE410)))</f>
        <v/>
      </c>
      <c r="U410" s="422" t="str">
        <f>IF(D410="","",(VLOOKUP(D410,'DB technologies'!$N$196:$Y$208,2,FALSE)*'DB additional information '!$S$6/100*'DB additional information '!$U$6*VLOOKUP($C$409,'DB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V410" s="418" t="str">
        <f>IF(D410="","",(VLOOKUP(D410,'DB technologies'!$N$196:$Y$208,3,FALSE)*'DB additional information '!$S$7/100*'DB additional information '!$U$7*VLOOKUP($C$409,'DB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W410" s="417" t="str">
        <f>IF(D410="","",(VLOOKUP(D410,'DB technologies'!$N$196:$Y$208,4,FALSE)*('DB additional information '!$S$8/100*'DB additional information '!$U$8*E410/1000/1000)))</f>
        <v/>
      </c>
      <c r="X410" s="261" t="str">
        <f>IF($C$409=0,"",IF('Calc (ex-animal)'!$F$78=1,"",IF(D410="","",((VLOOKUP($C$409,'Calc (ex-animal)'!$D$78:$Y$82,13,FALSE)-VLOOKUP($C$409,'Calc (ex-animal)'!$D$78:$Y$82,19,FALSE))*F410/100+U410+V410+W410))))</f>
        <v/>
      </c>
      <c r="Y410" s="418" t="str">
        <f>IF(D410="","",(VLOOKUP(D410,'DB technologies'!$N$196:$Y$208,2,FALSE)*'DB additional information '!$S$6/100*'DB additional information '!$V$6*VLOOKUP($C$409,'DB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Z410" s="418" t="str">
        <f>IF(D410="","",(VLOOKUP(D410,'DB technologies'!$N$196:$Y$208,3,FALSE)*'DB additional information '!$S$7/100*'DB additional information '!$V$7*VLOOKUP($C$409,'DB animal categories'!$C$147:$AC$156,27,FALSE)*E410/1000/1000)/VLOOKUP($C$409,'DB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AA410" s="418" t="str">
        <f>IF(D410="","",(VLOOKUP(D410,'DB technologies'!$N$196:$Y$208,4,FALSE)*('DB additional information '!$S$8/100*'DB additional information '!$V$8*E410/1000/1000)))</f>
        <v/>
      </c>
      <c r="AB410" s="261" t="str">
        <f>IF($C$409=0,"",IF('Calc (ex-animal)'!$F$78=1,"",IF(D410="","",((VLOOKUP($C$409,'Calc (ex-animal)'!$D$78:$Y$82,16,FALSE)-VLOOKUP($C$409,'Calc (ex-animal)'!$D$78:$Y$82,20,FALSE))*F410/100+Y410+Z410+AA410))))</f>
        <v/>
      </c>
      <c r="AC410" s="261" t="str">
        <f>IF($C$409=0,"",IF('Calc (ex-animal)'!$F$78=1,"",IF(D410="","",VLOOKUP($C$409,'Calc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categories'!$C$147:$AC$156,26,FALSE)/24)*F410/100*VLOOKUP(D410,'DB technologies'!$N$196:$R$208,5,FALSE)/100)))</f>
        <v/>
      </c>
      <c r="AD410" s="261" t="str">
        <f>IF($C$409=0,"",IF('Calc (ex-animal)'!$F$78=1,"",IF(D410="","",VLOOKUP($C$409,'Calc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categories'!$C$147:$AC$156,26,FALSE)/24)*F410/100*VLOOKUP(D410,'DB technologies'!$N$196:$Y$208,6,FALSE)/100)))</f>
        <v/>
      </c>
      <c r="AE410" s="262" t="str">
        <f>IF($C$409=0,"",IF('Calc (ex-animal)'!$F$78=1,"",IF(D410="","",VLOOKUP($C$409,'Calc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categories'!$C$147:$AC$156,26,FALSE)/24)*F410/100*VLOOKUP(D410,'DB technologies'!$N$196:$Y$208,7,FALSE)/100)))</f>
        <v/>
      </c>
      <c r="AI410" s="181" t="str">
        <f>IF(D410="","",VLOOKUP(D410,'DB technologies'!$N$196:$Y$208,10,FALSE))</f>
        <v/>
      </c>
      <c r="AJ410" s="449" t="e">
        <f>VLOOKUP($C$409,'DB animal categories'!$C$147:$AN$156,27,FALSE)-VLOOKUP($C$409,'DB animal categories'!$C$147:$AN$156,26,FALSE)*VLOOKUP($C$409,'DB animal categories'!$C$147:$AN$156,25,FALSE)/24</f>
        <v>#N/A</v>
      </c>
      <c r="AK410" s="442" t="str">
        <f>IF(AI410="","",AL410+AM410)</f>
        <v/>
      </c>
      <c r="AL410" s="442" t="str">
        <f>IF(D410="","",IF(AI410=2,(('Calc (ex-animal)'!$G$80*'DB additional information '!$K$17/100*(1-VLOOKUP(D410,'DB technologies'!$N$196:$Y$208,9,FALSE)/100)*'Calc (ex-housing, ex-storage)'!F410/100+'Calc (ex-animal)'!$H$80*'DB additional information '!$L$17/100*(1-VLOOKUP(D410,'DB technologies'!$N$196:$Y$208,9,FALSE)/100)*'Calc (ex-housing, ex-storage)'!F410/100))/VLOOKUP($C$409,'DB animal categories'!$C$147:$AC$156,27,FALSE)*AJ410+I410+J410+K410,IF(AI410=1,('Calc (ex-animal)'!$H$80*'DB additional information '!$L$17/100*(1-VLOOKUP(D410,'DB technologies'!$N$196:$Y$208,9,FALSE)/100)*'Calc (ex-housing, ex-storage)'!F410/100)/VLOOKUP($C$409,'DB animal categories'!$C$147:$AC$156,27,FALSE)*AJ410,IF(AI410=4,('Calc (ex-animal)'!$G$80*'DB additional information '!$K$17/100+'Calc (ex-animal)'!$H$80*'DB additional information '!$L$17/100)*(1-VLOOKUP(D410,'DB technologies'!$N$196:$Y$208,9,FALSE)/100)*'Calc (ex-housing, ex-storage)'!F410/100*VLOOKUP(D410,'DB technologies'!$N$196:$Y$208,11,FALSE)/100/VLOOKUP($C$409,'DB animal categories'!$C$147:$AC$156,27,FALSE)*AJ410,0))))</f>
        <v/>
      </c>
      <c r="AM410" s="442" t="str">
        <f>IF(D410="","",IF(AI410=2,(('Calc (ex-animal)'!$G$80*(1-'DB additional information '!$K$17/100)*(1-VLOOKUP(D410,'DB technologies'!$N$196:$Y$208,8,FALSE)/100)*'Calc (ex-housing, ex-storage)'!F410/100+'Calc (ex-animal)'!$H$80*(1-'DB additional information '!$L$17/100)*(1-VLOOKUP(D410,'DB technologies'!$N$196:$Y$208,8,FALSE)/100)*'Calc (ex-housing, ex-storage)'!F410/100))/VLOOKUP($C$409,'DB animal categories'!$C$147:$AC$156,27,FALSE)*AJ410+M410+N410+O410,IF(AI410=1,('Calc (ex-animal)'!$H$80*(1-'DB additional information '!$L$17/100)*(1-VLOOKUP(D410,'DB technologies'!$N$196:$Y$208,8,FALSE)/100)*'Calc (ex-housing, ex-storage)'!F410/100)/VLOOKUP($C$409,'DB animal categories'!$C$147:$AC$156,27,FALSE)*AJ410,IF(AI410=4,('Calc (ex-animal)'!$G$80*(1-'DB additional information '!$K$17/100)+'Calc (ex-animal)'!$H$80*(1-'DB additional information '!$L$17/100))*(1-VLOOKUP(D410,'DB technologies'!$N$196:$Y$208,8,FALSE)/100)*'Calc (ex-housing, ex-storage)'!F410/100*VLOOKUP(D410,'DB technologies'!$N$196:$Y$208,11,FALSE)/100/VLOOKUP($C$409,'DB animal categories'!$C$147:$AC$156,27,FALSE)*AJ410,0))))</f>
        <v/>
      </c>
      <c r="AN410" s="442" t="str">
        <f>IF(AI410="","",IF(AL410=0,0,AL410/AK410*100))</f>
        <v/>
      </c>
      <c r="AO410" s="182" t="str">
        <f>IF(D410="","",IF(AI410=2,(('Calc (ex-animal)'!$L$80*'Calc (ex-housing, ex-storage)'!F410/100+'Calc (ex-animal)'!$K$80*'Calc (ex-housing, ex-storage)'!F410/100))/VLOOKUP($C$409,'DB animal categories'!$C$147:$AC$156,27,FALSE)*AJ410+Q410+R410+S410-AC410,IF(AI410=1,('Calc (ex-animal)'!$L$80*'Calc (ex-housing, ex-storage)'!F410/100)/VLOOKUP($C$409,'DB animal categories'!$C$147:$AC$156,27,FALSE)*AJ410-'Calc (ex-housing, ex-storage)'!AC410,IF(AI410=4,('Calc (ex-animal)'!$L$80+'Calc (ex-animal)'!$K$80)*'Calc (ex-housing, ex-storage)'!F410/100*VLOOKUP(D410,'DB technologies'!$N$196:$Y$208,11,FALSE)/100/VLOOKUP($C$409,'DB animal categories'!$C$147:$AC$156,27,FALSE)*AJ410-AC410*VLOOKUP(D410,'DB technologies'!$N$196:$Y$208,11,FALSE)/100,0))))</f>
        <v/>
      </c>
      <c r="AP410" s="182" t="str">
        <f>IF(D410="","",IF(AO410&lt;-0.01,0,IF(AI410=2,(('Calc (ex-animal)'!$L$80*'Calc (ex-housing, ex-storage)'!F410/100+'Calc (ex-animal)'!$K$80*'Calc (ex-housing, ex-storage)'!F410/100))/VLOOKUP($C$409,'DB animal categories'!$C$147:$AC$156,27,FALSE)*AJ410+Q410+R410+S410-AC410,IF(AI410=1,('Calc (ex-animal)'!$L$80*'Calc (ex-housing, ex-storage)'!F410/100)/VLOOKUP($C$409,'DB animal categories'!$C$147:$AC$156,27,FALSE)*AJ410-'Calc (ex-housing, ex-storage)'!AC410,IF(AI410=4,('Calc (ex-animal)'!$L$80+'Calc (ex-animal)'!$K$80)*'Calc (ex-housing, ex-storage)'!F410/100*VLOOKUP(D410,'DB technologies'!$N$196:$Y$208,11,FALSE)/100/VLOOKUP($C$409,'DB animal categories'!$C$147:$AC$156,27,FALSE)*AJ410-AC410*VLOOKUP(D410,'DB technologies'!$N$196:$Y$208,11,FALSE)/100,0)))))</f>
        <v/>
      </c>
      <c r="AQ410" s="182" t="str">
        <f>IF(D410="","",IF(AI410=2,('Calc (ex-animal)'!$O$80*'Calc (ex-housing, ex-storage)'!F410/100+'Calc (ex-animal)'!$N$80*'Calc (ex-housing, ex-storage)'!F410/100)/VLOOKUP($C$409,'DB animal categories'!$C$147:$AC$156,27,FALSE)*AJ410+U410+V410+W410,IF(AI410=1,'Calc (ex-animal)'!$O$80*'Calc (ex-housing, ex-storage)'!F410/100/VLOOKUP($C$409,'DB animal categories'!$C$147:$AC$156,27,FALSE)*AJ410,IF(AI410=4,('Calc (ex-animal)'!$O$80+'Calc (ex-animal)'!$N$80)*'Calc (ex-housing, ex-storage)'!F410/100*VLOOKUP(D410,'DB technologies'!$N$196:$Y$208,11,FALSE)/100/VLOOKUP($C$409,'DB animal categories'!$C$147:$AC$156,27,FALSE)*AJ410,0))))</f>
        <v/>
      </c>
      <c r="AR410" s="182" t="str">
        <f>IF(D410="","",IF(AI410=2,('Calc (ex-animal)'!$R$80*'Calc (ex-housing, ex-storage)'!F410/100+'Calc (ex-animal)'!$Q$80*'Calc (ex-housing, ex-storage)'!F410/100)/VLOOKUP($C$409,'DB animal categories'!$C$147:$AC$156,27,FALSE)*AJ410+Y410+Z410+AA410,IF(AI410=1,'Calc (ex-animal)'!$R$80*'Calc (ex-housing, ex-storage)'!F410/100/VLOOKUP($C$409,'DB animal categories'!$C$147:$AC$156,27,FALSE)*AJ410,IF(AI410=4,('Calc (ex-animal)'!$R$80+'Calc (ex-animal)'!$Q$80)*'Calc (ex-housing, ex-storage)'!F410/100*VLOOKUP(D410,'DB technologies'!$N$196:$Y$208,11,FALSE)/100/VLOOKUP($C$409,'DB animal categories'!$C$147:$AC$156,27,FALSE)*AJ410,0))))</f>
        <v/>
      </c>
      <c r="AS410" s="181" t="str">
        <f>IF(D410="","",VLOOKUP(D410,'DB technologies'!$N$196:$Y$208,10,FALSE))</f>
        <v/>
      </c>
      <c r="AT410" s="442" t="str">
        <f>IF(AS410="","",AU410+AV410)</f>
        <v/>
      </c>
      <c r="AU410" s="442" t="str">
        <f>IF(D410="","",IF(AS410=2,0,IF(AS410=1,'Calc (ex-animal)'!$G$80*'DB additional information '!$K$17/100*(1-VLOOKUP(D410,'DB technologies'!$N$196:$Y$208,8,FALSE)/100)*'Calc (ex-housing, ex-storage)'!F410/100/VLOOKUP($C$409,'DB animal categories'!$C$147:$AC$156,27,FALSE)*AJ410+I410+J410+K410,IF(AS410=5,(('Calc (ex-animal)'!$G$80*'DB additional information '!$K$17/100+'Calc (ex-animal)'!$H$80*'DB additional information '!$L$17/100))*(1-VLOOKUP(D410,'DB technologies'!$N$196:$Y$208,9,FALSE)/100)*'Calc (ex-housing, ex-storage)'!F410/100/VLOOKUP($C$409,'DB animal categories'!$C$147:$AC$156,27,FALSE)*AJ410+I410+J410+K410,IF(AS410=3,('Calc (ex-animal)'!$G$80*'DB additional information '!$K$17/100+'Calc (ex-animal)'!$H$80*'DB additional information '!$L$17/100)*(1-VLOOKUP(D410,'DB technologies'!$N$196:$Y$208,9,FALSE)/100)*'Calc (ex-housing, ex-storage)'!F410/100/VLOOKUP($C$409,'DB animal categories'!$C$147:$AC$156,27,FALSE)*AJ410+I410+J410+K410,IF(AS410=4,('Calc (ex-animal)'!$G$80*'DB additional information '!$K$17/100+'Calc (ex-animal)'!$H$80*'DB additional information '!$L$17/100)*(1-VLOOKUP(D410,'DB technologies'!$N$196:$Y$208,9,FALSE)/100)*'Calc (ex-housing, ex-storage)'!F410/100*VLOOKUP(D410,'DB technologies'!$N$196:$Y$208,12,FALSE)/100/VLOOKUP($C$409,'DB animal categories'!$C$147:$AC$156,27,FALSE)*AJ410+I410+J410+K410,0))))))</f>
        <v/>
      </c>
      <c r="AV410" s="442" t="str">
        <f>IF(D410="","",IF(AS410=2,0,IF(AS410=1,'Calc (ex-animal)'!$G$80*(1-'DB additional information '!$K$17/100)*(1-VLOOKUP(D410,'DB technologies'!$N$196:$Y$208,8,FALSE)/100)*'Calc (ex-housing, ex-storage)'!F410/100/VLOOKUP($C$409,'DB animal categories'!$C$147:$AC$156,27,FALSE)*AJ410+M410+N410+O410,IF(AS410=5,('Calc (ex-animal)'!$G$80*(1-'DB additional information '!$K$17/100)+'Calc (ex-animal)'!$H$80*(1-'DB additional information '!$L$17/100))*(1-VLOOKUP(D410,'DB technologies'!$N$196:$Y$208,8,FALSE)/100)*'Calc (ex-housing, ex-storage)'!F410/100/VLOOKUP($C$409,'DB animal categories'!$C$147:$AC$156,27,FALSE)*AJ410+M410+N410+O410,IF(AS410=3,('Calc (ex-animal)'!$G$80*(1-'DB additional information '!$K$17/100)+'Calc (ex-animal)'!$H$80*(1-'DB additional information '!$L$17/100))*(1-VLOOKUP(D410,'DB technologies'!$N$196:$Y$208,8,FALSE)/100)*'Calc (ex-housing, ex-storage)'!F410/100/VLOOKUP($C$409,'DB animal categories'!$C$147:$AC$156,27,FALSE)*AJ410+M410+N410+O410,IF(AS410=4,('Calc (ex-animal)'!$G$80*(1-'DB additional information '!$K$17/100)+'Calc (ex-animal)'!$H$80*(1-'DB additional information '!$L$17/100))*(1-VLOOKUP(D410,'DB technologies'!$N$196:$Y$208,8,FALSE)/100)*'Calc (ex-housing, ex-storage)'!F410/100*VLOOKUP(D410,'DB technologies'!$N$196:$Y$208,12,FALSE)/100/VLOOKUP($C$409,'DB animal categories'!$C$147:$AC$156,27,FALSE)*AJ410+M410+N410+O410,0))))))</f>
        <v/>
      </c>
      <c r="AW410" s="442" t="str">
        <f>IF(AS410="","",IF(AU410=0,0,AU410/AT410*100))</f>
        <v/>
      </c>
      <c r="AX410" s="182" t="str">
        <f>IF(D410="","",IF(AS410=2,0,IF(AS410=1,'Calc (ex-animal)'!$K$80*'Calc (ex-housing, ex-storage)'!F410/100/VLOOKUP($C$409,'DB animal categories'!$C$147:$AC$156,27,FALSE)*AJ410+Q410+R410+S410,IF(AS410=5,('Calc (ex-animal)'!$K$80+'Calc (ex-animal)'!$L$80)*'Calc (ex-housing, ex-storage)'!F410/100/VLOOKUP($C$409,'DB animal categories'!$C$147:$AC$156,27,FALSE)*AJ410+Q410+R410+S410-'Calc (ex-housing, ex-storage)'!AC410,IF(AS410=3,('Calc (ex-animal)'!$K$80+'Calc (ex-animal)'!$L$80)*'Calc (ex-housing, ex-storage)'!F410/100/VLOOKUP($C$409,'DB animal categories'!$C$147:$AC$156,27,FALSE)*AJ410+Q410+R410+S410-'Calc (ex-housing, ex-storage)'!AC410-AD410-AE410,IF(AI410=4,('Calc (ex-animal)'!$K$80+'Calc (ex-animal)'!$L$80)*'Calc (ex-housing, ex-storage)'!F410/100*VLOOKUP(D410,'DB technologies'!$N$196:$Y$208,12,FALSE)/100/VLOOKUP($C$409,'DB animal categories'!$C$147:$AC$156,27,FALSE)*AJ410+Q410+R410+S410-(VLOOKUP(D410,'DB technologies'!$N$196:$Y$208,12,FALSE)/100*AC410)-AD410-AE410,0))))))</f>
        <v/>
      </c>
      <c r="AY410" s="182" t="str">
        <f>IF(D410="","",IF(AS410=2,0,IF(AS410=1,'Calc (ex-animal)'!$N$80*'Calc (ex-housing, ex-storage)'!F410/100/VLOOKUP($C$409,'DB animal categories'!$C$147:$AC$156,27,FALSE)*AJ410+U410+V410+W410,IF(AS410=5,('Calc (ex-animal)'!$N$80+'Calc (ex-animal)'!$O$80)*'Calc (ex-housing, ex-storage)'!F410/100/VLOOKUP($C$409,'DB animal categories'!$C$147:$AC$156,27,FALSE)*AJ410+U410+V410+W410,IF(AS410=3,('Calc (ex-animal)'!$N$80+'Calc (ex-animal)'!$O$80)*'Calc (ex-housing, ex-storage)'!F410/100/VLOOKUP($C$409,'DB animal categories'!$C$147:$AC$156,27,FALSE)*AJ410+U410+V410+W410,IF(AS410=4,('Calc (ex-animal)'!$N$80+'Calc (ex-animal)'!$O$80)*'Calc (ex-housing, ex-storage)'!F410/100*VLOOKUP(D410,'DB technologies'!$N$196:$Y$208,12,FALSE)/100/VLOOKUP($C$409,'DB animal categories'!$C$147:$AC$156,27,FALSE)*AJ410+U410+V410+W410,0))))))</f>
        <v/>
      </c>
      <c r="AZ410" s="182" t="str">
        <f>IF(D410="","",IF(AS410=2,0,IF(AS410=1,'Calc (ex-animal)'!$Q$80*'Calc (ex-housing, ex-storage)'!F410/100/VLOOKUP($C$409,'DB animal categories'!$C$147:$AC$156,27,FALSE)*AJ410+Y410+Z410+AA410,IF(AS410=5,('Calc (ex-animal)'!$Q$80+'Calc (ex-animal)'!$R$80)*'Calc (ex-housing, ex-storage)'!F410/100/VLOOKUP($C$409,'DB animal categories'!$C$147:$AC$156,27,FALSE)*AJ410+Y410+Z410+AA410,IF(AS410=3,('Calc (ex-animal)'!$Q$80+'Calc (ex-animal)'!$R$80)*'Calc (ex-housing, ex-storage)'!F410/100/VLOOKUP($C$409,'DB animal categories'!$C$147:$AC$156,27,FALSE)*AJ410+Y410+Z410+AA410,IF(AS410=4,('Calc (ex-animal)'!$Q$80+'Calc (ex-animal)'!$R$80)*'Calc (ex-housing, ex-storage)'!F410/100*VLOOKUP(D410,'DB technologies'!$N$196:$Y$208,12,FALSE)/100/VLOOKUP($C$409,'DB animal categories'!$C$147:$AC$156,27,FALSE)*AJ410+Y410+Z410+AA410,0))))))</f>
        <v/>
      </c>
      <c r="BA410" s="506"/>
      <c r="BB410" s="506"/>
      <c r="BC410" s="506"/>
    </row>
    <row r="411" spans="1:55" x14ac:dyDescent="0.2">
      <c r="A411" s="695"/>
      <c r="B411" s="695"/>
      <c r="C411" s="251"/>
      <c r="D411" s="1357"/>
      <c r="E411" s="1399"/>
      <c r="F411" s="480" t="str">
        <f>IF('Calc (ex-animal)'!$F$78=1,"",IF($C$409=0,"",IF(D411="","",E411/'Calc (ex-animal)'!$E$80*100)))</f>
        <v/>
      </c>
      <c r="G411" s="485" t="str">
        <f>IF($C$409=0,"",IF('Calc (ex-animal)'!$F$78=1,"",IF(D411="","",SUM(H411:O411))))</f>
        <v/>
      </c>
      <c r="H411" s="423" t="str">
        <f>IF('Calc (ex-animal)'!$F$78=1,"",IF(D411="","",(((VLOOKUP($C$409,'Calc (ex-animal)'!$D$78:$Y$82,6,FALSE)-VLOOKUP($C$409,'Calc (ex-animal)'!$D$78:$Y$82,17,FALSE))*F411/100))*VLOOKUP($C$409,'Calc (ex-animal)'!$D$78:$Y$82,7,FALSE)/100*(1-VLOOKUP(D411,'DB technologies'!$N$196:$Y$208,9,FALSE)/100)))</f>
        <v/>
      </c>
      <c r="I411" s="423" t="str">
        <f>IF(D411="","",((VLOOKUP(D411,'DB technologies'!$N$196:$Y$208,2,FALSE)*VLOOKUP($C$409,'DB animal categories'!$C$147:$AC$156,27,FALSE)*E411/1000)/VLOOKUP($C$409,'DB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'!$S$6/100*(1-VLOOKUP(D411,'DB technologies'!$N$196:$Y$208,9,FALSE)/100)))</f>
        <v/>
      </c>
      <c r="J411" s="434" t="str">
        <f>IF(D411="","",((VLOOKUP(D411,'DB technologies'!$N$196:$Y$208,3,FALSE)*VLOOKUP($C$409,'DB animal categories'!$C$147:$AC$156,27,FALSE)*E411/1000)/VLOOKUP($C$409,'DB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'!$S$7/100*(1-VLOOKUP(D411,'DB technologies'!$N$196:$Y$208,9,FALSE)/100)))</f>
        <v/>
      </c>
      <c r="K411" s="434" t="str">
        <f>IF(D411="","",((VLOOKUP(D411,'DB technologies'!$N$196:$Y$208,4,FALSE)*E411*'DB additional information '!$S$8/100*(1-VLOOKUP(D411,'DB technologies'!$N$196:$Y$208,9,FALSE)/100))/VLOOKUP($C$409,'DB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L411" s="423" t="str">
        <f>IF('Calc (ex-animal)'!$F$78=1,"",IF(D411="","",(((VLOOKUP($C$409,'Calc (ex-animal)'!$D$78:$Y$82,6,FALSE)-VLOOKUP($C$409,'Calc (ex-animal)'!$D$78:$Y$82,17,FALSE))*F411/100))*(1-VLOOKUP($C$409,'Calc (ex-animal)'!$D$78:$Y$82,7,FALSE)/100)*(1-VLOOKUP(D411,'DB technologies'!$N$196:$V$208,8,FALSE)/100)))</f>
        <v/>
      </c>
      <c r="M411" s="434" t="str">
        <f>IF(D411="","",((VLOOKUP(D411,'DB technologies'!$N$196:$Y$208,2,FALSE)*VLOOKUP($C$409,'DB animal categories'!$C$147:$AC$156,27,FALSE)*E411/1000)/VLOOKUP($C$409,'DB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'!$S$6/100)*(1-VLOOKUP(D411,'DB technologies'!$N$196:$Y$208,9,FALSE)/100))</f>
        <v/>
      </c>
      <c r="N411" s="434" t="str">
        <f>IF(D411="","",((VLOOKUP(D411,'DB technologies'!$N$196:$Y$208,3,FALSE)*VLOOKUP($C$409,'DB animal categories'!$C$147:$AC$156,27,FALSE)*E411/1000)/VLOOKUP($C$409,'DB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'!$S$7/100)*(1-VLOOKUP(D411,'DB technologies'!$N$196:$Y$208,9,FALSE)/100))</f>
        <v/>
      </c>
      <c r="O411" s="423" t="str">
        <f>IF(D411="","",((VLOOKUP(D411,'DB technologies'!$N$196:$Y$208,4,FALSE)*E411*(1-'DB additional information '!$S$8/100)*(1-VLOOKUP(D411,'DB technologies'!$N$196:$Y$208,8,FALSE)/100))/VLOOKUP($C$409,'DB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P411" s="438" t="str">
        <f>IF(G411=0,0,IF(E411="","",IF(F411="","",IF($C$409=0,"",IF(D411="","",SUM(H411:K411)/G411*100)))))</f>
        <v/>
      </c>
      <c r="Q411" s="416" t="str">
        <f>IF(D411="","",(VLOOKUP(D411,'DB technologies'!$N$196:$Y$208,2,FALSE)*'DB additional information '!$S$6/100*'DB additional information '!$T$6*VLOOKUP($C$409,'DB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R411" s="416" t="str">
        <f>IF(D411="","",(VLOOKUP(D411,'DB technologies'!$N$196:$Y$208,3,FALSE)*'DB additional information '!$S$7/100*'DB additional information '!$T$7*VLOOKUP($C$409,'DB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S411" s="491" t="str">
        <f>IF(D411="","",(VLOOKUP(D411,'DB technologies'!$N$196:$Y$208,4,FALSE)*('DB additional information '!$S$8/100*'DB additional information '!$T$8*E411/1000/1000)))</f>
        <v/>
      </c>
      <c r="T411" s="264" t="str">
        <f>IF($C$409=0,"",IF('Calc (ex-animal)'!$F$78=1,"",IF(D411="","",((VLOOKUP($C$409,'Calc (ex-animal)'!$D$78:$Y$82,10,FALSE)-VLOOKUP($C$409,'Calc (ex-animal)'!$D$78:$Y$82,18,FALSE))*F411/100+Q411+R411+S411)-AC411-AD411-AE411)))</f>
        <v/>
      </c>
      <c r="U411" s="422" t="str">
        <f>IF(D411="","",(VLOOKUP(D411,'DB technologies'!$N$196:$Y$208,2,FALSE)*'DB additional information '!$S$6/100*'DB additional information '!$U$6*VLOOKUP($C$409,'DB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V411" s="418" t="str">
        <f>IF(D411="","",(VLOOKUP(D411,'DB technologies'!$N$196:$Y$208,3,FALSE)*'DB additional information '!$S$7/100*'DB additional information '!$U$7*VLOOKUP($C$409,'DB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W411" s="417" t="str">
        <f>IF(D411="","",(VLOOKUP(D411,'DB technologies'!$N$196:$Y$208,4,FALSE)*('DB additional information '!$S$8/100*'DB additional information '!$U$8*E411/1000/1000)))</f>
        <v/>
      </c>
      <c r="X411" s="261" t="str">
        <f>IF($C$409=0,"",IF('Calc (ex-animal)'!$F$78=1,"",IF(D411="","",((VLOOKUP($C$409,'Calc (ex-animal)'!$D$78:$Y$82,13,FALSE)-VLOOKUP($C$409,'Calc (ex-animal)'!$D$78:$Y$82,19,FALSE))*F411/100+U411+V411+W411))))</f>
        <v/>
      </c>
      <c r="Y411" s="418" t="str">
        <f>IF(D411="","",(VLOOKUP(D411,'DB technologies'!$N$196:$Y$208,2,FALSE)*'DB additional information '!$S$6/100*'DB additional information '!$V$6*VLOOKUP($C$409,'DB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Z411" s="418" t="str">
        <f>IF(D411="","",(VLOOKUP(D411,'DB technologies'!$N$196:$Y$208,3,FALSE)*'DB additional information '!$S$7/100*'DB additional information '!$V$7*VLOOKUP($C$409,'DB animal categories'!$C$147:$AC$156,27,FALSE)*E411/1000/1000)/VLOOKUP($C$409,'DB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AA411" s="418" t="str">
        <f>IF(D411="","",(VLOOKUP(D411,'DB technologies'!$N$196:$Y$208,4,FALSE)*('DB additional information '!$S$8/100*'DB additional information '!$V$8*E411/1000/1000)))</f>
        <v/>
      </c>
      <c r="AB411" s="261" t="str">
        <f>IF($C$409=0,"",IF('Calc (ex-animal)'!$F$78=1,"",IF(D411="","",((VLOOKUP($C$409,'Calc (ex-animal)'!$D$78:$Y$82,16,FALSE)-VLOOKUP($C$409,'Calc (ex-animal)'!$D$78:$Y$82,20,FALSE))*F411/100+Y411+Z411+AA411))))</f>
        <v/>
      </c>
      <c r="AC411" s="261" t="str">
        <f>IF($C$409=0,"",IF('Calc (ex-animal)'!$F$78=1,"",IF(D411="","",VLOOKUP($C$409,'Calc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categories'!$C$147:$AC$156,26,FALSE)/24)*F411/100*VLOOKUP(D411,'DB technologies'!$N$196:$R$208,5,FALSE)/100)))</f>
        <v/>
      </c>
      <c r="AD411" s="261" t="str">
        <f>IF($C$409=0,"",IF('Calc (ex-animal)'!$F$78=1,"",IF(D411="","",VLOOKUP($C$409,'Calc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categories'!$C$147:$AC$156,26,FALSE)/24)*F411/100*VLOOKUP(D411,'DB technologies'!$N$196:$Y$208,6,FALSE)/100)))</f>
        <v/>
      </c>
      <c r="AE411" s="262" t="str">
        <f>IF($C$409=0,"",IF('Calc (ex-animal)'!$F$78=1,"",IF(D411="","",VLOOKUP($C$409,'Calc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categories'!$C$147:$AC$156,26,FALSE)/24)*F411/100*VLOOKUP(D411,'DB technologies'!$N$196:$Y$208,7,FALSE)/100)))</f>
        <v/>
      </c>
      <c r="AI411" s="181" t="str">
        <f>IF(D411="","",VLOOKUP(D411,'DB technologies'!$N$196:$Y$208,10,FALSE))</f>
        <v/>
      </c>
      <c r="AJ411" s="449" t="e">
        <f>VLOOKUP($C$409,'DB animal categories'!$C$147:$AN$156,27,FALSE)-VLOOKUP($C$409,'DB animal categories'!$C$147:$AN$156,26,FALSE)*VLOOKUP($C$409,'DB animal categories'!$C$147:$AN$156,25,FALSE)/24</f>
        <v>#N/A</v>
      </c>
      <c r="AK411" s="442" t="str">
        <f>IF(AI411="","",AL411+AM411)</f>
        <v/>
      </c>
      <c r="AL411" s="442" t="str">
        <f>IF(D411="","",IF(AI411=2,(('Calc (ex-animal)'!$G$80*'DB additional information '!$K$17/100*(1-VLOOKUP(D411,'DB technologies'!$N$196:$Y$208,9,FALSE)/100)*'Calc (ex-housing, ex-storage)'!F411/100+'Calc (ex-animal)'!$H$80*'DB additional information '!$L$17/100*(1-VLOOKUP(D411,'DB technologies'!$N$196:$Y$208,9,FALSE)/100)*'Calc (ex-housing, ex-storage)'!F411/100))/VLOOKUP($C$409,'DB animal categories'!$C$147:$AC$156,27,FALSE)*AJ411+I411+J411+K411,IF(AI411=1,('Calc (ex-animal)'!$H$80*'DB additional information '!$L$17/100*(1-VLOOKUP(D411,'DB technologies'!$N$196:$Y$208,9,FALSE)/100)*'Calc (ex-housing, ex-storage)'!F411/100)/VLOOKUP($C$409,'DB animal categories'!$C$147:$AC$156,27,FALSE)*AJ411,IF(AI411=4,('Calc (ex-animal)'!$G$80*'DB additional information '!$K$17/100+'Calc (ex-animal)'!$H$80*'DB additional information '!$L$17/100)*(1-VLOOKUP(D411,'DB technologies'!$N$196:$Y$208,9,FALSE)/100)*'Calc (ex-housing, ex-storage)'!F411/100*VLOOKUP(D411,'DB technologies'!$N$196:$Y$208,11,FALSE)/100/VLOOKUP($C$409,'DB animal categories'!$C$147:$AC$156,27,FALSE)*AJ411,0))))</f>
        <v/>
      </c>
      <c r="AM411" s="442" t="str">
        <f>IF(D411="","",IF(AI411=2,(('Calc (ex-animal)'!$G$80*(1-'DB additional information '!$K$17/100)*(1-VLOOKUP(D411,'DB technologies'!$N$196:$Y$208,8,FALSE)/100)*'Calc (ex-housing, ex-storage)'!F411/100+'Calc (ex-animal)'!$H$80*(1-'DB additional information '!$L$17/100)*(1-VLOOKUP(D411,'DB technologies'!$N$196:$Y$208,8,FALSE)/100)*'Calc (ex-housing, ex-storage)'!F411/100))/VLOOKUP($C$409,'DB animal categories'!$C$147:$AC$156,27,FALSE)*AJ411+M411+N411+O411,IF(AI411=1,('Calc (ex-animal)'!$H$80*(1-'DB additional information '!$L$17/100)*(1-VLOOKUP(D411,'DB technologies'!$N$196:$Y$208,8,FALSE)/100)*'Calc (ex-housing, ex-storage)'!F411/100)/VLOOKUP($C$409,'DB animal categories'!$C$147:$AC$156,27,FALSE)*AJ411,IF(AI411=4,('Calc (ex-animal)'!$G$80*(1-'DB additional information '!$K$17/100)+'Calc (ex-animal)'!$H$80*(1-'DB additional information '!$L$17/100))*(1-VLOOKUP(D411,'DB technologies'!$N$196:$Y$208,8,FALSE)/100)*'Calc (ex-housing, ex-storage)'!F411/100*VLOOKUP(D411,'DB technologies'!$N$196:$Y$208,11,FALSE)/100/VLOOKUP($C$409,'DB animal categories'!$C$147:$AC$156,27,FALSE)*AJ411,0))))</f>
        <v/>
      </c>
      <c r="AN411" s="442" t="str">
        <f>IF(AI411="","",IF(AL411=0,0,AL411/AK411*100))</f>
        <v/>
      </c>
      <c r="AO411" s="182" t="str">
        <f>IF(D411="","",IF(AI411=2,(('Calc (ex-animal)'!$L$80*'Calc (ex-housing, ex-storage)'!F411/100+'Calc (ex-animal)'!$K$80*'Calc (ex-housing, ex-storage)'!F411/100))/VLOOKUP($C$409,'DB animal categories'!$C$147:$AC$156,27,FALSE)*AJ411+Q411+R411+S411-AC411,IF(AI411=1,('Calc (ex-animal)'!$L$80*'Calc (ex-housing, ex-storage)'!F411/100)/VLOOKUP($C$409,'DB animal categories'!$C$147:$AC$156,27,FALSE)*AJ411-'Calc (ex-housing, ex-storage)'!AC411,IF(AI411=4,('Calc (ex-animal)'!$L$80+'Calc (ex-animal)'!$K$80)*'Calc (ex-housing, ex-storage)'!F411/100*VLOOKUP(D411,'DB technologies'!$N$196:$Y$208,11,FALSE)/100/VLOOKUP($C$409,'DB animal categories'!$C$147:$AC$156,27,FALSE)*AJ411-AC411*VLOOKUP(D411,'DB technologies'!$N$196:$Y$208,11,FALSE)/100,0))))</f>
        <v/>
      </c>
      <c r="AP411" s="182" t="str">
        <f>IF(D411="","",IF(AO411&lt;-0.01,0,IF(AI411=2,(('Calc (ex-animal)'!$L$80*'Calc (ex-housing, ex-storage)'!F411/100+'Calc (ex-animal)'!$K$80*'Calc (ex-housing, ex-storage)'!F411/100))/VLOOKUP($C$409,'DB animal categories'!$C$147:$AC$156,27,FALSE)*AJ411+Q411+R411+S411-AC411,IF(AI411=1,('Calc (ex-animal)'!$L$80*'Calc (ex-housing, ex-storage)'!F411/100)/VLOOKUP($C$409,'DB animal categories'!$C$147:$AC$156,27,FALSE)*AJ411-'Calc (ex-housing, ex-storage)'!AC411,IF(AI411=4,('Calc (ex-animal)'!$L$80+'Calc (ex-animal)'!$K$80)*'Calc (ex-housing, ex-storage)'!F411/100*VLOOKUP(D411,'DB technologies'!$N$196:$Y$208,11,FALSE)/100/VLOOKUP($C$409,'DB animal categories'!$C$147:$AC$156,27,FALSE)*AJ411-AC411*VLOOKUP(D411,'DB technologies'!$N$196:$Y$208,11,FALSE)/100,0)))))</f>
        <v/>
      </c>
      <c r="AQ411" s="182" t="str">
        <f>IF(D411="","",IF(AI411=2,('Calc (ex-animal)'!$O$80*'Calc (ex-housing, ex-storage)'!F411/100+'Calc (ex-animal)'!$N$80*'Calc (ex-housing, ex-storage)'!F411/100)/VLOOKUP($C$409,'DB animal categories'!$C$147:$AC$156,27,FALSE)*AJ411+U411+V411+W411,IF(AI411=1,'Calc (ex-animal)'!$O$80*'Calc (ex-housing, ex-storage)'!F411/100/VLOOKUP($C$409,'DB animal categories'!$C$147:$AC$156,27,FALSE)*AJ411,IF(AI411=4,('Calc (ex-animal)'!$O$80+'Calc (ex-animal)'!$N$80)*'Calc (ex-housing, ex-storage)'!F411/100*VLOOKUP(D411,'DB technologies'!$N$196:$Y$208,11,FALSE)/100/VLOOKUP($C$409,'DB animal categories'!$C$147:$AC$156,27,FALSE)*AJ411,0))))</f>
        <v/>
      </c>
      <c r="AR411" s="182" t="str">
        <f>IF(D411="","",IF(AI411=2,('Calc (ex-animal)'!$R$80*'Calc (ex-housing, ex-storage)'!F411/100+'Calc (ex-animal)'!$Q$80*'Calc (ex-housing, ex-storage)'!F411/100)/VLOOKUP($C$409,'DB animal categories'!$C$147:$AC$156,27,FALSE)*AJ411+Y411+Z411+AA411,IF(AI411=1,'Calc (ex-animal)'!$R$80*'Calc (ex-housing, ex-storage)'!F411/100/VLOOKUP($C$409,'DB animal categories'!$C$147:$AC$156,27,FALSE)*AJ411,IF(AI411=4,('Calc (ex-animal)'!$R$80+'Calc (ex-animal)'!$Q$80)*'Calc (ex-housing, ex-storage)'!F411/100*VLOOKUP(D411,'DB technologies'!$N$196:$Y$208,11,FALSE)/100/VLOOKUP($C$409,'DB animal categories'!$C$147:$AC$156,27,FALSE)*AJ411,0))))</f>
        <v/>
      </c>
      <c r="AS411" s="181" t="str">
        <f>IF(D411="","",VLOOKUP(D411,'DB technologies'!$N$196:$Y$208,10,FALSE))</f>
        <v/>
      </c>
      <c r="AT411" s="442" t="str">
        <f>IF(AS411="","",AU411+AV411)</f>
        <v/>
      </c>
      <c r="AU411" s="442" t="str">
        <f>IF(D411="","",IF(AS411=2,0,IF(AS411=1,'Calc (ex-animal)'!$G$80*'DB additional information '!$K$17/100*(1-VLOOKUP(D411,'DB technologies'!$N$196:$Y$208,8,FALSE)/100)*'Calc (ex-housing, ex-storage)'!F411/100/VLOOKUP($C$409,'DB animal categories'!$C$147:$AC$156,27,FALSE)*AJ411+I411+J411+K411,IF(AS411=5,(('Calc (ex-animal)'!$G$80*'DB additional information '!$K$17/100+'Calc (ex-animal)'!$H$80*'DB additional information '!$L$17/100))*(1-VLOOKUP(D411,'DB technologies'!$N$196:$Y$208,9,FALSE)/100)*'Calc (ex-housing, ex-storage)'!F411/100/VLOOKUP($C$409,'DB animal categories'!$C$147:$AC$156,27,FALSE)*AJ411+I411+J411+K411,IF(AS411=3,('Calc (ex-animal)'!$G$80*'DB additional information '!$K$17/100+'Calc (ex-animal)'!$H$80*'DB additional information '!$L$17/100)*(1-VLOOKUP(D411,'DB technologies'!$N$196:$Y$208,9,FALSE)/100)*'Calc (ex-housing, ex-storage)'!F411/100/VLOOKUP($C$409,'DB animal categories'!$C$147:$AC$156,27,FALSE)*AJ411+I411+J411+K411,IF(AS411=4,('Calc (ex-animal)'!$G$80*'DB additional information '!$K$17/100+'Calc (ex-animal)'!$H$80*'DB additional information '!$L$17/100)*(1-VLOOKUP(D411,'DB technologies'!$N$196:$Y$208,9,FALSE)/100)*'Calc (ex-housing, ex-storage)'!F411/100*VLOOKUP(D411,'DB technologies'!$N$196:$Y$208,12,FALSE)/100/VLOOKUP($C$409,'DB animal categories'!$C$147:$AC$156,27,FALSE)*AJ411+I411+J411+K411,0))))))</f>
        <v/>
      </c>
      <c r="AV411" s="442" t="str">
        <f>IF(D411="","",IF(AS411=2,0,IF(AS411=1,'Calc (ex-animal)'!$G$80*(1-'DB additional information '!$K$17/100)*(1-VLOOKUP(D411,'DB technologies'!$N$196:$Y$208,8,FALSE)/100)*'Calc (ex-housing, ex-storage)'!F411/100/VLOOKUP($C$409,'DB animal categories'!$C$147:$AC$156,27,FALSE)*AJ411+M411+N411+O411,IF(AS411=5,('Calc (ex-animal)'!$G$80*(1-'DB additional information '!$K$17/100)+'Calc (ex-animal)'!$H$80*(1-'DB additional information '!$L$17/100))*(1-VLOOKUP(D411,'DB technologies'!$N$196:$Y$208,8,FALSE)/100)*'Calc (ex-housing, ex-storage)'!F411/100/VLOOKUP($C$409,'DB animal categories'!$C$147:$AC$156,27,FALSE)*AJ411+M411+N411+O411,IF(AS411=3,('Calc (ex-animal)'!$G$80*(1-'DB additional information '!$K$17/100)+'Calc (ex-animal)'!$H$80*(1-'DB additional information '!$L$17/100))*(1-VLOOKUP(D411,'DB technologies'!$N$196:$Y$208,8,FALSE)/100)*'Calc (ex-housing, ex-storage)'!F411/100/VLOOKUP($C$409,'DB animal categories'!$C$147:$AC$156,27,FALSE)*AJ411+M411+N411+O411,IF(AS411=4,('Calc (ex-animal)'!$G$80*(1-'DB additional information '!$K$17/100)+'Calc (ex-animal)'!$H$80*(1-'DB additional information '!$L$17/100))*(1-VLOOKUP(D411,'DB technologies'!$N$196:$Y$208,8,FALSE)/100)*'Calc (ex-housing, ex-storage)'!F411/100*VLOOKUP(D411,'DB technologies'!$N$196:$Y$208,12,FALSE)/100/VLOOKUP($C$409,'DB animal categories'!$C$147:$AC$156,27,FALSE)*AJ411+M411+N411+O411,0))))))</f>
        <v/>
      </c>
      <c r="AW411" s="442" t="str">
        <f>IF(AS411="","",IF(AU411=0,0,AU411/AT411*100))</f>
        <v/>
      </c>
      <c r="AX411" s="182" t="str">
        <f>IF(D411="","",IF(AS411=2,0,IF(AS411=1,'Calc (ex-animal)'!$K$80*'Calc (ex-housing, ex-storage)'!F411/100/VLOOKUP($C$409,'DB animal categories'!$C$147:$AC$156,27,FALSE)*AJ411+Q411+R411+S411,IF(AS411=5,('Calc (ex-animal)'!$K$80+'Calc (ex-animal)'!$L$80)*'Calc (ex-housing, ex-storage)'!F411/100/VLOOKUP($C$409,'DB animal categories'!$C$147:$AC$156,27,FALSE)*AJ411+Q411+R411+S411-'Calc (ex-housing, ex-storage)'!AC411,IF(AS411=3,('Calc (ex-animal)'!$K$80+'Calc (ex-animal)'!$L$80)*'Calc (ex-housing, ex-storage)'!F411/100/VLOOKUP($C$409,'DB animal categories'!$C$147:$AC$156,27,FALSE)*AJ411+Q411+R411+S411-'Calc (ex-housing, ex-storage)'!AC411-AD411-AE411,IF(AI411=4,('Calc (ex-animal)'!$K$80+'Calc (ex-animal)'!$L$80)*'Calc (ex-housing, ex-storage)'!F411/100*VLOOKUP(D411,'DB technologies'!$N$196:$Y$208,12,FALSE)/100/VLOOKUP($C$409,'DB animal categories'!$C$147:$AC$156,27,FALSE)*AJ411+Q411+R411+S411-(VLOOKUP(D411,'DB technologies'!$N$196:$Y$208,12,FALSE)/100*AC411)-AD411-AE411,0))))))</f>
        <v/>
      </c>
      <c r="AY411" s="182" t="str">
        <f>IF(D411="","",IF(AS411=2,0,IF(AS411=1,'Calc (ex-animal)'!$N$80*'Calc (ex-housing, ex-storage)'!F411/100/VLOOKUP($C$409,'DB animal categories'!$C$147:$AC$156,27,FALSE)*AJ411+U411+V411+W411,IF(AS411=5,('Calc (ex-animal)'!$N$80+'Calc (ex-animal)'!$O$80)*'Calc (ex-housing, ex-storage)'!F411/100/VLOOKUP($C$409,'DB animal categories'!$C$147:$AC$156,27,FALSE)*AJ411+U411+V411+W411,IF(AS411=3,('Calc (ex-animal)'!$N$80+'Calc (ex-animal)'!$O$80)*'Calc (ex-housing, ex-storage)'!F411/100/VLOOKUP($C$409,'DB animal categories'!$C$147:$AC$156,27,FALSE)*AJ411+U411+V411+W411,IF(AS411=4,('Calc (ex-animal)'!$N$80+'Calc (ex-animal)'!$O$80)*'Calc (ex-housing, ex-storage)'!F411/100*VLOOKUP(D411,'DB technologies'!$N$196:$Y$208,12,FALSE)/100/VLOOKUP($C$409,'DB animal categories'!$C$147:$AC$156,27,FALSE)*AJ411+U411+V411+W411,0))))))</f>
        <v/>
      </c>
      <c r="AZ411" s="182" t="str">
        <f>IF(D411="","",IF(AS411=2,0,IF(AS411=1,'Calc (ex-animal)'!$Q$80*'Calc (ex-housing, ex-storage)'!F411/100/VLOOKUP($C$409,'DB animal categories'!$C$147:$AC$156,27,FALSE)*AJ411+Y411+Z411+AA411,IF(AS411=5,('Calc (ex-animal)'!$Q$80+'Calc (ex-animal)'!$R$80)*'Calc (ex-housing, ex-storage)'!F411/100/VLOOKUP($C$409,'DB animal categories'!$C$147:$AC$156,27,FALSE)*AJ411+Y411+Z411+AA411,IF(AS411=3,('Calc (ex-animal)'!$Q$80+'Calc (ex-animal)'!$R$80)*'Calc (ex-housing, ex-storage)'!F411/100/VLOOKUP($C$409,'DB animal categories'!$C$147:$AC$156,27,FALSE)*AJ411+Y411+Z411+AA411,IF(AS411=4,('Calc (ex-animal)'!$Q$80+'Calc (ex-animal)'!$R$80)*'Calc (ex-housing, ex-storage)'!F411/100*VLOOKUP(D411,'DB technologies'!$N$196:$Y$208,12,FALSE)/100/VLOOKUP($C$409,'DB animal categories'!$C$147:$AC$156,27,FALSE)*AJ411+Y411+Z411+AA411,0))))))</f>
        <v/>
      </c>
      <c r="BA411" s="506"/>
      <c r="BB411" s="506"/>
      <c r="BC411" s="506"/>
    </row>
    <row r="412" spans="1:55" x14ac:dyDescent="0.2">
      <c r="A412" s="695"/>
      <c r="B412" s="695"/>
      <c r="C412" s="251"/>
      <c r="D412" s="1357"/>
      <c r="E412" s="1399"/>
      <c r="F412" s="480" t="str">
        <f>IF('Calc (ex-animal)'!$F$78=1,"",IF($C$409=0,"",IF(D412="","",E412/'Calc (ex-animal)'!$E$80*100)))</f>
        <v/>
      </c>
      <c r="G412" s="485" t="str">
        <f>IF($C$409=0,"",IF('Calc (ex-animal)'!$F$78=1,"",IF(D412="","",SUM(H412:O412))))</f>
        <v/>
      </c>
      <c r="H412" s="423" t="str">
        <f>IF('Calc (ex-animal)'!$F$78=1,"",IF(D412="","",(((VLOOKUP($C$409,'Calc (ex-animal)'!$D$78:$Y$82,6,FALSE)-VLOOKUP($C$409,'Calc (ex-animal)'!$D$78:$Y$82,17,FALSE))*F412/100))*VLOOKUP($C$409,'Calc (ex-animal)'!$D$78:$Y$82,7,FALSE)/100*(1-VLOOKUP(D412,'DB technologies'!$N$196:$Y$208,9,FALSE)/100)))</f>
        <v/>
      </c>
      <c r="I412" s="423" t="str">
        <f>IF(D412="","",((VLOOKUP(D412,'DB technologies'!$N$196:$Y$208,2,FALSE)*VLOOKUP($C$409,'DB animal categories'!$C$147:$AC$156,27,FALSE)*E412/1000)/VLOOKUP($C$409,'DB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'!$S$6/100*(1-VLOOKUP(D412,'DB technologies'!$N$196:$Y$208,9,FALSE)/100)))</f>
        <v/>
      </c>
      <c r="J412" s="434" t="str">
        <f>IF(D412="","",((VLOOKUP(D412,'DB technologies'!$N$196:$Y$208,3,FALSE)*VLOOKUP($C$409,'DB animal categories'!$C$147:$AC$156,27,FALSE)*E412/1000)/VLOOKUP($C$409,'DB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'!$S$7/100*(1-VLOOKUP(D412,'DB technologies'!$N$196:$Y$208,9,FALSE)/100)))</f>
        <v/>
      </c>
      <c r="K412" s="434" t="str">
        <f>IF(D412="","",((VLOOKUP(D412,'DB technologies'!$N$196:$Y$208,4,FALSE)*E412*'DB additional information '!$S$8/100*(1-VLOOKUP(D412,'DB technologies'!$N$196:$Y$208,9,FALSE)/100))/VLOOKUP($C$409,'DB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L412" s="423" t="str">
        <f>IF('Calc (ex-animal)'!$F$78=1,"",IF(D412="","",(((VLOOKUP($C$409,'Calc (ex-animal)'!$D$78:$Y$82,6,FALSE)-VLOOKUP($C$409,'Calc (ex-animal)'!$D$78:$Y$82,17,FALSE))*F412/100))*(1-VLOOKUP($C$409,'Calc (ex-animal)'!$D$78:$Y$82,7,FALSE)/100)*(1-VLOOKUP(D412,'DB technologies'!$N$196:$V$208,8,FALSE)/100)))</f>
        <v/>
      </c>
      <c r="M412" s="434" t="str">
        <f>IF(D412="","",((VLOOKUP(D412,'DB technologies'!$N$196:$Y$208,2,FALSE)*VLOOKUP($C$409,'DB animal categories'!$C$147:$AC$156,27,FALSE)*E412/1000)/VLOOKUP($C$409,'DB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'!$S$6/100)*(1-VLOOKUP(D412,'DB technologies'!$N$196:$Y$208,9,FALSE)/100))</f>
        <v/>
      </c>
      <c r="N412" s="434" t="str">
        <f>IF(D412="","",((VLOOKUP(D412,'DB technologies'!$N$196:$Y$208,3,FALSE)*VLOOKUP($C$409,'DB animal categories'!$C$147:$AC$156,27,FALSE)*E412/1000)/VLOOKUP($C$409,'DB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'!$S$7/100)*(1-VLOOKUP(D412,'DB technologies'!$N$196:$Y$208,9,FALSE)/100))</f>
        <v/>
      </c>
      <c r="O412" s="423" t="str">
        <f>IF(D412="","",((VLOOKUP(D412,'DB technologies'!$N$196:$Y$208,4,FALSE)*E412*(1-'DB additional information '!$S$8/100)*(1-VLOOKUP(D412,'DB technologies'!$N$196:$Y$208,8,FALSE)/100))/VLOOKUP($C$409,'DB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P412" s="438" t="str">
        <f>IF(G412=0,0,IF(E412="","",IF(F412="","",IF($C$409=0,"",IF(D412="","",SUM(H412:K412)/G412*100)))))</f>
        <v/>
      </c>
      <c r="Q412" s="416" t="str">
        <f>IF(D412="","",(VLOOKUP(D412,'DB technologies'!$N$196:$Y$208,2,FALSE)*'DB additional information '!$S$6/100*'DB additional information '!$T$6*VLOOKUP($C$409,'DB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R412" s="416" t="str">
        <f>IF(D412="","",(VLOOKUP(D412,'DB technologies'!$N$196:$Y$208,3,FALSE)*'DB additional information '!$S$7/100*'DB additional information '!$T$7*VLOOKUP($C$409,'DB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S412" s="491" t="str">
        <f>IF(D412="","",(VLOOKUP(D412,'DB technologies'!$N$196:$Y$208,4,FALSE)*('DB additional information '!$S$8/100*'DB additional information '!$T$8*E412/1000/1000)))</f>
        <v/>
      </c>
      <c r="T412" s="264" t="str">
        <f>IF($C$409=0,"",IF('Calc (ex-animal)'!$F$78=1,"",IF(D412="","",((VLOOKUP($C$409,'Calc (ex-animal)'!$D$78:$Y$82,10,FALSE)-VLOOKUP($C$409,'Calc (ex-animal)'!$D$78:$Y$82,18,FALSE))*F412/100+Q412+R412+S412)-AC412-AD412-AE412)))</f>
        <v/>
      </c>
      <c r="U412" s="422" t="str">
        <f>IF(D412="","",(VLOOKUP(D412,'DB technologies'!$N$196:$Y$208,2,FALSE)*'DB additional information '!$S$6/100*'DB additional information '!$U$6*VLOOKUP($C$409,'DB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V412" s="418" t="str">
        <f>IF(D412="","",(VLOOKUP(D412,'DB technologies'!$N$196:$Y$208,3,FALSE)*'DB additional information '!$S$7/100*'DB additional information '!$U$7*VLOOKUP($C$409,'DB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W412" s="417" t="str">
        <f>IF(D412="","",(VLOOKUP(D412,'DB technologies'!$N$196:$Y$208,4,FALSE)*('DB additional information '!$S$8/100*'DB additional information '!$U$8*E412/1000/1000)))</f>
        <v/>
      </c>
      <c r="X412" s="261" t="str">
        <f>IF($C$409=0,"",IF('Calc (ex-animal)'!$F$78=1,"",IF(D412="","",((VLOOKUP($C$409,'Calc (ex-animal)'!$D$78:$Y$82,13,FALSE)-VLOOKUP($C$409,'Calc (ex-animal)'!$D$78:$Y$82,19,FALSE))*F412/100+U412+V412+W412))))</f>
        <v/>
      </c>
      <c r="Y412" s="418" t="str">
        <f>IF(D412="","",(VLOOKUP(D412,'DB technologies'!$N$196:$Y$208,2,FALSE)*'DB additional information '!$S$6/100*'DB additional information '!$V$6*VLOOKUP($C$409,'DB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Z412" s="418" t="str">
        <f>IF(D412="","",(VLOOKUP(D412,'DB technologies'!$N$196:$Y$208,3,FALSE)*'DB additional information '!$S$7/100*'DB additional information '!$V$7*VLOOKUP($C$409,'DB animal categories'!$C$147:$AC$156,27,FALSE)*E412/1000/1000)/VLOOKUP($C$409,'DB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AA412" s="418" t="str">
        <f>IF(D412="","",(VLOOKUP(D412,'DB technologies'!$N$196:$Y$208,4,FALSE)*('DB additional information '!$S$8/100*'DB additional information '!$V$8*E412/1000/1000)))</f>
        <v/>
      </c>
      <c r="AB412" s="261" t="str">
        <f>IF($C$409=0,"",IF('Calc (ex-animal)'!$F$78=1,"",IF(D412="","",((VLOOKUP($C$409,'Calc (ex-animal)'!$D$78:$Y$82,16,FALSE)-VLOOKUP($C$409,'Calc (ex-animal)'!$D$78:$Y$82,20,FALSE))*F412/100+Y412+Z412+AA412))))</f>
        <v/>
      </c>
      <c r="AC412" s="261" t="str">
        <f>IF($C$409=0,"",IF('Calc (ex-animal)'!$F$78=1,"",IF(D412="","",VLOOKUP($C$409,'Calc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categories'!$C$147:$AC$156,26,FALSE)/24)*F412/100*VLOOKUP(D412,'DB technologies'!$N$196:$R$208,5,FALSE)/100)))</f>
        <v/>
      </c>
      <c r="AD412" s="261" t="str">
        <f>IF($C$409=0,"",IF('Calc (ex-animal)'!$F$78=1,"",IF(D412="","",VLOOKUP($C$409,'Calc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categories'!$C$147:$AC$156,26,FALSE)/24)*F412/100*VLOOKUP(D412,'DB technologies'!$N$196:$Y$208,6,FALSE)/100)))</f>
        <v/>
      </c>
      <c r="AE412" s="262" t="str">
        <f>IF($C$409=0,"",IF('Calc (ex-animal)'!$F$78=1,"",IF(D412="","",VLOOKUP($C$409,'Calc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categories'!$C$147:$AC$156,26,FALSE)/24)*F412/100*VLOOKUP(D412,'DB technologies'!$N$196:$Y$208,7,FALSE)/100)))</f>
        <v/>
      </c>
      <c r="AI412" s="181" t="str">
        <f>IF(D412="","",VLOOKUP(D412,'DB technologies'!$N$196:$Y$208,10,FALSE))</f>
        <v/>
      </c>
      <c r="AJ412" s="449" t="e">
        <f>VLOOKUP($C$409,'DB animal categories'!$C$147:$AN$156,27,FALSE)-VLOOKUP($C$409,'DB animal categories'!$C$147:$AN$156,26,FALSE)*VLOOKUP($C$409,'DB animal categories'!$C$147:$AN$156,25,FALSE)/24</f>
        <v>#N/A</v>
      </c>
      <c r="AK412" s="442" t="str">
        <f>IF(AI412="","",AL412+AM412)</f>
        <v/>
      </c>
      <c r="AL412" s="442" t="str">
        <f>IF(D412="","",IF(AI412=2,(('Calc (ex-animal)'!$G$80*'DB additional information '!$K$17/100*(1-VLOOKUP(D412,'DB technologies'!$N$196:$Y$208,9,FALSE)/100)*'Calc (ex-housing, ex-storage)'!F412/100+'Calc (ex-animal)'!$H$80*'DB additional information '!$L$17/100*(1-VLOOKUP(D412,'DB technologies'!$N$196:$Y$208,9,FALSE)/100)*'Calc (ex-housing, ex-storage)'!F412/100))/VLOOKUP($C$409,'DB animal categories'!$C$147:$AC$156,27,FALSE)*AJ412+I412+J412+K412,IF(AI412=1,('Calc (ex-animal)'!$H$80*'DB additional information '!$L$17/100*(1-VLOOKUP(D412,'DB technologies'!$N$196:$Y$208,9,FALSE)/100)*'Calc (ex-housing, ex-storage)'!F412/100)/VLOOKUP($C$409,'DB animal categories'!$C$147:$AC$156,27,FALSE)*AJ412,IF(AI412=4,('Calc (ex-animal)'!$G$80*'DB additional information '!$K$17/100+'Calc (ex-animal)'!$H$80*'DB additional information '!$L$17/100)*(1-VLOOKUP(D412,'DB technologies'!$N$196:$Y$208,9,FALSE)/100)*'Calc (ex-housing, ex-storage)'!F412/100*VLOOKUP(D412,'DB technologies'!$N$196:$Y$208,11,FALSE)/100/VLOOKUP($C$409,'DB animal categories'!$C$147:$AC$156,27,FALSE)*AJ412,0))))</f>
        <v/>
      </c>
      <c r="AM412" s="442" t="str">
        <f>IF(D412="","",IF(AI412=2,(('Calc (ex-animal)'!$G$80*(1-'DB additional information '!$K$17/100)*(1-VLOOKUP(D412,'DB technologies'!$N$196:$Y$208,8,FALSE)/100)*'Calc (ex-housing, ex-storage)'!F412/100+'Calc (ex-animal)'!$H$80*(1-'DB additional information '!$L$17/100)*(1-VLOOKUP(D412,'DB technologies'!$N$196:$Y$208,8,FALSE)/100)*'Calc (ex-housing, ex-storage)'!F412/100))/VLOOKUP($C$409,'DB animal categories'!$C$147:$AC$156,27,FALSE)*AJ412+M412+N412+O412,IF(AI412=1,('Calc (ex-animal)'!$H$80*(1-'DB additional information '!$L$17/100)*(1-VLOOKUP(D412,'DB technologies'!$N$196:$Y$208,8,FALSE)/100)*'Calc (ex-housing, ex-storage)'!F412/100)/VLOOKUP($C$409,'DB animal categories'!$C$147:$AC$156,27,FALSE)*AJ412,IF(AI412=4,('Calc (ex-animal)'!$G$80*(1-'DB additional information '!$K$17/100)+'Calc (ex-animal)'!$H$80*(1-'DB additional information '!$L$17/100))*(1-VLOOKUP(D412,'DB technologies'!$N$196:$Y$208,8,FALSE)/100)*'Calc (ex-housing, ex-storage)'!F412/100*VLOOKUP(D412,'DB technologies'!$N$196:$Y$208,11,FALSE)/100/VLOOKUP($C$409,'DB animal categories'!$C$147:$AC$156,27,FALSE)*AJ412,0))))</f>
        <v/>
      </c>
      <c r="AN412" s="442" t="str">
        <f>IF(AI412="","",IF(AL412=0,0,AL412/AK412*100))</f>
        <v/>
      </c>
      <c r="AO412" s="182" t="str">
        <f>IF(D412="","",IF(AI412=2,(('Calc (ex-animal)'!$L$80*'Calc (ex-housing, ex-storage)'!F412/100+'Calc (ex-animal)'!$K$80*'Calc (ex-housing, ex-storage)'!F412/100))/VLOOKUP($C$409,'DB animal categories'!$C$147:$AC$156,27,FALSE)*AJ412+Q412+R412+S412-AC412,IF(AI412=1,('Calc (ex-animal)'!$L$80*'Calc (ex-housing, ex-storage)'!F412/100)/VLOOKUP($C$409,'DB animal categories'!$C$147:$AC$156,27,FALSE)*AJ412-'Calc (ex-housing, ex-storage)'!AC412,IF(AI412=4,('Calc (ex-animal)'!$L$80+'Calc (ex-animal)'!$K$80)*'Calc (ex-housing, ex-storage)'!F412/100*VLOOKUP(D412,'DB technologies'!$N$196:$Y$208,11,FALSE)/100/VLOOKUP($C$409,'DB animal categories'!$C$147:$AC$156,27,FALSE)*AJ412-AC412*VLOOKUP(D412,'DB technologies'!$N$196:$Y$208,11,FALSE)/100,0))))</f>
        <v/>
      </c>
      <c r="AP412" s="182" t="str">
        <f>IF(D412="","",IF(AO412&lt;-0.01,0,IF(AI412=2,(('Calc (ex-animal)'!$L$80*'Calc (ex-housing, ex-storage)'!F412/100+'Calc (ex-animal)'!$K$80*'Calc (ex-housing, ex-storage)'!F412/100))/VLOOKUP($C$409,'DB animal categories'!$C$147:$AC$156,27,FALSE)*AJ412+Q412+R412+S412-AC412,IF(AI412=1,('Calc (ex-animal)'!$L$80*'Calc (ex-housing, ex-storage)'!F412/100)/VLOOKUP($C$409,'DB animal categories'!$C$147:$AC$156,27,FALSE)*AJ412-'Calc (ex-housing, ex-storage)'!AC412,IF(AI412=4,('Calc (ex-animal)'!$L$80+'Calc (ex-animal)'!$K$80)*'Calc (ex-housing, ex-storage)'!F412/100*VLOOKUP(D412,'DB technologies'!$N$196:$Y$208,11,FALSE)/100/VLOOKUP($C$409,'DB animal categories'!$C$147:$AC$156,27,FALSE)*AJ412-AC412*VLOOKUP(D412,'DB technologies'!$N$196:$Y$208,11,FALSE)/100,0)))))</f>
        <v/>
      </c>
      <c r="AQ412" s="182" t="str">
        <f>IF(D412="","",IF(AI412=2,('Calc (ex-animal)'!$O$80*'Calc (ex-housing, ex-storage)'!F412/100+'Calc (ex-animal)'!$N$80*'Calc (ex-housing, ex-storage)'!F412/100)/VLOOKUP($C$409,'DB animal categories'!$C$147:$AC$156,27,FALSE)*AJ412+U412+V412+W412,IF(AI412=1,'Calc (ex-animal)'!$O$80*'Calc (ex-housing, ex-storage)'!F412/100/VLOOKUP($C$409,'DB animal categories'!$C$147:$AC$156,27,FALSE)*AJ412,IF(AI412=4,('Calc (ex-animal)'!$O$80+'Calc (ex-animal)'!$N$80)*'Calc (ex-housing, ex-storage)'!F412/100*VLOOKUP(D412,'DB technologies'!$N$196:$Y$208,11,FALSE)/100/VLOOKUP($C$409,'DB animal categories'!$C$147:$AC$156,27,FALSE)*AJ412,0))))</f>
        <v/>
      </c>
      <c r="AR412" s="182" t="str">
        <f>IF(D412="","",IF(AI412=2,('Calc (ex-animal)'!$R$80*'Calc (ex-housing, ex-storage)'!F412/100+'Calc (ex-animal)'!$Q$80*'Calc (ex-housing, ex-storage)'!F412/100)/VLOOKUP($C$409,'DB animal categories'!$C$147:$AC$156,27,FALSE)*AJ412+Y412+Z412+AA412,IF(AI412=1,'Calc (ex-animal)'!$R$80*'Calc (ex-housing, ex-storage)'!F412/100/VLOOKUP($C$409,'DB animal categories'!$C$147:$AC$156,27,FALSE)*AJ412,IF(AI412=4,('Calc (ex-animal)'!$R$80+'Calc (ex-animal)'!$Q$80)*'Calc (ex-housing, ex-storage)'!F412/100*VLOOKUP(D412,'DB technologies'!$N$196:$Y$208,11,FALSE)/100/VLOOKUP($C$409,'DB animal categories'!$C$147:$AC$156,27,FALSE)*AJ412,0))))</f>
        <v/>
      </c>
      <c r="AS412" s="181" t="str">
        <f>IF(D412="","",VLOOKUP(D412,'DB technologies'!$N$196:$Y$208,10,FALSE))</f>
        <v/>
      </c>
      <c r="AT412" s="442" t="str">
        <f>IF(AS412="","",AU412+AV412)</f>
        <v/>
      </c>
      <c r="AU412" s="442" t="str">
        <f>IF(D412="","",IF(AS412=2,0,IF(AS412=1,'Calc (ex-animal)'!$G$80*'DB additional information '!$K$17/100*(1-VLOOKUP(D412,'DB technologies'!$N$196:$Y$208,8,FALSE)/100)*'Calc (ex-housing, ex-storage)'!F412/100/VLOOKUP($C$409,'DB animal categories'!$C$147:$AC$156,27,FALSE)*AJ412+I412+J412+K412,IF(AS412=5,(('Calc (ex-animal)'!$G$80*'DB additional information '!$K$17/100+'Calc (ex-animal)'!$H$80*'DB additional information '!$L$17/100))*(1-VLOOKUP(D412,'DB technologies'!$N$196:$Y$208,9,FALSE)/100)*'Calc (ex-housing, ex-storage)'!F412/100/VLOOKUP($C$409,'DB animal categories'!$C$147:$AC$156,27,FALSE)*AJ412+I412+J412+K412,IF(AS412=3,('Calc (ex-animal)'!$G$80*'DB additional information '!$K$17/100+'Calc (ex-animal)'!$H$80*'DB additional information '!$L$17/100)*(1-VLOOKUP(D412,'DB technologies'!$N$196:$Y$208,9,FALSE)/100)*'Calc (ex-housing, ex-storage)'!F412/100/VLOOKUP($C$409,'DB animal categories'!$C$147:$AC$156,27,FALSE)*AJ412+I412+J412+K412,IF(AS412=4,('Calc (ex-animal)'!$G$80*'DB additional information '!$K$17/100+'Calc (ex-animal)'!$H$80*'DB additional information '!$L$17/100)*(1-VLOOKUP(D412,'DB technologies'!$N$196:$Y$208,9,FALSE)/100)*'Calc (ex-housing, ex-storage)'!F412/100*VLOOKUP(D412,'DB technologies'!$N$196:$Y$208,12,FALSE)/100/VLOOKUP($C$409,'DB animal categories'!$C$147:$AC$156,27,FALSE)*AJ412+I412+J412+K412,0))))))</f>
        <v/>
      </c>
      <c r="AV412" s="442" t="str">
        <f>IF(D412="","",IF(AS412=2,0,IF(AS412=1,'Calc (ex-animal)'!$G$80*(1-'DB additional information '!$K$17/100)*(1-VLOOKUP(D412,'DB technologies'!$N$196:$Y$208,8,FALSE)/100)*'Calc (ex-housing, ex-storage)'!F412/100/VLOOKUP($C$409,'DB animal categories'!$C$147:$AC$156,27,FALSE)*AJ412+M412+N412+O412,IF(AS412=5,('Calc (ex-animal)'!$G$80*(1-'DB additional information '!$K$17/100)+'Calc (ex-animal)'!$H$80*(1-'DB additional information '!$L$17/100))*(1-VLOOKUP(D412,'DB technologies'!$N$196:$Y$208,8,FALSE)/100)*'Calc (ex-housing, ex-storage)'!F412/100/VLOOKUP($C$409,'DB animal categories'!$C$147:$AC$156,27,FALSE)*AJ412+M412+N412+O412,IF(AS412=3,('Calc (ex-animal)'!$G$80*(1-'DB additional information '!$K$17/100)+'Calc (ex-animal)'!$H$80*(1-'DB additional information '!$L$17/100))*(1-VLOOKUP(D412,'DB technologies'!$N$196:$Y$208,8,FALSE)/100)*'Calc (ex-housing, ex-storage)'!F412/100/VLOOKUP($C$409,'DB animal categories'!$C$147:$AC$156,27,FALSE)*AJ412+M412+N412+O412,IF(AS412=4,('Calc (ex-animal)'!$G$80*(1-'DB additional information '!$K$17/100)+'Calc (ex-animal)'!$H$80*(1-'DB additional information '!$L$17/100))*(1-VLOOKUP(D412,'DB technologies'!$N$196:$Y$208,8,FALSE)/100)*'Calc (ex-housing, ex-storage)'!F412/100*VLOOKUP(D412,'DB technologies'!$N$196:$Y$208,12,FALSE)/100/VLOOKUP($C$409,'DB animal categories'!$C$147:$AC$156,27,FALSE)*AJ412+M412+N412+O412,0))))))</f>
        <v/>
      </c>
      <c r="AW412" s="442" t="str">
        <f>IF(AS412="","",IF(AU412=0,0,AU412/AT412*100))</f>
        <v/>
      </c>
      <c r="AX412" s="182" t="str">
        <f>IF(D412="","",IF(AS412=2,0,IF(AS412=1,'Calc (ex-animal)'!$K$80*'Calc (ex-housing, ex-storage)'!F412/100/VLOOKUP($C$409,'DB animal categories'!$C$147:$AC$156,27,FALSE)*AJ412+Q412+R412+S412,IF(AS412=5,('Calc (ex-animal)'!$K$80+'Calc (ex-animal)'!$L$80)*'Calc (ex-housing, ex-storage)'!F412/100/VLOOKUP($C$409,'DB animal categories'!$C$147:$AC$156,27,FALSE)*AJ412+Q412+R412+S412-'Calc (ex-housing, ex-storage)'!AC412,IF(AS412=3,('Calc (ex-animal)'!$K$80+'Calc (ex-animal)'!$L$80)*'Calc (ex-housing, ex-storage)'!F412/100/VLOOKUP($C$409,'DB animal categories'!$C$147:$AC$156,27,FALSE)*AJ412+Q412+R412+S412-'Calc (ex-housing, ex-storage)'!AC412-AD412-AE412,IF(AI412=4,('Calc (ex-animal)'!$K$80+'Calc (ex-animal)'!$L$80)*'Calc (ex-housing, ex-storage)'!F412/100*VLOOKUP(D412,'DB technologies'!$N$196:$Y$208,12,FALSE)/100/VLOOKUP($C$409,'DB animal categories'!$C$147:$AC$156,27,FALSE)*AJ412+Q412+R412+S412-(VLOOKUP(D412,'DB technologies'!$N$196:$Y$208,12,FALSE)/100*AC412)-AD412-AE412,0))))))</f>
        <v/>
      </c>
      <c r="AY412" s="182" t="str">
        <f>IF(D412="","",IF(AS412=2,0,IF(AS412=1,'Calc (ex-animal)'!$N$80*'Calc (ex-housing, ex-storage)'!F412/100/VLOOKUP($C$409,'DB animal categories'!$C$147:$AC$156,27,FALSE)*AJ412+U412+V412+W412,IF(AS412=5,('Calc (ex-animal)'!$N$80+'Calc (ex-animal)'!$O$80)*'Calc (ex-housing, ex-storage)'!F412/100/VLOOKUP($C$409,'DB animal categories'!$C$147:$AC$156,27,FALSE)*AJ412+U412+V412+W412,IF(AS412=3,('Calc (ex-animal)'!$N$80+'Calc (ex-animal)'!$O$80)*'Calc (ex-housing, ex-storage)'!F412/100/VLOOKUP($C$409,'DB animal categories'!$C$147:$AC$156,27,FALSE)*AJ412+U412+V412+W412,IF(AS412=4,('Calc (ex-animal)'!$N$80+'Calc (ex-animal)'!$O$80)*'Calc (ex-housing, ex-storage)'!F412/100*VLOOKUP(D412,'DB technologies'!$N$196:$Y$208,12,FALSE)/100/VLOOKUP($C$409,'DB animal categories'!$C$147:$AC$156,27,FALSE)*AJ412+U412+V412+W412,0))))))</f>
        <v/>
      </c>
      <c r="AZ412" s="182" t="str">
        <f>IF(D412="","",IF(AS412=2,0,IF(AS412=1,'Calc (ex-animal)'!$Q$80*'Calc (ex-housing, ex-storage)'!F412/100/VLOOKUP($C$409,'DB animal categories'!$C$147:$AC$156,27,FALSE)*AJ412+Y412+Z412+AA412,IF(AS412=5,('Calc (ex-animal)'!$Q$80+'Calc (ex-animal)'!$R$80)*'Calc (ex-housing, ex-storage)'!F412/100/VLOOKUP($C$409,'DB animal categories'!$C$147:$AC$156,27,FALSE)*AJ412+Y412+Z412+AA412,IF(AS412=3,('Calc (ex-animal)'!$Q$80+'Calc (ex-animal)'!$R$80)*'Calc (ex-housing, ex-storage)'!F412/100/VLOOKUP($C$409,'DB animal categories'!$C$147:$AC$156,27,FALSE)*AJ412+Y412+Z412+AA412,IF(AS412=4,('Calc (ex-animal)'!$Q$80+'Calc (ex-animal)'!$R$80)*'Calc (ex-housing, ex-storage)'!F412/100*VLOOKUP(D412,'DB technologies'!$N$196:$Y$208,12,FALSE)/100/VLOOKUP($C$409,'DB animal categories'!$C$147:$AC$156,27,FALSE)*AJ412+Y412+Z412+AA412,0))))))</f>
        <v/>
      </c>
      <c r="BA412" s="506"/>
      <c r="BB412" s="506"/>
      <c r="BC412" s="506"/>
    </row>
    <row r="413" spans="1:55" ht="12" thickBot="1" x14ac:dyDescent="0.25">
      <c r="A413" s="695"/>
      <c r="B413" s="695"/>
      <c r="C413" s="251"/>
      <c r="D413" s="1359"/>
      <c r="E413" s="1400"/>
      <c r="F413" s="481" t="str">
        <f>IF('Calc (ex-animal)'!$F$78=1,"",IF($C$409=0,"",IF(D413="","",E413/'Calc (ex-animal)'!$E$80*100)))</f>
        <v/>
      </c>
      <c r="G413" s="483" t="str">
        <f>IF($C$409=0,"",IF('Calc (ex-animal)'!$F$78=1,"",IF(D413="","",SUM(H413:O413))))</f>
        <v/>
      </c>
      <c r="H413" s="445" t="str">
        <f>IF('Calc (ex-animal)'!$F$78=1,"",IF(D413="","",(((VLOOKUP($C$409,'Calc (ex-animal)'!$D$78:$Y$82,6,FALSE)-VLOOKUP($C$409,'Calc (ex-animal)'!$D$78:$Y$82,17,FALSE))*F413/100))*VLOOKUP($C$409,'Calc (ex-animal)'!$D$78:$Y$82,7,FALSE)/100*(1-VLOOKUP(D413,'DB technologies'!$N$196:$Y$208,9,FALSE)/100)))</f>
        <v/>
      </c>
      <c r="I413" s="445" t="str">
        <f>IF(D413="","",((VLOOKUP(D413,'DB technologies'!$N$196:$Y$208,2,FALSE)*VLOOKUP($C$409,'DB animal categories'!$C$147:$AC$156,27,FALSE)*E413/1000)/VLOOKUP($C$409,'DB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'!$S$6/100*(1-VLOOKUP(D413,'DB technologies'!$N$196:$Y$208,9,FALSE)/100)))</f>
        <v/>
      </c>
      <c r="J413" s="446" t="str">
        <f>IF(D413="","",((VLOOKUP(D413,'DB technologies'!$N$196:$Y$208,3,FALSE)*VLOOKUP($C$409,'DB animal categories'!$C$147:$AC$156,27,FALSE)*E413/1000)/VLOOKUP($C$409,'DB animal categories'!$C$147:$AC$156,27,FALSE)*(VLOOKUP($C$409,'DB animal categories'!$C$147:$AC$156,27,FALSE)-(VLOOKUP($C$409,'DB animal categories'!$C$147:$AC$156,25,FALSE)*VLOOKUP($C$409,'DB animal categories'!$C$147:$AC$156,26,FALSE)/24))*'DB additional information '!$S$7/100*(1-VLOOKUP(D413,'DB technologies'!$N$196:$Y$208,9,FALSE)/100)))</f>
        <v/>
      </c>
      <c r="K413" s="446" t="str">
        <f>IF(D413="","",((VLOOKUP(D413,'DB technologies'!$N$196:$Y$208,4,FALSE)*E413*'DB additional information '!$S$8/100*(1-VLOOKUP(D413,'DB technologies'!$N$196:$Y$208,9,FALSE)/100))/VLOOKUP($C$409,'DB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L413" s="445" t="str">
        <f>IF('Calc (ex-animal)'!$F$78=1,"",IF(D413="","",(((VLOOKUP($C$409,'Calc (ex-animal)'!$D$78:$Y$82,6,FALSE)-VLOOKUP($C$409,'Calc (ex-animal)'!$D$78:$Y$82,17,FALSE))*F413/100))*(1-VLOOKUP($C$409,'Calc (ex-animal)'!$D$78:$Y$82,7,FALSE)/100)*(1-VLOOKUP(D413,'DB technologies'!$N$196:$V$208,8,FALSE)/100)))</f>
        <v/>
      </c>
      <c r="M413" s="446" t="str">
        <f>IF(D413="","",((VLOOKUP(D413,'DB technologies'!$N$196:$Y$208,2,FALSE)*VLOOKUP($C$409,'DB animal categories'!$C$147:$AC$156,27,FALSE)*E413/1000)/VLOOKUP($C$409,'DB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'!$S$6/100)*(1-VLOOKUP(D413,'DB technologies'!$N$196:$Y$208,9,FALSE)/100))</f>
        <v/>
      </c>
      <c r="N413" s="446" t="str">
        <f>IF(D413="","",((VLOOKUP(D413,'DB technologies'!$N$196:$Y$208,3,FALSE)*VLOOKUP($C$409,'DB animal categories'!$C$147:$AC$156,27,FALSE)*E413/1000)/VLOOKUP($C$409,'DB animal categories'!$C$147:$AC$156,27,FALSE)*(VLOOKUP($C$409,'DB animal categories'!$C$147:$AC$156,27,FALSE)-VLOOKUP($C$409,'DB animal categories'!$C$147:$AC$156,25,FALSE)*VLOOKUP($C$409,'DB animal categories'!$C$147:$AC$156,26,FALSE)/24))*(1-'DB additional information '!$S$7/100)*(1-VLOOKUP(D413,'DB technologies'!$N$196:$Y$208,9,FALSE)/100))</f>
        <v/>
      </c>
      <c r="O413" s="445" t="str">
        <f>IF(D413="","",((VLOOKUP(D413,'DB technologies'!$N$196:$Y$208,4,FALSE)*E413*(1-'DB additional information '!$S$8/100)*(1-VLOOKUP(D413,'DB technologies'!$N$196:$Y$208,8,FALSE)/100))/VLOOKUP($C$409,'DB animal categories'!$C$147:$AC$156,27,FALSE)*(VLOOKUP($C$409,'DB animal categories'!$C$147:$AC$156,27,FALSE)-VLOOKUP($C$409,'DB animal categories'!$C$147:$AC$156,25,FALSE)*VLOOKUP($C$409,'DB animal categories'!$C$147:$AC$156,26,FALSE)/24)))</f>
        <v/>
      </c>
      <c r="P413" s="444" t="str">
        <f>IF(G413=0,0,IF(E413="","",IF(F413="","",IF($C$409=0,"",IF(D413="","",SUM(H413:K413)/G413*100)))))</f>
        <v/>
      </c>
      <c r="Q413" s="476" t="str">
        <f>IF(D413="","",(VLOOKUP(D413,'DB technologies'!$N$196:$Y$208,2,FALSE)*'DB additional information '!$S$6/100*'DB additional information '!$T$6*VLOOKUP($C$409,'DB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R413" s="476" t="str">
        <f>IF(D413="","",(VLOOKUP(D413,'DB technologies'!$N$196:$Y$208,3,FALSE)*'DB additional information '!$S$7/100*'DB additional information '!$T$7*VLOOKUP($C$409,'DB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S413" s="494" t="str">
        <f>IF(D413="","",(VLOOKUP(D413,'DB technologies'!$N$196:$Y$208,4,FALSE)*('DB additional information '!$S$8/100*'DB additional information '!$T$8*E413/1000/1000)))</f>
        <v/>
      </c>
      <c r="T413" s="266" t="str">
        <f>IF($C$409=0,"",IF('Calc (ex-animal)'!$F$78=1,"",IF(D413="","",((VLOOKUP($C$409,'Calc (ex-animal)'!$D$78:$Y$82,10,FALSE)-VLOOKUP($C$409,'Calc (ex-animal)'!$D$78:$Y$82,18,FALSE))*F413/100+Q413+R413+S413)-AC413-AD413-AE413)))</f>
        <v/>
      </c>
      <c r="U413" s="477" t="str">
        <f>IF(D413="","",(VLOOKUP(D413,'DB technologies'!$N$196:$Y$208,2,FALSE)*'DB additional information '!$S$6/100*'DB additional information '!$U$6*VLOOKUP($C$409,'DB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V413" s="433" t="str">
        <f>IF(D413="","",(VLOOKUP(D413,'DB technologies'!$N$196:$Y$208,3,FALSE)*'DB additional information '!$S$7/100*'DB additional information '!$U$7*VLOOKUP($C$409,'DB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W413" s="475" t="str">
        <f>IF(D413="","",(VLOOKUP(D413,'DB technologies'!$N$196:$Y$208,4,FALSE)*('DB additional information '!$S$8/100*'DB additional information '!$U$8*E413/1000/1000)))</f>
        <v/>
      </c>
      <c r="X413" s="267" t="str">
        <f>IF($C$409=0,"",IF('Calc (ex-animal)'!$F$78=1,"",IF(D413="","",((VLOOKUP($C$409,'Calc (ex-animal)'!$D$78:$Y$82,13,FALSE)-VLOOKUP($C$409,'Calc (ex-animal)'!$D$78:$Y$82,19,FALSE))*F413/100+U413+V413+W413))))</f>
        <v/>
      </c>
      <c r="Y413" s="433" t="str">
        <f>IF(D413="","",(VLOOKUP(D413,'DB technologies'!$N$196:$Y$208,2,FALSE)*'DB additional information '!$S$6/100*'DB additional information '!$V$6*VLOOKUP($C$409,'DB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Z413" s="433" t="str">
        <f>IF(D413="","",(VLOOKUP(D413,'DB technologies'!$N$196:$Y$208,3,FALSE)*'DB additional information '!$S$7/100*'DB additional information '!$V$7*VLOOKUP($C$409,'DB animal categories'!$C$147:$AC$156,27,FALSE)*E413/1000/1000)/VLOOKUP($C$409,'DB animal categories'!$C$147:$AC$156,27,FALSE)*(VLOOKUP($C$409,'DB animal categories'!$C$147:$AC$156,27,FALSE)-VLOOKUP($C$409,'DB animal categories'!$C$147:$AC$156,25,FALSE)*VLOOKUP($C$409,'DB animal categories'!$C$147:$AC$156,26,FALSE)/24))</f>
        <v/>
      </c>
      <c r="AA413" s="433" t="str">
        <f>IF(D413="","",(VLOOKUP(D413,'DB technologies'!$N$196:$Y$208,4,FALSE)*('DB additional information '!$S$8/100*'DB additional information '!$V$8*E413/1000/1000)))</f>
        <v/>
      </c>
      <c r="AB413" s="267" t="str">
        <f>IF($C$409=0,"",IF('Calc (ex-animal)'!$F$78=1,"",IF(D413="","",((VLOOKUP($C$409,'Calc (ex-animal)'!$D$78:$Y$82,16,FALSE)-VLOOKUP($C$409,'Calc (ex-animal)'!$D$78:$Y$82,20,FALSE))*F413/100+Y413+Z413+AA413))))</f>
        <v/>
      </c>
      <c r="AC413" s="267" t="str">
        <f>IF($C$409=0,"",IF('Calc (ex-animal)'!$F$78=1,"",IF(D413="","",VLOOKUP($C$409,'Calc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categories'!$C$147:$AC$156,26,FALSE)/24)*F413/100*VLOOKUP(D413,'DB technologies'!$N$196:$R$208,5,FALSE)/100)))</f>
        <v/>
      </c>
      <c r="AD413" s="267" t="str">
        <f>IF($C$409=0,"",IF('Calc (ex-animal)'!$F$78=1,"",IF(D413="","",VLOOKUP($C$409,'Calc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categories'!$C$147:$AC$156,26,FALSE)/24)*F413/100*VLOOKUP(D413,'DB technologies'!$N$196:$Y$208,6,FALSE)/100)))</f>
        <v/>
      </c>
      <c r="AE413" s="268" t="str">
        <f>IF($C$409=0,"",IF('Calc (ex-animal)'!$F$78=1,"",IF(D413="","",VLOOKUP($C$409,'Calc (ex-animal)'!$D$78:$Y$82,10,FALSE)/VLOOKUP($C$409,'DB animal categories'!$C$147:$AC$156,27,FALSE)*(VLOOKUP($C$409,'DB animal categories'!$C$147:$AC$156,27,FALSE)-VLOOKUP($C$409,'DB animal categories'!$C$147:$AC$156,25,FALSE)*VLOOKUP($C$409,'DB animal categories'!$C$147:$AC$156,26,FALSE)/24)*F413/100*VLOOKUP(D413,'DB technologies'!$N$196:$Y$208,7,FALSE)/100)))</f>
        <v/>
      </c>
      <c r="AI413" s="183" t="str">
        <f>IF(D413="","",VLOOKUP(D413,'DB technologies'!$N$196:$Y$208,10,FALSE))</f>
        <v/>
      </c>
      <c r="AJ413" s="451" t="e">
        <f>VLOOKUP($C$409,'DB animal categories'!$C$147:$AN$156,27,FALSE)-VLOOKUP($C$409,'DB animal categories'!$C$147:$AN$156,26,FALSE)*VLOOKUP($C$409,'DB animal categories'!$C$147:$AN$156,25,FALSE)/24</f>
        <v>#N/A</v>
      </c>
      <c r="AK413" s="452" t="str">
        <f>IF(AI413="","",AL413+AM413)</f>
        <v/>
      </c>
      <c r="AL413" s="452" t="str">
        <f>IF(D413="","",IF(AI413=2,(('Calc (ex-animal)'!$G$80*'DB additional information '!$K$17/100*(1-VLOOKUP(D413,'DB technologies'!$N$196:$Y$208,9,FALSE)/100)*'Calc (ex-housing, ex-storage)'!F413/100+'Calc (ex-animal)'!$H$80*'DB additional information '!$L$17/100*(1-VLOOKUP(D413,'DB technologies'!$N$196:$Y$208,9,FALSE)/100)*'Calc (ex-housing, ex-storage)'!F413/100))/VLOOKUP($C$409,'DB animal categories'!$C$147:$AC$156,27,FALSE)*AJ413+I413+J413+K413,IF(AI413=1,('Calc (ex-animal)'!$H$80*'DB additional information '!$L$17/100*(1-VLOOKUP(D413,'DB technologies'!$N$196:$Y$208,9,FALSE)/100)*'Calc (ex-housing, ex-storage)'!F413/100)/VLOOKUP($C$409,'DB animal categories'!$C$147:$AC$156,27,FALSE)*AJ413,IF(AI413=4,('Calc (ex-animal)'!$G$80*'DB additional information '!$K$17/100+'Calc (ex-animal)'!$H$80*'DB additional information '!$L$17/100)*(1-VLOOKUP(D413,'DB technologies'!$N$196:$Y$208,9,FALSE)/100)*'Calc (ex-housing, ex-storage)'!F413/100*VLOOKUP(D413,'DB technologies'!$N$196:$Y$208,11,FALSE)/100/VLOOKUP($C$409,'DB animal categories'!$C$147:$AC$156,27,FALSE)*AJ413,0))))</f>
        <v/>
      </c>
      <c r="AM413" s="452" t="str">
        <f>IF(D413="","",IF(AI413=2,(('Calc (ex-animal)'!$G$80*(1-'DB additional information '!$K$17/100)*(1-VLOOKUP(D413,'DB technologies'!$N$196:$Y$208,8,FALSE)/100)*'Calc (ex-housing, ex-storage)'!F413/100+'Calc (ex-animal)'!$H$80*(1-'DB additional information '!$L$17/100)*(1-VLOOKUP(D413,'DB technologies'!$N$196:$Y$208,8,FALSE)/100)*'Calc (ex-housing, ex-storage)'!F413/100))/VLOOKUP($C$409,'DB animal categories'!$C$147:$AC$156,27,FALSE)*AJ413+M413+N413+O413,IF(AI413=1,('Calc (ex-animal)'!$H$80*(1-'DB additional information '!$L$17/100)*(1-VLOOKUP(D413,'DB technologies'!$N$196:$Y$208,8,FALSE)/100)*'Calc (ex-housing, ex-storage)'!F413/100)/VLOOKUP($C$409,'DB animal categories'!$C$147:$AC$156,27,FALSE)*AJ413,IF(AI413=4,('Calc (ex-animal)'!$G$80*(1-'DB additional information '!$K$17/100)+'Calc (ex-animal)'!$H$80*(1-'DB additional information '!$L$17/100))*(1-VLOOKUP(D413,'DB technologies'!$N$196:$Y$208,8,FALSE)/100)*'Calc (ex-housing, ex-storage)'!F413/100*VLOOKUP(D413,'DB technologies'!$N$196:$Y$208,11,FALSE)/100/VLOOKUP($C$409,'DB animal categories'!$C$147:$AC$156,27,FALSE)*AJ413,0))))</f>
        <v/>
      </c>
      <c r="AN413" s="452" t="str">
        <f>IF(AI413="","",IF(AL413=0,0,AL413/AK413*100))</f>
        <v/>
      </c>
      <c r="AO413" s="184" t="str">
        <f>IF(D413="","",IF(AI413=2,(('Calc (ex-animal)'!$L$80*'Calc (ex-housing, ex-storage)'!F413/100+'Calc (ex-animal)'!$K$80*'Calc (ex-housing, ex-storage)'!F413/100))/VLOOKUP($C$409,'DB animal categories'!$C$147:$AC$156,27,FALSE)*AJ413+Q413+R413+S413-AC413,IF(AI413=1,('Calc (ex-animal)'!$L$80*'Calc (ex-housing, ex-storage)'!F413/100)/VLOOKUP($C$409,'DB animal categories'!$C$147:$AC$156,27,FALSE)*AJ413-'Calc (ex-housing, ex-storage)'!AC413,IF(AI413=4,('Calc (ex-animal)'!$L$80+'Calc (ex-animal)'!$K$80)*'Calc (ex-housing, ex-storage)'!F413/100*VLOOKUP(D413,'DB technologies'!$N$196:$Y$208,11,FALSE)/100/VLOOKUP($C$409,'DB animal categories'!$C$147:$AC$156,27,FALSE)*AJ413-AC413*VLOOKUP(D413,'DB technologies'!$N$196:$Y$208,11,FALSE)/100,0))))</f>
        <v/>
      </c>
      <c r="AP413" s="184" t="str">
        <f>IF(D413="","",IF(AO413&lt;-0.01,0,IF(AI413=2,(('Calc (ex-animal)'!$L$80*'Calc (ex-housing, ex-storage)'!F413/100+'Calc (ex-animal)'!$K$80*'Calc (ex-housing, ex-storage)'!F413/100))/VLOOKUP($C$409,'DB animal categories'!$C$147:$AC$156,27,FALSE)*AJ413+Q413+R413+S413-AC413,IF(AI413=1,('Calc (ex-animal)'!$L$80*'Calc (ex-housing, ex-storage)'!F413/100)/VLOOKUP($C$409,'DB animal categories'!$C$147:$AC$156,27,FALSE)*AJ413-'Calc (ex-housing, ex-storage)'!AC413,IF(AI413=4,('Calc (ex-animal)'!$L$80+'Calc (ex-animal)'!$K$80)*'Calc (ex-housing, ex-storage)'!F413/100*VLOOKUP(D413,'DB technologies'!$N$196:$Y$208,11,FALSE)/100/VLOOKUP($C$409,'DB animal categories'!$C$147:$AC$156,27,FALSE)*AJ413-AC413*VLOOKUP(D413,'DB technologies'!$N$196:$Y$208,11,FALSE)/100,0)))))</f>
        <v/>
      </c>
      <c r="AQ413" s="184" t="str">
        <f>IF(D413="","",IF(AI413=2,('Calc (ex-animal)'!$O$80*'Calc (ex-housing, ex-storage)'!F413/100+'Calc (ex-animal)'!$N$80*'Calc (ex-housing, ex-storage)'!F413/100)/VLOOKUP($C$409,'DB animal categories'!$C$147:$AC$156,27,FALSE)*AJ413+U413+V413+W413,IF(AI413=1,'Calc (ex-animal)'!$O$80*'Calc (ex-housing, ex-storage)'!F413/100/VLOOKUP($C$409,'DB animal categories'!$C$147:$AC$156,27,FALSE)*AJ413,IF(AI413=4,('Calc (ex-animal)'!$O$80+'Calc (ex-animal)'!$N$80)*'Calc (ex-housing, ex-storage)'!F413/100*VLOOKUP(D413,'DB technologies'!$N$196:$Y$208,11,FALSE)/100/VLOOKUP($C$409,'DB animal categories'!$C$147:$AC$156,27,FALSE)*AJ413,0))))</f>
        <v/>
      </c>
      <c r="AR413" s="184" t="str">
        <f>IF(D413="","",IF(AI413=2,('Calc (ex-animal)'!$R$80*'Calc (ex-housing, ex-storage)'!F413/100+'Calc (ex-animal)'!$Q$80*'Calc (ex-housing, ex-storage)'!F413/100)/VLOOKUP($C$409,'DB animal categories'!$C$147:$AC$156,27,FALSE)*AJ413+Y413+Z413+AA413,IF(AI413=1,'Calc (ex-animal)'!$R$80*'Calc (ex-housing, ex-storage)'!F413/100/VLOOKUP($C$409,'DB animal categories'!$C$147:$AC$156,27,FALSE)*AJ413,IF(AI413=4,('Calc (ex-animal)'!$R$80+'Calc (ex-animal)'!$Q$80)*'Calc (ex-housing, ex-storage)'!F413/100*VLOOKUP(D413,'DB technologies'!$N$196:$Y$208,11,FALSE)/100/VLOOKUP($C$409,'DB animal categories'!$C$147:$AC$156,27,FALSE)*AJ413,0))))</f>
        <v/>
      </c>
      <c r="AS413" s="183" t="str">
        <f>IF(D413="","",VLOOKUP(D413,'DB technologies'!$N$196:$Y$208,10,FALSE))</f>
        <v/>
      </c>
      <c r="AT413" s="452" t="str">
        <f>IF(AS413="","",AU413+AV413)</f>
        <v/>
      </c>
      <c r="AU413" s="452" t="str">
        <f>IF(D413="","",IF(AS413=2,0,IF(AS413=1,'Calc (ex-animal)'!$G$80*'DB additional information '!$K$17/100*(1-VLOOKUP(D413,'DB technologies'!$N$196:$Y$208,8,FALSE)/100)*'Calc (ex-housing, ex-storage)'!F413/100/VLOOKUP($C$409,'DB animal categories'!$C$147:$AC$156,27,FALSE)*AJ413+I413+J413+K413,IF(AS413=5,(('Calc (ex-animal)'!$G$80*'DB additional information '!$K$17/100+'Calc (ex-animal)'!$H$80*'DB additional information '!$L$17/100))*(1-VLOOKUP(D413,'DB technologies'!$N$196:$Y$208,9,FALSE)/100)*'Calc (ex-housing, ex-storage)'!F413/100/VLOOKUP($C$409,'DB animal categories'!$C$147:$AC$156,27,FALSE)*AJ413+I413+J413+K413,IF(AS413=3,('Calc (ex-animal)'!$G$80*'DB additional information '!$K$17/100+'Calc (ex-animal)'!$H$80*'DB additional information '!$L$17/100)*(1-VLOOKUP(D413,'DB technologies'!$N$196:$Y$208,9,FALSE)/100)*'Calc (ex-housing, ex-storage)'!F413/100/VLOOKUP($C$409,'DB animal categories'!$C$147:$AC$156,27,FALSE)*AJ413+I413+J413+K413,IF(AS413=4,('Calc (ex-animal)'!$G$80*'DB additional information '!$K$17/100+'Calc (ex-animal)'!$H$80*'DB additional information '!$L$17/100)*(1-VLOOKUP(D413,'DB technologies'!$N$196:$Y$208,9,FALSE)/100)*'Calc (ex-housing, ex-storage)'!F413/100*VLOOKUP(D413,'DB technologies'!$N$196:$Y$208,12,FALSE)/100/VLOOKUP($C$409,'DB animal categories'!$C$147:$AC$156,27,FALSE)*AJ413+I413+J413+K413,0))))))</f>
        <v/>
      </c>
      <c r="AV413" s="452" t="str">
        <f>IF(D413="","",IF(AS413=2,0,IF(AS413=1,'Calc (ex-animal)'!$G$80*(1-'DB additional information '!$K$17/100)*(1-VLOOKUP(D413,'DB technologies'!$N$196:$Y$208,8,FALSE)/100)*'Calc (ex-housing, ex-storage)'!F413/100/VLOOKUP($C$409,'DB animal categories'!$C$147:$AC$156,27,FALSE)*AJ413+M413+N413+O413,IF(AS413=5,('Calc (ex-animal)'!$G$80*(1-'DB additional information '!$K$17/100)+'Calc (ex-animal)'!$H$80*(1-'DB additional information '!$L$17/100))*(1-VLOOKUP(D413,'DB technologies'!$N$196:$Y$208,8,FALSE)/100)*'Calc (ex-housing, ex-storage)'!F413/100/VLOOKUP($C$409,'DB animal categories'!$C$147:$AC$156,27,FALSE)*AJ413+M413+N413+O413,IF(AS413=3,('Calc (ex-animal)'!$G$80*(1-'DB additional information '!$K$17/100)+'Calc (ex-animal)'!$H$80*(1-'DB additional information '!$L$17/100))*(1-VLOOKUP(D413,'DB technologies'!$N$196:$Y$208,8,FALSE)/100)*'Calc (ex-housing, ex-storage)'!F413/100/VLOOKUP($C$409,'DB animal categories'!$C$147:$AC$156,27,FALSE)*AJ413+M413+N413+O413,IF(AS413=4,('Calc (ex-animal)'!$G$80*(1-'DB additional information '!$K$17/100)+'Calc (ex-animal)'!$H$80*(1-'DB additional information '!$L$17/100))*(1-VLOOKUP(D413,'DB technologies'!$N$196:$Y$208,8,FALSE)/100)*'Calc (ex-housing, ex-storage)'!F413/100*VLOOKUP(D413,'DB technologies'!$N$196:$Y$208,12,FALSE)/100/VLOOKUP($C$409,'DB animal categories'!$C$147:$AC$156,27,FALSE)*AJ413+M413+N413+O413,0))))))</f>
        <v/>
      </c>
      <c r="AW413" s="452" t="str">
        <f>IF(AS413="","",IF(AU413=0,0,AU413/AT413*100))</f>
        <v/>
      </c>
      <c r="AX413" s="184" t="str">
        <f>IF(D413="","",IF(AS413=2,0,IF(AS413=1,'Calc (ex-animal)'!$K$80*'Calc (ex-housing, ex-storage)'!F413/100/VLOOKUP($C$409,'DB animal categories'!$C$147:$AC$156,27,FALSE)*AJ413+Q413+R413+S413,IF(AS413=5,('Calc (ex-animal)'!$K$80+'Calc (ex-animal)'!$L$80)*'Calc (ex-housing, ex-storage)'!F413/100/VLOOKUP($C$409,'DB animal categories'!$C$147:$AC$156,27,FALSE)*AJ413+Q413+R413+S413-'Calc (ex-housing, ex-storage)'!AC413,IF(AS413=3,('Calc (ex-animal)'!$K$80+'Calc (ex-animal)'!$L$80)*'Calc (ex-housing, ex-storage)'!F413/100/VLOOKUP($C$409,'DB animal categories'!$C$147:$AC$156,27,FALSE)*AJ413+Q413+R413+S413-'Calc (ex-housing, ex-storage)'!AC413-AD413-AE413,IF(AI413=4,('Calc (ex-animal)'!$K$80+'Calc (ex-animal)'!$L$80)*'Calc (ex-housing, ex-storage)'!F413/100*VLOOKUP(D413,'DB technologies'!$N$196:$Y$208,12,FALSE)/100/VLOOKUP($C$409,'DB animal categories'!$C$147:$AC$156,27,FALSE)*AJ413+Q413+R413+S413-(VLOOKUP(D413,'DB technologies'!$N$196:$Y$208,12,FALSE)/100*AC413)-AD413-AE413,0))))))</f>
        <v/>
      </c>
      <c r="AY413" s="184" t="str">
        <f>IF(D413="","",IF(AS413=2,0,IF(AS413=1,'Calc (ex-animal)'!$N$80*'Calc (ex-housing, ex-storage)'!F413/100/VLOOKUP($C$409,'DB animal categories'!$C$147:$AC$156,27,FALSE)*AJ413+U413+V413+W413,IF(AS413=5,('Calc (ex-animal)'!$N$80+'Calc (ex-animal)'!$O$80)*'Calc (ex-housing, ex-storage)'!F413/100/VLOOKUP($C$409,'DB animal categories'!$C$147:$AC$156,27,FALSE)*AJ413+U413+V413+W413,IF(AS413=3,('Calc (ex-animal)'!$N$80+'Calc (ex-animal)'!$O$80)*'Calc (ex-housing, ex-storage)'!F413/100/VLOOKUP($C$409,'DB animal categories'!$C$147:$AC$156,27,FALSE)*AJ413+U413+V413+W413,IF(AS413=4,('Calc (ex-animal)'!$N$80+'Calc (ex-animal)'!$O$80)*'Calc (ex-housing, ex-storage)'!F413/100*VLOOKUP(D413,'DB technologies'!$N$196:$Y$208,12,FALSE)/100/VLOOKUP($C$409,'DB animal categories'!$C$147:$AC$156,27,FALSE)*AJ413+U413+V413+W413,0))))))</f>
        <v/>
      </c>
      <c r="AZ413" s="184" t="str">
        <f>IF(D413="","",IF(AS413=2,0,IF(AS413=1,'Calc (ex-animal)'!$Q$80*'Calc (ex-housing, ex-storage)'!F413/100/VLOOKUP($C$409,'DB animal categories'!$C$147:$AC$156,27,FALSE)*AJ413+Y413+Z413+AA413,IF(AS413=5,('Calc (ex-animal)'!$Q$80+'Calc (ex-animal)'!$R$80)*'Calc (ex-housing, ex-storage)'!F413/100/VLOOKUP($C$409,'DB animal categories'!$C$147:$AC$156,27,FALSE)*AJ413+Y413+Z413+AA413,IF(AS413=3,('Calc (ex-animal)'!$Q$80+'Calc (ex-animal)'!$R$80)*'Calc (ex-housing, ex-storage)'!F413/100/VLOOKUP($C$409,'DB animal categories'!$C$147:$AC$156,27,FALSE)*AJ413+Y413+Z413+AA413,IF(AS413=4,('Calc (ex-animal)'!$Q$80+'Calc (ex-animal)'!$R$80)*'Calc (ex-housing, ex-storage)'!F413/100*VLOOKUP(D413,'DB technologies'!$N$196:$Y$208,12,FALSE)/100/VLOOKUP($C$409,'DB animal categories'!$C$147:$AC$156,27,FALSE)*AJ413+Y413+Z413+AA413,0))))))</f>
        <v/>
      </c>
      <c r="BA413" s="506"/>
      <c r="BB413" s="506"/>
      <c r="BC413" s="506"/>
    </row>
    <row r="414" spans="1:55" ht="12" thickBot="1" x14ac:dyDescent="0.25">
      <c r="A414" s="695"/>
      <c r="B414" s="695"/>
      <c r="C414" s="252"/>
      <c r="D414" s="269" t="s">
        <v>58</v>
      </c>
      <c r="E414" s="270">
        <f>IF(F414&lt;=100,SUM(E409:E413),"ERROR")</f>
        <v>0</v>
      </c>
      <c r="F414" s="284">
        <f>IF(SUM(F409:F413) &lt;=100,SUM(F409:F413),"ERROR, SUM&gt;100%")</f>
        <v>0</v>
      </c>
      <c r="G414" s="550">
        <f>IF('Calc (ex-animal)'!$F$78=1,"",SUM(G409:G413))</f>
        <v>0</v>
      </c>
      <c r="H414" s="418">
        <f>IF('Calc (ex-animal)'!$F$8=1,"",SUM(H409:H413))</f>
        <v>0</v>
      </c>
      <c r="I414" s="418">
        <f>IF('Calc (ex-animal)'!$F$8=1,"",SUM(I409:I413))</f>
        <v>0</v>
      </c>
      <c r="J414" s="418">
        <f>IF('Calc (ex-animal)'!$F$8=1,"",SUM(J409:J413))</f>
        <v>0</v>
      </c>
      <c r="K414" s="418">
        <f>IF('Calc (ex-animal)'!$F$8=1,"",SUM(K409:K413))</f>
        <v>0</v>
      </c>
      <c r="L414" s="418">
        <f>IF('Calc (ex-animal)'!$F$8=1,"",SUM(L409:L413))</f>
        <v>0</v>
      </c>
      <c r="M414" s="551"/>
      <c r="N414" s="551"/>
      <c r="O414" s="551"/>
      <c r="P414" s="552">
        <f>IF(G414=0,0,IF('Calc (ex-animal)'!$F$78=1,"",IF(D414="","",SUM(H414:K414)/G414*100)))</f>
        <v>0</v>
      </c>
      <c r="Q414" s="394"/>
      <c r="R414" s="394"/>
      <c r="S414" s="394"/>
      <c r="T414" s="285">
        <f>IF('Calc (ex-animal)'!$F$80=1,"",SUM(T409:T413))</f>
        <v>0</v>
      </c>
      <c r="U414" s="286"/>
      <c r="V414" s="286"/>
      <c r="W414" s="286"/>
      <c r="X414" s="286">
        <f>IF('Calc (ex-animal)'!$F$80=1,"",SUM(X409:X413))</f>
        <v>0</v>
      </c>
      <c r="Y414" s="286"/>
      <c r="Z414" s="286"/>
      <c r="AA414" s="286"/>
      <c r="AB414" s="286">
        <f>IF('Calc (ex-animal)'!$F$80=1,"",SUM(AB409:AB413))</f>
        <v>0</v>
      </c>
      <c r="AC414" s="286">
        <f>IF('Calc (ex-animal)'!$F$80=1,"",SUM(AC409:AC413))</f>
        <v>0</v>
      </c>
      <c r="AD414" s="286">
        <f>IF('Calc (ex-animal)'!$F$80=1,"",SUM(AD409:AD413))</f>
        <v>0</v>
      </c>
      <c r="AE414" s="287">
        <f>IF('Calc (ex-animal)'!$F$80=1,"",SUM(AE409:AE413))</f>
        <v>0</v>
      </c>
    </row>
    <row r="415" spans="1:55" x14ac:dyDescent="0.2">
      <c r="A415" s="695"/>
      <c r="B415" s="695"/>
      <c r="C415" s="250">
        <f>'Calc (ex-animal)'!D81</f>
        <v>0</v>
      </c>
      <c r="D415" s="1355"/>
      <c r="E415" s="1356"/>
      <c r="F415" s="479" t="str">
        <f>IF('Calc (ex-animal)'!$F$78=1,"",IF($C$415=0,"",IF(D415="","",E415/'Calc (ex-animal)'!$E$81*100)))</f>
        <v/>
      </c>
      <c r="G415" s="484" t="str">
        <f>IF($C$415=0,"",IF('Calc (ex-animal)'!$F$78=1,"",IF(D415="","",SUM(H415:O415))))</f>
        <v/>
      </c>
      <c r="H415" s="471" t="str">
        <f>IF('Calc (ex-animal)'!$F$78=1,"",IF(D415="","",(((VLOOKUP($C$415,'Calc (ex-animal)'!$D$78:$Y$82,6,FALSE)-VLOOKUP($C$415,'Calc (ex-animal)'!$D$78:$Y$82,17,FALSE))*F415/100))*VLOOKUP($C$415,'Calc (ex-animal)'!$D$78:$Y$82,7,FALSE)/100*(1-VLOOKUP(D415,'DB technologies'!$N$196:$Y$208,9,FALSE)/100)))</f>
        <v/>
      </c>
      <c r="I415" s="471" t="str">
        <f>IF(D415="","",((VLOOKUP(D415,'DB technologies'!$N$196:$Y$208,2,FALSE)*VLOOKUP($C$415,'DB animal categories'!$C$147:$AC$156,27,FALSE)*E415/1000)/VLOOKUP($C$415,'DB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'!$S$6/100*(1-VLOOKUP(D415,'DB technologies'!$N$196:$Y$208,9,FALSE)/100)))</f>
        <v/>
      </c>
      <c r="J415" s="472" t="str">
        <f>IF(D415="","",((VLOOKUP(D415,'DB technologies'!$N$196:$Y$208,3,FALSE)*VLOOKUP($C$415,'DB animal categories'!$C$147:$AC$156,27,FALSE)*E415/1000)/VLOOKUP($C$415,'DB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'!$S$7/100*(1-VLOOKUP(D415,'DB technologies'!$N$196:$Y$208,9,FALSE)/100)))</f>
        <v/>
      </c>
      <c r="K415" s="472" t="str">
        <f>IF(D415="","",((VLOOKUP(D415,'DB technologies'!$N$196:$Y$208,4,FALSE)*E415*'DB additional information '!$S$8/100*(1-VLOOKUP(D415,'DB technologies'!$N$196:$Y$208,9,FALSE)/100))/VLOOKUP($C$415,'DB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L415" s="471" t="str">
        <f>IF('Calc (ex-animal)'!$F$78=1,"",IF(D415="","",(((VLOOKUP($C$415,'Calc (ex-animal)'!$D$78:$Y$82,6,FALSE)-VLOOKUP($C$415,'Calc (ex-animal)'!$D$78:$Y$82,17,FALSE))*F415/100))*(1-VLOOKUP($C$415,'Calc (ex-animal)'!$D$78:$Y$82,7,FALSE)/100)*(1-VLOOKUP(D415,'DB technologies'!$N$196:$V$208,8,FALSE)/100)))</f>
        <v/>
      </c>
      <c r="M415" s="472" t="str">
        <f>IF(D415="","",((VLOOKUP(D415,'DB technologies'!$N$196:$Y$208,2,FALSE)*VLOOKUP($C$415,'DB animal categories'!$C$147:$AC$156,27,FALSE)*E415/1000)/VLOOKUP($C$415,'DB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'!$S$6/100)*(1-VLOOKUP(D415,'DB technologies'!$N$196:$Y$208,9,FALSE)/100))</f>
        <v/>
      </c>
      <c r="N415" s="472" t="str">
        <f>IF(D415="","",((VLOOKUP(D415,'DB technologies'!$N$196:$Y$208,3,FALSE)*VLOOKUP($C$415,'DB animal categories'!$C$147:$AC$156,27,FALSE)*E415/1000)/VLOOKUP($C$415,'DB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'!$S$7/100)*(1-VLOOKUP(D415,'DB technologies'!$N$196:$Y$208,9,FALSE)/100))</f>
        <v/>
      </c>
      <c r="O415" s="471" t="str">
        <f>IF(D415="","",((VLOOKUP(D415,'DB technologies'!$N$196:$Y$208,4,FALSE)*E415*(1-'DB additional information '!$S$8/100)*(1-VLOOKUP(D415,'DB technologies'!$N$196:$Y$208,8,FALSE)/100))/VLOOKUP($C$415,'DB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P415" s="443" t="str">
        <f>IF(G415=0,0,IF(E415="","",IF(F415="","",IF($C$415=0,"",IF(D415="","",SUM(H415:K415)/G415*100)))))</f>
        <v/>
      </c>
      <c r="Q415" s="473" t="str">
        <f>IF(D415="","",(VLOOKUP(D415,'DB technologies'!$N$196:$Y$208,2,FALSE)*'DB additional information '!$S$6/100*'DB additional information '!$T$6*VLOOKUP($C$415,'DB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R415" s="473" t="str">
        <f>IF(D415="","",(VLOOKUP(D415,'DB technologies'!$N$196:$Y$208,3,FALSE)*'DB additional information '!$S$7/100*'DB additional information '!$T$7*VLOOKUP($C$415,'DB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S415" s="490" t="str">
        <f>IF(D415="","",(VLOOKUP(D415,'DB technologies'!$N$196:$Y$208,4,FALSE)*('DB additional information '!$S$8/100*'DB additional information '!$T$8*E415/1000/1000)))</f>
        <v/>
      </c>
      <c r="T415" s="263" t="str">
        <f>IF($C$415=0,"",IF('Calc (ex-animal)'!$F$78=1,"",IF(D415="","",((VLOOKUP($C$415,'Calc (ex-animal)'!$D$78:$Y$82,10,FALSE)-VLOOKUP($C$415,'Calc (ex-animal)'!$D$78:$Y$82,18,FALSE))*F415/100+Q415+R415+S415)-AC415-AD415-AE415)))</f>
        <v/>
      </c>
      <c r="U415" s="474" t="str">
        <f>IF(D415="","",(VLOOKUP(D415,'DB technologies'!$N$196:$Y$208,2,FALSE)*'DB additional information '!$S$6/100*'DB additional information '!$U$6*VLOOKUP($C$415,'DB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V415" s="420" t="str">
        <f>IF(D415="","",(VLOOKUP(D415,'DB technologies'!$N$196:$Y$208,3,FALSE)*'DB additional information '!$S$7/100*'DB additional information '!$U$7*VLOOKUP($C$415,'DB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W415" s="415" t="str">
        <f>IF(D415="","",(VLOOKUP(D415,'DB technologies'!$N$196:$Y$208,4,FALSE)*('DB additional information '!$S$8/100*'DB additional information '!$U$8*E415/1000/1000)))</f>
        <v/>
      </c>
      <c r="X415" s="259" t="str">
        <f>IF($C$415=0,"",IF('Calc (ex-animal)'!$F$78=1,"",IF(D415="","",((VLOOKUP($C$415,'Calc (ex-animal)'!$D$78:$Y$82,13,FALSE)-VLOOKUP($C$415,'Calc (ex-animal)'!$D$78:$Y$82,19,FALSE))*F415/100+U415+V415+W415))))</f>
        <v/>
      </c>
      <c r="Y415" s="420" t="str">
        <f>IF(D415="","",(VLOOKUP(D415,'DB technologies'!$N$196:$Y$208,2,FALSE)*'DB additional information '!$S$6/100*'DB additional information '!$V$6*VLOOKUP($C$415,'DB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Z415" s="420" t="str">
        <f>IF(D415="","",(VLOOKUP(D415,'DB technologies'!$N$196:$Y$208,3,FALSE)*'DB additional information '!$S$7/100*'DB additional information '!$V$7*VLOOKUP($C$415,'DB animal categories'!$C$147:$AC$156,27,FALSE)*E415/1000/1000)/VLOOKUP($C$415,'DB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AA415" s="420" t="str">
        <f>IF(D415="","",(VLOOKUP(D415,'DB technologies'!$N$196:$Y$208,4,FALSE)*('DB additional information '!$S$8/100*'DB additional information '!$V$8*E415/1000/1000)))</f>
        <v/>
      </c>
      <c r="AB415" s="259" t="str">
        <f>IF($C$415=0,"",IF('Calc (ex-animal)'!$F$78=1,"",IF(D415="","",((VLOOKUP($C$415,'Calc (ex-animal)'!$D$78:$Y$82,16,FALSE)-VLOOKUP($C$415,'Calc (ex-animal)'!$D$78:$Y$82,20,FALSE))*F415/100+Y415+Z415+AA415))))</f>
        <v/>
      </c>
      <c r="AC415" s="259" t="str">
        <f>IF($C$415=0,"",IF('Calc (ex-animal)'!$F$78=1,"",IF(D415="","",VLOOKUP($C$415,'Calc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categories'!$C$147:$AC$156,26,FALSE)/24)*F415/100*VLOOKUP(D415,'DB technologies'!$N$196:$R$208,5,FALSE)/100)))</f>
        <v/>
      </c>
      <c r="AD415" s="259" t="str">
        <f>IF($C$415=0,"",IF('Calc (ex-animal)'!$F$78=1,"",IF(D415="","",VLOOKUP($C$415,'Calc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categories'!$C$147:$AC$156,26,FALSE)/24)*F415/100*VLOOKUP(D415,'DB technologies'!$N$196:$Y$208,6,FALSE)/100)))</f>
        <v/>
      </c>
      <c r="AE415" s="260" t="str">
        <f>IF($C$415=0,"",IF('Calc (ex-animal)'!$F$78=1,"",IF(D415="","",VLOOKUP($C$415,'Calc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categories'!$C$147:$AC$156,26,FALSE)/24)*F415/100*VLOOKUP(D415,'DB technologies'!$N$196:$Y$208,7,FALSE)/100)))</f>
        <v/>
      </c>
      <c r="AI415" s="179" t="str">
        <f>IF(D415="","",VLOOKUP(D415,'DB technologies'!$N$196:$Y$208,10,FALSE))</f>
        <v/>
      </c>
      <c r="AJ415" s="482" t="e">
        <f>VLOOKUP($C$415,'DB animal categories'!$C$147:$AN$156,27,FALSE)-VLOOKUP($C$415,'DB animal categories'!$C$147:$AN$156,26,FALSE)*VLOOKUP($C$415,'DB animal categories'!$C$147:$AN$156,25,FALSE)/24</f>
        <v>#N/A</v>
      </c>
      <c r="AK415" s="453" t="str">
        <f>IF(AI415="","",AL415+AM415)</f>
        <v/>
      </c>
      <c r="AL415" s="453" t="str">
        <f>IF(D415="","",IF(AI415=2,(('Calc (ex-animal)'!$G$81*'DB additional information '!$K$17/100*(1-VLOOKUP(D415,'DB technologies'!$N$196:$Y$208,9,FALSE)/100)*'Calc (ex-housing, ex-storage)'!F415/100+'Calc (ex-animal)'!$H$81*'DB additional information '!$L$17/100*(1-VLOOKUP(D415,'DB technologies'!$N$196:$Y$208,9,FALSE)/100)*'Calc (ex-housing, ex-storage)'!F415/100))/VLOOKUP($C$415,'DB animal categories'!$C$147:$AC$156,27,FALSE)*AJ415+I415+J415+K415,IF(AI415=1,('Calc (ex-animal)'!$H$81*'DB additional information '!$L$17/100*(1-VLOOKUP(D415,'DB technologies'!$N$196:$Y$208,9,FALSE)/100)*'Calc (ex-housing, ex-storage)'!F415/100)/VLOOKUP($C$415,'DB animal categories'!$C$147:$AC$156,27,FALSE)*AJ415,IF(AI415=4,('Calc (ex-animal)'!$G$81*'DB additional information '!$K$17/100+'Calc (ex-animal)'!$H$81*'DB additional information '!$L$17/100)*(1-VLOOKUP(D415,'DB technologies'!$N$196:$Y$208,9,FALSE)/100)*'Calc (ex-housing, ex-storage)'!F415/100*VLOOKUP(D415,'DB technologies'!$N$196:$Y$208,11,FALSE)/100/VLOOKUP($C$415,'DB animal categories'!$C$147:$AC$156,27,FALSE)*AJ415,0))))</f>
        <v/>
      </c>
      <c r="AM415" s="453" t="str">
        <f>IF(D415="","",IF(AI415=2,(('Calc (ex-animal)'!$G$81*(1-'DB additional information '!$K$17/100)*(1-VLOOKUP(D415,'DB technologies'!$N$196:$Y$208,8,FALSE)/100)*'Calc (ex-housing, ex-storage)'!F415/100+'Calc (ex-animal)'!$H$81*(1-'DB additional information '!$L$17/100)*(1-VLOOKUP(D415,'DB technologies'!$N$196:$Y$208,8,FALSE)/100)*'Calc (ex-housing, ex-storage)'!F415/100))/VLOOKUP($C$415,'DB animal categories'!$C$147:$AC$156,27,FALSE)*AJ415+M415+N415+O415,IF(AI415=1,('Calc (ex-animal)'!$H$81*(1-'DB additional information '!$L$17/100)*(1-VLOOKUP(D415,'DB technologies'!$N$196:$Y$208,8,FALSE)/100)*'Calc (ex-housing, ex-storage)'!F415/100)/VLOOKUP($C$415,'DB animal categories'!$C$147:$AC$156,27,FALSE)*AJ415,IF(AI415=4,('Calc (ex-animal)'!$G$81*(1-'DB additional information '!$K$17/100)+'Calc (ex-animal)'!$H$81*(1-'DB additional information '!$L$17/100))*(1-VLOOKUP(D415,'DB technologies'!$N$196:$Y$208,8,FALSE)/100)*'Calc (ex-housing, ex-storage)'!F415/100*VLOOKUP(D415,'DB technologies'!$N$196:$Y$208,11,FALSE)/100/VLOOKUP($C$415,'DB animal categories'!$C$147:$AC$156,27,FALSE)*AJ415,0))))</f>
        <v/>
      </c>
      <c r="AN415" s="453" t="str">
        <f>IF(AI415="","",IF(AL415=0,0,AL415/AK415*100))</f>
        <v/>
      </c>
      <c r="AO415" s="180" t="str">
        <f>IF(D415="","",IF(AI415=2,(('Calc (ex-animal)'!$L$81*'Calc (ex-housing, ex-storage)'!F415/100+'Calc (ex-animal)'!$K$81*'Calc (ex-housing, ex-storage)'!F415/100))/VLOOKUP($C$415,'DB animal categories'!$C$147:$AC$156,27,FALSE)*AJ415+Q415+R415+S415-AC415,IF(AI415=1,('Calc (ex-animal)'!$L$81*'Calc (ex-housing, ex-storage)'!F415/100)/VLOOKUP($C$415,'DB animal categories'!$C$147:$AC$156,27,FALSE)*AJ415-'Calc (ex-housing, ex-storage)'!AC415,IF(AI415=4,('Calc (ex-animal)'!$L$81+'Calc (ex-animal)'!$K$81)*'Calc (ex-housing, ex-storage)'!F415/100*VLOOKUP(D415,'DB technologies'!$N$196:$Y$208,11,FALSE)/100/VLOOKUP($C$415,'DB animal categories'!$C$147:$AC$156,27,FALSE)*AJ415-AC415*VLOOKUP(D415,'DB technologies'!$N$196:$Y$208,11,FALSE)/100,0))))</f>
        <v/>
      </c>
      <c r="AP415" s="180" t="str">
        <f>IF(D415="","",IF(AO415&lt;-0.01,0,IF(AI415=2,(('Calc (ex-animal)'!$L$81*'Calc (ex-housing, ex-storage)'!F415/100+'Calc (ex-animal)'!$K$81*'Calc (ex-housing, ex-storage)'!F415/100))/VLOOKUP($C$415,'DB animal categories'!$C$147:$AC$156,27,FALSE)*AJ415+Q415+R415+S415-AC415,IF(AI415=1,('Calc (ex-animal)'!$L$81*'Calc (ex-housing, ex-storage)'!F415/100)/VLOOKUP($C$415,'DB animal categories'!$C$147:$AC$156,27,FALSE)*AJ415-'Calc (ex-housing, ex-storage)'!AC415,IF(AI415=4,('Calc (ex-animal)'!$L$81+'Calc (ex-animal)'!$K$81)*'Calc (ex-housing, ex-storage)'!F415/100*VLOOKUP(D415,'DB technologies'!$N$196:$Y$208,11,FALSE)/100/VLOOKUP($C$415,'DB animal categories'!$C$147:$AC$156,27,FALSE)*AJ415-AC415*VLOOKUP(D415,'DB technologies'!$N$196:$Y$208,11,FALSE)/100,0)))))</f>
        <v/>
      </c>
      <c r="AQ415" s="180" t="str">
        <f>IF(D415="","",IF(AI415=2,('Calc (ex-animal)'!$O$81*'Calc (ex-housing, ex-storage)'!F415/100+'Calc (ex-animal)'!$N$81*'Calc (ex-housing, ex-storage)'!F415/100)/VLOOKUP($C$415,'DB animal categories'!$C$147:$AC$156,27,FALSE)*AJ415+U415+V415+W415,IF(AI415=1,'Calc (ex-animal)'!$O$81*'Calc (ex-housing, ex-storage)'!F415/100/VLOOKUP($C$415,'DB animal categories'!$C$147:$AC$156,27,FALSE)*AJ415,IF(AI415=4,('Calc (ex-animal)'!$O$81+'Calc (ex-animal)'!$N$81)*'Calc (ex-housing, ex-storage)'!F415/100*VLOOKUP(D415,'DB technologies'!$N$196:$Y$208,11,FALSE)/100/VLOOKUP($C$415,'DB animal categories'!$C$147:$AC$156,27,FALSE)*AJ415,0))))</f>
        <v/>
      </c>
      <c r="AR415" s="180" t="str">
        <f>IF(D415="","",IF(AI415=2,('Calc (ex-animal)'!$R$81*'Calc (ex-housing, ex-storage)'!F415/100+'Calc (ex-animal)'!$Q$81*'Calc (ex-housing, ex-storage)'!F415/100)/VLOOKUP($C$415,'DB animal categories'!$C$147:$AC$156,27,FALSE)*AJ415+Y415+Z415+AA415,IF(AI415=1,'Calc (ex-animal)'!$R$81*'Calc (ex-housing, ex-storage)'!F415/100/VLOOKUP($C$415,'DB animal categories'!$C$147:$AC$156,27,FALSE)*AJ415,IF(AI415=4,('Calc (ex-animal)'!$R$81+'Calc (ex-animal)'!$Q$81)*'Calc (ex-housing, ex-storage)'!F415/100*VLOOKUP(D415,'DB technologies'!$N$196:$Y$208,11,FALSE)/100/VLOOKUP($C$415,'DB animal categories'!$C$147:$AC$156,27,FALSE)*AJ415,0))))</f>
        <v/>
      </c>
      <c r="AS415" s="179" t="str">
        <f>IF(D415="","",VLOOKUP(D415,'DB technologies'!$N$196:$Y$208,10,FALSE))</f>
        <v/>
      </c>
      <c r="AT415" s="453" t="str">
        <f>IF(AS415="","",AU415+AV415)</f>
        <v/>
      </c>
      <c r="AU415" s="453" t="str">
        <f>IF(D415="","",IF(AS415=2,0,IF(AS415=1,'Calc (ex-animal)'!$G$81*'DB additional information '!$K$17/100*(1-VLOOKUP(D415,'DB technologies'!$N$196:$Y$208,8,FALSE)/100)*'Calc (ex-housing, ex-storage)'!F415/100/VLOOKUP($C$415,'DB animal categories'!$C$147:$AC$156,27,FALSE)*AJ415+I415+J415+K415,IF(AS415=5,(('Calc (ex-animal)'!$G$81*'DB additional information '!$K$17/100+'Calc (ex-animal)'!$H$81*'DB additional information '!$L$17/100))*(1-VLOOKUP(D415,'DB technologies'!$N$196:$Y$208,9,FALSE)/100)*'Calc (ex-housing, ex-storage)'!F415/100/VLOOKUP($C$415,'DB animal categories'!$C$147:$AC$156,27,FALSE)*AJ415+I415+J415+K415,IF(AS415=3,('Calc (ex-animal)'!$G$81*'DB additional information '!$K$17/100+'Calc (ex-animal)'!$H$81*'DB additional information '!$L$17/100)*(1-VLOOKUP(D415,'DB technologies'!$N$196:$Y$208,9,FALSE)/100)*'Calc (ex-housing, ex-storage)'!F415/100/VLOOKUP($C$415,'DB animal categories'!$C$147:$AC$156,27,FALSE)*AJ415+I415+J415+K415,IF(AS415=4,('Calc (ex-animal)'!$G$81*'DB additional information '!$K$17/100+'Calc (ex-animal)'!$H$81*'DB additional information '!$L$17/100)*(1-VLOOKUP(D415,'DB technologies'!$N$196:$Y$208,9,FALSE)/100)*'Calc (ex-housing, ex-storage)'!F415/100*VLOOKUP(D415,'DB technologies'!$N$196:$Y$208,12,FALSE)/100/VLOOKUP($C$415,'DB animal categories'!$C$147:$AC$156,27,FALSE)*AJ415+I415+J415+K415,0))))))</f>
        <v/>
      </c>
      <c r="AV415" s="453" t="str">
        <f>IF(D415="","",IF(AS415=2,0,IF(AS415=1,'Calc (ex-animal)'!$G$81*(1-'DB additional information '!$K$17/100)*(1-VLOOKUP(D415,'DB technologies'!$N$196:$Y$208,8,FALSE)/100)*'Calc (ex-housing, ex-storage)'!F415/100/VLOOKUP($C$415,'DB animal categories'!$C$147:$AC$156,27,FALSE)*AJ415+M415+N415+O415,IF(AS415=5,('Calc (ex-animal)'!$G$81*(1-'DB additional information '!$K$17/100)+'Calc (ex-animal)'!$H$81*(1-'DB additional information '!$L$17/100))*(1-VLOOKUP(D415,'DB technologies'!$N$196:$Y$208,8,FALSE)/100)*'Calc (ex-housing, ex-storage)'!F415/100/VLOOKUP($C$415,'DB animal categories'!$C$147:$AC$156,27,FALSE)*AJ415+M415+N415+O415,IF(AS415=3,('Calc (ex-animal)'!$G$81*(1-'DB additional information '!$K$17/100)+'Calc (ex-animal)'!$H$81*(1-'DB additional information '!$L$17/100))*(1-VLOOKUP(D415,'DB technologies'!$N$196:$Y$208,8,FALSE)/100)*'Calc (ex-housing, ex-storage)'!F415/100/VLOOKUP($C$415,'DB animal categories'!$C$147:$AC$156,27,FALSE)*AJ415+M415+N415+O415,IF(AS415=4,('Calc (ex-animal)'!$G$81*(1-'DB additional information '!$K$17/100)+'Calc (ex-animal)'!$H$81*(1-'DB additional information '!$L$17/100))*(1-VLOOKUP(D415,'DB technologies'!$N$196:$Y$208,8,FALSE)/100)*'Calc (ex-housing, ex-storage)'!F415/100*VLOOKUP(D415,'DB technologies'!$N$196:$Y$208,12,FALSE)/100/VLOOKUP($C$415,'DB animal categories'!$C$147:$AC$156,27,FALSE)*AJ415+M415+N415+O415,0))))))</f>
        <v/>
      </c>
      <c r="AW415" s="453" t="str">
        <f>IF(AS415="","",IF(AU415=0,0,AU415/AT415*100))</f>
        <v/>
      </c>
      <c r="AX415" s="180" t="str">
        <f>IF(D415="","",IF(AS415=2,0,IF(AS415=1,'Calc (ex-animal)'!$K$81*'Calc (ex-housing, ex-storage)'!F415/100/VLOOKUP($C$415,'DB animal categories'!$C$147:$AC$156,27,FALSE)*AJ415+Q415+R415+S415,IF(AS415=5,('Calc (ex-animal)'!$K$81+'Calc (ex-animal)'!$L$81)*'Calc (ex-housing, ex-storage)'!F415/100/VLOOKUP($C$415,'DB animal categories'!$C$147:$AC$156,27,FALSE)*AJ415+Q415+R415+S415-'Calc (ex-housing, ex-storage)'!AC415,IF(AS415=3,('Calc (ex-animal)'!$K$81+'Calc (ex-animal)'!$L$81)*'Calc (ex-housing, ex-storage)'!F415/100/VLOOKUP($C$415,'DB animal categories'!$C$147:$AC$156,27,FALSE)*AJ415+Q415+R415+S415-'Calc (ex-housing, ex-storage)'!AC415-AD415-AE415,IF(AI415=4,('Calc (ex-animal)'!$K$81+'Calc (ex-animal)'!$L$81)*'Calc (ex-housing, ex-storage)'!F415/100*VLOOKUP(D415,'DB technologies'!$N$196:$Y$208,12,FALSE)/100/VLOOKUP($C$415,'DB animal categories'!$C$147:$AC$156,27,FALSE)*AJ415+Q415+R415+S415-(VLOOKUP(D415,'DB technologies'!$N$196:$Y$208,12,FALSE)/100*AC415)-AD415-AE415,0))))))</f>
        <v/>
      </c>
      <c r="AY415" s="180" t="str">
        <f>IF(D415="","",IF(AS415=2,0,IF(AS415=1,'Calc (ex-animal)'!$N$81*'Calc (ex-housing, ex-storage)'!F415/100/VLOOKUP($C$415,'DB animal categories'!$C$147:$AC$156,27,FALSE)*AJ415+U415+V415+W415,IF(AS415=5,('Calc (ex-animal)'!$N$81+'Calc (ex-animal)'!$O$81)*'Calc (ex-housing, ex-storage)'!F415/100/VLOOKUP($C$415,'DB animal categories'!$C$147:$AC$156,27,FALSE)*AJ415+U415+V415+W415,IF(AS415=3,('Calc (ex-animal)'!$N$81+'Calc (ex-animal)'!$O$81)*'Calc (ex-housing, ex-storage)'!F415/100/VLOOKUP($C$415,'DB animal categories'!$C$147:$AC$156,27,FALSE)*AJ415+U415+V415+W415,IF(AS415=4,('Calc (ex-animal)'!$N$81+'Calc (ex-animal)'!$O$81)*'Calc (ex-housing, ex-storage)'!F415/100*VLOOKUP(D415,'DB technologies'!$N$196:$Y$208,12,FALSE)/100/VLOOKUP($C$415,'DB animal categories'!$C$147:$AC$156,27,FALSE)*AJ415+U415+V415+W415,0))))))</f>
        <v/>
      </c>
      <c r="AZ415" s="180" t="str">
        <f>IF(D415="","",IF(AS415=2,0,IF(AS415=1,'Calc (ex-animal)'!$Q$81*'Calc (ex-housing, ex-storage)'!F415/100/VLOOKUP($C$415,'DB animal categories'!$C$147:$AC$156,27,FALSE)*AJ415+Y415+Z415+AA415,IF(AS415=5,('Calc (ex-animal)'!$Q$81+'Calc (ex-animal)'!$R$81)*'Calc (ex-housing, ex-storage)'!F415/100/VLOOKUP($C$415,'DB animal categories'!$C$147:$AC$156,27,FALSE)*AJ415+Y415+Z415+AA415,IF(AS415=3,('Calc (ex-animal)'!$Q$81+'Calc (ex-animal)'!$R$81)*'Calc (ex-housing, ex-storage)'!F415/100/VLOOKUP($C$415,'DB animal categories'!$C$147:$AC$156,27,FALSE)*AJ415+Y415+Z415+AA415,IF(AS415=4,('Calc (ex-animal)'!$Q$81+'Calc (ex-animal)'!$R$81)*'Calc (ex-housing, ex-storage)'!F415/100*VLOOKUP(D415,'DB technologies'!$N$196:$Y$208,12,FALSE)/100/VLOOKUP($C$415,'DB animal categories'!$C$147:$AC$156,27,FALSE)*AJ415+Y415+Z415+AA415,0))))))</f>
        <v/>
      </c>
      <c r="BA415" s="506"/>
      <c r="BB415" s="506"/>
      <c r="BC415" s="506"/>
    </row>
    <row r="416" spans="1:55" x14ac:dyDescent="0.2">
      <c r="A416" s="695"/>
      <c r="B416" s="695"/>
      <c r="C416" s="251"/>
      <c r="D416" s="1357"/>
      <c r="E416" s="1399"/>
      <c r="F416" s="480" t="str">
        <f>IF('Calc (ex-animal)'!$F$78=1,"",IF($C$415=0,"",IF(D416="","",E416/'Calc (ex-animal)'!$E$81*100)))</f>
        <v/>
      </c>
      <c r="G416" s="485" t="str">
        <f>IF($C$415=0,"",IF('Calc (ex-animal)'!$F$78=1,"",IF(D416="","",SUM(H416:O416))))</f>
        <v/>
      </c>
      <c r="H416" s="423" t="str">
        <f>IF('Calc (ex-animal)'!$F$78=1,"",IF(D416="","",(((VLOOKUP($C$415,'Calc (ex-animal)'!$D$78:$Y$82,6,FALSE)-VLOOKUP($C$415,'Calc (ex-animal)'!$D$78:$Y$82,17,FALSE))*F416/100))*VLOOKUP($C$415,'Calc (ex-animal)'!$D$78:$Y$82,7,FALSE)/100*(1-VLOOKUP(D416,'DB technologies'!$N$196:$Y$208,9,FALSE)/100)))</f>
        <v/>
      </c>
      <c r="I416" s="423" t="str">
        <f>IF(D416="","",((VLOOKUP(D416,'DB technologies'!$N$196:$Y$208,2,FALSE)*VLOOKUP($C$415,'DB animal categories'!$C$147:$AC$156,27,FALSE)*E416/1000)/VLOOKUP($C$415,'DB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'!$S$6/100*(1-VLOOKUP(D416,'DB technologies'!$N$196:$Y$208,9,FALSE)/100)))</f>
        <v/>
      </c>
      <c r="J416" s="434" t="str">
        <f>IF(D416="","",((VLOOKUP(D416,'DB technologies'!$N$196:$Y$208,3,FALSE)*VLOOKUP($C$415,'DB animal categories'!$C$147:$AC$156,27,FALSE)*E416/1000)/VLOOKUP($C$415,'DB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'!$S$7/100*(1-VLOOKUP(D416,'DB technologies'!$N$196:$Y$208,9,FALSE)/100)))</f>
        <v/>
      </c>
      <c r="K416" s="434" t="str">
        <f>IF(D416="","",((VLOOKUP(D416,'DB technologies'!$N$196:$Y$208,4,FALSE)*E416*'DB additional information '!$S$8/100*(1-VLOOKUP(D416,'DB technologies'!$N$196:$Y$208,9,FALSE)/100))/VLOOKUP($C$415,'DB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L416" s="423" t="str">
        <f>IF('Calc (ex-animal)'!$F$78=1,"",IF(D416="","",(((VLOOKUP($C$415,'Calc (ex-animal)'!$D$78:$Y$82,6,FALSE)-VLOOKUP($C$415,'Calc (ex-animal)'!$D$78:$Y$82,17,FALSE))*F416/100))*(1-VLOOKUP($C$415,'Calc (ex-animal)'!$D$78:$Y$82,7,FALSE)/100)*(1-VLOOKUP(D416,'DB technologies'!$N$196:$V$208,8,FALSE)/100)))</f>
        <v/>
      </c>
      <c r="M416" s="434" t="str">
        <f>IF(D416="","",((VLOOKUP(D416,'DB technologies'!$N$196:$Y$208,2,FALSE)*VLOOKUP($C$415,'DB animal categories'!$C$147:$AC$156,27,FALSE)*E416/1000)/VLOOKUP($C$415,'DB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'!$S$6/100)*(1-VLOOKUP(D416,'DB technologies'!$N$196:$Y$208,9,FALSE)/100))</f>
        <v/>
      </c>
      <c r="N416" s="434" t="str">
        <f>IF(D416="","",((VLOOKUP(D416,'DB technologies'!$N$196:$Y$208,3,FALSE)*VLOOKUP($C$415,'DB animal categories'!$C$147:$AC$156,27,FALSE)*E416/1000)/VLOOKUP($C$415,'DB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'!$S$7/100)*(1-VLOOKUP(D416,'DB technologies'!$N$196:$Y$208,9,FALSE)/100))</f>
        <v/>
      </c>
      <c r="O416" s="423" t="str">
        <f>IF(D416="","",((VLOOKUP(D416,'DB technologies'!$N$196:$Y$208,4,FALSE)*E416*(1-'DB additional information '!$S$8/100)*(1-VLOOKUP(D416,'DB technologies'!$N$196:$Y$208,8,FALSE)/100))/VLOOKUP($C$415,'DB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P416" s="438" t="str">
        <f>IF(G416=0,0,IF(E416="","",IF(F416="","",IF($C$415=0,"",IF(D416="","",SUM(H416:K416)/G416*100)))))</f>
        <v/>
      </c>
      <c r="Q416" s="416" t="str">
        <f>IF(D416="","",(VLOOKUP(D416,'DB technologies'!$N$196:$Y$208,2,FALSE)*'DB additional information '!$S$6/100*'DB additional information '!$T$6*VLOOKUP($C$415,'DB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R416" s="416" t="str">
        <f>IF(D416="","",(VLOOKUP(D416,'DB technologies'!$N$196:$Y$208,3,FALSE)*'DB additional information '!$S$7/100*'DB additional information '!$T$7*VLOOKUP($C$415,'DB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S416" s="491" t="str">
        <f>IF(D416="","",(VLOOKUP(D416,'DB technologies'!$N$196:$Y$208,4,FALSE)*('DB additional information '!$S$8/100*'DB additional information '!$T$8*E416/1000/1000)))</f>
        <v/>
      </c>
      <c r="T416" s="264" t="str">
        <f>IF($C$415=0,"",IF('Calc (ex-animal)'!$F$78=1,"",IF(D416="","",((VLOOKUP($C$415,'Calc (ex-animal)'!$D$78:$Y$82,10,FALSE)-VLOOKUP($C$415,'Calc (ex-animal)'!$D$78:$Y$82,18,FALSE))*F416/100+Q416+R416+S416)-AC416-AD416-AE416)))</f>
        <v/>
      </c>
      <c r="U416" s="422" t="str">
        <f>IF(D416="","",(VLOOKUP(D416,'DB technologies'!$N$196:$Y$208,2,FALSE)*'DB additional information '!$S$6/100*'DB additional information '!$U$6*VLOOKUP($C$415,'DB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V416" s="418" t="str">
        <f>IF(D416="","",(VLOOKUP(D416,'DB technologies'!$N$196:$Y$208,3,FALSE)*'DB additional information '!$S$7/100*'DB additional information '!$U$7*VLOOKUP($C$415,'DB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W416" s="417" t="str">
        <f>IF(D416="","",(VLOOKUP(D416,'DB technologies'!$N$196:$Y$208,4,FALSE)*('DB additional information '!$S$8/100*'DB additional information '!$U$8*E416/1000/1000)))</f>
        <v/>
      </c>
      <c r="X416" s="261" t="str">
        <f>IF($C$415=0,"",IF('Calc (ex-animal)'!$F$78=1,"",IF(D416="","",((VLOOKUP($C$415,'Calc (ex-animal)'!$D$78:$Y$82,13,FALSE)-VLOOKUP($C$415,'Calc (ex-animal)'!$D$78:$Y$82,19,FALSE))*F416/100+U416+V416+W416))))</f>
        <v/>
      </c>
      <c r="Y416" s="418" t="str">
        <f>IF(D416="","",(VLOOKUP(D416,'DB technologies'!$N$196:$Y$208,2,FALSE)*'DB additional information '!$S$6/100*'DB additional information '!$V$6*VLOOKUP($C$415,'DB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Z416" s="418" t="str">
        <f>IF(D416="","",(VLOOKUP(D416,'DB technologies'!$N$196:$Y$208,3,FALSE)*'DB additional information '!$S$7/100*'DB additional information '!$V$7*VLOOKUP($C$415,'DB animal categories'!$C$147:$AC$156,27,FALSE)*E416/1000/1000)/VLOOKUP($C$415,'DB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AA416" s="418" t="str">
        <f>IF(D416="","",(VLOOKUP(D416,'DB technologies'!$N$196:$Y$208,4,FALSE)*('DB additional information '!$S$8/100*'DB additional information '!$V$8*E416/1000/1000)))</f>
        <v/>
      </c>
      <c r="AB416" s="261" t="str">
        <f>IF($C$415=0,"",IF('Calc (ex-animal)'!$F$78=1,"",IF(D416="","",((VLOOKUP($C$415,'Calc (ex-animal)'!$D$78:$Y$82,16,FALSE)-VLOOKUP($C$415,'Calc (ex-animal)'!$D$78:$Y$82,20,FALSE))*F416/100+Y416+Z416+AA416))))</f>
        <v/>
      </c>
      <c r="AC416" s="261" t="str">
        <f>IF($C$415=0,"",IF('Calc (ex-animal)'!$F$78=1,"",IF(D416="","",VLOOKUP($C$415,'Calc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categories'!$C$147:$AC$156,26,FALSE)/24)*F416/100*VLOOKUP(D416,'DB technologies'!$N$196:$R$208,5,FALSE)/100)))</f>
        <v/>
      </c>
      <c r="AD416" s="261" t="str">
        <f>IF($C$415=0,"",IF('Calc (ex-animal)'!$F$78=1,"",IF(D416="","",VLOOKUP($C$415,'Calc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categories'!$C$147:$AC$156,26,FALSE)/24)*F416/100*VLOOKUP(D416,'DB technologies'!$N$196:$Y$208,6,FALSE)/100)))</f>
        <v/>
      </c>
      <c r="AE416" s="262" t="str">
        <f>IF($C$415=0,"",IF('Calc (ex-animal)'!$F$78=1,"",IF(D416="","",VLOOKUP($C$415,'Calc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categories'!$C$147:$AC$156,26,FALSE)/24)*F416/100*VLOOKUP(D416,'DB technologies'!$N$196:$Y$208,7,FALSE)/100)))</f>
        <v/>
      </c>
      <c r="AI416" s="181" t="str">
        <f>IF(D416="","",VLOOKUP(D416,'DB technologies'!$N$196:$Y$208,10,FALSE))</f>
        <v/>
      </c>
      <c r="AJ416" s="449" t="e">
        <f>VLOOKUP($C$415,'DB animal categories'!$C$147:$AN$156,27,FALSE)-VLOOKUP($C$415,'DB animal categories'!$C$147:$AN$156,26,FALSE)*VLOOKUP($C$415,'DB animal categories'!$C$147:$AN$156,25,FALSE)/24</f>
        <v>#N/A</v>
      </c>
      <c r="AK416" s="442" t="str">
        <f>IF(AI416="","",AL416+AM416)</f>
        <v/>
      </c>
      <c r="AL416" s="442" t="str">
        <f>IF(D416="","",IF(AI416=2,(('Calc (ex-animal)'!$G$81*'DB additional information '!$K$17/100*(1-VLOOKUP(D416,'DB technologies'!$N$196:$Y$208,9,FALSE)/100)*'Calc (ex-housing, ex-storage)'!F416/100+'Calc (ex-animal)'!$H$81*'DB additional information '!$L$17/100*(1-VLOOKUP(D416,'DB technologies'!$N$196:$Y$208,9,FALSE)/100)*'Calc (ex-housing, ex-storage)'!F416/100))/VLOOKUP($C$415,'DB animal categories'!$C$147:$AC$156,27,FALSE)*AJ416+I416+J416+K416,IF(AI416=1,('Calc (ex-animal)'!$H$81*'DB additional information '!$L$17/100*(1-VLOOKUP(D416,'DB technologies'!$N$196:$Y$208,9,FALSE)/100)*'Calc (ex-housing, ex-storage)'!F416/100)/VLOOKUP($C$415,'DB animal categories'!$C$147:$AC$156,27,FALSE)*AJ416,IF(AI416=4,('Calc (ex-animal)'!$G$81*'DB additional information '!$K$17/100+'Calc (ex-animal)'!$H$81*'DB additional information '!$L$17/100)*(1-VLOOKUP(D416,'DB technologies'!$N$196:$Y$208,9,FALSE)/100)*'Calc (ex-housing, ex-storage)'!F416/100*VLOOKUP(D416,'DB technologies'!$N$196:$Y$208,11,FALSE)/100/VLOOKUP($C$415,'DB animal categories'!$C$147:$AC$156,27,FALSE)*AJ416,0))))</f>
        <v/>
      </c>
      <c r="AM416" s="442" t="str">
        <f>IF(D416="","",IF(AI416=2,(('Calc (ex-animal)'!$G$81*(1-'DB additional information '!$K$17/100)*(1-VLOOKUP(D416,'DB technologies'!$N$196:$Y$208,8,FALSE)/100)*'Calc (ex-housing, ex-storage)'!F416/100+'Calc (ex-animal)'!$H$81*(1-'DB additional information '!$L$17/100)*(1-VLOOKUP(D416,'DB technologies'!$N$196:$Y$208,8,FALSE)/100)*'Calc (ex-housing, ex-storage)'!F416/100))/VLOOKUP($C$415,'DB animal categories'!$C$147:$AC$156,27,FALSE)*AJ416+M416+N416+O416,IF(AI416=1,('Calc (ex-animal)'!$H$81*(1-'DB additional information '!$L$17/100)*(1-VLOOKUP(D416,'DB technologies'!$N$196:$Y$208,8,FALSE)/100)*'Calc (ex-housing, ex-storage)'!F416/100)/VLOOKUP($C$415,'DB animal categories'!$C$147:$AC$156,27,FALSE)*AJ416,IF(AI416=4,('Calc (ex-animal)'!$G$81*(1-'DB additional information '!$K$17/100)+'Calc (ex-animal)'!$H$81*(1-'DB additional information '!$L$17/100))*(1-VLOOKUP(D416,'DB technologies'!$N$196:$Y$208,8,FALSE)/100)*'Calc (ex-housing, ex-storage)'!F416/100*VLOOKUP(D416,'DB technologies'!$N$196:$Y$208,11,FALSE)/100/VLOOKUP($C$415,'DB animal categories'!$C$147:$AC$156,27,FALSE)*AJ416,0))))</f>
        <v/>
      </c>
      <c r="AN416" s="442" t="str">
        <f>IF(AI416="","",IF(AL416=0,0,AL416/AK416*100))</f>
        <v/>
      </c>
      <c r="AO416" s="182" t="str">
        <f>IF(D416="","",IF(AI416=2,(('Calc (ex-animal)'!$L$81*'Calc (ex-housing, ex-storage)'!F416/100+'Calc (ex-animal)'!$K$81*'Calc (ex-housing, ex-storage)'!F416/100))/VLOOKUP($C$415,'DB animal categories'!$C$147:$AC$156,27,FALSE)*AJ416+Q416+R416+S416-AC416,IF(AI416=1,('Calc (ex-animal)'!$L$81*'Calc (ex-housing, ex-storage)'!F416/100)/VLOOKUP($C$415,'DB animal categories'!$C$147:$AC$156,27,FALSE)*AJ416-'Calc (ex-housing, ex-storage)'!AC416,IF(AI416=4,('Calc (ex-animal)'!$L$81+'Calc (ex-animal)'!$K$81)*'Calc (ex-housing, ex-storage)'!F416/100*VLOOKUP(D416,'DB technologies'!$N$196:$Y$208,11,FALSE)/100/VLOOKUP($C$415,'DB animal categories'!$C$147:$AC$156,27,FALSE)*AJ416-AC416*VLOOKUP(D416,'DB technologies'!$N$196:$Y$208,11,FALSE)/100,0))))</f>
        <v/>
      </c>
      <c r="AP416" s="182" t="str">
        <f>IF(D416="","",IF(AO416&lt;-0.01,0,IF(AI416=2,(('Calc (ex-animal)'!$L$81*'Calc (ex-housing, ex-storage)'!F416/100+'Calc (ex-animal)'!$K$81*'Calc (ex-housing, ex-storage)'!F416/100))/VLOOKUP($C$415,'DB animal categories'!$C$147:$AC$156,27,FALSE)*AJ416+Q416+R416+S416-AC416,IF(AI416=1,('Calc (ex-animal)'!$L$81*'Calc (ex-housing, ex-storage)'!F416/100)/VLOOKUP($C$415,'DB animal categories'!$C$147:$AC$156,27,FALSE)*AJ416-'Calc (ex-housing, ex-storage)'!AC416,IF(AI416=4,('Calc (ex-animal)'!$L$81+'Calc (ex-animal)'!$K$81)*'Calc (ex-housing, ex-storage)'!F416/100*VLOOKUP(D416,'DB technologies'!$N$196:$Y$208,11,FALSE)/100/VLOOKUP($C$415,'DB animal categories'!$C$147:$AC$156,27,FALSE)*AJ416-AC416*VLOOKUP(D416,'DB technologies'!$N$196:$Y$208,11,FALSE)/100,0)))))</f>
        <v/>
      </c>
      <c r="AQ416" s="182" t="str">
        <f>IF(D416="","",IF(AI416=2,('Calc (ex-animal)'!$O$81*'Calc (ex-housing, ex-storage)'!F416/100+'Calc (ex-animal)'!$N$81*'Calc (ex-housing, ex-storage)'!F416/100)/VLOOKUP($C$415,'DB animal categories'!$C$147:$AC$156,27,FALSE)*AJ416+U416+V416+W416,IF(AI416=1,'Calc (ex-animal)'!$O$81*'Calc (ex-housing, ex-storage)'!F416/100/VLOOKUP($C$415,'DB animal categories'!$C$147:$AC$156,27,FALSE)*AJ416,IF(AI416=4,('Calc (ex-animal)'!$O$81+'Calc (ex-animal)'!$N$81)*'Calc (ex-housing, ex-storage)'!F416/100*VLOOKUP(D416,'DB technologies'!$N$196:$Y$208,11,FALSE)/100/VLOOKUP($C$415,'DB animal categories'!$C$147:$AC$156,27,FALSE)*AJ416,0))))</f>
        <v/>
      </c>
      <c r="AR416" s="182" t="str">
        <f>IF(D416="","",IF(AI416=2,('Calc (ex-animal)'!$R$81*'Calc (ex-housing, ex-storage)'!F416/100+'Calc (ex-animal)'!$Q$81*'Calc (ex-housing, ex-storage)'!F416/100)/VLOOKUP($C$415,'DB animal categories'!$C$147:$AC$156,27,FALSE)*AJ416+Y416+Z416+AA416,IF(AI416=1,'Calc (ex-animal)'!$R$81*'Calc (ex-housing, ex-storage)'!F416/100/VLOOKUP($C$415,'DB animal categories'!$C$147:$AC$156,27,FALSE)*AJ416,IF(AI416=4,('Calc (ex-animal)'!$R$81+'Calc (ex-animal)'!$Q$81)*'Calc (ex-housing, ex-storage)'!F416/100*VLOOKUP(D416,'DB technologies'!$N$196:$Y$208,11,FALSE)/100/VLOOKUP($C$415,'DB animal categories'!$C$147:$AC$156,27,FALSE)*AJ416,0))))</f>
        <v/>
      </c>
      <c r="AS416" s="181" t="str">
        <f>IF(D416="","",VLOOKUP(D416,'DB technologies'!$N$196:$Y$208,10,FALSE))</f>
        <v/>
      </c>
      <c r="AT416" s="442" t="str">
        <f>IF(AS416="","",AU416+AV416)</f>
        <v/>
      </c>
      <c r="AU416" s="442" t="str">
        <f>IF(D416="","",IF(AS416=2,0,IF(AS416=1,'Calc (ex-animal)'!$G$81*'DB additional information '!$K$17/100*(1-VLOOKUP(D416,'DB technologies'!$N$196:$Y$208,8,FALSE)/100)*'Calc (ex-housing, ex-storage)'!F416/100/VLOOKUP($C$415,'DB animal categories'!$C$147:$AC$156,27,FALSE)*AJ416+I416+J416+K416,IF(AS416=5,(('Calc (ex-animal)'!$G$81*'DB additional information '!$K$17/100+'Calc (ex-animal)'!$H$81*'DB additional information '!$L$17/100))*(1-VLOOKUP(D416,'DB technologies'!$N$196:$Y$208,9,FALSE)/100)*'Calc (ex-housing, ex-storage)'!F416/100/VLOOKUP($C$415,'DB animal categories'!$C$147:$AC$156,27,FALSE)*AJ416+I416+J416+K416,IF(AS416=3,('Calc (ex-animal)'!$G$81*'DB additional information '!$K$17/100+'Calc (ex-animal)'!$H$81*'DB additional information '!$L$17/100)*(1-VLOOKUP(D416,'DB technologies'!$N$196:$Y$208,9,FALSE)/100)*'Calc (ex-housing, ex-storage)'!F416/100/VLOOKUP($C$415,'DB animal categories'!$C$147:$AC$156,27,FALSE)*AJ416+I416+J416+K416,IF(AS416=4,('Calc (ex-animal)'!$G$81*'DB additional information '!$K$17/100+'Calc (ex-animal)'!$H$81*'DB additional information '!$L$17/100)*(1-VLOOKUP(D416,'DB technologies'!$N$196:$Y$208,9,FALSE)/100)*'Calc (ex-housing, ex-storage)'!F416/100*VLOOKUP(D416,'DB technologies'!$N$196:$Y$208,12,FALSE)/100/VLOOKUP($C$415,'DB animal categories'!$C$147:$AC$156,27,FALSE)*AJ416+I416+J416+K416,0))))))</f>
        <v/>
      </c>
      <c r="AV416" s="442" t="str">
        <f>IF(D416="","",IF(AS416=2,0,IF(AS416=1,'Calc (ex-animal)'!$G$81*(1-'DB additional information '!$K$17/100)*(1-VLOOKUP(D416,'DB technologies'!$N$196:$Y$208,8,FALSE)/100)*'Calc (ex-housing, ex-storage)'!F416/100/VLOOKUP($C$415,'DB animal categories'!$C$147:$AC$156,27,FALSE)*AJ416+M416+N416+O416,IF(AS416=5,('Calc (ex-animal)'!$G$81*(1-'DB additional information '!$K$17/100)+'Calc (ex-animal)'!$H$81*(1-'DB additional information '!$L$17/100))*(1-VLOOKUP(D416,'DB technologies'!$N$196:$Y$208,8,FALSE)/100)*'Calc (ex-housing, ex-storage)'!F416/100/VLOOKUP($C$415,'DB animal categories'!$C$147:$AC$156,27,FALSE)*AJ416+M416+N416+O416,IF(AS416=3,('Calc (ex-animal)'!$G$81*(1-'DB additional information '!$K$17/100)+'Calc (ex-animal)'!$H$81*(1-'DB additional information '!$L$17/100))*(1-VLOOKUP(D416,'DB technologies'!$N$196:$Y$208,8,FALSE)/100)*'Calc (ex-housing, ex-storage)'!F416/100/VLOOKUP($C$415,'DB animal categories'!$C$147:$AC$156,27,FALSE)*AJ416+M416+N416+O416,IF(AS416=4,('Calc (ex-animal)'!$G$81*(1-'DB additional information '!$K$17/100)+'Calc (ex-animal)'!$H$81*(1-'DB additional information '!$L$17/100))*(1-VLOOKUP(D416,'DB technologies'!$N$196:$Y$208,8,FALSE)/100)*'Calc (ex-housing, ex-storage)'!F416/100*VLOOKUP(D416,'DB technologies'!$N$196:$Y$208,12,FALSE)/100/VLOOKUP($C$415,'DB animal categories'!$C$147:$AC$156,27,FALSE)*AJ416+M416+N416+O416,0))))))</f>
        <v/>
      </c>
      <c r="AW416" s="442" t="str">
        <f>IF(AS416="","",IF(AU416=0,0,AU416/AT416*100))</f>
        <v/>
      </c>
      <c r="AX416" s="182" t="str">
        <f>IF(D416="","",IF(AS416=2,0,IF(AS416=1,'Calc (ex-animal)'!$K$81*'Calc (ex-housing, ex-storage)'!F416/100/VLOOKUP($C$415,'DB animal categories'!$C$147:$AC$156,27,FALSE)*AJ416+Q416+R416+S416,IF(AS416=5,('Calc (ex-animal)'!$K$81+'Calc (ex-animal)'!$L$81)*'Calc (ex-housing, ex-storage)'!F416/100/VLOOKUP($C$415,'DB animal categories'!$C$147:$AC$156,27,FALSE)*AJ416+Q416+R416+S416-'Calc (ex-housing, ex-storage)'!AC416,IF(AS416=3,('Calc (ex-animal)'!$K$81+'Calc (ex-animal)'!$L$81)*'Calc (ex-housing, ex-storage)'!F416/100/VLOOKUP($C$415,'DB animal categories'!$C$147:$AC$156,27,FALSE)*AJ416+Q416+R416+S416-'Calc (ex-housing, ex-storage)'!AC416-AD416-AE416,IF(AI416=4,('Calc (ex-animal)'!$K$81+'Calc (ex-animal)'!$L$81)*'Calc (ex-housing, ex-storage)'!F416/100*VLOOKUP(D416,'DB technologies'!$N$196:$Y$208,12,FALSE)/100/VLOOKUP($C$415,'DB animal categories'!$C$147:$AC$156,27,FALSE)*AJ416+Q416+R416+S416-(VLOOKUP(D416,'DB technologies'!$N$196:$Y$208,12,FALSE)/100*AC416)-AD416-AE416,0))))))</f>
        <v/>
      </c>
      <c r="AY416" s="182" t="str">
        <f>IF(D416="","",IF(AS416=2,0,IF(AS416=1,'Calc (ex-animal)'!$N$81*'Calc (ex-housing, ex-storage)'!F416/100/VLOOKUP($C$415,'DB animal categories'!$C$147:$AC$156,27,FALSE)*AJ416+U416+V416+W416,IF(AS416=5,('Calc (ex-animal)'!$N$81+'Calc (ex-animal)'!$O$81)*'Calc (ex-housing, ex-storage)'!F416/100/VLOOKUP($C$415,'DB animal categories'!$C$147:$AC$156,27,FALSE)*AJ416+U416+V416+W416,IF(AS416=3,('Calc (ex-animal)'!$N$81+'Calc (ex-animal)'!$O$81)*'Calc (ex-housing, ex-storage)'!F416/100/VLOOKUP($C$415,'DB animal categories'!$C$147:$AC$156,27,FALSE)*AJ416+U416+V416+W416,IF(AS416=4,('Calc (ex-animal)'!$N$81+'Calc (ex-animal)'!$O$81)*'Calc (ex-housing, ex-storage)'!F416/100*VLOOKUP(D416,'DB technologies'!$N$196:$Y$208,12,FALSE)/100/VLOOKUP($C$415,'DB animal categories'!$C$147:$AC$156,27,FALSE)*AJ416+U416+V416+W416,0))))))</f>
        <v/>
      </c>
      <c r="AZ416" s="182" t="str">
        <f>IF(D416="","",IF(AS416=2,0,IF(AS416=1,'Calc (ex-animal)'!$Q$81*'Calc (ex-housing, ex-storage)'!F416/100/VLOOKUP($C$415,'DB animal categories'!$C$147:$AC$156,27,FALSE)*AJ416+Y416+Z416+AA416,IF(AS416=5,('Calc (ex-animal)'!$Q$81+'Calc (ex-animal)'!$R$81)*'Calc (ex-housing, ex-storage)'!F416/100/VLOOKUP($C$415,'DB animal categories'!$C$147:$AC$156,27,FALSE)*AJ416+Y416+Z416+AA416,IF(AS416=3,('Calc (ex-animal)'!$Q$81+'Calc (ex-animal)'!$R$81)*'Calc (ex-housing, ex-storage)'!F416/100/VLOOKUP($C$415,'DB animal categories'!$C$147:$AC$156,27,FALSE)*AJ416+Y416+Z416+AA416,IF(AS416=4,('Calc (ex-animal)'!$Q$81+'Calc (ex-animal)'!$R$81)*'Calc (ex-housing, ex-storage)'!F416/100*VLOOKUP(D416,'DB technologies'!$N$196:$Y$208,12,FALSE)/100/VLOOKUP($C$415,'DB animal categories'!$C$147:$AC$156,27,FALSE)*AJ416+Y416+Z416+AA416,0))))))</f>
        <v/>
      </c>
      <c r="BA416" s="506"/>
      <c r="BB416" s="506"/>
      <c r="BC416" s="506"/>
    </row>
    <row r="417" spans="1:55" x14ac:dyDescent="0.2">
      <c r="A417" s="695"/>
      <c r="B417" s="695"/>
      <c r="C417" s="251"/>
      <c r="D417" s="1357"/>
      <c r="E417" s="1399"/>
      <c r="F417" s="480" t="str">
        <f>IF('Calc (ex-animal)'!$F$78=1,"",IF($C$415=0,"",IF(D417="","",E417/'Calc (ex-animal)'!$E$81*100)))</f>
        <v/>
      </c>
      <c r="G417" s="485" t="str">
        <f>IF($C$415=0,"",IF('Calc (ex-animal)'!$F$78=1,"",IF(D417="","",SUM(H417:O417))))</f>
        <v/>
      </c>
      <c r="H417" s="423" t="str">
        <f>IF('Calc (ex-animal)'!$F$78=1,"",IF(D417="","",(((VLOOKUP($C$415,'Calc (ex-animal)'!$D$78:$Y$82,6,FALSE)-VLOOKUP($C$415,'Calc (ex-animal)'!$D$78:$Y$82,17,FALSE))*F417/100))*VLOOKUP($C$415,'Calc (ex-animal)'!$D$78:$Y$82,7,FALSE)/100*(1-VLOOKUP(D417,'DB technologies'!$N$196:$Y$208,9,FALSE)/100)))</f>
        <v/>
      </c>
      <c r="I417" s="423" t="str">
        <f>IF(D417="","",((VLOOKUP(D417,'DB technologies'!$N$196:$Y$208,2,FALSE)*VLOOKUP($C$415,'DB animal categories'!$C$147:$AC$156,27,FALSE)*E417/1000)/VLOOKUP($C$415,'DB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'!$S$6/100*(1-VLOOKUP(D417,'DB technologies'!$N$196:$Y$208,9,FALSE)/100)))</f>
        <v/>
      </c>
      <c r="J417" s="434" t="str">
        <f>IF(D417="","",((VLOOKUP(D417,'DB technologies'!$N$196:$Y$208,3,FALSE)*VLOOKUP($C$415,'DB animal categories'!$C$147:$AC$156,27,FALSE)*E417/1000)/VLOOKUP($C$415,'DB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'!$S$7/100*(1-VLOOKUP(D417,'DB technologies'!$N$196:$Y$208,9,FALSE)/100)))</f>
        <v/>
      </c>
      <c r="K417" s="434" t="str">
        <f>IF(D417="","",((VLOOKUP(D417,'DB technologies'!$N$196:$Y$208,4,FALSE)*E417*'DB additional information '!$S$8/100*(1-VLOOKUP(D417,'DB technologies'!$N$196:$Y$208,9,FALSE)/100))/VLOOKUP($C$415,'DB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L417" s="423" t="str">
        <f>IF('Calc (ex-animal)'!$F$78=1,"",IF(D417="","",(((VLOOKUP($C$415,'Calc (ex-animal)'!$D$78:$Y$82,6,FALSE)-VLOOKUP($C$415,'Calc (ex-animal)'!$D$78:$Y$82,17,FALSE))*F417/100))*(1-VLOOKUP($C$415,'Calc (ex-animal)'!$D$78:$Y$82,7,FALSE)/100)*(1-VLOOKUP(D417,'DB technologies'!$N$196:$V$208,8,FALSE)/100)))</f>
        <v/>
      </c>
      <c r="M417" s="434" t="str">
        <f>IF(D417="","",((VLOOKUP(D417,'DB technologies'!$N$196:$Y$208,2,FALSE)*VLOOKUP($C$415,'DB animal categories'!$C$147:$AC$156,27,FALSE)*E417/1000)/VLOOKUP($C$415,'DB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'!$S$6/100)*(1-VLOOKUP(D417,'DB technologies'!$N$196:$Y$208,9,FALSE)/100))</f>
        <v/>
      </c>
      <c r="N417" s="434" t="str">
        <f>IF(D417="","",((VLOOKUP(D417,'DB technologies'!$N$196:$Y$208,3,FALSE)*VLOOKUP($C$415,'DB animal categories'!$C$147:$AC$156,27,FALSE)*E417/1000)/VLOOKUP($C$415,'DB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'!$S$7/100)*(1-VLOOKUP(D417,'DB technologies'!$N$196:$Y$208,9,FALSE)/100))</f>
        <v/>
      </c>
      <c r="O417" s="423" t="str">
        <f>IF(D417="","",((VLOOKUP(D417,'DB technologies'!$N$196:$Y$208,4,FALSE)*E417*(1-'DB additional information '!$S$8/100)*(1-VLOOKUP(D417,'DB technologies'!$N$196:$Y$208,8,FALSE)/100))/VLOOKUP($C$415,'DB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P417" s="438" t="str">
        <f>IF(G417=0,0,IF(E417="","",IF(F417="","",IF($C$415=0,"",IF(D417="","",SUM(H417:K417)/G417*100)))))</f>
        <v/>
      </c>
      <c r="Q417" s="416" t="str">
        <f>IF(D417="","",(VLOOKUP(D417,'DB technologies'!$N$196:$Y$208,2,FALSE)*'DB additional information '!$S$6/100*'DB additional information '!$T$6*VLOOKUP($C$415,'DB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R417" s="416" t="str">
        <f>IF(D417="","",(VLOOKUP(D417,'DB technologies'!$N$196:$Y$208,3,FALSE)*'DB additional information '!$S$7/100*'DB additional information '!$T$7*VLOOKUP($C$415,'DB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S417" s="491" t="str">
        <f>IF(D417="","",(VLOOKUP(D417,'DB technologies'!$N$196:$Y$208,4,FALSE)*('DB additional information '!$S$8/100*'DB additional information '!$T$8*E417/1000/1000)))</f>
        <v/>
      </c>
      <c r="T417" s="264" t="str">
        <f>IF($C$415=0,"",IF('Calc (ex-animal)'!$F$78=1,"",IF(D417="","",((VLOOKUP($C$415,'Calc (ex-animal)'!$D$78:$Y$82,10,FALSE)-VLOOKUP($C$415,'Calc (ex-animal)'!$D$78:$Y$82,18,FALSE))*F417/100+Q417+R417+S417)-AC417-AD417-AE417)))</f>
        <v/>
      </c>
      <c r="U417" s="422" t="str">
        <f>IF(D417="","",(VLOOKUP(D417,'DB technologies'!$N$196:$Y$208,2,FALSE)*'DB additional information '!$S$6/100*'DB additional information '!$U$6*VLOOKUP($C$415,'DB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V417" s="418" t="str">
        <f>IF(D417="","",(VLOOKUP(D417,'DB technologies'!$N$196:$Y$208,3,FALSE)*'DB additional information '!$S$7/100*'DB additional information '!$U$7*VLOOKUP($C$415,'DB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W417" s="417" t="str">
        <f>IF(D417="","",(VLOOKUP(D417,'DB technologies'!$N$196:$Y$208,4,FALSE)*('DB additional information '!$S$8/100*'DB additional information '!$U$8*E417/1000/1000)))</f>
        <v/>
      </c>
      <c r="X417" s="261" t="str">
        <f>IF($C$415=0,"",IF('Calc (ex-animal)'!$F$78=1,"",IF(D417="","",((VLOOKUP($C$415,'Calc (ex-animal)'!$D$78:$Y$82,13,FALSE)-VLOOKUP($C$415,'Calc (ex-animal)'!$D$78:$Y$82,19,FALSE))*F417/100+U417+V417+W417))))</f>
        <v/>
      </c>
      <c r="Y417" s="418" t="str">
        <f>IF(D417="","",(VLOOKUP(D417,'DB technologies'!$N$196:$Y$208,2,FALSE)*'DB additional information '!$S$6/100*'DB additional information '!$V$6*VLOOKUP($C$415,'DB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Z417" s="418" t="str">
        <f>IF(D417="","",(VLOOKUP(D417,'DB technologies'!$N$196:$Y$208,3,FALSE)*'DB additional information '!$S$7/100*'DB additional information '!$V$7*VLOOKUP($C$415,'DB animal categories'!$C$147:$AC$156,27,FALSE)*E417/1000/1000)/VLOOKUP($C$415,'DB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AA417" s="418" t="str">
        <f>IF(D417="","",(VLOOKUP(D417,'DB technologies'!$N$196:$Y$208,4,FALSE)*('DB additional information '!$S$8/100*'DB additional information '!$V$8*E417/1000/1000)))</f>
        <v/>
      </c>
      <c r="AB417" s="261" t="str">
        <f>IF($C$415=0,"",IF('Calc (ex-animal)'!$F$78=1,"",IF(D417="","",((VLOOKUP($C$415,'Calc (ex-animal)'!$D$78:$Y$82,16,FALSE)-VLOOKUP($C$415,'Calc (ex-animal)'!$D$78:$Y$82,20,FALSE))*F417/100+Y417+Z417+AA417))))</f>
        <v/>
      </c>
      <c r="AC417" s="261" t="str">
        <f>IF($C$415=0,"",IF('Calc (ex-animal)'!$F$78=1,"",IF(D417="","",VLOOKUP($C$415,'Calc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categories'!$C$147:$AC$156,26,FALSE)/24)*F417/100*VLOOKUP(D417,'DB technologies'!$N$196:$R$208,5,FALSE)/100)))</f>
        <v/>
      </c>
      <c r="AD417" s="261" t="str">
        <f>IF($C$415=0,"",IF('Calc (ex-animal)'!$F$78=1,"",IF(D417="","",VLOOKUP($C$415,'Calc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categories'!$C$147:$AC$156,26,FALSE)/24)*F417/100*VLOOKUP(D417,'DB technologies'!$N$196:$Y$208,6,FALSE)/100)))</f>
        <v/>
      </c>
      <c r="AE417" s="262" t="str">
        <f>IF($C$415=0,"",IF('Calc (ex-animal)'!$F$78=1,"",IF(D417="","",VLOOKUP($C$415,'Calc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categories'!$C$147:$AC$156,26,FALSE)/24)*F417/100*VLOOKUP(D417,'DB technologies'!$N$196:$Y$208,7,FALSE)/100)))</f>
        <v/>
      </c>
      <c r="AI417" s="181" t="str">
        <f>IF(D417="","",VLOOKUP(D417,'DB technologies'!$N$196:$Y$208,10,FALSE))</f>
        <v/>
      </c>
      <c r="AJ417" s="449" t="e">
        <f>VLOOKUP($C$415,'DB animal categories'!$C$147:$AN$156,27,FALSE)-VLOOKUP($C$415,'DB animal categories'!$C$147:$AN$156,26,FALSE)*VLOOKUP($C$415,'DB animal categories'!$C$147:$AN$156,25,FALSE)/24</f>
        <v>#N/A</v>
      </c>
      <c r="AK417" s="442" t="str">
        <f>IF(AI417="","",AL417+AM417)</f>
        <v/>
      </c>
      <c r="AL417" s="442" t="str">
        <f>IF(D417="","",IF(AI417=2,(('Calc (ex-animal)'!$G$81*'DB additional information '!$K$17/100*(1-VLOOKUP(D417,'DB technologies'!$N$196:$Y$208,9,FALSE)/100)*'Calc (ex-housing, ex-storage)'!F417/100+'Calc (ex-animal)'!$H$81*'DB additional information '!$L$17/100*(1-VLOOKUP(D417,'DB technologies'!$N$196:$Y$208,9,FALSE)/100)*'Calc (ex-housing, ex-storage)'!F417/100))/VLOOKUP($C$415,'DB animal categories'!$C$147:$AC$156,27,FALSE)*AJ417+I417+J417+K417,IF(AI417=1,('Calc (ex-animal)'!$H$81*'DB additional information '!$L$17/100*(1-VLOOKUP(D417,'DB technologies'!$N$196:$Y$208,9,FALSE)/100)*'Calc (ex-housing, ex-storage)'!F417/100)/VLOOKUP($C$415,'DB animal categories'!$C$147:$AC$156,27,FALSE)*AJ417,IF(AI417=4,('Calc (ex-animal)'!$G$81*'DB additional information '!$K$17/100+'Calc (ex-animal)'!$H$81*'DB additional information '!$L$17/100)*(1-VLOOKUP(D417,'DB technologies'!$N$196:$Y$208,9,FALSE)/100)*'Calc (ex-housing, ex-storage)'!F417/100*VLOOKUP(D417,'DB technologies'!$N$196:$Y$208,11,FALSE)/100/VLOOKUP($C$415,'DB animal categories'!$C$147:$AC$156,27,FALSE)*AJ417,0))))</f>
        <v/>
      </c>
      <c r="AM417" s="442" t="str">
        <f>IF(D417="","",IF(AI417=2,(('Calc (ex-animal)'!$G$81*(1-'DB additional information '!$K$17/100)*(1-VLOOKUP(D417,'DB technologies'!$N$196:$Y$208,8,FALSE)/100)*'Calc (ex-housing, ex-storage)'!F417/100+'Calc (ex-animal)'!$H$81*(1-'DB additional information '!$L$17/100)*(1-VLOOKUP(D417,'DB technologies'!$N$196:$Y$208,8,FALSE)/100)*'Calc (ex-housing, ex-storage)'!F417/100))/VLOOKUP($C$415,'DB animal categories'!$C$147:$AC$156,27,FALSE)*AJ417+M417+N417+O417,IF(AI417=1,('Calc (ex-animal)'!$H$81*(1-'DB additional information '!$L$17/100)*(1-VLOOKUP(D417,'DB technologies'!$N$196:$Y$208,8,FALSE)/100)*'Calc (ex-housing, ex-storage)'!F417/100)/VLOOKUP($C$415,'DB animal categories'!$C$147:$AC$156,27,FALSE)*AJ417,IF(AI417=4,('Calc (ex-animal)'!$G$81*(1-'DB additional information '!$K$17/100)+'Calc (ex-animal)'!$H$81*(1-'DB additional information '!$L$17/100))*(1-VLOOKUP(D417,'DB technologies'!$N$196:$Y$208,8,FALSE)/100)*'Calc (ex-housing, ex-storage)'!F417/100*VLOOKUP(D417,'DB technologies'!$N$196:$Y$208,11,FALSE)/100/VLOOKUP($C$415,'DB animal categories'!$C$147:$AC$156,27,FALSE)*AJ417,0))))</f>
        <v/>
      </c>
      <c r="AN417" s="442" t="str">
        <f>IF(AI417="","",IF(AL417=0,0,AL417/AK417*100))</f>
        <v/>
      </c>
      <c r="AO417" s="182" t="str">
        <f>IF(D417="","",IF(AI417=2,(('Calc (ex-animal)'!$L$81*'Calc (ex-housing, ex-storage)'!F417/100+'Calc (ex-animal)'!$K$81*'Calc (ex-housing, ex-storage)'!F417/100))/VLOOKUP($C$415,'DB animal categories'!$C$147:$AC$156,27,FALSE)*AJ417+Q417+R417+S417-AC417,IF(AI417=1,('Calc (ex-animal)'!$L$81*'Calc (ex-housing, ex-storage)'!F417/100)/VLOOKUP($C$415,'DB animal categories'!$C$147:$AC$156,27,FALSE)*AJ417-'Calc (ex-housing, ex-storage)'!AC417,IF(AI417=4,('Calc (ex-animal)'!$L$81+'Calc (ex-animal)'!$K$81)*'Calc (ex-housing, ex-storage)'!F417/100*VLOOKUP(D417,'DB technologies'!$N$196:$Y$208,11,FALSE)/100/VLOOKUP($C$415,'DB animal categories'!$C$147:$AC$156,27,FALSE)*AJ417-AC417*VLOOKUP(D417,'DB technologies'!$N$196:$Y$208,11,FALSE)/100,0))))</f>
        <v/>
      </c>
      <c r="AP417" s="182" t="str">
        <f>IF(D417="","",IF(AO417&lt;-0.01,0,IF(AI417=2,(('Calc (ex-animal)'!$L$81*'Calc (ex-housing, ex-storage)'!F417/100+'Calc (ex-animal)'!$K$81*'Calc (ex-housing, ex-storage)'!F417/100))/VLOOKUP($C$415,'DB animal categories'!$C$147:$AC$156,27,FALSE)*AJ417+Q417+R417+S417-AC417,IF(AI417=1,('Calc (ex-animal)'!$L$81*'Calc (ex-housing, ex-storage)'!F417/100)/VLOOKUP($C$415,'DB animal categories'!$C$147:$AC$156,27,FALSE)*AJ417-'Calc (ex-housing, ex-storage)'!AC417,IF(AI417=4,('Calc (ex-animal)'!$L$81+'Calc (ex-animal)'!$K$81)*'Calc (ex-housing, ex-storage)'!F417/100*VLOOKUP(D417,'DB technologies'!$N$196:$Y$208,11,FALSE)/100/VLOOKUP($C$415,'DB animal categories'!$C$147:$AC$156,27,FALSE)*AJ417-AC417*VLOOKUP(D417,'DB technologies'!$N$196:$Y$208,11,FALSE)/100,0)))))</f>
        <v/>
      </c>
      <c r="AQ417" s="182" t="str">
        <f>IF(D417="","",IF(AI417=2,('Calc (ex-animal)'!$O$81*'Calc (ex-housing, ex-storage)'!F417/100+'Calc (ex-animal)'!$N$81*'Calc (ex-housing, ex-storage)'!F417/100)/VLOOKUP($C$415,'DB animal categories'!$C$147:$AC$156,27,FALSE)*AJ417+U417+V417+W417,IF(AI417=1,'Calc (ex-animal)'!$O$81*'Calc (ex-housing, ex-storage)'!F417/100/VLOOKUP($C$415,'DB animal categories'!$C$147:$AC$156,27,FALSE)*AJ417,IF(AI417=4,('Calc (ex-animal)'!$O$81+'Calc (ex-animal)'!$N$81)*'Calc (ex-housing, ex-storage)'!F417/100*VLOOKUP(D417,'DB technologies'!$N$196:$Y$208,11,FALSE)/100/VLOOKUP($C$415,'DB animal categories'!$C$147:$AC$156,27,FALSE)*AJ417,0))))</f>
        <v/>
      </c>
      <c r="AR417" s="182" t="str">
        <f>IF(D417="","",IF(AI417=2,('Calc (ex-animal)'!$R$81*'Calc (ex-housing, ex-storage)'!F417/100+'Calc (ex-animal)'!$Q$81*'Calc (ex-housing, ex-storage)'!F417/100)/VLOOKUP($C$415,'DB animal categories'!$C$147:$AC$156,27,FALSE)*AJ417+Y417+Z417+AA417,IF(AI417=1,'Calc (ex-animal)'!$R$81*'Calc (ex-housing, ex-storage)'!F417/100/VLOOKUP($C$415,'DB animal categories'!$C$147:$AC$156,27,FALSE)*AJ417,IF(AI417=4,('Calc (ex-animal)'!$R$81+'Calc (ex-animal)'!$Q$81)*'Calc (ex-housing, ex-storage)'!F417/100*VLOOKUP(D417,'DB technologies'!$N$196:$Y$208,11,FALSE)/100/VLOOKUP($C$415,'DB animal categories'!$C$147:$AC$156,27,FALSE)*AJ417,0))))</f>
        <v/>
      </c>
      <c r="AS417" s="181" t="str">
        <f>IF(D417="","",VLOOKUP(D417,'DB technologies'!$N$196:$Y$208,10,FALSE))</f>
        <v/>
      </c>
      <c r="AT417" s="442" t="str">
        <f>IF(AS417="","",AU417+AV417)</f>
        <v/>
      </c>
      <c r="AU417" s="442" t="str">
        <f>IF(D417="","",IF(AS417=2,0,IF(AS417=1,'Calc (ex-animal)'!$G$81*'DB additional information '!$K$17/100*(1-VLOOKUP(D417,'DB technologies'!$N$196:$Y$208,8,FALSE)/100)*'Calc (ex-housing, ex-storage)'!F417/100/VLOOKUP($C$415,'DB animal categories'!$C$147:$AC$156,27,FALSE)*AJ417+I417+J417+K417,IF(AS417=5,(('Calc (ex-animal)'!$G$81*'DB additional information '!$K$17/100+'Calc (ex-animal)'!$H$81*'DB additional information '!$L$17/100))*(1-VLOOKUP(D417,'DB technologies'!$N$196:$Y$208,9,FALSE)/100)*'Calc (ex-housing, ex-storage)'!F417/100/VLOOKUP($C$415,'DB animal categories'!$C$147:$AC$156,27,FALSE)*AJ417+I417+J417+K417,IF(AS417=3,('Calc (ex-animal)'!$G$81*'DB additional information '!$K$17/100+'Calc (ex-animal)'!$H$81*'DB additional information '!$L$17/100)*(1-VLOOKUP(D417,'DB technologies'!$N$196:$Y$208,9,FALSE)/100)*'Calc (ex-housing, ex-storage)'!F417/100/VLOOKUP($C$415,'DB animal categories'!$C$147:$AC$156,27,FALSE)*AJ417+I417+J417+K417,IF(AS417=4,('Calc (ex-animal)'!$G$81*'DB additional information '!$K$17/100+'Calc (ex-animal)'!$H$81*'DB additional information '!$L$17/100)*(1-VLOOKUP(D417,'DB technologies'!$N$196:$Y$208,9,FALSE)/100)*'Calc (ex-housing, ex-storage)'!F417/100*VLOOKUP(D417,'DB technologies'!$N$196:$Y$208,12,FALSE)/100/VLOOKUP($C$415,'DB animal categories'!$C$147:$AC$156,27,FALSE)*AJ417+I417+J417+K417,0))))))</f>
        <v/>
      </c>
      <c r="AV417" s="442" t="str">
        <f>IF(D417="","",IF(AS417=2,0,IF(AS417=1,'Calc (ex-animal)'!$G$81*(1-'DB additional information '!$K$17/100)*(1-VLOOKUP(D417,'DB technologies'!$N$196:$Y$208,8,FALSE)/100)*'Calc (ex-housing, ex-storage)'!F417/100/VLOOKUP($C$415,'DB animal categories'!$C$147:$AC$156,27,FALSE)*AJ417+M417+N417+O417,IF(AS417=5,('Calc (ex-animal)'!$G$81*(1-'DB additional information '!$K$17/100)+'Calc (ex-animal)'!$H$81*(1-'DB additional information '!$L$17/100))*(1-VLOOKUP(D417,'DB technologies'!$N$196:$Y$208,8,FALSE)/100)*'Calc (ex-housing, ex-storage)'!F417/100/VLOOKUP($C$415,'DB animal categories'!$C$147:$AC$156,27,FALSE)*AJ417+M417+N417+O417,IF(AS417=3,('Calc (ex-animal)'!$G$81*(1-'DB additional information '!$K$17/100)+'Calc (ex-animal)'!$H$81*(1-'DB additional information '!$L$17/100))*(1-VLOOKUP(D417,'DB technologies'!$N$196:$Y$208,8,FALSE)/100)*'Calc (ex-housing, ex-storage)'!F417/100/VLOOKUP($C$415,'DB animal categories'!$C$147:$AC$156,27,FALSE)*AJ417+M417+N417+O417,IF(AS417=4,('Calc (ex-animal)'!$G$81*(1-'DB additional information '!$K$17/100)+'Calc (ex-animal)'!$H$81*(1-'DB additional information '!$L$17/100))*(1-VLOOKUP(D417,'DB technologies'!$N$196:$Y$208,8,FALSE)/100)*'Calc (ex-housing, ex-storage)'!F417/100*VLOOKUP(D417,'DB technologies'!$N$196:$Y$208,12,FALSE)/100/VLOOKUP($C$415,'DB animal categories'!$C$147:$AC$156,27,FALSE)*AJ417+M417+N417+O417,0))))))</f>
        <v/>
      </c>
      <c r="AW417" s="442" t="str">
        <f>IF(AS417="","",IF(AU417=0,0,AU417/AT417*100))</f>
        <v/>
      </c>
      <c r="AX417" s="182" t="str">
        <f>IF(D417="","",IF(AS417=2,0,IF(AS417=1,'Calc (ex-animal)'!$K$81*'Calc (ex-housing, ex-storage)'!F417/100/VLOOKUP($C$415,'DB animal categories'!$C$147:$AC$156,27,FALSE)*AJ417+Q417+R417+S417,IF(AS417=5,('Calc (ex-animal)'!$K$81+'Calc (ex-animal)'!$L$81)*'Calc (ex-housing, ex-storage)'!F417/100/VLOOKUP($C$415,'DB animal categories'!$C$147:$AC$156,27,FALSE)*AJ417+Q417+R417+S417-'Calc (ex-housing, ex-storage)'!AC417,IF(AS417=3,('Calc (ex-animal)'!$K$81+'Calc (ex-animal)'!$L$81)*'Calc (ex-housing, ex-storage)'!F417/100/VLOOKUP($C$415,'DB animal categories'!$C$147:$AC$156,27,FALSE)*AJ417+Q417+R417+S417-'Calc (ex-housing, ex-storage)'!AC417-AD417-AE417,IF(AI417=4,('Calc (ex-animal)'!$K$81+'Calc (ex-animal)'!$L$81)*'Calc (ex-housing, ex-storage)'!F417/100*VLOOKUP(D417,'DB technologies'!$N$196:$Y$208,12,FALSE)/100/VLOOKUP($C$415,'DB animal categories'!$C$147:$AC$156,27,FALSE)*AJ417+Q417+R417+S417-(VLOOKUP(D417,'DB technologies'!$N$196:$Y$208,12,FALSE)/100*AC417)-AD417-AE417,0))))))</f>
        <v/>
      </c>
      <c r="AY417" s="182" t="str">
        <f>IF(D417="","",IF(AS417=2,0,IF(AS417=1,'Calc (ex-animal)'!$N$81*'Calc (ex-housing, ex-storage)'!F417/100/VLOOKUP($C$415,'DB animal categories'!$C$147:$AC$156,27,FALSE)*AJ417+U417+V417+W417,IF(AS417=5,('Calc (ex-animal)'!$N$81+'Calc (ex-animal)'!$O$81)*'Calc (ex-housing, ex-storage)'!F417/100/VLOOKUP($C$415,'DB animal categories'!$C$147:$AC$156,27,FALSE)*AJ417+U417+V417+W417,IF(AS417=3,('Calc (ex-animal)'!$N$81+'Calc (ex-animal)'!$O$81)*'Calc (ex-housing, ex-storage)'!F417/100/VLOOKUP($C$415,'DB animal categories'!$C$147:$AC$156,27,FALSE)*AJ417+U417+V417+W417,IF(AS417=4,('Calc (ex-animal)'!$N$81+'Calc (ex-animal)'!$O$81)*'Calc (ex-housing, ex-storage)'!F417/100*VLOOKUP(D417,'DB technologies'!$N$196:$Y$208,12,FALSE)/100/VLOOKUP($C$415,'DB animal categories'!$C$147:$AC$156,27,FALSE)*AJ417+U417+V417+W417,0))))))</f>
        <v/>
      </c>
      <c r="AZ417" s="182" t="str">
        <f>IF(D417="","",IF(AS417=2,0,IF(AS417=1,'Calc (ex-animal)'!$Q$81*'Calc (ex-housing, ex-storage)'!F417/100/VLOOKUP($C$415,'DB animal categories'!$C$147:$AC$156,27,FALSE)*AJ417+Y417+Z417+AA417,IF(AS417=5,('Calc (ex-animal)'!$Q$81+'Calc (ex-animal)'!$R$81)*'Calc (ex-housing, ex-storage)'!F417/100/VLOOKUP($C$415,'DB animal categories'!$C$147:$AC$156,27,FALSE)*AJ417+Y417+Z417+AA417,IF(AS417=3,('Calc (ex-animal)'!$Q$81+'Calc (ex-animal)'!$R$81)*'Calc (ex-housing, ex-storage)'!F417/100/VLOOKUP($C$415,'DB animal categories'!$C$147:$AC$156,27,FALSE)*AJ417+Y417+Z417+AA417,IF(AS417=4,('Calc (ex-animal)'!$Q$81+'Calc (ex-animal)'!$R$81)*'Calc (ex-housing, ex-storage)'!F417/100*VLOOKUP(D417,'DB technologies'!$N$196:$Y$208,12,FALSE)/100/VLOOKUP($C$415,'DB animal categories'!$C$147:$AC$156,27,FALSE)*AJ417+Y417+Z417+AA417,0))))))</f>
        <v/>
      </c>
      <c r="BA417" s="506"/>
      <c r="BB417" s="506"/>
      <c r="BC417" s="506"/>
    </row>
    <row r="418" spans="1:55" x14ac:dyDescent="0.2">
      <c r="A418" s="695"/>
      <c r="B418" s="695"/>
      <c r="C418" s="251"/>
      <c r="D418" s="1357"/>
      <c r="E418" s="1399"/>
      <c r="F418" s="480" t="str">
        <f>IF('Calc (ex-animal)'!$F$78=1,"",IF($C$415=0,"",IF(D418="","",E418/'Calc (ex-animal)'!$E$81*100)))</f>
        <v/>
      </c>
      <c r="G418" s="485" t="str">
        <f>IF($C$415=0,"",IF('Calc (ex-animal)'!$F$78=1,"",IF(D418="","",SUM(H418:O418))))</f>
        <v/>
      </c>
      <c r="H418" s="423" t="str">
        <f>IF('Calc (ex-animal)'!$F$78=1,"",IF(D418="","",(((VLOOKUP($C$415,'Calc (ex-animal)'!$D$78:$Y$82,6,FALSE)-VLOOKUP($C$415,'Calc (ex-animal)'!$D$78:$Y$82,17,FALSE))*F418/100))*VLOOKUP($C$415,'Calc (ex-animal)'!$D$78:$Y$82,7,FALSE)/100*(1-VLOOKUP(D418,'DB technologies'!$N$196:$Y$208,9,FALSE)/100)))</f>
        <v/>
      </c>
      <c r="I418" s="423" t="str">
        <f>IF(D418="","",((VLOOKUP(D418,'DB technologies'!$N$196:$Y$208,2,FALSE)*VLOOKUP($C$415,'DB animal categories'!$C$147:$AC$156,27,FALSE)*E418/1000)/VLOOKUP($C$415,'DB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'!$S$6/100*(1-VLOOKUP(D418,'DB technologies'!$N$196:$Y$208,9,FALSE)/100)))</f>
        <v/>
      </c>
      <c r="J418" s="434" t="str">
        <f>IF(D418="","",((VLOOKUP(D418,'DB technologies'!$N$196:$Y$208,3,FALSE)*VLOOKUP($C$415,'DB animal categories'!$C$147:$AC$156,27,FALSE)*E418/1000)/VLOOKUP($C$415,'DB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'!$S$7/100*(1-VLOOKUP(D418,'DB technologies'!$N$196:$Y$208,9,FALSE)/100)))</f>
        <v/>
      </c>
      <c r="K418" s="434" t="str">
        <f>IF(D418="","",((VLOOKUP(D418,'DB technologies'!$N$196:$Y$208,4,FALSE)*E418*'DB additional information '!$S$8/100*(1-VLOOKUP(D418,'DB technologies'!$N$196:$Y$208,9,FALSE)/100))/VLOOKUP($C$415,'DB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L418" s="423" t="str">
        <f>IF('Calc (ex-animal)'!$F$78=1,"",IF(D418="","",(((VLOOKUP($C$415,'Calc (ex-animal)'!$D$78:$Y$82,6,FALSE)-VLOOKUP($C$415,'Calc (ex-animal)'!$D$78:$Y$82,17,FALSE))*F418/100))*(1-VLOOKUP($C$415,'Calc (ex-animal)'!$D$78:$Y$82,7,FALSE)/100)*(1-VLOOKUP(D418,'DB technologies'!$N$196:$V$208,8,FALSE)/100)))</f>
        <v/>
      </c>
      <c r="M418" s="434" t="str">
        <f>IF(D418="","",((VLOOKUP(D418,'DB technologies'!$N$196:$Y$208,2,FALSE)*VLOOKUP($C$415,'DB animal categories'!$C$147:$AC$156,27,FALSE)*E418/1000)/VLOOKUP($C$415,'DB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'!$S$6/100)*(1-VLOOKUP(D418,'DB technologies'!$N$196:$Y$208,9,FALSE)/100))</f>
        <v/>
      </c>
      <c r="N418" s="434" t="str">
        <f>IF(D418="","",((VLOOKUP(D418,'DB technologies'!$N$196:$Y$208,3,FALSE)*VLOOKUP($C$415,'DB animal categories'!$C$147:$AC$156,27,FALSE)*E418/1000)/VLOOKUP($C$415,'DB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'!$S$7/100)*(1-VLOOKUP(D418,'DB technologies'!$N$196:$Y$208,9,FALSE)/100))</f>
        <v/>
      </c>
      <c r="O418" s="423" t="str">
        <f>IF(D418="","",((VLOOKUP(D418,'DB technologies'!$N$196:$Y$208,4,FALSE)*E418*(1-'DB additional information '!$S$8/100)*(1-VLOOKUP(D418,'DB technologies'!$N$196:$Y$208,8,FALSE)/100))/VLOOKUP($C$415,'DB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P418" s="438" t="str">
        <f>IF(G418=0,0,IF(E418="","",IF(F418="","",IF($C$415=0,"",IF(D418="","",SUM(H418:K418)/G418*100)))))</f>
        <v/>
      </c>
      <c r="Q418" s="416" t="str">
        <f>IF(D418="","",(VLOOKUP(D418,'DB technologies'!$N$196:$Y$208,2,FALSE)*'DB additional information '!$S$6/100*'DB additional information '!$T$6*VLOOKUP($C$415,'DB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R418" s="416" t="str">
        <f>IF(D418="","",(VLOOKUP(D418,'DB technologies'!$N$196:$Y$208,3,FALSE)*'DB additional information '!$S$7/100*'DB additional information '!$T$7*VLOOKUP($C$415,'DB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S418" s="491" t="str">
        <f>IF(D418="","",(VLOOKUP(D418,'DB technologies'!$N$196:$Y$208,4,FALSE)*('DB additional information '!$S$8/100*'DB additional information '!$T$8*E418/1000/1000)))</f>
        <v/>
      </c>
      <c r="T418" s="264" t="str">
        <f>IF($C$415=0,"",IF('Calc (ex-animal)'!$F$78=1,"",IF(D418="","",((VLOOKUP($C$415,'Calc (ex-animal)'!$D$78:$Y$82,10,FALSE)-VLOOKUP($C$415,'Calc (ex-animal)'!$D$78:$Y$82,18,FALSE))*F418/100+Q418+R418+S418)-AC418-AD418-AE418)))</f>
        <v/>
      </c>
      <c r="U418" s="422" t="str">
        <f>IF(D418="","",(VLOOKUP(D418,'DB technologies'!$N$196:$Y$208,2,FALSE)*'DB additional information '!$S$6/100*'DB additional information '!$U$6*VLOOKUP($C$415,'DB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V418" s="418" t="str">
        <f>IF(D418="","",(VLOOKUP(D418,'DB technologies'!$N$196:$Y$208,3,FALSE)*'DB additional information '!$S$7/100*'DB additional information '!$U$7*VLOOKUP($C$415,'DB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W418" s="417" t="str">
        <f>IF(D418="","",(VLOOKUP(D418,'DB technologies'!$N$196:$Y$208,4,FALSE)*('DB additional information '!$S$8/100*'DB additional information '!$U$8*E418/1000/1000)))</f>
        <v/>
      </c>
      <c r="X418" s="261" t="str">
        <f>IF($C$415=0,"",IF('Calc (ex-animal)'!$F$78=1,"",IF(D418="","",((VLOOKUP($C$415,'Calc (ex-animal)'!$D$78:$Y$82,13,FALSE)-VLOOKUP($C$415,'Calc (ex-animal)'!$D$78:$Y$82,19,FALSE))*F418/100+U418+V418+W418))))</f>
        <v/>
      </c>
      <c r="Y418" s="418" t="str">
        <f>IF(D418="","",(VLOOKUP(D418,'DB technologies'!$N$196:$Y$208,2,FALSE)*'DB additional information '!$S$6/100*'DB additional information '!$V$6*VLOOKUP($C$415,'DB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Z418" s="418" t="str">
        <f>IF(D418="","",(VLOOKUP(D418,'DB technologies'!$N$196:$Y$208,3,FALSE)*'DB additional information '!$S$7/100*'DB additional information '!$V$7*VLOOKUP($C$415,'DB animal categories'!$C$147:$AC$156,27,FALSE)*E418/1000/1000)/VLOOKUP($C$415,'DB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AA418" s="418" t="str">
        <f>IF(D418="","",(VLOOKUP(D418,'DB technologies'!$N$196:$Y$208,4,FALSE)*('DB additional information '!$S$8/100*'DB additional information '!$V$8*E418/1000/1000)))</f>
        <v/>
      </c>
      <c r="AB418" s="261" t="str">
        <f>IF($C$415=0,"",IF('Calc (ex-animal)'!$F$78=1,"",IF(D418="","",((VLOOKUP($C$415,'Calc (ex-animal)'!$D$78:$Y$82,16,FALSE)-VLOOKUP($C$415,'Calc (ex-animal)'!$D$78:$Y$82,20,FALSE))*F418/100+Y418+Z418+AA418))))</f>
        <v/>
      </c>
      <c r="AC418" s="261" t="str">
        <f>IF($C$415=0,"",IF('Calc (ex-animal)'!$F$78=1,"",IF(D418="","",VLOOKUP($C$415,'Calc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categories'!$C$147:$AC$156,26,FALSE)/24)*F418/100*VLOOKUP(D418,'DB technologies'!$N$196:$R$208,5,FALSE)/100)))</f>
        <v/>
      </c>
      <c r="AD418" s="261" t="str">
        <f>IF($C$415=0,"",IF('Calc (ex-animal)'!$F$78=1,"",IF(D418="","",VLOOKUP($C$415,'Calc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categories'!$C$147:$AC$156,26,FALSE)/24)*F418/100*VLOOKUP(D418,'DB technologies'!$N$196:$Y$208,6,FALSE)/100)))</f>
        <v/>
      </c>
      <c r="AE418" s="262" t="str">
        <f>IF($C$415=0,"",IF('Calc (ex-animal)'!$F$78=1,"",IF(D418="","",VLOOKUP($C$415,'Calc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categories'!$C$147:$AC$156,26,FALSE)/24)*F418/100*VLOOKUP(D418,'DB technologies'!$N$196:$Y$208,7,FALSE)/100)))</f>
        <v/>
      </c>
      <c r="AI418" s="181" t="str">
        <f>IF(D418="","",VLOOKUP(D418,'DB technologies'!$N$196:$Y$208,10,FALSE))</f>
        <v/>
      </c>
      <c r="AJ418" s="449" t="e">
        <f>VLOOKUP($C$415,'DB animal categories'!$C$147:$AN$156,27,FALSE)-VLOOKUP($C$415,'DB animal categories'!$C$147:$AN$156,26,FALSE)*VLOOKUP($C$415,'DB animal categories'!$C$147:$AN$156,25,FALSE)/24</f>
        <v>#N/A</v>
      </c>
      <c r="AK418" s="442" t="str">
        <f>IF(AI418="","",AL418+AM418)</f>
        <v/>
      </c>
      <c r="AL418" s="442" t="str">
        <f>IF(D418="","",IF(AI418=2,(('Calc (ex-animal)'!$G$81*'DB additional information '!$K$17/100*(1-VLOOKUP(D418,'DB technologies'!$N$196:$Y$208,9,FALSE)/100)*'Calc (ex-housing, ex-storage)'!F418/100+'Calc (ex-animal)'!$H$81*'DB additional information '!$L$17/100*(1-VLOOKUP(D418,'DB technologies'!$N$196:$Y$208,9,FALSE)/100)*'Calc (ex-housing, ex-storage)'!F418/100))/VLOOKUP($C$415,'DB animal categories'!$C$147:$AC$156,27,FALSE)*AJ418+I418+J418+K418,IF(AI418=1,('Calc (ex-animal)'!$H$81*'DB additional information '!$L$17/100*(1-VLOOKUP(D418,'DB technologies'!$N$196:$Y$208,9,FALSE)/100)*'Calc (ex-housing, ex-storage)'!F418/100)/VLOOKUP($C$415,'DB animal categories'!$C$147:$AC$156,27,FALSE)*AJ418,IF(AI418=4,('Calc (ex-animal)'!$G$81*'DB additional information '!$K$17/100+'Calc (ex-animal)'!$H$81*'DB additional information '!$L$17/100)*(1-VLOOKUP(D418,'DB technologies'!$N$196:$Y$208,9,FALSE)/100)*'Calc (ex-housing, ex-storage)'!F418/100*VLOOKUP(D418,'DB technologies'!$N$196:$Y$208,11,FALSE)/100/VLOOKUP($C$415,'DB animal categories'!$C$147:$AC$156,27,FALSE)*AJ418,0))))</f>
        <v/>
      </c>
      <c r="AM418" s="442" t="str">
        <f>IF(D418="","",IF(AI418=2,(('Calc (ex-animal)'!$G$81*(1-'DB additional information '!$K$17/100)*(1-VLOOKUP(D418,'DB technologies'!$N$196:$Y$208,8,FALSE)/100)*'Calc (ex-housing, ex-storage)'!F418/100+'Calc (ex-animal)'!$H$81*(1-'DB additional information '!$L$17/100)*(1-VLOOKUP(D418,'DB technologies'!$N$196:$Y$208,8,FALSE)/100)*'Calc (ex-housing, ex-storage)'!F418/100))/VLOOKUP($C$415,'DB animal categories'!$C$147:$AC$156,27,FALSE)*AJ418+M418+N418+O418,IF(AI418=1,('Calc (ex-animal)'!$H$81*(1-'DB additional information '!$L$17/100)*(1-VLOOKUP(D418,'DB technologies'!$N$196:$Y$208,8,FALSE)/100)*'Calc (ex-housing, ex-storage)'!F418/100)/VLOOKUP($C$415,'DB animal categories'!$C$147:$AC$156,27,FALSE)*AJ418,IF(AI418=4,('Calc (ex-animal)'!$G$81*(1-'DB additional information '!$K$17/100)+'Calc (ex-animal)'!$H$81*(1-'DB additional information '!$L$17/100))*(1-VLOOKUP(D418,'DB technologies'!$N$196:$Y$208,8,FALSE)/100)*'Calc (ex-housing, ex-storage)'!F418/100*VLOOKUP(D418,'DB technologies'!$N$196:$Y$208,11,FALSE)/100/VLOOKUP($C$415,'DB animal categories'!$C$147:$AC$156,27,FALSE)*AJ418,0))))</f>
        <v/>
      </c>
      <c r="AN418" s="442" t="str">
        <f>IF(AI418="","",IF(AL418=0,0,AL418/AK418*100))</f>
        <v/>
      </c>
      <c r="AO418" s="182" t="str">
        <f>IF(D418="","",IF(AI418=2,(('Calc (ex-animal)'!$L$81*'Calc (ex-housing, ex-storage)'!F418/100+'Calc (ex-animal)'!$K$81*'Calc (ex-housing, ex-storage)'!F418/100))/VLOOKUP($C$415,'DB animal categories'!$C$147:$AC$156,27,FALSE)*AJ418+Q418+R418+S418-AC418,IF(AI418=1,('Calc (ex-animal)'!$L$81*'Calc (ex-housing, ex-storage)'!F418/100)/VLOOKUP($C$415,'DB animal categories'!$C$147:$AC$156,27,FALSE)*AJ418-'Calc (ex-housing, ex-storage)'!AC418,IF(AI418=4,('Calc (ex-animal)'!$L$81+'Calc (ex-animal)'!$K$81)*'Calc (ex-housing, ex-storage)'!F418/100*VLOOKUP(D418,'DB technologies'!$N$196:$Y$208,11,FALSE)/100/VLOOKUP($C$415,'DB animal categories'!$C$147:$AC$156,27,FALSE)*AJ418-AC418*VLOOKUP(D418,'DB technologies'!$N$196:$Y$208,11,FALSE)/100,0))))</f>
        <v/>
      </c>
      <c r="AP418" s="182" t="str">
        <f>IF(D418="","",IF(AO418&lt;-0.01,0,IF(AI418=2,(('Calc (ex-animal)'!$L$81*'Calc (ex-housing, ex-storage)'!F418/100+'Calc (ex-animal)'!$K$81*'Calc (ex-housing, ex-storage)'!F418/100))/VLOOKUP($C$415,'DB animal categories'!$C$147:$AC$156,27,FALSE)*AJ418+Q418+R418+S418-AC418,IF(AI418=1,('Calc (ex-animal)'!$L$81*'Calc (ex-housing, ex-storage)'!F418/100)/VLOOKUP($C$415,'DB animal categories'!$C$147:$AC$156,27,FALSE)*AJ418-'Calc (ex-housing, ex-storage)'!AC418,IF(AI418=4,('Calc (ex-animal)'!$L$81+'Calc (ex-animal)'!$K$81)*'Calc (ex-housing, ex-storage)'!F418/100*VLOOKUP(D418,'DB technologies'!$N$196:$Y$208,11,FALSE)/100/VLOOKUP($C$415,'DB animal categories'!$C$147:$AC$156,27,FALSE)*AJ418-AC418*VLOOKUP(D418,'DB technologies'!$N$196:$Y$208,11,FALSE)/100,0)))))</f>
        <v/>
      </c>
      <c r="AQ418" s="182" t="str">
        <f>IF(D418="","",IF(AI418=2,('Calc (ex-animal)'!$O$81*'Calc (ex-housing, ex-storage)'!F418/100+'Calc (ex-animal)'!$N$81*'Calc (ex-housing, ex-storage)'!F418/100)/VLOOKUP($C$415,'DB animal categories'!$C$147:$AC$156,27,FALSE)*AJ418+U418+V418+W418,IF(AI418=1,'Calc (ex-animal)'!$O$81*'Calc (ex-housing, ex-storage)'!F418/100/VLOOKUP($C$415,'DB animal categories'!$C$147:$AC$156,27,FALSE)*AJ418,IF(AI418=4,('Calc (ex-animal)'!$O$81+'Calc (ex-animal)'!$N$81)*'Calc (ex-housing, ex-storage)'!F418/100*VLOOKUP(D418,'DB technologies'!$N$196:$Y$208,11,FALSE)/100/VLOOKUP($C$415,'DB animal categories'!$C$147:$AC$156,27,FALSE)*AJ418,0))))</f>
        <v/>
      </c>
      <c r="AR418" s="182" t="str">
        <f>IF(D418="","",IF(AI418=2,('Calc (ex-animal)'!$R$81*'Calc (ex-housing, ex-storage)'!F418/100+'Calc (ex-animal)'!$Q$81*'Calc (ex-housing, ex-storage)'!F418/100)/VLOOKUP($C$415,'DB animal categories'!$C$147:$AC$156,27,FALSE)*AJ418+Y418+Z418+AA418,IF(AI418=1,'Calc (ex-animal)'!$R$81*'Calc (ex-housing, ex-storage)'!F418/100/VLOOKUP($C$415,'DB animal categories'!$C$147:$AC$156,27,FALSE)*AJ418,IF(AI418=4,('Calc (ex-animal)'!$R$81+'Calc (ex-animal)'!$Q$81)*'Calc (ex-housing, ex-storage)'!F418/100*VLOOKUP(D418,'DB technologies'!$N$196:$Y$208,11,FALSE)/100/VLOOKUP($C$415,'DB animal categories'!$C$147:$AC$156,27,FALSE)*AJ418,0))))</f>
        <v/>
      </c>
      <c r="AS418" s="181" t="str">
        <f>IF(D418="","",VLOOKUP(D418,'DB technologies'!$N$196:$Y$208,10,FALSE))</f>
        <v/>
      </c>
      <c r="AT418" s="442" t="str">
        <f>IF(AS418="","",AU418+AV418)</f>
        <v/>
      </c>
      <c r="AU418" s="442" t="str">
        <f>IF(D418="","",IF(AS418=2,0,IF(AS418=1,'Calc (ex-animal)'!$G$81*'DB additional information '!$K$17/100*(1-VLOOKUP(D418,'DB technologies'!$N$196:$Y$208,8,FALSE)/100)*'Calc (ex-housing, ex-storage)'!F418/100/VLOOKUP($C$415,'DB animal categories'!$C$147:$AC$156,27,FALSE)*AJ418+I418+J418+K418,IF(AS418=5,(('Calc (ex-animal)'!$G$81*'DB additional information '!$K$17/100+'Calc (ex-animal)'!$H$81*'DB additional information '!$L$17/100))*(1-VLOOKUP(D418,'DB technologies'!$N$196:$Y$208,9,FALSE)/100)*'Calc (ex-housing, ex-storage)'!F418/100/VLOOKUP($C$415,'DB animal categories'!$C$147:$AC$156,27,FALSE)*AJ418+I418+J418+K418,IF(AS418=3,('Calc (ex-animal)'!$G$81*'DB additional information '!$K$17/100+'Calc (ex-animal)'!$H$81*'DB additional information '!$L$17/100)*(1-VLOOKUP(D418,'DB technologies'!$N$196:$Y$208,9,FALSE)/100)*'Calc (ex-housing, ex-storage)'!F418/100/VLOOKUP($C$415,'DB animal categories'!$C$147:$AC$156,27,FALSE)*AJ418+I418+J418+K418,IF(AS418=4,('Calc (ex-animal)'!$G$81*'DB additional information '!$K$17/100+'Calc (ex-animal)'!$H$81*'DB additional information '!$L$17/100)*(1-VLOOKUP(D418,'DB technologies'!$N$196:$Y$208,9,FALSE)/100)*'Calc (ex-housing, ex-storage)'!F418/100*VLOOKUP(D418,'DB technologies'!$N$196:$Y$208,12,FALSE)/100/VLOOKUP($C$415,'DB animal categories'!$C$147:$AC$156,27,FALSE)*AJ418+I418+J418+K418,0))))))</f>
        <v/>
      </c>
      <c r="AV418" s="442" t="str">
        <f>IF(D418="","",IF(AS418=2,0,IF(AS418=1,'Calc (ex-animal)'!$G$81*(1-'DB additional information '!$K$17/100)*(1-VLOOKUP(D418,'DB technologies'!$N$196:$Y$208,8,FALSE)/100)*'Calc (ex-housing, ex-storage)'!F418/100/VLOOKUP($C$415,'DB animal categories'!$C$147:$AC$156,27,FALSE)*AJ418+M418+N418+O418,IF(AS418=5,('Calc (ex-animal)'!$G$81*(1-'DB additional information '!$K$17/100)+'Calc (ex-animal)'!$H$81*(1-'DB additional information '!$L$17/100))*(1-VLOOKUP(D418,'DB technologies'!$N$196:$Y$208,8,FALSE)/100)*'Calc (ex-housing, ex-storage)'!F418/100/VLOOKUP($C$415,'DB animal categories'!$C$147:$AC$156,27,FALSE)*AJ418+M418+N418+O418,IF(AS418=3,('Calc (ex-animal)'!$G$81*(1-'DB additional information '!$K$17/100)+'Calc (ex-animal)'!$H$81*(1-'DB additional information '!$L$17/100))*(1-VLOOKUP(D418,'DB technologies'!$N$196:$Y$208,8,FALSE)/100)*'Calc (ex-housing, ex-storage)'!F418/100/VLOOKUP($C$415,'DB animal categories'!$C$147:$AC$156,27,FALSE)*AJ418+M418+N418+O418,IF(AS418=4,('Calc (ex-animal)'!$G$81*(1-'DB additional information '!$K$17/100)+'Calc (ex-animal)'!$H$81*(1-'DB additional information '!$L$17/100))*(1-VLOOKUP(D418,'DB technologies'!$N$196:$Y$208,8,FALSE)/100)*'Calc (ex-housing, ex-storage)'!F418/100*VLOOKUP(D418,'DB technologies'!$N$196:$Y$208,12,FALSE)/100/VLOOKUP($C$415,'DB animal categories'!$C$147:$AC$156,27,FALSE)*AJ418+M418+N418+O418,0))))))</f>
        <v/>
      </c>
      <c r="AW418" s="442" t="str">
        <f>IF(AS418="","",IF(AU418=0,0,AU418/AT418*100))</f>
        <v/>
      </c>
      <c r="AX418" s="182" t="str">
        <f>IF(D418="","",IF(AS418=2,0,IF(AS418=1,'Calc (ex-animal)'!$K$81*'Calc (ex-housing, ex-storage)'!F418/100/VLOOKUP($C$415,'DB animal categories'!$C$147:$AC$156,27,FALSE)*AJ418+Q418+R418+S418,IF(AS418=5,('Calc (ex-animal)'!$K$81+'Calc (ex-animal)'!$L$81)*'Calc (ex-housing, ex-storage)'!F418/100/VLOOKUP($C$415,'DB animal categories'!$C$147:$AC$156,27,FALSE)*AJ418+Q418+R418+S418-'Calc (ex-housing, ex-storage)'!AC418,IF(AS418=3,('Calc (ex-animal)'!$K$81+'Calc (ex-animal)'!$L$81)*'Calc (ex-housing, ex-storage)'!F418/100/VLOOKUP($C$415,'DB animal categories'!$C$147:$AC$156,27,FALSE)*AJ418+Q418+R418+S418-'Calc (ex-housing, ex-storage)'!AC418-AD418-AE418,IF(AI418=4,('Calc (ex-animal)'!$K$81+'Calc (ex-animal)'!$L$81)*'Calc (ex-housing, ex-storage)'!F418/100*VLOOKUP(D418,'DB technologies'!$N$196:$Y$208,12,FALSE)/100/VLOOKUP($C$415,'DB animal categories'!$C$147:$AC$156,27,FALSE)*AJ418+Q418+R418+S418-(VLOOKUP(D418,'DB technologies'!$N$196:$Y$208,12,FALSE)/100*AC418)-AD418-AE418,0))))))</f>
        <v/>
      </c>
      <c r="AY418" s="182" t="str">
        <f>IF(D418="","",IF(AS418=2,0,IF(AS418=1,'Calc (ex-animal)'!$N$81*'Calc (ex-housing, ex-storage)'!F418/100/VLOOKUP($C$415,'DB animal categories'!$C$147:$AC$156,27,FALSE)*AJ418+U418+V418+W418,IF(AS418=5,('Calc (ex-animal)'!$N$81+'Calc (ex-animal)'!$O$81)*'Calc (ex-housing, ex-storage)'!F418/100/VLOOKUP($C$415,'DB animal categories'!$C$147:$AC$156,27,FALSE)*AJ418+U418+V418+W418,IF(AS418=3,('Calc (ex-animal)'!$N$81+'Calc (ex-animal)'!$O$81)*'Calc (ex-housing, ex-storage)'!F418/100/VLOOKUP($C$415,'DB animal categories'!$C$147:$AC$156,27,FALSE)*AJ418+U418+V418+W418,IF(AS418=4,('Calc (ex-animal)'!$N$81+'Calc (ex-animal)'!$O$81)*'Calc (ex-housing, ex-storage)'!F418/100*VLOOKUP(D418,'DB technologies'!$N$196:$Y$208,12,FALSE)/100/VLOOKUP($C$415,'DB animal categories'!$C$147:$AC$156,27,FALSE)*AJ418+U418+V418+W418,0))))))</f>
        <v/>
      </c>
      <c r="AZ418" s="182" t="str">
        <f>IF(D418="","",IF(AS418=2,0,IF(AS418=1,'Calc (ex-animal)'!$Q$81*'Calc (ex-housing, ex-storage)'!F418/100/VLOOKUP($C$415,'DB animal categories'!$C$147:$AC$156,27,FALSE)*AJ418+Y418+Z418+AA418,IF(AS418=5,('Calc (ex-animal)'!$Q$81+'Calc (ex-animal)'!$R$81)*'Calc (ex-housing, ex-storage)'!F418/100/VLOOKUP($C$415,'DB animal categories'!$C$147:$AC$156,27,FALSE)*AJ418+Y418+Z418+AA418,IF(AS418=3,('Calc (ex-animal)'!$Q$81+'Calc (ex-animal)'!$R$81)*'Calc (ex-housing, ex-storage)'!F418/100/VLOOKUP($C$415,'DB animal categories'!$C$147:$AC$156,27,FALSE)*AJ418+Y418+Z418+AA418,IF(AS418=4,('Calc (ex-animal)'!$Q$81+'Calc (ex-animal)'!$R$81)*'Calc (ex-housing, ex-storage)'!F418/100*VLOOKUP(D418,'DB technologies'!$N$196:$Y$208,12,FALSE)/100/VLOOKUP($C$415,'DB animal categories'!$C$147:$AC$156,27,FALSE)*AJ418+Y418+Z418+AA418,0))))))</f>
        <v/>
      </c>
      <c r="BA418" s="506"/>
      <c r="BB418" s="506"/>
      <c r="BC418" s="506"/>
    </row>
    <row r="419" spans="1:55" ht="12" thickBot="1" x14ac:dyDescent="0.25">
      <c r="A419" s="695"/>
      <c r="B419" s="695"/>
      <c r="C419" s="251"/>
      <c r="D419" s="1359"/>
      <c r="E419" s="1400"/>
      <c r="F419" s="481" t="str">
        <f>IF('Calc (ex-animal)'!$F$78=1,"",IF($C$415=0,"",IF(D419="","",E419/'Calc (ex-animal)'!$E$81*100)))</f>
        <v/>
      </c>
      <c r="G419" s="483" t="str">
        <f>IF($C$415=0,"",IF('Calc (ex-animal)'!$F$78=1,"",IF(D419="","",SUM(H419:O419))))</f>
        <v/>
      </c>
      <c r="H419" s="445" t="str">
        <f>IF('Calc (ex-animal)'!$F$78=1,"",IF(D419="","",(((VLOOKUP($C$415,'Calc (ex-animal)'!$D$78:$Y$82,6,FALSE)-VLOOKUP($C$415,'Calc (ex-animal)'!$D$78:$Y$82,17,FALSE))*F419/100))*VLOOKUP($C$415,'Calc (ex-animal)'!$D$78:$Y$82,7,FALSE)/100*(1-VLOOKUP(D419,'DB technologies'!$N$196:$Y$208,9,FALSE)/100)))</f>
        <v/>
      </c>
      <c r="I419" s="445" t="str">
        <f>IF(D419="","",((VLOOKUP(D419,'DB technologies'!$N$196:$Y$208,2,FALSE)*VLOOKUP($C$415,'DB animal categories'!$C$147:$AC$156,27,FALSE)*E419/1000)/VLOOKUP($C$415,'DB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'!$S$6/100*(1-VLOOKUP(D419,'DB technologies'!$N$196:$Y$208,9,FALSE)/100)))</f>
        <v/>
      </c>
      <c r="J419" s="446" t="str">
        <f>IF(D419="","",((VLOOKUP(D419,'DB technologies'!$N$196:$Y$208,3,FALSE)*VLOOKUP($C$415,'DB animal categories'!$C$147:$AC$156,27,FALSE)*E419/1000)/VLOOKUP($C$415,'DB animal categories'!$C$147:$AC$156,27,FALSE)*(VLOOKUP($C$415,'DB animal categories'!$C$147:$AC$156,27,FALSE)-(VLOOKUP($C$415,'DB animal categories'!$C$147:$AC$156,25,FALSE)*VLOOKUP($C$415,'DB animal categories'!$C$147:$AC$156,26,FALSE)/24))*'DB additional information '!$S$7/100*(1-VLOOKUP(D419,'DB technologies'!$N$196:$Y$208,9,FALSE)/100)))</f>
        <v/>
      </c>
      <c r="K419" s="446" t="str">
        <f>IF(D419="","",((VLOOKUP(D419,'DB technologies'!$N$196:$Y$208,4,FALSE)*E419*'DB additional information '!$S$8/100*(1-VLOOKUP(D419,'DB technologies'!$N$196:$Y$208,9,FALSE)/100))/VLOOKUP($C$415,'DB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L419" s="445" t="str">
        <f>IF('Calc (ex-animal)'!$F$78=1,"",IF(D419="","",(((VLOOKUP($C$415,'Calc (ex-animal)'!$D$78:$Y$82,6,FALSE)-VLOOKUP($C$415,'Calc (ex-animal)'!$D$78:$Y$82,17,FALSE))*F419/100))*(1-VLOOKUP($C$415,'Calc (ex-animal)'!$D$78:$Y$82,7,FALSE)/100)*(1-VLOOKUP(D419,'DB technologies'!$N$196:$V$208,8,FALSE)/100)))</f>
        <v/>
      </c>
      <c r="M419" s="446" t="str">
        <f>IF(D419="","",((VLOOKUP(D419,'DB technologies'!$N$196:$Y$208,2,FALSE)*VLOOKUP($C$415,'DB animal categories'!$C$147:$AC$156,27,FALSE)*E419/1000)/VLOOKUP($C$415,'DB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'!$S$6/100)*(1-VLOOKUP(D419,'DB technologies'!$N$196:$Y$208,9,FALSE)/100))</f>
        <v/>
      </c>
      <c r="N419" s="446" t="str">
        <f>IF(D419="","",((VLOOKUP(D419,'DB technologies'!$N$196:$Y$208,3,FALSE)*VLOOKUP($C$415,'DB animal categories'!$C$147:$AC$156,27,FALSE)*E419/1000)/VLOOKUP($C$415,'DB animal categories'!$C$147:$AC$156,27,FALSE)*(VLOOKUP($C$415,'DB animal categories'!$C$147:$AC$156,27,FALSE)-VLOOKUP($C$415,'DB animal categories'!$C$147:$AC$156,25,FALSE)*VLOOKUP($C$415,'DB animal categories'!$C$147:$AC$156,26,FALSE)/24))*(1-'DB additional information '!$S$7/100)*(1-VLOOKUP(D419,'DB technologies'!$N$196:$Y$208,9,FALSE)/100))</f>
        <v/>
      </c>
      <c r="O419" s="445" t="str">
        <f>IF(D419="","",((VLOOKUP(D419,'DB technologies'!$N$196:$Y$208,4,FALSE)*E419*(1-'DB additional information '!$S$8/100)*(1-VLOOKUP(D419,'DB technologies'!$N$196:$Y$208,8,FALSE)/100))/VLOOKUP($C$415,'DB animal categories'!$C$147:$AC$156,27,FALSE)*(VLOOKUP($C$415,'DB animal categories'!$C$147:$AC$156,27,FALSE)-VLOOKUP($C$415,'DB animal categories'!$C$147:$AC$156,25,FALSE)*VLOOKUP($C$415,'DB animal categories'!$C$147:$AC$156,26,FALSE)/24)))</f>
        <v/>
      </c>
      <c r="P419" s="444" t="str">
        <f>IF(G419=0,0,IF(E419="","",IF(F419="","",IF($C$415=0,"",IF(D419="","",SUM(H419:K419)/G419*100)))))</f>
        <v/>
      </c>
      <c r="Q419" s="476" t="str">
        <f>IF(D419="","",(VLOOKUP(D419,'DB technologies'!$N$196:$Y$208,2,FALSE)*'DB additional information '!$S$6/100*'DB additional information '!$T$6*VLOOKUP($C$415,'DB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R419" s="476" t="str">
        <f>IF(D419="","",(VLOOKUP(D419,'DB technologies'!$N$196:$Y$208,3,FALSE)*'DB additional information '!$S$7/100*'DB additional information '!$T$7*VLOOKUP($C$415,'DB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S419" s="494" t="str">
        <f>IF(D419="","",(VLOOKUP(D419,'DB technologies'!$N$196:$Y$208,4,FALSE)*('DB additional information '!$S$8/100*'DB additional information '!$T$8*E419/1000/1000)))</f>
        <v/>
      </c>
      <c r="T419" s="266" t="str">
        <f>IF($C$415=0,"",IF('Calc (ex-animal)'!$F$78=1,"",IF(D419="","",((VLOOKUP($C$415,'Calc (ex-animal)'!$D$78:$Y$82,10,FALSE)-VLOOKUP($C$415,'Calc (ex-animal)'!$D$78:$Y$82,18,FALSE))*F419/100+Q419+R419+S419)-AC419-AD419-AE419)))</f>
        <v/>
      </c>
      <c r="U419" s="477" t="str">
        <f>IF(D419="","",(VLOOKUP(D419,'DB technologies'!$N$196:$Y$208,2,FALSE)*'DB additional information '!$S$6/100*'DB additional information '!$U$6*VLOOKUP($C$415,'DB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V419" s="433" t="str">
        <f>IF(D419="","",(VLOOKUP(D419,'DB technologies'!$N$196:$Y$208,3,FALSE)*'DB additional information '!$S$7/100*'DB additional information '!$U$7*VLOOKUP($C$415,'DB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W419" s="475" t="str">
        <f>IF(D419="","",(VLOOKUP(D419,'DB technologies'!$N$196:$Y$208,4,FALSE)*('DB additional information '!$S$8/100*'DB additional information '!$U$8*E419/1000/1000)))</f>
        <v/>
      </c>
      <c r="X419" s="267" t="str">
        <f>IF($C$415=0,"",IF('Calc (ex-animal)'!$F$78=1,"",IF(D419="","",((VLOOKUP($C$415,'Calc (ex-animal)'!$D$78:$Y$82,13,FALSE)-VLOOKUP($C$415,'Calc (ex-animal)'!$D$78:$Y$82,19,FALSE))*F419/100+U419+V419+W419))))</f>
        <v/>
      </c>
      <c r="Y419" s="433" t="str">
        <f>IF(D419="","",(VLOOKUP(D419,'DB technologies'!$N$196:$Y$208,2,FALSE)*'DB additional information '!$S$6/100*'DB additional information '!$V$6*VLOOKUP($C$415,'DB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Z419" s="433" t="str">
        <f>IF(D419="","",(VLOOKUP(D419,'DB technologies'!$N$196:$Y$208,3,FALSE)*'DB additional information '!$S$7/100*'DB additional information '!$V$7*VLOOKUP($C$415,'DB animal categories'!$C$147:$AC$156,27,FALSE)*E419/1000/1000)/VLOOKUP($C$415,'DB animal categories'!$C$147:$AC$156,27,FALSE)*(VLOOKUP($C$415,'DB animal categories'!$C$147:$AC$156,27,FALSE)-VLOOKUP($C$415,'DB animal categories'!$C$147:$AC$156,25,FALSE)*VLOOKUP($C$415,'DB animal categories'!$C$147:$AC$156,26,FALSE)/24))</f>
        <v/>
      </c>
      <c r="AA419" s="433" t="str">
        <f>IF(D419="","",(VLOOKUP(D419,'DB technologies'!$N$196:$Y$208,4,FALSE)*('DB additional information '!$S$8/100*'DB additional information '!$V$8*E419/1000/1000)))</f>
        <v/>
      </c>
      <c r="AB419" s="267" t="str">
        <f>IF($C$415=0,"",IF('Calc (ex-animal)'!$F$78=1,"",IF(D419="","",((VLOOKUP($C$415,'Calc (ex-animal)'!$D$78:$Y$82,16,FALSE)-VLOOKUP($C$415,'Calc (ex-animal)'!$D$78:$Y$82,20,FALSE))*F419/100+Y419+Z419+AA419))))</f>
        <v/>
      </c>
      <c r="AC419" s="267" t="str">
        <f>IF($C$415=0,"",IF('Calc (ex-animal)'!$F$78=1,"",IF(D419="","",VLOOKUP($C$415,'Calc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categories'!$C$147:$AC$156,26,FALSE)/24)*F419/100*VLOOKUP(D419,'DB technologies'!$N$196:$R$208,5,FALSE)/100)))</f>
        <v/>
      </c>
      <c r="AD419" s="267" t="str">
        <f>IF($C$415=0,"",IF('Calc (ex-animal)'!$F$78=1,"",IF(D419="","",VLOOKUP($C$415,'Calc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categories'!$C$147:$AC$156,26,FALSE)/24)*F419/100*VLOOKUP(D419,'DB technologies'!$N$196:$Y$208,6,FALSE)/100)))</f>
        <v/>
      </c>
      <c r="AE419" s="268" t="str">
        <f>IF($C$415=0,"",IF('Calc (ex-animal)'!$F$78=1,"",IF(D419="","",VLOOKUP($C$415,'Calc (ex-animal)'!$D$78:$Y$82,10,FALSE)/VLOOKUP($C$415,'DB animal categories'!$C$147:$AC$156,27,FALSE)*(VLOOKUP($C$415,'DB animal categories'!$C$147:$AC$156,27,FALSE)-VLOOKUP($C$415,'DB animal categories'!$C$147:$AC$156,25,FALSE)*VLOOKUP($C$415,'DB animal categories'!$C$147:$AC$156,26,FALSE)/24)*F419/100*VLOOKUP(D419,'DB technologies'!$N$196:$Y$208,7,FALSE)/100)))</f>
        <v/>
      </c>
      <c r="AI419" s="183" t="str">
        <f>IF(D419="","",VLOOKUP(D419,'DB technologies'!$N$196:$Y$208,10,FALSE))</f>
        <v/>
      </c>
      <c r="AJ419" s="451" t="e">
        <f>VLOOKUP($C$415,'DB animal categories'!$C$147:$AN$156,27,FALSE)-VLOOKUP($C$415,'DB animal categories'!$C$147:$AN$156,26,FALSE)*VLOOKUP($C$415,'DB animal categories'!$C$147:$AN$156,25,FALSE)/24</f>
        <v>#N/A</v>
      </c>
      <c r="AK419" s="452" t="str">
        <f>IF(AI419="","",AL419+AM419)</f>
        <v/>
      </c>
      <c r="AL419" s="452" t="str">
        <f>IF(D419="","",IF(AI419=2,(('Calc (ex-animal)'!$G$81*'DB additional information '!$K$17/100*(1-VLOOKUP(D419,'DB technologies'!$N$196:$Y$208,9,FALSE)/100)*'Calc (ex-housing, ex-storage)'!F419/100+'Calc (ex-animal)'!$H$81*'DB additional information '!$L$17/100*(1-VLOOKUP(D419,'DB technologies'!$N$196:$Y$208,9,FALSE)/100)*'Calc (ex-housing, ex-storage)'!F419/100))/VLOOKUP($C$415,'DB animal categories'!$C$147:$AC$156,27,FALSE)*AJ419+I419+J419+K419,IF(AI419=1,('Calc (ex-animal)'!$H$81*'DB additional information '!$L$17/100*(1-VLOOKUP(D419,'DB technologies'!$N$196:$Y$208,9,FALSE)/100)*'Calc (ex-housing, ex-storage)'!F419/100)/VLOOKUP($C$415,'DB animal categories'!$C$147:$AC$156,27,FALSE)*AJ419,IF(AI419=4,('Calc (ex-animal)'!$G$81*'DB additional information '!$K$17/100+'Calc (ex-animal)'!$H$81*'DB additional information '!$L$17/100)*(1-VLOOKUP(D419,'DB technologies'!$N$196:$Y$208,9,FALSE)/100)*'Calc (ex-housing, ex-storage)'!F419/100*VLOOKUP(D419,'DB technologies'!$N$196:$Y$208,11,FALSE)/100/VLOOKUP($C$415,'DB animal categories'!$C$147:$AC$156,27,FALSE)*AJ419,0))))</f>
        <v/>
      </c>
      <c r="AM419" s="452" t="str">
        <f>IF(D419="","",IF(AI419=2,(('Calc (ex-animal)'!$G$81*(1-'DB additional information '!$K$17/100)*(1-VLOOKUP(D419,'DB technologies'!$N$196:$Y$208,8,FALSE)/100)*'Calc (ex-housing, ex-storage)'!F419/100+'Calc (ex-animal)'!$H$81*(1-'DB additional information '!$L$17/100)*(1-VLOOKUP(D419,'DB technologies'!$N$196:$Y$208,8,FALSE)/100)*'Calc (ex-housing, ex-storage)'!F419/100))/VLOOKUP($C$415,'DB animal categories'!$C$147:$AC$156,27,FALSE)*AJ419+M419+N419+O419,IF(AI419=1,('Calc (ex-animal)'!$H$81*(1-'DB additional information '!$L$17/100)*(1-VLOOKUP(D419,'DB technologies'!$N$196:$Y$208,8,FALSE)/100)*'Calc (ex-housing, ex-storage)'!F419/100)/VLOOKUP($C$415,'DB animal categories'!$C$147:$AC$156,27,FALSE)*AJ419,IF(AI419=4,('Calc (ex-animal)'!$G$81*(1-'DB additional information '!$K$17/100)+'Calc (ex-animal)'!$H$81*(1-'DB additional information '!$L$17/100))*(1-VLOOKUP(D419,'DB technologies'!$N$196:$Y$208,8,FALSE)/100)*'Calc (ex-housing, ex-storage)'!F419/100*VLOOKUP(D419,'DB technologies'!$N$196:$Y$208,11,FALSE)/100/VLOOKUP($C$415,'DB animal categories'!$C$147:$AC$156,27,FALSE)*AJ419,0))))</f>
        <v/>
      </c>
      <c r="AN419" s="452" t="str">
        <f>IF(AI419="","",IF(AL419=0,0,AL419/AK419*100))</f>
        <v/>
      </c>
      <c r="AO419" s="184" t="str">
        <f>IF(D419="","",IF(AI419=2,(('Calc (ex-animal)'!$L$81*'Calc (ex-housing, ex-storage)'!F419/100+'Calc (ex-animal)'!$K$81*'Calc (ex-housing, ex-storage)'!F419/100))/VLOOKUP($C$415,'DB animal categories'!$C$147:$AC$156,27,FALSE)*AJ419+Q419+R419+S419-AC419,IF(AI419=1,('Calc (ex-animal)'!$L$81*'Calc (ex-housing, ex-storage)'!F419/100)/VLOOKUP($C$415,'DB animal categories'!$C$147:$AC$156,27,FALSE)*AJ419-'Calc (ex-housing, ex-storage)'!AC419,IF(AI419=4,('Calc (ex-animal)'!$L$81+'Calc (ex-animal)'!$K$81)*'Calc (ex-housing, ex-storage)'!F419/100*VLOOKUP(D419,'DB technologies'!$N$196:$Y$208,11,FALSE)/100/VLOOKUP($C$415,'DB animal categories'!$C$147:$AC$156,27,FALSE)*AJ419-AC419*VLOOKUP(D419,'DB technologies'!$N$196:$Y$208,11,FALSE)/100,0))))</f>
        <v/>
      </c>
      <c r="AP419" s="184" t="str">
        <f>IF(D419="","",IF(AO419&lt;-0.01,0,IF(AI419=2,(('Calc (ex-animal)'!$L$81*'Calc (ex-housing, ex-storage)'!F419/100+'Calc (ex-animal)'!$K$81*'Calc (ex-housing, ex-storage)'!F419/100))/VLOOKUP($C$415,'DB animal categories'!$C$147:$AC$156,27,FALSE)*AJ419+Q419+R419+S419-AC419,IF(AI419=1,('Calc (ex-animal)'!$L$81*'Calc (ex-housing, ex-storage)'!F419/100)/VLOOKUP($C$415,'DB animal categories'!$C$147:$AC$156,27,FALSE)*AJ419-'Calc (ex-housing, ex-storage)'!AC419,IF(AI419=4,('Calc (ex-animal)'!$L$81+'Calc (ex-animal)'!$K$81)*'Calc (ex-housing, ex-storage)'!F419/100*VLOOKUP(D419,'DB technologies'!$N$196:$Y$208,11,FALSE)/100/VLOOKUP($C$415,'DB animal categories'!$C$147:$AC$156,27,FALSE)*AJ419-AC419*VLOOKUP(D419,'DB technologies'!$N$196:$Y$208,11,FALSE)/100,0)))))</f>
        <v/>
      </c>
      <c r="AQ419" s="184" t="str">
        <f>IF(D419="","",IF(AI419=2,('Calc (ex-animal)'!$O$81*'Calc (ex-housing, ex-storage)'!F419/100+'Calc (ex-animal)'!$N$81*'Calc (ex-housing, ex-storage)'!F419/100)/VLOOKUP($C$415,'DB animal categories'!$C$147:$AC$156,27,FALSE)*AJ419+U419+V419+W419,IF(AI419=1,'Calc (ex-animal)'!$O$81*'Calc (ex-housing, ex-storage)'!F419/100/VLOOKUP($C$415,'DB animal categories'!$C$147:$AC$156,27,FALSE)*AJ419,IF(AI419=4,('Calc (ex-animal)'!$O$81+'Calc (ex-animal)'!$N$81)*'Calc (ex-housing, ex-storage)'!F419/100*VLOOKUP(D419,'DB technologies'!$N$196:$Y$208,11,FALSE)/100/VLOOKUP($C$415,'DB animal categories'!$C$147:$AC$156,27,FALSE)*AJ419,0))))</f>
        <v/>
      </c>
      <c r="AR419" s="184" t="str">
        <f>IF(D419="","",IF(AI419=2,('Calc (ex-animal)'!$R$81*'Calc (ex-housing, ex-storage)'!F419/100+'Calc (ex-animal)'!$Q$81*'Calc (ex-housing, ex-storage)'!F419/100)/VLOOKUP($C$415,'DB animal categories'!$C$147:$AC$156,27,FALSE)*AJ419+Y419+Z419+AA419,IF(AI419=1,'Calc (ex-animal)'!$R$81*'Calc (ex-housing, ex-storage)'!F419/100/VLOOKUP($C$415,'DB animal categories'!$C$147:$AC$156,27,FALSE)*AJ419,IF(AI419=4,('Calc (ex-animal)'!$R$81+'Calc (ex-animal)'!$Q$81)*'Calc (ex-housing, ex-storage)'!F419/100*VLOOKUP(D419,'DB technologies'!$N$196:$Y$208,11,FALSE)/100/VLOOKUP($C$415,'DB animal categories'!$C$147:$AC$156,27,FALSE)*AJ419,0))))</f>
        <v/>
      </c>
      <c r="AS419" s="183" t="str">
        <f>IF(D419="","",VLOOKUP(D419,'DB technologies'!$N$196:$Y$208,10,FALSE))</f>
        <v/>
      </c>
      <c r="AT419" s="452" t="str">
        <f>IF(AS419="","",AU419+AV419)</f>
        <v/>
      </c>
      <c r="AU419" s="452" t="str">
        <f>IF(D419="","",IF(AS419=2,0,IF(AS419=1,'Calc (ex-animal)'!$G$81*'DB additional information '!$K$17/100*(1-VLOOKUP(D419,'DB technologies'!$N$196:$Y$208,8,FALSE)/100)*'Calc (ex-housing, ex-storage)'!F419/100/VLOOKUP($C$415,'DB animal categories'!$C$147:$AC$156,27,FALSE)*AJ419+I419+J419+K419,IF(AS419=5,(('Calc (ex-animal)'!$G$81*'DB additional information '!$K$17/100+'Calc (ex-animal)'!$H$81*'DB additional information '!$L$17/100))*(1-VLOOKUP(D419,'DB technologies'!$N$196:$Y$208,9,FALSE)/100)*'Calc (ex-housing, ex-storage)'!F419/100/VLOOKUP($C$415,'DB animal categories'!$C$147:$AC$156,27,FALSE)*AJ419+I419+J419+K419,IF(AS419=3,('Calc (ex-animal)'!$G$81*'DB additional information '!$K$17/100+'Calc (ex-animal)'!$H$81*'DB additional information '!$L$17/100)*(1-VLOOKUP(D419,'DB technologies'!$N$196:$Y$208,9,FALSE)/100)*'Calc (ex-housing, ex-storage)'!F419/100/VLOOKUP($C$415,'DB animal categories'!$C$147:$AC$156,27,FALSE)*AJ419+I419+J419+K419,IF(AS419=4,('Calc (ex-animal)'!$G$81*'DB additional information '!$K$17/100+'Calc (ex-animal)'!$H$81*'DB additional information '!$L$17/100)*(1-VLOOKUP(D419,'DB technologies'!$N$196:$Y$208,9,FALSE)/100)*'Calc (ex-housing, ex-storage)'!F419/100*VLOOKUP(D419,'DB technologies'!$N$196:$Y$208,12,FALSE)/100/VLOOKUP($C$415,'DB animal categories'!$C$147:$AC$156,27,FALSE)*AJ419+I419+J419+K419,0))))))</f>
        <v/>
      </c>
      <c r="AV419" s="452" t="str">
        <f>IF(D419="","",IF(AS419=2,0,IF(AS419=1,'Calc (ex-animal)'!$G$81*(1-'DB additional information '!$K$17/100)*(1-VLOOKUP(D419,'DB technologies'!$N$196:$Y$208,8,FALSE)/100)*'Calc (ex-housing, ex-storage)'!F419/100/VLOOKUP($C$415,'DB animal categories'!$C$147:$AC$156,27,FALSE)*AJ419+M419+N419+O419,IF(AS419=5,('Calc (ex-animal)'!$G$81*(1-'DB additional information '!$K$17/100)+'Calc (ex-animal)'!$H$81*(1-'DB additional information '!$L$17/100))*(1-VLOOKUP(D419,'DB technologies'!$N$196:$Y$208,8,FALSE)/100)*'Calc (ex-housing, ex-storage)'!F419/100/VLOOKUP($C$415,'DB animal categories'!$C$147:$AC$156,27,FALSE)*AJ419+M419+N419+O419,IF(AS419=3,('Calc (ex-animal)'!$G$81*(1-'DB additional information '!$K$17/100)+'Calc (ex-animal)'!$H$81*(1-'DB additional information '!$L$17/100))*(1-VLOOKUP(D419,'DB technologies'!$N$196:$Y$208,8,FALSE)/100)*'Calc (ex-housing, ex-storage)'!F419/100/VLOOKUP($C$415,'DB animal categories'!$C$147:$AC$156,27,FALSE)*AJ419+M419+N419+O419,IF(AS419=4,('Calc (ex-animal)'!$G$81*(1-'DB additional information '!$K$17/100)+'Calc (ex-animal)'!$H$81*(1-'DB additional information '!$L$17/100))*(1-VLOOKUP(D419,'DB technologies'!$N$196:$Y$208,8,FALSE)/100)*'Calc (ex-housing, ex-storage)'!F419/100*VLOOKUP(D419,'DB technologies'!$N$196:$Y$208,12,FALSE)/100/VLOOKUP($C$415,'DB animal categories'!$C$147:$AC$156,27,FALSE)*AJ419+M419+N419+O419,0))))))</f>
        <v/>
      </c>
      <c r="AW419" s="452" t="str">
        <f>IF(AS419="","",IF(AU419=0,0,AU419/AT419*100))</f>
        <v/>
      </c>
      <c r="AX419" s="184" t="str">
        <f>IF(D419="","",IF(AS419=2,0,IF(AS419=1,'Calc (ex-animal)'!$K$81*'Calc (ex-housing, ex-storage)'!F419/100/VLOOKUP($C$415,'DB animal categories'!$C$147:$AC$156,27,FALSE)*AJ419+Q419+R419+S419,IF(AS419=5,('Calc (ex-animal)'!$K$81+'Calc (ex-animal)'!$L$81)*'Calc (ex-housing, ex-storage)'!F419/100/VLOOKUP($C$415,'DB animal categories'!$C$147:$AC$156,27,FALSE)*AJ419+Q419+R419+S419-'Calc (ex-housing, ex-storage)'!AC419,IF(AS419=3,('Calc (ex-animal)'!$K$81+'Calc (ex-animal)'!$L$81)*'Calc (ex-housing, ex-storage)'!F419/100/VLOOKUP($C$415,'DB animal categories'!$C$147:$AC$156,27,FALSE)*AJ419+Q419+R419+S419-'Calc (ex-housing, ex-storage)'!AC419-AD419-AE419,IF(AI419=4,('Calc (ex-animal)'!$K$81+'Calc (ex-animal)'!$L$81)*'Calc (ex-housing, ex-storage)'!F419/100*VLOOKUP(D419,'DB technologies'!$N$196:$Y$208,12,FALSE)/100/VLOOKUP($C$415,'DB animal categories'!$C$147:$AC$156,27,FALSE)*AJ419+Q419+R419+S419-(VLOOKUP(D419,'DB technologies'!$N$196:$Y$208,12,FALSE)/100*AC419)-AD419-AE419,0))))))</f>
        <v/>
      </c>
      <c r="AY419" s="184" t="str">
        <f>IF(D419="","",IF(AS419=2,0,IF(AS419=1,'Calc (ex-animal)'!$N$81*'Calc (ex-housing, ex-storage)'!F419/100/VLOOKUP($C$415,'DB animal categories'!$C$147:$AC$156,27,FALSE)*AJ419+U419+V419+W419,IF(AS419=5,('Calc (ex-animal)'!$N$81+'Calc (ex-animal)'!$O$81)*'Calc (ex-housing, ex-storage)'!F419/100/VLOOKUP($C$415,'DB animal categories'!$C$147:$AC$156,27,FALSE)*AJ419+U419+V419+W419,IF(AS419=3,('Calc (ex-animal)'!$N$81+'Calc (ex-animal)'!$O$81)*'Calc (ex-housing, ex-storage)'!F419/100/VLOOKUP($C$415,'DB animal categories'!$C$147:$AC$156,27,FALSE)*AJ419+U419+V419+W419,IF(AS419=4,('Calc (ex-animal)'!$N$81+'Calc (ex-animal)'!$O$81)*'Calc (ex-housing, ex-storage)'!F419/100*VLOOKUP(D419,'DB technologies'!$N$196:$Y$208,12,FALSE)/100/VLOOKUP($C$415,'DB animal categories'!$C$147:$AC$156,27,FALSE)*AJ419+U419+V419+W419,0))))))</f>
        <v/>
      </c>
      <c r="AZ419" s="184" t="str">
        <f>IF(D419="","",IF(AS419=2,0,IF(AS419=1,'Calc (ex-animal)'!$Q$81*'Calc (ex-housing, ex-storage)'!F419/100/VLOOKUP($C$415,'DB animal categories'!$C$147:$AC$156,27,FALSE)*AJ419+Y419+Z419+AA419,IF(AS419=5,('Calc (ex-animal)'!$Q$81+'Calc (ex-animal)'!$R$81)*'Calc (ex-housing, ex-storage)'!F419/100/VLOOKUP($C$415,'DB animal categories'!$C$147:$AC$156,27,FALSE)*AJ419+Y419+Z419+AA419,IF(AS419=3,('Calc (ex-animal)'!$Q$81+'Calc (ex-animal)'!$R$81)*'Calc (ex-housing, ex-storage)'!F419/100/VLOOKUP($C$415,'DB animal categories'!$C$147:$AC$156,27,FALSE)*AJ419+Y419+Z419+AA419,IF(AS419=4,('Calc (ex-animal)'!$Q$81+'Calc (ex-animal)'!$R$81)*'Calc (ex-housing, ex-storage)'!F419/100*VLOOKUP(D419,'DB technologies'!$N$196:$Y$208,12,FALSE)/100/VLOOKUP($C$415,'DB animal categories'!$C$147:$AC$156,27,FALSE)*AJ419+Y419+Z419+AA419,0))))))</f>
        <v/>
      </c>
      <c r="BA419" s="506"/>
      <c r="BB419" s="506"/>
      <c r="BC419" s="506"/>
    </row>
    <row r="420" spans="1:55" ht="12" thickBot="1" x14ac:dyDescent="0.25">
      <c r="A420" s="695"/>
      <c r="B420" s="695"/>
      <c r="C420" s="252"/>
      <c r="D420" s="269" t="s">
        <v>58</v>
      </c>
      <c r="E420" s="270">
        <f>IF(F420&lt;=100,SUM(E415:E419),"ERROR")</f>
        <v>0</v>
      </c>
      <c r="F420" s="284">
        <f>IF(SUM(F415:F419) &lt;=100,SUM(F415:F419),"ERROR, SUM&gt;100%")</f>
        <v>0</v>
      </c>
      <c r="G420" s="550">
        <f>IF('Calc (ex-animal)'!$F$78=1,"",SUM(G415:G419))</f>
        <v>0</v>
      </c>
      <c r="H420" s="418">
        <f>IF('Calc (ex-animal)'!$F$8=1,"",SUM(H415:H419))</f>
        <v>0</v>
      </c>
      <c r="I420" s="418">
        <f>IF('Calc (ex-animal)'!$F$8=1,"",SUM(I415:I419))</f>
        <v>0</v>
      </c>
      <c r="J420" s="418">
        <f>IF('Calc (ex-animal)'!$F$8=1,"",SUM(J415:J419))</f>
        <v>0</v>
      </c>
      <c r="K420" s="418">
        <f>IF('Calc (ex-animal)'!$F$8=1,"",SUM(K415:K419))</f>
        <v>0</v>
      </c>
      <c r="L420" s="418">
        <f>IF('Calc (ex-animal)'!$F$8=1,"",SUM(L415:L419))</f>
        <v>0</v>
      </c>
      <c r="M420" s="551"/>
      <c r="N420" s="551"/>
      <c r="O420" s="551"/>
      <c r="P420" s="552">
        <f>IF(G420=0,0,IF('Calc (ex-animal)'!$F$78=1,"",IF(D420="","",SUM(H420:K420)/G420*100)))</f>
        <v>0</v>
      </c>
      <c r="Q420" s="394"/>
      <c r="R420" s="394"/>
      <c r="S420" s="394"/>
      <c r="T420" s="285">
        <f>IF('Calc (ex-animal)'!$F$81=1,"",SUM(T415:T419))</f>
        <v>0</v>
      </c>
      <c r="U420" s="286"/>
      <c r="V420" s="286"/>
      <c r="W420" s="286"/>
      <c r="X420" s="286">
        <f>IF('Calc (ex-animal)'!$F$81=1,"",SUM(X415:X419))</f>
        <v>0</v>
      </c>
      <c r="Y420" s="286"/>
      <c r="Z420" s="286"/>
      <c r="AA420" s="286"/>
      <c r="AB420" s="286">
        <f>IF('Calc (ex-animal)'!$F$81=1,"",SUM(AB415:AB419))</f>
        <v>0</v>
      </c>
      <c r="AC420" s="286">
        <f>IF('Calc (ex-animal)'!$F$81=1,"",SUM(AC415:AC419))</f>
        <v>0</v>
      </c>
      <c r="AD420" s="286">
        <f>IF('Calc (ex-animal)'!$F$81=1,"",SUM(AD415:AD419))</f>
        <v>0</v>
      </c>
      <c r="AE420" s="287">
        <f>IF('Calc (ex-animal)'!$F$81=1,"",SUM(AE415:AE419))</f>
        <v>0</v>
      </c>
    </row>
    <row r="421" spans="1:55" x14ac:dyDescent="0.2">
      <c r="A421" s="695"/>
      <c r="B421" s="695"/>
      <c r="C421" s="250">
        <f>'Calc (ex-animal)'!D82</f>
        <v>0</v>
      </c>
      <c r="D421" s="1355"/>
      <c r="E421" s="1356"/>
      <c r="F421" s="479" t="str">
        <f>IF('Calc (ex-animal)'!$F$78=1,"",IF($C$421=0,"",IF(D421="","",E421/'Calc (ex-animal)'!$E$82*100)))</f>
        <v/>
      </c>
      <c r="G421" s="484" t="str">
        <f>IF($C$421=0,"",IF('Calc (ex-animal)'!$F$78=1,"",IF(D421="","",SUM(H421:O421))))</f>
        <v/>
      </c>
      <c r="H421" s="471" t="str">
        <f>IF('Calc (ex-animal)'!$F$78=1,"",IF(D421="","",(((VLOOKUP($C$421,'Calc (ex-animal)'!$D$78:$Y$82,6,FALSE)-VLOOKUP($C$421,'Calc (ex-animal)'!$D$78:$Y$82,17,FALSE))*F421/100))*VLOOKUP($C$421,'Calc (ex-animal)'!$D$78:$Y$82,7,FALSE)/100*(1-VLOOKUP(D421,'DB technologies'!$N$196:$Y$208,9,FALSE)/100)))</f>
        <v/>
      </c>
      <c r="I421" s="471" t="str">
        <f>IF(D421="","",((VLOOKUP(D421,'DB technologies'!$N$196:$Y$208,2,FALSE)*VLOOKUP($C$421,'DB animal categories'!$C$147:$AC$156,27,FALSE)*E421/1000)/VLOOKUP($C$421,'DB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'!$S$6/100*(1-VLOOKUP(D421,'DB technologies'!$N$196:$Y$208,9,FALSE)/100)))</f>
        <v/>
      </c>
      <c r="J421" s="472" t="str">
        <f>IF(D421="","",((VLOOKUP(D421,'DB technologies'!$N$196:$Y$208,3,FALSE)*VLOOKUP($C$421,'DB animal categories'!$C$147:$AC$156,27,FALSE)*E421/1000)/VLOOKUP($C$421,'DB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'!$S$7/100*(1-VLOOKUP(D421,'DB technologies'!$N$196:$Y$208,9,FALSE)/100)))</f>
        <v/>
      </c>
      <c r="K421" s="472" t="str">
        <f>IF(D421="","",((VLOOKUP(D421,'DB technologies'!$N$196:$Y$208,4,FALSE)*E421*'DB additional information '!$S$8/100*(1-VLOOKUP(D421,'DB technologies'!$N$196:$Y$208,9,FALSE)/100))/VLOOKUP($C$421,'DB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L421" s="471" t="str">
        <f>IF('Calc (ex-animal)'!$F$78=1,"",IF(D421="","",(((VLOOKUP($C$421,'Calc (ex-animal)'!$D$78:$Y$82,6,FALSE)-VLOOKUP($C$421,'Calc (ex-animal)'!$D$78:$Y$82,17,FALSE))*F421/100))*(1-VLOOKUP($C$421,'Calc (ex-animal)'!$D$78:$Y$82,7,FALSE)/100)*(1-VLOOKUP(D421,'DB technologies'!$N$196:$V$208,8,FALSE)/100)))</f>
        <v/>
      </c>
      <c r="M421" s="472" t="str">
        <f>IF(D421="","",((VLOOKUP(D421,'DB technologies'!$N$196:$Y$208,2,FALSE)*VLOOKUP($C$421,'DB animal categories'!$C$147:$AC$156,27,FALSE)*E421/1000)/VLOOKUP($C$421,'DB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'!$S$6/100)*(1-VLOOKUP(D421,'DB technologies'!$N$196:$Y$208,9,FALSE)/100))</f>
        <v/>
      </c>
      <c r="N421" s="472" t="str">
        <f>IF(D421="","",((VLOOKUP(D421,'DB technologies'!$N$196:$Y$208,3,FALSE)*VLOOKUP($C$421,'DB animal categories'!$C$147:$AC$156,27,FALSE)*E421/1000)/VLOOKUP($C$421,'DB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'!$S$7/100)*(1-VLOOKUP(D421,'DB technologies'!$N$196:$Y$208,9,FALSE)/100))</f>
        <v/>
      </c>
      <c r="O421" s="471" t="str">
        <f>IF(D421="","",((VLOOKUP(D421,'DB technologies'!$N$196:$Y$208,4,FALSE)*E421*(1-'DB additional information '!$S$8/100)*(1-VLOOKUP(D421,'DB technologies'!$N$196:$Y$208,8,FALSE)/100))/VLOOKUP($C$421,'DB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P421" s="443" t="str">
        <f>IF(G421=0,0,IF(E421="","",IF(F421="","",IF($C$421=0,"",IF(D421="","",SUM(H421:K421)/G421*100)))))</f>
        <v/>
      </c>
      <c r="Q421" s="473" t="str">
        <f>IF(D421="","",(VLOOKUP(D421,'DB technologies'!$N$196:$Y$208,2,FALSE)*'DB additional information '!$S$6/100*'DB additional information '!$T$6*VLOOKUP($C$421,'DB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R421" s="473" t="str">
        <f>IF(D421="","",(VLOOKUP(D421,'DB technologies'!$N$196:$Y$208,3,FALSE)*'DB additional information '!$S$7/100*'DB additional information '!$T$7*VLOOKUP($C$421,'DB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S421" s="490" t="str">
        <f>IF(D421="","",(VLOOKUP(D421,'DB technologies'!$N$196:$Y$208,4,FALSE)*('DB additional information '!$S$8/100*'DB additional information '!$T$8*E421/1000/1000)))</f>
        <v/>
      </c>
      <c r="T421" s="263" t="str">
        <f>IF($C$421=0,"",IF('Calc (ex-animal)'!$F$78=1,"",IF(D421="","",((VLOOKUP($C$421,'Calc (ex-animal)'!$D$78:$Y$82,10,FALSE)-VLOOKUP($C$421,'Calc (ex-animal)'!$D$78:$Y$82,18,FALSE))*F421/100+Q421+R421+S421)-AC421-AD421-AE421)))</f>
        <v/>
      </c>
      <c r="U421" s="474" t="str">
        <f>IF(D421="","",(VLOOKUP(D421,'DB technologies'!$N$196:$Y$208,2,FALSE)*'DB additional information '!$S$6/100*'DB additional information '!$U$6*VLOOKUP($C$421,'DB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V421" s="420" t="str">
        <f>IF(D421="","",(VLOOKUP(D421,'DB technologies'!$N$196:$Y$208,3,FALSE)*'DB additional information '!$S$7/100*'DB additional information '!$U$7*VLOOKUP($C$421,'DB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W421" s="415" t="str">
        <f>IF(D421="","",(VLOOKUP(D421,'DB technologies'!$N$196:$Y$208,4,FALSE)*('DB additional information '!$S$8/100*'DB additional information '!$U$8*E421/1000/1000)))</f>
        <v/>
      </c>
      <c r="X421" s="259" t="str">
        <f>IF($C$421=0,"",IF('Calc (ex-animal)'!$F$78=1,"",IF(D421="","",((VLOOKUP($C$421,'Calc (ex-animal)'!$D$78:$Y$82,13,FALSE)-VLOOKUP($C$421,'Calc (ex-animal)'!$D$78:$Y$82,19,FALSE))*F421/100+U421+V421+W421))))</f>
        <v/>
      </c>
      <c r="Y421" s="420" t="str">
        <f>IF(D421="","",(VLOOKUP(D421,'DB technologies'!$N$196:$Y$208,2,FALSE)*'DB additional information '!$S$6/100*'DB additional information '!$V$6*VLOOKUP($C$421,'DB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Z421" s="420" t="str">
        <f>IF(D421="","",(VLOOKUP(D421,'DB technologies'!$N$196:$Y$208,3,FALSE)*'DB additional information '!$S$7/100*'DB additional information '!$V$7*VLOOKUP($C$421,'DB animal categories'!$C$147:$AC$156,27,FALSE)*E421/1000/1000)/VLOOKUP($C$421,'DB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AA421" s="420" t="str">
        <f>IF(D421="","",(VLOOKUP(D421,'DB technologies'!$N$196:$Y$208,4,FALSE)*('DB additional information '!$S$8/100*'DB additional information '!$V$8*E421/1000/1000)))</f>
        <v/>
      </c>
      <c r="AB421" s="259" t="str">
        <f>IF($C$421=0,"",IF('Calc (ex-animal)'!$F$78=1,"",IF(D421="","",((VLOOKUP($C$421,'Calc (ex-animal)'!$D$78:$Y$82,16,FALSE)-VLOOKUP($C$421,'Calc (ex-animal)'!$D$78:$Y$82,20,FALSE))*F421/100+Y421+Z421+AA421))))</f>
        <v/>
      </c>
      <c r="AC421" s="259" t="str">
        <f>IF($C$421=0,"",IF('Calc (ex-animal)'!$F$78=1,"",IF(D421="","",VLOOKUP($C$421,'Calc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categories'!$C$147:$AC$156,26,FALSE)/24)*F421/100*VLOOKUP(D421,'DB technologies'!$N$196:$R$208,5,FALSE)/100)))</f>
        <v/>
      </c>
      <c r="AD421" s="259" t="str">
        <f>IF($C$421=0,"",IF('Calc (ex-animal)'!$F$78=1,"",IF(D421="","",VLOOKUP($C$421,'Calc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categories'!$C$147:$AC$156,26,FALSE)/24)*F421/100*VLOOKUP(D421,'DB technologies'!$N$196:$Y$208,6,FALSE)/100)))</f>
        <v/>
      </c>
      <c r="AE421" s="260" t="str">
        <f>IF($C$421=0,"",IF('Calc (ex-animal)'!$F$78=1,"",IF(D421="","",VLOOKUP($C$421,'Calc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categories'!$C$147:$AC$156,26,FALSE)/24)*F421/100*VLOOKUP(D421,'DB technologies'!$N$196:$Y$208,7,FALSE)/100)))</f>
        <v/>
      </c>
      <c r="AI421" s="179" t="str">
        <f>IF(D421="","",VLOOKUP(D421,'DB technologies'!$N$196:$Y$208,10,FALSE))</f>
        <v/>
      </c>
      <c r="AJ421" s="482" t="e">
        <f>VLOOKUP($C$421,'DB animal categories'!$C$147:$AN$156,27,FALSE)-VLOOKUP($C$421,'DB animal categories'!$C$147:$AN$156,26,FALSE)*VLOOKUP($C$421,'DB animal categories'!$C$147:$AN$156,25,FALSE)/24</f>
        <v>#N/A</v>
      </c>
      <c r="AK421" s="453" t="str">
        <f>IF(AI421="","",AL421+AM421)</f>
        <v/>
      </c>
      <c r="AL421" s="453" t="str">
        <f>IF(D421="","",IF(AI421=2,(('Calc (ex-animal)'!$G$82*'DB additional information '!$K$17/100*(1-VLOOKUP(D421,'DB technologies'!$N$196:$Y$208,9,FALSE)/100)*'Calc (ex-housing, ex-storage)'!F421/100+'Calc (ex-animal)'!$H$82*'DB additional information '!$L$17/100*(1-VLOOKUP(D421,'DB technologies'!$N$196:$Y$208,9,FALSE)/100)*'Calc (ex-housing, ex-storage)'!F421/100))/VLOOKUP($C$421,'DB animal categories'!$C$147:$AC$156,27,FALSE)*AJ421+I421+J421+K421,IF(AI421=1,('Calc (ex-animal)'!$H$82*'DB additional information '!$L$17/100*(1-VLOOKUP(D421,'DB technologies'!$N$196:$Y$208,9,FALSE)/100)*'Calc (ex-housing, ex-storage)'!F421/100)/VLOOKUP($C$421,'DB animal categories'!$C$147:$AC$156,27,FALSE)*AJ421,IF(AI421=4,('Calc (ex-animal)'!$G$82*'DB additional information '!$K$17/100+'Calc (ex-animal)'!$H$82*'DB additional information '!$L$17/100)*(1-VLOOKUP(D421,'DB technologies'!$N$196:$Y$208,9,FALSE)/100)*'Calc (ex-housing, ex-storage)'!F421/100*VLOOKUP(D421,'DB technologies'!$N$196:$Y$208,11,FALSE)/100/VLOOKUP($C$421,'DB animal categories'!$C$147:$AC$156,27,FALSE)*AJ421,0))))</f>
        <v/>
      </c>
      <c r="AM421" s="453" t="str">
        <f>IF(D421="","",IF(AI421=2,(('Calc (ex-animal)'!$G$82*(1-'DB additional information '!$K$17/100)*(1-VLOOKUP(D421,'DB technologies'!$N$196:$Y$208,8,FALSE)/100)*'Calc (ex-housing, ex-storage)'!F421/100+'Calc (ex-animal)'!$H$82*(1-'DB additional information '!$L$17/100)*(1-VLOOKUP(D421,'DB technologies'!$N$196:$Y$208,8,FALSE)/100)*'Calc (ex-housing, ex-storage)'!F421/100))/VLOOKUP($C$421,'DB animal categories'!$C$147:$AC$156,27,FALSE)*AJ421+M421+N421+O421,IF(AI421=1,('Calc (ex-animal)'!$H$82*(1-'DB additional information '!$L$17/100)*(1-VLOOKUP(D421,'DB technologies'!$N$196:$Y$208,8,FALSE)/100)*'Calc (ex-housing, ex-storage)'!F421/100)/VLOOKUP($C$421,'DB animal categories'!$C$147:$AC$156,27,FALSE)*AJ421,IF(AI421=4,('Calc (ex-animal)'!$G$82*(1-'DB additional information '!$K$17/100)+'Calc (ex-animal)'!$H$82*(1-'DB additional information '!$L$17/100))*(1-VLOOKUP(D421,'DB technologies'!$N$196:$Y$208,8,FALSE)/100)*'Calc (ex-housing, ex-storage)'!F421/100*VLOOKUP(D421,'DB technologies'!$N$196:$Y$208,11,FALSE)/100/VLOOKUP($C$421,'DB animal categories'!$C$147:$AC$156,27,FALSE)*AJ421,0))))</f>
        <v/>
      </c>
      <c r="AN421" s="453" t="str">
        <f>IF(AI421="","",IF(AL421=0,0,AL421/AK421*100))</f>
        <v/>
      </c>
      <c r="AO421" s="180" t="str">
        <f>IF(D421="","",IF(AI421=2,(('Calc (ex-animal)'!$L$82*'Calc (ex-housing, ex-storage)'!F421/100+'Calc (ex-animal)'!$K$82*'Calc (ex-housing, ex-storage)'!F421/100))/VLOOKUP($C$421,'DB animal categories'!$C$147:$AC$156,27,FALSE)*AJ421+Q421+R421+S421-AC421,IF(AI421=1,('Calc (ex-animal)'!$L$82*'Calc (ex-housing, ex-storage)'!F421/100)/VLOOKUP($C$421,'DB animal categories'!$C$147:$AC$156,27,FALSE)*AJ421-'Calc (ex-housing, ex-storage)'!AC421,IF(AI421=4,('Calc (ex-animal)'!$L$82+'Calc (ex-animal)'!$K$82)*'Calc (ex-housing, ex-storage)'!F421/100*VLOOKUP(D421,'DB technologies'!$N$196:$Y$208,11,FALSE)/100/VLOOKUP($C$421,'DB animal categories'!$C$147:$AC$156,27,FALSE)*AJ421-AC421*VLOOKUP(D421,'DB technologies'!$N$196:$Y$208,11,FALSE)/100,0))))</f>
        <v/>
      </c>
      <c r="AP421" s="180" t="str">
        <f>IF(D421="","",IF(AO421&lt;-0.01,0,IF(AI421=2,(('Calc (ex-animal)'!$L$82*'Calc (ex-housing, ex-storage)'!F421/100+'Calc (ex-animal)'!$K$82*'Calc (ex-housing, ex-storage)'!F421/100))/VLOOKUP($C$421,'DB animal categories'!$C$147:$AC$156,27,FALSE)*AJ421+Q421+R421+S421-AC421,IF(AI421=1,('Calc (ex-animal)'!$L$82*'Calc (ex-housing, ex-storage)'!F421/100)/VLOOKUP($C$421,'DB animal categories'!$C$147:$AC$156,27,FALSE)*AJ421-'Calc (ex-housing, ex-storage)'!AC421,IF(AI421=4,('Calc (ex-animal)'!$L$82+'Calc (ex-animal)'!$K$82)*'Calc (ex-housing, ex-storage)'!F421/100*VLOOKUP(D421,'DB technologies'!$N$196:$Y$208,11,FALSE)/100/VLOOKUP($C$421,'DB animal categories'!$C$147:$AC$156,27,FALSE)*AJ421-AC421*VLOOKUP(D421,'DB technologies'!$N$196:$Y$208,11,FALSE)/100,0)))))</f>
        <v/>
      </c>
      <c r="AQ421" s="180" t="str">
        <f>IF(D421="","",IF(AI421=2,('Calc (ex-animal)'!$O$82*'Calc (ex-housing, ex-storage)'!F421/100+'Calc (ex-animal)'!$N$82*'Calc (ex-housing, ex-storage)'!F421/100)/VLOOKUP($C$421,'DB animal categories'!$C$147:$AC$156,27,FALSE)*AJ421+U421+V421+W421,IF(AI421=1,'Calc (ex-animal)'!$O$82*'Calc (ex-housing, ex-storage)'!F421/100/VLOOKUP($C$421,'DB animal categories'!$C$147:$AC$156,27,FALSE)*AJ421,IF(AI421=4,('Calc (ex-animal)'!$O$82+'Calc (ex-animal)'!$N$82)*'Calc (ex-housing, ex-storage)'!F421/100*VLOOKUP(D421,'DB technologies'!$N$196:$Y$208,11,FALSE)/100/VLOOKUP($C$421,'DB animal categories'!$C$147:$AC$156,27,FALSE)*AJ421,0))))</f>
        <v/>
      </c>
      <c r="AR421" s="180" t="str">
        <f>IF(D421="","",IF(AI421=2,('Calc (ex-animal)'!$R$82*'Calc (ex-housing, ex-storage)'!F421/100+'Calc (ex-animal)'!$Q$82*'Calc (ex-housing, ex-storage)'!F421/100)/VLOOKUP($C$421,'DB animal categories'!$C$147:$AC$156,27,FALSE)*AJ421+Y421+Z421+AA421,IF(AI421=1,'Calc (ex-animal)'!$R$82*'Calc (ex-housing, ex-storage)'!F421/100/VLOOKUP($C$421,'DB animal categories'!$C$147:$AC$156,27,FALSE)*AJ421,IF(AI421=4,('Calc (ex-animal)'!$R$82+'Calc (ex-animal)'!$Q$82)*'Calc (ex-housing, ex-storage)'!F421/100*VLOOKUP(D421,'DB technologies'!$N$196:$Y$208,11,FALSE)/100/VLOOKUP($C$421,'DB animal categories'!$C$147:$AC$156,27,FALSE)*AJ421,0))))</f>
        <v/>
      </c>
      <c r="AS421" s="179" t="str">
        <f>IF(D421="","",VLOOKUP(D421,'DB technologies'!$N$196:$Y$208,10,FALSE))</f>
        <v/>
      </c>
      <c r="AT421" s="453" t="str">
        <f>IF(AS421="","",AU421+AV421)</f>
        <v/>
      </c>
      <c r="AU421" s="453" t="str">
        <f>IF(D421="","",IF(AS421=2,0,IF(AS421=1,'Calc (ex-animal)'!$G$82*'DB additional information '!$K$17/100*(1-VLOOKUP(D421,'DB technologies'!$N$196:$Y$208,8,FALSE)/100)*'Calc (ex-housing, ex-storage)'!F421/100/VLOOKUP($C$421,'DB animal categories'!$C$147:$AC$156,27,FALSE)*AJ421+I421+J421+K421,IF(AS421=5,(('Calc (ex-animal)'!$G$82*'DB additional information '!$K$17/100+'Calc (ex-animal)'!$H$82*'DB additional information '!$L$17/100))*(1-VLOOKUP(D421,'DB technologies'!$N$196:$Y$208,9,FALSE)/100)*'Calc (ex-housing, ex-storage)'!F421/100/VLOOKUP($C$421,'DB animal categories'!$C$147:$AC$156,27,FALSE)*AJ421+I421+J421+K421,IF(AS421=3,('Calc (ex-animal)'!$G$82*'DB additional information '!$K$17/100+'Calc (ex-animal)'!$H$82*'DB additional information '!$L$17/100)*(1-VLOOKUP(D421,'DB technologies'!$N$196:$Y$208,9,FALSE)/100)*'Calc (ex-housing, ex-storage)'!F421/100/VLOOKUP($C$421,'DB animal categories'!$C$147:$AC$156,27,FALSE)*AJ421+I421+J421+K421,IF(AS421=4,('Calc (ex-animal)'!$G$82*'DB additional information '!$K$17/100+'Calc (ex-animal)'!$H$82*'DB additional information '!$L$17/100)*(1-VLOOKUP(D421,'DB technologies'!$N$196:$Y$208,9,FALSE)/100)*'Calc (ex-housing, ex-storage)'!F421/100*VLOOKUP(D421,'DB technologies'!$N$196:$Y$208,12,FALSE)/100/VLOOKUP($C$421,'DB animal categories'!$C$147:$AC$156,27,FALSE)*AJ421+I421+J421+K421,0))))))</f>
        <v/>
      </c>
      <c r="AV421" s="453" t="str">
        <f>IF(D421="","",IF(AS421=2,0,IF(AS421=1,'Calc (ex-animal)'!$G$82*(1-'DB additional information '!$K$17/100)*(1-VLOOKUP(D421,'DB technologies'!$N$196:$Y$208,8,FALSE)/100)*'Calc (ex-housing, ex-storage)'!F421/100/VLOOKUP($C$421,'DB animal categories'!$C$147:$AC$156,27,FALSE)*AJ421+M421+N421+O421,IF(AS421=5,('Calc (ex-animal)'!$G$82*(1-'DB additional information '!$K$17/100)+'Calc (ex-animal)'!$H$82*(1-'DB additional information '!$L$17/100))*(1-VLOOKUP(D421,'DB technologies'!$N$196:$Y$208,8,FALSE)/100)*'Calc (ex-housing, ex-storage)'!F421/100/VLOOKUP($C$421,'DB animal categories'!$C$147:$AC$156,27,FALSE)*AJ421+M421+N421+O421,IF(AS421=3,('Calc (ex-animal)'!$G$82*(1-'DB additional information '!$K$17/100)+'Calc (ex-animal)'!$H$82*(1-'DB additional information '!$L$17/100))*(1-VLOOKUP(D421,'DB technologies'!$N$196:$Y$208,8,FALSE)/100)*'Calc (ex-housing, ex-storage)'!F421/100/VLOOKUP($C$421,'DB animal categories'!$C$147:$AC$156,27,FALSE)*AJ421+M421+N421+O421,IF(AS421=4,('Calc (ex-animal)'!$G$82*(1-'DB additional information '!$K$17/100)+'Calc (ex-animal)'!$H$82*(1-'DB additional information '!$L$17/100))*(1-VLOOKUP(D421,'DB technologies'!$N$196:$Y$208,8,FALSE)/100)*'Calc (ex-housing, ex-storage)'!F421/100*VLOOKUP(D421,'DB technologies'!$N$196:$Y$208,12,FALSE)/100/VLOOKUP($C$421,'DB animal categories'!$C$147:$AC$156,27,FALSE)*AJ421+M421+N421+O421,0))))))</f>
        <v/>
      </c>
      <c r="AW421" s="453" t="str">
        <f>IF(AS421="","",IF(AU421=0,0,AU421/AT421*100))</f>
        <v/>
      </c>
      <c r="AX421" s="180" t="str">
        <f>IF(D421="","",IF(AS421=2,0,IF(AS421=1,'Calc (ex-animal)'!$K$82*'Calc (ex-housing, ex-storage)'!F421/100/VLOOKUP($C$421,'DB animal categories'!$C$147:$AC$156,27,FALSE)*AJ421+Q421+R421+S421,IF(AS421=5,('Calc (ex-animal)'!$K$82+'Calc (ex-animal)'!$L$82)*'Calc (ex-housing, ex-storage)'!F421/100/VLOOKUP($C$421,'DB animal categories'!$C$147:$AC$156,27,FALSE)*AJ421+Q421+R421+S421-'Calc (ex-housing, ex-storage)'!AC421,IF(AS421=3,('Calc (ex-animal)'!$K$82+'Calc (ex-animal)'!$L$82)*'Calc (ex-housing, ex-storage)'!F421/100/VLOOKUP($C$421,'DB animal categories'!$C$147:$AC$156,27,FALSE)*AJ421+Q421+R421+S421-'Calc (ex-housing, ex-storage)'!AC421-AD421-AE421,IF(AI421=4,('Calc (ex-animal)'!$K$82+'Calc (ex-animal)'!$L$82)*'Calc (ex-housing, ex-storage)'!F421/100*VLOOKUP(D421,'DB technologies'!$N$196:$Y$208,12,FALSE)/100/VLOOKUP($C$421,'DB animal categories'!$C$147:$AC$156,27,FALSE)*AJ421+Q421+R421+S421-(VLOOKUP(D421,'DB technologies'!$N$196:$Y$208,12,FALSE)/100*AC421)-AD421-AE421,0))))))</f>
        <v/>
      </c>
      <c r="AY421" s="180" t="str">
        <f>IF(D421="","",IF(AS421=2,0,IF(AS421=1,'Calc (ex-animal)'!$N$82*'Calc (ex-housing, ex-storage)'!F421/100/VLOOKUP($C$421,'DB animal categories'!$C$147:$AC$156,27,FALSE)*AJ421+U421+V421+W421,IF(AS421=5,('Calc (ex-animal)'!$N$82+'Calc (ex-animal)'!$O$82)*'Calc (ex-housing, ex-storage)'!F421/100/VLOOKUP($C$421,'DB animal categories'!$C$147:$AC$156,27,FALSE)*AJ421+U421+V421+W421,IF(AS421=3,('Calc (ex-animal)'!$N$82+'Calc (ex-animal)'!$O$82)*'Calc (ex-housing, ex-storage)'!F421/100/VLOOKUP($C$421,'DB animal categories'!$C$147:$AC$156,27,FALSE)*AJ421+U421+V421+W421,IF(AS421=4,('Calc (ex-animal)'!$N$82+'Calc (ex-animal)'!$O$82)*'Calc (ex-housing, ex-storage)'!F421/100*VLOOKUP(D421,'DB technologies'!$N$196:$Y$208,12,FALSE)/100/VLOOKUP($C$421,'DB animal categories'!$C$147:$AC$156,27,FALSE)*AJ421+U421+V421+W421,0))))))</f>
        <v/>
      </c>
      <c r="AZ421" s="180" t="str">
        <f>IF(D421="","",IF(AS421=2,0,IF(AS421=1,'Calc (ex-animal)'!$Q$82*'Calc (ex-housing, ex-storage)'!F421/100/VLOOKUP($C$421,'DB animal categories'!$C$147:$AC$156,27,FALSE)*AJ421+Y421+Z421+AA421,IF(AS421=5,('Calc (ex-animal)'!$Q$82+'Calc (ex-animal)'!$R$82)*'Calc (ex-housing, ex-storage)'!F421/100/VLOOKUP($C$421,'DB animal categories'!$C$147:$AC$156,27,FALSE)*AJ421+Y421+Z421+AA421,IF(AS421=3,('Calc (ex-animal)'!$Q$82+'Calc (ex-animal)'!$R$82)*'Calc (ex-housing, ex-storage)'!F421/100/VLOOKUP($C$421,'DB animal categories'!$C$147:$AC$156,27,FALSE)*AJ421+Y421+Z421+AA421,IF(AS421=4,('Calc (ex-animal)'!$Q$82+'Calc (ex-animal)'!$R$82)*'Calc (ex-housing, ex-storage)'!F421/100*VLOOKUP(D421,'DB technologies'!$N$196:$Y$208,12,FALSE)/100/VLOOKUP($C$421,'DB animal categories'!$C$147:$AC$156,27,FALSE)*AJ421+Y421+Z421+AA421,0))))))</f>
        <v/>
      </c>
      <c r="BA421" s="506"/>
      <c r="BB421" s="506"/>
      <c r="BC421" s="506"/>
    </row>
    <row r="422" spans="1:55" x14ac:dyDescent="0.2">
      <c r="A422" s="695"/>
      <c r="B422" s="695"/>
      <c r="C422" s="251"/>
      <c r="D422" s="1357"/>
      <c r="E422" s="1399"/>
      <c r="F422" s="480" t="str">
        <f>IF('Calc (ex-animal)'!$F$78=1,"",IF($C$421=0,"",IF(D422="","",E422/'Calc (ex-animal)'!$E$82*100)))</f>
        <v/>
      </c>
      <c r="G422" s="485" t="str">
        <f>IF($C$421=0,"",IF('Calc (ex-animal)'!$F$78=1,"",IF(D422="","",SUM(H422:O422))))</f>
        <v/>
      </c>
      <c r="H422" s="423" t="str">
        <f>IF('Calc (ex-animal)'!$F$78=1,"",IF(D422="","",(((VLOOKUP($C$421,'Calc (ex-animal)'!$D$78:$Y$82,6,FALSE)-VLOOKUP($C$421,'Calc (ex-animal)'!$D$78:$Y$82,17,FALSE))*F422/100))*VLOOKUP($C$421,'Calc (ex-animal)'!$D$78:$Y$82,7,FALSE)/100*(1-VLOOKUP(D422,'DB technologies'!$N$196:$Y$208,9,FALSE)/100)))</f>
        <v/>
      </c>
      <c r="I422" s="423" t="str">
        <f>IF(D422="","",((VLOOKUP(D422,'DB technologies'!$N$196:$Y$208,2,FALSE)*VLOOKUP($C$421,'DB animal categories'!$C$147:$AC$156,27,FALSE)*E422/1000)/VLOOKUP($C$421,'DB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'!$S$6/100*(1-VLOOKUP(D422,'DB technologies'!$N$196:$Y$208,9,FALSE)/100)))</f>
        <v/>
      </c>
      <c r="J422" s="434" t="str">
        <f>IF(D422="","",((VLOOKUP(D422,'DB technologies'!$N$196:$Y$208,3,FALSE)*VLOOKUP($C$421,'DB animal categories'!$C$147:$AC$156,27,FALSE)*E422/1000)/VLOOKUP($C$421,'DB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'!$S$7/100*(1-VLOOKUP(D422,'DB technologies'!$N$196:$Y$208,9,FALSE)/100)))</f>
        <v/>
      </c>
      <c r="K422" s="434" t="str">
        <f>IF(D422="","",((VLOOKUP(D422,'DB technologies'!$N$196:$Y$208,4,FALSE)*E422*'DB additional information '!$S$8/100*(1-VLOOKUP(D422,'DB technologies'!$N$196:$Y$208,9,FALSE)/100))/VLOOKUP($C$421,'DB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L422" s="423" t="str">
        <f>IF('Calc (ex-animal)'!$F$78=1,"",IF(D422="","",(((VLOOKUP($C$421,'Calc (ex-animal)'!$D$78:$Y$82,6,FALSE)-VLOOKUP($C$421,'Calc (ex-animal)'!$D$78:$Y$82,17,FALSE))*F422/100))*(1-VLOOKUP($C$421,'Calc (ex-animal)'!$D$78:$Y$82,7,FALSE)/100)*(1-VLOOKUP(D422,'DB technologies'!$N$196:$V$208,8,FALSE)/100)))</f>
        <v/>
      </c>
      <c r="M422" s="434" t="str">
        <f>IF(D422="","",((VLOOKUP(D422,'DB technologies'!$N$196:$Y$208,2,FALSE)*VLOOKUP($C$421,'DB animal categories'!$C$147:$AC$156,27,FALSE)*E422/1000)/VLOOKUP($C$421,'DB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'!$S$6/100)*(1-VLOOKUP(D422,'DB technologies'!$N$196:$Y$208,9,FALSE)/100))</f>
        <v/>
      </c>
      <c r="N422" s="434" t="str">
        <f>IF(D422="","",((VLOOKUP(D422,'DB technologies'!$N$196:$Y$208,3,FALSE)*VLOOKUP($C$421,'DB animal categories'!$C$147:$AC$156,27,FALSE)*E422/1000)/VLOOKUP($C$421,'DB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'!$S$7/100)*(1-VLOOKUP(D422,'DB technologies'!$N$196:$Y$208,9,FALSE)/100))</f>
        <v/>
      </c>
      <c r="O422" s="423" t="str">
        <f>IF(D422="","",((VLOOKUP(D422,'DB technologies'!$N$196:$Y$208,4,FALSE)*E422*(1-'DB additional information '!$S$8/100)*(1-VLOOKUP(D422,'DB technologies'!$N$196:$Y$208,8,FALSE)/100))/VLOOKUP($C$421,'DB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P422" s="438" t="str">
        <f>IF(G422=0,0,IF(E422="","",IF(F422="","",IF($C$421=0,"",IF(D422="","",SUM(H422:K422)/G422*100)))))</f>
        <v/>
      </c>
      <c r="Q422" s="416" t="str">
        <f>IF(D422="","",(VLOOKUP(D422,'DB technologies'!$N$196:$Y$208,2,FALSE)*'DB additional information '!$S$6/100*'DB additional information '!$T$6*VLOOKUP($C$421,'DB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R422" s="416" t="str">
        <f>IF(D422="","",(VLOOKUP(D422,'DB technologies'!$N$196:$Y$208,3,FALSE)*'DB additional information '!$S$7/100*'DB additional information '!$T$7*VLOOKUP($C$421,'DB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S422" s="491" t="str">
        <f>IF(D422="","",(VLOOKUP(D422,'DB technologies'!$N$196:$Y$208,4,FALSE)*('DB additional information '!$S$8/100*'DB additional information '!$T$8*E422/1000/1000)))</f>
        <v/>
      </c>
      <c r="T422" s="264" t="str">
        <f>IF($C$421=0,"",IF('Calc (ex-animal)'!$F$78=1,"",IF(D422="","",((VLOOKUP($C$421,'Calc (ex-animal)'!$D$78:$Y$82,10,FALSE)-VLOOKUP($C$421,'Calc (ex-animal)'!$D$78:$Y$82,18,FALSE))*F422/100+Q422+R422+S422)-AC422-AD422-AE422)))</f>
        <v/>
      </c>
      <c r="U422" s="422" t="str">
        <f>IF(D422="","",(VLOOKUP(D422,'DB technologies'!$N$196:$Y$208,2,FALSE)*'DB additional information '!$S$6/100*'DB additional information '!$U$6*VLOOKUP($C$421,'DB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V422" s="418" t="str">
        <f>IF(D422="","",(VLOOKUP(D422,'DB technologies'!$N$196:$Y$208,3,FALSE)*'DB additional information '!$S$7/100*'DB additional information '!$U$7*VLOOKUP($C$421,'DB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W422" s="417" t="str">
        <f>IF(D422="","",(VLOOKUP(D422,'DB technologies'!$N$196:$Y$208,4,FALSE)*('DB additional information '!$S$8/100*'DB additional information '!$U$8*E422/1000/1000)))</f>
        <v/>
      </c>
      <c r="X422" s="261" t="str">
        <f>IF($C$421=0,"",IF('Calc (ex-animal)'!$F$78=1,"",IF(D422="","",((VLOOKUP($C$421,'Calc (ex-animal)'!$D$78:$Y$82,13,FALSE)-VLOOKUP($C$421,'Calc (ex-animal)'!$D$78:$Y$82,19,FALSE))*F422/100+U422+V422+W422))))</f>
        <v/>
      </c>
      <c r="Y422" s="418" t="str">
        <f>IF(D422="","",(VLOOKUP(D422,'DB technologies'!$N$196:$Y$208,2,FALSE)*'DB additional information '!$S$6/100*'DB additional information '!$V$6*VLOOKUP($C$421,'DB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Z422" s="418" t="str">
        <f>IF(D422="","",(VLOOKUP(D422,'DB technologies'!$N$196:$Y$208,3,FALSE)*'DB additional information '!$S$7/100*'DB additional information '!$V$7*VLOOKUP($C$421,'DB animal categories'!$C$147:$AC$156,27,FALSE)*E422/1000/1000)/VLOOKUP($C$421,'DB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AA422" s="418" t="str">
        <f>IF(D422="","",(VLOOKUP(D422,'DB technologies'!$N$196:$Y$208,4,FALSE)*('DB additional information '!$S$8/100*'DB additional information '!$V$8*E422/1000/1000)))</f>
        <v/>
      </c>
      <c r="AB422" s="261" t="str">
        <f>IF($C$421=0,"",IF('Calc (ex-animal)'!$F$78=1,"",IF(D422="","",((VLOOKUP($C$421,'Calc (ex-animal)'!$D$78:$Y$82,16,FALSE)-VLOOKUP($C$421,'Calc (ex-animal)'!$D$78:$Y$82,20,FALSE))*F422/100+Y422+Z422+AA422))))</f>
        <v/>
      </c>
      <c r="AC422" s="261" t="str">
        <f>IF($C$421=0,"",IF('Calc (ex-animal)'!$F$78=1,"",IF(D422="","",VLOOKUP($C$421,'Calc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categories'!$C$147:$AC$156,26,FALSE)/24)*F422/100*VLOOKUP(D422,'DB technologies'!$N$196:$R$208,5,FALSE)/100)))</f>
        <v/>
      </c>
      <c r="AD422" s="261" t="str">
        <f>IF($C$421=0,"",IF('Calc (ex-animal)'!$F$78=1,"",IF(D422="","",VLOOKUP($C$421,'Calc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categories'!$C$147:$AC$156,26,FALSE)/24)*F422/100*VLOOKUP(D422,'DB technologies'!$N$196:$Y$208,6,FALSE)/100)))</f>
        <v/>
      </c>
      <c r="AE422" s="262" t="str">
        <f>IF($C$421=0,"",IF('Calc (ex-animal)'!$F$78=1,"",IF(D422="","",VLOOKUP($C$421,'Calc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categories'!$C$147:$AC$156,26,FALSE)/24)*F422/100*VLOOKUP(D422,'DB technologies'!$N$196:$Y$208,7,FALSE)/100)))</f>
        <v/>
      </c>
      <c r="AI422" s="181" t="str">
        <f>IF(D422="","",VLOOKUP(D422,'DB technologies'!$N$196:$Y$208,10,FALSE))</f>
        <v/>
      </c>
      <c r="AJ422" s="449" t="e">
        <f>VLOOKUP($C$421,'DB animal categories'!$C$147:$AN$156,27,FALSE)-VLOOKUP($C$421,'DB animal categories'!$C$147:$AN$156,26,FALSE)*VLOOKUP($C$421,'DB animal categories'!$C$147:$AN$156,25,FALSE)/24</f>
        <v>#N/A</v>
      </c>
      <c r="AK422" s="442" t="str">
        <f>IF(AI422="","",AL422+AM422)</f>
        <v/>
      </c>
      <c r="AL422" s="442" t="str">
        <f>IF(D422="","",IF(AI422=2,(('Calc (ex-animal)'!$G$82*'DB additional information '!$K$17/100*(1-VLOOKUP(D422,'DB technologies'!$N$196:$Y$208,9,FALSE)/100)*'Calc (ex-housing, ex-storage)'!F422/100+'Calc (ex-animal)'!$H$82*'DB additional information '!$L$17/100*(1-VLOOKUP(D422,'DB technologies'!$N$196:$Y$208,9,FALSE)/100)*'Calc (ex-housing, ex-storage)'!F422/100))/VLOOKUP($C$421,'DB animal categories'!$C$147:$AC$156,27,FALSE)*AJ422+I422+J422+K422,IF(AI422=1,('Calc (ex-animal)'!$H$82*'DB additional information '!$L$17/100*(1-VLOOKUP(D422,'DB technologies'!$N$196:$Y$208,9,FALSE)/100)*'Calc (ex-housing, ex-storage)'!F422/100)/VLOOKUP($C$421,'DB animal categories'!$C$147:$AC$156,27,FALSE)*AJ422,IF(AI422=4,('Calc (ex-animal)'!$G$82*'DB additional information '!$K$17/100+'Calc (ex-animal)'!$H$82*'DB additional information '!$L$17/100)*(1-VLOOKUP(D422,'DB technologies'!$N$196:$Y$208,9,FALSE)/100)*'Calc (ex-housing, ex-storage)'!F422/100*VLOOKUP(D422,'DB technologies'!$N$196:$Y$208,11,FALSE)/100/VLOOKUP($C$421,'DB animal categories'!$C$147:$AC$156,27,FALSE)*AJ422,0))))</f>
        <v/>
      </c>
      <c r="AM422" s="442" t="str">
        <f>IF(D422="","",IF(AI422=2,(('Calc (ex-animal)'!$G$82*(1-'DB additional information '!$K$17/100)*(1-VLOOKUP(D422,'DB technologies'!$N$196:$Y$208,8,FALSE)/100)*'Calc (ex-housing, ex-storage)'!F422/100+'Calc (ex-animal)'!$H$82*(1-'DB additional information '!$L$17/100)*(1-VLOOKUP(D422,'DB technologies'!$N$196:$Y$208,8,FALSE)/100)*'Calc (ex-housing, ex-storage)'!F422/100))/VLOOKUP($C$421,'DB animal categories'!$C$147:$AC$156,27,FALSE)*AJ422+M422+N422+O422,IF(AI422=1,('Calc (ex-animal)'!$H$82*(1-'DB additional information '!$L$17/100)*(1-VLOOKUP(D422,'DB technologies'!$N$196:$Y$208,8,FALSE)/100)*'Calc (ex-housing, ex-storage)'!F422/100)/VLOOKUP($C$421,'DB animal categories'!$C$147:$AC$156,27,FALSE)*AJ422,IF(AI422=4,('Calc (ex-animal)'!$G$82*(1-'DB additional information '!$K$17/100)+'Calc (ex-animal)'!$H$82*(1-'DB additional information '!$L$17/100))*(1-VLOOKUP(D422,'DB technologies'!$N$196:$Y$208,8,FALSE)/100)*'Calc (ex-housing, ex-storage)'!F422/100*VLOOKUP(D422,'DB technologies'!$N$196:$Y$208,11,FALSE)/100/VLOOKUP($C$421,'DB animal categories'!$C$147:$AC$156,27,FALSE)*AJ422,0))))</f>
        <v/>
      </c>
      <c r="AN422" s="442" t="str">
        <f>IF(AI422="","",IF(AL422=0,0,AL422/AK422*100))</f>
        <v/>
      </c>
      <c r="AO422" s="182" t="str">
        <f>IF(D422="","",IF(AI422=2,(('Calc (ex-animal)'!$L$82*'Calc (ex-housing, ex-storage)'!F422/100+'Calc (ex-animal)'!$K$82*'Calc (ex-housing, ex-storage)'!F422/100))/VLOOKUP($C$421,'DB animal categories'!$C$147:$AC$156,27,FALSE)*AJ422+Q422+R422+S422-AC422,IF(AI422=1,('Calc (ex-animal)'!$L$82*'Calc (ex-housing, ex-storage)'!F422/100)/VLOOKUP($C$421,'DB animal categories'!$C$147:$AC$156,27,FALSE)*AJ422-'Calc (ex-housing, ex-storage)'!AC422,IF(AI422=4,('Calc (ex-animal)'!$L$82+'Calc (ex-animal)'!$K$82)*'Calc (ex-housing, ex-storage)'!F422/100*VLOOKUP(D422,'DB technologies'!$N$196:$Y$208,11,FALSE)/100/VLOOKUP($C$421,'DB animal categories'!$C$147:$AC$156,27,FALSE)*AJ422-AC422*VLOOKUP(D422,'DB technologies'!$N$196:$Y$208,11,FALSE)/100,0))))</f>
        <v/>
      </c>
      <c r="AP422" s="182" t="str">
        <f>IF(D422="","",IF(AO422&lt;-0.01,0,IF(AI422=2,(('Calc (ex-animal)'!$L$82*'Calc (ex-housing, ex-storage)'!F422/100+'Calc (ex-animal)'!$K$82*'Calc (ex-housing, ex-storage)'!F422/100))/VLOOKUP($C$421,'DB animal categories'!$C$147:$AC$156,27,FALSE)*AJ422+Q422+R422+S422-AC422,IF(AI422=1,('Calc (ex-animal)'!$L$82*'Calc (ex-housing, ex-storage)'!F422/100)/VLOOKUP($C$421,'DB animal categories'!$C$147:$AC$156,27,FALSE)*AJ422-'Calc (ex-housing, ex-storage)'!AC422,IF(AI422=4,('Calc (ex-animal)'!$L$82+'Calc (ex-animal)'!$K$82)*'Calc (ex-housing, ex-storage)'!F422/100*VLOOKUP(D422,'DB technologies'!$N$196:$Y$208,11,FALSE)/100/VLOOKUP($C$421,'DB animal categories'!$C$147:$AC$156,27,FALSE)*AJ422-AC422*VLOOKUP(D422,'DB technologies'!$N$196:$Y$208,11,FALSE)/100,0)))))</f>
        <v/>
      </c>
      <c r="AQ422" s="182" t="str">
        <f>IF(D422="","",IF(AI422=2,('Calc (ex-animal)'!$O$82*'Calc (ex-housing, ex-storage)'!F422/100+'Calc (ex-animal)'!$N$82*'Calc (ex-housing, ex-storage)'!F422/100)/VLOOKUP($C$421,'DB animal categories'!$C$147:$AC$156,27,FALSE)*AJ422+U422+V422+W422,IF(AI422=1,'Calc (ex-animal)'!$O$82*'Calc (ex-housing, ex-storage)'!F422/100/VLOOKUP($C$421,'DB animal categories'!$C$147:$AC$156,27,FALSE)*AJ422,IF(AI422=4,('Calc (ex-animal)'!$O$82+'Calc (ex-animal)'!$N$82)*'Calc (ex-housing, ex-storage)'!F422/100*VLOOKUP(D422,'DB technologies'!$N$196:$Y$208,11,FALSE)/100/VLOOKUP($C$421,'DB animal categories'!$C$147:$AC$156,27,FALSE)*AJ422,0))))</f>
        <v/>
      </c>
      <c r="AR422" s="182" t="str">
        <f>IF(D422="","",IF(AI422=2,('Calc (ex-animal)'!$R$82*'Calc (ex-housing, ex-storage)'!F422/100+'Calc (ex-animal)'!$Q$82*'Calc (ex-housing, ex-storage)'!F422/100)/VLOOKUP($C$421,'DB animal categories'!$C$147:$AC$156,27,FALSE)*AJ422+Y422+Z422+AA422,IF(AI422=1,'Calc (ex-animal)'!$R$82*'Calc (ex-housing, ex-storage)'!F422/100/VLOOKUP($C$421,'DB animal categories'!$C$147:$AC$156,27,FALSE)*AJ422,IF(AI422=4,('Calc (ex-animal)'!$R$82+'Calc (ex-animal)'!$Q$82)*'Calc (ex-housing, ex-storage)'!F422/100*VLOOKUP(D422,'DB technologies'!$N$196:$Y$208,11,FALSE)/100/VLOOKUP($C$421,'DB animal categories'!$C$147:$AC$156,27,FALSE)*AJ422,0))))</f>
        <v/>
      </c>
      <c r="AS422" s="181" t="str">
        <f>IF(D422="","",VLOOKUP(D422,'DB technologies'!$N$196:$Y$208,10,FALSE))</f>
        <v/>
      </c>
      <c r="AT422" s="442" t="str">
        <f>IF(AS422="","",AU422+AV422)</f>
        <v/>
      </c>
      <c r="AU422" s="442" t="str">
        <f>IF(D422="","",IF(AS422=2,0,IF(AS422=1,'Calc (ex-animal)'!$G$82*'DB additional information '!$K$17/100*(1-VLOOKUP(D422,'DB technologies'!$N$196:$Y$208,8,FALSE)/100)*'Calc (ex-housing, ex-storage)'!F422/100/VLOOKUP($C$421,'DB animal categories'!$C$147:$AC$156,27,FALSE)*AJ422+I422+J422+K422,IF(AS422=5,(('Calc (ex-animal)'!$G$82*'DB additional information '!$K$17/100+'Calc (ex-animal)'!$H$82*'DB additional information '!$L$17/100))*(1-VLOOKUP(D422,'DB technologies'!$N$196:$Y$208,9,FALSE)/100)*'Calc (ex-housing, ex-storage)'!F422/100/VLOOKUP($C$421,'DB animal categories'!$C$147:$AC$156,27,FALSE)*AJ422+I422+J422+K422,IF(AS422=3,('Calc (ex-animal)'!$G$82*'DB additional information '!$K$17/100+'Calc (ex-animal)'!$H$82*'DB additional information '!$L$17/100)*(1-VLOOKUP(D422,'DB technologies'!$N$196:$Y$208,9,FALSE)/100)*'Calc (ex-housing, ex-storage)'!F422/100/VLOOKUP($C$421,'DB animal categories'!$C$147:$AC$156,27,FALSE)*AJ422+I422+J422+K422,IF(AS422=4,('Calc (ex-animal)'!$G$82*'DB additional information '!$K$17/100+'Calc (ex-animal)'!$H$82*'DB additional information '!$L$17/100)*(1-VLOOKUP(D422,'DB technologies'!$N$196:$Y$208,9,FALSE)/100)*'Calc (ex-housing, ex-storage)'!F422/100*VLOOKUP(D422,'DB technologies'!$N$196:$Y$208,12,FALSE)/100/VLOOKUP($C$421,'DB animal categories'!$C$147:$AC$156,27,FALSE)*AJ422+I422+J422+K422,0))))))</f>
        <v/>
      </c>
      <c r="AV422" s="442" t="str">
        <f>IF(D422="","",IF(AS422=2,0,IF(AS422=1,'Calc (ex-animal)'!$G$82*(1-'DB additional information '!$K$17/100)*(1-VLOOKUP(D422,'DB technologies'!$N$196:$Y$208,8,FALSE)/100)*'Calc (ex-housing, ex-storage)'!F422/100/VLOOKUP($C$421,'DB animal categories'!$C$147:$AC$156,27,FALSE)*AJ422+M422+N422+O422,IF(AS422=5,('Calc (ex-animal)'!$G$82*(1-'DB additional information '!$K$17/100)+'Calc (ex-animal)'!$H$82*(1-'DB additional information '!$L$17/100))*(1-VLOOKUP(D422,'DB technologies'!$N$196:$Y$208,8,FALSE)/100)*'Calc (ex-housing, ex-storage)'!F422/100/VLOOKUP($C$421,'DB animal categories'!$C$147:$AC$156,27,FALSE)*AJ422+M422+N422+O422,IF(AS422=3,('Calc (ex-animal)'!$G$82*(1-'DB additional information '!$K$17/100)+'Calc (ex-animal)'!$H$82*(1-'DB additional information '!$L$17/100))*(1-VLOOKUP(D422,'DB technologies'!$N$196:$Y$208,8,FALSE)/100)*'Calc (ex-housing, ex-storage)'!F422/100/VLOOKUP($C$421,'DB animal categories'!$C$147:$AC$156,27,FALSE)*AJ422+M422+N422+O422,IF(AS422=4,('Calc (ex-animal)'!$G$82*(1-'DB additional information '!$K$17/100)+'Calc (ex-animal)'!$H$82*(1-'DB additional information '!$L$17/100))*(1-VLOOKUP(D422,'DB technologies'!$N$196:$Y$208,8,FALSE)/100)*'Calc (ex-housing, ex-storage)'!F422/100*VLOOKUP(D422,'DB technologies'!$N$196:$Y$208,12,FALSE)/100/VLOOKUP($C$421,'DB animal categories'!$C$147:$AC$156,27,FALSE)*AJ422+M422+N422+O422,0))))))</f>
        <v/>
      </c>
      <c r="AW422" s="442" t="str">
        <f>IF(AS422="","",IF(AU422=0,0,AU422/AT422*100))</f>
        <v/>
      </c>
      <c r="AX422" s="182" t="str">
        <f>IF(D422="","",IF(AS422=2,0,IF(AS422=1,'Calc (ex-animal)'!$K$82*'Calc (ex-housing, ex-storage)'!F422/100/VLOOKUP($C$421,'DB animal categories'!$C$147:$AC$156,27,FALSE)*AJ422+Q422+R422+S422,IF(AS422=5,('Calc (ex-animal)'!$K$82+'Calc (ex-animal)'!$L$82)*'Calc (ex-housing, ex-storage)'!F422/100/VLOOKUP($C$421,'DB animal categories'!$C$147:$AC$156,27,FALSE)*AJ422+Q422+R422+S422-'Calc (ex-housing, ex-storage)'!AC422,IF(AS422=3,('Calc (ex-animal)'!$K$82+'Calc (ex-animal)'!$L$82)*'Calc (ex-housing, ex-storage)'!F422/100/VLOOKUP($C$421,'DB animal categories'!$C$147:$AC$156,27,FALSE)*AJ422+Q422+R422+S422-'Calc (ex-housing, ex-storage)'!AC422-AD422-AE422,IF(AI422=4,('Calc (ex-animal)'!$K$82+'Calc (ex-animal)'!$L$82)*'Calc (ex-housing, ex-storage)'!F422/100*VLOOKUP(D422,'DB technologies'!$N$196:$Y$208,12,FALSE)/100/VLOOKUP($C$421,'DB animal categories'!$C$147:$AC$156,27,FALSE)*AJ422+Q422+R422+S422-(VLOOKUP(D422,'DB technologies'!$N$196:$Y$208,12,FALSE)/100*AC422)-AD422-AE422,0))))))</f>
        <v/>
      </c>
      <c r="AY422" s="182" t="str">
        <f>IF(D422="","",IF(AS422=2,0,IF(AS422=1,'Calc (ex-animal)'!$N$82*'Calc (ex-housing, ex-storage)'!F422/100/VLOOKUP($C$421,'DB animal categories'!$C$147:$AC$156,27,FALSE)*AJ422+U422+V422+W422,IF(AS422=5,('Calc (ex-animal)'!$N$82+'Calc (ex-animal)'!$O$82)*'Calc (ex-housing, ex-storage)'!F422/100/VLOOKUP($C$421,'DB animal categories'!$C$147:$AC$156,27,FALSE)*AJ422+U422+V422+W422,IF(AS422=3,('Calc (ex-animal)'!$N$82+'Calc (ex-animal)'!$O$82)*'Calc (ex-housing, ex-storage)'!F422/100/VLOOKUP($C$421,'DB animal categories'!$C$147:$AC$156,27,FALSE)*AJ422+U422+V422+W422,IF(AS422=4,('Calc (ex-animal)'!$N$82+'Calc (ex-animal)'!$O$82)*'Calc (ex-housing, ex-storage)'!F422/100*VLOOKUP(D422,'DB technologies'!$N$196:$Y$208,12,FALSE)/100/VLOOKUP($C$421,'DB animal categories'!$C$147:$AC$156,27,FALSE)*AJ422+U422+V422+W422,0))))))</f>
        <v/>
      </c>
      <c r="AZ422" s="182" t="str">
        <f>IF(D422="","",IF(AS422=2,0,IF(AS422=1,'Calc (ex-animal)'!$Q$82*'Calc (ex-housing, ex-storage)'!F422/100/VLOOKUP($C$421,'DB animal categories'!$C$147:$AC$156,27,FALSE)*AJ422+Y422+Z422+AA422,IF(AS422=5,('Calc (ex-animal)'!$Q$82+'Calc (ex-animal)'!$R$82)*'Calc (ex-housing, ex-storage)'!F422/100/VLOOKUP($C$421,'DB animal categories'!$C$147:$AC$156,27,FALSE)*AJ422+Y422+Z422+AA422,IF(AS422=3,('Calc (ex-animal)'!$Q$82+'Calc (ex-animal)'!$R$82)*'Calc (ex-housing, ex-storage)'!F422/100/VLOOKUP($C$421,'DB animal categories'!$C$147:$AC$156,27,FALSE)*AJ422+Y422+Z422+AA422,IF(AS422=4,('Calc (ex-animal)'!$Q$82+'Calc (ex-animal)'!$R$82)*'Calc (ex-housing, ex-storage)'!F422/100*VLOOKUP(D422,'DB technologies'!$N$196:$Y$208,12,FALSE)/100/VLOOKUP($C$421,'DB animal categories'!$C$147:$AC$156,27,FALSE)*AJ422+Y422+Z422+AA422,0))))))</f>
        <v/>
      </c>
      <c r="BA422" s="506"/>
      <c r="BB422" s="506"/>
      <c r="BC422" s="506"/>
    </row>
    <row r="423" spans="1:55" x14ac:dyDescent="0.2">
      <c r="A423" s="695"/>
      <c r="B423" s="695"/>
      <c r="C423" s="251"/>
      <c r="D423" s="1357"/>
      <c r="E423" s="1399"/>
      <c r="F423" s="480" t="str">
        <f>IF('Calc (ex-animal)'!$F$78=1,"",IF($C$421=0,"",IF(D423="","",E423/'Calc (ex-animal)'!$E$82*100)))</f>
        <v/>
      </c>
      <c r="G423" s="485" t="str">
        <f>IF($C$421=0,"",IF('Calc (ex-animal)'!$F$78=1,"",IF(D423="","",SUM(H423:O423))))</f>
        <v/>
      </c>
      <c r="H423" s="423" t="str">
        <f>IF('Calc (ex-animal)'!$F$78=1,"",IF(D423="","",(((VLOOKUP($C$421,'Calc (ex-animal)'!$D$78:$Y$82,6,FALSE)-VLOOKUP($C$421,'Calc (ex-animal)'!$D$78:$Y$82,17,FALSE))*F423/100))*VLOOKUP($C$421,'Calc (ex-animal)'!$D$78:$Y$82,7,FALSE)/100*(1-VLOOKUP(D423,'DB technologies'!$N$196:$Y$208,9,FALSE)/100)))</f>
        <v/>
      </c>
      <c r="I423" s="423" t="str">
        <f>IF(D423="","",((VLOOKUP(D423,'DB technologies'!$N$196:$Y$208,2,FALSE)*VLOOKUP($C$421,'DB animal categories'!$C$147:$AC$156,27,FALSE)*E423/1000)/VLOOKUP($C$421,'DB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'!$S$6/100*(1-VLOOKUP(D423,'DB technologies'!$N$196:$Y$208,9,FALSE)/100)))</f>
        <v/>
      </c>
      <c r="J423" s="434" t="str">
        <f>IF(D423="","",((VLOOKUP(D423,'DB technologies'!$N$196:$Y$208,3,FALSE)*VLOOKUP($C$421,'DB animal categories'!$C$147:$AC$156,27,FALSE)*E423/1000)/VLOOKUP($C$421,'DB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'!$S$7/100*(1-VLOOKUP(D423,'DB technologies'!$N$196:$Y$208,9,FALSE)/100)))</f>
        <v/>
      </c>
      <c r="K423" s="434" t="str">
        <f>IF(D423="","",((VLOOKUP(D423,'DB technologies'!$N$196:$Y$208,4,FALSE)*E423*'DB additional information '!$S$8/100*(1-VLOOKUP(D423,'DB technologies'!$N$196:$Y$208,9,FALSE)/100))/VLOOKUP($C$421,'DB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L423" s="423" t="str">
        <f>IF('Calc (ex-animal)'!$F$78=1,"",IF(D423="","",(((VLOOKUP($C$421,'Calc (ex-animal)'!$D$78:$Y$82,6,FALSE)-VLOOKUP($C$421,'Calc (ex-animal)'!$D$78:$Y$82,17,FALSE))*F423/100))*(1-VLOOKUP($C$421,'Calc (ex-animal)'!$D$78:$Y$82,7,FALSE)/100)*(1-VLOOKUP(D423,'DB technologies'!$N$196:$V$208,8,FALSE)/100)))</f>
        <v/>
      </c>
      <c r="M423" s="434" t="str">
        <f>IF(D423="","",((VLOOKUP(D423,'DB technologies'!$N$196:$Y$208,2,FALSE)*VLOOKUP($C$421,'DB animal categories'!$C$147:$AC$156,27,FALSE)*E423/1000)/VLOOKUP($C$421,'DB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'!$S$6/100)*(1-VLOOKUP(D423,'DB technologies'!$N$196:$Y$208,9,FALSE)/100))</f>
        <v/>
      </c>
      <c r="N423" s="434" t="str">
        <f>IF(D423="","",((VLOOKUP(D423,'DB technologies'!$N$196:$Y$208,3,FALSE)*VLOOKUP($C$421,'DB animal categories'!$C$147:$AC$156,27,FALSE)*E423/1000)/VLOOKUP($C$421,'DB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'!$S$7/100)*(1-VLOOKUP(D423,'DB technologies'!$N$196:$Y$208,9,FALSE)/100))</f>
        <v/>
      </c>
      <c r="O423" s="423" t="str">
        <f>IF(D423="","",((VLOOKUP(D423,'DB technologies'!$N$196:$Y$208,4,FALSE)*E423*(1-'DB additional information '!$S$8/100)*(1-VLOOKUP(D423,'DB technologies'!$N$196:$Y$208,8,FALSE)/100))/VLOOKUP($C$421,'DB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P423" s="438" t="str">
        <f>IF(G423=0,0,IF(E423="","",IF(F423="","",IF($C$421=0,"",IF(D423="","",SUM(H423:K423)/G423*100)))))</f>
        <v/>
      </c>
      <c r="Q423" s="416" t="str">
        <f>IF(D423="","",(VLOOKUP(D423,'DB technologies'!$N$196:$Y$208,2,FALSE)*'DB additional information '!$S$6/100*'DB additional information '!$T$6*VLOOKUP($C$421,'DB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R423" s="416" t="str">
        <f>IF(D423="","",(VLOOKUP(D423,'DB technologies'!$N$196:$Y$208,3,FALSE)*'DB additional information '!$S$7/100*'DB additional information '!$T$7*VLOOKUP($C$421,'DB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S423" s="491" t="str">
        <f>IF(D423="","",(VLOOKUP(D423,'DB technologies'!$N$196:$Y$208,4,FALSE)*('DB additional information '!$S$8/100*'DB additional information '!$T$8*E423/1000/1000)))</f>
        <v/>
      </c>
      <c r="T423" s="264" t="str">
        <f>IF($C$421=0,"",IF('Calc (ex-animal)'!$F$78=1,"",IF(D423="","",((VLOOKUP($C$421,'Calc (ex-animal)'!$D$78:$Y$82,10,FALSE)-VLOOKUP($C$421,'Calc (ex-animal)'!$D$78:$Y$82,18,FALSE))*F423/100+Q423+R423+S423)-AC423-AD423-AE423)))</f>
        <v/>
      </c>
      <c r="U423" s="422" t="str">
        <f>IF(D423="","",(VLOOKUP(D423,'DB technologies'!$N$196:$Y$208,2,FALSE)*'DB additional information '!$S$6/100*'DB additional information '!$U$6*VLOOKUP($C$421,'DB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V423" s="418" t="str">
        <f>IF(D423="","",(VLOOKUP(D423,'DB technologies'!$N$196:$Y$208,3,FALSE)*'DB additional information '!$S$7/100*'DB additional information '!$U$7*VLOOKUP($C$421,'DB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W423" s="417" t="str">
        <f>IF(D423="","",(VLOOKUP(D423,'DB technologies'!$N$196:$Y$208,4,FALSE)*('DB additional information '!$S$8/100*'DB additional information '!$U$8*E423/1000/1000)))</f>
        <v/>
      </c>
      <c r="X423" s="261" t="str">
        <f>IF($C$421=0,"",IF('Calc (ex-animal)'!$F$78=1,"",IF(D423="","",((VLOOKUP($C$421,'Calc (ex-animal)'!$D$78:$Y$82,13,FALSE)-VLOOKUP($C$421,'Calc (ex-animal)'!$D$78:$Y$82,19,FALSE))*F423/100+U423+V423+W423))))</f>
        <v/>
      </c>
      <c r="Y423" s="418" t="str">
        <f>IF(D423="","",(VLOOKUP(D423,'DB technologies'!$N$196:$Y$208,2,FALSE)*'DB additional information '!$S$6/100*'DB additional information '!$V$6*VLOOKUP($C$421,'DB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Z423" s="418" t="str">
        <f>IF(D423="","",(VLOOKUP(D423,'DB technologies'!$N$196:$Y$208,3,FALSE)*'DB additional information '!$S$7/100*'DB additional information '!$V$7*VLOOKUP($C$421,'DB animal categories'!$C$147:$AC$156,27,FALSE)*E423/1000/1000)/VLOOKUP($C$421,'DB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AA423" s="418" t="str">
        <f>IF(D423="","",(VLOOKUP(D423,'DB technologies'!$N$196:$Y$208,4,FALSE)*('DB additional information '!$S$8/100*'DB additional information '!$V$8*E423/1000/1000)))</f>
        <v/>
      </c>
      <c r="AB423" s="261" t="str">
        <f>IF($C$421=0,"",IF('Calc (ex-animal)'!$F$78=1,"",IF(D423="","",((VLOOKUP($C$421,'Calc (ex-animal)'!$D$78:$Y$82,16,FALSE)-VLOOKUP($C$421,'Calc (ex-animal)'!$D$78:$Y$82,20,FALSE))*F423/100+Y423+Z423+AA423))))</f>
        <v/>
      </c>
      <c r="AC423" s="261" t="str">
        <f>IF($C$421=0,"",IF('Calc (ex-animal)'!$F$78=1,"",IF(D423="","",VLOOKUP($C$421,'Calc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categories'!$C$147:$AC$156,26,FALSE)/24)*F423/100*VLOOKUP(D423,'DB technologies'!$N$196:$R$208,5,FALSE)/100)))</f>
        <v/>
      </c>
      <c r="AD423" s="261" t="str">
        <f>IF($C$421=0,"",IF('Calc (ex-animal)'!$F$78=1,"",IF(D423="","",VLOOKUP($C$421,'Calc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categories'!$C$147:$AC$156,26,FALSE)/24)*F423/100*VLOOKUP(D423,'DB technologies'!$N$196:$Y$208,6,FALSE)/100)))</f>
        <v/>
      </c>
      <c r="AE423" s="262" t="str">
        <f>IF($C$421=0,"",IF('Calc (ex-animal)'!$F$78=1,"",IF(D423="","",VLOOKUP($C$421,'Calc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categories'!$C$147:$AC$156,26,FALSE)/24)*F423/100*VLOOKUP(D423,'DB technologies'!$N$196:$Y$208,7,FALSE)/100)))</f>
        <v/>
      </c>
      <c r="AI423" s="181" t="str">
        <f>IF(D423="","",VLOOKUP(D423,'DB technologies'!$N$196:$Y$208,10,FALSE))</f>
        <v/>
      </c>
      <c r="AJ423" s="449" t="e">
        <f>VLOOKUP($C$421,'DB animal categories'!$C$147:$AN$156,27,FALSE)-VLOOKUP($C$421,'DB animal categories'!$C$147:$AN$156,26,FALSE)*VLOOKUP($C$421,'DB animal categories'!$C$147:$AN$156,25,FALSE)/24</f>
        <v>#N/A</v>
      </c>
      <c r="AK423" s="442" t="str">
        <f>IF(AI423="","",AL423+AM423)</f>
        <v/>
      </c>
      <c r="AL423" s="442" t="str">
        <f>IF(D423="","",IF(AI423=2,(('Calc (ex-animal)'!$G$82*'DB additional information '!$K$17/100*(1-VLOOKUP(D423,'DB technologies'!$N$196:$Y$208,9,FALSE)/100)*'Calc (ex-housing, ex-storage)'!F423/100+'Calc (ex-animal)'!$H$82*'DB additional information '!$L$17/100*(1-VLOOKUP(D423,'DB technologies'!$N$196:$Y$208,9,FALSE)/100)*'Calc (ex-housing, ex-storage)'!F423/100))/VLOOKUP($C$421,'DB animal categories'!$C$147:$AC$156,27,FALSE)*AJ423+I423+J423+K423,IF(AI423=1,('Calc (ex-animal)'!$H$82*'DB additional information '!$L$17/100*(1-VLOOKUP(D423,'DB technologies'!$N$196:$Y$208,9,FALSE)/100)*'Calc (ex-housing, ex-storage)'!F423/100)/VLOOKUP($C$421,'DB animal categories'!$C$147:$AC$156,27,FALSE)*AJ423,IF(AI423=4,('Calc (ex-animal)'!$G$82*'DB additional information '!$K$17/100+'Calc (ex-animal)'!$H$82*'DB additional information '!$L$17/100)*(1-VLOOKUP(D423,'DB technologies'!$N$196:$Y$208,9,FALSE)/100)*'Calc (ex-housing, ex-storage)'!F423/100*VLOOKUP(D423,'DB technologies'!$N$196:$Y$208,11,FALSE)/100/VLOOKUP($C$421,'DB animal categories'!$C$147:$AC$156,27,FALSE)*AJ423,0))))</f>
        <v/>
      </c>
      <c r="AM423" s="442" t="str">
        <f>IF(D423="","",IF(AI423=2,(('Calc (ex-animal)'!$G$82*(1-'DB additional information '!$K$17/100)*(1-VLOOKUP(D423,'DB technologies'!$N$196:$Y$208,8,FALSE)/100)*'Calc (ex-housing, ex-storage)'!F423/100+'Calc (ex-animal)'!$H$82*(1-'DB additional information '!$L$17/100)*(1-VLOOKUP(D423,'DB technologies'!$N$196:$Y$208,8,FALSE)/100)*'Calc (ex-housing, ex-storage)'!F423/100))/VLOOKUP($C$421,'DB animal categories'!$C$147:$AC$156,27,FALSE)*AJ423+M423+N423+O423,IF(AI423=1,('Calc (ex-animal)'!$H$82*(1-'DB additional information '!$L$17/100)*(1-VLOOKUP(D423,'DB technologies'!$N$196:$Y$208,8,FALSE)/100)*'Calc (ex-housing, ex-storage)'!F423/100)/VLOOKUP($C$421,'DB animal categories'!$C$147:$AC$156,27,FALSE)*AJ423,IF(AI423=4,('Calc (ex-animal)'!$G$82*(1-'DB additional information '!$K$17/100)+'Calc (ex-animal)'!$H$82*(1-'DB additional information '!$L$17/100))*(1-VLOOKUP(D423,'DB technologies'!$N$196:$Y$208,8,FALSE)/100)*'Calc (ex-housing, ex-storage)'!F423/100*VLOOKUP(D423,'DB technologies'!$N$196:$Y$208,11,FALSE)/100/VLOOKUP($C$421,'DB animal categories'!$C$147:$AC$156,27,FALSE)*AJ423,0))))</f>
        <v/>
      </c>
      <c r="AN423" s="442" t="str">
        <f>IF(AI423="","",IF(AL423=0,0,AL423/AK423*100))</f>
        <v/>
      </c>
      <c r="AO423" s="182" t="str">
        <f>IF(D423="","",IF(AI423=2,(('Calc (ex-animal)'!$L$82*'Calc (ex-housing, ex-storage)'!F423/100+'Calc (ex-animal)'!$K$82*'Calc (ex-housing, ex-storage)'!F423/100))/VLOOKUP($C$421,'DB animal categories'!$C$147:$AC$156,27,FALSE)*AJ423+Q423+R423+S423-AC423,IF(AI423=1,('Calc (ex-animal)'!$L$82*'Calc (ex-housing, ex-storage)'!F423/100)/VLOOKUP($C$421,'DB animal categories'!$C$147:$AC$156,27,FALSE)*AJ423-'Calc (ex-housing, ex-storage)'!AC423,IF(AI423=4,('Calc (ex-animal)'!$L$82+'Calc (ex-animal)'!$K$82)*'Calc (ex-housing, ex-storage)'!F423/100*VLOOKUP(D423,'DB technologies'!$N$196:$Y$208,11,FALSE)/100/VLOOKUP($C$421,'DB animal categories'!$C$147:$AC$156,27,FALSE)*AJ423-AC423*VLOOKUP(D423,'DB technologies'!$N$196:$Y$208,11,FALSE)/100,0))))</f>
        <v/>
      </c>
      <c r="AP423" s="182" t="str">
        <f>IF(D423="","",IF(AO423&lt;-0.01,0,IF(AI423=2,(('Calc (ex-animal)'!$L$82*'Calc (ex-housing, ex-storage)'!F423/100+'Calc (ex-animal)'!$K$82*'Calc (ex-housing, ex-storage)'!F423/100))/VLOOKUP($C$421,'DB animal categories'!$C$147:$AC$156,27,FALSE)*AJ423+Q423+R423+S423-AC423,IF(AI423=1,('Calc (ex-animal)'!$L$82*'Calc (ex-housing, ex-storage)'!F423/100)/VLOOKUP($C$421,'DB animal categories'!$C$147:$AC$156,27,FALSE)*AJ423-'Calc (ex-housing, ex-storage)'!AC423,IF(AI423=4,('Calc (ex-animal)'!$L$82+'Calc (ex-animal)'!$K$82)*'Calc (ex-housing, ex-storage)'!F423/100*VLOOKUP(D423,'DB technologies'!$N$196:$Y$208,11,FALSE)/100/VLOOKUP($C$421,'DB animal categories'!$C$147:$AC$156,27,FALSE)*AJ423-AC423*VLOOKUP(D423,'DB technologies'!$N$196:$Y$208,11,FALSE)/100,0)))))</f>
        <v/>
      </c>
      <c r="AQ423" s="182" t="str">
        <f>IF(D423="","",IF(AI423=2,('Calc (ex-animal)'!$O$82*'Calc (ex-housing, ex-storage)'!F423/100+'Calc (ex-animal)'!$N$82*'Calc (ex-housing, ex-storage)'!F423/100)/VLOOKUP($C$421,'DB animal categories'!$C$147:$AC$156,27,FALSE)*AJ423+U423+V423+W423,IF(AI423=1,'Calc (ex-animal)'!$O$82*'Calc (ex-housing, ex-storage)'!F423/100/VLOOKUP($C$421,'DB animal categories'!$C$147:$AC$156,27,FALSE)*AJ423,IF(AI423=4,('Calc (ex-animal)'!$O$82+'Calc (ex-animal)'!$N$82)*'Calc (ex-housing, ex-storage)'!F423/100*VLOOKUP(D423,'DB technologies'!$N$196:$Y$208,11,FALSE)/100/VLOOKUP($C$421,'DB animal categories'!$C$147:$AC$156,27,FALSE)*AJ423,0))))</f>
        <v/>
      </c>
      <c r="AR423" s="182" t="str">
        <f>IF(D423="","",IF(AI423=2,('Calc (ex-animal)'!$R$82*'Calc (ex-housing, ex-storage)'!F423/100+'Calc (ex-animal)'!$Q$82*'Calc (ex-housing, ex-storage)'!F423/100)/VLOOKUP($C$421,'DB animal categories'!$C$147:$AC$156,27,FALSE)*AJ423+Y423+Z423+AA423,IF(AI423=1,'Calc (ex-animal)'!$R$82*'Calc (ex-housing, ex-storage)'!F423/100/VLOOKUP($C$421,'DB animal categories'!$C$147:$AC$156,27,FALSE)*AJ423,IF(AI423=4,('Calc (ex-animal)'!$R$82+'Calc (ex-animal)'!$Q$82)*'Calc (ex-housing, ex-storage)'!F423/100*VLOOKUP(D423,'DB technologies'!$N$196:$Y$208,11,FALSE)/100/VLOOKUP($C$421,'DB animal categories'!$C$147:$AC$156,27,FALSE)*AJ423,0))))</f>
        <v/>
      </c>
      <c r="AS423" s="181" t="str">
        <f>IF(D423="","",VLOOKUP(D423,'DB technologies'!$N$196:$Y$208,10,FALSE))</f>
        <v/>
      </c>
      <c r="AT423" s="442" t="str">
        <f>IF(AS423="","",AU423+AV423)</f>
        <v/>
      </c>
      <c r="AU423" s="442" t="str">
        <f>IF(D423="","",IF(AS423=2,0,IF(AS423=1,'Calc (ex-animal)'!$G$82*'DB additional information '!$K$17/100*(1-VLOOKUP(D423,'DB technologies'!$N$196:$Y$208,8,FALSE)/100)*'Calc (ex-housing, ex-storage)'!F423/100/VLOOKUP($C$421,'DB animal categories'!$C$147:$AC$156,27,FALSE)*AJ423+I423+J423+K423,IF(AS423=5,(('Calc (ex-animal)'!$G$82*'DB additional information '!$K$17/100+'Calc (ex-animal)'!$H$82*'DB additional information '!$L$17/100))*(1-VLOOKUP(D423,'DB technologies'!$N$196:$Y$208,9,FALSE)/100)*'Calc (ex-housing, ex-storage)'!F423/100/VLOOKUP($C$421,'DB animal categories'!$C$147:$AC$156,27,FALSE)*AJ423+I423+J423+K423,IF(AS423=3,('Calc (ex-animal)'!$G$82*'DB additional information '!$K$17/100+'Calc (ex-animal)'!$H$82*'DB additional information '!$L$17/100)*(1-VLOOKUP(D423,'DB technologies'!$N$196:$Y$208,9,FALSE)/100)*'Calc (ex-housing, ex-storage)'!F423/100/VLOOKUP($C$421,'DB animal categories'!$C$147:$AC$156,27,FALSE)*AJ423+I423+J423+K423,IF(AS423=4,('Calc (ex-animal)'!$G$82*'DB additional information '!$K$17/100+'Calc (ex-animal)'!$H$82*'DB additional information '!$L$17/100)*(1-VLOOKUP(D423,'DB technologies'!$N$196:$Y$208,9,FALSE)/100)*'Calc (ex-housing, ex-storage)'!F423/100*VLOOKUP(D423,'DB technologies'!$N$196:$Y$208,12,FALSE)/100/VLOOKUP($C$421,'DB animal categories'!$C$147:$AC$156,27,FALSE)*AJ423+I423+J423+K423,0))))))</f>
        <v/>
      </c>
      <c r="AV423" s="442" t="str">
        <f>IF(D423="","",IF(AS423=2,0,IF(AS423=1,'Calc (ex-animal)'!$G$82*(1-'DB additional information '!$K$17/100)*(1-VLOOKUP(D423,'DB technologies'!$N$196:$Y$208,8,FALSE)/100)*'Calc (ex-housing, ex-storage)'!F423/100/VLOOKUP($C$421,'DB animal categories'!$C$147:$AC$156,27,FALSE)*AJ423+M423+N423+O423,IF(AS423=5,('Calc (ex-animal)'!$G$82*(1-'DB additional information '!$K$17/100)+'Calc (ex-animal)'!$H$82*(1-'DB additional information '!$L$17/100))*(1-VLOOKUP(D423,'DB technologies'!$N$196:$Y$208,8,FALSE)/100)*'Calc (ex-housing, ex-storage)'!F423/100/VLOOKUP($C$421,'DB animal categories'!$C$147:$AC$156,27,FALSE)*AJ423+M423+N423+O423,IF(AS423=3,('Calc (ex-animal)'!$G$82*(1-'DB additional information '!$K$17/100)+'Calc (ex-animal)'!$H$82*(1-'DB additional information '!$L$17/100))*(1-VLOOKUP(D423,'DB technologies'!$N$196:$Y$208,8,FALSE)/100)*'Calc (ex-housing, ex-storage)'!F423/100/VLOOKUP($C$421,'DB animal categories'!$C$147:$AC$156,27,FALSE)*AJ423+M423+N423+O423,IF(AS423=4,('Calc (ex-animal)'!$G$82*(1-'DB additional information '!$K$17/100)+'Calc (ex-animal)'!$H$82*(1-'DB additional information '!$L$17/100))*(1-VLOOKUP(D423,'DB technologies'!$N$196:$Y$208,8,FALSE)/100)*'Calc (ex-housing, ex-storage)'!F423/100*VLOOKUP(D423,'DB technologies'!$N$196:$Y$208,12,FALSE)/100/VLOOKUP($C$421,'DB animal categories'!$C$147:$AC$156,27,FALSE)*AJ423+M423+N423+O423,0))))))</f>
        <v/>
      </c>
      <c r="AW423" s="442" t="str">
        <f>IF(AS423="","",IF(AU423=0,0,AU423/AT423*100))</f>
        <v/>
      </c>
      <c r="AX423" s="182" t="str">
        <f>IF(D423="","",IF(AS423=2,0,IF(AS423=1,'Calc (ex-animal)'!$K$82*'Calc (ex-housing, ex-storage)'!F423/100/VLOOKUP($C$421,'DB animal categories'!$C$147:$AC$156,27,FALSE)*AJ423+Q423+R423+S423,IF(AS423=5,('Calc (ex-animal)'!$K$82+'Calc (ex-animal)'!$L$82)*'Calc (ex-housing, ex-storage)'!F423/100/VLOOKUP($C$421,'DB animal categories'!$C$147:$AC$156,27,FALSE)*AJ423+Q423+R423+S423-'Calc (ex-housing, ex-storage)'!AC423,IF(AS423=3,('Calc (ex-animal)'!$K$82+'Calc (ex-animal)'!$L$82)*'Calc (ex-housing, ex-storage)'!F423/100/VLOOKUP($C$421,'DB animal categories'!$C$147:$AC$156,27,FALSE)*AJ423+Q423+R423+S423-'Calc (ex-housing, ex-storage)'!AC423-AD423-AE423,IF(AI423=4,('Calc (ex-animal)'!$K$82+'Calc (ex-animal)'!$L$82)*'Calc (ex-housing, ex-storage)'!F423/100*VLOOKUP(D423,'DB technologies'!$N$196:$Y$208,12,FALSE)/100/VLOOKUP($C$421,'DB animal categories'!$C$147:$AC$156,27,FALSE)*AJ423+Q423+R423+S423-(VLOOKUP(D423,'DB technologies'!$N$196:$Y$208,12,FALSE)/100*AC423)-AD423-AE423,0))))))</f>
        <v/>
      </c>
      <c r="AY423" s="182" t="str">
        <f>IF(D423="","",IF(AS423=2,0,IF(AS423=1,'Calc (ex-animal)'!$N$82*'Calc (ex-housing, ex-storage)'!F423/100/VLOOKUP($C$421,'DB animal categories'!$C$147:$AC$156,27,FALSE)*AJ423+U423+V423+W423,IF(AS423=5,('Calc (ex-animal)'!$N$82+'Calc (ex-animal)'!$O$82)*'Calc (ex-housing, ex-storage)'!F423/100/VLOOKUP($C$421,'DB animal categories'!$C$147:$AC$156,27,FALSE)*AJ423+U423+V423+W423,IF(AS423=3,('Calc (ex-animal)'!$N$82+'Calc (ex-animal)'!$O$82)*'Calc (ex-housing, ex-storage)'!F423/100/VLOOKUP($C$421,'DB animal categories'!$C$147:$AC$156,27,FALSE)*AJ423+U423+V423+W423,IF(AS423=4,('Calc (ex-animal)'!$N$82+'Calc (ex-animal)'!$O$82)*'Calc (ex-housing, ex-storage)'!F423/100*VLOOKUP(D423,'DB technologies'!$N$196:$Y$208,12,FALSE)/100/VLOOKUP($C$421,'DB animal categories'!$C$147:$AC$156,27,FALSE)*AJ423+U423+V423+W423,0))))))</f>
        <v/>
      </c>
      <c r="AZ423" s="182" t="str">
        <f>IF(D423="","",IF(AS423=2,0,IF(AS423=1,'Calc (ex-animal)'!$Q$82*'Calc (ex-housing, ex-storage)'!F423/100/VLOOKUP($C$421,'DB animal categories'!$C$147:$AC$156,27,FALSE)*AJ423+Y423+Z423+AA423,IF(AS423=5,('Calc (ex-animal)'!$Q$82+'Calc (ex-animal)'!$R$82)*'Calc (ex-housing, ex-storage)'!F423/100/VLOOKUP($C$421,'DB animal categories'!$C$147:$AC$156,27,FALSE)*AJ423+Y423+Z423+AA423,IF(AS423=3,('Calc (ex-animal)'!$Q$82+'Calc (ex-animal)'!$R$82)*'Calc (ex-housing, ex-storage)'!F423/100/VLOOKUP($C$421,'DB animal categories'!$C$147:$AC$156,27,FALSE)*AJ423+Y423+Z423+AA423,IF(AS423=4,('Calc (ex-animal)'!$Q$82+'Calc (ex-animal)'!$R$82)*'Calc (ex-housing, ex-storage)'!F423/100*VLOOKUP(D423,'DB technologies'!$N$196:$Y$208,12,FALSE)/100/VLOOKUP($C$421,'DB animal categories'!$C$147:$AC$156,27,FALSE)*AJ423+Y423+Z423+AA423,0))))))</f>
        <v/>
      </c>
      <c r="BA423" s="506"/>
      <c r="BB423" s="506"/>
      <c r="BC423" s="506"/>
    </row>
    <row r="424" spans="1:55" x14ac:dyDescent="0.2">
      <c r="A424" s="695"/>
      <c r="B424" s="695"/>
      <c r="C424" s="251"/>
      <c r="D424" s="1357"/>
      <c r="E424" s="1399"/>
      <c r="F424" s="480" t="str">
        <f>IF('Calc (ex-animal)'!$F$78=1,"",IF($C$421=0,"",IF(D424="","",E424/'Calc (ex-animal)'!$E$82*100)))</f>
        <v/>
      </c>
      <c r="G424" s="485" t="str">
        <f>IF($C$421=0,"",IF('Calc (ex-animal)'!$F$78=1,"",IF(D424="","",SUM(H424:O424))))</f>
        <v/>
      </c>
      <c r="H424" s="423" t="str">
        <f>IF('Calc (ex-animal)'!$F$78=1,"",IF(D424="","",(((VLOOKUP($C$421,'Calc (ex-animal)'!$D$78:$Y$82,6,FALSE)-VLOOKUP($C$421,'Calc (ex-animal)'!$D$78:$Y$82,17,FALSE))*F424/100))*VLOOKUP($C$421,'Calc (ex-animal)'!$D$78:$Y$82,7,FALSE)/100*(1-VLOOKUP(D424,'DB technologies'!$N$196:$Y$208,9,FALSE)/100)))</f>
        <v/>
      </c>
      <c r="I424" s="423" t="str">
        <f>IF(D424="","",((VLOOKUP(D424,'DB technologies'!$N$196:$Y$208,2,FALSE)*VLOOKUP($C$421,'DB animal categories'!$C$147:$AC$156,27,FALSE)*E424/1000)/VLOOKUP($C$421,'DB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'!$S$6/100*(1-VLOOKUP(D424,'DB technologies'!$N$196:$Y$208,9,FALSE)/100)))</f>
        <v/>
      </c>
      <c r="J424" s="434" t="str">
        <f>IF(D424="","",((VLOOKUP(D424,'DB technologies'!$N$196:$Y$208,3,FALSE)*VLOOKUP($C$421,'DB animal categories'!$C$147:$AC$156,27,FALSE)*E424/1000)/VLOOKUP($C$421,'DB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'!$S$7/100*(1-VLOOKUP(D424,'DB technologies'!$N$196:$Y$208,9,FALSE)/100)))</f>
        <v/>
      </c>
      <c r="K424" s="434" t="str">
        <f>IF(D424="","",((VLOOKUP(D424,'DB technologies'!$N$196:$Y$208,4,FALSE)*E424*'DB additional information '!$S$8/100*(1-VLOOKUP(D424,'DB technologies'!$N$196:$Y$208,9,FALSE)/100))/VLOOKUP($C$421,'DB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L424" s="423" t="str">
        <f>IF('Calc (ex-animal)'!$F$78=1,"",IF(D424="","",(((VLOOKUP($C$421,'Calc (ex-animal)'!$D$78:$Y$82,6,FALSE)-VLOOKUP($C$421,'Calc (ex-animal)'!$D$78:$Y$82,17,FALSE))*F424/100))*(1-VLOOKUP($C$421,'Calc (ex-animal)'!$D$78:$Y$82,7,FALSE)/100)*(1-VLOOKUP(D424,'DB technologies'!$N$196:$V$208,8,FALSE)/100)))</f>
        <v/>
      </c>
      <c r="M424" s="434" t="str">
        <f>IF(D424="","",((VLOOKUP(D424,'DB technologies'!$N$196:$Y$208,2,FALSE)*VLOOKUP($C$421,'DB animal categories'!$C$147:$AC$156,27,FALSE)*E424/1000)/VLOOKUP($C$421,'DB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'!$S$6/100)*(1-VLOOKUP(D424,'DB technologies'!$N$196:$Y$208,9,FALSE)/100))</f>
        <v/>
      </c>
      <c r="N424" s="434" t="str">
        <f>IF(D424="","",((VLOOKUP(D424,'DB technologies'!$N$196:$Y$208,3,FALSE)*VLOOKUP($C$421,'DB animal categories'!$C$147:$AC$156,27,FALSE)*E424/1000)/VLOOKUP($C$421,'DB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'!$S$7/100)*(1-VLOOKUP(D424,'DB technologies'!$N$196:$Y$208,9,FALSE)/100))</f>
        <v/>
      </c>
      <c r="O424" s="423" t="str">
        <f>IF(D424="","",((VLOOKUP(D424,'DB technologies'!$N$196:$Y$208,4,FALSE)*E424*(1-'DB additional information '!$S$8/100)*(1-VLOOKUP(D424,'DB technologies'!$N$196:$Y$208,8,FALSE)/100))/VLOOKUP($C$421,'DB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P424" s="438" t="str">
        <f>IF(G424=0,0,IF(E424="","",IF(F424="","",IF($C$421=0,"",IF(D424="","",SUM(H424:K424)/G424*100)))))</f>
        <v/>
      </c>
      <c r="Q424" s="416" t="str">
        <f>IF(D424="","",(VLOOKUP(D424,'DB technologies'!$N$196:$Y$208,2,FALSE)*'DB additional information '!$S$6/100*'DB additional information '!$T$6*VLOOKUP($C$421,'DB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R424" s="416" t="str">
        <f>IF(D424="","",(VLOOKUP(D424,'DB technologies'!$N$196:$Y$208,3,FALSE)*'DB additional information '!$S$7/100*'DB additional information '!$T$7*VLOOKUP($C$421,'DB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S424" s="491" t="str">
        <f>IF(D424="","",(VLOOKUP(D424,'DB technologies'!$N$196:$Y$208,4,FALSE)*('DB additional information '!$S$8/100*'DB additional information '!$T$8*E424/1000/1000)))</f>
        <v/>
      </c>
      <c r="T424" s="264" t="str">
        <f>IF($C$421=0,"",IF('Calc (ex-animal)'!$F$78=1,"",IF(D424="","",((VLOOKUP($C$421,'Calc (ex-animal)'!$D$78:$Y$82,10,FALSE)-VLOOKUP($C$421,'Calc (ex-animal)'!$D$78:$Y$82,18,FALSE))*F424/100+Q424+R424+S424)-AC424-AD424-AE424)))</f>
        <v/>
      </c>
      <c r="U424" s="422" t="str">
        <f>IF(D424="","",(VLOOKUP(D424,'DB technologies'!$N$196:$Y$208,2,FALSE)*'DB additional information '!$S$6/100*'DB additional information '!$U$6*VLOOKUP($C$421,'DB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V424" s="418" t="str">
        <f>IF(D424="","",(VLOOKUP(D424,'DB technologies'!$N$196:$Y$208,3,FALSE)*'DB additional information '!$S$7/100*'DB additional information '!$U$7*VLOOKUP($C$421,'DB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W424" s="417" t="str">
        <f>IF(D424="","",(VLOOKUP(D424,'DB technologies'!$N$196:$Y$208,4,FALSE)*('DB additional information '!$S$8/100*'DB additional information '!$U$8*E424/1000/1000)))</f>
        <v/>
      </c>
      <c r="X424" s="261" t="str">
        <f>IF($C$421=0,"",IF('Calc (ex-animal)'!$F$78=1,"",IF(D424="","",((VLOOKUP($C$421,'Calc (ex-animal)'!$D$78:$Y$82,13,FALSE)-VLOOKUP($C$421,'Calc (ex-animal)'!$D$78:$Y$82,19,FALSE))*F424/100+U424+V424+W424))))</f>
        <v/>
      </c>
      <c r="Y424" s="418" t="str">
        <f>IF(D424="","",(VLOOKUP(D424,'DB technologies'!$N$196:$Y$208,2,FALSE)*'DB additional information '!$S$6/100*'DB additional information '!$V$6*VLOOKUP($C$421,'DB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Z424" s="418" t="str">
        <f>IF(D424="","",(VLOOKUP(D424,'DB technologies'!$N$196:$Y$208,3,FALSE)*'DB additional information '!$S$7/100*'DB additional information '!$V$7*VLOOKUP($C$421,'DB animal categories'!$C$147:$AC$156,27,FALSE)*E424/1000/1000)/VLOOKUP($C$421,'DB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AA424" s="418" t="str">
        <f>IF(D424="","",(VLOOKUP(D424,'DB technologies'!$N$196:$Y$208,4,FALSE)*('DB additional information '!$S$8/100*'DB additional information '!$V$8*E424/1000/1000)))</f>
        <v/>
      </c>
      <c r="AB424" s="261" t="str">
        <f>IF($C$421=0,"",IF('Calc (ex-animal)'!$F$78=1,"",IF(D424="","",((VLOOKUP($C$421,'Calc (ex-animal)'!$D$78:$Y$82,16,FALSE)-VLOOKUP($C$421,'Calc (ex-animal)'!$D$78:$Y$82,20,FALSE))*F424/100+Y424+Z424+AA424))))</f>
        <v/>
      </c>
      <c r="AC424" s="261" t="str">
        <f>IF($C$421=0,"",IF('Calc (ex-animal)'!$F$78=1,"",IF(D424="","",VLOOKUP($C$421,'Calc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categories'!$C$147:$AC$156,26,FALSE)/24)*F424/100*VLOOKUP(D424,'DB technologies'!$N$196:$R$208,5,FALSE)/100)))</f>
        <v/>
      </c>
      <c r="AD424" s="261" t="str">
        <f>IF($C$421=0,"",IF('Calc (ex-animal)'!$F$78=1,"",IF(D424="","",VLOOKUP($C$421,'Calc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categories'!$C$147:$AC$156,26,FALSE)/24)*F424/100*VLOOKUP(D424,'DB technologies'!$N$196:$Y$208,6,FALSE)/100)))</f>
        <v/>
      </c>
      <c r="AE424" s="262" t="str">
        <f>IF($C$421=0,"",IF('Calc (ex-animal)'!$F$78=1,"",IF(D424="","",VLOOKUP($C$421,'Calc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categories'!$C$147:$AC$156,26,FALSE)/24)*F424/100*VLOOKUP(D424,'DB technologies'!$N$196:$Y$208,7,FALSE)/100)))</f>
        <v/>
      </c>
      <c r="AI424" s="181" t="str">
        <f>IF(D424="","",VLOOKUP(D424,'DB technologies'!$N$196:$Y$208,10,FALSE))</f>
        <v/>
      </c>
      <c r="AJ424" s="449" t="e">
        <f>VLOOKUP($C$421,'DB animal categories'!$C$147:$AN$156,27,FALSE)-VLOOKUP($C$421,'DB animal categories'!$C$147:$AN$156,26,FALSE)*VLOOKUP($C$421,'DB animal categories'!$C$147:$AN$156,25,FALSE)/24</f>
        <v>#N/A</v>
      </c>
      <c r="AK424" s="442" t="str">
        <f>IF(AI424="","",AL424+AM424)</f>
        <v/>
      </c>
      <c r="AL424" s="442" t="str">
        <f>IF(D424="","",IF(AI424=2,(('Calc (ex-animal)'!$G$82*'DB additional information '!$K$17/100*(1-VLOOKUP(D424,'DB technologies'!$N$196:$Y$208,9,FALSE)/100)*'Calc (ex-housing, ex-storage)'!F424/100+'Calc (ex-animal)'!$H$82*'DB additional information '!$L$17/100*(1-VLOOKUP(D424,'DB technologies'!$N$196:$Y$208,9,FALSE)/100)*'Calc (ex-housing, ex-storage)'!F424/100))/VLOOKUP($C$421,'DB animal categories'!$C$147:$AC$156,27,FALSE)*AJ424+I424+J424+K424,IF(AI424=1,('Calc (ex-animal)'!$H$82*'DB additional information '!$L$17/100*(1-VLOOKUP(D424,'DB technologies'!$N$196:$Y$208,9,FALSE)/100)*'Calc (ex-housing, ex-storage)'!F424/100)/VLOOKUP($C$421,'DB animal categories'!$C$147:$AC$156,27,FALSE)*AJ424,IF(AI424=4,('Calc (ex-animal)'!$G$82*'DB additional information '!$K$17/100+'Calc (ex-animal)'!$H$82*'DB additional information '!$L$17/100)*(1-VLOOKUP(D424,'DB technologies'!$N$196:$Y$208,9,FALSE)/100)*'Calc (ex-housing, ex-storage)'!F424/100*VLOOKUP(D424,'DB technologies'!$N$196:$Y$208,11,FALSE)/100/VLOOKUP($C$421,'DB animal categories'!$C$147:$AC$156,27,FALSE)*AJ424,0))))</f>
        <v/>
      </c>
      <c r="AM424" s="442" t="str">
        <f>IF(D424="","",IF(AI424=2,(('Calc (ex-animal)'!$G$82*(1-'DB additional information '!$K$17/100)*(1-VLOOKUP(D424,'DB technologies'!$N$196:$Y$208,8,FALSE)/100)*'Calc (ex-housing, ex-storage)'!F424/100+'Calc (ex-animal)'!$H$82*(1-'DB additional information '!$L$17/100)*(1-VLOOKUP(D424,'DB technologies'!$N$196:$Y$208,8,FALSE)/100)*'Calc (ex-housing, ex-storage)'!F424/100))/VLOOKUP($C$421,'DB animal categories'!$C$147:$AC$156,27,FALSE)*AJ424+M424+N424+O424,IF(AI424=1,('Calc (ex-animal)'!$H$82*(1-'DB additional information '!$L$17/100)*(1-VLOOKUP(D424,'DB technologies'!$N$196:$Y$208,8,FALSE)/100)*'Calc (ex-housing, ex-storage)'!F424/100)/VLOOKUP($C$421,'DB animal categories'!$C$147:$AC$156,27,FALSE)*AJ424,IF(AI424=4,('Calc (ex-animal)'!$G$82*(1-'DB additional information '!$K$17/100)+'Calc (ex-animal)'!$H$82*(1-'DB additional information '!$L$17/100))*(1-VLOOKUP(D424,'DB technologies'!$N$196:$Y$208,8,FALSE)/100)*'Calc (ex-housing, ex-storage)'!F424/100*VLOOKUP(D424,'DB technologies'!$N$196:$Y$208,11,FALSE)/100/VLOOKUP($C$421,'DB animal categories'!$C$147:$AC$156,27,FALSE)*AJ424,0))))</f>
        <v/>
      </c>
      <c r="AN424" s="442" t="str">
        <f>IF(AI424="","",IF(AL424=0,0,AL424/AK424*100))</f>
        <v/>
      </c>
      <c r="AO424" s="182" t="str">
        <f>IF(D424="","",IF(AI424=2,(('Calc (ex-animal)'!$L$82*'Calc (ex-housing, ex-storage)'!F424/100+'Calc (ex-animal)'!$K$82*'Calc (ex-housing, ex-storage)'!F424/100))/VLOOKUP($C$421,'DB animal categories'!$C$147:$AC$156,27,FALSE)*AJ424+Q424+R424+S424-AC424,IF(AI424=1,('Calc (ex-animal)'!$L$82*'Calc (ex-housing, ex-storage)'!F424/100)/VLOOKUP($C$421,'DB animal categories'!$C$147:$AC$156,27,FALSE)*AJ424-'Calc (ex-housing, ex-storage)'!AC424,IF(AI424=4,('Calc (ex-animal)'!$L$82+'Calc (ex-animal)'!$K$82)*'Calc (ex-housing, ex-storage)'!F424/100*VLOOKUP(D424,'DB technologies'!$N$196:$Y$208,11,FALSE)/100/VLOOKUP($C$421,'DB animal categories'!$C$147:$AC$156,27,FALSE)*AJ424-AC424*VLOOKUP(D424,'DB technologies'!$N$196:$Y$208,11,FALSE)/100,0))))</f>
        <v/>
      </c>
      <c r="AP424" s="182" t="str">
        <f>IF(D424="","",IF(AO424&lt;-0.01,0,IF(AI424=2,(('Calc (ex-animal)'!$L$82*'Calc (ex-housing, ex-storage)'!F424/100+'Calc (ex-animal)'!$K$82*'Calc (ex-housing, ex-storage)'!F424/100))/VLOOKUP($C$421,'DB animal categories'!$C$147:$AC$156,27,FALSE)*AJ424+Q424+R424+S424-AC424,IF(AI424=1,('Calc (ex-animal)'!$L$82*'Calc (ex-housing, ex-storage)'!F424/100)/VLOOKUP($C$421,'DB animal categories'!$C$147:$AC$156,27,FALSE)*AJ424-'Calc (ex-housing, ex-storage)'!AC424,IF(AI424=4,('Calc (ex-animal)'!$L$82+'Calc (ex-animal)'!$K$82)*'Calc (ex-housing, ex-storage)'!F424/100*VLOOKUP(D424,'DB technologies'!$N$196:$Y$208,11,FALSE)/100/VLOOKUP($C$421,'DB animal categories'!$C$147:$AC$156,27,FALSE)*AJ424-AC424*VLOOKUP(D424,'DB technologies'!$N$196:$Y$208,11,FALSE)/100,0)))))</f>
        <v/>
      </c>
      <c r="AQ424" s="182" t="str">
        <f>IF(D424="","",IF(AI424=2,('Calc (ex-animal)'!$O$82*'Calc (ex-housing, ex-storage)'!F424/100+'Calc (ex-animal)'!$N$82*'Calc (ex-housing, ex-storage)'!F424/100)/VLOOKUP($C$421,'DB animal categories'!$C$147:$AC$156,27,FALSE)*AJ424+U424+V424+W424,IF(AI424=1,'Calc (ex-animal)'!$O$82*'Calc (ex-housing, ex-storage)'!F424/100/VLOOKUP($C$421,'DB animal categories'!$C$147:$AC$156,27,FALSE)*AJ424,IF(AI424=4,('Calc (ex-animal)'!$O$82+'Calc (ex-animal)'!$N$82)*'Calc (ex-housing, ex-storage)'!F424/100*VLOOKUP(D424,'DB technologies'!$N$196:$Y$208,11,FALSE)/100/VLOOKUP($C$421,'DB animal categories'!$C$147:$AC$156,27,FALSE)*AJ424,0))))</f>
        <v/>
      </c>
      <c r="AR424" s="182" t="str">
        <f>IF(D424="","",IF(AI424=2,('Calc (ex-animal)'!$R$82*'Calc (ex-housing, ex-storage)'!F424/100+'Calc (ex-animal)'!$Q$82*'Calc (ex-housing, ex-storage)'!F424/100)/VLOOKUP($C$421,'DB animal categories'!$C$147:$AC$156,27,FALSE)*AJ424+Y424+Z424+AA424,IF(AI424=1,'Calc (ex-animal)'!$R$82*'Calc (ex-housing, ex-storage)'!F424/100/VLOOKUP($C$421,'DB animal categories'!$C$147:$AC$156,27,FALSE)*AJ424,IF(AI424=4,('Calc (ex-animal)'!$R$82+'Calc (ex-animal)'!$Q$82)*'Calc (ex-housing, ex-storage)'!F424/100*VLOOKUP(D424,'DB technologies'!$N$196:$Y$208,11,FALSE)/100/VLOOKUP($C$421,'DB animal categories'!$C$147:$AC$156,27,FALSE)*AJ424,0))))</f>
        <v/>
      </c>
      <c r="AS424" s="181" t="str">
        <f>IF(D424="","",VLOOKUP(D424,'DB technologies'!$N$196:$Y$208,10,FALSE))</f>
        <v/>
      </c>
      <c r="AT424" s="442" t="str">
        <f>IF(AS424="","",AU424+AV424)</f>
        <v/>
      </c>
      <c r="AU424" s="442" t="str">
        <f>IF(D424="","",IF(AS424=2,0,IF(AS424=1,'Calc (ex-animal)'!$G$82*'DB additional information '!$K$17/100*(1-VLOOKUP(D424,'DB technologies'!$N$196:$Y$208,8,FALSE)/100)*'Calc (ex-housing, ex-storage)'!F424/100/VLOOKUP($C$421,'DB animal categories'!$C$147:$AC$156,27,FALSE)*AJ424+I424+J424+K424,IF(AS424=5,(('Calc (ex-animal)'!$G$82*'DB additional information '!$K$17/100+'Calc (ex-animal)'!$H$82*'DB additional information '!$L$17/100))*(1-VLOOKUP(D424,'DB technologies'!$N$196:$Y$208,9,FALSE)/100)*'Calc (ex-housing, ex-storage)'!F424/100/VLOOKUP($C$421,'DB animal categories'!$C$147:$AC$156,27,FALSE)*AJ424+I424+J424+K424,IF(AS424=3,('Calc (ex-animal)'!$G$82*'DB additional information '!$K$17/100+'Calc (ex-animal)'!$H$82*'DB additional information '!$L$17/100)*(1-VLOOKUP(D424,'DB technologies'!$N$196:$Y$208,9,FALSE)/100)*'Calc (ex-housing, ex-storage)'!F424/100/VLOOKUP($C$421,'DB animal categories'!$C$147:$AC$156,27,FALSE)*AJ424+I424+J424+K424,IF(AS424=4,('Calc (ex-animal)'!$G$82*'DB additional information '!$K$17/100+'Calc (ex-animal)'!$H$82*'DB additional information '!$L$17/100)*(1-VLOOKUP(D424,'DB technologies'!$N$196:$Y$208,9,FALSE)/100)*'Calc (ex-housing, ex-storage)'!F424/100*VLOOKUP(D424,'DB technologies'!$N$196:$Y$208,12,FALSE)/100/VLOOKUP($C$421,'DB animal categories'!$C$147:$AC$156,27,FALSE)*AJ424+I424+J424+K424,0))))))</f>
        <v/>
      </c>
      <c r="AV424" s="442" t="str">
        <f>IF(D424="","",IF(AS424=2,0,IF(AS424=1,'Calc (ex-animal)'!$G$82*(1-'DB additional information '!$K$17/100)*(1-VLOOKUP(D424,'DB technologies'!$N$196:$Y$208,8,FALSE)/100)*'Calc (ex-housing, ex-storage)'!F424/100/VLOOKUP($C$421,'DB animal categories'!$C$147:$AC$156,27,FALSE)*AJ424+M424+N424+O424,IF(AS424=5,('Calc (ex-animal)'!$G$82*(1-'DB additional information '!$K$17/100)+'Calc (ex-animal)'!$H$82*(1-'DB additional information '!$L$17/100))*(1-VLOOKUP(D424,'DB technologies'!$N$196:$Y$208,8,FALSE)/100)*'Calc (ex-housing, ex-storage)'!F424/100/VLOOKUP($C$421,'DB animal categories'!$C$147:$AC$156,27,FALSE)*AJ424+M424+N424+O424,IF(AS424=3,('Calc (ex-animal)'!$G$82*(1-'DB additional information '!$K$17/100)+'Calc (ex-animal)'!$H$82*(1-'DB additional information '!$L$17/100))*(1-VLOOKUP(D424,'DB technologies'!$N$196:$Y$208,8,FALSE)/100)*'Calc (ex-housing, ex-storage)'!F424/100/VLOOKUP($C$421,'DB animal categories'!$C$147:$AC$156,27,FALSE)*AJ424+M424+N424+O424,IF(AS424=4,('Calc (ex-animal)'!$G$82*(1-'DB additional information '!$K$17/100)+'Calc (ex-animal)'!$H$82*(1-'DB additional information '!$L$17/100))*(1-VLOOKUP(D424,'DB technologies'!$N$196:$Y$208,8,FALSE)/100)*'Calc (ex-housing, ex-storage)'!F424/100*VLOOKUP(D424,'DB technologies'!$N$196:$Y$208,12,FALSE)/100/VLOOKUP($C$421,'DB animal categories'!$C$147:$AC$156,27,FALSE)*AJ424+M424+N424+O424,0))))))</f>
        <v/>
      </c>
      <c r="AW424" s="442" t="str">
        <f>IF(AS424="","",IF(AU424=0,0,AU424/AT424*100))</f>
        <v/>
      </c>
      <c r="AX424" s="182" t="str">
        <f>IF(D424="","",IF(AS424=2,0,IF(AS424=1,'Calc (ex-animal)'!$K$82*'Calc (ex-housing, ex-storage)'!F424/100/VLOOKUP($C$421,'DB animal categories'!$C$147:$AC$156,27,FALSE)*AJ424+Q424+R424+S424,IF(AS424=5,('Calc (ex-animal)'!$K$82+'Calc (ex-animal)'!$L$82)*'Calc (ex-housing, ex-storage)'!F424/100/VLOOKUP($C$421,'DB animal categories'!$C$147:$AC$156,27,FALSE)*AJ424+Q424+R424+S424-'Calc (ex-housing, ex-storage)'!AC424,IF(AS424=3,('Calc (ex-animal)'!$K$82+'Calc (ex-animal)'!$L$82)*'Calc (ex-housing, ex-storage)'!F424/100/VLOOKUP($C$421,'DB animal categories'!$C$147:$AC$156,27,FALSE)*AJ424+Q424+R424+S424-'Calc (ex-housing, ex-storage)'!AC424-AD424-AE424,IF(AI424=4,('Calc (ex-animal)'!$K$82+'Calc (ex-animal)'!$L$82)*'Calc (ex-housing, ex-storage)'!F424/100*VLOOKUP(D424,'DB technologies'!$N$196:$Y$208,12,FALSE)/100/VLOOKUP($C$421,'DB animal categories'!$C$147:$AC$156,27,FALSE)*AJ424+Q424+R424+S424-(VLOOKUP(D424,'DB technologies'!$N$196:$Y$208,12,FALSE)/100*AC424)-AD424-AE424,0))))))</f>
        <v/>
      </c>
      <c r="AY424" s="182" t="str">
        <f>IF(D424="","",IF(AS424=2,0,IF(AS424=1,'Calc (ex-animal)'!$N$82*'Calc (ex-housing, ex-storage)'!F424/100/VLOOKUP($C$421,'DB animal categories'!$C$147:$AC$156,27,FALSE)*AJ424+U424+V424+W424,IF(AS424=5,('Calc (ex-animal)'!$N$82+'Calc (ex-animal)'!$O$82)*'Calc (ex-housing, ex-storage)'!F424/100/VLOOKUP($C$421,'DB animal categories'!$C$147:$AC$156,27,FALSE)*AJ424+U424+V424+W424,IF(AS424=3,('Calc (ex-animal)'!$N$82+'Calc (ex-animal)'!$O$82)*'Calc (ex-housing, ex-storage)'!F424/100/VLOOKUP($C$421,'DB animal categories'!$C$147:$AC$156,27,FALSE)*AJ424+U424+V424+W424,IF(AS424=4,('Calc (ex-animal)'!$N$82+'Calc (ex-animal)'!$O$82)*'Calc (ex-housing, ex-storage)'!F424/100*VLOOKUP(D424,'DB technologies'!$N$196:$Y$208,12,FALSE)/100/VLOOKUP($C$421,'DB animal categories'!$C$147:$AC$156,27,FALSE)*AJ424+U424+V424+W424,0))))))</f>
        <v/>
      </c>
      <c r="AZ424" s="182" t="str">
        <f>IF(D424="","",IF(AS424=2,0,IF(AS424=1,'Calc (ex-animal)'!$Q$82*'Calc (ex-housing, ex-storage)'!F424/100/VLOOKUP($C$421,'DB animal categories'!$C$147:$AC$156,27,FALSE)*AJ424+Y424+Z424+AA424,IF(AS424=5,('Calc (ex-animal)'!$Q$82+'Calc (ex-animal)'!$R$82)*'Calc (ex-housing, ex-storage)'!F424/100/VLOOKUP($C$421,'DB animal categories'!$C$147:$AC$156,27,FALSE)*AJ424+Y424+Z424+AA424,IF(AS424=3,('Calc (ex-animal)'!$Q$82+'Calc (ex-animal)'!$R$82)*'Calc (ex-housing, ex-storage)'!F424/100/VLOOKUP($C$421,'DB animal categories'!$C$147:$AC$156,27,FALSE)*AJ424+Y424+Z424+AA424,IF(AS424=4,('Calc (ex-animal)'!$Q$82+'Calc (ex-animal)'!$R$82)*'Calc (ex-housing, ex-storage)'!F424/100*VLOOKUP(D424,'DB technologies'!$N$196:$Y$208,12,FALSE)/100/VLOOKUP($C$421,'DB animal categories'!$C$147:$AC$156,27,FALSE)*AJ424+Y424+Z424+AA424,0))))))</f>
        <v/>
      </c>
      <c r="BA424" s="506"/>
      <c r="BB424" s="506"/>
      <c r="BC424" s="506"/>
    </row>
    <row r="425" spans="1:55" ht="12" thickBot="1" x14ac:dyDescent="0.25">
      <c r="A425" s="695"/>
      <c r="B425" s="695"/>
      <c r="C425" s="251"/>
      <c r="D425" s="1359"/>
      <c r="E425" s="1400"/>
      <c r="F425" s="481" t="str">
        <f>IF('Calc (ex-animal)'!$F$78=1,"",IF($C$421=0,"",IF(D425="","",E425/'Calc (ex-animal)'!$E$82*100)))</f>
        <v/>
      </c>
      <c r="G425" s="483" t="str">
        <f>IF($C$421=0,"",IF('Calc (ex-animal)'!$F$78=1,"",IF(D425="","",SUM(H425:O425))))</f>
        <v/>
      </c>
      <c r="H425" s="445" t="str">
        <f>IF('Calc (ex-animal)'!$F$78=1,"",IF(D425="","",(((VLOOKUP($C$421,'Calc (ex-animal)'!$D$78:$Y$82,6,FALSE)-VLOOKUP($C$421,'Calc (ex-animal)'!$D$78:$Y$82,17,FALSE))*F425/100))*VLOOKUP($C$421,'Calc (ex-animal)'!$D$78:$Y$82,7,FALSE)/100*(1-VLOOKUP(D425,'DB technologies'!$N$196:$Y$208,9,FALSE)/100)))</f>
        <v/>
      </c>
      <c r="I425" s="445" t="str">
        <f>IF(D425="","",((VLOOKUP(D425,'DB technologies'!$N$196:$Y$208,2,FALSE)*VLOOKUP($C$421,'DB animal categories'!$C$147:$AC$156,27,FALSE)*E425/1000)/VLOOKUP($C$421,'DB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'!$S$6/100*(1-VLOOKUP(D425,'DB technologies'!$N$196:$Y$208,9,FALSE)/100)))</f>
        <v/>
      </c>
      <c r="J425" s="446" t="str">
        <f>IF(D425="","",((VLOOKUP(D425,'DB technologies'!$N$196:$Y$208,3,FALSE)*VLOOKUP($C$421,'DB animal categories'!$C$147:$AC$156,27,FALSE)*E425/1000)/VLOOKUP($C$421,'DB animal categories'!$C$147:$AC$156,27,FALSE)*(VLOOKUP($C$421,'DB animal categories'!$C$147:$AC$156,27,FALSE)-(VLOOKUP($C$421,'DB animal categories'!$C$147:$AC$156,25,FALSE)*VLOOKUP($C$421,'DB animal categories'!$C$147:$AC$156,26,FALSE)/24))*'DB additional information '!$S$7/100*(1-VLOOKUP(D425,'DB technologies'!$N$196:$Y$208,9,FALSE)/100)))</f>
        <v/>
      </c>
      <c r="K425" s="446" t="str">
        <f>IF(D425="","",((VLOOKUP(D425,'DB technologies'!$N$196:$Y$208,4,FALSE)*E425*'DB additional information '!$S$8/100*(1-VLOOKUP(D425,'DB technologies'!$N$196:$Y$208,9,FALSE)/100))/VLOOKUP($C$421,'DB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L425" s="445" t="str">
        <f>IF('Calc (ex-animal)'!$F$78=1,"",IF(D425="","",(((VLOOKUP($C$421,'Calc (ex-animal)'!$D$78:$Y$82,6,FALSE)-VLOOKUP($C$421,'Calc (ex-animal)'!$D$78:$Y$82,17,FALSE))*F425/100))*(1-VLOOKUP($C$421,'Calc (ex-animal)'!$D$78:$Y$82,7,FALSE)/100)*(1-VLOOKUP(D425,'DB technologies'!$N$196:$V$208,8,FALSE)/100)))</f>
        <v/>
      </c>
      <c r="M425" s="446" t="str">
        <f>IF(D425="","",((VLOOKUP(D425,'DB technologies'!$N$196:$Y$208,2,FALSE)*VLOOKUP($C$421,'DB animal categories'!$C$147:$AC$156,27,FALSE)*E425/1000)/VLOOKUP($C$421,'DB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'!$S$6/100)*(1-VLOOKUP(D425,'DB technologies'!$N$196:$Y$208,9,FALSE)/100))</f>
        <v/>
      </c>
      <c r="N425" s="446" t="str">
        <f>IF(D425="","",((VLOOKUP(D425,'DB technologies'!$N$196:$Y$208,3,FALSE)*VLOOKUP($C$421,'DB animal categories'!$C$147:$AC$156,27,FALSE)*E425/1000)/VLOOKUP($C$421,'DB animal categories'!$C$147:$AC$156,27,FALSE)*(VLOOKUP($C$421,'DB animal categories'!$C$147:$AC$156,27,FALSE)-VLOOKUP($C$421,'DB animal categories'!$C$147:$AC$156,25,FALSE)*VLOOKUP($C$421,'DB animal categories'!$C$147:$AC$156,26,FALSE)/24))*(1-'DB additional information '!$S$7/100)*(1-VLOOKUP(D425,'DB technologies'!$N$196:$Y$208,9,FALSE)/100))</f>
        <v/>
      </c>
      <c r="O425" s="445" t="str">
        <f>IF(D425="","",((VLOOKUP(D425,'DB technologies'!$N$196:$Y$208,4,FALSE)*E425*(1-'DB additional information '!$S$8/100)*(1-VLOOKUP(D425,'DB technologies'!$N$196:$Y$208,8,FALSE)/100))/VLOOKUP($C$421,'DB animal categories'!$C$147:$AC$156,27,FALSE)*(VLOOKUP($C$421,'DB animal categories'!$C$147:$AC$156,27,FALSE)-VLOOKUP($C$421,'DB animal categories'!$C$147:$AC$156,25,FALSE)*VLOOKUP($C$421,'DB animal categories'!$C$147:$AC$156,26,FALSE)/24)))</f>
        <v/>
      </c>
      <c r="P425" s="444" t="str">
        <f>IF(G425=0,0,IF(E425="","",IF(F425="","",IF($C$421=0,"",IF(D425="","",SUM(H425:K425)/G425*100)))))</f>
        <v/>
      </c>
      <c r="Q425" s="476" t="str">
        <f>IF(D425="","",(VLOOKUP(D425,'DB technologies'!$N$196:$Y$208,2,FALSE)*'DB additional information '!$S$6/100*'DB additional information '!$T$6*VLOOKUP($C$421,'DB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R425" s="476" t="str">
        <f>IF(D425="","",(VLOOKUP(D425,'DB technologies'!$N$196:$Y$208,3,FALSE)*'DB additional information '!$S$7/100*'DB additional information '!$T$7*VLOOKUP($C$421,'DB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S425" s="494" t="str">
        <f>IF(D425="","",(VLOOKUP(D425,'DB technologies'!$N$196:$Y$208,4,FALSE)*('DB additional information '!$S$8/100*'DB additional information '!$T$8*E425/1000/1000)))</f>
        <v/>
      </c>
      <c r="T425" s="266" t="str">
        <f>IF($C$421=0,"",IF('Calc (ex-animal)'!$F$78=1,"",IF(D425="","",((VLOOKUP($C$421,'Calc (ex-animal)'!$D$78:$Y$82,10,FALSE)-VLOOKUP($C$421,'Calc (ex-animal)'!$D$78:$Y$82,18,FALSE))*F425/100+Q425+R425+S425)-AC425-AD425-AE425)))</f>
        <v/>
      </c>
      <c r="U425" s="477" t="str">
        <f>IF(D425="","",(VLOOKUP(D425,'DB technologies'!$N$196:$Y$208,2,FALSE)*'DB additional information '!$S$6/100*'DB additional information '!$U$6*VLOOKUP($C$421,'DB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V425" s="433" t="str">
        <f>IF(D425="","",(VLOOKUP(D425,'DB technologies'!$N$196:$Y$208,3,FALSE)*'DB additional information '!$S$7/100*'DB additional information '!$U$7*VLOOKUP($C$421,'DB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W425" s="475" t="str">
        <f>IF(D425="","",(VLOOKUP(D425,'DB technologies'!$N$196:$Y$208,4,FALSE)*('DB additional information '!$S$8/100*'DB additional information '!$U$8*E425/1000/1000)))</f>
        <v/>
      </c>
      <c r="X425" s="267" t="str">
        <f>IF($C$421=0,"",IF('Calc (ex-animal)'!$F$78=1,"",IF(D425="","",((VLOOKUP($C$421,'Calc (ex-animal)'!$D$78:$Y$82,13,FALSE)-VLOOKUP($C$421,'Calc (ex-animal)'!$D$78:$Y$82,19,FALSE))*F425/100+U425+V425+W425))))</f>
        <v/>
      </c>
      <c r="Y425" s="433" t="str">
        <f>IF(D425="","",(VLOOKUP(D425,'DB technologies'!$N$196:$Y$208,2,FALSE)*'DB additional information '!$S$6/100*'DB additional information '!$V$6*VLOOKUP($C$421,'DB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Z425" s="433" t="str">
        <f>IF(D425="","",(VLOOKUP(D425,'DB technologies'!$N$196:$Y$208,3,FALSE)*'DB additional information '!$S$7/100*'DB additional information '!$V$7*VLOOKUP($C$421,'DB animal categories'!$C$147:$AC$156,27,FALSE)*E425/1000/1000)/VLOOKUP($C$421,'DB animal categories'!$C$147:$AC$156,27,FALSE)*(VLOOKUP($C$421,'DB animal categories'!$C$147:$AC$156,27,FALSE)-VLOOKUP($C$421,'DB animal categories'!$C$147:$AC$156,25,FALSE)*VLOOKUP($C$421,'DB animal categories'!$C$147:$AC$156,26,FALSE)/24))</f>
        <v/>
      </c>
      <c r="AA425" s="433" t="str">
        <f>IF(D425="","",(VLOOKUP(D425,'DB technologies'!$N$196:$Y$208,4,FALSE)*('DB additional information '!$S$8/100*'DB additional information '!$V$8*E425/1000/1000)))</f>
        <v/>
      </c>
      <c r="AB425" s="267" t="str">
        <f>IF($C$421=0,"",IF('Calc (ex-animal)'!$F$78=1,"",IF(D425="","",((VLOOKUP($C$421,'Calc (ex-animal)'!$D$78:$Y$82,16,FALSE)-VLOOKUP($C$421,'Calc (ex-animal)'!$D$78:$Y$82,20,FALSE))*F425/100+Y425+Z425+AA425))))</f>
        <v/>
      </c>
      <c r="AC425" s="267" t="str">
        <f>IF($C$421=0,"",IF('Calc (ex-animal)'!$F$78=1,"",IF(D425="","",VLOOKUP($C$421,'Calc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categories'!$C$147:$AC$156,26,FALSE)/24)*F425/100*VLOOKUP(D425,'DB technologies'!$N$196:$R$208,5,FALSE)/100)))</f>
        <v/>
      </c>
      <c r="AD425" s="267" t="str">
        <f>IF($C$421=0,"",IF('Calc (ex-animal)'!$F$78=1,"",IF(D425="","",VLOOKUP($C$421,'Calc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categories'!$C$147:$AC$156,26,FALSE)/24)*F425/100*VLOOKUP(D425,'DB technologies'!$N$196:$Y$208,6,FALSE)/100)))</f>
        <v/>
      </c>
      <c r="AE425" s="268" t="str">
        <f>IF($C$421=0,"",IF('Calc (ex-animal)'!$F$78=1,"",IF(D425="","",VLOOKUP($C$421,'Calc (ex-animal)'!$D$78:$Y$82,10,FALSE)/VLOOKUP($C$421,'DB animal categories'!$C$147:$AC$156,27,FALSE)*(VLOOKUP($C$421,'DB animal categories'!$C$147:$AC$156,27,FALSE)-VLOOKUP($C$421,'DB animal categories'!$C$147:$AC$156,25,FALSE)*VLOOKUP($C$421,'DB animal categories'!$C$147:$AC$156,26,FALSE)/24)*F425/100*VLOOKUP(D425,'DB technologies'!$N$196:$Y$208,7,FALSE)/100)))</f>
        <v/>
      </c>
      <c r="AI425" s="183" t="str">
        <f>IF(D425="","",VLOOKUP(D425,'DB technologies'!$N$196:$Y$208,10,FALSE))</f>
        <v/>
      </c>
      <c r="AJ425" s="451" t="e">
        <f>VLOOKUP($C$421,'DB animal categories'!$C$147:$AN$156,27,FALSE)-VLOOKUP($C$421,'DB animal categories'!$C$147:$AN$156,26,FALSE)*VLOOKUP($C$421,'DB animal categories'!$C$147:$AN$156,25,FALSE)/24</f>
        <v>#N/A</v>
      </c>
      <c r="AK425" s="452" t="str">
        <f>IF(AI425="","",AL425+AM425)</f>
        <v/>
      </c>
      <c r="AL425" s="452" t="str">
        <f>IF(D425="","",IF(AI425=2,(('Calc (ex-animal)'!$G$82*'DB additional information '!$K$17/100*(1-VLOOKUP(D425,'DB technologies'!$N$196:$Y$208,9,FALSE)/100)*'Calc (ex-housing, ex-storage)'!F425/100+'Calc (ex-animal)'!$H$82*'DB additional information '!$L$17/100*(1-VLOOKUP(D425,'DB technologies'!$N$196:$Y$208,9,FALSE)/100)*'Calc (ex-housing, ex-storage)'!F425/100))/VLOOKUP($C$421,'DB animal categories'!$C$147:$AC$156,27,FALSE)*AJ425+I425+J425+K425,IF(AI425=1,('Calc (ex-animal)'!$H$82*'DB additional information '!$L$17/100*(1-VLOOKUP(D425,'DB technologies'!$N$196:$Y$208,9,FALSE)/100)*'Calc (ex-housing, ex-storage)'!F425/100)/VLOOKUP($C$421,'DB animal categories'!$C$147:$AC$156,27,FALSE)*AJ425,IF(AI425=4,('Calc (ex-animal)'!$G$82*'DB additional information '!$K$17/100+'Calc (ex-animal)'!$H$82*'DB additional information '!$L$17/100)*(1-VLOOKUP(D425,'DB technologies'!$N$196:$Y$208,9,FALSE)/100)*'Calc (ex-housing, ex-storage)'!F425/100*VLOOKUP(D425,'DB technologies'!$N$196:$Y$208,11,FALSE)/100/VLOOKUP($C$421,'DB animal categories'!$C$147:$AC$156,27,FALSE)*AJ425,0))))</f>
        <v/>
      </c>
      <c r="AM425" s="452" t="str">
        <f>IF(D425="","",IF(AI425=2,(('Calc (ex-animal)'!$G$82*(1-'DB additional information '!$K$17/100)*(1-VLOOKUP(D425,'DB technologies'!$N$196:$Y$208,8,FALSE)/100)*'Calc (ex-housing, ex-storage)'!F425/100+'Calc (ex-animal)'!$H$82*(1-'DB additional information '!$L$17/100)*(1-VLOOKUP(D425,'DB technologies'!$N$196:$Y$208,8,FALSE)/100)*'Calc (ex-housing, ex-storage)'!F425/100))/VLOOKUP($C$421,'DB animal categories'!$C$147:$AC$156,27,FALSE)*AJ425+M425+N425+O425,IF(AI425=1,('Calc (ex-animal)'!$H$82*(1-'DB additional information '!$L$17/100)*(1-VLOOKUP(D425,'DB technologies'!$N$196:$Y$208,8,FALSE)/100)*'Calc (ex-housing, ex-storage)'!F425/100)/VLOOKUP($C$421,'DB animal categories'!$C$147:$AC$156,27,FALSE)*AJ425,IF(AI425=4,('Calc (ex-animal)'!$G$82*(1-'DB additional information '!$K$17/100)+'Calc (ex-animal)'!$H$82*(1-'DB additional information '!$L$17/100))*(1-VLOOKUP(D425,'DB technologies'!$N$196:$Y$208,8,FALSE)/100)*'Calc (ex-housing, ex-storage)'!F425/100*VLOOKUP(D425,'DB technologies'!$N$196:$Y$208,11,FALSE)/100/VLOOKUP($C$421,'DB animal categories'!$C$147:$AC$156,27,FALSE)*AJ425,0))))</f>
        <v/>
      </c>
      <c r="AN425" s="452" t="str">
        <f>IF(AI425="","",IF(AL425=0,0,AL425/AK425*100))</f>
        <v/>
      </c>
      <c r="AO425" s="184" t="str">
        <f>IF(D425="","",IF(AI425=2,(('Calc (ex-animal)'!$L$82*'Calc (ex-housing, ex-storage)'!F425/100+'Calc (ex-animal)'!$K$82*'Calc (ex-housing, ex-storage)'!F425/100))/VLOOKUP($C$421,'DB animal categories'!$C$147:$AC$156,27,FALSE)*AJ425+Q425+R425+S425-AC425,IF(AI425=1,('Calc (ex-animal)'!$L$82*'Calc (ex-housing, ex-storage)'!F425/100)/VLOOKUP($C$421,'DB animal categories'!$C$147:$AC$156,27,FALSE)*AJ425-'Calc (ex-housing, ex-storage)'!AC425,IF(AI425=4,('Calc (ex-animal)'!$L$82+'Calc (ex-animal)'!$K$82)*'Calc (ex-housing, ex-storage)'!F425/100*VLOOKUP(D425,'DB technologies'!$N$196:$Y$208,11,FALSE)/100/VLOOKUP($C$421,'DB animal categories'!$C$147:$AC$156,27,FALSE)*AJ425-AC425*VLOOKUP(D425,'DB technologies'!$N$196:$Y$208,11,FALSE)/100,0))))</f>
        <v/>
      </c>
      <c r="AP425" s="184" t="str">
        <f>IF(D425="","",IF(AO425&lt;-0.01,0,IF(AI425=2,(('Calc (ex-animal)'!$L$82*'Calc (ex-housing, ex-storage)'!F425/100+'Calc (ex-animal)'!$K$82*'Calc (ex-housing, ex-storage)'!F425/100))/VLOOKUP($C$421,'DB animal categories'!$C$147:$AC$156,27,FALSE)*AJ425+Q425+R425+S425-AC425,IF(AI425=1,('Calc (ex-animal)'!$L$82*'Calc (ex-housing, ex-storage)'!F425/100)/VLOOKUP($C$421,'DB animal categories'!$C$147:$AC$156,27,FALSE)*AJ425-'Calc (ex-housing, ex-storage)'!AC425,IF(AI425=4,('Calc (ex-animal)'!$L$82+'Calc (ex-animal)'!$K$82)*'Calc (ex-housing, ex-storage)'!F425/100*VLOOKUP(D425,'DB technologies'!$N$196:$Y$208,11,FALSE)/100/VLOOKUP($C$421,'DB animal categories'!$C$147:$AC$156,27,FALSE)*AJ425-AC425*VLOOKUP(D425,'DB technologies'!$N$196:$Y$208,11,FALSE)/100,0)))))</f>
        <v/>
      </c>
      <c r="AQ425" s="184" t="str">
        <f>IF(D425="","",IF(AI425=2,('Calc (ex-animal)'!$O$82*'Calc (ex-housing, ex-storage)'!F425/100+'Calc (ex-animal)'!$N$82*'Calc (ex-housing, ex-storage)'!F425/100)/VLOOKUP($C$421,'DB animal categories'!$C$147:$AC$156,27,FALSE)*AJ425+U425+V425+W425,IF(AI425=1,'Calc (ex-animal)'!$O$82*'Calc (ex-housing, ex-storage)'!F425/100/VLOOKUP($C$421,'DB animal categories'!$C$147:$AC$156,27,FALSE)*AJ425,IF(AI425=4,('Calc (ex-animal)'!$O$82+'Calc (ex-animal)'!$N$82)*'Calc (ex-housing, ex-storage)'!F425/100*VLOOKUP(D425,'DB technologies'!$N$196:$Y$208,11,FALSE)/100/VLOOKUP($C$421,'DB animal categories'!$C$147:$AC$156,27,FALSE)*AJ425,0))))</f>
        <v/>
      </c>
      <c r="AR425" s="184" t="str">
        <f>IF(D425="","",IF(AI425=2,('Calc (ex-animal)'!$R$82*'Calc (ex-housing, ex-storage)'!F425/100+'Calc (ex-animal)'!$Q$82*'Calc (ex-housing, ex-storage)'!F425/100)/VLOOKUP($C$421,'DB animal categories'!$C$147:$AC$156,27,FALSE)*AJ425+Y425+Z425+AA425,IF(AI425=1,'Calc (ex-animal)'!$R$82*'Calc (ex-housing, ex-storage)'!F425/100/VLOOKUP($C$421,'DB animal categories'!$C$147:$AC$156,27,FALSE)*AJ425,IF(AI425=4,('Calc (ex-animal)'!$R$82+'Calc (ex-animal)'!$Q$82)*'Calc (ex-housing, ex-storage)'!F425/100*VLOOKUP(D425,'DB technologies'!$N$196:$Y$208,11,FALSE)/100/VLOOKUP($C$421,'DB animal categories'!$C$147:$AC$156,27,FALSE)*AJ425,0))))</f>
        <v/>
      </c>
      <c r="AS425" s="183" t="str">
        <f>IF(D425="","",VLOOKUP(D425,'DB technologies'!$N$196:$Y$208,10,FALSE))</f>
        <v/>
      </c>
      <c r="AT425" s="452" t="str">
        <f>IF(AS425="","",AU425+AV425)</f>
        <v/>
      </c>
      <c r="AU425" s="452" t="str">
        <f>IF(D425="","",IF(AS425=2,0,IF(AS425=1,'Calc (ex-animal)'!$G$82*'DB additional information '!$K$17/100*(1-VLOOKUP(D425,'DB technologies'!$N$196:$Y$208,8,FALSE)/100)*'Calc (ex-housing, ex-storage)'!F425/100/VLOOKUP($C$421,'DB animal categories'!$C$147:$AC$156,27,FALSE)*AJ425+I425+J425+K425,IF(AS425=5,(('Calc (ex-animal)'!$G$82*'DB additional information '!$K$17/100+'Calc (ex-animal)'!$H$82*'DB additional information '!$L$17/100))*(1-VLOOKUP(D425,'DB technologies'!$N$196:$Y$208,9,FALSE)/100)*'Calc (ex-housing, ex-storage)'!F425/100/VLOOKUP($C$421,'DB animal categories'!$C$147:$AC$156,27,FALSE)*AJ425+I425+J425+K425,IF(AS425=3,('Calc (ex-animal)'!$G$82*'DB additional information '!$K$17/100+'Calc (ex-animal)'!$H$82*'DB additional information '!$L$17/100)*(1-VLOOKUP(D425,'DB technologies'!$N$196:$Y$208,9,FALSE)/100)*'Calc (ex-housing, ex-storage)'!F425/100/VLOOKUP($C$421,'DB animal categories'!$C$147:$AC$156,27,FALSE)*AJ425+I425+J425+K425,IF(AS425=4,('Calc (ex-animal)'!$G$82*'DB additional information '!$K$17/100+'Calc (ex-animal)'!$H$82*'DB additional information '!$L$17/100)*(1-VLOOKUP(D425,'DB technologies'!$N$196:$Y$208,9,FALSE)/100)*'Calc (ex-housing, ex-storage)'!F425/100*VLOOKUP(D425,'DB technologies'!$N$196:$Y$208,12,FALSE)/100/VLOOKUP($C$421,'DB animal categories'!$C$147:$AC$156,27,FALSE)*AJ425+I425+J425+K425,0))))))</f>
        <v/>
      </c>
      <c r="AV425" s="452" t="str">
        <f>IF(D425="","",IF(AS425=2,0,IF(AS425=1,'Calc (ex-animal)'!$G$82*(1-'DB additional information '!$K$17/100)*(1-VLOOKUP(D425,'DB technologies'!$N$196:$Y$208,8,FALSE)/100)*'Calc (ex-housing, ex-storage)'!F425/100/VLOOKUP($C$421,'DB animal categories'!$C$147:$AC$156,27,FALSE)*AJ425+M425+N425+O425,IF(AS425=5,('Calc (ex-animal)'!$G$82*(1-'DB additional information '!$K$17/100)+'Calc (ex-animal)'!$H$82*(1-'DB additional information '!$L$17/100))*(1-VLOOKUP(D425,'DB technologies'!$N$196:$Y$208,8,FALSE)/100)*'Calc (ex-housing, ex-storage)'!F425/100/VLOOKUP($C$421,'DB animal categories'!$C$147:$AC$156,27,FALSE)*AJ425+M425+N425+O425,IF(AS425=3,('Calc (ex-animal)'!$G$82*(1-'DB additional information '!$K$17/100)+'Calc (ex-animal)'!$H$82*(1-'DB additional information '!$L$17/100))*(1-VLOOKUP(D425,'DB technologies'!$N$196:$Y$208,8,FALSE)/100)*'Calc (ex-housing, ex-storage)'!F425/100/VLOOKUP($C$421,'DB animal categories'!$C$147:$AC$156,27,FALSE)*AJ425+M425+N425+O425,IF(AS425=4,('Calc (ex-animal)'!$G$82*(1-'DB additional information '!$K$17/100)+'Calc (ex-animal)'!$H$82*(1-'DB additional information '!$L$17/100))*(1-VLOOKUP(D425,'DB technologies'!$N$196:$Y$208,8,FALSE)/100)*'Calc (ex-housing, ex-storage)'!F425/100*VLOOKUP(D425,'DB technologies'!$N$196:$Y$208,12,FALSE)/100/VLOOKUP($C$421,'DB animal categories'!$C$147:$AC$156,27,FALSE)*AJ425+M425+N425+O425,0))))))</f>
        <v/>
      </c>
      <c r="AW425" s="452" t="str">
        <f>IF(AS425="","",IF(AU425=0,0,AU425/AT425*100))</f>
        <v/>
      </c>
      <c r="AX425" s="184" t="str">
        <f>IF(D425="","",IF(AS425=2,0,IF(AS425=1,'Calc (ex-animal)'!$K$82*'Calc (ex-housing, ex-storage)'!F425/100/VLOOKUP($C$421,'DB animal categories'!$C$147:$AC$156,27,FALSE)*AJ425+Q425+R425+S425,IF(AS425=5,('Calc (ex-animal)'!$K$82+'Calc (ex-animal)'!$L$82)*'Calc (ex-housing, ex-storage)'!F425/100/VLOOKUP($C$421,'DB animal categories'!$C$147:$AC$156,27,FALSE)*AJ425+Q425+R425+S425-'Calc (ex-housing, ex-storage)'!AC425,IF(AS425=3,('Calc (ex-animal)'!$K$82+'Calc (ex-animal)'!$L$82)*'Calc (ex-housing, ex-storage)'!F425/100/VLOOKUP($C$421,'DB animal categories'!$C$147:$AC$156,27,FALSE)*AJ425+Q425+R425+S425-'Calc (ex-housing, ex-storage)'!AC425-AD425-AE425,IF(AI425=4,('Calc (ex-animal)'!$K$82+'Calc (ex-animal)'!$L$82)*'Calc (ex-housing, ex-storage)'!F425/100*VLOOKUP(D425,'DB technologies'!$N$196:$Y$208,12,FALSE)/100/VLOOKUP($C$421,'DB animal categories'!$C$147:$AC$156,27,FALSE)*AJ425+Q425+R425+S425-(VLOOKUP(D425,'DB technologies'!$N$196:$Y$208,12,FALSE)/100*AC425)-AD425-AE425,0))))))</f>
        <v/>
      </c>
      <c r="AY425" s="184" t="str">
        <f>IF(D425="","",IF(AS425=2,0,IF(AS425=1,'Calc (ex-animal)'!$N$82*'Calc (ex-housing, ex-storage)'!F425/100/VLOOKUP($C$421,'DB animal categories'!$C$147:$AC$156,27,FALSE)*AJ425+U425+V425+W425,IF(AS425=5,('Calc (ex-animal)'!$N$82+'Calc (ex-animal)'!$O$82)*'Calc (ex-housing, ex-storage)'!F425/100/VLOOKUP($C$421,'DB animal categories'!$C$147:$AC$156,27,FALSE)*AJ425+U425+V425+W425,IF(AS425=3,('Calc (ex-animal)'!$N$82+'Calc (ex-animal)'!$O$82)*'Calc (ex-housing, ex-storage)'!F425/100/VLOOKUP($C$421,'DB animal categories'!$C$147:$AC$156,27,FALSE)*AJ425+U425+V425+W425,IF(AS425=4,('Calc (ex-animal)'!$N$82+'Calc (ex-animal)'!$O$82)*'Calc (ex-housing, ex-storage)'!F425/100*VLOOKUP(D425,'DB technologies'!$N$196:$Y$208,12,FALSE)/100/VLOOKUP($C$421,'DB animal categories'!$C$147:$AC$156,27,FALSE)*AJ425+U425+V425+W425,0))))))</f>
        <v/>
      </c>
      <c r="AZ425" s="184" t="str">
        <f>IF(D425="","",IF(AS425=2,0,IF(AS425=1,'Calc (ex-animal)'!$Q$82*'Calc (ex-housing, ex-storage)'!F425/100/VLOOKUP($C$421,'DB animal categories'!$C$147:$AC$156,27,FALSE)*AJ425+Y425+Z425+AA425,IF(AS425=5,('Calc (ex-animal)'!$Q$82+'Calc (ex-animal)'!$R$82)*'Calc (ex-housing, ex-storage)'!F425/100/VLOOKUP($C$421,'DB animal categories'!$C$147:$AC$156,27,FALSE)*AJ425+Y425+Z425+AA425,IF(AS425=3,('Calc (ex-animal)'!$Q$82+'Calc (ex-animal)'!$R$82)*'Calc (ex-housing, ex-storage)'!F425/100/VLOOKUP($C$421,'DB animal categories'!$C$147:$AC$156,27,FALSE)*AJ425+Y425+Z425+AA425,IF(AS425=4,('Calc (ex-animal)'!$Q$82+'Calc (ex-animal)'!$R$82)*'Calc (ex-housing, ex-storage)'!F425/100*VLOOKUP(D425,'DB technologies'!$N$196:$Y$208,12,FALSE)/100/VLOOKUP($C$421,'DB animal categories'!$C$147:$AC$156,27,FALSE)*AJ425+Y425+Z425+AA425,0))))))</f>
        <v/>
      </c>
      <c r="BA425" s="506"/>
      <c r="BB425" s="506"/>
      <c r="BC425" s="506"/>
    </row>
    <row r="426" spans="1:55" ht="12" thickBot="1" x14ac:dyDescent="0.25">
      <c r="A426" s="695"/>
      <c r="B426" s="696"/>
      <c r="C426" s="252"/>
      <c r="D426" s="269" t="s">
        <v>58</v>
      </c>
      <c r="E426" s="270">
        <f>IF(F426&lt;=100,SUM(E421:E425),"ERROR")</f>
        <v>0</v>
      </c>
      <c r="F426" s="284">
        <f>IF(SUM(F421:F425) &lt;=100,SUM(F421:F425),"ERROR, SUM&gt;100%")</f>
        <v>0</v>
      </c>
      <c r="G426" s="550">
        <f>IF('Calc (ex-animal)'!$F$78=1,"",SUM(G421:G425))</f>
        <v>0</v>
      </c>
      <c r="H426" s="418">
        <f>IF('Calc (ex-animal)'!$F$8=1,"",SUM(H421:H425))</f>
        <v>0</v>
      </c>
      <c r="I426" s="418">
        <f>IF('Calc (ex-animal)'!$F$8=1,"",SUM(I421:I425))</f>
        <v>0</v>
      </c>
      <c r="J426" s="418">
        <f>IF('Calc (ex-animal)'!$F$8=1,"",SUM(J421:J425))</f>
        <v>0</v>
      </c>
      <c r="K426" s="418">
        <f>IF('Calc (ex-animal)'!$F$8=1,"",SUM(K421:K425))</f>
        <v>0</v>
      </c>
      <c r="L426" s="418">
        <f>IF('Calc (ex-animal)'!$F$8=1,"",SUM(L421:L425))</f>
        <v>0</v>
      </c>
      <c r="M426" s="551"/>
      <c r="N426" s="551"/>
      <c r="O426" s="551"/>
      <c r="P426" s="552">
        <f>IF(G426=0,0,IF('Calc (ex-animal)'!$F$78=1,"",IF(D426="","",SUM(H426:K426)/G426*100)))</f>
        <v>0</v>
      </c>
      <c r="Q426" s="394"/>
      <c r="R426" s="394"/>
      <c r="S426" s="394"/>
      <c r="T426" s="285">
        <f>IF('Calc (ex-animal)'!$F$82=1,"",SUM(T421:T425))</f>
        <v>0</v>
      </c>
      <c r="U426" s="286"/>
      <c r="V426" s="286"/>
      <c r="W426" s="286"/>
      <c r="X426" s="286">
        <f>IF('Calc (ex-animal)'!$F$82=1,"",SUM(X421:X425))</f>
        <v>0</v>
      </c>
      <c r="Y426" s="286"/>
      <c r="Z426" s="286"/>
      <c r="AA426" s="286"/>
      <c r="AB426" s="286">
        <f>IF('Calc (ex-animal)'!$F$82=1,"",SUM(AB421:AB425))</f>
        <v>0</v>
      </c>
      <c r="AC426" s="286">
        <f>IF('Calc (ex-animal)'!$F$82=1,"",SUM(AC421:AC425))</f>
        <v>0</v>
      </c>
      <c r="AD426" s="286">
        <f>IF('Calc (ex-animal)'!$F$82=1,"",SUM(AD421:AD425))</f>
        <v>0</v>
      </c>
      <c r="AE426" s="287">
        <f>IF('Calc (ex-animal)'!$F$82=1,"",SUM(AE421:AE425))</f>
        <v>0</v>
      </c>
    </row>
    <row r="427" spans="1:55" x14ac:dyDescent="0.2">
      <c r="A427" s="695"/>
      <c r="B427" s="694" t="s">
        <v>190</v>
      </c>
      <c r="C427" s="254">
        <f>'Calc (ex-animal)'!D83</f>
        <v>0</v>
      </c>
      <c r="D427" s="1355"/>
      <c r="E427" s="1356"/>
      <c r="F427" s="479" t="str">
        <f>IF('Calc (ex-animal)'!$F$83=1,"",IF($C$427=0,"",IF(D427="","",E427/'Calc (ex-animal)'!$E$83*100)))</f>
        <v/>
      </c>
      <c r="G427" s="484" t="str">
        <f>IF($C$427=0,"",IF('Calc (ex-animal)'!$F$83=1,"",IF(D427="","",SUM(H427:O427))))</f>
        <v/>
      </c>
      <c r="H427" s="471" t="str">
        <f>IF('Calc (ex-animal)'!$F$83=1,"",IF(D427="","",(((VLOOKUP($C$427,'Calc (ex-animal)'!$D$83:$Y$87,6,FALSE)-VLOOKUP($C$427,'Calc (ex-animal)'!$D$83:$Y$87,17,FALSE))*F427/100))*VLOOKUP($C$427,'Calc (ex-animal)'!$D$83:$Y$87,7,FALSE)/100*(1-VLOOKUP(D427,'DB technologies'!$N$210:$Y$222,9,FALSE)/100)))</f>
        <v/>
      </c>
      <c r="I427" s="471" t="str">
        <f>IF(D427="","",((VLOOKUP(D427,'DB technologies'!$N$210:$Y$222,2,FALSE)*VLOOKUP($C$427,'DB animal categories'!$C$157:$AC$166,27,FALSE)*E427/1000)/VLOOKUP($C$427,'DB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'!$S$6/100*(1-VLOOKUP(D427,'DB technologies'!$N$210:$Y$222,9,FALSE)/100)))</f>
        <v/>
      </c>
      <c r="J427" s="472" t="str">
        <f>IF(D427="","",((VLOOKUP(D427,'DB technologies'!$N$210:$Y$222,3,FALSE)*VLOOKUP($C$427,'DB animal categories'!$C$157:$AC$166,27,FALSE)*E427/1000)/VLOOKUP($C$427,'DB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'!$S$7/100*(1-VLOOKUP(D427,'DB technologies'!$N$210:$Y$222,9,FALSE)/100)))</f>
        <v/>
      </c>
      <c r="K427" s="472" t="str">
        <f>IF(D427="","",((VLOOKUP(D427,'DB technologies'!$N$210:$Y$222,4,FALSE)*E427*'DB additional information '!$S$8/100*(1-VLOOKUP(D427,'DB technologies'!$N$210:$Y$222,9,FALSE)/100))/VLOOKUP($C$427,'DB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L427" s="471" t="str">
        <f>IF('Calc (ex-animal)'!$F$83=1,"",IF(D427="","",(((VLOOKUP($C$427,'Calc (ex-animal)'!$D$83:$Y$87,6,FALSE)-VLOOKUP($C$427,'Calc (ex-animal)'!$D$83:$Y$87,17,FALSE))*F427/100))*(1-VLOOKUP($C$427,'Calc (ex-animal)'!$D$83:$Y$87,7,FALSE)/100)*(1-VLOOKUP(D427,'DB technologies'!$N$210:$V$222,8,FALSE)/100)))</f>
        <v/>
      </c>
      <c r="M427" s="472" t="str">
        <f>IF(D427="","",((VLOOKUP(D427,'DB technologies'!$N$210:$Y$222,2,FALSE)*VLOOKUP($C$427,'DB animal categories'!$C$157:$AC$166,27,FALSE)*E427/1000)/VLOOKUP($C$427,'DB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'!$S$6/100)*(1-VLOOKUP(D427,'DB technologies'!$N$210:$Y$222,9,FALSE)/100))</f>
        <v/>
      </c>
      <c r="N427" s="472" t="str">
        <f>IF(D427="","",((VLOOKUP(D427,'DB technologies'!$N$210:$Y$222,3,FALSE)*VLOOKUP($C$427,'DB animal categories'!$C$157:$AC$166,27,FALSE)*E427/1000)/VLOOKUP($C$427,'DB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'!$S$7/100)*(1-VLOOKUP(D427,'DB technologies'!$N$210:$Y$222,9,FALSE)/100))</f>
        <v/>
      </c>
      <c r="O427" s="471" t="str">
        <f>IF(D427="","",((VLOOKUP(D427,'DB technologies'!$N$210:$Y$222,4,FALSE)*E427*(1-'DB additional information '!$S$8/100)*(1-VLOOKUP(D427,'DB technologies'!$N$210:$Y$222,8,FALSE)/100))/VLOOKUP($C$427,'DB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P427" s="443" t="str">
        <f>IF(G427=0,0,IF(E427="","",IF(F427="","",IF($C$427=0,"",IF(D427="","",SUM(H427:K427)/G427*100)))))</f>
        <v/>
      </c>
      <c r="Q427" s="473" t="str">
        <f>IF(D427="","",(VLOOKUP(D427,'DB technologies'!$N$210:$Y$222,2,FALSE)*'DB additional information '!$S$6/100*'DB additional information '!$T$6*VLOOKUP($C$427,'DB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R427" s="473" t="str">
        <f>IF(D427="","",(VLOOKUP(D427,'DB technologies'!$N$210:$Y$222,3,FALSE)*'DB additional information '!$S$7/100*'DB additional information '!$T$7*VLOOKUP($C$427,'DB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S427" s="490" t="str">
        <f>IF(D427="","",(VLOOKUP(D427,'DB technologies'!$N$210:$Y$222,4,FALSE)*('DB additional information '!$S$8/100*'DB additional information '!$T$8*E427/1000/1000)))</f>
        <v/>
      </c>
      <c r="T427" s="263" t="str">
        <f>IF($C$427=0,"",IF('Calc (ex-animal)'!$F$83=1,"",IF(D427="","",((VLOOKUP($C$427,'Calc (ex-animal)'!$D$83:$Y$87,10,FALSE)-VLOOKUP($C$427,'Calc (ex-animal)'!$D$83:$Y$87,18,FALSE))*F427/100+Q427+R427+S427)-AC427-AD427-AE427)))</f>
        <v/>
      </c>
      <c r="U427" s="474" t="str">
        <f>IF(D427="","",(VLOOKUP(D427,'DB technologies'!$N$210:$Y$222,2,FALSE)*'DB additional information '!$S$6/100*'DB additional information '!$U$6*VLOOKUP($C$427,'DB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V427" s="420" t="str">
        <f>IF(D427="","",(VLOOKUP(D427,'DB technologies'!$N$210:$Y$222,3,FALSE)*'DB additional information '!$S$7/100*'DB additional information '!$U$7*VLOOKUP($C$427,'DB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W427" s="415" t="str">
        <f>IF(D427="","",(VLOOKUP(D427,'DB technologies'!$N$210:$Y$222,4,FALSE)*('DB additional information '!$S$8/100*'DB additional information '!$U$8*E427/1000/1000)))</f>
        <v/>
      </c>
      <c r="X427" s="259" t="str">
        <f>IF($C$427=0,"",IF('Calc (ex-animal)'!$F$83=1,"",IF(D427="","",((VLOOKUP($C$427,'Calc (ex-animal)'!$D$83:$Y$87,13,FALSE)-VLOOKUP($C$427,'Calc (ex-animal)'!$D$83:$Y$87,19,FALSE))*F427/100+U427+V427+W427))))</f>
        <v/>
      </c>
      <c r="Y427" s="420" t="str">
        <f>IF(D427="","",(VLOOKUP(D427,'DB technologies'!$N$210:$Y$222,2,FALSE)*'DB additional information '!$S$6/100*'DB additional information '!$V$6*VLOOKUP($C$427,'DB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Z427" s="420" t="str">
        <f>IF(D427="","",(VLOOKUP(D427,'DB technologies'!$N$210:$Y$222,3,FALSE)*'DB additional information '!$S$7/100*'DB additional information '!$V$7*VLOOKUP($C$427,'DB animal categories'!$C$157:$AC$166,27,FALSE)*E427/1000/1000)/VLOOKUP($C$427,'DB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AA427" s="420" t="str">
        <f>IF(D427="","",(VLOOKUP(D427,'DB technologies'!$N$210:$Y$222,4,FALSE)*('DB additional information '!$S$8/100*'DB additional information '!$V$8*E427/1000/1000)))</f>
        <v/>
      </c>
      <c r="AB427" s="259" t="str">
        <f>IF($C$427=0,"",IF('Calc (ex-animal)'!$F$83=1,"",IF(D427="","",((VLOOKUP($C$427,'Calc (ex-animal)'!$D$83:$Y$87,16,FALSE)-VLOOKUP($C$427,'Calc (ex-animal)'!$D$83:$Y$87,20,FALSE))*F427/100+Y427+Z427+AA427))))</f>
        <v/>
      </c>
      <c r="AC427" s="259" t="str">
        <f>IF($C$427=0,"",IF('Calc (ex-animal)'!$F$83=1,"",IF(D427="","",VLOOKUP($C$427,'Calc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categories'!$C$157:$AC$166,26,FALSE)/24)*F427/100*VLOOKUP(D427,'DB technologies'!$N$210:$R$222,5,FALSE)/100)))</f>
        <v/>
      </c>
      <c r="AD427" s="259" t="str">
        <f>IF($C$427=0,"",IF('Calc (ex-animal)'!$F$83=1,"",IF(D427="","",VLOOKUP($C$427,'Calc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categories'!$C$157:$AC$166,26,FALSE)/24)*F427/100*VLOOKUP(D427,'DB technologies'!$N$210:$Y$222,6,FALSE)/100)))</f>
        <v/>
      </c>
      <c r="AE427" s="260" t="str">
        <f>IF($C$427=0,"",IF('Calc (ex-animal)'!$F$83=1,"",IF(D427="","",VLOOKUP($C$427,'Calc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categories'!$C$157:$AC$166,26,FALSE)/24)*F427/100*VLOOKUP(D427,'DB technologies'!$N$210:$Y$222,7,FALSE)/100)))</f>
        <v/>
      </c>
      <c r="AI427" s="179" t="str">
        <f>IF(D427="","",VLOOKUP(D427,'DB technologies'!$N$210:$Y$222,10,FALSE))</f>
        <v/>
      </c>
      <c r="AJ427" s="482" t="e">
        <f>VLOOKUP($C$427,'DB animal categories'!$C$157:$AN$166,27,FALSE)-VLOOKUP($C$427,'DB animal categories'!$C$157:$AN$166,26,FALSE)*VLOOKUP($C$427,'DB animal categories'!$C$157:$AN$166,25,FALSE)/24</f>
        <v>#N/A</v>
      </c>
      <c r="AK427" s="453" t="str">
        <f>IF(AI427="","",AL427+AM427)</f>
        <v/>
      </c>
      <c r="AL427" s="453" t="str">
        <f>IF(D427="","",IF(AI427=2,(('Calc (ex-animal)'!$G$83*'DB additional information '!$K$18/100*(1-VLOOKUP(D427,'DB technologies'!$N$210:$Y$222,9,FALSE)/100)*'Calc (ex-housing, ex-storage)'!F427/100+'Calc (ex-animal)'!$H$83*'DB additional information '!$L$18/100*(1-VLOOKUP(D427,'DB technologies'!$N$210:$Y$222,9,FALSE)/100)*'Calc (ex-housing, ex-storage)'!F427/100))/VLOOKUP($C$427,'DB animal categories'!$C$157:$AC$166,27,FALSE)*AJ427+I427+J427+K427,IF(AI427=1,('Calc (ex-animal)'!$H$83*'DB additional information '!$L$18/100*(1-VLOOKUP(D427,'DB technologies'!$N$210:$Y$222,9,FALSE)/100)*'Calc (ex-housing, ex-storage)'!F427/100)/VLOOKUP($C$427,'DB animal categories'!$C$157:$AC$166,27,FALSE)*AJ427,IF(AI427=4,('Calc (ex-animal)'!$G$83*'DB additional information '!$K$18/100+'Calc (ex-animal)'!$H$83*'DB additional information '!$L$18/100)*(1-VLOOKUP(D427,'DB technologies'!$N$210:$Y$222,9,FALSE)/100)*'Calc (ex-housing, ex-storage)'!F427/100*VLOOKUP(D427,'DB technologies'!$N$210:$Y$222,11,FALSE)/100/VLOOKUP($C$427,'DB animal categories'!$C$157:$AC$166,27,FALSE)*AJ427,0))))</f>
        <v/>
      </c>
      <c r="AM427" s="453" t="str">
        <f>IF(D427="","",IF(AI427=2,(('Calc (ex-animal)'!$G$83*(1-'DB additional information '!$K$18/100)*(1-VLOOKUP(D427,'DB technologies'!$N$210:$Y$222,8,FALSE)/100)*'Calc (ex-housing, ex-storage)'!F427/100+'Calc (ex-animal)'!$H$83*(1-'DB additional information '!$L$18/100)*(1-VLOOKUP(D427,'DB technologies'!$N$210:$Y$222,8,FALSE)/100)*'Calc (ex-housing, ex-storage)'!F427/100))/VLOOKUP($C$427,'DB animal categories'!$C$157:$AC$166,27,FALSE)*AJ427+M427+N427+O427,IF(AI427=1,('Calc (ex-animal)'!$H$83*(1-'DB additional information '!$L$18/100)*(1-VLOOKUP(D427,'DB technologies'!$N$210:$Y$222,8,FALSE)/100)*'Calc (ex-housing, ex-storage)'!F427/100)/VLOOKUP($C$427,'DB animal categories'!$C$157:$AC$166,27,FALSE)*AJ427,IF(AI427=4,('Calc (ex-animal)'!$G$83*(1-'DB additional information '!$K$18/100)+'Calc (ex-animal)'!$H$83*(1-'DB additional information '!$L$18/100))*(1-VLOOKUP(D427,'DB technologies'!$N$210:$Y$222,8,FALSE)/100)*'Calc (ex-housing, ex-storage)'!F427/100*VLOOKUP(D427,'DB technologies'!$N$210:$Y$222,11,FALSE)/100/VLOOKUP($C$427,'DB animal categories'!$C$157:$AC$166,27,FALSE)*AJ427,0))))</f>
        <v/>
      </c>
      <c r="AN427" s="453" t="str">
        <f>IF(AI427="","",IF(AL427=0,0,AL427/AK427*100))</f>
        <v/>
      </c>
      <c r="AO427" s="180" t="str">
        <f>IF(D427="","",IF(AI427=2,(('Calc (ex-animal)'!$L$83*'Calc (ex-housing, ex-storage)'!F427/100+'Calc (ex-animal)'!$K$83*'Calc (ex-housing, ex-storage)'!F427/100))/VLOOKUP($C$427,'DB animal categories'!$C$157:$AC$166,27,FALSE)*AJ427+Q427+R427+S427-AC427,IF(AI427=1,('Calc (ex-animal)'!$L$83*'Calc (ex-housing, ex-storage)'!F427/100)/VLOOKUP($C$427,'DB animal categories'!$C$157:$AC$166,27,FALSE)*AJ427-'Calc (ex-housing, ex-storage)'!AC427,IF(AI427=4,('Calc (ex-animal)'!$L$83+'Calc (ex-animal)'!$K$83)*'Calc (ex-housing, ex-storage)'!F427/100*VLOOKUP(D427,'DB technologies'!$N$210:$Y$222,11,FALSE)/100/VLOOKUP($C$427,'DB animal categories'!$C$157:$AC$166,27,FALSE)*AJ427-AC427*VLOOKUP(D427,'DB technologies'!$N$210:$Y$222,11,FALSE)/100,0))))</f>
        <v/>
      </c>
      <c r="AP427" s="180" t="str">
        <f>IF(D427="","",IF(AO427&lt;-0.01,0,IF(AI427=2,(('Calc (ex-animal)'!$L$83*'Calc (ex-housing, ex-storage)'!F427/100+'Calc (ex-animal)'!$K$83*'Calc (ex-housing, ex-storage)'!F427/100))/VLOOKUP($C$427,'DB animal categories'!$C$157:$AC$166,27,FALSE)*AJ427+Q427+R427+S427-AC427,IF(AI427=1,('Calc (ex-animal)'!$L$83*'Calc (ex-housing, ex-storage)'!F427/100)/VLOOKUP($C$427,'DB animal categories'!$C$157:$AC$166,27,FALSE)*AJ427-'Calc (ex-housing, ex-storage)'!AC427,IF(AI427=4,('Calc (ex-animal)'!$L$83+'Calc (ex-animal)'!$K$83)*'Calc (ex-housing, ex-storage)'!F427/100*VLOOKUP(D427,'DB technologies'!$N$210:$Y$222,11,FALSE)/100/VLOOKUP($C$427,'DB animal categories'!$C$157:$AC$166,27,FALSE)*AJ427-AC427*VLOOKUP(D427,'DB technologies'!$N$210:$Y$222,11,FALSE)/100,0)))))</f>
        <v/>
      </c>
      <c r="AQ427" s="180" t="str">
        <f>IF(D427="","",IF(AI427=2,('Calc (ex-animal)'!$O$83*'Calc (ex-housing, ex-storage)'!F427/100+'Calc (ex-animal)'!$N$83*'Calc (ex-housing, ex-storage)'!F427/100)/VLOOKUP($C$427,'DB animal categories'!$C$157:$AC$166,27,FALSE)*AJ427+U427+V427+W427,IF(AI427=1,'Calc (ex-animal)'!$O$83*'Calc (ex-housing, ex-storage)'!F427/100/VLOOKUP($C$427,'DB animal categories'!$C$157:$AC$166,27,FALSE)*AJ427,IF(AI427=4,('Calc (ex-animal)'!$O$83+'Calc (ex-animal)'!$N$83)*'Calc (ex-housing, ex-storage)'!F427/100*VLOOKUP(D427,'DB technologies'!$N$210:$Y$222,11,FALSE)/100/VLOOKUP($C$427,'DB animal categories'!$C$157:$AC$166,27,FALSE)*AJ427,0))))</f>
        <v/>
      </c>
      <c r="AR427" s="180" t="str">
        <f>IF(D427="","",IF(AI427=2,('Calc (ex-animal)'!$R$83*'Calc (ex-housing, ex-storage)'!F427/100+'Calc (ex-animal)'!$Q$83*'Calc (ex-housing, ex-storage)'!F427/100)/VLOOKUP($C$427,'DB animal categories'!$C$157:$AC$166,27,FALSE)*AJ427+Y427+Z427+AA427,IF(AI427=1,'Calc (ex-animal)'!$R$83*'Calc (ex-housing, ex-storage)'!F427/100/VLOOKUP($C$427,'DB animal categories'!$C$157:$AC$166,27,FALSE)*AJ427,IF(AI427=4,('Calc (ex-animal)'!$R$83+'Calc (ex-animal)'!$Q$83)*'Calc (ex-housing, ex-storage)'!F427/100*VLOOKUP(D427,'DB technologies'!$N$210:$Y$222,11,FALSE)/100/VLOOKUP($C$427,'DB animal categories'!$C$157:$AC$166,27,FALSE)*AJ427,0))))</f>
        <v/>
      </c>
      <c r="AS427" s="179" t="str">
        <f>IF(D427="","",VLOOKUP(D427,'DB technologies'!$N$210:$Y$222,10,FALSE))</f>
        <v/>
      </c>
      <c r="AT427" s="453" t="str">
        <f>IF(AS427="","",AU427+AV427)</f>
        <v/>
      </c>
      <c r="AU427" s="453" t="str">
        <f>IF(D427="","",IF(AS427=2,0,IF(AS427=1,'Calc (ex-animal)'!$G$83*'DB additional information '!$K$18/100*(1-VLOOKUP(D427,'DB technologies'!$N$210:$Y$222,8,FALSE)/100)*'Calc (ex-housing, ex-storage)'!F427/100/VLOOKUP($C$427,'DB animal categories'!$C$157:$AC$166,27,FALSE)*AJ427+I427+J427+K427,IF(AS427=5,(('Calc (ex-animal)'!$G$83*'DB additional information '!$K$18/100+'Calc (ex-animal)'!$H$83*'DB additional information '!$L$18/100))*(1-VLOOKUP(D427,'DB technologies'!$N$210:$Y$222,9,FALSE)/100)*'Calc (ex-housing, ex-storage)'!F427/100/VLOOKUP($C$427,'DB animal categories'!$C$157:$AC$166,27,FALSE)*AJ427+I427+J427+K427,IF(AS427=3,('Calc (ex-animal)'!$G$83*'DB additional information '!$K$18/100+'Calc (ex-animal)'!$H$83*'DB additional information '!$L$18/100)*(1-VLOOKUP(D427,'DB technologies'!$N$210:$Y$222,9,FALSE)/100)*'Calc (ex-housing, ex-storage)'!F427/100/VLOOKUP($C$427,'DB animal categories'!$C$157:$AC$166,27,FALSE)*AJ427+I427+J427+K427,IF(AS427=4,('Calc (ex-animal)'!$G$83*'DB additional information '!$K$18/100+'Calc (ex-animal)'!$H$83*'DB additional information '!$L$18/100)*(1-VLOOKUP(D427,'DB technologies'!$N$210:$Y$222,9,FALSE)/100)*'Calc (ex-housing, ex-storage)'!F427/100*VLOOKUP(D427,'DB technologies'!$N$210:$Y$222,12,FALSE)/100/VLOOKUP($C$427,'DB animal categories'!$C$157:$AC$166,27,FALSE)*AJ427+I427+J427+K427,0))))))</f>
        <v/>
      </c>
      <c r="AV427" s="453" t="str">
        <f>IF(D427="","",IF(AS427=2,0,IF(AS427=1,'Calc (ex-animal)'!$G$83*(1-'DB additional information '!$K$18/100)*(1-VLOOKUP(D427,'DB technologies'!$N$210:$Y$222,8,FALSE)/100)*'Calc (ex-housing, ex-storage)'!F427/100/VLOOKUP($C$427,'DB animal categories'!$C$157:$AC$166,27,FALSE)*AJ427+M427+N427+O427,IF(AS427=5,('Calc (ex-animal)'!$G$83*(1-'DB additional information '!$K$18/100)+'Calc (ex-animal)'!$H$83*(1-'DB additional information '!$L$18/100))*(1-VLOOKUP(D427,'DB technologies'!$N$210:$Y$222,8,FALSE)/100)*'Calc (ex-housing, ex-storage)'!F427/100/VLOOKUP($C$427,'DB animal categories'!$C$157:$AC$166,27,FALSE)*AJ427+M427+N427+O427,IF(AS427=3,('Calc (ex-animal)'!$G$83*(1-'DB additional information '!$K$18/100)+'Calc (ex-animal)'!$H$83*(1-'DB additional information '!$L$18/100))*(1-VLOOKUP(D427,'DB technologies'!$N$210:$Y$222,8,FALSE)/100)*'Calc (ex-housing, ex-storage)'!F427/100/VLOOKUP($C$427,'DB animal categories'!$C$157:$AC$166,27,FALSE)*AJ427+M427+N427+O427,IF(AS427=4,('Calc (ex-animal)'!$G$83*(1-'DB additional information '!$K$18/100)+'Calc (ex-animal)'!$H$83*(1-'DB additional information '!$L$18/100))*(1-VLOOKUP(D427,'DB technologies'!$N$210:$Y$222,8,FALSE)/100)*'Calc (ex-housing, ex-storage)'!F427/100*VLOOKUP(D427,'DB technologies'!$N$210:$Y$222,12,FALSE)/100/VLOOKUP($C$427,'DB animal categories'!$C$157:$AC$166,27,FALSE)*AJ427+M427+N427+O427,0))))))</f>
        <v/>
      </c>
      <c r="AW427" s="453" t="str">
        <f>IF(AS427="","",IF(AU427=0,0,AU427/AT427*100))</f>
        <v/>
      </c>
      <c r="AX427" s="180" t="str">
        <f>IF(D427="","",IF(AS427=2,0,IF(AS427=1,'Calc (ex-animal)'!$K$83*'Calc (ex-housing, ex-storage)'!F427/100/VLOOKUP($C$427,'DB animal categories'!$C$157:$AC$166,27,FALSE)*AJ427+Q427+R427+S427,IF(AS427=5,('Calc (ex-animal)'!$K$83+'Calc (ex-animal)'!$L$83)*'Calc (ex-housing, ex-storage)'!F427/100/VLOOKUP($C$427,'DB animal categories'!$C$157:$AC$166,27,FALSE)*AJ427+Q427+R427+S427-'Calc (ex-housing, ex-storage)'!AC427,IF(AS427=3,('Calc (ex-animal)'!$K$83+'Calc (ex-animal)'!$L$83)*'Calc (ex-housing, ex-storage)'!F427/100/VLOOKUP($C$427,'DB animal categories'!$C$157:$AC$166,27,FALSE)*AJ427+Q427+R427+S427-'Calc (ex-housing, ex-storage)'!AC427-AD427-AE427,IF(AI427=4,('Calc (ex-animal)'!$K$83+'Calc (ex-animal)'!$L$83)*'Calc (ex-housing, ex-storage)'!F427/100*VLOOKUP(D427,'DB technologies'!$N$210:$Y$222,12,FALSE)/100/VLOOKUP($C$427,'DB animal categories'!$C$157:$AC$166,27,FALSE)*AJ427+Q427+R427+S427-(VLOOKUP(D427,'DB technologies'!$N$210:$Y$222,12,FALSE)/100*AC427)-AD427-AE427,0))))))</f>
        <v/>
      </c>
      <c r="AY427" s="180" t="str">
        <f>IF(D427="","",IF(AS427=2,0,IF(AS427=1,'Calc (ex-animal)'!$N$83*'Calc (ex-housing, ex-storage)'!F427/100/VLOOKUP($C$427,'DB animal categories'!$C$157:$AC$166,27,FALSE)*AJ427+U427+V427+W427,IF(AS427=5,('Calc (ex-animal)'!$N$83+'Calc (ex-animal)'!$O$83)*'Calc (ex-housing, ex-storage)'!F427/100/VLOOKUP($C$427,'DB animal categories'!$C$157:$AC$166,27,FALSE)*AJ427+U427+V427+W427,IF(AS427=3,('Calc (ex-animal)'!$N$83+'Calc (ex-animal)'!$O$83)*'Calc (ex-housing, ex-storage)'!F427/100/VLOOKUP($C$427,'DB animal categories'!$C$157:$AC$166,27,FALSE)*AJ427+U427+V427+W427,IF(AS427=4,('Calc (ex-animal)'!$N$83+'Calc (ex-animal)'!$O$83)*'Calc (ex-housing, ex-storage)'!F427/100*VLOOKUP(D427,'DB technologies'!$N$210:$Y$222,12,FALSE)/100/VLOOKUP($C$427,'DB animal categories'!$C$157:$AC$166,27,FALSE)*AJ427+U427+V427+W427,0))))))</f>
        <v/>
      </c>
      <c r="AZ427" s="180" t="str">
        <f>IF(D427="","",IF(AS427=2,0,IF(AS427=1,'Calc (ex-animal)'!$Q$83*'Calc (ex-housing, ex-storage)'!F427/100/VLOOKUP($C$427,'DB animal categories'!$C$157:$AC$166,27,FALSE)*AJ427+Y427+Z427+AA427,IF(AS427=5,('Calc (ex-animal)'!$Q$83+'Calc (ex-animal)'!$R$83)*'Calc (ex-housing, ex-storage)'!F427/100/VLOOKUP($C$427,'DB animal categories'!$C$157:$AC$166,27,FALSE)*AJ427+Y427+Z427+AA427,IF(AS427=3,('Calc (ex-animal)'!$Q$83+'Calc (ex-animal)'!$R$83)*'Calc (ex-housing, ex-storage)'!F427/100/VLOOKUP($C$427,'DB animal categories'!$C$157:$AC$166,27,FALSE)*AJ427+Y427+Z427+AA427,IF(AS427=4,('Calc (ex-animal)'!$Q$83+'Calc (ex-animal)'!$R$83)*'Calc (ex-housing, ex-storage)'!F427/100*VLOOKUP(D427,'DB technologies'!$N$210:$Y$222,12,FALSE)/100/VLOOKUP($C$427,'DB animal categories'!$C$157:$AC$166,27,FALSE)*AJ427+Y427+Z427+AA427,0))))))</f>
        <v/>
      </c>
      <c r="BA427" s="506"/>
      <c r="BB427" s="506"/>
      <c r="BC427" s="506"/>
    </row>
    <row r="428" spans="1:55" x14ac:dyDescent="0.2">
      <c r="A428" s="695"/>
      <c r="B428" s="695"/>
      <c r="C428" s="255"/>
      <c r="D428" s="1357"/>
      <c r="E428" s="1358"/>
      <c r="F428" s="480" t="str">
        <f>IF('Calc (ex-animal)'!$F$83=1,"",IF($C$427=0,"",IF(D428="","",E428/'Calc (ex-animal)'!$E$83*100)))</f>
        <v/>
      </c>
      <c r="G428" s="485" t="str">
        <f>IF($C$427=0,"",IF('Calc (ex-animal)'!$F$83=1,"",IF(D428="","",SUM(H428:O428))))</f>
        <v/>
      </c>
      <c r="H428" s="423" t="str">
        <f>IF('Calc (ex-animal)'!$F$83=1,"",IF(D428="","",(((VLOOKUP($C$427,'Calc (ex-animal)'!$D$83:$Y$87,6,FALSE)-VLOOKUP($C$427,'Calc (ex-animal)'!$D$83:$Y$87,17,FALSE))*F428/100))*VLOOKUP($C$427,'Calc (ex-animal)'!$D$83:$Y$87,7,FALSE)/100*(1-VLOOKUP(D428,'DB technologies'!$N$210:$Y$222,9,FALSE)/100)))</f>
        <v/>
      </c>
      <c r="I428" s="423" t="str">
        <f>IF(D428="","",((VLOOKUP(D428,'DB technologies'!$N$210:$Y$222,2,FALSE)*VLOOKUP($C$427,'DB animal categories'!$C$157:$AC$166,27,FALSE)*E428/1000)/VLOOKUP($C$427,'DB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'!$S$6/100*(1-VLOOKUP(D428,'DB technologies'!$N$210:$Y$222,9,FALSE)/100)))</f>
        <v/>
      </c>
      <c r="J428" s="434" t="str">
        <f>IF(D428="","",((VLOOKUP(D428,'DB technologies'!$N$210:$Y$222,3,FALSE)*VLOOKUP($C$427,'DB animal categories'!$C$157:$AC$166,27,FALSE)*E428/1000)/VLOOKUP($C$427,'DB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'!$S$7/100*(1-VLOOKUP(D428,'DB technologies'!$N$210:$Y$222,9,FALSE)/100)))</f>
        <v/>
      </c>
      <c r="K428" s="434" t="str">
        <f>IF(D428="","",((VLOOKUP(D428,'DB technologies'!$N$210:$Y$222,4,FALSE)*E428*'DB additional information '!$S$8/100*(1-VLOOKUP(D428,'DB technologies'!$N$210:$Y$222,9,FALSE)/100))/VLOOKUP($C$427,'DB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L428" s="423" t="str">
        <f>IF('Calc (ex-animal)'!$F$83=1,"",IF(D428="","",(((VLOOKUP($C$427,'Calc (ex-animal)'!$D$83:$Y$87,6,FALSE)-VLOOKUP($C$427,'Calc (ex-animal)'!$D$83:$Y$87,17,FALSE))*F428/100))*(1-VLOOKUP($C$427,'Calc (ex-animal)'!$D$83:$Y$87,7,FALSE)/100)*(1-VLOOKUP(D428,'DB technologies'!$N$210:$V$222,8,FALSE)/100)))</f>
        <v/>
      </c>
      <c r="M428" s="434" t="str">
        <f>IF(D428="","",((VLOOKUP(D428,'DB technologies'!$N$210:$Y$222,2,FALSE)*VLOOKUP($C$427,'DB animal categories'!$C$157:$AC$166,27,FALSE)*E428/1000)/VLOOKUP($C$427,'DB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'!$S$6/100)*(1-VLOOKUP(D428,'DB technologies'!$N$210:$Y$222,9,FALSE)/100))</f>
        <v/>
      </c>
      <c r="N428" s="434" t="str">
        <f>IF(D428="","",((VLOOKUP(D428,'DB technologies'!$N$210:$Y$222,3,FALSE)*VLOOKUP($C$427,'DB animal categories'!$C$157:$AC$166,27,FALSE)*E428/1000)/VLOOKUP($C$427,'DB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'!$S$7/100)*(1-VLOOKUP(D428,'DB technologies'!$N$210:$Y$222,9,FALSE)/100))</f>
        <v/>
      </c>
      <c r="O428" s="423" t="str">
        <f>IF(D428="","",((VLOOKUP(D428,'DB technologies'!$N$210:$Y$222,4,FALSE)*E428*(1-'DB additional information '!$S$8/100)*(1-VLOOKUP(D428,'DB technologies'!$N$210:$Y$222,8,FALSE)/100))/VLOOKUP($C$427,'DB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P428" s="438" t="str">
        <f>IF(G428=0,0,IF(E428="","",IF(F428="","",IF($C$427=0,"",IF(D428="","",SUM(H428:K428)/G428*100)))))</f>
        <v/>
      </c>
      <c r="Q428" s="416" t="str">
        <f>IF(D428="","",(VLOOKUP(D428,'DB technologies'!$N$210:$Y$222,2,FALSE)*'DB additional information '!$S$6/100*'DB additional information '!$T$6*VLOOKUP($C$427,'DB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R428" s="416" t="str">
        <f>IF(D428="","",(VLOOKUP(D428,'DB technologies'!$N$210:$Y$222,3,FALSE)*'DB additional information '!$S$7/100*'DB additional information '!$T$7*VLOOKUP($C$427,'DB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S428" s="491" t="str">
        <f>IF(D428="","",(VLOOKUP(D428,'DB technologies'!$N$210:$Y$222,4,FALSE)*('DB additional information '!$S$8/100*'DB additional information '!$T$8*E428/1000/1000)))</f>
        <v/>
      </c>
      <c r="T428" s="264" t="str">
        <f>IF($C$427=0,"",IF('Calc (ex-animal)'!$F$83=1,"",IF(D428="","",((VLOOKUP($C$427,'Calc (ex-animal)'!$D$83:$Y$87,10,FALSE)-VLOOKUP($C$427,'Calc (ex-animal)'!$D$83:$Y$87,18,FALSE))*F428/100+Q428+R428+S428)-AC428-AD428-AE428)))</f>
        <v/>
      </c>
      <c r="U428" s="422" t="str">
        <f>IF(D428="","",(VLOOKUP(D428,'DB technologies'!$N$210:$Y$222,2,FALSE)*'DB additional information '!$S$6/100*'DB additional information '!$U$6*VLOOKUP($C$427,'DB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V428" s="418" t="str">
        <f>IF(D428="","",(VLOOKUP(D428,'DB technologies'!$N$210:$Y$222,3,FALSE)*'DB additional information '!$S$7/100*'DB additional information '!$U$7*VLOOKUP($C$427,'DB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W428" s="417" t="str">
        <f>IF(D428="","",(VLOOKUP(D428,'DB technologies'!$N$210:$Y$222,4,FALSE)*('DB additional information '!$S$8/100*'DB additional information '!$U$8*E428/1000/1000)))</f>
        <v/>
      </c>
      <c r="X428" s="261" t="str">
        <f>IF($C$427=0,"",IF('Calc (ex-animal)'!$F$83=1,"",IF(D428="","",((VLOOKUP($C$427,'Calc (ex-animal)'!$D$83:$Y$87,13,FALSE)-VLOOKUP($C$427,'Calc (ex-animal)'!$D$83:$Y$87,19,FALSE))*F428/100+U428+V428+W428))))</f>
        <v/>
      </c>
      <c r="Y428" s="418" t="str">
        <f>IF(D428="","",(VLOOKUP(D428,'DB technologies'!$N$210:$Y$222,2,FALSE)*'DB additional information '!$S$6/100*'DB additional information '!$V$6*VLOOKUP($C$427,'DB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Z428" s="418" t="str">
        <f>IF(D428="","",(VLOOKUP(D428,'DB technologies'!$N$210:$Y$222,3,FALSE)*'DB additional information '!$S$7/100*'DB additional information '!$V$7*VLOOKUP($C$427,'DB animal categories'!$C$157:$AC$166,27,FALSE)*E428/1000/1000)/VLOOKUP($C$427,'DB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AA428" s="418" t="str">
        <f>IF(D428="","",(VLOOKUP(D428,'DB technologies'!$N$210:$Y$222,4,FALSE)*('DB additional information '!$S$8/100*'DB additional information '!$V$8*E428/1000/1000)))</f>
        <v/>
      </c>
      <c r="AB428" s="261" t="str">
        <f>IF($C$427=0,"",IF('Calc (ex-animal)'!$F$83=1,"",IF(D428="","",((VLOOKUP($C$427,'Calc (ex-animal)'!$D$83:$Y$87,16,FALSE)-VLOOKUP($C$427,'Calc (ex-animal)'!$D$83:$Y$87,20,FALSE))*F428/100+Y428+Z428+AA428))))</f>
        <v/>
      </c>
      <c r="AC428" s="261" t="str">
        <f>IF($C$427=0,"",IF('Calc (ex-animal)'!$F$83=1,"",IF(D428="","",VLOOKUP($C$427,'Calc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categories'!$C$157:$AC$166,26,FALSE)/24)*F428/100*VLOOKUP(D428,'DB technologies'!$N$210:$R$222,5,FALSE)/100)))</f>
        <v/>
      </c>
      <c r="AD428" s="261" t="str">
        <f>IF($C$427=0,"",IF('Calc (ex-animal)'!$F$83=1,"",IF(D428="","",VLOOKUP($C$427,'Calc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categories'!$C$157:$AC$166,26,FALSE)/24)*F428/100*VLOOKUP(D428,'DB technologies'!$N$210:$Y$222,6,FALSE)/100)))</f>
        <v/>
      </c>
      <c r="AE428" s="262" t="str">
        <f>IF($C$427=0,"",IF('Calc (ex-animal)'!$F$83=1,"",IF(D428="","",VLOOKUP($C$427,'Calc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categories'!$C$157:$AC$166,26,FALSE)/24)*F428/100*VLOOKUP(D428,'DB technologies'!$N$210:$Y$222,7,FALSE)/100)))</f>
        <v/>
      </c>
      <c r="AI428" s="181" t="str">
        <f>IF(D428="","",VLOOKUP(D428,'DB technologies'!$N$210:$Y$222,10,FALSE))</f>
        <v/>
      </c>
      <c r="AJ428" s="449" t="e">
        <f>VLOOKUP($C$427,'DB animal categories'!$C$157:$AN$166,27,FALSE)-VLOOKUP($C$427,'DB animal categories'!$C$157:$AN$166,26,FALSE)*VLOOKUP($C$427,'DB animal categories'!$C$157:$AN$166,25,FALSE)/24</f>
        <v>#N/A</v>
      </c>
      <c r="AK428" s="442" t="str">
        <f>IF(AI428="","",AL428+AM428)</f>
        <v/>
      </c>
      <c r="AL428" s="442" t="str">
        <f>IF(D428="","",IF(AI428=2,(('Calc (ex-animal)'!$G$83*'DB additional information '!$K$18/100*(1-VLOOKUP(D428,'DB technologies'!$N$210:$Y$222,9,FALSE)/100)*'Calc (ex-housing, ex-storage)'!F428/100+'Calc (ex-animal)'!$H$83*'DB additional information '!$L$18/100*(1-VLOOKUP(D428,'DB technologies'!$N$210:$Y$222,9,FALSE)/100)*'Calc (ex-housing, ex-storage)'!F428/100))/VLOOKUP($C$427,'DB animal categories'!$C$157:$AC$166,27,FALSE)*AJ428+I428+J428+K428,IF(AI428=1,('Calc (ex-animal)'!$H$83*'DB additional information '!$L$18/100*(1-VLOOKUP(D428,'DB technologies'!$N$210:$Y$222,9,FALSE)/100)*'Calc (ex-housing, ex-storage)'!F428/100)/VLOOKUP($C$427,'DB animal categories'!$C$157:$AC$166,27,FALSE)*AJ428,IF(AI428=4,('Calc (ex-animal)'!$G$83*'DB additional information '!$K$18/100+'Calc (ex-animal)'!$H$83*'DB additional information '!$L$18/100)*(1-VLOOKUP(D428,'DB technologies'!$N$210:$Y$222,9,FALSE)/100)*'Calc (ex-housing, ex-storage)'!F428/100*VLOOKUP(D428,'DB technologies'!$N$210:$Y$222,11,FALSE)/100/VLOOKUP($C$427,'DB animal categories'!$C$157:$AC$166,27,FALSE)*AJ428,0))))</f>
        <v/>
      </c>
      <c r="AM428" s="442" t="str">
        <f>IF(D428="","",IF(AI428=2,(('Calc (ex-animal)'!$G$83*(1-'DB additional information '!$K$18/100)*(1-VLOOKUP(D428,'DB technologies'!$N$210:$Y$222,8,FALSE)/100)*'Calc (ex-housing, ex-storage)'!F428/100+'Calc (ex-animal)'!$H$83*(1-'DB additional information '!$L$18/100)*(1-VLOOKUP(D428,'DB technologies'!$N$210:$Y$222,8,FALSE)/100)*'Calc (ex-housing, ex-storage)'!F428/100))/VLOOKUP($C$427,'DB animal categories'!$C$157:$AC$166,27,FALSE)*AJ428+M428+N428+O428,IF(AI428=1,('Calc (ex-animal)'!$H$83*(1-'DB additional information '!$L$18/100)*(1-VLOOKUP(D428,'DB technologies'!$N$210:$Y$222,8,FALSE)/100)*'Calc (ex-housing, ex-storage)'!F428/100)/VLOOKUP($C$427,'DB animal categories'!$C$157:$AC$166,27,FALSE)*AJ428,IF(AI428=4,('Calc (ex-animal)'!$G$83*(1-'DB additional information '!$K$18/100)+'Calc (ex-animal)'!$H$83*(1-'DB additional information '!$L$18/100))*(1-VLOOKUP(D428,'DB technologies'!$N$210:$Y$222,8,FALSE)/100)*'Calc (ex-housing, ex-storage)'!F428/100*VLOOKUP(D428,'DB technologies'!$N$210:$Y$222,11,FALSE)/100/VLOOKUP($C$427,'DB animal categories'!$C$157:$AC$166,27,FALSE)*AJ428,0))))</f>
        <v/>
      </c>
      <c r="AN428" s="442" t="str">
        <f>IF(AI428="","",IF(AL428=0,0,AL428/AK428*100))</f>
        <v/>
      </c>
      <c r="AO428" s="182" t="str">
        <f>IF(D428="","",IF(AI428=2,(('Calc (ex-animal)'!$L$83*'Calc (ex-housing, ex-storage)'!F428/100+'Calc (ex-animal)'!$K$83*'Calc (ex-housing, ex-storage)'!F428/100))/VLOOKUP($C$427,'DB animal categories'!$C$157:$AC$166,27,FALSE)*AJ428+Q428+R428+S428-AC428,IF(AI428=1,('Calc (ex-animal)'!$L$83*'Calc (ex-housing, ex-storage)'!F428/100)/VLOOKUP($C$427,'DB animal categories'!$C$157:$AC$166,27,FALSE)*AJ428-'Calc (ex-housing, ex-storage)'!AC428,IF(AI428=4,('Calc (ex-animal)'!$L$83+'Calc (ex-animal)'!$K$83)*'Calc (ex-housing, ex-storage)'!F428/100*VLOOKUP(D428,'DB technologies'!$N$210:$Y$222,11,FALSE)/100/VLOOKUP($C$427,'DB animal categories'!$C$157:$AC$166,27,FALSE)*AJ428-AC428*VLOOKUP(D428,'DB technologies'!$N$210:$Y$222,11,FALSE)/100,0))))</f>
        <v/>
      </c>
      <c r="AP428" s="182" t="str">
        <f>IF(D428="","",IF(AO428&lt;-0.01,0,IF(AI428=2,(('Calc (ex-animal)'!$L$83*'Calc (ex-housing, ex-storage)'!F428/100+'Calc (ex-animal)'!$K$83*'Calc (ex-housing, ex-storage)'!F428/100))/VLOOKUP($C$427,'DB animal categories'!$C$157:$AC$166,27,FALSE)*AJ428+Q428+R428+S428-AC428,IF(AI428=1,('Calc (ex-animal)'!$L$83*'Calc (ex-housing, ex-storage)'!F428/100)/VLOOKUP($C$427,'DB animal categories'!$C$157:$AC$166,27,FALSE)*AJ428-'Calc (ex-housing, ex-storage)'!AC428,IF(AI428=4,('Calc (ex-animal)'!$L$83+'Calc (ex-animal)'!$K$83)*'Calc (ex-housing, ex-storage)'!F428/100*VLOOKUP(D428,'DB technologies'!$N$210:$Y$222,11,FALSE)/100/VLOOKUP($C$427,'DB animal categories'!$C$157:$AC$166,27,FALSE)*AJ428-AC428*VLOOKUP(D428,'DB technologies'!$N$210:$Y$222,11,FALSE)/100,0)))))</f>
        <v/>
      </c>
      <c r="AQ428" s="182" t="str">
        <f>IF(D428="","",IF(AI428=2,('Calc (ex-animal)'!$O$83*'Calc (ex-housing, ex-storage)'!F428/100+'Calc (ex-animal)'!$N$83*'Calc (ex-housing, ex-storage)'!F428/100)/VLOOKUP($C$427,'DB animal categories'!$C$157:$AC$166,27,FALSE)*AJ428+U428+V428+W428,IF(AI428=1,'Calc (ex-animal)'!$O$83*'Calc (ex-housing, ex-storage)'!F428/100/VLOOKUP($C$427,'DB animal categories'!$C$157:$AC$166,27,FALSE)*AJ428,IF(AI428=4,('Calc (ex-animal)'!$O$83+'Calc (ex-animal)'!$N$83)*'Calc (ex-housing, ex-storage)'!F428/100*VLOOKUP(D428,'DB technologies'!$N$210:$Y$222,11,FALSE)/100/VLOOKUP($C$427,'DB animal categories'!$C$157:$AC$166,27,FALSE)*AJ428,0))))</f>
        <v/>
      </c>
      <c r="AR428" s="182" t="str">
        <f>IF(D428="","",IF(AI428=2,('Calc (ex-animal)'!$R$83*'Calc (ex-housing, ex-storage)'!F428/100+'Calc (ex-animal)'!$Q$83*'Calc (ex-housing, ex-storage)'!F428/100)/VLOOKUP($C$427,'DB animal categories'!$C$157:$AC$166,27,FALSE)*AJ428+Y428+Z428+AA428,IF(AI428=1,'Calc (ex-animal)'!$R$83*'Calc (ex-housing, ex-storage)'!F428/100/VLOOKUP($C$427,'DB animal categories'!$C$157:$AC$166,27,FALSE)*AJ428,IF(AI428=4,('Calc (ex-animal)'!$R$83+'Calc (ex-animal)'!$Q$83)*'Calc (ex-housing, ex-storage)'!F428/100*VLOOKUP(D428,'DB technologies'!$N$210:$Y$222,11,FALSE)/100/VLOOKUP($C$427,'DB animal categories'!$C$157:$AC$166,27,FALSE)*AJ428,0))))</f>
        <v/>
      </c>
      <c r="AS428" s="181" t="str">
        <f>IF(D428="","",VLOOKUP(D428,'DB technologies'!$N$210:$Y$222,10,FALSE))</f>
        <v/>
      </c>
      <c r="AT428" s="442" t="str">
        <f>IF(AS428="","",AU428+AV428)</f>
        <v/>
      </c>
      <c r="AU428" s="442" t="str">
        <f>IF(D428="","",IF(AS428=2,0,IF(AS428=1,'Calc (ex-animal)'!$G$83*'DB additional information '!$K$18/100*(1-VLOOKUP(D428,'DB technologies'!$N$210:$Y$222,8,FALSE)/100)*'Calc (ex-housing, ex-storage)'!F428/100/VLOOKUP($C$427,'DB animal categories'!$C$157:$AC$166,27,FALSE)*AJ428+I428+J428+K428,IF(AS428=5,(('Calc (ex-animal)'!$G$83*'DB additional information '!$K$18/100+'Calc (ex-animal)'!$H$83*'DB additional information '!$L$18/100))*(1-VLOOKUP(D428,'DB technologies'!$N$210:$Y$222,9,FALSE)/100)*'Calc (ex-housing, ex-storage)'!F428/100/VLOOKUP($C$427,'DB animal categories'!$C$157:$AC$166,27,FALSE)*AJ428+I428+J428+K428,IF(AS428=3,('Calc (ex-animal)'!$G$83*'DB additional information '!$K$18/100+'Calc (ex-animal)'!$H$83*'DB additional information '!$L$18/100)*(1-VLOOKUP(D428,'DB technologies'!$N$210:$Y$222,9,FALSE)/100)*'Calc (ex-housing, ex-storage)'!F428/100/VLOOKUP($C$427,'DB animal categories'!$C$157:$AC$166,27,FALSE)*AJ428+I428+J428+K428,IF(AS428=4,('Calc (ex-animal)'!$G$83*'DB additional information '!$K$18/100+'Calc (ex-animal)'!$H$83*'DB additional information '!$L$18/100)*(1-VLOOKUP(D428,'DB technologies'!$N$210:$Y$222,9,FALSE)/100)*'Calc (ex-housing, ex-storage)'!F428/100*VLOOKUP(D428,'DB technologies'!$N$210:$Y$222,12,FALSE)/100/VLOOKUP($C$427,'DB animal categories'!$C$157:$AC$166,27,FALSE)*AJ428+I428+J428+K428,0))))))</f>
        <v/>
      </c>
      <c r="AV428" s="442" t="str">
        <f>IF(D428="","",IF(AS428=2,0,IF(AS428=1,'Calc (ex-animal)'!$G$83*(1-'DB additional information '!$K$18/100)*(1-VLOOKUP(D428,'DB technologies'!$N$210:$Y$222,8,FALSE)/100)*'Calc (ex-housing, ex-storage)'!F428/100/VLOOKUP($C$427,'DB animal categories'!$C$157:$AC$166,27,FALSE)*AJ428+M428+N428+O428,IF(AS428=5,('Calc (ex-animal)'!$G$83*(1-'DB additional information '!$K$18/100)+'Calc (ex-animal)'!$H$83*(1-'DB additional information '!$L$18/100))*(1-VLOOKUP(D428,'DB technologies'!$N$210:$Y$222,8,FALSE)/100)*'Calc (ex-housing, ex-storage)'!F428/100/VLOOKUP($C$427,'DB animal categories'!$C$157:$AC$166,27,FALSE)*AJ428+M428+N428+O428,IF(AS428=3,('Calc (ex-animal)'!$G$83*(1-'DB additional information '!$K$18/100)+'Calc (ex-animal)'!$H$83*(1-'DB additional information '!$L$18/100))*(1-VLOOKUP(D428,'DB technologies'!$N$210:$Y$222,8,FALSE)/100)*'Calc (ex-housing, ex-storage)'!F428/100/VLOOKUP($C$427,'DB animal categories'!$C$157:$AC$166,27,FALSE)*AJ428+M428+N428+O428,IF(AS428=4,('Calc (ex-animal)'!$G$83*(1-'DB additional information '!$K$18/100)+'Calc (ex-animal)'!$H$83*(1-'DB additional information '!$L$18/100))*(1-VLOOKUP(D428,'DB technologies'!$N$210:$Y$222,8,FALSE)/100)*'Calc (ex-housing, ex-storage)'!F428/100*VLOOKUP(D428,'DB technologies'!$N$210:$Y$222,12,FALSE)/100/VLOOKUP($C$427,'DB animal categories'!$C$157:$AC$166,27,FALSE)*AJ428+M428+N428+O428,0))))))</f>
        <v/>
      </c>
      <c r="AW428" s="442" t="str">
        <f>IF(AS428="","",IF(AU428=0,0,AU428/AT428*100))</f>
        <v/>
      </c>
      <c r="AX428" s="182" t="str">
        <f>IF(D428="","",IF(AS428=2,0,IF(AS428=1,'Calc (ex-animal)'!$K$83*'Calc (ex-housing, ex-storage)'!F428/100/VLOOKUP($C$427,'DB animal categories'!$C$157:$AC$166,27,FALSE)*AJ428+Q428+R428+S428,IF(AS428=5,('Calc (ex-animal)'!$K$83+'Calc (ex-animal)'!$L$83)*'Calc (ex-housing, ex-storage)'!F428/100/VLOOKUP($C$427,'DB animal categories'!$C$157:$AC$166,27,FALSE)*AJ428+Q428+R428+S428-'Calc (ex-housing, ex-storage)'!AC428,IF(AS428=3,('Calc (ex-animal)'!$K$83+'Calc (ex-animal)'!$L$83)*'Calc (ex-housing, ex-storage)'!F428/100/VLOOKUP($C$427,'DB animal categories'!$C$157:$AC$166,27,FALSE)*AJ428+Q428+R428+S428-'Calc (ex-housing, ex-storage)'!AC428-AD428-AE428,IF(AI428=4,('Calc (ex-animal)'!$K$83+'Calc (ex-animal)'!$L$83)*'Calc (ex-housing, ex-storage)'!F428/100*VLOOKUP(D428,'DB technologies'!$N$210:$Y$222,12,FALSE)/100/VLOOKUP($C$427,'DB animal categories'!$C$157:$AC$166,27,FALSE)*AJ428+Q428+R428+S428-(VLOOKUP(D428,'DB technologies'!$N$210:$Y$222,12,FALSE)/100*AC428)-AD428-AE428,0))))))</f>
        <v/>
      </c>
      <c r="AY428" s="182" t="str">
        <f>IF(D428="","",IF(AS428=2,0,IF(AS428=1,'Calc (ex-animal)'!$N$83*'Calc (ex-housing, ex-storage)'!F428/100/VLOOKUP($C$427,'DB animal categories'!$C$157:$AC$166,27,FALSE)*AJ428+U428+V428+W428,IF(AS428=5,('Calc (ex-animal)'!$N$83+'Calc (ex-animal)'!$O$83)*'Calc (ex-housing, ex-storage)'!F428/100/VLOOKUP($C$427,'DB animal categories'!$C$157:$AC$166,27,FALSE)*AJ428+U428+V428+W428,IF(AS428=3,('Calc (ex-animal)'!$N$83+'Calc (ex-animal)'!$O$83)*'Calc (ex-housing, ex-storage)'!F428/100/VLOOKUP($C$427,'DB animal categories'!$C$157:$AC$166,27,FALSE)*AJ428+U428+V428+W428,IF(AS428=4,('Calc (ex-animal)'!$N$83+'Calc (ex-animal)'!$O$83)*'Calc (ex-housing, ex-storage)'!F428/100*VLOOKUP(D428,'DB technologies'!$N$210:$Y$222,12,FALSE)/100/VLOOKUP($C$427,'DB animal categories'!$C$157:$AC$166,27,FALSE)*AJ428+U428+V428+W428,0))))))</f>
        <v/>
      </c>
      <c r="AZ428" s="182" t="str">
        <f>IF(D428="","",IF(AS428=2,0,IF(AS428=1,'Calc (ex-animal)'!$Q$83*'Calc (ex-housing, ex-storage)'!F428/100/VLOOKUP($C$427,'DB animal categories'!$C$157:$AC$166,27,FALSE)*AJ428+Y428+Z428+AA428,IF(AS428=5,('Calc (ex-animal)'!$Q$83+'Calc (ex-animal)'!$R$83)*'Calc (ex-housing, ex-storage)'!F428/100/VLOOKUP($C$427,'DB animal categories'!$C$157:$AC$166,27,FALSE)*AJ428+Y428+Z428+AA428,IF(AS428=3,('Calc (ex-animal)'!$Q$83+'Calc (ex-animal)'!$R$83)*'Calc (ex-housing, ex-storage)'!F428/100/VLOOKUP($C$427,'DB animal categories'!$C$157:$AC$166,27,FALSE)*AJ428+Y428+Z428+AA428,IF(AS428=4,('Calc (ex-animal)'!$Q$83+'Calc (ex-animal)'!$R$83)*'Calc (ex-housing, ex-storage)'!F428/100*VLOOKUP(D428,'DB technologies'!$N$210:$Y$222,12,FALSE)/100/VLOOKUP($C$427,'DB animal categories'!$C$157:$AC$166,27,FALSE)*AJ428+Y428+Z428+AA428,0))))))</f>
        <v/>
      </c>
      <c r="BA428" s="506"/>
      <c r="BB428" s="506"/>
      <c r="BC428" s="506"/>
    </row>
    <row r="429" spans="1:55" x14ac:dyDescent="0.2">
      <c r="A429" s="695"/>
      <c r="B429" s="695"/>
      <c r="C429" s="255"/>
      <c r="D429" s="1357"/>
      <c r="E429" s="1358"/>
      <c r="F429" s="480" t="str">
        <f>IF('Calc (ex-animal)'!$F$83=1,"",IF($C$427=0,"",IF(D429="","",E429/'Calc (ex-animal)'!$E$83*100)))</f>
        <v/>
      </c>
      <c r="G429" s="485" t="str">
        <f>IF($C$427=0,"",IF('Calc (ex-animal)'!$F$83=1,"",IF(D429="","",SUM(H429:O429))))</f>
        <v/>
      </c>
      <c r="H429" s="423" t="str">
        <f>IF('Calc (ex-animal)'!$F$83=1,"",IF(D429="","",(((VLOOKUP($C$427,'Calc (ex-animal)'!$D$83:$Y$87,6,FALSE)-VLOOKUP($C$427,'Calc (ex-animal)'!$D$83:$Y$87,17,FALSE))*F429/100))*VLOOKUP($C$427,'Calc (ex-animal)'!$D$83:$Y$87,7,FALSE)/100*(1-VLOOKUP(D429,'DB technologies'!$N$210:$Y$222,9,FALSE)/100)))</f>
        <v/>
      </c>
      <c r="I429" s="423" t="str">
        <f>IF(D429="","",((VLOOKUP(D429,'DB technologies'!$N$210:$Y$222,2,FALSE)*VLOOKUP($C$427,'DB animal categories'!$C$157:$AC$166,27,FALSE)*E429/1000)/VLOOKUP($C$427,'DB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'!$S$6/100*(1-VLOOKUP(D429,'DB technologies'!$N$210:$Y$222,9,FALSE)/100)))</f>
        <v/>
      </c>
      <c r="J429" s="434" t="str">
        <f>IF(D429="","",((VLOOKUP(D429,'DB technologies'!$N$210:$Y$222,3,FALSE)*VLOOKUP($C$427,'DB animal categories'!$C$157:$AC$166,27,FALSE)*E429/1000)/VLOOKUP($C$427,'DB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'!$S$7/100*(1-VLOOKUP(D429,'DB technologies'!$N$210:$Y$222,9,FALSE)/100)))</f>
        <v/>
      </c>
      <c r="K429" s="434" t="str">
        <f>IF(D429="","",((VLOOKUP(D429,'DB technologies'!$N$210:$Y$222,4,FALSE)*E429*'DB additional information '!$S$8/100*(1-VLOOKUP(D429,'DB technologies'!$N$210:$Y$222,9,FALSE)/100))/VLOOKUP($C$427,'DB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L429" s="423" t="str">
        <f>IF('Calc (ex-animal)'!$F$83=1,"",IF(D429="","",(((VLOOKUP($C$427,'Calc (ex-animal)'!$D$83:$Y$87,6,FALSE)-VLOOKUP($C$427,'Calc (ex-animal)'!$D$83:$Y$87,17,FALSE))*F429/100))*(1-VLOOKUP($C$427,'Calc (ex-animal)'!$D$83:$Y$87,7,FALSE)/100)*(1-VLOOKUP(D429,'DB technologies'!$N$210:$V$222,8,FALSE)/100)))</f>
        <v/>
      </c>
      <c r="M429" s="434" t="str">
        <f>IF(D429="","",((VLOOKUP(D429,'DB technologies'!$N$210:$Y$222,2,FALSE)*VLOOKUP($C$427,'DB animal categories'!$C$157:$AC$166,27,FALSE)*E429/1000)/VLOOKUP($C$427,'DB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'!$S$6/100)*(1-VLOOKUP(D429,'DB technologies'!$N$210:$Y$222,9,FALSE)/100))</f>
        <v/>
      </c>
      <c r="N429" s="434" t="str">
        <f>IF(D429="","",((VLOOKUP(D429,'DB technologies'!$N$210:$Y$222,3,FALSE)*VLOOKUP($C$427,'DB animal categories'!$C$157:$AC$166,27,FALSE)*E429/1000)/VLOOKUP($C$427,'DB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'!$S$7/100)*(1-VLOOKUP(D429,'DB technologies'!$N$210:$Y$222,9,FALSE)/100))</f>
        <v/>
      </c>
      <c r="O429" s="423" t="str">
        <f>IF(D429="","",((VLOOKUP(D429,'DB technologies'!$N$210:$Y$222,4,FALSE)*E429*(1-'DB additional information '!$S$8/100)*(1-VLOOKUP(D429,'DB technologies'!$N$210:$Y$222,8,FALSE)/100))/VLOOKUP($C$427,'DB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P429" s="438" t="str">
        <f>IF(G429=0,0,IF(E429="","",IF(F429="","",IF($C$427=0,"",IF(D429="","",SUM(H429:K429)/G429*100)))))</f>
        <v/>
      </c>
      <c r="Q429" s="416" t="str">
        <f>IF(D429="","",(VLOOKUP(D429,'DB technologies'!$N$210:$Y$222,2,FALSE)*'DB additional information '!$S$6/100*'DB additional information '!$T$6*VLOOKUP($C$427,'DB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R429" s="416" t="str">
        <f>IF(D429="","",(VLOOKUP(D429,'DB technologies'!$N$210:$Y$222,3,FALSE)*'DB additional information '!$S$7/100*'DB additional information '!$T$7*VLOOKUP($C$427,'DB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S429" s="491" t="str">
        <f>IF(D429="","",(VLOOKUP(D429,'DB technologies'!$N$210:$Y$222,4,FALSE)*('DB additional information '!$S$8/100*'DB additional information '!$T$8*E429/1000/1000)))</f>
        <v/>
      </c>
      <c r="T429" s="264" t="str">
        <f>IF($C$427=0,"",IF('Calc (ex-animal)'!$F$83=1,"",IF(D429="","",((VLOOKUP($C$427,'Calc (ex-animal)'!$D$83:$Y$87,10,FALSE)-VLOOKUP($C$427,'Calc (ex-animal)'!$D$83:$Y$87,18,FALSE))*F429/100+Q429+R429+S429)-AC429-AD429-AE429)))</f>
        <v/>
      </c>
      <c r="U429" s="422" t="str">
        <f>IF(D429="","",(VLOOKUP(D429,'DB technologies'!$N$210:$Y$222,2,FALSE)*'DB additional information '!$S$6/100*'DB additional information '!$U$6*VLOOKUP($C$427,'DB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V429" s="418" t="str">
        <f>IF(D429="","",(VLOOKUP(D429,'DB technologies'!$N$210:$Y$222,3,FALSE)*'DB additional information '!$S$7/100*'DB additional information '!$U$7*VLOOKUP($C$427,'DB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W429" s="417" t="str">
        <f>IF(D429="","",(VLOOKUP(D429,'DB technologies'!$N$210:$Y$222,4,FALSE)*('DB additional information '!$S$8/100*'DB additional information '!$U$8*E429/1000/1000)))</f>
        <v/>
      </c>
      <c r="X429" s="261" t="str">
        <f>IF($C$427=0,"",IF('Calc (ex-animal)'!$F$83=1,"",IF(D429="","",((VLOOKUP($C$427,'Calc (ex-animal)'!$D$83:$Y$87,13,FALSE)-VLOOKUP($C$427,'Calc (ex-animal)'!$D$83:$Y$87,19,FALSE))*F429/100+U429+V429+W429))))</f>
        <v/>
      </c>
      <c r="Y429" s="418" t="str">
        <f>IF(D429="","",(VLOOKUP(D429,'DB technologies'!$N$210:$Y$222,2,FALSE)*'DB additional information '!$S$6/100*'DB additional information '!$V$6*VLOOKUP($C$427,'DB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Z429" s="418" t="str">
        <f>IF(D429="","",(VLOOKUP(D429,'DB technologies'!$N$210:$Y$222,3,FALSE)*'DB additional information '!$S$7/100*'DB additional information '!$V$7*VLOOKUP($C$427,'DB animal categories'!$C$157:$AC$166,27,FALSE)*E429/1000/1000)/VLOOKUP($C$427,'DB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AA429" s="418" t="str">
        <f>IF(D429="","",(VLOOKUP(D429,'DB technologies'!$N$210:$Y$222,4,FALSE)*('DB additional information '!$S$8/100*'DB additional information '!$V$8*E429/1000/1000)))</f>
        <v/>
      </c>
      <c r="AB429" s="261" t="str">
        <f>IF($C$427=0,"",IF('Calc (ex-animal)'!$F$83=1,"",IF(D429="","",((VLOOKUP($C$427,'Calc (ex-animal)'!$D$83:$Y$87,16,FALSE)-VLOOKUP($C$427,'Calc (ex-animal)'!$D$83:$Y$87,20,FALSE))*F429/100+Y429+Z429+AA429))))</f>
        <v/>
      </c>
      <c r="AC429" s="261" t="str">
        <f>IF($C$427=0,"",IF('Calc (ex-animal)'!$F$83=1,"",IF(D429="","",VLOOKUP($C$427,'Calc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categories'!$C$157:$AC$166,26,FALSE)/24)*F429/100*VLOOKUP(D429,'DB technologies'!$N$210:$R$222,5,FALSE)/100)))</f>
        <v/>
      </c>
      <c r="AD429" s="261" t="str">
        <f>IF($C$427=0,"",IF('Calc (ex-animal)'!$F$83=1,"",IF(D429="","",VLOOKUP($C$427,'Calc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categories'!$C$157:$AC$166,26,FALSE)/24)*F429/100*VLOOKUP(D429,'DB technologies'!$N$210:$Y$222,6,FALSE)/100)))</f>
        <v/>
      </c>
      <c r="AE429" s="262" t="str">
        <f>IF($C$427=0,"",IF('Calc (ex-animal)'!$F$83=1,"",IF(D429="","",VLOOKUP($C$427,'Calc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categories'!$C$157:$AC$166,26,FALSE)/24)*F429/100*VLOOKUP(D429,'DB technologies'!$N$210:$Y$222,7,FALSE)/100)))</f>
        <v/>
      </c>
      <c r="AI429" s="181" t="str">
        <f>IF(D429="","",VLOOKUP(D429,'DB technologies'!$N$210:$Y$222,10,FALSE))</f>
        <v/>
      </c>
      <c r="AJ429" s="449" t="e">
        <f>VLOOKUP($C$427,'DB animal categories'!$C$157:$AN$166,27,FALSE)-VLOOKUP($C$427,'DB animal categories'!$C$157:$AN$166,26,FALSE)*VLOOKUP($C$427,'DB animal categories'!$C$157:$AN$166,25,FALSE)/24</f>
        <v>#N/A</v>
      </c>
      <c r="AK429" s="442" t="str">
        <f>IF(AI429="","",AL429+AM429)</f>
        <v/>
      </c>
      <c r="AL429" s="442" t="str">
        <f>IF(D429="","",IF(AI429=2,(('Calc (ex-animal)'!$G$83*'DB additional information '!$K$18/100*(1-VLOOKUP(D429,'DB technologies'!$N$210:$Y$222,9,FALSE)/100)*'Calc (ex-housing, ex-storage)'!F429/100+'Calc (ex-animal)'!$H$83*'DB additional information '!$L$18/100*(1-VLOOKUP(D429,'DB technologies'!$N$210:$Y$222,9,FALSE)/100)*'Calc (ex-housing, ex-storage)'!F429/100))/VLOOKUP($C$427,'DB animal categories'!$C$157:$AC$166,27,FALSE)*AJ429+I429+J429+K429,IF(AI429=1,('Calc (ex-animal)'!$H$83*'DB additional information '!$L$18/100*(1-VLOOKUP(D429,'DB technologies'!$N$210:$Y$222,9,FALSE)/100)*'Calc (ex-housing, ex-storage)'!F429/100)/VLOOKUP($C$427,'DB animal categories'!$C$157:$AC$166,27,FALSE)*AJ429,IF(AI429=4,('Calc (ex-animal)'!$G$83*'DB additional information '!$K$18/100+'Calc (ex-animal)'!$H$83*'DB additional information '!$L$18/100)*(1-VLOOKUP(D429,'DB technologies'!$N$210:$Y$222,9,FALSE)/100)*'Calc (ex-housing, ex-storage)'!F429/100*VLOOKUP(D429,'DB technologies'!$N$210:$Y$222,11,FALSE)/100/VLOOKUP($C$427,'DB animal categories'!$C$157:$AC$166,27,FALSE)*AJ429,0))))</f>
        <v/>
      </c>
      <c r="AM429" s="442" t="str">
        <f>IF(D429="","",IF(AI429=2,(('Calc (ex-animal)'!$G$83*(1-'DB additional information '!$K$18/100)*(1-VLOOKUP(D429,'DB technologies'!$N$210:$Y$222,8,FALSE)/100)*'Calc (ex-housing, ex-storage)'!F429/100+'Calc (ex-animal)'!$H$83*(1-'DB additional information '!$L$18/100)*(1-VLOOKUP(D429,'DB technologies'!$N$210:$Y$222,8,FALSE)/100)*'Calc (ex-housing, ex-storage)'!F429/100))/VLOOKUP($C$427,'DB animal categories'!$C$157:$AC$166,27,FALSE)*AJ429+M429+N429+O429,IF(AI429=1,('Calc (ex-animal)'!$H$83*(1-'DB additional information '!$L$18/100)*(1-VLOOKUP(D429,'DB technologies'!$N$210:$Y$222,8,FALSE)/100)*'Calc (ex-housing, ex-storage)'!F429/100)/VLOOKUP($C$427,'DB animal categories'!$C$157:$AC$166,27,FALSE)*AJ429,IF(AI429=4,('Calc (ex-animal)'!$G$83*(1-'DB additional information '!$K$18/100)+'Calc (ex-animal)'!$H$83*(1-'DB additional information '!$L$18/100))*(1-VLOOKUP(D429,'DB technologies'!$N$210:$Y$222,8,FALSE)/100)*'Calc (ex-housing, ex-storage)'!F429/100*VLOOKUP(D429,'DB technologies'!$N$210:$Y$222,11,FALSE)/100/VLOOKUP($C$427,'DB animal categories'!$C$157:$AC$166,27,FALSE)*AJ429,0))))</f>
        <v/>
      </c>
      <c r="AN429" s="442" t="str">
        <f>IF(AI429="","",IF(AL429=0,0,AL429/AK429*100))</f>
        <v/>
      </c>
      <c r="AO429" s="182" t="str">
        <f>IF(D429="","",IF(AI429=2,(('Calc (ex-animal)'!$L$83*'Calc (ex-housing, ex-storage)'!F429/100+'Calc (ex-animal)'!$K$83*'Calc (ex-housing, ex-storage)'!F429/100))/VLOOKUP($C$427,'DB animal categories'!$C$157:$AC$166,27,FALSE)*AJ429+Q429+R429+S429-AC429,IF(AI429=1,('Calc (ex-animal)'!$L$83*'Calc (ex-housing, ex-storage)'!F429/100)/VLOOKUP($C$427,'DB animal categories'!$C$157:$AC$166,27,FALSE)*AJ429-'Calc (ex-housing, ex-storage)'!AC429,IF(AI429=4,('Calc (ex-animal)'!$L$83+'Calc (ex-animal)'!$K$83)*'Calc (ex-housing, ex-storage)'!F429/100*VLOOKUP(D429,'DB technologies'!$N$210:$Y$222,11,FALSE)/100/VLOOKUP($C$427,'DB animal categories'!$C$157:$AC$166,27,FALSE)*AJ429-AC429*VLOOKUP(D429,'DB technologies'!$N$210:$Y$222,11,FALSE)/100,0))))</f>
        <v/>
      </c>
      <c r="AP429" s="182" t="str">
        <f>IF(D429="","",IF(AO429&lt;-0.01,0,IF(AI429=2,(('Calc (ex-animal)'!$L$83*'Calc (ex-housing, ex-storage)'!F429/100+'Calc (ex-animal)'!$K$83*'Calc (ex-housing, ex-storage)'!F429/100))/VLOOKUP($C$427,'DB animal categories'!$C$157:$AC$166,27,FALSE)*AJ429+Q429+R429+S429-AC429,IF(AI429=1,('Calc (ex-animal)'!$L$83*'Calc (ex-housing, ex-storage)'!F429/100)/VLOOKUP($C$427,'DB animal categories'!$C$157:$AC$166,27,FALSE)*AJ429-'Calc (ex-housing, ex-storage)'!AC429,IF(AI429=4,('Calc (ex-animal)'!$L$83+'Calc (ex-animal)'!$K$83)*'Calc (ex-housing, ex-storage)'!F429/100*VLOOKUP(D429,'DB technologies'!$N$210:$Y$222,11,FALSE)/100/VLOOKUP($C$427,'DB animal categories'!$C$157:$AC$166,27,FALSE)*AJ429-AC429*VLOOKUP(D429,'DB technologies'!$N$210:$Y$222,11,FALSE)/100,0)))))</f>
        <v/>
      </c>
      <c r="AQ429" s="182" t="str">
        <f>IF(D429="","",IF(AI429=2,('Calc (ex-animal)'!$O$83*'Calc (ex-housing, ex-storage)'!F429/100+'Calc (ex-animal)'!$N$83*'Calc (ex-housing, ex-storage)'!F429/100)/VLOOKUP($C$427,'DB animal categories'!$C$157:$AC$166,27,FALSE)*AJ429+U429+V429+W429,IF(AI429=1,'Calc (ex-animal)'!$O$83*'Calc (ex-housing, ex-storage)'!F429/100/VLOOKUP($C$427,'DB animal categories'!$C$157:$AC$166,27,FALSE)*AJ429,IF(AI429=4,('Calc (ex-animal)'!$O$83+'Calc (ex-animal)'!$N$83)*'Calc (ex-housing, ex-storage)'!F429/100*VLOOKUP(D429,'DB technologies'!$N$210:$Y$222,11,FALSE)/100/VLOOKUP($C$427,'DB animal categories'!$C$157:$AC$166,27,FALSE)*AJ429,0))))</f>
        <v/>
      </c>
      <c r="AR429" s="182" t="str">
        <f>IF(D429="","",IF(AI429=2,('Calc (ex-animal)'!$R$83*'Calc (ex-housing, ex-storage)'!F429/100+'Calc (ex-animal)'!$Q$83*'Calc (ex-housing, ex-storage)'!F429/100)/VLOOKUP($C$427,'DB animal categories'!$C$157:$AC$166,27,FALSE)*AJ429+Y429+Z429+AA429,IF(AI429=1,'Calc (ex-animal)'!$R$83*'Calc (ex-housing, ex-storage)'!F429/100/VLOOKUP($C$427,'DB animal categories'!$C$157:$AC$166,27,FALSE)*AJ429,IF(AI429=4,('Calc (ex-animal)'!$R$83+'Calc (ex-animal)'!$Q$83)*'Calc (ex-housing, ex-storage)'!F429/100*VLOOKUP(D429,'DB technologies'!$N$210:$Y$222,11,FALSE)/100/VLOOKUP($C$427,'DB animal categories'!$C$157:$AC$166,27,FALSE)*AJ429,0))))</f>
        <v/>
      </c>
      <c r="AS429" s="181" t="str">
        <f>IF(D429="","",VLOOKUP(D429,'DB technologies'!$N$210:$Y$222,10,FALSE))</f>
        <v/>
      </c>
      <c r="AT429" s="442" t="str">
        <f>IF(AS429="","",AU429+AV429)</f>
        <v/>
      </c>
      <c r="AU429" s="442" t="str">
        <f>IF(D429="","",IF(AS429=2,0,IF(AS429=1,'Calc (ex-animal)'!$G$83*'DB additional information '!$K$18/100*(1-VLOOKUP(D429,'DB technologies'!$N$210:$Y$222,8,FALSE)/100)*'Calc (ex-housing, ex-storage)'!F429/100/VLOOKUP($C$427,'DB animal categories'!$C$157:$AC$166,27,FALSE)*AJ429+I429+J429+K429,IF(AS429=5,(('Calc (ex-animal)'!$G$83*'DB additional information '!$K$18/100+'Calc (ex-animal)'!$H$83*'DB additional information '!$L$18/100))*(1-VLOOKUP(D429,'DB technologies'!$N$210:$Y$222,9,FALSE)/100)*'Calc (ex-housing, ex-storage)'!F429/100/VLOOKUP($C$427,'DB animal categories'!$C$157:$AC$166,27,FALSE)*AJ429+I429+J429+K429,IF(AS429=3,('Calc (ex-animal)'!$G$83*'DB additional information '!$K$18/100+'Calc (ex-animal)'!$H$83*'DB additional information '!$L$18/100)*(1-VLOOKUP(D429,'DB technologies'!$N$210:$Y$222,9,FALSE)/100)*'Calc (ex-housing, ex-storage)'!F429/100/VLOOKUP($C$427,'DB animal categories'!$C$157:$AC$166,27,FALSE)*AJ429+I429+J429+K429,IF(AS429=4,('Calc (ex-animal)'!$G$83*'DB additional information '!$K$18/100+'Calc (ex-animal)'!$H$83*'DB additional information '!$L$18/100)*(1-VLOOKUP(D429,'DB technologies'!$N$210:$Y$222,9,FALSE)/100)*'Calc (ex-housing, ex-storage)'!F429/100*VLOOKUP(D429,'DB technologies'!$N$210:$Y$222,12,FALSE)/100/VLOOKUP($C$427,'DB animal categories'!$C$157:$AC$166,27,FALSE)*AJ429+I429+J429+K429,0))))))</f>
        <v/>
      </c>
      <c r="AV429" s="442" t="str">
        <f>IF(D429="","",IF(AS429=2,0,IF(AS429=1,'Calc (ex-animal)'!$G$83*(1-'DB additional information '!$K$18/100)*(1-VLOOKUP(D429,'DB technologies'!$N$210:$Y$222,8,FALSE)/100)*'Calc (ex-housing, ex-storage)'!F429/100/VLOOKUP($C$427,'DB animal categories'!$C$157:$AC$166,27,FALSE)*AJ429+M429+N429+O429,IF(AS429=5,('Calc (ex-animal)'!$G$83*(1-'DB additional information '!$K$18/100)+'Calc (ex-animal)'!$H$83*(1-'DB additional information '!$L$18/100))*(1-VLOOKUP(D429,'DB technologies'!$N$210:$Y$222,8,FALSE)/100)*'Calc (ex-housing, ex-storage)'!F429/100/VLOOKUP($C$427,'DB animal categories'!$C$157:$AC$166,27,FALSE)*AJ429+M429+N429+O429,IF(AS429=3,('Calc (ex-animal)'!$G$83*(1-'DB additional information '!$K$18/100)+'Calc (ex-animal)'!$H$83*(1-'DB additional information '!$L$18/100))*(1-VLOOKUP(D429,'DB technologies'!$N$210:$Y$222,8,FALSE)/100)*'Calc (ex-housing, ex-storage)'!F429/100/VLOOKUP($C$427,'DB animal categories'!$C$157:$AC$166,27,FALSE)*AJ429+M429+N429+O429,IF(AS429=4,('Calc (ex-animal)'!$G$83*(1-'DB additional information '!$K$18/100)+'Calc (ex-animal)'!$H$83*(1-'DB additional information '!$L$18/100))*(1-VLOOKUP(D429,'DB technologies'!$N$210:$Y$222,8,FALSE)/100)*'Calc (ex-housing, ex-storage)'!F429/100*VLOOKUP(D429,'DB technologies'!$N$210:$Y$222,12,FALSE)/100/VLOOKUP($C$427,'DB animal categories'!$C$157:$AC$166,27,FALSE)*AJ429+M429+N429+O429,0))))))</f>
        <v/>
      </c>
      <c r="AW429" s="442" t="str">
        <f>IF(AS429="","",IF(AU429=0,0,AU429/AT429*100))</f>
        <v/>
      </c>
      <c r="AX429" s="182" t="str">
        <f>IF(D429="","",IF(AS429=2,0,IF(AS429=1,'Calc (ex-animal)'!$K$83*'Calc (ex-housing, ex-storage)'!F429/100/VLOOKUP($C$427,'DB animal categories'!$C$157:$AC$166,27,FALSE)*AJ429+Q429+R429+S429,IF(AS429=5,('Calc (ex-animal)'!$K$83+'Calc (ex-animal)'!$L$83)*'Calc (ex-housing, ex-storage)'!F429/100/VLOOKUP($C$427,'DB animal categories'!$C$157:$AC$166,27,FALSE)*AJ429+Q429+R429+S429-'Calc (ex-housing, ex-storage)'!AC429,IF(AS429=3,('Calc (ex-animal)'!$K$83+'Calc (ex-animal)'!$L$83)*'Calc (ex-housing, ex-storage)'!F429/100/VLOOKUP($C$427,'DB animal categories'!$C$157:$AC$166,27,FALSE)*AJ429+Q429+R429+S429-'Calc (ex-housing, ex-storage)'!AC429-AD429-AE429,IF(AI429=4,('Calc (ex-animal)'!$K$83+'Calc (ex-animal)'!$L$83)*'Calc (ex-housing, ex-storage)'!F429/100*VLOOKUP(D429,'DB technologies'!$N$210:$Y$222,12,FALSE)/100/VLOOKUP($C$427,'DB animal categories'!$C$157:$AC$166,27,FALSE)*AJ429+Q429+R429+S429-(VLOOKUP(D429,'DB technologies'!$N$210:$Y$222,12,FALSE)/100*AC429)-AD429-AE429,0))))))</f>
        <v/>
      </c>
      <c r="AY429" s="182" t="str">
        <f>IF(D429="","",IF(AS429=2,0,IF(AS429=1,'Calc (ex-animal)'!$N$83*'Calc (ex-housing, ex-storage)'!F429/100/VLOOKUP($C$427,'DB animal categories'!$C$157:$AC$166,27,FALSE)*AJ429+U429+V429+W429,IF(AS429=5,('Calc (ex-animal)'!$N$83+'Calc (ex-animal)'!$O$83)*'Calc (ex-housing, ex-storage)'!F429/100/VLOOKUP($C$427,'DB animal categories'!$C$157:$AC$166,27,FALSE)*AJ429+U429+V429+W429,IF(AS429=3,('Calc (ex-animal)'!$N$83+'Calc (ex-animal)'!$O$83)*'Calc (ex-housing, ex-storage)'!F429/100/VLOOKUP($C$427,'DB animal categories'!$C$157:$AC$166,27,FALSE)*AJ429+U429+V429+W429,IF(AS429=4,('Calc (ex-animal)'!$N$83+'Calc (ex-animal)'!$O$83)*'Calc (ex-housing, ex-storage)'!F429/100*VLOOKUP(D429,'DB technologies'!$N$210:$Y$222,12,FALSE)/100/VLOOKUP($C$427,'DB animal categories'!$C$157:$AC$166,27,FALSE)*AJ429+U429+V429+W429,0))))))</f>
        <v/>
      </c>
      <c r="AZ429" s="182" t="str">
        <f>IF(D429="","",IF(AS429=2,0,IF(AS429=1,'Calc (ex-animal)'!$Q$83*'Calc (ex-housing, ex-storage)'!F429/100/VLOOKUP($C$427,'DB animal categories'!$C$157:$AC$166,27,FALSE)*AJ429+Y429+Z429+AA429,IF(AS429=5,('Calc (ex-animal)'!$Q$83+'Calc (ex-animal)'!$R$83)*'Calc (ex-housing, ex-storage)'!F429/100/VLOOKUP($C$427,'DB animal categories'!$C$157:$AC$166,27,FALSE)*AJ429+Y429+Z429+AA429,IF(AS429=3,('Calc (ex-animal)'!$Q$83+'Calc (ex-animal)'!$R$83)*'Calc (ex-housing, ex-storage)'!F429/100/VLOOKUP($C$427,'DB animal categories'!$C$157:$AC$166,27,FALSE)*AJ429+Y429+Z429+AA429,IF(AS429=4,('Calc (ex-animal)'!$Q$83+'Calc (ex-animal)'!$R$83)*'Calc (ex-housing, ex-storage)'!F429/100*VLOOKUP(D429,'DB technologies'!$N$210:$Y$222,12,FALSE)/100/VLOOKUP($C$427,'DB animal categories'!$C$157:$AC$166,27,FALSE)*AJ429+Y429+Z429+AA429,0))))))</f>
        <v/>
      </c>
      <c r="BA429" s="506"/>
      <c r="BB429" s="506"/>
      <c r="BC429" s="506"/>
    </row>
    <row r="430" spans="1:55" x14ac:dyDescent="0.2">
      <c r="A430" s="695"/>
      <c r="B430" s="695"/>
      <c r="C430" s="255"/>
      <c r="D430" s="1357"/>
      <c r="E430" s="1358"/>
      <c r="F430" s="480" t="str">
        <f>IF('Calc (ex-animal)'!$F$83=1,"",IF($C$427=0,"",IF(D430="","",E430/'Calc (ex-animal)'!$E$83*100)))</f>
        <v/>
      </c>
      <c r="G430" s="485" t="str">
        <f>IF($C$427=0,"",IF('Calc (ex-animal)'!$F$83=1,"",IF(D430="","",SUM(H430:O430))))</f>
        <v/>
      </c>
      <c r="H430" s="423" t="str">
        <f>IF('Calc (ex-animal)'!$F$83=1,"",IF(D430="","",(((VLOOKUP($C$427,'Calc (ex-animal)'!$D$83:$Y$87,6,FALSE)-VLOOKUP($C$427,'Calc (ex-animal)'!$D$83:$Y$87,17,FALSE))*F430/100))*VLOOKUP($C$427,'Calc (ex-animal)'!$D$83:$Y$87,7,FALSE)/100*(1-VLOOKUP(D430,'DB technologies'!$N$210:$Y$222,9,FALSE)/100)))</f>
        <v/>
      </c>
      <c r="I430" s="423" t="str">
        <f>IF(D430="","",((VLOOKUP(D430,'DB technologies'!$N$210:$Y$222,2,FALSE)*VLOOKUP($C$427,'DB animal categories'!$C$157:$AC$166,27,FALSE)*E430/1000)/VLOOKUP($C$427,'DB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'!$S$6/100*(1-VLOOKUP(D430,'DB technologies'!$N$210:$Y$222,9,FALSE)/100)))</f>
        <v/>
      </c>
      <c r="J430" s="434" t="str">
        <f>IF(D430="","",((VLOOKUP(D430,'DB technologies'!$N$210:$Y$222,3,FALSE)*VLOOKUP($C$427,'DB animal categories'!$C$157:$AC$166,27,FALSE)*E430/1000)/VLOOKUP($C$427,'DB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'!$S$7/100*(1-VLOOKUP(D430,'DB technologies'!$N$210:$Y$222,9,FALSE)/100)))</f>
        <v/>
      </c>
      <c r="K430" s="434" t="str">
        <f>IF(D430="","",((VLOOKUP(D430,'DB technologies'!$N$210:$Y$222,4,FALSE)*E430*'DB additional information '!$S$8/100*(1-VLOOKUP(D430,'DB technologies'!$N$210:$Y$222,9,FALSE)/100))/VLOOKUP($C$427,'DB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L430" s="423" t="str">
        <f>IF('Calc (ex-animal)'!$F$83=1,"",IF(D430="","",(((VLOOKUP($C$427,'Calc (ex-animal)'!$D$83:$Y$87,6,FALSE)-VLOOKUP($C$427,'Calc (ex-animal)'!$D$83:$Y$87,17,FALSE))*F430/100))*(1-VLOOKUP($C$427,'Calc (ex-animal)'!$D$83:$Y$87,7,FALSE)/100)*(1-VLOOKUP(D430,'DB technologies'!$N$210:$V$222,8,FALSE)/100)))</f>
        <v/>
      </c>
      <c r="M430" s="434" t="str">
        <f>IF(D430="","",((VLOOKUP(D430,'DB technologies'!$N$210:$Y$222,2,FALSE)*VLOOKUP($C$427,'DB animal categories'!$C$157:$AC$166,27,FALSE)*E430/1000)/VLOOKUP($C$427,'DB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'!$S$6/100)*(1-VLOOKUP(D430,'DB technologies'!$N$210:$Y$222,9,FALSE)/100))</f>
        <v/>
      </c>
      <c r="N430" s="434" t="str">
        <f>IF(D430="","",((VLOOKUP(D430,'DB technologies'!$N$210:$Y$222,3,FALSE)*VLOOKUP($C$427,'DB animal categories'!$C$157:$AC$166,27,FALSE)*E430/1000)/VLOOKUP($C$427,'DB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'!$S$7/100)*(1-VLOOKUP(D430,'DB technologies'!$N$210:$Y$222,9,FALSE)/100))</f>
        <v/>
      </c>
      <c r="O430" s="423" t="str">
        <f>IF(D430="","",((VLOOKUP(D430,'DB technologies'!$N$210:$Y$222,4,FALSE)*E430*(1-'DB additional information '!$S$8/100)*(1-VLOOKUP(D430,'DB technologies'!$N$210:$Y$222,8,FALSE)/100))/VLOOKUP($C$427,'DB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P430" s="438" t="str">
        <f>IF(G430=0,0,IF(E430="","",IF(F430="","",IF($C$427=0,"",IF(D430="","",SUM(H430:K430)/G430*100)))))</f>
        <v/>
      </c>
      <c r="Q430" s="416" t="str">
        <f>IF(D430="","",(VLOOKUP(D430,'DB technologies'!$N$210:$Y$222,2,FALSE)*'DB additional information '!$S$6/100*'DB additional information '!$T$6*VLOOKUP($C$427,'DB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R430" s="416" t="str">
        <f>IF(D430="","",(VLOOKUP(D430,'DB technologies'!$N$210:$Y$222,3,FALSE)*'DB additional information '!$S$7/100*'DB additional information '!$T$7*VLOOKUP($C$427,'DB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S430" s="491" t="str">
        <f>IF(D430="","",(VLOOKUP(D430,'DB technologies'!$N$210:$Y$222,4,FALSE)*('DB additional information '!$S$8/100*'DB additional information '!$T$8*E430/1000/1000)))</f>
        <v/>
      </c>
      <c r="T430" s="264" t="str">
        <f>IF($C$427=0,"",IF('Calc (ex-animal)'!$F$83=1,"",IF(D430="","",((VLOOKUP($C$427,'Calc (ex-animal)'!$D$83:$Y$87,10,FALSE)-VLOOKUP($C$427,'Calc (ex-animal)'!$D$83:$Y$87,18,FALSE))*F430/100+Q430+R430+S430)-AC430-AD430-AE430)))</f>
        <v/>
      </c>
      <c r="U430" s="422" t="str">
        <f>IF(D430="","",(VLOOKUP(D430,'DB technologies'!$N$210:$Y$222,2,FALSE)*'DB additional information '!$S$6/100*'DB additional information '!$U$6*VLOOKUP($C$427,'DB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V430" s="418" t="str">
        <f>IF(D430="","",(VLOOKUP(D430,'DB technologies'!$N$210:$Y$222,3,FALSE)*'DB additional information '!$S$7/100*'DB additional information '!$U$7*VLOOKUP($C$427,'DB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W430" s="417" t="str">
        <f>IF(D430="","",(VLOOKUP(D430,'DB technologies'!$N$210:$Y$222,4,FALSE)*('DB additional information '!$S$8/100*'DB additional information '!$U$8*E430/1000/1000)))</f>
        <v/>
      </c>
      <c r="X430" s="261" t="str">
        <f>IF($C$427=0,"",IF('Calc (ex-animal)'!$F$83=1,"",IF(D430="","",((VLOOKUP($C$427,'Calc (ex-animal)'!$D$83:$Y$87,13,FALSE)-VLOOKUP($C$427,'Calc (ex-animal)'!$D$83:$Y$87,19,FALSE))*F430/100+U430+V430+W430))))</f>
        <v/>
      </c>
      <c r="Y430" s="418" t="str">
        <f>IF(D430="","",(VLOOKUP(D430,'DB technologies'!$N$210:$Y$222,2,FALSE)*'DB additional information '!$S$6/100*'DB additional information '!$V$6*VLOOKUP($C$427,'DB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Z430" s="418" t="str">
        <f>IF(D430="","",(VLOOKUP(D430,'DB technologies'!$N$210:$Y$222,3,FALSE)*'DB additional information '!$S$7/100*'DB additional information '!$V$7*VLOOKUP($C$427,'DB animal categories'!$C$157:$AC$166,27,FALSE)*E430/1000/1000)/VLOOKUP($C$427,'DB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AA430" s="418" t="str">
        <f>IF(D430="","",(VLOOKUP(D430,'DB technologies'!$N$210:$Y$222,4,FALSE)*('DB additional information '!$S$8/100*'DB additional information '!$V$8*E430/1000/1000)))</f>
        <v/>
      </c>
      <c r="AB430" s="261" t="str">
        <f>IF($C$427=0,"",IF('Calc (ex-animal)'!$F$83=1,"",IF(D430="","",((VLOOKUP($C$427,'Calc (ex-animal)'!$D$83:$Y$87,16,FALSE)-VLOOKUP($C$427,'Calc (ex-animal)'!$D$83:$Y$87,20,FALSE))*F430/100+Y430+Z430+AA430))))</f>
        <v/>
      </c>
      <c r="AC430" s="261" t="str">
        <f>IF($C$427=0,"",IF('Calc (ex-animal)'!$F$83=1,"",IF(D430="","",VLOOKUP($C$427,'Calc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categories'!$C$157:$AC$166,26,FALSE)/24)*F430/100*VLOOKUP(D430,'DB technologies'!$N$210:$R$222,5,FALSE)/100)))</f>
        <v/>
      </c>
      <c r="AD430" s="261" t="str">
        <f>IF($C$427=0,"",IF('Calc (ex-animal)'!$F$83=1,"",IF(D430="","",VLOOKUP($C$427,'Calc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categories'!$C$157:$AC$166,26,FALSE)/24)*F430/100*VLOOKUP(D430,'DB technologies'!$N$210:$Y$222,6,FALSE)/100)))</f>
        <v/>
      </c>
      <c r="AE430" s="262" t="str">
        <f>IF($C$427=0,"",IF('Calc (ex-animal)'!$F$83=1,"",IF(D430="","",VLOOKUP($C$427,'Calc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categories'!$C$157:$AC$166,26,FALSE)/24)*F430/100*VLOOKUP(D430,'DB technologies'!$N$210:$Y$222,7,FALSE)/100)))</f>
        <v/>
      </c>
      <c r="AI430" s="181" t="str">
        <f>IF(D430="","",VLOOKUP(D430,'DB technologies'!$N$210:$Y$222,10,FALSE))</f>
        <v/>
      </c>
      <c r="AJ430" s="449" t="e">
        <f>VLOOKUP($C$427,'DB animal categories'!$C$157:$AN$166,27,FALSE)-VLOOKUP($C$427,'DB animal categories'!$C$157:$AN$166,26,FALSE)*VLOOKUP($C$427,'DB animal categories'!$C$157:$AN$166,25,FALSE)/24</f>
        <v>#N/A</v>
      </c>
      <c r="AK430" s="442" t="str">
        <f>IF(AI430="","",AL430+AM430)</f>
        <v/>
      </c>
      <c r="AL430" s="442" t="str">
        <f>IF(D430="","",IF(AI430=2,(('Calc (ex-animal)'!$G$83*'DB additional information '!$K$18/100*(1-VLOOKUP(D430,'DB technologies'!$N$210:$Y$222,9,FALSE)/100)*'Calc (ex-housing, ex-storage)'!F430/100+'Calc (ex-animal)'!$H$83*'DB additional information '!$L$18/100*(1-VLOOKUP(D430,'DB technologies'!$N$210:$Y$222,9,FALSE)/100)*'Calc (ex-housing, ex-storage)'!F430/100))/VLOOKUP($C$427,'DB animal categories'!$C$157:$AC$166,27,FALSE)*AJ430+I430+J430+K430,IF(AI430=1,('Calc (ex-animal)'!$H$83*'DB additional information '!$L$18/100*(1-VLOOKUP(D430,'DB technologies'!$N$210:$Y$222,9,FALSE)/100)*'Calc (ex-housing, ex-storage)'!F430/100)/VLOOKUP($C$427,'DB animal categories'!$C$157:$AC$166,27,FALSE)*AJ430,IF(AI430=4,('Calc (ex-animal)'!$G$83*'DB additional information '!$K$18/100+'Calc (ex-animal)'!$H$83*'DB additional information '!$L$18/100)*(1-VLOOKUP(D430,'DB technologies'!$N$210:$Y$222,9,FALSE)/100)*'Calc (ex-housing, ex-storage)'!F430/100*VLOOKUP(D430,'DB technologies'!$N$210:$Y$222,11,FALSE)/100/VLOOKUP($C$427,'DB animal categories'!$C$157:$AC$166,27,FALSE)*AJ430,0))))</f>
        <v/>
      </c>
      <c r="AM430" s="442" t="str">
        <f>IF(D430="","",IF(AI430=2,(('Calc (ex-animal)'!$G$83*(1-'DB additional information '!$K$18/100)*(1-VLOOKUP(D430,'DB technologies'!$N$210:$Y$222,8,FALSE)/100)*'Calc (ex-housing, ex-storage)'!F430/100+'Calc (ex-animal)'!$H$83*(1-'DB additional information '!$L$18/100)*(1-VLOOKUP(D430,'DB technologies'!$N$210:$Y$222,8,FALSE)/100)*'Calc (ex-housing, ex-storage)'!F430/100))/VLOOKUP($C$427,'DB animal categories'!$C$157:$AC$166,27,FALSE)*AJ430+M430+N430+O430,IF(AI430=1,('Calc (ex-animal)'!$H$83*(1-'DB additional information '!$L$18/100)*(1-VLOOKUP(D430,'DB technologies'!$N$210:$Y$222,8,FALSE)/100)*'Calc (ex-housing, ex-storage)'!F430/100)/VLOOKUP($C$427,'DB animal categories'!$C$157:$AC$166,27,FALSE)*AJ430,IF(AI430=4,('Calc (ex-animal)'!$G$83*(1-'DB additional information '!$K$18/100)+'Calc (ex-animal)'!$H$83*(1-'DB additional information '!$L$18/100))*(1-VLOOKUP(D430,'DB technologies'!$N$210:$Y$222,8,FALSE)/100)*'Calc (ex-housing, ex-storage)'!F430/100*VLOOKUP(D430,'DB technologies'!$N$210:$Y$222,11,FALSE)/100/VLOOKUP($C$427,'DB animal categories'!$C$157:$AC$166,27,FALSE)*AJ430,0))))</f>
        <v/>
      </c>
      <c r="AN430" s="442" t="str">
        <f>IF(AI430="","",IF(AL430=0,0,AL430/AK430*100))</f>
        <v/>
      </c>
      <c r="AO430" s="182" t="str">
        <f>IF(D430="","",IF(AI430=2,(('Calc (ex-animal)'!$L$83*'Calc (ex-housing, ex-storage)'!F430/100+'Calc (ex-animal)'!$K$83*'Calc (ex-housing, ex-storage)'!F430/100))/VLOOKUP($C$427,'DB animal categories'!$C$157:$AC$166,27,FALSE)*AJ430+Q430+R430+S430-AC430,IF(AI430=1,('Calc (ex-animal)'!$L$83*'Calc (ex-housing, ex-storage)'!F430/100)/VLOOKUP($C$427,'DB animal categories'!$C$157:$AC$166,27,FALSE)*AJ430-'Calc (ex-housing, ex-storage)'!AC430,IF(AI430=4,('Calc (ex-animal)'!$L$83+'Calc (ex-animal)'!$K$83)*'Calc (ex-housing, ex-storage)'!F430/100*VLOOKUP(D430,'DB technologies'!$N$210:$Y$222,11,FALSE)/100/VLOOKUP($C$427,'DB animal categories'!$C$157:$AC$166,27,FALSE)*AJ430-AC430*VLOOKUP(D430,'DB technologies'!$N$210:$Y$222,11,FALSE)/100,0))))</f>
        <v/>
      </c>
      <c r="AP430" s="182" t="str">
        <f>IF(D430="","",IF(AO430&lt;-0.01,0,IF(AI430=2,(('Calc (ex-animal)'!$L$83*'Calc (ex-housing, ex-storage)'!F430/100+'Calc (ex-animal)'!$K$83*'Calc (ex-housing, ex-storage)'!F430/100))/VLOOKUP($C$427,'DB animal categories'!$C$157:$AC$166,27,FALSE)*AJ430+Q430+R430+S430-AC430,IF(AI430=1,('Calc (ex-animal)'!$L$83*'Calc (ex-housing, ex-storage)'!F430/100)/VLOOKUP($C$427,'DB animal categories'!$C$157:$AC$166,27,FALSE)*AJ430-'Calc (ex-housing, ex-storage)'!AC430,IF(AI430=4,('Calc (ex-animal)'!$L$83+'Calc (ex-animal)'!$K$83)*'Calc (ex-housing, ex-storage)'!F430/100*VLOOKUP(D430,'DB technologies'!$N$210:$Y$222,11,FALSE)/100/VLOOKUP($C$427,'DB animal categories'!$C$157:$AC$166,27,FALSE)*AJ430-AC430*VLOOKUP(D430,'DB technologies'!$N$210:$Y$222,11,FALSE)/100,0)))))</f>
        <v/>
      </c>
      <c r="AQ430" s="182" t="str">
        <f>IF(D430="","",IF(AI430=2,('Calc (ex-animal)'!$O$83*'Calc (ex-housing, ex-storage)'!F430/100+'Calc (ex-animal)'!$N$83*'Calc (ex-housing, ex-storage)'!F430/100)/VLOOKUP($C$427,'DB animal categories'!$C$157:$AC$166,27,FALSE)*AJ430+U430+V430+W430,IF(AI430=1,'Calc (ex-animal)'!$O$83*'Calc (ex-housing, ex-storage)'!F430/100/VLOOKUP($C$427,'DB animal categories'!$C$157:$AC$166,27,FALSE)*AJ430,IF(AI430=4,('Calc (ex-animal)'!$O$83+'Calc (ex-animal)'!$N$83)*'Calc (ex-housing, ex-storage)'!F430/100*VLOOKUP(D430,'DB technologies'!$N$210:$Y$222,11,FALSE)/100/VLOOKUP($C$427,'DB animal categories'!$C$157:$AC$166,27,FALSE)*AJ430,0))))</f>
        <v/>
      </c>
      <c r="AR430" s="182" t="str">
        <f>IF(D430="","",IF(AI430=2,('Calc (ex-animal)'!$R$83*'Calc (ex-housing, ex-storage)'!F430/100+'Calc (ex-animal)'!$Q$83*'Calc (ex-housing, ex-storage)'!F430/100)/VLOOKUP($C$427,'DB animal categories'!$C$157:$AC$166,27,FALSE)*AJ430+Y430+Z430+AA430,IF(AI430=1,'Calc (ex-animal)'!$R$83*'Calc (ex-housing, ex-storage)'!F430/100/VLOOKUP($C$427,'DB animal categories'!$C$157:$AC$166,27,FALSE)*AJ430,IF(AI430=4,('Calc (ex-animal)'!$R$83+'Calc (ex-animal)'!$Q$83)*'Calc (ex-housing, ex-storage)'!F430/100*VLOOKUP(D430,'DB technologies'!$N$210:$Y$222,11,FALSE)/100/VLOOKUP($C$427,'DB animal categories'!$C$157:$AC$166,27,FALSE)*AJ430,0))))</f>
        <v/>
      </c>
      <c r="AS430" s="181" t="str">
        <f>IF(D430="","",VLOOKUP(D430,'DB technologies'!$N$210:$Y$222,10,FALSE))</f>
        <v/>
      </c>
      <c r="AT430" s="442" t="str">
        <f>IF(AS430="","",AU430+AV430)</f>
        <v/>
      </c>
      <c r="AU430" s="442" t="str">
        <f>IF(D430="","",IF(AS430=2,0,IF(AS430=1,'Calc (ex-animal)'!$G$83*'DB additional information '!$K$18/100*(1-VLOOKUP(D430,'DB technologies'!$N$210:$Y$222,8,FALSE)/100)*'Calc (ex-housing, ex-storage)'!F430/100/VLOOKUP($C$427,'DB animal categories'!$C$157:$AC$166,27,FALSE)*AJ430+I430+J430+K430,IF(AS430=5,(('Calc (ex-animal)'!$G$83*'DB additional information '!$K$18/100+'Calc (ex-animal)'!$H$83*'DB additional information '!$L$18/100))*(1-VLOOKUP(D430,'DB technologies'!$N$210:$Y$222,9,FALSE)/100)*'Calc (ex-housing, ex-storage)'!F430/100/VLOOKUP($C$427,'DB animal categories'!$C$157:$AC$166,27,FALSE)*AJ430+I430+J430+K430,IF(AS430=3,('Calc (ex-animal)'!$G$83*'DB additional information '!$K$18/100+'Calc (ex-animal)'!$H$83*'DB additional information '!$L$18/100)*(1-VLOOKUP(D430,'DB technologies'!$N$210:$Y$222,9,FALSE)/100)*'Calc (ex-housing, ex-storage)'!F430/100/VLOOKUP($C$427,'DB animal categories'!$C$157:$AC$166,27,FALSE)*AJ430+I430+J430+K430,IF(AS430=4,('Calc (ex-animal)'!$G$83*'DB additional information '!$K$18/100+'Calc (ex-animal)'!$H$83*'DB additional information '!$L$18/100)*(1-VLOOKUP(D430,'DB technologies'!$N$210:$Y$222,9,FALSE)/100)*'Calc (ex-housing, ex-storage)'!F430/100*VLOOKUP(D430,'DB technologies'!$N$210:$Y$222,12,FALSE)/100/VLOOKUP($C$427,'DB animal categories'!$C$157:$AC$166,27,FALSE)*AJ430+I430+J430+K430,0))))))</f>
        <v/>
      </c>
      <c r="AV430" s="442" t="str">
        <f>IF(D430="","",IF(AS430=2,0,IF(AS430=1,'Calc (ex-animal)'!$G$83*(1-'DB additional information '!$K$18/100)*(1-VLOOKUP(D430,'DB technologies'!$N$210:$Y$222,8,FALSE)/100)*'Calc (ex-housing, ex-storage)'!F430/100/VLOOKUP($C$427,'DB animal categories'!$C$157:$AC$166,27,FALSE)*AJ430+M430+N430+O430,IF(AS430=5,('Calc (ex-animal)'!$G$83*(1-'DB additional information '!$K$18/100)+'Calc (ex-animal)'!$H$83*(1-'DB additional information '!$L$18/100))*(1-VLOOKUP(D430,'DB technologies'!$N$210:$Y$222,8,FALSE)/100)*'Calc (ex-housing, ex-storage)'!F430/100/VLOOKUP($C$427,'DB animal categories'!$C$157:$AC$166,27,FALSE)*AJ430+M430+N430+O430,IF(AS430=3,('Calc (ex-animal)'!$G$83*(1-'DB additional information '!$K$18/100)+'Calc (ex-animal)'!$H$83*(1-'DB additional information '!$L$18/100))*(1-VLOOKUP(D430,'DB technologies'!$N$210:$Y$222,8,FALSE)/100)*'Calc (ex-housing, ex-storage)'!F430/100/VLOOKUP($C$427,'DB animal categories'!$C$157:$AC$166,27,FALSE)*AJ430+M430+N430+O430,IF(AS430=4,('Calc (ex-animal)'!$G$83*(1-'DB additional information '!$K$18/100)+'Calc (ex-animal)'!$H$83*(1-'DB additional information '!$L$18/100))*(1-VLOOKUP(D430,'DB technologies'!$N$210:$Y$222,8,FALSE)/100)*'Calc (ex-housing, ex-storage)'!F430/100*VLOOKUP(D430,'DB technologies'!$N$210:$Y$222,12,FALSE)/100/VLOOKUP($C$427,'DB animal categories'!$C$157:$AC$166,27,FALSE)*AJ430+M430+N430+O430,0))))))</f>
        <v/>
      </c>
      <c r="AW430" s="442" t="str">
        <f>IF(AS430="","",IF(AU430=0,0,AU430/AT430*100))</f>
        <v/>
      </c>
      <c r="AX430" s="182" t="str">
        <f>IF(D430="","",IF(AS430=2,0,IF(AS430=1,'Calc (ex-animal)'!$K$83*'Calc (ex-housing, ex-storage)'!F430/100/VLOOKUP($C$427,'DB animal categories'!$C$157:$AC$166,27,FALSE)*AJ430+Q430+R430+S430,IF(AS430=5,('Calc (ex-animal)'!$K$83+'Calc (ex-animal)'!$L$83)*'Calc (ex-housing, ex-storage)'!F430/100/VLOOKUP($C$427,'DB animal categories'!$C$157:$AC$166,27,FALSE)*AJ430+Q430+R430+S430-'Calc (ex-housing, ex-storage)'!AC430,IF(AS430=3,('Calc (ex-animal)'!$K$83+'Calc (ex-animal)'!$L$83)*'Calc (ex-housing, ex-storage)'!F430/100/VLOOKUP($C$427,'DB animal categories'!$C$157:$AC$166,27,FALSE)*AJ430+Q430+R430+S430-'Calc (ex-housing, ex-storage)'!AC430-AD430-AE430,IF(AI430=4,('Calc (ex-animal)'!$K$83+'Calc (ex-animal)'!$L$83)*'Calc (ex-housing, ex-storage)'!F430/100*VLOOKUP(D430,'DB technologies'!$N$210:$Y$222,12,FALSE)/100/VLOOKUP($C$427,'DB animal categories'!$C$157:$AC$166,27,FALSE)*AJ430+Q430+R430+S430-(VLOOKUP(D430,'DB technologies'!$N$210:$Y$222,12,FALSE)/100*AC430)-AD430-AE430,0))))))</f>
        <v/>
      </c>
      <c r="AY430" s="182" t="str">
        <f>IF(D430="","",IF(AS430=2,0,IF(AS430=1,'Calc (ex-animal)'!$N$83*'Calc (ex-housing, ex-storage)'!F430/100/VLOOKUP($C$427,'DB animal categories'!$C$157:$AC$166,27,FALSE)*AJ430+U430+V430+W430,IF(AS430=5,('Calc (ex-animal)'!$N$83+'Calc (ex-animal)'!$O$83)*'Calc (ex-housing, ex-storage)'!F430/100/VLOOKUP($C$427,'DB animal categories'!$C$157:$AC$166,27,FALSE)*AJ430+U430+V430+W430,IF(AS430=3,('Calc (ex-animal)'!$N$83+'Calc (ex-animal)'!$O$83)*'Calc (ex-housing, ex-storage)'!F430/100/VLOOKUP($C$427,'DB animal categories'!$C$157:$AC$166,27,FALSE)*AJ430+U430+V430+W430,IF(AS430=4,('Calc (ex-animal)'!$N$83+'Calc (ex-animal)'!$O$83)*'Calc (ex-housing, ex-storage)'!F430/100*VLOOKUP(D430,'DB technologies'!$N$210:$Y$222,12,FALSE)/100/VLOOKUP($C$427,'DB animal categories'!$C$157:$AC$166,27,FALSE)*AJ430+U430+V430+W430,0))))))</f>
        <v/>
      </c>
      <c r="AZ430" s="182" t="str">
        <f>IF(D430="","",IF(AS430=2,0,IF(AS430=1,'Calc (ex-animal)'!$Q$83*'Calc (ex-housing, ex-storage)'!F430/100/VLOOKUP($C$427,'DB animal categories'!$C$157:$AC$166,27,FALSE)*AJ430+Y430+Z430+AA430,IF(AS430=5,('Calc (ex-animal)'!$Q$83+'Calc (ex-animal)'!$R$83)*'Calc (ex-housing, ex-storage)'!F430/100/VLOOKUP($C$427,'DB animal categories'!$C$157:$AC$166,27,FALSE)*AJ430+Y430+Z430+AA430,IF(AS430=3,('Calc (ex-animal)'!$Q$83+'Calc (ex-animal)'!$R$83)*'Calc (ex-housing, ex-storage)'!F430/100/VLOOKUP($C$427,'DB animal categories'!$C$157:$AC$166,27,FALSE)*AJ430+Y430+Z430+AA430,IF(AS430=4,('Calc (ex-animal)'!$Q$83+'Calc (ex-animal)'!$R$83)*'Calc (ex-housing, ex-storage)'!F430/100*VLOOKUP(D430,'DB technologies'!$N$210:$Y$222,12,FALSE)/100/VLOOKUP($C$427,'DB animal categories'!$C$157:$AC$166,27,FALSE)*AJ430+Y430+Z430+AA430,0))))))</f>
        <v/>
      </c>
      <c r="BA430" s="506"/>
      <c r="BB430" s="506"/>
      <c r="BC430" s="506"/>
    </row>
    <row r="431" spans="1:55" ht="12" thickBot="1" x14ac:dyDescent="0.25">
      <c r="A431" s="695"/>
      <c r="B431" s="695"/>
      <c r="C431" s="255"/>
      <c r="D431" s="1359"/>
      <c r="E431" s="1360"/>
      <c r="F431" s="481" t="str">
        <f>IF('Calc (ex-animal)'!$F$83=1,"",IF($C$427=0,"",IF(D431="","",E431/'Calc (ex-animal)'!$E$83*100)))</f>
        <v/>
      </c>
      <c r="G431" s="483" t="str">
        <f>IF($C$427=0,"",IF('Calc (ex-animal)'!$F$83=1,"",IF(D431="","",SUM(H431:O431))))</f>
        <v/>
      </c>
      <c r="H431" s="445" t="str">
        <f>IF('Calc (ex-animal)'!$F$83=1,"",IF(D431="","",(((VLOOKUP($C$427,'Calc (ex-animal)'!$D$83:$Y$87,6,FALSE)-VLOOKUP($C$427,'Calc (ex-animal)'!$D$83:$Y$87,17,FALSE))*F431/100))*VLOOKUP($C$427,'Calc (ex-animal)'!$D$83:$Y$87,7,FALSE)/100*(1-VLOOKUP(D431,'DB technologies'!$N$210:$Y$222,9,FALSE)/100)))</f>
        <v/>
      </c>
      <c r="I431" s="445" t="str">
        <f>IF(D431="","",((VLOOKUP(D431,'DB technologies'!$N$210:$Y$222,2,FALSE)*VLOOKUP($C$427,'DB animal categories'!$C$157:$AC$166,27,FALSE)*E431/1000)/VLOOKUP($C$427,'DB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'!$S$6/100*(1-VLOOKUP(D431,'DB technologies'!$N$210:$Y$222,9,FALSE)/100)))</f>
        <v/>
      </c>
      <c r="J431" s="446" t="str">
        <f>IF(D431="","",((VLOOKUP(D431,'DB technologies'!$N$210:$Y$222,3,FALSE)*VLOOKUP($C$427,'DB animal categories'!$C$157:$AC$166,27,FALSE)*E431/1000)/VLOOKUP($C$427,'DB animal categories'!$C$157:$AC$166,27,FALSE)*(VLOOKUP($C$427,'DB animal categories'!$C$157:$AC$166,27,FALSE)-(VLOOKUP($C$427,'DB animal categories'!$C$157:$AC$166,25,FALSE)*VLOOKUP($C$427,'DB animal categories'!$C$157:$AC$166,26,FALSE)/24))*'DB additional information '!$S$7/100*(1-VLOOKUP(D431,'DB technologies'!$N$210:$Y$222,9,FALSE)/100)))</f>
        <v/>
      </c>
      <c r="K431" s="446" t="str">
        <f>IF(D431="","",((VLOOKUP(D431,'DB technologies'!$N$210:$Y$222,4,FALSE)*E431*'DB additional information '!$S$8/100*(1-VLOOKUP(D431,'DB technologies'!$N$210:$Y$222,9,FALSE)/100))/VLOOKUP($C$427,'DB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L431" s="445" t="str">
        <f>IF('Calc (ex-animal)'!$F$83=1,"",IF(D431="","",(((VLOOKUP($C$427,'Calc (ex-animal)'!$D$83:$Y$87,6,FALSE)-VLOOKUP($C$427,'Calc (ex-animal)'!$D$83:$Y$87,17,FALSE))*F431/100))*(1-VLOOKUP($C$427,'Calc (ex-animal)'!$D$83:$Y$87,7,FALSE)/100)*(1-VLOOKUP(D431,'DB technologies'!$N$210:$V$222,8,FALSE)/100)))</f>
        <v/>
      </c>
      <c r="M431" s="446" t="str">
        <f>IF(D431="","",((VLOOKUP(D431,'DB technologies'!$N$210:$Y$222,2,FALSE)*VLOOKUP($C$427,'DB animal categories'!$C$157:$AC$166,27,FALSE)*E431/1000)/VLOOKUP($C$427,'DB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'!$S$6/100)*(1-VLOOKUP(D431,'DB technologies'!$N$210:$Y$222,9,FALSE)/100))</f>
        <v/>
      </c>
      <c r="N431" s="446" t="str">
        <f>IF(D431="","",((VLOOKUP(D431,'DB technologies'!$N$210:$Y$222,3,FALSE)*VLOOKUP($C$427,'DB animal categories'!$C$157:$AC$166,27,FALSE)*E431/1000)/VLOOKUP($C$427,'DB animal categories'!$C$157:$AC$166,27,FALSE)*(VLOOKUP($C$427,'DB animal categories'!$C$157:$AC$166,27,FALSE)-VLOOKUP($C$427,'DB animal categories'!$C$157:$AC$166,25,FALSE)*VLOOKUP($C$427,'DB animal categories'!$C$157:$AC$166,26,FALSE)/24))*(1-'DB additional information '!$S$7/100)*(1-VLOOKUP(D431,'DB technologies'!$N$210:$Y$222,9,FALSE)/100))</f>
        <v/>
      </c>
      <c r="O431" s="445" t="str">
        <f>IF(D431="","",((VLOOKUP(D431,'DB technologies'!$N$210:$Y$222,4,FALSE)*E431*(1-'DB additional information '!$S$8/100)*(1-VLOOKUP(D431,'DB technologies'!$N$210:$Y$222,8,FALSE)/100))/VLOOKUP($C$427,'DB animal categories'!$C$157:$AC$166,27,FALSE)*(VLOOKUP($C$427,'DB animal categories'!$C$157:$AC$166,27,FALSE)-VLOOKUP($C$427,'DB animal categories'!$C$157:$AC$166,25,FALSE)*VLOOKUP($C$427,'DB animal categories'!$C$157:$AC$166,26,FALSE)/24)))</f>
        <v/>
      </c>
      <c r="P431" s="444" t="str">
        <f>IF(G431=0,0,IF(E431="","",IF(F431="","",IF($C$427=0,"",IF(D431="","",SUM(H431:K431)/G431*100)))))</f>
        <v/>
      </c>
      <c r="Q431" s="476" t="str">
        <f>IF(D431="","",(VLOOKUP(D431,'DB technologies'!$N$210:$Y$222,2,FALSE)*'DB additional information '!$S$6/100*'DB additional information '!$T$6*VLOOKUP($C$427,'DB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R431" s="476" t="str">
        <f>IF(D431="","",(VLOOKUP(D431,'DB technologies'!$N$210:$Y$222,3,FALSE)*'DB additional information '!$S$7/100*'DB additional information '!$T$7*VLOOKUP($C$427,'DB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S431" s="494" t="str">
        <f>IF(D431="","",(VLOOKUP(D431,'DB technologies'!$N$210:$Y$222,4,FALSE)*('DB additional information '!$S$8/100*'DB additional information '!$T$8*E431/1000/1000)))</f>
        <v/>
      </c>
      <c r="T431" s="266" t="str">
        <f>IF($C$427=0,"",IF('Calc (ex-animal)'!$F$83=1,"",IF(D431="","",((VLOOKUP($C$427,'Calc (ex-animal)'!$D$83:$Y$87,10,FALSE)-VLOOKUP($C$427,'Calc (ex-animal)'!$D$83:$Y$87,18,FALSE))*F431/100+Q431+R431+S431)-AC431-AD431-AE431)))</f>
        <v/>
      </c>
      <c r="U431" s="477" t="str">
        <f>IF(D431="","",(VLOOKUP(D431,'DB technologies'!$N$210:$Y$222,2,FALSE)*'DB additional information '!$S$6/100*'DB additional information '!$U$6*VLOOKUP($C$427,'DB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V431" s="433" t="str">
        <f>IF(D431="","",(VLOOKUP(D431,'DB technologies'!$N$210:$Y$222,3,FALSE)*'DB additional information '!$S$7/100*'DB additional information '!$U$7*VLOOKUP($C$427,'DB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W431" s="475" t="str">
        <f>IF(D431="","",(VLOOKUP(D431,'DB technologies'!$N$210:$Y$222,4,FALSE)*('DB additional information '!$S$8/100*'DB additional information '!$U$8*E431/1000/1000)))</f>
        <v/>
      </c>
      <c r="X431" s="267" t="str">
        <f>IF($C$427=0,"",IF('Calc (ex-animal)'!$F$83=1,"",IF(D431="","",((VLOOKUP($C$427,'Calc (ex-animal)'!$D$83:$Y$87,13,FALSE)-VLOOKUP($C$427,'Calc (ex-animal)'!$D$83:$Y$87,19,FALSE))*F431/100+U431+V431+W431))))</f>
        <v/>
      </c>
      <c r="Y431" s="433" t="str">
        <f>IF(D431="","",(VLOOKUP(D431,'DB technologies'!$N$210:$Y$222,2,FALSE)*'DB additional information '!$S$6/100*'DB additional information '!$V$6*VLOOKUP($C$427,'DB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Z431" s="433" t="str">
        <f>IF(D431="","",(VLOOKUP(D431,'DB technologies'!$N$210:$Y$222,3,FALSE)*'DB additional information '!$S$7/100*'DB additional information '!$V$7*VLOOKUP($C$427,'DB animal categories'!$C$157:$AC$166,27,FALSE)*E431/1000/1000)/VLOOKUP($C$427,'DB animal categories'!$C$157:$AC$166,27,FALSE)*(VLOOKUP($C$427,'DB animal categories'!$C$157:$AC$166,27,FALSE)-VLOOKUP($C$427,'DB animal categories'!$C$157:$AC$166,25,FALSE)*VLOOKUP($C$427,'DB animal categories'!$C$157:$AC$166,26,FALSE)/24))</f>
        <v/>
      </c>
      <c r="AA431" s="433" t="str">
        <f>IF(D431="","",(VLOOKUP(D431,'DB technologies'!$N$210:$Y$222,4,FALSE)*('DB additional information '!$S$8/100*'DB additional information '!$V$8*E431/1000/1000)))</f>
        <v/>
      </c>
      <c r="AB431" s="267" t="str">
        <f>IF($C$427=0,"",IF('Calc (ex-animal)'!$F$83=1,"",IF(D431="","",((VLOOKUP($C$427,'Calc (ex-animal)'!$D$83:$Y$87,16,FALSE)-VLOOKUP($C$427,'Calc (ex-animal)'!$D$83:$Y$87,20,FALSE))*F431/100+Y431+Z431+AA431))))</f>
        <v/>
      </c>
      <c r="AC431" s="267" t="str">
        <f>IF($C$427=0,"",IF('Calc (ex-animal)'!$F$83=1,"",IF(D431="","",VLOOKUP($C$427,'Calc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categories'!$C$157:$AC$166,26,FALSE)/24)*F431/100*VLOOKUP(D431,'DB technologies'!$N$210:$R$222,5,FALSE)/100)))</f>
        <v/>
      </c>
      <c r="AD431" s="267" t="str">
        <f>IF($C$427=0,"",IF('Calc (ex-animal)'!$F$83=1,"",IF(D431="","",VLOOKUP($C$427,'Calc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categories'!$C$157:$AC$166,26,FALSE)/24)*F431/100*VLOOKUP(D431,'DB technologies'!$N$210:$Y$222,6,FALSE)/100)))</f>
        <v/>
      </c>
      <c r="AE431" s="268" t="str">
        <f>IF($C$427=0,"",IF('Calc (ex-animal)'!$F$83=1,"",IF(D431="","",VLOOKUP($C$427,'Calc (ex-animal)'!$D$83:$Y$87,10,FALSE)/VLOOKUP($C$427,'DB animal categories'!$C$157:$AC$166,27,FALSE)*(VLOOKUP($C$427,'DB animal categories'!$C$157:$AC$166,27,FALSE)-VLOOKUP($C$427,'DB animal categories'!$C$157:$AC$166,25,FALSE)*VLOOKUP($C$427,'DB animal categories'!$C$157:$AC$166,26,FALSE)/24)*F431/100*VLOOKUP(D431,'DB technologies'!$N$210:$Y$222,7,FALSE)/100)))</f>
        <v/>
      </c>
      <c r="AI431" s="183" t="str">
        <f>IF(D431="","",VLOOKUP(D431,'DB technologies'!$N$210:$Y$222,10,FALSE))</f>
        <v/>
      </c>
      <c r="AJ431" s="451" t="e">
        <f>VLOOKUP($C$427,'DB animal categories'!$C$157:$AN$166,27,FALSE)-VLOOKUP($C$427,'DB animal categories'!$C$157:$AN$166,26,FALSE)*VLOOKUP($C$427,'DB animal categories'!$C$157:$AN$166,25,FALSE)/24</f>
        <v>#N/A</v>
      </c>
      <c r="AK431" s="452" t="str">
        <f>IF(AI431="","",AL431+AM431)</f>
        <v/>
      </c>
      <c r="AL431" s="452" t="str">
        <f>IF(D431="","",IF(AI431=2,(('Calc (ex-animal)'!$G$83*'DB additional information '!$K$18/100*(1-VLOOKUP(D431,'DB technologies'!$N$210:$Y$222,9,FALSE)/100)*'Calc (ex-housing, ex-storage)'!F431/100+'Calc (ex-animal)'!$H$83*'DB additional information '!$L$18/100*(1-VLOOKUP(D431,'DB technologies'!$N$210:$Y$222,9,FALSE)/100)*'Calc (ex-housing, ex-storage)'!F431/100))/VLOOKUP($C$427,'DB animal categories'!$C$157:$AC$166,27,FALSE)*AJ431+I431+J431+K431,IF(AI431=1,('Calc (ex-animal)'!$H$83*'DB additional information '!$L$18/100*(1-VLOOKUP(D431,'DB technologies'!$N$210:$Y$222,9,FALSE)/100)*'Calc (ex-housing, ex-storage)'!F431/100)/VLOOKUP($C$427,'DB animal categories'!$C$157:$AC$166,27,FALSE)*AJ431,IF(AI431=4,('Calc (ex-animal)'!$G$83*'DB additional information '!$K$18/100+'Calc (ex-animal)'!$H$83*'DB additional information '!$L$18/100)*(1-VLOOKUP(D431,'DB technologies'!$N$210:$Y$222,9,FALSE)/100)*'Calc (ex-housing, ex-storage)'!F431/100*VLOOKUP(D431,'DB technologies'!$N$210:$Y$222,11,FALSE)/100/VLOOKUP($C$427,'DB animal categories'!$C$157:$AC$166,27,FALSE)*AJ431,0))))</f>
        <v/>
      </c>
      <c r="AM431" s="452" t="str">
        <f>IF(D431="","",IF(AI431=2,(('Calc (ex-animal)'!$G$83*(1-'DB additional information '!$K$18/100)*(1-VLOOKUP(D431,'DB technologies'!$N$210:$Y$222,8,FALSE)/100)*'Calc (ex-housing, ex-storage)'!F431/100+'Calc (ex-animal)'!$H$83*(1-'DB additional information '!$L$18/100)*(1-VLOOKUP(D431,'DB technologies'!$N$210:$Y$222,8,FALSE)/100)*'Calc (ex-housing, ex-storage)'!F431/100))/VLOOKUP($C$427,'DB animal categories'!$C$157:$AC$166,27,FALSE)*AJ431+M431+N431+O431,IF(AI431=1,('Calc (ex-animal)'!$H$83*(1-'DB additional information '!$L$18/100)*(1-VLOOKUP(D431,'DB technologies'!$N$210:$Y$222,8,FALSE)/100)*'Calc (ex-housing, ex-storage)'!F431/100)/VLOOKUP($C$427,'DB animal categories'!$C$157:$AC$166,27,FALSE)*AJ431,IF(AI431=4,('Calc (ex-animal)'!$G$83*(1-'DB additional information '!$K$18/100)+'Calc (ex-animal)'!$H$83*(1-'DB additional information '!$L$18/100))*(1-VLOOKUP(D431,'DB technologies'!$N$210:$Y$222,8,FALSE)/100)*'Calc (ex-housing, ex-storage)'!F431/100*VLOOKUP(D431,'DB technologies'!$N$210:$Y$222,11,FALSE)/100/VLOOKUP($C$427,'DB animal categories'!$C$157:$AC$166,27,FALSE)*AJ431,0))))</f>
        <v/>
      </c>
      <c r="AN431" s="452" t="str">
        <f>IF(AI431="","",IF(AL431=0,0,AL431/AK431*100))</f>
        <v/>
      </c>
      <c r="AO431" s="184" t="str">
        <f>IF(D431="","",IF(AI431=2,(('Calc (ex-animal)'!$L$83*'Calc (ex-housing, ex-storage)'!F431/100+'Calc (ex-animal)'!$K$83*'Calc (ex-housing, ex-storage)'!F431/100))/VLOOKUP($C$427,'DB animal categories'!$C$157:$AC$166,27,FALSE)*AJ431+Q431+R431+S431-AC431,IF(AI431=1,('Calc (ex-animal)'!$L$83*'Calc (ex-housing, ex-storage)'!F431/100)/VLOOKUP($C$427,'DB animal categories'!$C$157:$AC$166,27,FALSE)*AJ431-'Calc (ex-housing, ex-storage)'!AC431,IF(AI431=4,('Calc (ex-animal)'!$L$83+'Calc (ex-animal)'!$K$83)*'Calc (ex-housing, ex-storage)'!F431/100*VLOOKUP(D431,'DB technologies'!$N$210:$Y$222,11,FALSE)/100/VLOOKUP($C$427,'DB animal categories'!$C$157:$AC$166,27,FALSE)*AJ431-AC431*VLOOKUP(D431,'DB technologies'!$N$210:$Y$222,11,FALSE)/100,0))))</f>
        <v/>
      </c>
      <c r="AP431" s="184" t="str">
        <f>IF(D431="","",IF(AO431&lt;-0.01,0,IF(AI431=2,(('Calc (ex-animal)'!$L$83*'Calc (ex-housing, ex-storage)'!F431/100+'Calc (ex-animal)'!$K$83*'Calc (ex-housing, ex-storage)'!F431/100))/VLOOKUP($C$427,'DB animal categories'!$C$157:$AC$166,27,FALSE)*AJ431+Q431+R431+S431-AC431,IF(AI431=1,('Calc (ex-animal)'!$L$83*'Calc (ex-housing, ex-storage)'!F431/100)/VLOOKUP($C$427,'DB animal categories'!$C$157:$AC$166,27,FALSE)*AJ431-'Calc (ex-housing, ex-storage)'!AC431,IF(AI431=4,('Calc (ex-animal)'!$L$83+'Calc (ex-animal)'!$K$83)*'Calc (ex-housing, ex-storage)'!F431/100*VLOOKUP(D431,'DB technologies'!$N$210:$Y$222,11,FALSE)/100/VLOOKUP($C$427,'DB animal categories'!$C$157:$AC$166,27,FALSE)*AJ431-AC431*VLOOKUP(D431,'DB technologies'!$N$210:$Y$222,11,FALSE)/100,0)))))</f>
        <v/>
      </c>
      <c r="AQ431" s="184" t="str">
        <f>IF(D431="","",IF(AI431=2,('Calc (ex-animal)'!$O$83*'Calc (ex-housing, ex-storage)'!F431/100+'Calc (ex-animal)'!$N$83*'Calc (ex-housing, ex-storage)'!F431/100)/VLOOKUP($C$427,'DB animal categories'!$C$157:$AC$166,27,FALSE)*AJ431+U431+V431+W431,IF(AI431=1,'Calc (ex-animal)'!$O$83*'Calc (ex-housing, ex-storage)'!F431/100/VLOOKUP($C$427,'DB animal categories'!$C$157:$AC$166,27,FALSE)*AJ431,IF(AI431=4,('Calc (ex-animal)'!$O$83+'Calc (ex-animal)'!$N$83)*'Calc (ex-housing, ex-storage)'!F431/100*VLOOKUP(D431,'DB technologies'!$N$210:$Y$222,11,FALSE)/100/VLOOKUP($C$427,'DB animal categories'!$C$157:$AC$166,27,FALSE)*AJ431,0))))</f>
        <v/>
      </c>
      <c r="AR431" s="184" t="str">
        <f>IF(D431="","",IF(AI431=2,('Calc (ex-animal)'!$R$83*'Calc (ex-housing, ex-storage)'!F431/100+'Calc (ex-animal)'!$Q$83*'Calc (ex-housing, ex-storage)'!F431/100)/VLOOKUP($C$427,'DB animal categories'!$C$157:$AC$166,27,FALSE)*AJ431+Y431+Z431+AA431,IF(AI431=1,'Calc (ex-animal)'!$R$83*'Calc (ex-housing, ex-storage)'!F431/100/VLOOKUP($C$427,'DB animal categories'!$C$157:$AC$166,27,FALSE)*AJ431,IF(AI431=4,('Calc (ex-animal)'!$R$83+'Calc (ex-animal)'!$Q$83)*'Calc (ex-housing, ex-storage)'!F431/100*VLOOKUP(D431,'DB technologies'!$N$210:$Y$222,11,FALSE)/100/VLOOKUP($C$427,'DB animal categories'!$C$157:$AC$166,27,FALSE)*AJ431,0))))</f>
        <v/>
      </c>
      <c r="AS431" s="183" t="str">
        <f>IF(D431="","",VLOOKUP(D431,'DB technologies'!$N$210:$Y$222,10,FALSE))</f>
        <v/>
      </c>
      <c r="AT431" s="452" t="str">
        <f>IF(AS431="","",AU431+AV431)</f>
        <v/>
      </c>
      <c r="AU431" s="452" t="str">
        <f>IF(D431="","",IF(AS431=2,0,IF(AS431=1,'Calc (ex-animal)'!$G$83*'DB additional information '!$K$18/100*(1-VLOOKUP(D431,'DB technologies'!$N$210:$Y$222,8,FALSE)/100)*'Calc (ex-housing, ex-storage)'!F431/100/VLOOKUP($C$427,'DB animal categories'!$C$157:$AC$166,27,FALSE)*AJ431+I431+J431+K431,IF(AS431=5,(('Calc (ex-animal)'!$G$83*'DB additional information '!$K$18/100+'Calc (ex-animal)'!$H$83*'DB additional information '!$L$18/100))*(1-VLOOKUP(D431,'DB technologies'!$N$210:$Y$222,9,FALSE)/100)*'Calc (ex-housing, ex-storage)'!F431/100/VLOOKUP($C$427,'DB animal categories'!$C$157:$AC$166,27,FALSE)*AJ431+I431+J431+K431,IF(AS431=3,('Calc (ex-animal)'!$G$83*'DB additional information '!$K$18/100+'Calc (ex-animal)'!$H$83*'DB additional information '!$L$18/100)*(1-VLOOKUP(D431,'DB technologies'!$N$210:$Y$222,9,FALSE)/100)*'Calc (ex-housing, ex-storage)'!F431/100/VLOOKUP($C$427,'DB animal categories'!$C$157:$AC$166,27,FALSE)*AJ431+I431+J431+K431,IF(AS431=4,('Calc (ex-animal)'!$G$83*'DB additional information '!$K$18/100+'Calc (ex-animal)'!$H$83*'DB additional information '!$L$18/100)*(1-VLOOKUP(D431,'DB technologies'!$N$210:$Y$222,9,FALSE)/100)*'Calc (ex-housing, ex-storage)'!F431/100*VLOOKUP(D431,'DB technologies'!$N$210:$Y$222,12,FALSE)/100/VLOOKUP($C$427,'DB animal categories'!$C$157:$AC$166,27,FALSE)*AJ431+I431+J431+K431,0))))))</f>
        <v/>
      </c>
      <c r="AV431" s="452" t="str">
        <f>IF(D431="","",IF(AS431=2,0,IF(AS431=1,'Calc (ex-animal)'!$G$83*(1-'DB additional information '!$K$18/100)*(1-VLOOKUP(D431,'DB technologies'!$N$210:$Y$222,8,FALSE)/100)*'Calc (ex-housing, ex-storage)'!F431/100/VLOOKUP($C$427,'DB animal categories'!$C$157:$AC$166,27,FALSE)*AJ431+M431+N431+O431,IF(AS431=5,('Calc (ex-animal)'!$G$83*(1-'DB additional information '!$K$18/100)+'Calc (ex-animal)'!$H$83*(1-'DB additional information '!$L$18/100))*(1-VLOOKUP(D431,'DB technologies'!$N$210:$Y$222,8,FALSE)/100)*'Calc (ex-housing, ex-storage)'!F431/100/VLOOKUP($C$427,'DB animal categories'!$C$157:$AC$166,27,FALSE)*AJ431+M431+N431+O431,IF(AS431=3,('Calc (ex-animal)'!$G$83*(1-'DB additional information '!$K$18/100)+'Calc (ex-animal)'!$H$83*(1-'DB additional information '!$L$18/100))*(1-VLOOKUP(D431,'DB technologies'!$N$210:$Y$222,8,FALSE)/100)*'Calc (ex-housing, ex-storage)'!F431/100/VLOOKUP($C$427,'DB animal categories'!$C$157:$AC$166,27,FALSE)*AJ431+M431+N431+O431,IF(AS431=4,('Calc (ex-animal)'!$G$83*(1-'DB additional information '!$K$18/100)+'Calc (ex-animal)'!$H$83*(1-'DB additional information '!$L$18/100))*(1-VLOOKUP(D431,'DB technologies'!$N$210:$Y$222,8,FALSE)/100)*'Calc (ex-housing, ex-storage)'!F431/100*VLOOKUP(D431,'DB technologies'!$N$210:$Y$222,12,FALSE)/100/VLOOKUP($C$427,'DB animal categories'!$C$157:$AC$166,27,FALSE)*AJ431+M431+N431+O431,0))))))</f>
        <v/>
      </c>
      <c r="AW431" s="452" t="str">
        <f>IF(AS431="","",IF(AU431=0,0,AU431/AT431*100))</f>
        <v/>
      </c>
      <c r="AX431" s="184" t="str">
        <f>IF(D431="","",IF(AS431=2,0,IF(AS431=1,'Calc (ex-animal)'!$K$83*'Calc (ex-housing, ex-storage)'!F431/100/VLOOKUP($C$427,'DB animal categories'!$C$157:$AC$166,27,FALSE)*AJ431+Q431+R431+S431,IF(AS431=5,('Calc (ex-animal)'!$K$83+'Calc (ex-animal)'!$L$83)*'Calc (ex-housing, ex-storage)'!F431/100/VLOOKUP($C$427,'DB animal categories'!$C$157:$AC$166,27,FALSE)*AJ431+Q431+R431+S431-'Calc (ex-housing, ex-storage)'!AC431,IF(AS431=3,('Calc (ex-animal)'!$K$83+'Calc (ex-animal)'!$L$83)*'Calc (ex-housing, ex-storage)'!F431/100/VLOOKUP($C$427,'DB animal categories'!$C$157:$AC$166,27,FALSE)*AJ431+Q431+R431+S431-'Calc (ex-housing, ex-storage)'!AC431-AD431-AE431,IF(AI431=4,('Calc (ex-animal)'!$K$83+'Calc (ex-animal)'!$L$83)*'Calc (ex-housing, ex-storage)'!F431/100*VLOOKUP(D431,'DB technologies'!$N$210:$Y$222,12,FALSE)/100/VLOOKUP($C$427,'DB animal categories'!$C$157:$AC$166,27,FALSE)*AJ431+Q431+R431+S431-(VLOOKUP(D431,'DB technologies'!$N$210:$Y$222,12,FALSE)/100*AC431)-AD431-AE431,0))))))</f>
        <v/>
      </c>
      <c r="AY431" s="184" t="str">
        <f>IF(D431="","",IF(AS431=2,0,IF(AS431=1,'Calc (ex-animal)'!$N$83*'Calc (ex-housing, ex-storage)'!F431/100/VLOOKUP($C$427,'DB animal categories'!$C$157:$AC$166,27,FALSE)*AJ431+U431+V431+W431,IF(AS431=5,('Calc (ex-animal)'!$N$83+'Calc (ex-animal)'!$O$83)*'Calc (ex-housing, ex-storage)'!F431/100/VLOOKUP($C$427,'DB animal categories'!$C$157:$AC$166,27,FALSE)*AJ431+U431+V431+W431,IF(AS431=3,('Calc (ex-animal)'!$N$83+'Calc (ex-animal)'!$O$83)*'Calc (ex-housing, ex-storage)'!F431/100/VLOOKUP($C$427,'DB animal categories'!$C$157:$AC$166,27,FALSE)*AJ431+U431+V431+W431,IF(AS431=4,('Calc (ex-animal)'!$N$83+'Calc (ex-animal)'!$O$83)*'Calc (ex-housing, ex-storage)'!F431/100*VLOOKUP(D431,'DB technologies'!$N$210:$Y$222,12,FALSE)/100/VLOOKUP($C$427,'DB animal categories'!$C$157:$AC$166,27,FALSE)*AJ431+U431+V431+W431,0))))))</f>
        <v/>
      </c>
      <c r="AZ431" s="184" t="str">
        <f>IF(D431="","",IF(AS431=2,0,IF(AS431=1,'Calc (ex-animal)'!$Q$83*'Calc (ex-housing, ex-storage)'!F431/100/VLOOKUP($C$427,'DB animal categories'!$C$157:$AC$166,27,FALSE)*AJ431+Y431+Z431+AA431,IF(AS431=5,('Calc (ex-animal)'!$Q$83+'Calc (ex-animal)'!$R$83)*'Calc (ex-housing, ex-storage)'!F431/100/VLOOKUP($C$427,'DB animal categories'!$C$157:$AC$166,27,FALSE)*AJ431+Y431+Z431+AA431,IF(AS431=3,('Calc (ex-animal)'!$Q$83+'Calc (ex-animal)'!$R$83)*'Calc (ex-housing, ex-storage)'!F431/100/VLOOKUP($C$427,'DB animal categories'!$C$157:$AC$166,27,FALSE)*AJ431+Y431+Z431+AA431,IF(AS431=4,('Calc (ex-animal)'!$Q$83+'Calc (ex-animal)'!$R$83)*'Calc (ex-housing, ex-storage)'!F431/100*VLOOKUP(D431,'DB technologies'!$N$210:$Y$222,12,FALSE)/100/VLOOKUP($C$427,'DB animal categories'!$C$157:$AC$166,27,FALSE)*AJ431+Y431+Z431+AA431,0))))))</f>
        <v/>
      </c>
      <c r="BA431" s="506"/>
      <c r="BB431" s="506"/>
      <c r="BC431" s="506"/>
    </row>
    <row r="432" spans="1:55" ht="12" thickBot="1" x14ac:dyDescent="0.25">
      <c r="A432" s="695"/>
      <c r="B432" s="695"/>
      <c r="C432" s="252"/>
      <c r="D432" s="269" t="s">
        <v>58</v>
      </c>
      <c r="E432" s="270">
        <f>IF('Calc (ex-animal)'!F83=1,'Calc (ex-animal)'!E83,IF(F432&lt;=100,SUM(E427:E431),"ERROR"))</f>
        <v>0</v>
      </c>
      <c r="F432" s="284">
        <f>IF('Calc (ex-animal)'!F83=1,100,IF(SUM(F427:F431) &lt;=100,SUM(F427:F431),"ERROR, SUM&gt;100%"))</f>
        <v>0</v>
      </c>
      <c r="G432" s="550">
        <f>IF('Calc (ex-animal)'!$F$83=1,"",SUM(G427:G431))</f>
        <v>0</v>
      </c>
      <c r="H432" s="418">
        <f>IF('Calc (ex-animal)'!$F$8=1,"",SUM(H427:H431))</f>
        <v>0</v>
      </c>
      <c r="I432" s="418">
        <f>IF('Calc (ex-animal)'!$F$8=1,"",SUM(I427:I431))</f>
        <v>0</v>
      </c>
      <c r="J432" s="418">
        <f>IF('Calc (ex-animal)'!$F$8=1,"",SUM(J427:J431))</f>
        <v>0</v>
      </c>
      <c r="K432" s="418">
        <f>IF('Calc (ex-animal)'!$F$8=1,"",SUM(K427:K431))</f>
        <v>0</v>
      </c>
      <c r="L432" s="418">
        <f>IF('Calc (ex-animal)'!$F$8=1,"",SUM(L427:L431))</f>
        <v>0</v>
      </c>
      <c r="M432" s="551"/>
      <c r="N432" s="551"/>
      <c r="O432" s="551"/>
      <c r="P432" s="552">
        <f>IF(G432=0,0,IF('Calc (ex-animal)'!$F$83=1,"",IF(D432="","",SUM(H432:K432)/G432*100)))</f>
        <v>0</v>
      </c>
      <c r="Q432" s="394"/>
      <c r="R432" s="394"/>
      <c r="S432" s="394"/>
      <c r="T432" s="285">
        <f>IF('Calc (ex-animal)'!$F$83=1,"",SUM(T427:T431))</f>
        <v>0</v>
      </c>
      <c r="U432" s="286"/>
      <c r="V432" s="286"/>
      <c r="W432" s="286"/>
      <c r="X432" s="286">
        <f>IF('Calc (ex-animal)'!$F$83=1,"",SUM(X427:X431))</f>
        <v>0</v>
      </c>
      <c r="Y432" s="286"/>
      <c r="Z432" s="286"/>
      <c r="AA432" s="286"/>
      <c r="AB432" s="286">
        <f>IF('Calc (ex-animal)'!$F$83=1,"",SUM(AB427:AB431))</f>
        <v>0</v>
      </c>
      <c r="AC432" s="286">
        <f>IF('Calc (ex-animal)'!$F$83=1,"",SUM(AC427:AC431))</f>
        <v>0</v>
      </c>
      <c r="AD432" s="286">
        <f>IF('Calc (ex-animal)'!$F$83=1,"",SUM(AD427:AD431))</f>
        <v>0</v>
      </c>
      <c r="AE432" s="287">
        <f>IF('Calc (ex-animal)'!$F$83=1,"",SUM(AE427:AE431))</f>
        <v>0</v>
      </c>
    </row>
    <row r="433" spans="1:55" x14ac:dyDescent="0.2">
      <c r="A433" s="695"/>
      <c r="B433" s="695"/>
      <c r="C433" s="250">
        <f>'Calc (ex-animal)'!D84</f>
        <v>0</v>
      </c>
      <c r="D433" s="1355"/>
      <c r="E433" s="1356"/>
      <c r="F433" s="479" t="str">
        <f>IF('Calc (ex-animal)'!$F$83=1,"",IF($C$433=0,"",IF(D433="","",E433/'Calc (ex-animal)'!$E$84*100)))</f>
        <v/>
      </c>
      <c r="G433" s="484" t="str">
        <f>IF($C$433=0,"",IF('Calc (ex-animal)'!$F$83=1,"",IF(D433="","",SUM(H433:O433))))</f>
        <v/>
      </c>
      <c r="H433" s="471" t="str">
        <f>IF('Calc (ex-animal)'!$F$83=1,"",IF(D433="","",(((VLOOKUP($C$433,'Calc (ex-animal)'!$D$83:$Y$87,6,FALSE)-VLOOKUP($C$433,'Calc (ex-animal)'!$D$83:$Y$87,17,FALSE))*F433/100))*VLOOKUP($C$433,'Calc (ex-animal)'!$D$83:$Y$87,7,FALSE)/100*(1-VLOOKUP(D433,'DB technologies'!$N$210:$Y$222,9,FALSE)/100)))</f>
        <v/>
      </c>
      <c r="I433" s="471" t="str">
        <f>IF(D433="","",((VLOOKUP(D433,'DB technologies'!$N$210:$Y$222,2,FALSE)*VLOOKUP($C$433,'DB animal categories'!$C$157:$AC$166,27,FALSE)*E433/1000)/VLOOKUP($C$433,'DB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'!$S$6/100*(1-VLOOKUP(D433,'DB technologies'!$N$210:$Y$222,9,FALSE)/100)))</f>
        <v/>
      </c>
      <c r="J433" s="472" t="str">
        <f>IF(D433="","",((VLOOKUP(D433,'DB technologies'!$N$210:$Y$222,3,FALSE)*VLOOKUP($C$433,'DB animal categories'!$C$157:$AC$166,27,FALSE)*E433/1000)/VLOOKUP($C$433,'DB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'!$S$7/100*(1-VLOOKUP(D433,'DB technologies'!$N$210:$Y$222,9,FALSE)/100)))</f>
        <v/>
      </c>
      <c r="K433" s="472" t="str">
        <f>IF(D433="","",((VLOOKUP(D433,'DB technologies'!$N$210:$Y$222,4,FALSE)*E433*'DB additional information '!$S$8/100*(1-VLOOKUP(D433,'DB technologies'!$N$210:$Y$222,9,FALSE)/100))/VLOOKUP($C$433,'DB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L433" s="471" t="str">
        <f>IF('Calc (ex-animal)'!$F$83=1,"",IF(D433="","",(((VLOOKUP($C$433,'Calc (ex-animal)'!$D$83:$Y$87,6,FALSE)-VLOOKUP($C$433,'Calc (ex-animal)'!$D$83:$Y$87,17,FALSE))*F433/100))*(1-VLOOKUP($C$433,'Calc (ex-animal)'!$D$83:$Y$87,7,FALSE)/100)*(1-VLOOKUP(D433,'DB technologies'!$N$210:$V$222,8,FALSE)/100)))</f>
        <v/>
      </c>
      <c r="M433" s="472" t="str">
        <f>IF(D433="","",((VLOOKUP(D433,'DB technologies'!$N$210:$Y$222,2,FALSE)*VLOOKUP($C$433,'DB animal categories'!$C$157:$AC$166,27,FALSE)*E433/1000)/VLOOKUP($C$433,'DB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'!$S$6/100)*(1-VLOOKUP(D433,'DB technologies'!$N$210:$Y$222,9,FALSE)/100))</f>
        <v/>
      </c>
      <c r="N433" s="472" t="str">
        <f>IF(D433="","",((VLOOKUP(D433,'DB technologies'!$N$210:$Y$222,3,FALSE)*VLOOKUP($C$433,'DB animal categories'!$C$157:$AC$166,27,FALSE)*E433/1000)/VLOOKUP($C$433,'DB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'!$S$7/100)*(1-VLOOKUP(D433,'DB technologies'!$N$210:$Y$222,9,FALSE)/100))</f>
        <v/>
      </c>
      <c r="O433" s="471" t="str">
        <f>IF(D433="","",((VLOOKUP(D433,'DB technologies'!$N$210:$Y$222,4,FALSE)*E433*(1-'DB additional information '!$S$8/100)*(1-VLOOKUP(D433,'DB technologies'!$N$210:$Y$222,8,FALSE)/100))/VLOOKUP($C$433,'DB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P433" s="443" t="str">
        <f>IF(G433=0,0,IF(E433="","",IF(F433="","",IF($C$433=0,"",IF(D433="","",SUM(H433:K433)/G433*100)))))</f>
        <v/>
      </c>
      <c r="Q433" s="473" t="str">
        <f>IF(D433="","",(VLOOKUP(D433,'DB technologies'!$N$210:$Y$222,2,FALSE)*'DB additional information '!$S$6/100*'DB additional information '!$T$6*VLOOKUP($C$433,'DB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R433" s="473" t="str">
        <f>IF(D433="","",(VLOOKUP(D433,'DB technologies'!$N$210:$Y$222,3,FALSE)*'DB additional information '!$S$7/100*'DB additional information '!$T$7*VLOOKUP($C$433,'DB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S433" s="490" t="str">
        <f>IF(D433="","",(VLOOKUP(D433,'DB technologies'!$N$210:$Y$222,4,FALSE)*('DB additional information '!$S$8/100*'DB additional information '!$T$8*E433/1000/1000)))</f>
        <v/>
      </c>
      <c r="T433" s="263" t="str">
        <f>IF($C$433=0,"",IF('Calc (ex-animal)'!$F$83=1,"",IF(D433="","",((VLOOKUP($C$433,'Calc (ex-animal)'!$D$83:$Y$87,10,FALSE)-VLOOKUP($C$433,'Calc (ex-animal)'!$D$83:$Y$87,18,FALSE))*F433/100+Q433+R433+S433)-AC433-AD433-AE433)))</f>
        <v/>
      </c>
      <c r="U433" s="474" t="str">
        <f>IF(D433="","",(VLOOKUP(D433,'DB technologies'!$N$210:$Y$222,2,FALSE)*'DB additional information '!$S$6/100*'DB additional information '!$U$6*VLOOKUP($C$433,'DB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V433" s="420" t="str">
        <f>IF(D433="","",(VLOOKUP(D433,'DB technologies'!$N$210:$Y$222,3,FALSE)*'DB additional information '!$S$7/100*'DB additional information '!$U$7*VLOOKUP($C$433,'DB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W433" s="415" t="str">
        <f>IF(D433="","",(VLOOKUP(D433,'DB technologies'!$N$210:$Y$222,4,FALSE)*('DB additional information '!$S$8/100*'DB additional information '!$U$8*E433/1000/1000)))</f>
        <v/>
      </c>
      <c r="X433" s="259" t="str">
        <f>IF($C$433=0,"",IF('Calc (ex-animal)'!$F$83=1,"",IF(D433="","",((VLOOKUP($C$433,'Calc (ex-animal)'!$D$83:$Y$87,13,FALSE)-VLOOKUP($C$433,'Calc (ex-animal)'!$D$83:$Y$87,19,FALSE))*F433/100+U433+V433+W433))))</f>
        <v/>
      </c>
      <c r="Y433" s="420" t="str">
        <f>IF(D433="","",(VLOOKUP(D433,'DB technologies'!$N$210:$Y$222,2,FALSE)*'DB additional information '!$S$6/100*'DB additional information '!$V$6*VLOOKUP($C$433,'DB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Z433" s="420" t="str">
        <f>IF(D433="","",(VLOOKUP(D433,'DB technologies'!$N$210:$Y$222,3,FALSE)*'DB additional information '!$S$7/100*'DB additional information '!$V$7*VLOOKUP($C$433,'DB animal categories'!$C$157:$AC$166,27,FALSE)*E433/1000/1000)/VLOOKUP($C$433,'DB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AA433" s="420" t="str">
        <f>IF(D433="","",(VLOOKUP(D433,'DB technologies'!$N$210:$Y$222,4,FALSE)*('DB additional information '!$S$8/100*'DB additional information '!$V$8*E433/1000/1000)))</f>
        <v/>
      </c>
      <c r="AB433" s="259" t="str">
        <f>IF($C$433=0,"",IF('Calc (ex-animal)'!$F$83=1,"",IF(D433="","",((VLOOKUP($C$433,'Calc (ex-animal)'!$D$83:$Y$87,16,FALSE)-VLOOKUP($C$433,'Calc (ex-animal)'!$D$83:$Y$87,20,FALSE))*F433/100+Y433+Z433+AA433))))</f>
        <v/>
      </c>
      <c r="AC433" s="259" t="str">
        <f>IF($C$433=0,"",IF('Calc (ex-animal)'!$F$83=1,"",IF(D433="","",VLOOKUP($C$433,'Calc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categories'!$C$157:$AC$166,26,FALSE)/24)*F433/100*VLOOKUP(D433,'DB technologies'!$N$210:$R$222,5,FALSE)/100)))</f>
        <v/>
      </c>
      <c r="AD433" s="259" t="str">
        <f>IF($C$433=0,"",IF('Calc (ex-animal)'!$F$83=1,"",IF(D433="","",VLOOKUP($C$433,'Calc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categories'!$C$157:$AC$166,26,FALSE)/24)*F433/100*VLOOKUP(D433,'DB technologies'!$N$210:$Y$222,6,FALSE)/100)))</f>
        <v/>
      </c>
      <c r="AE433" s="260" t="str">
        <f>IF($C$433=0,"",IF('Calc (ex-animal)'!$F$83=1,"",IF(D433="","",VLOOKUP($C$433,'Calc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categories'!$C$157:$AC$166,26,FALSE)/24)*F433/100*VLOOKUP(D433,'DB technologies'!$N$210:$Y$222,7,FALSE)/100)))</f>
        <v/>
      </c>
      <c r="AI433" s="179" t="str">
        <f>IF(D433="","",VLOOKUP(D433,'DB technologies'!$N$210:$Y$222,10,FALSE))</f>
        <v/>
      </c>
      <c r="AJ433" s="482" t="e">
        <f>VLOOKUP($C$433,'DB animal categories'!$C$157:$AN$166,27,FALSE)-VLOOKUP($C$433,'DB animal categories'!$C$157:$AN$166,26,FALSE)*VLOOKUP($C$433,'DB animal categories'!$C$157:$AN$166,25,FALSE)/24</f>
        <v>#N/A</v>
      </c>
      <c r="AK433" s="453" t="str">
        <f>IF(AI433="","",AL433+AM433)</f>
        <v/>
      </c>
      <c r="AL433" s="453" t="str">
        <f>IF(D433="","",IF(AI433=2,(('Calc (ex-animal)'!$G$84*'DB additional information '!$K$18/100*(1-VLOOKUP(D433,'DB technologies'!$N$210:$Y$222,9,FALSE)/100)*'Calc (ex-housing, ex-storage)'!F433/100+'Calc (ex-animal)'!$H$84*'DB additional information '!$L$18/100*(1-VLOOKUP(D433,'DB technologies'!$N$210:$Y$222,9,FALSE)/100)*'Calc (ex-housing, ex-storage)'!F433/100))/VLOOKUP($C$433,'DB animal categories'!$C$157:$AC$166,27,FALSE)*AJ433+I433+J433+K433,IF(AI433=1,('Calc (ex-animal)'!$H$84*'DB additional information '!$L$18/100*(1-VLOOKUP(D433,'DB technologies'!$N$210:$Y$222,9,FALSE)/100)*'Calc (ex-housing, ex-storage)'!F433/100)/VLOOKUP($C$433,'DB animal categories'!$C$157:$AC$166,27,FALSE)*AJ433,IF(AI433=4,('Calc (ex-animal)'!$G$84*'DB additional information '!$K$18/100+'Calc (ex-animal)'!$H$84*'DB additional information '!$L$18/100)*(1-VLOOKUP(D433,'DB technologies'!$N$210:$Y$222,9,FALSE)/100)*'Calc (ex-housing, ex-storage)'!F433/100*VLOOKUP(D433,'DB technologies'!$N$210:$Y$222,11,FALSE)/100/VLOOKUP($C$433,'DB animal categories'!$C$157:$AC$166,27,FALSE)*AJ433,0))))</f>
        <v/>
      </c>
      <c r="AM433" s="453" t="str">
        <f>IF(D433="","",IF(AI433=2,(('Calc (ex-animal)'!$G$84*(1-'DB additional information '!$K$18/100)*(1-VLOOKUP(D433,'DB technologies'!$N$210:$Y$222,8,FALSE)/100)*'Calc (ex-housing, ex-storage)'!F433/100+'Calc (ex-animal)'!$H$84*(1-'DB additional information '!$L$18/100)*(1-VLOOKUP(D433,'DB technologies'!$N$210:$Y$222,8,FALSE)/100)*'Calc (ex-housing, ex-storage)'!F433/100))/VLOOKUP($C$433,'DB animal categories'!$C$157:$AC$166,27,FALSE)*AJ433+M433+N433+O433,IF(AI433=1,('Calc (ex-animal)'!$H$84*(1-'DB additional information '!$L$18/100)*(1-VLOOKUP(D433,'DB technologies'!$N$210:$Y$222,8,FALSE)/100)*'Calc (ex-housing, ex-storage)'!F433/100)/VLOOKUP($C$433,'DB animal categories'!$C$157:$AC$166,27,FALSE)*AJ433,IF(AI433=4,('Calc (ex-animal)'!$G$84*(1-'DB additional information '!$K$18/100)+'Calc (ex-animal)'!$H$84*(1-'DB additional information '!$L$18/100))*(1-VLOOKUP(D433,'DB technologies'!$N$210:$Y$222,8,FALSE)/100)*'Calc (ex-housing, ex-storage)'!F433/100*VLOOKUP(D433,'DB technologies'!$N$210:$Y$222,11,FALSE)/100/VLOOKUP($C$433,'DB animal categories'!$C$157:$AC$166,27,FALSE)*AJ433,0))))</f>
        <v/>
      </c>
      <c r="AN433" s="453" t="str">
        <f>IF(AI433="","",IF(AL433=0,0,AL433/AK433*100))</f>
        <v/>
      </c>
      <c r="AO433" s="180" t="str">
        <f>IF(D433="","",IF(AI433=2,(('Calc (ex-animal)'!$L$84*'Calc (ex-housing, ex-storage)'!F433/100+'Calc (ex-animal)'!$K$84*'Calc (ex-housing, ex-storage)'!F433/100))/VLOOKUP($C$433,'DB animal categories'!$C$157:$AC$166,27,FALSE)*AJ433+Q433+R433+S433-AC433,IF(AI433=1,('Calc (ex-animal)'!$L$84*'Calc (ex-housing, ex-storage)'!F433/100)/VLOOKUP($C$433,'DB animal categories'!$C$157:$AC$166,27,FALSE)*AJ433-'Calc (ex-housing, ex-storage)'!AC433,IF(AI433=4,('Calc (ex-animal)'!$L$84+'Calc (ex-animal)'!$K$84)*'Calc (ex-housing, ex-storage)'!F433/100*VLOOKUP(D433,'DB technologies'!$N$210:$Y$222,11,FALSE)/100/VLOOKUP($C$433,'DB animal categories'!$C$157:$AC$166,27,FALSE)*AJ433-AC433*VLOOKUP(D433,'DB technologies'!$N$210:$Y$222,11,FALSE)/100,0))))</f>
        <v/>
      </c>
      <c r="AP433" s="180" t="str">
        <f>IF(D433="","",IF(AO433&lt;-0.01,0,IF(AI433=2,(('Calc (ex-animal)'!$L$84*'Calc (ex-housing, ex-storage)'!F433/100+'Calc (ex-animal)'!$K$84*'Calc (ex-housing, ex-storage)'!F433/100))/VLOOKUP($C$433,'DB animal categories'!$C$157:$AC$166,27,FALSE)*AJ433+Q433+R433+S433-AC433,IF(AI433=1,('Calc (ex-animal)'!$L$84*'Calc (ex-housing, ex-storage)'!F433/100)/VLOOKUP($C$433,'DB animal categories'!$C$157:$AC$166,27,FALSE)*AJ433-'Calc (ex-housing, ex-storage)'!AC433,IF(AI433=4,('Calc (ex-animal)'!$L$84+'Calc (ex-animal)'!$K$84)*'Calc (ex-housing, ex-storage)'!F433/100*VLOOKUP(D433,'DB technologies'!$N$210:$Y$222,11,FALSE)/100/VLOOKUP($C$433,'DB animal categories'!$C$157:$AC$166,27,FALSE)*AJ433-AC433*VLOOKUP(D433,'DB technologies'!$N$210:$Y$222,11,FALSE)/100,0)))))</f>
        <v/>
      </c>
      <c r="AQ433" s="180" t="str">
        <f>IF(D433="","",IF(AI433=2,('Calc (ex-animal)'!$O$84*'Calc (ex-housing, ex-storage)'!F433/100+'Calc (ex-animal)'!$N$84*'Calc (ex-housing, ex-storage)'!F433/100)/VLOOKUP($C$433,'DB animal categories'!$C$157:$AC$166,27,FALSE)*AJ433+U433+V433+W433,IF(AI433=1,'Calc (ex-animal)'!$O$84*'Calc (ex-housing, ex-storage)'!F433/100/VLOOKUP($C$433,'DB animal categories'!$C$157:$AC$166,27,FALSE)*AJ433,IF(AI433=4,('Calc (ex-animal)'!$O$84+'Calc (ex-animal)'!$N$84)*'Calc (ex-housing, ex-storage)'!F433/100*VLOOKUP(D433,'DB technologies'!$N$210:$Y$222,11,FALSE)/100/VLOOKUP($C$433,'DB animal categories'!$C$157:$AC$166,27,FALSE)*AJ433,0))))</f>
        <v/>
      </c>
      <c r="AR433" s="180" t="str">
        <f>IF(D433="","",IF(AI433=2,('Calc (ex-animal)'!$R$84*'Calc (ex-housing, ex-storage)'!F433/100+'Calc (ex-animal)'!$Q$84*'Calc (ex-housing, ex-storage)'!F433/100)/VLOOKUP($C$433,'DB animal categories'!$C$157:$AC$166,27,FALSE)*AJ433+Y433+Z433+AA433,IF(AI433=1,'Calc (ex-animal)'!$R$84*'Calc (ex-housing, ex-storage)'!F433/100/VLOOKUP($C$433,'DB animal categories'!$C$157:$AC$166,27,FALSE)*AJ433,IF(AI433=4,('Calc (ex-animal)'!$R$84+'Calc (ex-animal)'!$Q$84)*'Calc (ex-housing, ex-storage)'!F433/100*VLOOKUP(D433,'DB technologies'!$N$210:$Y$222,11,FALSE)/100/VLOOKUP($C$433,'DB animal categories'!$C$157:$AC$166,27,FALSE)*AJ433,0))))</f>
        <v/>
      </c>
      <c r="AS433" s="179" t="str">
        <f>IF(D433="","",VLOOKUP(D433,'DB technologies'!$N$210:$Y$222,10,FALSE))</f>
        <v/>
      </c>
      <c r="AT433" s="453" t="str">
        <f>IF(AS433="","",AU433+AV433)</f>
        <v/>
      </c>
      <c r="AU433" s="453" t="str">
        <f>IF(D433="","",IF(AS433=2,0,IF(AS433=1,'Calc (ex-animal)'!$G$84*'DB additional information '!$K$18/100*(1-VLOOKUP(D433,'DB technologies'!$N$210:$Y$222,8,FALSE)/100)*'Calc (ex-housing, ex-storage)'!F433/100/VLOOKUP($C$433,'DB animal categories'!$C$157:$AC$166,27,FALSE)*AJ433+I433+J433+K433,IF(AS433=5,(('Calc (ex-animal)'!$G$84*'DB additional information '!$K$18/100+'Calc (ex-animal)'!$H$84*'DB additional information '!$L$18/100))*(1-VLOOKUP(D433,'DB technologies'!$N$210:$Y$222,9,FALSE)/100)*'Calc (ex-housing, ex-storage)'!F433/100/VLOOKUP($C$433,'DB animal categories'!$C$157:$AC$166,27,FALSE)*AJ433+I433+J433+K433,IF(AS433=3,('Calc (ex-animal)'!$G$84*'DB additional information '!$K$18/100+'Calc (ex-animal)'!$H$84*'DB additional information '!$L$18/100)*(1-VLOOKUP(D433,'DB technologies'!$N$210:$Y$222,9,FALSE)/100)*'Calc (ex-housing, ex-storage)'!F433/100/VLOOKUP($C$433,'DB animal categories'!$C$157:$AC$166,27,FALSE)*AJ433+I433+J433+K433,IF(AS433=4,('Calc (ex-animal)'!$G$84*'DB additional information '!$K$18/100+'Calc (ex-animal)'!$H$84*'DB additional information '!$L$18/100)*(1-VLOOKUP(D433,'DB technologies'!$N$210:$Y$222,9,FALSE)/100)*'Calc (ex-housing, ex-storage)'!F433/100*VLOOKUP(D433,'DB technologies'!$N$210:$Y$222,12,FALSE)/100/VLOOKUP($C$433,'DB animal categories'!$C$157:$AC$166,27,FALSE)*AJ433+I433+J433+K433,0))))))</f>
        <v/>
      </c>
      <c r="AV433" s="453" t="str">
        <f>IF(D433="","",IF(AS433=2,0,IF(AS433=1,'Calc (ex-animal)'!$G$84*(1-'DB additional information '!$K$18/100)*(1-VLOOKUP(D433,'DB technologies'!$N$210:$Y$222,8,FALSE)/100)*'Calc (ex-housing, ex-storage)'!F433/100/VLOOKUP($C$433,'DB animal categories'!$C$157:$AC$166,27,FALSE)*AJ433+M433+N433+O433,IF(AS433=5,('Calc (ex-animal)'!$G$84*(1-'DB additional information '!$K$18/100)+'Calc (ex-animal)'!$H$84*(1-'DB additional information '!$L$18/100))*(1-VLOOKUP(D433,'DB technologies'!$N$210:$Y$222,8,FALSE)/100)*'Calc (ex-housing, ex-storage)'!F433/100/VLOOKUP($C$433,'DB animal categories'!$C$157:$AC$166,27,FALSE)*AJ433+M433+N433+O433,IF(AS433=3,('Calc (ex-animal)'!$G$84*(1-'DB additional information '!$K$18/100)+'Calc (ex-animal)'!$H$84*(1-'DB additional information '!$L$18/100))*(1-VLOOKUP(D433,'DB technologies'!$N$210:$Y$222,8,FALSE)/100)*'Calc (ex-housing, ex-storage)'!F433/100/VLOOKUP($C$433,'DB animal categories'!$C$157:$AC$166,27,FALSE)*AJ433+M433+N433+O433,IF(AS433=4,('Calc (ex-animal)'!$G$84*(1-'DB additional information '!$K$18/100)+'Calc (ex-animal)'!$H$84*(1-'DB additional information '!$L$18/100))*(1-VLOOKUP(D433,'DB technologies'!$N$210:$Y$222,8,FALSE)/100)*'Calc (ex-housing, ex-storage)'!F433/100*VLOOKUP(D433,'DB technologies'!$N$210:$Y$222,12,FALSE)/100/VLOOKUP($C$433,'DB animal categories'!$C$157:$AC$166,27,FALSE)*AJ433+M433+N433+O433,0))))))</f>
        <v/>
      </c>
      <c r="AW433" s="453" t="str">
        <f>IF(AS433="","",IF(AU433=0,0,AU433/AT433*100))</f>
        <v/>
      </c>
      <c r="AX433" s="180" t="str">
        <f>IF(D433="","",IF(AS433=2,0,IF(AS433=1,'Calc (ex-animal)'!$K$84*'Calc (ex-housing, ex-storage)'!F433/100/VLOOKUP($C$433,'DB animal categories'!$C$157:$AC$166,27,FALSE)*AJ433+Q433+R433+S433,IF(AS433=5,('Calc (ex-animal)'!$K$84+'Calc (ex-animal)'!$L$84)*'Calc (ex-housing, ex-storage)'!F433/100/VLOOKUP($C$433,'DB animal categories'!$C$157:$AC$166,27,FALSE)*AJ433+Q433+R433+S433-'Calc (ex-housing, ex-storage)'!AC433,IF(AS433=3,('Calc (ex-animal)'!$K$84+'Calc (ex-animal)'!$L$84)*'Calc (ex-housing, ex-storage)'!F433/100/VLOOKUP($C$433,'DB animal categories'!$C$157:$AC$166,27,FALSE)*AJ433+Q433+R433+S433-'Calc (ex-housing, ex-storage)'!AC433-AD433-AE433,IF(AI433=4,('Calc (ex-animal)'!$K$84+'Calc (ex-animal)'!$L$84)*'Calc (ex-housing, ex-storage)'!F433/100*VLOOKUP(D433,'DB technologies'!$N$210:$Y$222,12,FALSE)/100/VLOOKUP($C$433,'DB animal categories'!$C$157:$AC$166,27,FALSE)*AJ433+Q433+R433+S433-(VLOOKUP(D433,'DB technologies'!$N$210:$Y$222,12,FALSE)/100*AC433)-AD433-AE433,0))))))</f>
        <v/>
      </c>
      <c r="AY433" s="180" t="str">
        <f>IF(D433="","",IF(AS433=2,0,IF(AS433=1,'Calc (ex-animal)'!$N$84*'Calc (ex-housing, ex-storage)'!F433/100/VLOOKUP($C$433,'DB animal categories'!$C$157:$AC$166,27,FALSE)*AJ433+U433+V433+W433,IF(AS433=5,('Calc (ex-animal)'!$N$84+'Calc (ex-animal)'!$O$84)*'Calc (ex-housing, ex-storage)'!F433/100/VLOOKUP($C$433,'DB animal categories'!$C$157:$AC$166,27,FALSE)*AJ433+U433+V433+W433,IF(AS433=3,('Calc (ex-animal)'!$N$84+'Calc (ex-animal)'!$O$84)*'Calc (ex-housing, ex-storage)'!F433/100/VLOOKUP($C$433,'DB animal categories'!$C$157:$AC$166,27,FALSE)*AJ433+U433+V433+W433,IF(AS433=4,('Calc (ex-animal)'!$N$84+'Calc (ex-animal)'!$O$84)*'Calc (ex-housing, ex-storage)'!F433/100*VLOOKUP(D433,'DB technologies'!$N$210:$Y$222,12,FALSE)/100/VLOOKUP($C$433,'DB animal categories'!$C$157:$AC$166,27,FALSE)*AJ433+U433+V433+W433,0))))))</f>
        <v/>
      </c>
      <c r="AZ433" s="180" t="str">
        <f>IF(D433="","",IF(AS433=2,0,IF(AS433=1,'Calc (ex-animal)'!$Q$84*'Calc (ex-housing, ex-storage)'!F433/100/VLOOKUP($C$433,'DB animal categories'!$C$157:$AC$166,27,FALSE)*AJ433+Y433+Z433+AA433,IF(AS433=5,('Calc (ex-animal)'!$Q$84+'Calc (ex-animal)'!$R$84)*'Calc (ex-housing, ex-storage)'!F433/100/VLOOKUP($C$433,'DB animal categories'!$C$157:$AC$166,27,FALSE)*AJ433+Y433+Z433+AA433,IF(AS433=3,('Calc (ex-animal)'!$Q$84+'Calc (ex-animal)'!$R$84)*'Calc (ex-housing, ex-storage)'!F433/100/VLOOKUP($C$433,'DB animal categories'!$C$157:$AC$166,27,FALSE)*AJ433+Y433+Z433+AA433,IF(AS433=4,('Calc (ex-animal)'!$Q$84+'Calc (ex-animal)'!$R$84)*'Calc (ex-housing, ex-storage)'!F433/100*VLOOKUP(D433,'DB technologies'!$N$210:$Y$222,12,FALSE)/100/VLOOKUP($C$433,'DB animal categories'!$C$157:$AC$166,27,FALSE)*AJ433+Y433+Z433+AA433,0))))))</f>
        <v/>
      </c>
      <c r="BA433" s="506"/>
      <c r="BB433" s="506"/>
      <c r="BC433" s="506"/>
    </row>
    <row r="434" spans="1:55" x14ac:dyDescent="0.2">
      <c r="A434" s="695"/>
      <c r="B434" s="695"/>
      <c r="C434" s="251"/>
      <c r="D434" s="1357"/>
      <c r="E434" s="1358"/>
      <c r="F434" s="480" t="str">
        <f>IF('Calc (ex-animal)'!$F$83=1,"",IF($C$433=0,"",IF(D434="","",E434/'Calc (ex-animal)'!$E$84*100)))</f>
        <v/>
      </c>
      <c r="G434" s="485" t="str">
        <f>IF($C$433=0,"",IF('Calc (ex-animal)'!$F$83=1,"",IF(D434="","",SUM(H434:O434))))</f>
        <v/>
      </c>
      <c r="H434" s="423" t="str">
        <f>IF('Calc (ex-animal)'!$F$83=1,"",IF(D434="","",(((VLOOKUP($C$433,'Calc (ex-animal)'!$D$83:$Y$87,6,FALSE)-VLOOKUP($C$433,'Calc (ex-animal)'!$D$83:$Y$87,17,FALSE))*F434/100))*VLOOKUP($C$433,'Calc (ex-animal)'!$D$83:$Y$87,7,FALSE)/100*(1-VLOOKUP(D434,'DB technologies'!$N$210:$Y$222,9,FALSE)/100)))</f>
        <v/>
      </c>
      <c r="I434" s="423" t="str">
        <f>IF(D434="","",((VLOOKUP(D434,'DB technologies'!$N$210:$Y$222,2,FALSE)*VLOOKUP($C$433,'DB animal categories'!$C$157:$AC$166,27,FALSE)*E434/1000)/VLOOKUP($C$433,'DB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'!$S$6/100*(1-VLOOKUP(D434,'DB technologies'!$N$210:$Y$222,9,FALSE)/100)))</f>
        <v/>
      </c>
      <c r="J434" s="434" t="str">
        <f>IF(D434="","",((VLOOKUP(D434,'DB technologies'!$N$210:$Y$222,3,FALSE)*VLOOKUP($C$433,'DB animal categories'!$C$157:$AC$166,27,FALSE)*E434/1000)/VLOOKUP($C$433,'DB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'!$S$7/100*(1-VLOOKUP(D434,'DB technologies'!$N$210:$Y$222,9,FALSE)/100)))</f>
        <v/>
      </c>
      <c r="K434" s="434" t="str">
        <f>IF(D434="","",((VLOOKUP(D434,'DB technologies'!$N$210:$Y$222,4,FALSE)*E434*'DB additional information '!$S$8/100*(1-VLOOKUP(D434,'DB technologies'!$N$210:$Y$222,9,FALSE)/100))/VLOOKUP($C$433,'DB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L434" s="423" t="str">
        <f>IF('Calc (ex-animal)'!$F$83=1,"",IF(D434="","",(((VLOOKUP($C$433,'Calc (ex-animal)'!$D$83:$Y$87,6,FALSE)-VLOOKUP($C$433,'Calc (ex-animal)'!$D$83:$Y$87,17,FALSE))*F434/100))*(1-VLOOKUP($C$433,'Calc (ex-animal)'!$D$83:$Y$87,7,FALSE)/100)*(1-VLOOKUP(D434,'DB technologies'!$N$210:$V$222,8,FALSE)/100)))</f>
        <v/>
      </c>
      <c r="M434" s="434" t="str">
        <f>IF(D434="","",((VLOOKUP(D434,'DB technologies'!$N$210:$Y$222,2,FALSE)*VLOOKUP($C$433,'DB animal categories'!$C$157:$AC$166,27,FALSE)*E434/1000)/VLOOKUP($C$433,'DB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'!$S$6/100)*(1-VLOOKUP(D434,'DB technologies'!$N$210:$Y$222,9,FALSE)/100))</f>
        <v/>
      </c>
      <c r="N434" s="434" t="str">
        <f>IF(D434="","",((VLOOKUP(D434,'DB technologies'!$N$210:$Y$222,3,FALSE)*VLOOKUP($C$433,'DB animal categories'!$C$157:$AC$166,27,FALSE)*E434/1000)/VLOOKUP($C$433,'DB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'!$S$7/100)*(1-VLOOKUP(D434,'DB technologies'!$N$210:$Y$222,9,FALSE)/100))</f>
        <v/>
      </c>
      <c r="O434" s="423" t="str">
        <f>IF(D434="","",((VLOOKUP(D434,'DB technologies'!$N$210:$Y$222,4,FALSE)*E434*(1-'DB additional information '!$S$8/100)*(1-VLOOKUP(D434,'DB technologies'!$N$210:$Y$222,8,FALSE)/100))/VLOOKUP($C$433,'DB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P434" s="438" t="str">
        <f>IF(G434=0,0,IF(E434="","",IF(F434="","",IF($C$433=0,"",IF(D434="","",SUM(H434:K434)/G434*100)))))</f>
        <v/>
      </c>
      <c r="Q434" s="416" t="str">
        <f>IF(D434="","",(VLOOKUP(D434,'DB technologies'!$N$210:$Y$222,2,FALSE)*'DB additional information '!$S$6/100*'DB additional information '!$T$6*VLOOKUP($C$433,'DB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R434" s="416" t="str">
        <f>IF(D434="","",(VLOOKUP(D434,'DB technologies'!$N$210:$Y$222,3,FALSE)*'DB additional information '!$S$7/100*'DB additional information '!$T$7*VLOOKUP($C$433,'DB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S434" s="491" t="str">
        <f>IF(D434="","",(VLOOKUP(D434,'DB technologies'!$N$210:$Y$222,4,FALSE)*('DB additional information '!$S$8/100*'DB additional information '!$T$8*E434/1000/1000)))</f>
        <v/>
      </c>
      <c r="T434" s="264" t="str">
        <f>IF($C$433=0,"",IF('Calc (ex-animal)'!$F$83=1,"",IF(D434="","",((VLOOKUP($C$433,'Calc (ex-animal)'!$D$83:$Y$87,10,FALSE)-VLOOKUP($C$433,'Calc (ex-animal)'!$D$83:$Y$87,18,FALSE))*F434/100+Q434+R434+S434)-AC434-AD434-AE434)))</f>
        <v/>
      </c>
      <c r="U434" s="422" t="str">
        <f>IF(D434="","",(VLOOKUP(D434,'DB technologies'!$N$210:$Y$222,2,FALSE)*'DB additional information '!$S$6/100*'DB additional information '!$U$6*VLOOKUP($C$433,'DB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V434" s="418" t="str">
        <f>IF(D434="","",(VLOOKUP(D434,'DB technologies'!$N$210:$Y$222,3,FALSE)*'DB additional information '!$S$7/100*'DB additional information '!$U$7*VLOOKUP($C$433,'DB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W434" s="417" t="str">
        <f>IF(D434="","",(VLOOKUP(D434,'DB technologies'!$N$210:$Y$222,4,FALSE)*('DB additional information '!$S$8/100*'DB additional information '!$U$8*E434/1000/1000)))</f>
        <v/>
      </c>
      <c r="X434" s="261" t="str">
        <f>IF($C$433=0,"",IF('Calc (ex-animal)'!$F$83=1,"",IF(D434="","",((VLOOKUP($C$433,'Calc (ex-animal)'!$D$83:$Y$87,13,FALSE)-VLOOKUP($C$433,'Calc (ex-animal)'!$D$83:$Y$87,19,FALSE))*F434/100+U434+V434+W434))))</f>
        <v/>
      </c>
      <c r="Y434" s="418" t="str">
        <f>IF(D434="","",(VLOOKUP(D434,'DB technologies'!$N$210:$Y$222,2,FALSE)*'DB additional information '!$S$6/100*'DB additional information '!$V$6*VLOOKUP($C$433,'DB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Z434" s="418" t="str">
        <f>IF(D434="","",(VLOOKUP(D434,'DB technologies'!$N$210:$Y$222,3,FALSE)*'DB additional information '!$S$7/100*'DB additional information '!$V$7*VLOOKUP($C$433,'DB animal categories'!$C$157:$AC$166,27,FALSE)*E434/1000/1000)/VLOOKUP($C$433,'DB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AA434" s="418" t="str">
        <f>IF(D434="","",(VLOOKUP(D434,'DB technologies'!$N$210:$Y$222,4,FALSE)*('DB additional information '!$S$8/100*'DB additional information '!$V$8*E434/1000/1000)))</f>
        <v/>
      </c>
      <c r="AB434" s="261" t="str">
        <f>IF($C$433=0,"",IF('Calc (ex-animal)'!$F$83=1,"",IF(D434="","",((VLOOKUP($C$433,'Calc (ex-animal)'!$D$83:$Y$87,16,FALSE)-VLOOKUP($C$433,'Calc (ex-animal)'!$D$83:$Y$87,20,FALSE))*F434/100+Y434+Z434+AA434))))</f>
        <v/>
      </c>
      <c r="AC434" s="261" t="str">
        <f>IF($C$433=0,"",IF('Calc (ex-animal)'!$F$83=1,"",IF(D434="","",VLOOKUP($C$433,'Calc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categories'!$C$157:$AC$166,26,FALSE)/24)*F434/100*VLOOKUP(D434,'DB technologies'!$N$210:$R$222,5,FALSE)/100)))</f>
        <v/>
      </c>
      <c r="AD434" s="261" t="str">
        <f>IF($C$433=0,"",IF('Calc (ex-animal)'!$F$83=1,"",IF(D434="","",VLOOKUP($C$433,'Calc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categories'!$C$157:$AC$166,26,FALSE)/24)*F434/100*VLOOKUP(D434,'DB technologies'!$N$210:$Y$222,6,FALSE)/100)))</f>
        <v/>
      </c>
      <c r="AE434" s="262" t="str">
        <f>IF($C$433=0,"",IF('Calc (ex-animal)'!$F$83=1,"",IF(D434="","",VLOOKUP($C$433,'Calc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categories'!$C$157:$AC$166,26,FALSE)/24)*F434/100*VLOOKUP(D434,'DB technologies'!$N$210:$Y$222,7,FALSE)/100)))</f>
        <v/>
      </c>
      <c r="AI434" s="181" t="str">
        <f>IF(D434="","",VLOOKUP(D434,'DB technologies'!$N$210:$Y$222,10,FALSE))</f>
        <v/>
      </c>
      <c r="AJ434" s="449" t="e">
        <f>VLOOKUP($C$433,'DB animal categories'!$C$157:$AN$166,27,FALSE)-VLOOKUP($C$433,'DB animal categories'!$C$157:$AN$166,26,FALSE)*VLOOKUP($C$433,'DB animal categories'!$C$157:$AN$166,25,FALSE)/24</f>
        <v>#N/A</v>
      </c>
      <c r="AK434" s="442" t="str">
        <f>IF(AI434="","",AL434+AM434)</f>
        <v/>
      </c>
      <c r="AL434" s="442" t="str">
        <f>IF(D434="","",IF(AI434=2,(('Calc (ex-animal)'!$G$84*'DB additional information '!$K$18/100*(1-VLOOKUP(D434,'DB technologies'!$N$210:$Y$222,9,FALSE)/100)*'Calc (ex-housing, ex-storage)'!F434/100+'Calc (ex-animal)'!$H$84*'DB additional information '!$L$18/100*(1-VLOOKUP(D434,'DB technologies'!$N$210:$Y$222,9,FALSE)/100)*'Calc (ex-housing, ex-storage)'!F434/100))/VLOOKUP($C$433,'DB animal categories'!$C$157:$AC$166,27,FALSE)*AJ434+I434+J434+K434,IF(AI434=1,('Calc (ex-animal)'!$H$84*'DB additional information '!$L$18/100*(1-VLOOKUP(D434,'DB technologies'!$N$210:$Y$222,9,FALSE)/100)*'Calc (ex-housing, ex-storage)'!F434/100)/VLOOKUP($C$433,'DB animal categories'!$C$157:$AC$166,27,FALSE)*AJ434,IF(AI434=4,('Calc (ex-animal)'!$G$84*'DB additional information '!$K$18/100+'Calc (ex-animal)'!$H$84*'DB additional information '!$L$18/100)*(1-VLOOKUP(D434,'DB technologies'!$N$210:$Y$222,9,FALSE)/100)*'Calc (ex-housing, ex-storage)'!F434/100*VLOOKUP(D434,'DB technologies'!$N$210:$Y$222,11,FALSE)/100/VLOOKUP($C$433,'DB animal categories'!$C$157:$AC$166,27,FALSE)*AJ434,0))))</f>
        <v/>
      </c>
      <c r="AM434" s="442" t="str">
        <f>IF(D434="","",IF(AI434=2,(('Calc (ex-animal)'!$G$84*(1-'DB additional information '!$K$18/100)*(1-VLOOKUP(D434,'DB technologies'!$N$210:$Y$222,8,FALSE)/100)*'Calc (ex-housing, ex-storage)'!F434/100+'Calc (ex-animal)'!$H$84*(1-'DB additional information '!$L$18/100)*(1-VLOOKUP(D434,'DB technologies'!$N$210:$Y$222,8,FALSE)/100)*'Calc (ex-housing, ex-storage)'!F434/100))/VLOOKUP($C$433,'DB animal categories'!$C$157:$AC$166,27,FALSE)*AJ434+M434+N434+O434,IF(AI434=1,('Calc (ex-animal)'!$H$84*(1-'DB additional information '!$L$18/100)*(1-VLOOKUP(D434,'DB technologies'!$N$210:$Y$222,8,FALSE)/100)*'Calc (ex-housing, ex-storage)'!F434/100)/VLOOKUP($C$433,'DB animal categories'!$C$157:$AC$166,27,FALSE)*AJ434,IF(AI434=4,('Calc (ex-animal)'!$G$84*(1-'DB additional information '!$K$18/100)+'Calc (ex-animal)'!$H$84*(1-'DB additional information '!$L$18/100))*(1-VLOOKUP(D434,'DB technologies'!$N$210:$Y$222,8,FALSE)/100)*'Calc (ex-housing, ex-storage)'!F434/100*VLOOKUP(D434,'DB technologies'!$N$210:$Y$222,11,FALSE)/100/VLOOKUP($C$433,'DB animal categories'!$C$157:$AC$166,27,FALSE)*AJ434,0))))</f>
        <v/>
      </c>
      <c r="AN434" s="442" t="str">
        <f>IF(AI434="","",IF(AL434=0,0,AL434/AK434*100))</f>
        <v/>
      </c>
      <c r="AO434" s="182" t="str">
        <f>IF(D434="","",IF(AI434=2,(('Calc (ex-animal)'!$L$84*'Calc (ex-housing, ex-storage)'!F434/100+'Calc (ex-animal)'!$K$84*'Calc (ex-housing, ex-storage)'!F434/100))/VLOOKUP($C$433,'DB animal categories'!$C$157:$AC$166,27,FALSE)*AJ434+Q434+R434+S434-AC434,IF(AI434=1,('Calc (ex-animal)'!$L$84*'Calc (ex-housing, ex-storage)'!F434/100)/VLOOKUP($C$433,'DB animal categories'!$C$157:$AC$166,27,FALSE)*AJ434-'Calc (ex-housing, ex-storage)'!AC434,IF(AI434=4,('Calc (ex-animal)'!$L$84+'Calc (ex-animal)'!$K$84)*'Calc (ex-housing, ex-storage)'!F434/100*VLOOKUP(D434,'DB technologies'!$N$210:$Y$222,11,FALSE)/100/VLOOKUP($C$433,'DB animal categories'!$C$157:$AC$166,27,FALSE)*AJ434-AC434*VLOOKUP(D434,'DB technologies'!$N$210:$Y$222,11,FALSE)/100,0))))</f>
        <v/>
      </c>
      <c r="AP434" s="182" t="str">
        <f>IF(D434="","",IF(AO434&lt;-0.01,0,IF(AI434=2,(('Calc (ex-animal)'!$L$84*'Calc (ex-housing, ex-storage)'!F434/100+'Calc (ex-animal)'!$K$84*'Calc (ex-housing, ex-storage)'!F434/100))/VLOOKUP($C$433,'DB animal categories'!$C$157:$AC$166,27,FALSE)*AJ434+Q434+R434+S434-AC434,IF(AI434=1,('Calc (ex-animal)'!$L$84*'Calc (ex-housing, ex-storage)'!F434/100)/VLOOKUP($C$433,'DB animal categories'!$C$157:$AC$166,27,FALSE)*AJ434-'Calc (ex-housing, ex-storage)'!AC434,IF(AI434=4,('Calc (ex-animal)'!$L$84+'Calc (ex-animal)'!$K$84)*'Calc (ex-housing, ex-storage)'!F434/100*VLOOKUP(D434,'DB technologies'!$N$210:$Y$222,11,FALSE)/100/VLOOKUP($C$433,'DB animal categories'!$C$157:$AC$166,27,FALSE)*AJ434-AC434*VLOOKUP(D434,'DB technologies'!$N$210:$Y$222,11,FALSE)/100,0)))))</f>
        <v/>
      </c>
      <c r="AQ434" s="182" t="str">
        <f>IF(D434="","",IF(AI434=2,('Calc (ex-animal)'!$O$84*'Calc (ex-housing, ex-storage)'!F434/100+'Calc (ex-animal)'!$N$84*'Calc (ex-housing, ex-storage)'!F434/100)/VLOOKUP($C$433,'DB animal categories'!$C$157:$AC$166,27,FALSE)*AJ434+U434+V434+W434,IF(AI434=1,'Calc (ex-animal)'!$O$84*'Calc (ex-housing, ex-storage)'!F434/100/VLOOKUP($C$433,'DB animal categories'!$C$157:$AC$166,27,FALSE)*AJ434,IF(AI434=4,('Calc (ex-animal)'!$O$84+'Calc (ex-animal)'!$N$84)*'Calc (ex-housing, ex-storage)'!F434/100*VLOOKUP(D434,'DB technologies'!$N$210:$Y$222,11,FALSE)/100/VLOOKUP($C$433,'DB animal categories'!$C$157:$AC$166,27,FALSE)*AJ434,0))))</f>
        <v/>
      </c>
      <c r="AR434" s="182" t="str">
        <f>IF(D434="","",IF(AI434=2,('Calc (ex-animal)'!$R$84*'Calc (ex-housing, ex-storage)'!F434/100+'Calc (ex-animal)'!$Q$84*'Calc (ex-housing, ex-storage)'!F434/100)/VLOOKUP($C$433,'DB animal categories'!$C$157:$AC$166,27,FALSE)*AJ434+Y434+Z434+AA434,IF(AI434=1,'Calc (ex-animal)'!$R$84*'Calc (ex-housing, ex-storage)'!F434/100/VLOOKUP($C$433,'DB animal categories'!$C$157:$AC$166,27,FALSE)*AJ434,IF(AI434=4,('Calc (ex-animal)'!$R$84+'Calc (ex-animal)'!$Q$84)*'Calc (ex-housing, ex-storage)'!F434/100*VLOOKUP(D434,'DB technologies'!$N$210:$Y$222,11,FALSE)/100/VLOOKUP($C$433,'DB animal categories'!$C$157:$AC$166,27,FALSE)*AJ434,0))))</f>
        <v/>
      </c>
      <c r="AS434" s="181" t="str">
        <f>IF(D434="","",VLOOKUP(D434,'DB technologies'!$N$210:$Y$222,10,FALSE))</f>
        <v/>
      </c>
      <c r="AT434" s="442" t="str">
        <f>IF(AS434="","",AU434+AV434)</f>
        <v/>
      </c>
      <c r="AU434" s="442" t="str">
        <f>IF(D434="","",IF(AS434=2,0,IF(AS434=1,'Calc (ex-animal)'!$G$84*'DB additional information '!$K$18/100*(1-VLOOKUP(D434,'DB technologies'!$N$210:$Y$222,8,FALSE)/100)*'Calc (ex-housing, ex-storage)'!F434/100/VLOOKUP($C$433,'DB animal categories'!$C$157:$AC$166,27,FALSE)*AJ434+I434+J434+K434,IF(AS434=5,(('Calc (ex-animal)'!$G$84*'DB additional information '!$K$18/100+'Calc (ex-animal)'!$H$84*'DB additional information '!$L$18/100))*(1-VLOOKUP(D434,'DB technologies'!$N$210:$Y$222,9,FALSE)/100)*'Calc (ex-housing, ex-storage)'!F434/100/VLOOKUP($C$433,'DB animal categories'!$C$157:$AC$166,27,FALSE)*AJ434+I434+J434+K434,IF(AS434=3,('Calc (ex-animal)'!$G$84*'DB additional information '!$K$18/100+'Calc (ex-animal)'!$H$84*'DB additional information '!$L$18/100)*(1-VLOOKUP(D434,'DB technologies'!$N$210:$Y$222,9,FALSE)/100)*'Calc (ex-housing, ex-storage)'!F434/100/VLOOKUP($C$433,'DB animal categories'!$C$157:$AC$166,27,FALSE)*AJ434+I434+J434+K434,IF(AS434=4,('Calc (ex-animal)'!$G$84*'DB additional information '!$K$18/100+'Calc (ex-animal)'!$H$84*'DB additional information '!$L$18/100)*(1-VLOOKUP(D434,'DB technologies'!$N$210:$Y$222,9,FALSE)/100)*'Calc (ex-housing, ex-storage)'!F434/100*VLOOKUP(D434,'DB technologies'!$N$210:$Y$222,12,FALSE)/100/VLOOKUP($C$433,'DB animal categories'!$C$157:$AC$166,27,FALSE)*AJ434+I434+J434+K434,0))))))</f>
        <v/>
      </c>
      <c r="AV434" s="442" t="str">
        <f>IF(D434="","",IF(AS434=2,0,IF(AS434=1,'Calc (ex-animal)'!$G$84*(1-'DB additional information '!$K$18/100)*(1-VLOOKUP(D434,'DB technologies'!$N$210:$Y$222,8,FALSE)/100)*'Calc (ex-housing, ex-storage)'!F434/100/VLOOKUP($C$433,'DB animal categories'!$C$157:$AC$166,27,FALSE)*AJ434+M434+N434+O434,IF(AS434=5,('Calc (ex-animal)'!$G$84*(1-'DB additional information '!$K$18/100)+'Calc (ex-animal)'!$H$84*(1-'DB additional information '!$L$18/100))*(1-VLOOKUP(D434,'DB technologies'!$N$210:$Y$222,8,FALSE)/100)*'Calc (ex-housing, ex-storage)'!F434/100/VLOOKUP($C$433,'DB animal categories'!$C$157:$AC$166,27,FALSE)*AJ434+M434+N434+O434,IF(AS434=3,('Calc (ex-animal)'!$G$84*(1-'DB additional information '!$K$18/100)+'Calc (ex-animal)'!$H$84*(1-'DB additional information '!$L$18/100))*(1-VLOOKUP(D434,'DB technologies'!$N$210:$Y$222,8,FALSE)/100)*'Calc (ex-housing, ex-storage)'!F434/100/VLOOKUP($C$433,'DB animal categories'!$C$157:$AC$166,27,FALSE)*AJ434+M434+N434+O434,IF(AS434=4,('Calc (ex-animal)'!$G$84*(1-'DB additional information '!$K$18/100)+'Calc (ex-animal)'!$H$84*(1-'DB additional information '!$L$18/100))*(1-VLOOKUP(D434,'DB technologies'!$N$210:$Y$222,8,FALSE)/100)*'Calc (ex-housing, ex-storage)'!F434/100*VLOOKUP(D434,'DB technologies'!$N$210:$Y$222,12,FALSE)/100/VLOOKUP($C$433,'DB animal categories'!$C$157:$AC$166,27,FALSE)*AJ434+M434+N434+O434,0))))))</f>
        <v/>
      </c>
      <c r="AW434" s="442" t="str">
        <f>IF(AS434="","",IF(AU434=0,0,AU434/AT434*100))</f>
        <v/>
      </c>
      <c r="AX434" s="182" t="str">
        <f>IF(D434="","",IF(AS434=2,0,IF(AS434=1,'Calc (ex-animal)'!$K$84*'Calc (ex-housing, ex-storage)'!F434/100/VLOOKUP($C$433,'DB animal categories'!$C$157:$AC$166,27,FALSE)*AJ434+Q434+R434+S434,IF(AS434=5,('Calc (ex-animal)'!$K$84+'Calc (ex-animal)'!$L$84)*'Calc (ex-housing, ex-storage)'!F434/100/VLOOKUP($C$433,'DB animal categories'!$C$157:$AC$166,27,FALSE)*AJ434+Q434+R434+S434-'Calc (ex-housing, ex-storage)'!AC434,IF(AS434=3,('Calc (ex-animal)'!$K$84+'Calc (ex-animal)'!$L$84)*'Calc (ex-housing, ex-storage)'!F434/100/VLOOKUP($C$433,'DB animal categories'!$C$157:$AC$166,27,FALSE)*AJ434+Q434+R434+S434-'Calc (ex-housing, ex-storage)'!AC434-AD434-AE434,IF(AI434=4,('Calc (ex-animal)'!$K$84+'Calc (ex-animal)'!$L$84)*'Calc (ex-housing, ex-storage)'!F434/100*VLOOKUP(D434,'DB technologies'!$N$210:$Y$222,12,FALSE)/100/VLOOKUP($C$433,'DB animal categories'!$C$157:$AC$166,27,FALSE)*AJ434+Q434+R434+S434-(VLOOKUP(D434,'DB technologies'!$N$210:$Y$222,12,FALSE)/100*AC434)-AD434-AE434,0))))))</f>
        <v/>
      </c>
      <c r="AY434" s="182" t="str">
        <f>IF(D434="","",IF(AS434=2,0,IF(AS434=1,'Calc (ex-animal)'!$N$84*'Calc (ex-housing, ex-storage)'!F434/100/VLOOKUP($C$433,'DB animal categories'!$C$157:$AC$166,27,FALSE)*AJ434+U434+V434+W434,IF(AS434=5,('Calc (ex-animal)'!$N$84+'Calc (ex-animal)'!$O$84)*'Calc (ex-housing, ex-storage)'!F434/100/VLOOKUP($C$433,'DB animal categories'!$C$157:$AC$166,27,FALSE)*AJ434+U434+V434+W434,IF(AS434=3,('Calc (ex-animal)'!$N$84+'Calc (ex-animal)'!$O$84)*'Calc (ex-housing, ex-storage)'!F434/100/VLOOKUP($C$433,'DB animal categories'!$C$157:$AC$166,27,FALSE)*AJ434+U434+V434+W434,IF(AS434=4,('Calc (ex-animal)'!$N$84+'Calc (ex-animal)'!$O$84)*'Calc (ex-housing, ex-storage)'!F434/100*VLOOKUP(D434,'DB technologies'!$N$210:$Y$222,12,FALSE)/100/VLOOKUP($C$433,'DB animal categories'!$C$157:$AC$166,27,FALSE)*AJ434+U434+V434+W434,0))))))</f>
        <v/>
      </c>
      <c r="AZ434" s="182" t="str">
        <f>IF(D434="","",IF(AS434=2,0,IF(AS434=1,'Calc (ex-animal)'!$Q$84*'Calc (ex-housing, ex-storage)'!F434/100/VLOOKUP($C$433,'DB animal categories'!$C$157:$AC$166,27,FALSE)*AJ434+Y434+Z434+AA434,IF(AS434=5,('Calc (ex-animal)'!$Q$84+'Calc (ex-animal)'!$R$84)*'Calc (ex-housing, ex-storage)'!F434/100/VLOOKUP($C$433,'DB animal categories'!$C$157:$AC$166,27,FALSE)*AJ434+Y434+Z434+AA434,IF(AS434=3,('Calc (ex-animal)'!$Q$84+'Calc (ex-animal)'!$R$84)*'Calc (ex-housing, ex-storage)'!F434/100/VLOOKUP($C$433,'DB animal categories'!$C$157:$AC$166,27,FALSE)*AJ434+Y434+Z434+AA434,IF(AS434=4,('Calc (ex-animal)'!$Q$84+'Calc (ex-animal)'!$R$84)*'Calc (ex-housing, ex-storage)'!F434/100*VLOOKUP(D434,'DB technologies'!$N$210:$Y$222,12,FALSE)/100/VLOOKUP($C$433,'DB animal categories'!$C$157:$AC$166,27,FALSE)*AJ434+Y434+Z434+AA434,0))))))</f>
        <v/>
      </c>
      <c r="BA434" s="506"/>
      <c r="BB434" s="506"/>
      <c r="BC434" s="506"/>
    </row>
    <row r="435" spans="1:55" x14ac:dyDescent="0.2">
      <c r="A435" s="695"/>
      <c r="B435" s="695"/>
      <c r="C435" s="251"/>
      <c r="D435" s="1357"/>
      <c r="E435" s="1358"/>
      <c r="F435" s="480" t="str">
        <f>IF('Calc (ex-animal)'!$F$83=1,"",IF($C$433=0,"",IF(D435="","",E435/'Calc (ex-animal)'!$E$84*100)))</f>
        <v/>
      </c>
      <c r="G435" s="485" t="str">
        <f>IF($C$433=0,"",IF('Calc (ex-animal)'!$F$83=1,"",IF(D435="","",SUM(H435:O435))))</f>
        <v/>
      </c>
      <c r="H435" s="423" t="str">
        <f>IF('Calc (ex-animal)'!$F$83=1,"",IF(D435="","",(((VLOOKUP($C$433,'Calc (ex-animal)'!$D$83:$Y$87,6,FALSE)-VLOOKUP($C$433,'Calc (ex-animal)'!$D$83:$Y$87,17,FALSE))*F435/100))*VLOOKUP($C$433,'Calc (ex-animal)'!$D$83:$Y$87,7,FALSE)/100*(1-VLOOKUP(D435,'DB technologies'!$N$210:$Y$222,9,FALSE)/100)))</f>
        <v/>
      </c>
      <c r="I435" s="423" t="str">
        <f>IF(D435="","",((VLOOKUP(D435,'DB technologies'!$N$210:$Y$222,2,FALSE)*VLOOKUP($C$433,'DB animal categories'!$C$157:$AC$166,27,FALSE)*E435/1000)/VLOOKUP($C$433,'DB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'!$S$6/100*(1-VLOOKUP(D435,'DB technologies'!$N$210:$Y$222,9,FALSE)/100)))</f>
        <v/>
      </c>
      <c r="J435" s="434" t="str">
        <f>IF(D435="","",((VLOOKUP(D435,'DB technologies'!$N$210:$Y$222,3,FALSE)*VLOOKUP($C$433,'DB animal categories'!$C$157:$AC$166,27,FALSE)*E435/1000)/VLOOKUP($C$433,'DB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'!$S$7/100*(1-VLOOKUP(D435,'DB technologies'!$N$210:$Y$222,9,FALSE)/100)))</f>
        <v/>
      </c>
      <c r="K435" s="434" t="str">
        <f>IF(D435="","",((VLOOKUP(D435,'DB technologies'!$N$210:$Y$222,4,FALSE)*E435*'DB additional information '!$S$8/100*(1-VLOOKUP(D435,'DB technologies'!$N$210:$Y$222,9,FALSE)/100))/VLOOKUP($C$433,'DB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L435" s="423" t="str">
        <f>IF('Calc (ex-animal)'!$F$83=1,"",IF(D435="","",(((VLOOKUP($C$433,'Calc (ex-animal)'!$D$83:$Y$87,6,FALSE)-VLOOKUP($C$433,'Calc (ex-animal)'!$D$83:$Y$87,17,FALSE))*F435/100))*(1-VLOOKUP($C$433,'Calc (ex-animal)'!$D$83:$Y$87,7,FALSE)/100)*(1-VLOOKUP(D435,'DB technologies'!$N$210:$V$222,8,FALSE)/100)))</f>
        <v/>
      </c>
      <c r="M435" s="434" t="str">
        <f>IF(D435="","",((VLOOKUP(D435,'DB technologies'!$N$210:$Y$222,2,FALSE)*VLOOKUP($C$433,'DB animal categories'!$C$157:$AC$166,27,FALSE)*E435/1000)/VLOOKUP($C$433,'DB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'!$S$6/100)*(1-VLOOKUP(D435,'DB technologies'!$N$210:$Y$222,9,FALSE)/100))</f>
        <v/>
      </c>
      <c r="N435" s="434" t="str">
        <f>IF(D435="","",((VLOOKUP(D435,'DB technologies'!$N$210:$Y$222,3,FALSE)*VLOOKUP($C$433,'DB animal categories'!$C$157:$AC$166,27,FALSE)*E435/1000)/VLOOKUP($C$433,'DB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'!$S$7/100)*(1-VLOOKUP(D435,'DB technologies'!$N$210:$Y$222,9,FALSE)/100))</f>
        <v/>
      </c>
      <c r="O435" s="423" t="str">
        <f>IF(D435="","",((VLOOKUP(D435,'DB technologies'!$N$210:$Y$222,4,FALSE)*E435*(1-'DB additional information '!$S$8/100)*(1-VLOOKUP(D435,'DB technologies'!$N$210:$Y$222,8,FALSE)/100))/VLOOKUP($C$433,'DB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P435" s="438" t="str">
        <f>IF(G435=0,0,IF(E435="","",IF(F435="","",IF($C$433=0,"",IF(D435="","",SUM(H435:K435)/G435*100)))))</f>
        <v/>
      </c>
      <c r="Q435" s="416" t="str">
        <f>IF(D435="","",(VLOOKUP(D435,'DB technologies'!$N$210:$Y$222,2,FALSE)*'DB additional information '!$S$6/100*'DB additional information '!$T$6*VLOOKUP($C$433,'DB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R435" s="416" t="str">
        <f>IF(D435="","",(VLOOKUP(D435,'DB technologies'!$N$210:$Y$222,3,FALSE)*'DB additional information '!$S$7/100*'DB additional information '!$T$7*VLOOKUP($C$433,'DB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S435" s="491" t="str">
        <f>IF(D435="","",(VLOOKUP(D435,'DB technologies'!$N$210:$Y$222,4,FALSE)*('DB additional information '!$S$8/100*'DB additional information '!$T$8*E435/1000/1000)))</f>
        <v/>
      </c>
      <c r="T435" s="264" t="str">
        <f>IF($C$433=0,"",IF('Calc (ex-animal)'!$F$83=1,"",IF(D435="","",((VLOOKUP($C$433,'Calc (ex-animal)'!$D$83:$Y$87,10,FALSE)-VLOOKUP($C$433,'Calc (ex-animal)'!$D$83:$Y$87,18,FALSE))*F435/100+Q435+R435+S435)-AC435-AD435-AE435)))</f>
        <v/>
      </c>
      <c r="U435" s="422" t="str">
        <f>IF(D435="","",(VLOOKUP(D435,'DB technologies'!$N$210:$Y$222,2,FALSE)*'DB additional information '!$S$6/100*'DB additional information '!$U$6*VLOOKUP($C$433,'DB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V435" s="418" t="str">
        <f>IF(D435="","",(VLOOKUP(D435,'DB technologies'!$N$210:$Y$222,3,FALSE)*'DB additional information '!$S$7/100*'DB additional information '!$U$7*VLOOKUP($C$433,'DB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W435" s="417" t="str">
        <f>IF(D435="","",(VLOOKUP(D435,'DB technologies'!$N$210:$Y$222,4,FALSE)*('DB additional information '!$S$8/100*'DB additional information '!$U$8*E435/1000/1000)))</f>
        <v/>
      </c>
      <c r="X435" s="261" t="str">
        <f>IF($C$433=0,"",IF('Calc (ex-animal)'!$F$83=1,"",IF(D435="","",((VLOOKUP($C$433,'Calc (ex-animal)'!$D$83:$Y$87,13,FALSE)-VLOOKUP($C$433,'Calc (ex-animal)'!$D$83:$Y$87,19,FALSE))*F435/100+U435+V435+W435))))</f>
        <v/>
      </c>
      <c r="Y435" s="418" t="str">
        <f>IF(D435="","",(VLOOKUP(D435,'DB technologies'!$N$210:$Y$222,2,FALSE)*'DB additional information '!$S$6/100*'DB additional information '!$V$6*VLOOKUP($C$433,'DB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Z435" s="418" t="str">
        <f>IF(D435="","",(VLOOKUP(D435,'DB technologies'!$N$210:$Y$222,3,FALSE)*'DB additional information '!$S$7/100*'DB additional information '!$V$7*VLOOKUP($C$433,'DB animal categories'!$C$157:$AC$166,27,FALSE)*E435/1000/1000)/VLOOKUP($C$433,'DB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AA435" s="418" t="str">
        <f>IF(D435="","",(VLOOKUP(D435,'DB technologies'!$N$210:$Y$222,4,FALSE)*('DB additional information '!$S$8/100*'DB additional information '!$V$8*E435/1000/1000)))</f>
        <v/>
      </c>
      <c r="AB435" s="261" t="str">
        <f>IF($C$433=0,"",IF('Calc (ex-animal)'!$F$83=1,"",IF(D435="","",((VLOOKUP($C$433,'Calc (ex-animal)'!$D$83:$Y$87,16,FALSE)-VLOOKUP($C$433,'Calc (ex-animal)'!$D$83:$Y$87,20,FALSE))*F435/100+Y435+Z435+AA435))))</f>
        <v/>
      </c>
      <c r="AC435" s="261" t="str">
        <f>IF($C$433=0,"",IF('Calc (ex-animal)'!$F$83=1,"",IF(D435="","",VLOOKUP($C$433,'Calc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categories'!$C$157:$AC$166,26,FALSE)/24)*F435/100*VLOOKUP(D435,'DB technologies'!$N$210:$R$222,5,FALSE)/100)))</f>
        <v/>
      </c>
      <c r="AD435" s="261" t="str">
        <f>IF($C$433=0,"",IF('Calc (ex-animal)'!$F$83=1,"",IF(D435="","",VLOOKUP($C$433,'Calc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categories'!$C$157:$AC$166,26,FALSE)/24)*F435/100*VLOOKUP(D435,'DB technologies'!$N$210:$Y$222,6,FALSE)/100)))</f>
        <v/>
      </c>
      <c r="AE435" s="262" t="str">
        <f>IF($C$433=0,"",IF('Calc (ex-animal)'!$F$83=1,"",IF(D435="","",VLOOKUP($C$433,'Calc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categories'!$C$157:$AC$166,26,FALSE)/24)*F435/100*VLOOKUP(D435,'DB technologies'!$N$210:$Y$222,7,FALSE)/100)))</f>
        <v/>
      </c>
      <c r="AI435" s="181" t="str">
        <f>IF(D435="","",VLOOKUP(D435,'DB technologies'!$N$210:$Y$222,10,FALSE))</f>
        <v/>
      </c>
      <c r="AJ435" s="449" t="e">
        <f>VLOOKUP($C$433,'DB animal categories'!$C$157:$AN$166,27,FALSE)-VLOOKUP($C$433,'DB animal categories'!$C$157:$AN$166,26,FALSE)*VLOOKUP($C$433,'DB animal categories'!$C$157:$AN$166,25,FALSE)/24</f>
        <v>#N/A</v>
      </c>
      <c r="AK435" s="442" t="str">
        <f>IF(AI435="","",AL435+AM435)</f>
        <v/>
      </c>
      <c r="AL435" s="442" t="str">
        <f>IF(D435="","",IF(AI435=2,(('Calc (ex-animal)'!$G$84*'DB additional information '!$K$18/100*(1-VLOOKUP(D435,'DB technologies'!$N$210:$Y$222,9,FALSE)/100)*'Calc (ex-housing, ex-storage)'!F435/100+'Calc (ex-animal)'!$H$84*'DB additional information '!$L$18/100*(1-VLOOKUP(D435,'DB technologies'!$N$210:$Y$222,9,FALSE)/100)*'Calc (ex-housing, ex-storage)'!F435/100))/VLOOKUP($C$433,'DB animal categories'!$C$157:$AC$166,27,FALSE)*AJ435+I435+J435+K435,IF(AI435=1,('Calc (ex-animal)'!$H$84*'DB additional information '!$L$18/100*(1-VLOOKUP(D435,'DB technologies'!$N$210:$Y$222,9,FALSE)/100)*'Calc (ex-housing, ex-storage)'!F435/100)/VLOOKUP($C$433,'DB animal categories'!$C$157:$AC$166,27,FALSE)*AJ435,IF(AI435=4,('Calc (ex-animal)'!$G$84*'DB additional information '!$K$18/100+'Calc (ex-animal)'!$H$84*'DB additional information '!$L$18/100)*(1-VLOOKUP(D435,'DB technologies'!$N$210:$Y$222,9,FALSE)/100)*'Calc (ex-housing, ex-storage)'!F435/100*VLOOKUP(D435,'DB technologies'!$N$210:$Y$222,11,FALSE)/100/VLOOKUP($C$433,'DB animal categories'!$C$157:$AC$166,27,FALSE)*AJ435,0))))</f>
        <v/>
      </c>
      <c r="AM435" s="442" t="str">
        <f>IF(D435="","",IF(AI435=2,(('Calc (ex-animal)'!$G$84*(1-'DB additional information '!$K$18/100)*(1-VLOOKUP(D435,'DB technologies'!$N$210:$Y$222,8,FALSE)/100)*'Calc (ex-housing, ex-storage)'!F435/100+'Calc (ex-animal)'!$H$84*(1-'DB additional information '!$L$18/100)*(1-VLOOKUP(D435,'DB technologies'!$N$210:$Y$222,8,FALSE)/100)*'Calc (ex-housing, ex-storage)'!F435/100))/VLOOKUP($C$433,'DB animal categories'!$C$157:$AC$166,27,FALSE)*AJ435+M435+N435+O435,IF(AI435=1,('Calc (ex-animal)'!$H$84*(1-'DB additional information '!$L$18/100)*(1-VLOOKUP(D435,'DB technologies'!$N$210:$Y$222,8,FALSE)/100)*'Calc (ex-housing, ex-storage)'!F435/100)/VLOOKUP($C$433,'DB animal categories'!$C$157:$AC$166,27,FALSE)*AJ435,IF(AI435=4,('Calc (ex-animal)'!$G$84*(1-'DB additional information '!$K$18/100)+'Calc (ex-animal)'!$H$84*(1-'DB additional information '!$L$18/100))*(1-VLOOKUP(D435,'DB technologies'!$N$210:$Y$222,8,FALSE)/100)*'Calc (ex-housing, ex-storage)'!F435/100*VLOOKUP(D435,'DB technologies'!$N$210:$Y$222,11,FALSE)/100/VLOOKUP($C$433,'DB animal categories'!$C$157:$AC$166,27,FALSE)*AJ435,0))))</f>
        <v/>
      </c>
      <c r="AN435" s="442" t="str">
        <f>IF(AI435="","",IF(AL435=0,0,AL435/AK435*100))</f>
        <v/>
      </c>
      <c r="AO435" s="182" t="str">
        <f>IF(D435="","",IF(AI435=2,(('Calc (ex-animal)'!$L$84*'Calc (ex-housing, ex-storage)'!F435/100+'Calc (ex-animal)'!$K$84*'Calc (ex-housing, ex-storage)'!F435/100))/VLOOKUP($C$433,'DB animal categories'!$C$157:$AC$166,27,FALSE)*AJ435+Q435+R435+S435-AC435,IF(AI435=1,('Calc (ex-animal)'!$L$84*'Calc (ex-housing, ex-storage)'!F435/100)/VLOOKUP($C$433,'DB animal categories'!$C$157:$AC$166,27,FALSE)*AJ435-'Calc (ex-housing, ex-storage)'!AC435,IF(AI435=4,('Calc (ex-animal)'!$L$84+'Calc (ex-animal)'!$K$84)*'Calc (ex-housing, ex-storage)'!F435/100*VLOOKUP(D435,'DB technologies'!$N$210:$Y$222,11,FALSE)/100/VLOOKUP($C$433,'DB animal categories'!$C$157:$AC$166,27,FALSE)*AJ435-AC435*VLOOKUP(D435,'DB technologies'!$N$210:$Y$222,11,FALSE)/100,0))))</f>
        <v/>
      </c>
      <c r="AP435" s="182" t="str">
        <f>IF(D435="","",IF(AO435&lt;-0.01,0,IF(AI435=2,(('Calc (ex-animal)'!$L$84*'Calc (ex-housing, ex-storage)'!F435/100+'Calc (ex-animal)'!$K$84*'Calc (ex-housing, ex-storage)'!F435/100))/VLOOKUP($C$433,'DB animal categories'!$C$157:$AC$166,27,FALSE)*AJ435+Q435+R435+S435-AC435,IF(AI435=1,('Calc (ex-animal)'!$L$84*'Calc (ex-housing, ex-storage)'!F435/100)/VLOOKUP($C$433,'DB animal categories'!$C$157:$AC$166,27,FALSE)*AJ435-'Calc (ex-housing, ex-storage)'!AC435,IF(AI435=4,('Calc (ex-animal)'!$L$84+'Calc (ex-animal)'!$K$84)*'Calc (ex-housing, ex-storage)'!F435/100*VLOOKUP(D435,'DB technologies'!$N$210:$Y$222,11,FALSE)/100/VLOOKUP($C$433,'DB animal categories'!$C$157:$AC$166,27,FALSE)*AJ435-AC435*VLOOKUP(D435,'DB technologies'!$N$210:$Y$222,11,FALSE)/100,0)))))</f>
        <v/>
      </c>
      <c r="AQ435" s="182" t="str">
        <f>IF(D435="","",IF(AI435=2,('Calc (ex-animal)'!$O$84*'Calc (ex-housing, ex-storage)'!F435/100+'Calc (ex-animal)'!$N$84*'Calc (ex-housing, ex-storage)'!F435/100)/VLOOKUP($C$433,'DB animal categories'!$C$157:$AC$166,27,FALSE)*AJ435+U435+V435+W435,IF(AI435=1,'Calc (ex-animal)'!$O$84*'Calc (ex-housing, ex-storage)'!F435/100/VLOOKUP($C$433,'DB animal categories'!$C$157:$AC$166,27,FALSE)*AJ435,IF(AI435=4,('Calc (ex-animal)'!$O$84+'Calc (ex-animal)'!$N$84)*'Calc (ex-housing, ex-storage)'!F435/100*VLOOKUP(D435,'DB technologies'!$N$210:$Y$222,11,FALSE)/100/VLOOKUP($C$433,'DB animal categories'!$C$157:$AC$166,27,FALSE)*AJ435,0))))</f>
        <v/>
      </c>
      <c r="AR435" s="182" t="str">
        <f>IF(D435="","",IF(AI435=2,('Calc (ex-animal)'!$R$84*'Calc (ex-housing, ex-storage)'!F435/100+'Calc (ex-animal)'!$Q$84*'Calc (ex-housing, ex-storage)'!F435/100)/VLOOKUP($C$433,'DB animal categories'!$C$157:$AC$166,27,FALSE)*AJ435+Y435+Z435+AA435,IF(AI435=1,'Calc (ex-animal)'!$R$84*'Calc (ex-housing, ex-storage)'!F435/100/VLOOKUP($C$433,'DB animal categories'!$C$157:$AC$166,27,FALSE)*AJ435,IF(AI435=4,('Calc (ex-animal)'!$R$84+'Calc (ex-animal)'!$Q$84)*'Calc (ex-housing, ex-storage)'!F435/100*VLOOKUP(D435,'DB technologies'!$N$210:$Y$222,11,FALSE)/100/VLOOKUP($C$433,'DB animal categories'!$C$157:$AC$166,27,FALSE)*AJ435,0))))</f>
        <v/>
      </c>
      <c r="AS435" s="181" t="str">
        <f>IF(D435="","",VLOOKUP(D435,'DB technologies'!$N$210:$Y$222,10,FALSE))</f>
        <v/>
      </c>
      <c r="AT435" s="442" t="str">
        <f>IF(AS435="","",AU435+AV435)</f>
        <v/>
      </c>
      <c r="AU435" s="442" t="str">
        <f>IF(D435="","",IF(AS435=2,0,IF(AS435=1,'Calc (ex-animal)'!$G$84*'DB additional information '!$K$18/100*(1-VLOOKUP(D435,'DB technologies'!$N$210:$Y$222,8,FALSE)/100)*'Calc (ex-housing, ex-storage)'!F435/100/VLOOKUP($C$433,'DB animal categories'!$C$157:$AC$166,27,FALSE)*AJ435+I435+J435+K435,IF(AS435=5,(('Calc (ex-animal)'!$G$84*'DB additional information '!$K$18/100+'Calc (ex-animal)'!$H$84*'DB additional information '!$L$18/100))*(1-VLOOKUP(D435,'DB technologies'!$N$210:$Y$222,9,FALSE)/100)*'Calc (ex-housing, ex-storage)'!F435/100/VLOOKUP($C$433,'DB animal categories'!$C$157:$AC$166,27,FALSE)*AJ435+I435+J435+K435,IF(AS435=3,('Calc (ex-animal)'!$G$84*'DB additional information '!$K$18/100+'Calc (ex-animal)'!$H$84*'DB additional information '!$L$18/100)*(1-VLOOKUP(D435,'DB technologies'!$N$210:$Y$222,9,FALSE)/100)*'Calc (ex-housing, ex-storage)'!F435/100/VLOOKUP($C$433,'DB animal categories'!$C$157:$AC$166,27,FALSE)*AJ435+I435+J435+K435,IF(AS435=4,('Calc (ex-animal)'!$G$84*'DB additional information '!$K$18/100+'Calc (ex-animal)'!$H$84*'DB additional information '!$L$18/100)*(1-VLOOKUP(D435,'DB technologies'!$N$210:$Y$222,9,FALSE)/100)*'Calc (ex-housing, ex-storage)'!F435/100*VLOOKUP(D435,'DB technologies'!$N$210:$Y$222,12,FALSE)/100/VLOOKUP($C$433,'DB animal categories'!$C$157:$AC$166,27,FALSE)*AJ435+I435+J435+K435,0))))))</f>
        <v/>
      </c>
      <c r="AV435" s="442" t="str">
        <f>IF(D435="","",IF(AS435=2,0,IF(AS435=1,'Calc (ex-animal)'!$G$84*(1-'DB additional information '!$K$18/100)*(1-VLOOKUP(D435,'DB technologies'!$N$210:$Y$222,8,FALSE)/100)*'Calc (ex-housing, ex-storage)'!F435/100/VLOOKUP($C$433,'DB animal categories'!$C$157:$AC$166,27,FALSE)*AJ435+M435+N435+O435,IF(AS435=5,('Calc (ex-animal)'!$G$84*(1-'DB additional information '!$K$18/100)+'Calc (ex-animal)'!$H$84*(1-'DB additional information '!$L$18/100))*(1-VLOOKUP(D435,'DB technologies'!$N$210:$Y$222,8,FALSE)/100)*'Calc (ex-housing, ex-storage)'!F435/100/VLOOKUP($C$433,'DB animal categories'!$C$157:$AC$166,27,FALSE)*AJ435+M435+N435+O435,IF(AS435=3,('Calc (ex-animal)'!$G$84*(1-'DB additional information '!$K$18/100)+'Calc (ex-animal)'!$H$84*(1-'DB additional information '!$L$18/100))*(1-VLOOKUP(D435,'DB technologies'!$N$210:$Y$222,8,FALSE)/100)*'Calc (ex-housing, ex-storage)'!F435/100/VLOOKUP($C$433,'DB animal categories'!$C$157:$AC$166,27,FALSE)*AJ435+M435+N435+O435,IF(AS435=4,('Calc (ex-animal)'!$G$84*(1-'DB additional information '!$K$18/100)+'Calc (ex-animal)'!$H$84*(1-'DB additional information '!$L$18/100))*(1-VLOOKUP(D435,'DB technologies'!$N$210:$Y$222,8,FALSE)/100)*'Calc (ex-housing, ex-storage)'!F435/100*VLOOKUP(D435,'DB technologies'!$N$210:$Y$222,12,FALSE)/100/VLOOKUP($C$433,'DB animal categories'!$C$157:$AC$166,27,FALSE)*AJ435+M435+N435+O435,0))))))</f>
        <v/>
      </c>
      <c r="AW435" s="442" t="str">
        <f>IF(AS435="","",IF(AU435=0,0,AU435/AT435*100))</f>
        <v/>
      </c>
      <c r="AX435" s="182" t="str">
        <f>IF(D435="","",IF(AS435=2,0,IF(AS435=1,'Calc (ex-animal)'!$K$84*'Calc (ex-housing, ex-storage)'!F435/100/VLOOKUP($C$433,'DB animal categories'!$C$157:$AC$166,27,FALSE)*AJ435+Q435+R435+S435,IF(AS435=5,('Calc (ex-animal)'!$K$84+'Calc (ex-animal)'!$L$84)*'Calc (ex-housing, ex-storage)'!F435/100/VLOOKUP($C$433,'DB animal categories'!$C$157:$AC$166,27,FALSE)*AJ435+Q435+R435+S435-'Calc (ex-housing, ex-storage)'!AC435,IF(AS435=3,('Calc (ex-animal)'!$K$84+'Calc (ex-animal)'!$L$84)*'Calc (ex-housing, ex-storage)'!F435/100/VLOOKUP($C$433,'DB animal categories'!$C$157:$AC$166,27,FALSE)*AJ435+Q435+R435+S435-'Calc (ex-housing, ex-storage)'!AC435-AD435-AE435,IF(AI435=4,('Calc (ex-animal)'!$K$84+'Calc (ex-animal)'!$L$84)*'Calc (ex-housing, ex-storage)'!F435/100*VLOOKUP(D435,'DB technologies'!$N$210:$Y$222,12,FALSE)/100/VLOOKUP($C$433,'DB animal categories'!$C$157:$AC$166,27,FALSE)*AJ435+Q435+R435+S435-(VLOOKUP(D435,'DB technologies'!$N$210:$Y$222,12,FALSE)/100*AC435)-AD435-AE435,0))))))</f>
        <v/>
      </c>
      <c r="AY435" s="182" t="str">
        <f>IF(D435="","",IF(AS435=2,0,IF(AS435=1,'Calc (ex-animal)'!$N$84*'Calc (ex-housing, ex-storage)'!F435/100/VLOOKUP($C$433,'DB animal categories'!$C$157:$AC$166,27,FALSE)*AJ435+U435+V435+W435,IF(AS435=5,('Calc (ex-animal)'!$N$84+'Calc (ex-animal)'!$O$84)*'Calc (ex-housing, ex-storage)'!F435/100/VLOOKUP($C$433,'DB animal categories'!$C$157:$AC$166,27,FALSE)*AJ435+U435+V435+W435,IF(AS435=3,('Calc (ex-animal)'!$N$84+'Calc (ex-animal)'!$O$84)*'Calc (ex-housing, ex-storage)'!F435/100/VLOOKUP($C$433,'DB animal categories'!$C$157:$AC$166,27,FALSE)*AJ435+U435+V435+W435,IF(AS435=4,('Calc (ex-animal)'!$N$84+'Calc (ex-animal)'!$O$84)*'Calc (ex-housing, ex-storage)'!F435/100*VLOOKUP(D435,'DB technologies'!$N$210:$Y$222,12,FALSE)/100/VLOOKUP($C$433,'DB animal categories'!$C$157:$AC$166,27,FALSE)*AJ435+U435+V435+W435,0))))))</f>
        <v/>
      </c>
      <c r="AZ435" s="182" t="str">
        <f>IF(D435="","",IF(AS435=2,0,IF(AS435=1,'Calc (ex-animal)'!$Q$84*'Calc (ex-housing, ex-storage)'!F435/100/VLOOKUP($C$433,'DB animal categories'!$C$157:$AC$166,27,FALSE)*AJ435+Y435+Z435+AA435,IF(AS435=5,('Calc (ex-animal)'!$Q$84+'Calc (ex-animal)'!$R$84)*'Calc (ex-housing, ex-storage)'!F435/100/VLOOKUP($C$433,'DB animal categories'!$C$157:$AC$166,27,FALSE)*AJ435+Y435+Z435+AA435,IF(AS435=3,('Calc (ex-animal)'!$Q$84+'Calc (ex-animal)'!$R$84)*'Calc (ex-housing, ex-storage)'!F435/100/VLOOKUP($C$433,'DB animal categories'!$C$157:$AC$166,27,FALSE)*AJ435+Y435+Z435+AA435,IF(AS435=4,('Calc (ex-animal)'!$Q$84+'Calc (ex-animal)'!$R$84)*'Calc (ex-housing, ex-storage)'!F435/100*VLOOKUP(D435,'DB technologies'!$N$210:$Y$222,12,FALSE)/100/VLOOKUP($C$433,'DB animal categories'!$C$157:$AC$166,27,FALSE)*AJ435+Y435+Z435+AA435,0))))))</f>
        <v/>
      </c>
      <c r="BA435" s="506"/>
      <c r="BB435" s="506"/>
      <c r="BC435" s="506"/>
    </row>
    <row r="436" spans="1:55" x14ac:dyDescent="0.2">
      <c r="A436" s="695"/>
      <c r="B436" s="695"/>
      <c r="C436" s="251"/>
      <c r="D436" s="1357"/>
      <c r="E436" s="1358"/>
      <c r="F436" s="480" t="str">
        <f>IF('Calc (ex-animal)'!$F$83=1,"",IF($C$433=0,"",IF(D436="","",E436/'Calc (ex-animal)'!$E$84*100)))</f>
        <v/>
      </c>
      <c r="G436" s="485" t="str">
        <f>IF($C$433=0,"",IF('Calc (ex-animal)'!$F$83=1,"",IF(D436="","",SUM(H436:O436))))</f>
        <v/>
      </c>
      <c r="H436" s="423" t="str">
        <f>IF('Calc (ex-animal)'!$F$83=1,"",IF(D436="","",(((VLOOKUP($C$433,'Calc (ex-animal)'!$D$83:$Y$87,6,FALSE)-VLOOKUP($C$433,'Calc (ex-animal)'!$D$83:$Y$87,17,FALSE))*F436/100))*VLOOKUP($C$433,'Calc (ex-animal)'!$D$83:$Y$87,7,FALSE)/100*(1-VLOOKUP(D436,'DB technologies'!$N$210:$Y$222,9,FALSE)/100)))</f>
        <v/>
      </c>
      <c r="I436" s="423" t="str">
        <f>IF(D436="","",((VLOOKUP(D436,'DB technologies'!$N$210:$Y$222,2,FALSE)*VLOOKUP($C$433,'DB animal categories'!$C$157:$AC$166,27,FALSE)*E436/1000)/VLOOKUP($C$433,'DB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'!$S$6/100*(1-VLOOKUP(D436,'DB technologies'!$N$210:$Y$222,9,FALSE)/100)))</f>
        <v/>
      </c>
      <c r="J436" s="434" t="str">
        <f>IF(D436="","",((VLOOKUP(D436,'DB technologies'!$N$210:$Y$222,3,FALSE)*VLOOKUP($C$433,'DB animal categories'!$C$157:$AC$166,27,FALSE)*E436/1000)/VLOOKUP($C$433,'DB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'!$S$7/100*(1-VLOOKUP(D436,'DB technologies'!$N$210:$Y$222,9,FALSE)/100)))</f>
        <v/>
      </c>
      <c r="K436" s="434" t="str">
        <f>IF(D436="","",((VLOOKUP(D436,'DB technologies'!$N$210:$Y$222,4,FALSE)*E436*'DB additional information '!$S$8/100*(1-VLOOKUP(D436,'DB technologies'!$N$210:$Y$222,9,FALSE)/100))/VLOOKUP($C$433,'DB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L436" s="423" t="str">
        <f>IF('Calc (ex-animal)'!$F$83=1,"",IF(D436="","",(((VLOOKUP($C$433,'Calc (ex-animal)'!$D$83:$Y$87,6,FALSE)-VLOOKUP($C$433,'Calc (ex-animal)'!$D$83:$Y$87,17,FALSE))*F436/100))*(1-VLOOKUP($C$433,'Calc (ex-animal)'!$D$83:$Y$87,7,FALSE)/100)*(1-VLOOKUP(D436,'DB technologies'!$N$210:$V$222,8,FALSE)/100)))</f>
        <v/>
      </c>
      <c r="M436" s="434" t="str">
        <f>IF(D436="","",((VLOOKUP(D436,'DB technologies'!$N$210:$Y$222,2,FALSE)*VLOOKUP($C$433,'DB animal categories'!$C$157:$AC$166,27,FALSE)*E436/1000)/VLOOKUP($C$433,'DB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'!$S$6/100)*(1-VLOOKUP(D436,'DB technologies'!$N$210:$Y$222,9,FALSE)/100))</f>
        <v/>
      </c>
      <c r="N436" s="434" t="str">
        <f>IF(D436="","",((VLOOKUP(D436,'DB technologies'!$N$210:$Y$222,3,FALSE)*VLOOKUP($C$433,'DB animal categories'!$C$157:$AC$166,27,FALSE)*E436/1000)/VLOOKUP($C$433,'DB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'!$S$7/100)*(1-VLOOKUP(D436,'DB technologies'!$N$210:$Y$222,9,FALSE)/100))</f>
        <v/>
      </c>
      <c r="O436" s="423" t="str">
        <f>IF(D436="","",((VLOOKUP(D436,'DB technologies'!$N$210:$Y$222,4,FALSE)*E436*(1-'DB additional information '!$S$8/100)*(1-VLOOKUP(D436,'DB technologies'!$N$210:$Y$222,8,FALSE)/100))/VLOOKUP($C$433,'DB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P436" s="438" t="str">
        <f>IF(G436=0,0,IF(E436="","",IF(F436="","",IF($C$433=0,"",IF(D436="","",SUM(H436:K436)/G436*100)))))</f>
        <v/>
      </c>
      <c r="Q436" s="416" t="str">
        <f>IF(D436="","",(VLOOKUP(D436,'DB technologies'!$N$210:$Y$222,2,FALSE)*'DB additional information '!$S$6/100*'DB additional information '!$T$6*VLOOKUP($C$433,'DB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R436" s="416" t="str">
        <f>IF(D436="","",(VLOOKUP(D436,'DB technologies'!$N$210:$Y$222,3,FALSE)*'DB additional information '!$S$7/100*'DB additional information '!$T$7*VLOOKUP($C$433,'DB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S436" s="491" t="str">
        <f>IF(D436="","",(VLOOKUP(D436,'DB technologies'!$N$210:$Y$222,4,FALSE)*('DB additional information '!$S$8/100*'DB additional information '!$T$8*E436/1000/1000)))</f>
        <v/>
      </c>
      <c r="T436" s="264" t="str">
        <f>IF($C$433=0,"",IF('Calc (ex-animal)'!$F$83=1,"",IF(D436="","",((VLOOKUP($C$433,'Calc (ex-animal)'!$D$83:$Y$87,10,FALSE)-VLOOKUP($C$433,'Calc (ex-animal)'!$D$83:$Y$87,18,FALSE))*F436/100+Q436+R436+S436)-AC436-AD436-AE436)))</f>
        <v/>
      </c>
      <c r="U436" s="422" t="str">
        <f>IF(D436="","",(VLOOKUP(D436,'DB technologies'!$N$210:$Y$222,2,FALSE)*'DB additional information '!$S$6/100*'DB additional information '!$U$6*VLOOKUP($C$433,'DB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V436" s="418" t="str">
        <f>IF(D436="","",(VLOOKUP(D436,'DB technologies'!$N$210:$Y$222,3,FALSE)*'DB additional information '!$S$7/100*'DB additional information '!$U$7*VLOOKUP($C$433,'DB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W436" s="417" t="str">
        <f>IF(D436="","",(VLOOKUP(D436,'DB technologies'!$N$210:$Y$222,4,FALSE)*('DB additional information '!$S$8/100*'DB additional information '!$U$8*E436/1000/1000)))</f>
        <v/>
      </c>
      <c r="X436" s="261" t="str">
        <f>IF($C$433=0,"",IF('Calc (ex-animal)'!$F$83=1,"",IF(D436="","",((VLOOKUP($C$433,'Calc (ex-animal)'!$D$83:$Y$87,13,FALSE)-VLOOKUP($C$433,'Calc (ex-animal)'!$D$83:$Y$87,19,FALSE))*F436/100+U436+V436+W436))))</f>
        <v/>
      </c>
      <c r="Y436" s="418" t="str">
        <f>IF(D436="","",(VLOOKUP(D436,'DB technologies'!$N$210:$Y$222,2,FALSE)*'DB additional information '!$S$6/100*'DB additional information '!$V$6*VLOOKUP($C$433,'DB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Z436" s="418" t="str">
        <f>IF(D436="","",(VLOOKUP(D436,'DB technologies'!$N$210:$Y$222,3,FALSE)*'DB additional information '!$S$7/100*'DB additional information '!$V$7*VLOOKUP($C$433,'DB animal categories'!$C$157:$AC$166,27,FALSE)*E436/1000/1000)/VLOOKUP($C$433,'DB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AA436" s="418" t="str">
        <f>IF(D436="","",(VLOOKUP(D436,'DB technologies'!$N$210:$Y$222,4,FALSE)*('DB additional information '!$S$8/100*'DB additional information '!$V$8*E436/1000/1000)))</f>
        <v/>
      </c>
      <c r="AB436" s="261" t="str">
        <f>IF($C$433=0,"",IF('Calc (ex-animal)'!$F$83=1,"",IF(D436="","",((VLOOKUP($C$433,'Calc (ex-animal)'!$D$83:$Y$87,16,FALSE)-VLOOKUP($C$433,'Calc (ex-animal)'!$D$83:$Y$87,20,FALSE))*F436/100+Y436+Z436+AA436))))</f>
        <v/>
      </c>
      <c r="AC436" s="261" t="str">
        <f>IF($C$433=0,"",IF('Calc (ex-animal)'!$F$83=1,"",IF(D436="","",VLOOKUP($C$433,'Calc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categories'!$C$157:$AC$166,26,FALSE)/24)*F436/100*VLOOKUP(D436,'DB technologies'!$N$210:$R$222,5,FALSE)/100)))</f>
        <v/>
      </c>
      <c r="AD436" s="261" t="str">
        <f>IF($C$433=0,"",IF('Calc (ex-animal)'!$F$83=1,"",IF(D436="","",VLOOKUP($C$433,'Calc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categories'!$C$157:$AC$166,26,FALSE)/24)*F436/100*VLOOKUP(D436,'DB technologies'!$N$210:$Y$222,6,FALSE)/100)))</f>
        <v/>
      </c>
      <c r="AE436" s="262" t="str">
        <f>IF($C$433=0,"",IF('Calc (ex-animal)'!$F$83=1,"",IF(D436="","",VLOOKUP($C$433,'Calc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categories'!$C$157:$AC$166,26,FALSE)/24)*F436/100*VLOOKUP(D436,'DB technologies'!$N$210:$Y$222,7,FALSE)/100)))</f>
        <v/>
      </c>
      <c r="AI436" s="181" t="str">
        <f>IF(D436="","",VLOOKUP(D436,'DB technologies'!$N$210:$Y$222,10,FALSE))</f>
        <v/>
      </c>
      <c r="AJ436" s="449" t="e">
        <f>VLOOKUP($C$433,'DB animal categories'!$C$157:$AN$166,27,FALSE)-VLOOKUP($C$433,'DB animal categories'!$C$157:$AN$166,26,FALSE)*VLOOKUP($C$433,'DB animal categories'!$C$157:$AN$166,25,FALSE)/24</f>
        <v>#N/A</v>
      </c>
      <c r="AK436" s="442" t="str">
        <f>IF(AI436="","",AL436+AM436)</f>
        <v/>
      </c>
      <c r="AL436" s="442" t="str">
        <f>IF(D436="","",IF(AI436=2,(('Calc (ex-animal)'!$G$84*'DB additional information '!$K$18/100*(1-VLOOKUP(D436,'DB technologies'!$N$210:$Y$222,9,FALSE)/100)*'Calc (ex-housing, ex-storage)'!F436/100+'Calc (ex-animal)'!$H$84*'DB additional information '!$L$18/100*(1-VLOOKUP(D436,'DB technologies'!$N$210:$Y$222,9,FALSE)/100)*'Calc (ex-housing, ex-storage)'!F436/100))/VLOOKUP($C$433,'DB animal categories'!$C$157:$AC$166,27,FALSE)*AJ436+I436+J436+K436,IF(AI436=1,('Calc (ex-animal)'!$H$84*'DB additional information '!$L$18/100*(1-VLOOKUP(D436,'DB technologies'!$N$210:$Y$222,9,FALSE)/100)*'Calc (ex-housing, ex-storage)'!F436/100)/VLOOKUP($C$433,'DB animal categories'!$C$157:$AC$166,27,FALSE)*AJ436,IF(AI436=4,('Calc (ex-animal)'!$G$84*'DB additional information '!$K$18/100+'Calc (ex-animal)'!$H$84*'DB additional information '!$L$18/100)*(1-VLOOKUP(D436,'DB technologies'!$N$210:$Y$222,9,FALSE)/100)*'Calc (ex-housing, ex-storage)'!F436/100*VLOOKUP(D436,'DB technologies'!$N$210:$Y$222,11,FALSE)/100/VLOOKUP($C$433,'DB animal categories'!$C$157:$AC$166,27,FALSE)*AJ436,0))))</f>
        <v/>
      </c>
      <c r="AM436" s="442" t="str">
        <f>IF(D436="","",IF(AI436=2,(('Calc (ex-animal)'!$G$84*(1-'DB additional information '!$K$18/100)*(1-VLOOKUP(D436,'DB technologies'!$N$210:$Y$222,8,FALSE)/100)*'Calc (ex-housing, ex-storage)'!F436/100+'Calc (ex-animal)'!$H$84*(1-'DB additional information '!$L$18/100)*(1-VLOOKUP(D436,'DB technologies'!$N$210:$Y$222,8,FALSE)/100)*'Calc (ex-housing, ex-storage)'!F436/100))/VLOOKUP($C$433,'DB animal categories'!$C$157:$AC$166,27,FALSE)*AJ436+M436+N436+O436,IF(AI436=1,('Calc (ex-animal)'!$H$84*(1-'DB additional information '!$L$18/100)*(1-VLOOKUP(D436,'DB technologies'!$N$210:$Y$222,8,FALSE)/100)*'Calc (ex-housing, ex-storage)'!F436/100)/VLOOKUP($C$433,'DB animal categories'!$C$157:$AC$166,27,FALSE)*AJ436,IF(AI436=4,('Calc (ex-animal)'!$G$84*(1-'DB additional information '!$K$18/100)+'Calc (ex-animal)'!$H$84*(1-'DB additional information '!$L$18/100))*(1-VLOOKUP(D436,'DB technologies'!$N$210:$Y$222,8,FALSE)/100)*'Calc (ex-housing, ex-storage)'!F436/100*VLOOKUP(D436,'DB technologies'!$N$210:$Y$222,11,FALSE)/100/VLOOKUP($C$433,'DB animal categories'!$C$157:$AC$166,27,FALSE)*AJ436,0))))</f>
        <v/>
      </c>
      <c r="AN436" s="442" t="str">
        <f>IF(AI436="","",IF(AL436=0,0,AL436/AK436*100))</f>
        <v/>
      </c>
      <c r="AO436" s="182" t="str">
        <f>IF(D436="","",IF(AI436=2,(('Calc (ex-animal)'!$L$84*'Calc (ex-housing, ex-storage)'!F436/100+'Calc (ex-animal)'!$K$84*'Calc (ex-housing, ex-storage)'!F436/100))/VLOOKUP($C$433,'DB animal categories'!$C$157:$AC$166,27,FALSE)*AJ436+Q436+R436+S436-AC436,IF(AI436=1,('Calc (ex-animal)'!$L$84*'Calc (ex-housing, ex-storage)'!F436/100)/VLOOKUP($C$433,'DB animal categories'!$C$157:$AC$166,27,FALSE)*AJ436-'Calc (ex-housing, ex-storage)'!AC436,IF(AI436=4,('Calc (ex-animal)'!$L$84+'Calc (ex-animal)'!$K$84)*'Calc (ex-housing, ex-storage)'!F436/100*VLOOKUP(D436,'DB technologies'!$N$210:$Y$222,11,FALSE)/100/VLOOKUP($C$433,'DB animal categories'!$C$157:$AC$166,27,FALSE)*AJ436-AC436*VLOOKUP(D436,'DB technologies'!$N$210:$Y$222,11,FALSE)/100,0))))</f>
        <v/>
      </c>
      <c r="AP436" s="182" t="str">
        <f>IF(D436="","",IF(AO436&lt;-0.01,0,IF(AI436=2,(('Calc (ex-animal)'!$L$84*'Calc (ex-housing, ex-storage)'!F436/100+'Calc (ex-animal)'!$K$84*'Calc (ex-housing, ex-storage)'!F436/100))/VLOOKUP($C$433,'DB animal categories'!$C$157:$AC$166,27,FALSE)*AJ436+Q436+R436+S436-AC436,IF(AI436=1,('Calc (ex-animal)'!$L$84*'Calc (ex-housing, ex-storage)'!F436/100)/VLOOKUP($C$433,'DB animal categories'!$C$157:$AC$166,27,FALSE)*AJ436-'Calc (ex-housing, ex-storage)'!AC436,IF(AI436=4,('Calc (ex-animal)'!$L$84+'Calc (ex-animal)'!$K$84)*'Calc (ex-housing, ex-storage)'!F436/100*VLOOKUP(D436,'DB technologies'!$N$210:$Y$222,11,FALSE)/100/VLOOKUP($C$433,'DB animal categories'!$C$157:$AC$166,27,FALSE)*AJ436-AC436*VLOOKUP(D436,'DB technologies'!$N$210:$Y$222,11,FALSE)/100,0)))))</f>
        <v/>
      </c>
      <c r="AQ436" s="182" t="str">
        <f>IF(D436="","",IF(AI436=2,('Calc (ex-animal)'!$O$84*'Calc (ex-housing, ex-storage)'!F436/100+'Calc (ex-animal)'!$N$84*'Calc (ex-housing, ex-storage)'!F436/100)/VLOOKUP($C$433,'DB animal categories'!$C$157:$AC$166,27,FALSE)*AJ436+U436+V436+W436,IF(AI436=1,'Calc (ex-animal)'!$O$84*'Calc (ex-housing, ex-storage)'!F436/100/VLOOKUP($C$433,'DB animal categories'!$C$157:$AC$166,27,FALSE)*AJ436,IF(AI436=4,('Calc (ex-animal)'!$O$84+'Calc (ex-animal)'!$N$84)*'Calc (ex-housing, ex-storage)'!F436/100*VLOOKUP(D436,'DB technologies'!$N$210:$Y$222,11,FALSE)/100/VLOOKUP($C$433,'DB animal categories'!$C$157:$AC$166,27,FALSE)*AJ436,0))))</f>
        <v/>
      </c>
      <c r="AR436" s="182" t="str">
        <f>IF(D436="","",IF(AI436=2,('Calc (ex-animal)'!$R$84*'Calc (ex-housing, ex-storage)'!F436/100+'Calc (ex-animal)'!$Q$84*'Calc (ex-housing, ex-storage)'!F436/100)/VLOOKUP($C$433,'DB animal categories'!$C$157:$AC$166,27,FALSE)*AJ436+Y436+Z436+AA436,IF(AI436=1,'Calc (ex-animal)'!$R$84*'Calc (ex-housing, ex-storage)'!F436/100/VLOOKUP($C$433,'DB animal categories'!$C$157:$AC$166,27,FALSE)*AJ436,IF(AI436=4,('Calc (ex-animal)'!$R$84+'Calc (ex-animal)'!$Q$84)*'Calc (ex-housing, ex-storage)'!F436/100*VLOOKUP(D436,'DB technologies'!$N$210:$Y$222,11,FALSE)/100/VLOOKUP($C$433,'DB animal categories'!$C$157:$AC$166,27,FALSE)*AJ436,0))))</f>
        <v/>
      </c>
      <c r="AS436" s="181" t="str">
        <f>IF(D436="","",VLOOKUP(D436,'DB technologies'!$N$210:$Y$222,10,FALSE))</f>
        <v/>
      </c>
      <c r="AT436" s="442" t="str">
        <f>IF(AS436="","",AU436+AV436)</f>
        <v/>
      </c>
      <c r="AU436" s="442" t="str">
        <f>IF(D436="","",IF(AS436=2,0,IF(AS436=1,'Calc (ex-animal)'!$G$84*'DB additional information '!$K$18/100*(1-VLOOKUP(D436,'DB technologies'!$N$210:$Y$222,8,FALSE)/100)*'Calc (ex-housing, ex-storage)'!F436/100/VLOOKUP($C$433,'DB animal categories'!$C$157:$AC$166,27,FALSE)*AJ436+I436+J436+K436,IF(AS436=5,(('Calc (ex-animal)'!$G$84*'DB additional information '!$K$18/100+'Calc (ex-animal)'!$H$84*'DB additional information '!$L$18/100))*(1-VLOOKUP(D436,'DB technologies'!$N$210:$Y$222,9,FALSE)/100)*'Calc (ex-housing, ex-storage)'!F436/100/VLOOKUP($C$433,'DB animal categories'!$C$157:$AC$166,27,FALSE)*AJ436+I436+J436+K436,IF(AS436=3,('Calc (ex-animal)'!$G$84*'DB additional information '!$K$18/100+'Calc (ex-animal)'!$H$84*'DB additional information '!$L$18/100)*(1-VLOOKUP(D436,'DB technologies'!$N$210:$Y$222,9,FALSE)/100)*'Calc (ex-housing, ex-storage)'!F436/100/VLOOKUP($C$433,'DB animal categories'!$C$157:$AC$166,27,FALSE)*AJ436+I436+J436+K436,IF(AS436=4,('Calc (ex-animal)'!$G$84*'DB additional information '!$K$18/100+'Calc (ex-animal)'!$H$84*'DB additional information '!$L$18/100)*(1-VLOOKUP(D436,'DB technologies'!$N$210:$Y$222,9,FALSE)/100)*'Calc (ex-housing, ex-storage)'!F436/100*VLOOKUP(D436,'DB technologies'!$N$210:$Y$222,12,FALSE)/100/VLOOKUP($C$433,'DB animal categories'!$C$157:$AC$166,27,FALSE)*AJ436+I436+J436+K436,0))))))</f>
        <v/>
      </c>
      <c r="AV436" s="442" t="str">
        <f>IF(D436="","",IF(AS436=2,0,IF(AS436=1,'Calc (ex-animal)'!$G$84*(1-'DB additional information '!$K$18/100)*(1-VLOOKUP(D436,'DB technologies'!$N$210:$Y$222,8,FALSE)/100)*'Calc (ex-housing, ex-storage)'!F436/100/VLOOKUP($C$433,'DB animal categories'!$C$157:$AC$166,27,FALSE)*AJ436+M436+N436+O436,IF(AS436=5,('Calc (ex-animal)'!$G$84*(1-'DB additional information '!$K$18/100)+'Calc (ex-animal)'!$H$84*(1-'DB additional information '!$L$18/100))*(1-VLOOKUP(D436,'DB technologies'!$N$210:$Y$222,8,FALSE)/100)*'Calc (ex-housing, ex-storage)'!F436/100/VLOOKUP($C$433,'DB animal categories'!$C$157:$AC$166,27,FALSE)*AJ436+M436+N436+O436,IF(AS436=3,('Calc (ex-animal)'!$G$84*(1-'DB additional information '!$K$18/100)+'Calc (ex-animal)'!$H$84*(1-'DB additional information '!$L$18/100))*(1-VLOOKUP(D436,'DB technologies'!$N$210:$Y$222,8,FALSE)/100)*'Calc (ex-housing, ex-storage)'!F436/100/VLOOKUP($C$433,'DB animal categories'!$C$157:$AC$166,27,FALSE)*AJ436+M436+N436+O436,IF(AS436=4,('Calc (ex-animal)'!$G$84*(1-'DB additional information '!$K$18/100)+'Calc (ex-animal)'!$H$84*(1-'DB additional information '!$L$18/100))*(1-VLOOKUP(D436,'DB technologies'!$N$210:$Y$222,8,FALSE)/100)*'Calc (ex-housing, ex-storage)'!F436/100*VLOOKUP(D436,'DB technologies'!$N$210:$Y$222,12,FALSE)/100/VLOOKUP($C$433,'DB animal categories'!$C$157:$AC$166,27,FALSE)*AJ436+M436+N436+O436,0))))))</f>
        <v/>
      </c>
      <c r="AW436" s="442" t="str">
        <f>IF(AS436="","",IF(AU436=0,0,AU436/AT436*100))</f>
        <v/>
      </c>
      <c r="AX436" s="182" t="str">
        <f>IF(D436="","",IF(AS436=2,0,IF(AS436=1,'Calc (ex-animal)'!$K$84*'Calc (ex-housing, ex-storage)'!F436/100/VLOOKUP($C$433,'DB animal categories'!$C$157:$AC$166,27,FALSE)*AJ436+Q436+R436+S436,IF(AS436=5,('Calc (ex-animal)'!$K$84+'Calc (ex-animal)'!$L$84)*'Calc (ex-housing, ex-storage)'!F436/100/VLOOKUP($C$433,'DB animal categories'!$C$157:$AC$166,27,FALSE)*AJ436+Q436+R436+S436-'Calc (ex-housing, ex-storage)'!AC436,IF(AS436=3,('Calc (ex-animal)'!$K$84+'Calc (ex-animal)'!$L$84)*'Calc (ex-housing, ex-storage)'!F436/100/VLOOKUP($C$433,'DB animal categories'!$C$157:$AC$166,27,FALSE)*AJ436+Q436+R436+S436-'Calc (ex-housing, ex-storage)'!AC436-AD436-AE436,IF(AI436=4,('Calc (ex-animal)'!$K$84+'Calc (ex-animal)'!$L$84)*'Calc (ex-housing, ex-storage)'!F436/100*VLOOKUP(D436,'DB technologies'!$N$210:$Y$222,12,FALSE)/100/VLOOKUP($C$433,'DB animal categories'!$C$157:$AC$166,27,FALSE)*AJ436+Q436+R436+S436-(VLOOKUP(D436,'DB technologies'!$N$210:$Y$222,12,FALSE)/100*AC436)-AD436-AE436,0))))))</f>
        <v/>
      </c>
      <c r="AY436" s="182" t="str">
        <f>IF(D436="","",IF(AS436=2,0,IF(AS436=1,'Calc (ex-animal)'!$N$84*'Calc (ex-housing, ex-storage)'!F436/100/VLOOKUP($C$433,'DB animal categories'!$C$157:$AC$166,27,FALSE)*AJ436+U436+V436+W436,IF(AS436=5,('Calc (ex-animal)'!$N$84+'Calc (ex-animal)'!$O$84)*'Calc (ex-housing, ex-storage)'!F436/100/VLOOKUP($C$433,'DB animal categories'!$C$157:$AC$166,27,FALSE)*AJ436+U436+V436+W436,IF(AS436=3,('Calc (ex-animal)'!$N$84+'Calc (ex-animal)'!$O$84)*'Calc (ex-housing, ex-storage)'!F436/100/VLOOKUP($C$433,'DB animal categories'!$C$157:$AC$166,27,FALSE)*AJ436+U436+V436+W436,IF(AS436=4,('Calc (ex-animal)'!$N$84+'Calc (ex-animal)'!$O$84)*'Calc (ex-housing, ex-storage)'!F436/100*VLOOKUP(D436,'DB technologies'!$N$210:$Y$222,12,FALSE)/100/VLOOKUP($C$433,'DB animal categories'!$C$157:$AC$166,27,FALSE)*AJ436+U436+V436+W436,0))))))</f>
        <v/>
      </c>
      <c r="AZ436" s="182" t="str">
        <f>IF(D436="","",IF(AS436=2,0,IF(AS436=1,'Calc (ex-animal)'!$Q$84*'Calc (ex-housing, ex-storage)'!F436/100/VLOOKUP($C$433,'DB animal categories'!$C$157:$AC$166,27,FALSE)*AJ436+Y436+Z436+AA436,IF(AS436=5,('Calc (ex-animal)'!$Q$84+'Calc (ex-animal)'!$R$84)*'Calc (ex-housing, ex-storage)'!F436/100/VLOOKUP($C$433,'DB animal categories'!$C$157:$AC$166,27,FALSE)*AJ436+Y436+Z436+AA436,IF(AS436=3,('Calc (ex-animal)'!$Q$84+'Calc (ex-animal)'!$R$84)*'Calc (ex-housing, ex-storage)'!F436/100/VLOOKUP($C$433,'DB animal categories'!$C$157:$AC$166,27,FALSE)*AJ436+Y436+Z436+AA436,IF(AS436=4,('Calc (ex-animal)'!$Q$84+'Calc (ex-animal)'!$R$84)*'Calc (ex-housing, ex-storage)'!F436/100*VLOOKUP(D436,'DB technologies'!$N$210:$Y$222,12,FALSE)/100/VLOOKUP($C$433,'DB animal categories'!$C$157:$AC$166,27,FALSE)*AJ436+Y436+Z436+AA436,0))))))</f>
        <v/>
      </c>
      <c r="BA436" s="506"/>
      <c r="BB436" s="506"/>
      <c r="BC436" s="506"/>
    </row>
    <row r="437" spans="1:55" ht="12" thickBot="1" x14ac:dyDescent="0.25">
      <c r="A437" s="695"/>
      <c r="B437" s="695"/>
      <c r="C437" s="251"/>
      <c r="D437" s="1359"/>
      <c r="E437" s="1360"/>
      <c r="F437" s="481" t="str">
        <f>IF('Calc (ex-animal)'!$F$83=1,"",IF($C$433=0,"",IF(D437="","",E437/'Calc (ex-animal)'!$E$84*100)))</f>
        <v/>
      </c>
      <c r="G437" s="483" t="str">
        <f>IF($C$433=0,"",IF('Calc (ex-animal)'!$F$83=1,"",IF(D437="","",SUM(H437:O437))))</f>
        <v/>
      </c>
      <c r="H437" s="445" t="str">
        <f>IF('Calc (ex-animal)'!$F$83=1,"",IF(D437="","",(((VLOOKUP($C$433,'Calc (ex-animal)'!$D$83:$Y$87,6,FALSE)-VLOOKUP($C$433,'Calc (ex-animal)'!$D$83:$Y$87,17,FALSE))*F437/100))*VLOOKUP($C$433,'Calc (ex-animal)'!$D$83:$Y$87,7,FALSE)/100*(1-VLOOKUP(D437,'DB technologies'!$N$210:$Y$222,9,FALSE)/100)))</f>
        <v/>
      </c>
      <c r="I437" s="445" t="str">
        <f>IF(D437="","",((VLOOKUP(D437,'DB technologies'!$N$210:$Y$222,2,FALSE)*VLOOKUP($C$433,'DB animal categories'!$C$157:$AC$166,27,FALSE)*E437/1000)/VLOOKUP($C$433,'DB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'!$S$6/100*(1-VLOOKUP(D437,'DB technologies'!$N$210:$Y$222,9,FALSE)/100)))</f>
        <v/>
      </c>
      <c r="J437" s="446" t="str">
        <f>IF(D437="","",((VLOOKUP(D437,'DB technologies'!$N$210:$Y$222,3,FALSE)*VLOOKUP($C$433,'DB animal categories'!$C$157:$AC$166,27,FALSE)*E437/1000)/VLOOKUP($C$433,'DB animal categories'!$C$157:$AC$166,27,FALSE)*(VLOOKUP($C$433,'DB animal categories'!$C$157:$AC$166,27,FALSE)-(VLOOKUP($C$433,'DB animal categories'!$C$157:$AC$166,25,FALSE)*VLOOKUP($C$433,'DB animal categories'!$C$157:$AC$166,26,FALSE)/24))*'DB additional information '!$S$7/100*(1-VLOOKUP(D437,'DB technologies'!$N$210:$Y$222,9,FALSE)/100)))</f>
        <v/>
      </c>
      <c r="K437" s="446" t="str">
        <f>IF(D437="","",((VLOOKUP(D437,'DB technologies'!$N$210:$Y$222,4,FALSE)*E437*'DB additional information '!$S$8/100*(1-VLOOKUP(D437,'DB technologies'!$N$210:$Y$222,9,FALSE)/100))/VLOOKUP($C$433,'DB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L437" s="445" t="str">
        <f>IF('Calc (ex-animal)'!$F$83=1,"",IF(D437="","",(((VLOOKUP($C$433,'Calc (ex-animal)'!$D$83:$Y$87,6,FALSE)-VLOOKUP($C$433,'Calc (ex-animal)'!$D$83:$Y$87,17,FALSE))*F437/100))*(1-VLOOKUP($C$433,'Calc (ex-animal)'!$D$83:$Y$87,7,FALSE)/100)*(1-VLOOKUP(D437,'DB technologies'!$N$210:$V$222,8,FALSE)/100)))</f>
        <v/>
      </c>
      <c r="M437" s="446" t="str">
        <f>IF(D437="","",((VLOOKUP(D437,'DB technologies'!$N$210:$Y$222,2,FALSE)*VLOOKUP($C$433,'DB animal categories'!$C$157:$AC$166,27,FALSE)*E437/1000)/VLOOKUP($C$433,'DB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'!$S$6/100)*(1-VLOOKUP(D437,'DB technologies'!$N$210:$Y$222,9,FALSE)/100))</f>
        <v/>
      </c>
      <c r="N437" s="446" t="str">
        <f>IF(D437="","",((VLOOKUP(D437,'DB technologies'!$N$210:$Y$222,3,FALSE)*VLOOKUP($C$433,'DB animal categories'!$C$157:$AC$166,27,FALSE)*E437/1000)/VLOOKUP($C$433,'DB animal categories'!$C$157:$AC$166,27,FALSE)*(VLOOKUP($C$433,'DB animal categories'!$C$157:$AC$166,27,FALSE)-VLOOKUP($C$433,'DB animal categories'!$C$157:$AC$166,25,FALSE)*VLOOKUP($C$433,'DB animal categories'!$C$157:$AC$166,26,FALSE)/24))*(1-'DB additional information '!$S$7/100)*(1-VLOOKUP(D437,'DB technologies'!$N$210:$Y$222,9,FALSE)/100))</f>
        <v/>
      </c>
      <c r="O437" s="445" t="str">
        <f>IF(D437="","",((VLOOKUP(D437,'DB technologies'!$N$210:$Y$222,4,FALSE)*E437*(1-'DB additional information '!$S$8/100)*(1-VLOOKUP(D437,'DB technologies'!$N$210:$Y$222,8,FALSE)/100))/VLOOKUP($C$433,'DB animal categories'!$C$157:$AC$166,27,FALSE)*(VLOOKUP($C$433,'DB animal categories'!$C$157:$AC$166,27,FALSE)-VLOOKUP($C$433,'DB animal categories'!$C$157:$AC$166,25,FALSE)*VLOOKUP($C$433,'DB animal categories'!$C$157:$AC$166,26,FALSE)/24)))</f>
        <v/>
      </c>
      <c r="P437" s="444" t="str">
        <f>IF(G437=0,0,IF(E437="","",IF(F437="","",IF($C$433=0,"",IF(D437="","",SUM(H437:K437)/G437*100)))))</f>
        <v/>
      </c>
      <c r="Q437" s="476" t="str">
        <f>IF(D437="","",(VLOOKUP(D437,'DB technologies'!$N$210:$Y$222,2,FALSE)*'DB additional information '!$S$6/100*'DB additional information '!$T$6*VLOOKUP($C$433,'DB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R437" s="476" t="str">
        <f>IF(D437="","",(VLOOKUP(D437,'DB technologies'!$N$210:$Y$222,3,FALSE)*'DB additional information '!$S$7/100*'DB additional information '!$T$7*VLOOKUP($C$433,'DB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S437" s="494" t="str">
        <f>IF(D437="","",(VLOOKUP(D437,'DB technologies'!$N$210:$Y$222,4,FALSE)*('DB additional information '!$S$8/100*'DB additional information '!$T$8*E437/1000/1000)))</f>
        <v/>
      </c>
      <c r="T437" s="266" t="str">
        <f>IF($C$433=0,"",IF('Calc (ex-animal)'!$F$83=1,"",IF(D437="","",((VLOOKUP($C$433,'Calc (ex-animal)'!$D$83:$Y$87,10,FALSE)-VLOOKUP($C$433,'Calc (ex-animal)'!$D$83:$Y$87,18,FALSE))*F437/100+Q437+R437+S437)-AC437-AD437-AE437)))</f>
        <v/>
      </c>
      <c r="U437" s="477" t="str">
        <f>IF(D437="","",(VLOOKUP(D437,'DB technologies'!$N$210:$Y$222,2,FALSE)*'DB additional information '!$S$6/100*'DB additional information '!$U$6*VLOOKUP($C$433,'DB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V437" s="433" t="str">
        <f>IF(D437="","",(VLOOKUP(D437,'DB technologies'!$N$210:$Y$222,3,FALSE)*'DB additional information '!$S$7/100*'DB additional information '!$U$7*VLOOKUP($C$433,'DB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W437" s="475" t="str">
        <f>IF(D437="","",(VLOOKUP(D437,'DB technologies'!$N$210:$Y$222,4,FALSE)*('DB additional information '!$S$8/100*'DB additional information '!$U$8*E437/1000/1000)))</f>
        <v/>
      </c>
      <c r="X437" s="267" t="str">
        <f>IF($C$433=0,"",IF('Calc (ex-animal)'!$F$83=1,"",IF(D437="","",((VLOOKUP($C$433,'Calc (ex-animal)'!$D$83:$Y$87,13,FALSE)-VLOOKUP($C$433,'Calc (ex-animal)'!$D$83:$Y$87,19,FALSE))*F437/100+U437+V437+W437))))</f>
        <v/>
      </c>
      <c r="Y437" s="433" t="str">
        <f>IF(D437="","",(VLOOKUP(D437,'DB technologies'!$N$210:$Y$222,2,FALSE)*'DB additional information '!$S$6/100*'DB additional information '!$V$6*VLOOKUP($C$433,'DB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Z437" s="433" t="str">
        <f>IF(D437="","",(VLOOKUP(D437,'DB technologies'!$N$210:$Y$222,3,FALSE)*'DB additional information '!$S$7/100*'DB additional information '!$V$7*VLOOKUP($C$433,'DB animal categories'!$C$157:$AC$166,27,FALSE)*E437/1000/1000)/VLOOKUP($C$433,'DB animal categories'!$C$157:$AC$166,27,FALSE)*(VLOOKUP($C$433,'DB animal categories'!$C$157:$AC$166,27,FALSE)-VLOOKUP($C$433,'DB animal categories'!$C$157:$AC$166,25,FALSE)*VLOOKUP($C$433,'DB animal categories'!$C$157:$AC$166,26,FALSE)/24))</f>
        <v/>
      </c>
      <c r="AA437" s="433" t="str">
        <f>IF(D437="","",(VLOOKUP(D437,'DB technologies'!$N$210:$Y$222,4,FALSE)*('DB additional information '!$S$8/100*'DB additional information '!$V$8*E437/1000/1000)))</f>
        <v/>
      </c>
      <c r="AB437" s="267" t="str">
        <f>IF($C$433=0,"",IF('Calc (ex-animal)'!$F$83=1,"",IF(D437="","",((VLOOKUP($C$433,'Calc (ex-animal)'!$D$83:$Y$87,16,FALSE)-VLOOKUP($C$433,'Calc (ex-animal)'!$D$83:$Y$87,20,FALSE))*F437/100+Y437+Z437+AA437))))</f>
        <v/>
      </c>
      <c r="AC437" s="267" t="str">
        <f>IF($C$433=0,"",IF('Calc (ex-animal)'!$F$83=1,"",IF(D437="","",VLOOKUP($C$433,'Calc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categories'!$C$157:$AC$166,26,FALSE)/24)*F437/100*VLOOKUP(D437,'DB technologies'!$N$210:$R$222,5,FALSE)/100)))</f>
        <v/>
      </c>
      <c r="AD437" s="267" t="str">
        <f>IF($C$433=0,"",IF('Calc (ex-animal)'!$F$83=1,"",IF(D437="","",VLOOKUP($C$433,'Calc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categories'!$C$157:$AC$166,26,FALSE)/24)*F437/100*VLOOKUP(D437,'DB technologies'!$N$210:$Y$222,6,FALSE)/100)))</f>
        <v/>
      </c>
      <c r="AE437" s="268" t="str">
        <f>IF($C$433=0,"",IF('Calc (ex-animal)'!$F$83=1,"",IF(D437="","",VLOOKUP($C$433,'Calc (ex-animal)'!$D$83:$Y$87,10,FALSE)/VLOOKUP($C$433,'DB animal categories'!$C$157:$AC$166,27,FALSE)*(VLOOKUP($C$433,'DB animal categories'!$C$157:$AC$166,27,FALSE)-VLOOKUP($C$433,'DB animal categories'!$C$157:$AC$166,25,FALSE)*VLOOKUP($C$433,'DB animal categories'!$C$157:$AC$166,26,FALSE)/24)*F437/100*VLOOKUP(D437,'DB technologies'!$N$210:$Y$222,7,FALSE)/100)))</f>
        <v/>
      </c>
      <c r="AI437" s="183" t="str">
        <f>IF(D437="","",VLOOKUP(D437,'DB technologies'!$N$210:$Y$222,10,FALSE))</f>
        <v/>
      </c>
      <c r="AJ437" s="451" t="e">
        <f>VLOOKUP($C$433,'DB animal categories'!$C$157:$AN$166,27,FALSE)-VLOOKUP($C$433,'DB animal categories'!$C$157:$AN$166,26,FALSE)*VLOOKUP($C$433,'DB animal categories'!$C$157:$AN$166,25,FALSE)/24</f>
        <v>#N/A</v>
      </c>
      <c r="AK437" s="452" t="str">
        <f>IF(AI437="","",AL437+AM437)</f>
        <v/>
      </c>
      <c r="AL437" s="452" t="str">
        <f>IF(D437="","",IF(AI437=2,(('Calc (ex-animal)'!$G$84*'DB additional information '!$K$18/100*(1-VLOOKUP(D437,'DB technologies'!$N$210:$Y$222,9,FALSE)/100)*'Calc (ex-housing, ex-storage)'!F437/100+'Calc (ex-animal)'!$H$84*'DB additional information '!$L$18/100*(1-VLOOKUP(D437,'DB technologies'!$N$210:$Y$222,9,FALSE)/100)*'Calc (ex-housing, ex-storage)'!F437/100))/VLOOKUP($C$433,'DB animal categories'!$C$157:$AC$166,27,FALSE)*AJ437+I437+J437+K437,IF(AI437=1,('Calc (ex-animal)'!$H$84*'DB additional information '!$L$18/100*(1-VLOOKUP(D437,'DB technologies'!$N$210:$Y$222,9,FALSE)/100)*'Calc (ex-housing, ex-storage)'!F437/100)/VLOOKUP($C$433,'DB animal categories'!$C$157:$AC$166,27,FALSE)*AJ437,IF(AI437=4,('Calc (ex-animal)'!$G$84*'DB additional information '!$K$18/100+'Calc (ex-animal)'!$H$84*'DB additional information '!$L$18/100)*(1-VLOOKUP(D437,'DB technologies'!$N$210:$Y$222,9,FALSE)/100)*'Calc (ex-housing, ex-storage)'!F437/100*VLOOKUP(D437,'DB technologies'!$N$210:$Y$222,11,FALSE)/100/VLOOKUP($C$433,'DB animal categories'!$C$157:$AC$166,27,FALSE)*AJ437,0))))</f>
        <v/>
      </c>
      <c r="AM437" s="452" t="str">
        <f>IF(D437="","",IF(AI437=2,(('Calc (ex-animal)'!$G$84*(1-'DB additional information '!$K$18/100)*(1-VLOOKUP(D437,'DB technologies'!$N$210:$Y$222,8,FALSE)/100)*'Calc (ex-housing, ex-storage)'!F437/100+'Calc (ex-animal)'!$H$84*(1-'DB additional information '!$L$18/100)*(1-VLOOKUP(D437,'DB technologies'!$N$210:$Y$222,8,FALSE)/100)*'Calc (ex-housing, ex-storage)'!F437/100))/VLOOKUP($C$433,'DB animal categories'!$C$157:$AC$166,27,FALSE)*AJ437+M437+N437+O437,IF(AI437=1,('Calc (ex-animal)'!$H$84*(1-'DB additional information '!$L$18/100)*(1-VLOOKUP(D437,'DB technologies'!$N$210:$Y$222,8,FALSE)/100)*'Calc (ex-housing, ex-storage)'!F437/100)/VLOOKUP($C$433,'DB animal categories'!$C$157:$AC$166,27,FALSE)*AJ437,IF(AI437=4,('Calc (ex-animal)'!$G$84*(1-'DB additional information '!$K$18/100)+'Calc (ex-animal)'!$H$84*(1-'DB additional information '!$L$18/100))*(1-VLOOKUP(D437,'DB technologies'!$N$210:$Y$222,8,FALSE)/100)*'Calc (ex-housing, ex-storage)'!F437/100*VLOOKUP(D437,'DB technologies'!$N$210:$Y$222,11,FALSE)/100/VLOOKUP($C$433,'DB animal categories'!$C$157:$AC$166,27,FALSE)*AJ437,0))))</f>
        <v/>
      </c>
      <c r="AN437" s="452" t="str">
        <f>IF(AI437="","",IF(AL437=0,0,AL437/AK437*100))</f>
        <v/>
      </c>
      <c r="AO437" s="184" t="str">
        <f>IF(D437="","",IF(AI437=2,(('Calc (ex-animal)'!$L$84*'Calc (ex-housing, ex-storage)'!F437/100+'Calc (ex-animal)'!$K$84*'Calc (ex-housing, ex-storage)'!F437/100))/VLOOKUP($C$433,'DB animal categories'!$C$157:$AC$166,27,FALSE)*AJ437+Q437+R437+S437-AC437,IF(AI437=1,('Calc (ex-animal)'!$L$84*'Calc (ex-housing, ex-storage)'!F437/100)/VLOOKUP($C$433,'DB animal categories'!$C$157:$AC$166,27,FALSE)*AJ437-'Calc (ex-housing, ex-storage)'!AC437,IF(AI437=4,('Calc (ex-animal)'!$L$84+'Calc (ex-animal)'!$K$84)*'Calc (ex-housing, ex-storage)'!F437/100*VLOOKUP(D437,'DB technologies'!$N$210:$Y$222,11,FALSE)/100/VLOOKUP($C$433,'DB animal categories'!$C$157:$AC$166,27,FALSE)*AJ437-AC437*VLOOKUP(D437,'DB technologies'!$N$210:$Y$222,11,FALSE)/100,0))))</f>
        <v/>
      </c>
      <c r="AP437" s="184" t="str">
        <f>IF(D437="","",IF(AO437&lt;-0.01,0,IF(AI437=2,(('Calc (ex-animal)'!$L$84*'Calc (ex-housing, ex-storage)'!F437/100+'Calc (ex-animal)'!$K$84*'Calc (ex-housing, ex-storage)'!F437/100))/VLOOKUP($C$433,'DB animal categories'!$C$157:$AC$166,27,FALSE)*AJ437+Q437+R437+S437-AC437,IF(AI437=1,('Calc (ex-animal)'!$L$84*'Calc (ex-housing, ex-storage)'!F437/100)/VLOOKUP($C$433,'DB animal categories'!$C$157:$AC$166,27,FALSE)*AJ437-'Calc (ex-housing, ex-storage)'!AC437,IF(AI437=4,('Calc (ex-animal)'!$L$84+'Calc (ex-animal)'!$K$84)*'Calc (ex-housing, ex-storage)'!F437/100*VLOOKUP(D437,'DB technologies'!$N$210:$Y$222,11,FALSE)/100/VLOOKUP($C$433,'DB animal categories'!$C$157:$AC$166,27,FALSE)*AJ437-AC437*VLOOKUP(D437,'DB technologies'!$N$210:$Y$222,11,FALSE)/100,0)))))</f>
        <v/>
      </c>
      <c r="AQ437" s="184" t="str">
        <f>IF(D437="","",IF(AI437=2,('Calc (ex-animal)'!$O$84*'Calc (ex-housing, ex-storage)'!F437/100+'Calc (ex-animal)'!$N$84*'Calc (ex-housing, ex-storage)'!F437/100)/VLOOKUP($C$433,'DB animal categories'!$C$157:$AC$166,27,FALSE)*AJ437+U437+V437+W437,IF(AI437=1,'Calc (ex-animal)'!$O$84*'Calc (ex-housing, ex-storage)'!F437/100/VLOOKUP($C$433,'DB animal categories'!$C$157:$AC$166,27,FALSE)*AJ437,IF(AI437=4,('Calc (ex-animal)'!$O$84+'Calc (ex-animal)'!$N$84)*'Calc (ex-housing, ex-storage)'!F437/100*VLOOKUP(D437,'DB technologies'!$N$210:$Y$222,11,FALSE)/100/VLOOKUP($C$433,'DB animal categories'!$C$157:$AC$166,27,FALSE)*AJ437,0))))</f>
        <v/>
      </c>
      <c r="AR437" s="184" t="str">
        <f>IF(D437="","",IF(AI437=2,('Calc (ex-animal)'!$R$84*'Calc (ex-housing, ex-storage)'!F437/100+'Calc (ex-animal)'!$Q$84*'Calc (ex-housing, ex-storage)'!F437/100)/VLOOKUP($C$433,'DB animal categories'!$C$157:$AC$166,27,FALSE)*AJ437+Y437+Z437+AA437,IF(AI437=1,'Calc (ex-animal)'!$R$84*'Calc (ex-housing, ex-storage)'!F437/100/VLOOKUP($C$433,'DB animal categories'!$C$157:$AC$166,27,FALSE)*AJ437,IF(AI437=4,('Calc (ex-animal)'!$R$84+'Calc (ex-animal)'!$Q$84)*'Calc (ex-housing, ex-storage)'!F437/100*VLOOKUP(D437,'DB technologies'!$N$210:$Y$222,11,FALSE)/100/VLOOKUP($C$433,'DB animal categories'!$C$157:$AC$166,27,FALSE)*AJ437,0))))</f>
        <v/>
      </c>
      <c r="AS437" s="183" t="str">
        <f>IF(D437="","",VLOOKUP(D437,'DB technologies'!$N$210:$Y$222,10,FALSE))</f>
        <v/>
      </c>
      <c r="AT437" s="452" t="str">
        <f>IF(AS437="","",AU437+AV437)</f>
        <v/>
      </c>
      <c r="AU437" s="452" t="str">
        <f>IF(D437="","",IF(AS437=2,0,IF(AS437=1,'Calc (ex-animal)'!$G$84*'DB additional information '!$K$18/100*(1-VLOOKUP(D437,'DB technologies'!$N$210:$Y$222,8,FALSE)/100)*'Calc (ex-housing, ex-storage)'!F437/100/VLOOKUP($C$433,'DB animal categories'!$C$157:$AC$166,27,FALSE)*AJ437+I437+J437+K437,IF(AS437=5,(('Calc (ex-animal)'!$G$84*'DB additional information '!$K$18/100+'Calc (ex-animal)'!$H$84*'DB additional information '!$L$18/100))*(1-VLOOKUP(D437,'DB technologies'!$N$210:$Y$222,9,FALSE)/100)*'Calc (ex-housing, ex-storage)'!F437/100/VLOOKUP($C$433,'DB animal categories'!$C$157:$AC$166,27,FALSE)*AJ437+I437+J437+K437,IF(AS437=3,('Calc (ex-animal)'!$G$84*'DB additional information '!$K$18/100+'Calc (ex-animal)'!$H$84*'DB additional information '!$L$18/100)*(1-VLOOKUP(D437,'DB technologies'!$N$210:$Y$222,9,FALSE)/100)*'Calc (ex-housing, ex-storage)'!F437/100/VLOOKUP($C$433,'DB animal categories'!$C$157:$AC$166,27,FALSE)*AJ437+I437+J437+K437,IF(AS437=4,('Calc (ex-animal)'!$G$84*'DB additional information '!$K$18/100+'Calc (ex-animal)'!$H$84*'DB additional information '!$L$18/100)*(1-VLOOKUP(D437,'DB technologies'!$N$210:$Y$222,9,FALSE)/100)*'Calc (ex-housing, ex-storage)'!F437/100*VLOOKUP(D437,'DB technologies'!$N$210:$Y$222,12,FALSE)/100/VLOOKUP($C$433,'DB animal categories'!$C$157:$AC$166,27,FALSE)*AJ437+I437+J437+K437,0))))))</f>
        <v/>
      </c>
      <c r="AV437" s="452" t="str">
        <f>IF(D437="","",IF(AS437=2,0,IF(AS437=1,'Calc (ex-animal)'!$G$84*(1-'DB additional information '!$K$18/100)*(1-VLOOKUP(D437,'DB technologies'!$N$210:$Y$222,8,FALSE)/100)*'Calc (ex-housing, ex-storage)'!F437/100/VLOOKUP($C$433,'DB animal categories'!$C$157:$AC$166,27,FALSE)*AJ437+M437+N437+O437,IF(AS437=5,('Calc (ex-animal)'!$G$84*(1-'DB additional information '!$K$18/100)+'Calc (ex-animal)'!$H$84*(1-'DB additional information '!$L$18/100))*(1-VLOOKUP(D437,'DB technologies'!$N$210:$Y$222,8,FALSE)/100)*'Calc (ex-housing, ex-storage)'!F437/100/VLOOKUP($C$433,'DB animal categories'!$C$157:$AC$166,27,FALSE)*AJ437+M437+N437+O437,IF(AS437=3,('Calc (ex-animal)'!$G$84*(1-'DB additional information '!$K$18/100)+'Calc (ex-animal)'!$H$84*(1-'DB additional information '!$L$18/100))*(1-VLOOKUP(D437,'DB technologies'!$N$210:$Y$222,8,FALSE)/100)*'Calc (ex-housing, ex-storage)'!F437/100/VLOOKUP($C$433,'DB animal categories'!$C$157:$AC$166,27,FALSE)*AJ437+M437+N437+O437,IF(AS437=4,('Calc (ex-animal)'!$G$84*(1-'DB additional information '!$K$18/100)+'Calc (ex-animal)'!$H$84*(1-'DB additional information '!$L$18/100))*(1-VLOOKUP(D437,'DB technologies'!$N$210:$Y$222,8,FALSE)/100)*'Calc (ex-housing, ex-storage)'!F437/100*VLOOKUP(D437,'DB technologies'!$N$210:$Y$222,12,FALSE)/100/VLOOKUP($C$433,'DB animal categories'!$C$157:$AC$166,27,FALSE)*AJ437+M437+N437+O437,0))))))</f>
        <v/>
      </c>
      <c r="AW437" s="452" t="str">
        <f>IF(AS437="","",IF(AU437=0,0,AU437/AT437*100))</f>
        <v/>
      </c>
      <c r="AX437" s="184" t="str">
        <f>IF(D437="","",IF(AS437=2,0,IF(AS437=1,'Calc (ex-animal)'!$K$84*'Calc (ex-housing, ex-storage)'!F437/100/VLOOKUP($C$433,'DB animal categories'!$C$157:$AC$166,27,FALSE)*AJ437+Q437+R437+S437,IF(AS437=5,('Calc (ex-animal)'!$K$84+'Calc (ex-animal)'!$L$84)*'Calc (ex-housing, ex-storage)'!F437/100/VLOOKUP($C$433,'DB animal categories'!$C$157:$AC$166,27,FALSE)*AJ437+Q437+R437+S437-'Calc (ex-housing, ex-storage)'!AC437,IF(AS437=3,('Calc (ex-animal)'!$K$84+'Calc (ex-animal)'!$L$84)*'Calc (ex-housing, ex-storage)'!F437/100/VLOOKUP($C$433,'DB animal categories'!$C$157:$AC$166,27,FALSE)*AJ437+Q437+R437+S437-'Calc (ex-housing, ex-storage)'!AC437-AD437-AE437,IF(AI437=4,('Calc (ex-animal)'!$K$84+'Calc (ex-animal)'!$L$84)*'Calc (ex-housing, ex-storage)'!F437/100*VLOOKUP(D437,'DB technologies'!$N$210:$Y$222,12,FALSE)/100/VLOOKUP($C$433,'DB animal categories'!$C$157:$AC$166,27,FALSE)*AJ437+Q437+R437+S437-(VLOOKUP(D437,'DB technologies'!$N$210:$Y$222,12,FALSE)/100*AC437)-AD437-AE437,0))))))</f>
        <v/>
      </c>
      <c r="AY437" s="184" t="str">
        <f>IF(D437="","",IF(AS437=2,0,IF(AS437=1,'Calc (ex-animal)'!$N$84*'Calc (ex-housing, ex-storage)'!F437/100/VLOOKUP($C$433,'DB animal categories'!$C$157:$AC$166,27,FALSE)*AJ437+U437+V437+W437,IF(AS437=5,('Calc (ex-animal)'!$N$84+'Calc (ex-animal)'!$O$84)*'Calc (ex-housing, ex-storage)'!F437/100/VLOOKUP($C$433,'DB animal categories'!$C$157:$AC$166,27,FALSE)*AJ437+U437+V437+W437,IF(AS437=3,('Calc (ex-animal)'!$N$84+'Calc (ex-animal)'!$O$84)*'Calc (ex-housing, ex-storage)'!F437/100/VLOOKUP($C$433,'DB animal categories'!$C$157:$AC$166,27,FALSE)*AJ437+U437+V437+W437,IF(AS437=4,('Calc (ex-animal)'!$N$84+'Calc (ex-animal)'!$O$84)*'Calc (ex-housing, ex-storage)'!F437/100*VLOOKUP(D437,'DB technologies'!$N$210:$Y$222,12,FALSE)/100/VLOOKUP($C$433,'DB animal categories'!$C$157:$AC$166,27,FALSE)*AJ437+U437+V437+W437,0))))))</f>
        <v/>
      </c>
      <c r="AZ437" s="184" t="str">
        <f>IF(D437="","",IF(AS437=2,0,IF(AS437=1,'Calc (ex-animal)'!$Q$84*'Calc (ex-housing, ex-storage)'!F437/100/VLOOKUP($C$433,'DB animal categories'!$C$157:$AC$166,27,FALSE)*AJ437+Y437+Z437+AA437,IF(AS437=5,('Calc (ex-animal)'!$Q$84+'Calc (ex-animal)'!$R$84)*'Calc (ex-housing, ex-storage)'!F437/100/VLOOKUP($C$433,'DB animal categories'!$C$157:$AC$166,27,FALSE)*AJ437+Y437+Z437+AA437,IF(AS437=3,('Calc (ex-animal)'!$Q$84+'Calc (ex-animal)'!$R$84)*'Calc (ex-housing, ex-storage)'!F437/100/VLOOKUP($C$433,'DB animal categories'!$C$157:$AC$166,27,FALSE)*AJ437+Y437+Z437+AA437,IF(AS437=4,('Calc (ex-animal)'!$Q$84+'Calc (ex-animal)'!$R$84)*'Calc (ex-housing, ex-storage)'!F437/100*VLOOKUP(D437,'DB technologies'!$N$210:$Y$222,12,FALSE)/100/VLOOKUP($C$433,'DB animal categories'!$C$157:$AC$166,27,FALSE)*AJ437+Y437+Z437+AA437,0))))))</f>
        <v/>
      </c>
      <c r="BA437" s="506"/>
      <c r="BB437" s="506"/>
      <c r="BC437" s="506"/>
    </row>
    <row r="438" spans="1:55" ht="12" thickBot="1" x14ac:dyDescent="0.25">
      <c r="A438" s="695"/>
      <c r="B438" s="695"/>
      <c r="C438" s="252"/>
      <c r="D438" s="269" t="s">
        <v>58</v>
      </c>
      <c r="E438" s="270">
        <f>IF(F438&lt;=100,SUM(E433:E437),"ERROR")</f>
        <v>0</v>
      </c>
      <c r="F438" s="284">
        <f>IF(SUM(F433:F437) &lt;=100,SUM(F433:F437),"ERROR, SUM&gt;100%")</f>
        <v>0</v>
      </c>
      <c r="G438" s="550">
        <f>IF('Calc (ex-animal)'!$F$83=1,"",SUM(G433:G437))</f>
        <v>0</v>
      </c>
      <c r="H438" s="418">
        <f>IF('Calc (ex-animal)'!$F$8=1,"",SUM(H433:H437))</f>
        <v>0</v>
      </c>
      <c r="I438" s="418">
        <f>IF('Calc (ex-animal)'!$F$8=1,"",SUM(I433:I437))</f>
        <v>0</v>
      </c>
      <c r="J438" s="418">
        <f>IF('Calc (ex-animal)'!$F$8=1,"",SUM(J433:J437))</f>
        <v>0</v>
      </c>
      <c r="K438" s="418">
        <f>IF('Calc (ex-animal)'!$F$8=1,"",SUM(K433:K437))</f>
        <v>0</v>
      </c>
      <c r="L438" s="418">
        <f>IF('Calc (ex-animal)'!$F$8=1,"",SUM(L433:L437))</f>
        <v>0</v>
      </c>
      <c r="M438" s="551"/>
      <c r="N438" s="551"/>
      <c r="O438" s="551"/>
      <c r="P438" s="552">
        <f>IF(G438=0,0,IF('Calc (ex-animal)'!$F$83=1,"",IF(D438="","",SUM(H438:K438)/G438*100)))</f>
        <v>0</v>
      </c>
      <c r="Q438" s="394"/>
      <c r="R438" s="394"/>
      <c r="S438" s="394"/>
      <c r="T438" s="285">
        <f>IF('Calc (ex-animal)'!$F$84=1,"",SUM(T433:T437))</f>
        <v>0</v>
      </c>
      <c r="U438" s="286"/>
      <c r="V438" s="286"/>
      <c r="W438" s="286"/>
      <c r="X438" s="286">
        <f>IF('Calc (ex-animal)'!$F$84=1,"",SUM(X433:X437))</f>
        <v>0</v>
      </c>
      <c r="Y438" s="286"/>
      <c r="Z438" s="286"/>
      <c r="AA438" s="286"/>
      <c r="AB438" s="286">
        <f>IF('Calc (ex-animal)'!$F$84=1,"",SUM(AB433:AB437))</f>
        <v>0</v>
      </c>
      <c r="AC438" s="286">
        <f>IF('Calc (ex-animal)'!$F$84=1,"",SUM(AC433:AC437))</f>
        <v>0</v>
      </c>
      <c r="AD438" s="286">
        <f>IF('Calc (ex-animal)'!$F$84=1,"",SUM(AD433:AD437))</f>
        <v>0</v>
      </c>
      <c r="AE438" s="287">
        <f>IF('Calc (ex-animal)'!$F$84=1,"",SUM(AE433:AE437))</f>
        <v>0</v>
      </c>
    </row>
    <row r="439" spans="1:55" x14ac:dyDescent="0.2">
      <c r="A439" s="695"/>
      <c r="B439" s="695"/>
      <c r="C439" s="250">
        <f>'Calc (ex-animal)'!D85</f>
        <v>0</v>
      </c>
      <c r="D439" s="1355"/>
      <c r="E439" s="1356"/>
      <c r="F439" s="479" t="str">
        <f>IF('Calc (ex-animal)'!$F$83=1,"",IF($C$439=0,"",IF(D439="","",E439/'Calc (ex-animal)'!$E$85*100)))</f>
        <v/>
      </c>
      <c r="G439" s="484" t="str">
        <f>IF($C$439=0,"",IF('Calc (ex-animal)'!$F$83=1,"",IF(D439="","",SUM(H439:O439))))</f>
        <v/>
      </c>
      <c r="H439" s="471" t="str">
        <f>IF('Calc (ex-animal)'!$F$83=1,"",IF(D439="","",(((VLOOKUP($C$439,'Calc (ex-animal)'!$D$83:$Y$87,6,FALSE)-VLOOKUP($C$439,'Calc (ex-animal)'!$D$83:$Y$87,17,FALSE))*F439/100))*VLOOKUP($C$439,'Calc (ex-animal)'!$D$83:$Y$87,7,FALSE)/100*(1-VLOOKUP(D439,'DB technologies'!$N$210:$Y$222,9,FALSE)/100)))</f>
        <v/>
      </c>
      <c r="I439" s="471" t="str">
        <f>IF(D439="","",((VLOOKUP(D439,'DB technologies'!$N$210:$Y$222,2,FALSE)*VLOOKUP($C$439,'DB animal categories'!$C$157:$AC$166,27,FALSE)*E439/1000)/VLOOKUP($C$439,'DB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'!$S$6/100*(1-VLOOKUP(D439,'DB technologies'!$N$210:$Y$222,9,FALSE)/100)))</f>
        <v/>
      </c>
      <c r="J439" s="472" t="str">
        <f>IF(D439="","",((VLOOKUP(D439,'DB technologies'!$N$210:$Y$222,3,FALSE)*VLOOKUP($C$439,'DB animal categories'!$C$157:$AC$166,27,FALSE)*E439/1000)/VLOOKUP($C$439,'DB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'!$S$7/100*(1-VLOOKUP(D439,'DB technologies'!$N$210:$Y$222,9,FALSE)/100)))</f>
        <v/>
      </c>
      <c r="K439" s="472" t="str">
        <f>IF(D439="","",((VLOOKUP(D439,'DB technologies'!$N$210:$Y$222,4,FALSE)*E439*'DB additional information '!$S$8/100*(1-VLOOKUP(D439,'DB technologies'!$N$210:$Y$222,9,FALSE)/100))/VLOOKUP($C$439,'DB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L439" s="471" t="str">
        <f>IF('Calc (ex-animal)'!$F$83=1,"",IF(D439="","",(((VLOOKUP($C$439,'Calc (ex-animal)'!$D$83:$Y$87,6,FALSE)-VLOOKUP($C$439,'Calc (ex-animal)'!$D$83:$Y$87,17,FALSE))*F439/100))*(1-VLOOKUP($C$439,'Calc (ex-animal)'!$D$83:$Y$87,7,FALSE)/100)*(1-VLOOKUP(D439,'DB technologies'!$N$210:$V$222,8,FALSE)/100)))</f>
        <v/>
      </c>
      <c r="M439" s="472" t="str">
        <f>IF(D439="","",((VLOOKUP(D439,'DB technologies'!$N$210:$Y$222,2,FALSE)*VLOOKUP($C$439,'DB animal categories'!$C$157:$AC$166,27,FALSE)*E439/1000)/VLOOKUP($C$439,'DB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'!$S$6/100)*(1-VLOOKUP(D439,'DB technologies'!$N$210:$Y$222,9,FALSE)/100))</f>
        <v/>
      </c>
      <c r="N439" s="472" t="str">
        <f>IF(D439="","",((VLOOKUP(D439,'DB technologies'!$N$210:$Y$222,3,FALSE)*VLOOKUP($C$439,'DB animal categories'!$C$157:$AC$166,27,FALSE)*E439/1000)/VLOOKUP($C$439,'DB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'!$S$7/100)*(1-VLOOKUP(D439,'DB technologies'!$N$210:$Y$222,9,FALSE)/100))</f>
        <v/>
      </c>
      <c r="O439" s="471" t="str">
        <f>IF(D439="","",((VLOOKUP(D439,'DB technologies'!$N$210:$Y$222,4,FALSE)*E439*(1-'DB additional information '!$S$8/100)*(1-VLOOKUP(D439,'DB technologies'!$N$210:$Y$222,8,FALSE)/100))/VLOOKUP($C$439,'DB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P439" s="443" t="str">
        <f>IF(G439=0,0,IF(E439="","",IF(F439="","",IF($C$439=0,"",IF(D439="","",SUM(H439:K439)/G439*100)))))</f>
        <v/>
      </c>
      <c r="Q439" s="473" t="str">
        <f>IF(D439="","",(VLOOKUP(D439,'DB technologies'!$N$210:$Y$222,2,FALSE)*'DB additional information '!$S$6/100*'DB additional information '!$T$6*VLOOKUP($C$439,'DB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R439" s="473" t="str">
        <f>IF(D439="","",(VLOOKUP(D439,'DB technologies'!$N$210:$Y$222,3,FALSE)*'DB additional information '!$S$7/100*'DB additional information '!$T$7*VLOOKUP($C$439,'DB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S439" s="490" t="str">
        <f>IF(D439="","",(VLOOKUP(D439,'DB technologies'!$N$210:$Y$222,4,FALSE)*('DB additional information '!$S$8/100*'DB additional information '!$T$8*E439/1000/1000)))</f>
        <v/>
      </c>
      <c r="T439" s="263" t="str">
        <f>IF($C$439=0,"",IF('Calc (ex-animal)'!$F$83=1,"",IF(D439="","",((VLOOKUP($C$439,'Calc (ex-animal)'!$D$83:$Y$87,10,FALSE)-VLOOKUP($C$439,'Calc (ex-animal)'!$D$83:$Y$87,18,FALSE))*F439/100+Q439+R439+S439)-AC439-AD439-AE439)))</f>
        <v/>
      </c>
      <c r="U439" s="474" t="str">
        <f>IF(D439="","",(VLOOKUP(D439,'DB technologies'!$N$210:$Y$222,2,FALSE)*'DB additional information '!$S$6/100*'DB additional information '!$U$6*VLOOKUP($C$439,'DB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V439" s="420" t="str">
        <f>IF(D439="","",(VLOOKUP(D439,'DB technologies'!$N$210:$Y$222,3,FALSE)*'DB additional information '!$S$7/100*'DB additional information '!$U$7*VLOOKUP($C$439,'DB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W439" s="415" t="str">
        <f>IF(D439="","",(VLOOKUP(D439,'DB technologies'!$N$210:$Y$222,4,FALSE)*('DB additional information '!$S$8/100*'DB additional information '!$U$8*E439/1000/1000)))</f>
        <v/>
      </c>
      <c r="X439" s="259" t="str">
        <f>IF($C$439=0,"",IF('Calc (ex-animal)'!$F$83=1,"",IF(D439="","",((VLOOKUP($C$439,'Calc (ex-animal)'!$D$83:$Y$87,13,FALSE)-VLOOKUP($C$439,'Calc (ex-animal)'!$D$83:$Y$87,19,FALSE))*F439/100+U439+V439+W439))))</f>
        <v/>
      </c>
      <c r="Y439" s="420" t="str">
        <f>IF(D439="","",(VLOOKUP(D439,'DB technologies'!$N$210:$Y$222,2,FALSE)*'DB additional information '!$S$6/100*'DB additional information '!$V$6*VLOOKUP($C$439,'DB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Z439" s="420" t="str">
        <f>IF(D439="","",(VLOOKUP(D439,'DB technologies'!$N$210:$Y$222,3,FALSE)*'DB additional information '!$S$7/100*'DB additional information '!$V$7*VLOOKUP($C$439,'DB animal categories'!$C$157:$AC$166,27,FALSE)*E439/1000/1000)/VLOOKUP($C$439,'DB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AA439" s="420" t="str">
        <f>IF(D439="","",(VLOOKUP(D439,'DB technologies'!$N$210:$Y$222,4,FALSE)*('DB additional information '!$S$8/100*'DB additional information '!$V$8*E439/1000/1000)))</f>
        <v/>
      </c>
      <c r="AB439" s="259" t="str">
        <f>IF($C$439=0,"",IF('Calc (ex-animal)'!$F$83=1,"",IF(D439="","",((VLOOKUP($C$439,'Calc (ex-animal)'!$D$83:$Y$87,16,FALSE)-VLOOKUP($C$439,'Calc (ex-animal)'!$D$83:$Y$87,20,FALSE))*F439/100+Y439+Z439+AA439))))</f>
        <v/>
      </c>
      <c r="AC439" s="259" t="str">
        <f>IF($C$439=0,"",IF('Calc (ex-animal)'!$F$83=1,"",IF(D439="","",VLOOKUP($C$439,'Calc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categories'!$C$157:$AC$166,26,FALSE)/24)*F439/100*VLOOKUP(D439,'DB technologies'!$N$210:$R$222,5,FALSE)/100)))</f>
        <v/>
      </c>
      <c r="AD439" s="259" t="str">
        <f>IF($C$439=0,"",IF('Calc (ex-animal)'!$F$83=1,"",IF(D439="","",VLOOKUP($C$439,'Calc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categories'!$C$157:$AC$166,26,FALSE)/24)*F439/100*VLOOKUP(D439,'DB technologies'!$N$210:$Y$222,6,FALSE)/100)))</f>
        <v/>
      </c>
      <c r="AE439" s="260" t="str">
        <f>IF($C$439=0,"",IF('Calc (ex-animal)'!$F$83=1,"",IF(D439="","",VLOOKUP($C$439,'Calc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categories'!$C$157:$AC$166,26,FALSE)/24)*F439/100*VLOOKUP(D439,'DB technologies'!$N$210:$Y$222,7,FALSE)/100)))</f>
        <v/>
      </c>
      <c r="AI439" s="179" t="str">
        <f>IF(D439="","",VLOOKUP(D439,'DB technologies'!$N$210:$Y$222,10,FALSE))</f>
        <v/>
      </c>
      <c r="AJ439" s="482" t="e">
        <f>VLOOKUP($C$439,'DB animal categories'!$C$157:$AN$166,27,FALSE)-VLOOKUP($C$439,'DB animal categories'!$C$157:$AN$166,26,FALSE)*VLOOKUP($C$439,'DB animal categories'!$C$157:$AN$166,25,FALSE)/24</f>
        <v>#N/A</v>
      </c>
      <c r="AK439" s="453" t="str">
        <f>IF(AI439="","",AL439+AM439)</f>
        <v/>
      </c>
      <c r="AL439" s="453" t="str">
        <f>IF(D439="","",IF(AI439=2,(('Calc (ex-animal)'!$G$85*'DB additional information '!$K$18/100*(1-VLOOKUP(D439,'DB technologies'!$N$210:$Y$222,9,FALSE)/100)*'Calc (ex-housing, ex-storage)'!F439/100+'Calc (ex-animal)'!$H$85*'DB additional information '!$L$18/100*(1-VLOOKUP(D439,'DB technologies'!$N$210:$Y$222,9,FALSE)/100)*'Calc (ex-housing, ex-storage)'!F439/100))/VLOOKUP($C$439,'DB animal categories'!$C$157:$AC$166,27,FALSE)*AJ439+I439+J439+K439,IF(AI439=1,('Calc (ex-animal)'!$H$85*'DB additional information '!$L$18/100*(1-VLOOKUP(D439,'DB technologies'!$N$210:$Y$222,9,FALSE)/100)*'Calc (ex-housing, ex-storage)'!F439/100)/VLOOKUP($C$439,'DB animal categories'!$C$157:$AC$166,27,FALSE)*AJ439,IF(AI439=4,('Calc (ex-animal)'!$G$85*'DB additional information '!$K$18/100+'Calc (ex-animal)'!$H$85*'DB additional information '!$L$18/100)*(1-VLOOKUP(D439,'DB technologies'!$N$210:$Y$222,9,FALSE)/100)*'Calc (ex-housing, ex-storage)'!F439/100*VLOOKUP(D439,'DB technologies'!$N$210:$Y$222,11,FALSE)/100/VLOOKUP($C$439,'DB animal categories'!$C$157:$AC$166,27,FALSE)*AJ439,0))))</f>
        <v/>
      </c>
      <c r="AM439" s="453" t="str">
        <f>IF(D439="","",IF(AI439=2,(('Calc (ex-animal)'!$G$85*(1-'DB additional information '!$K$18/100)*(1-VLOOKUP(D439,'DB technologies'!$N$210:$Y$222,8,FALSE)/100)*'Calc (ex-housing, ex-storage)'!F439/100+'Calc (ex-animal)'!$H$85*(1-'DB additional information '!$L$18/100)*(1-VLOOKUP(D439,'DB technologies'!$N$210:$Y$222,8,FALSE)/100)*'Calc (ex-housing, ex-storage)'!F439/100))/VLOOKUP($C$439,'DB animal categories'!$C$157:$AC$166,27,FALSE)*AJ439+M439+N439+O439,IF(AI439=1,('Calc (ex-animal)'!$H$85*(1-'DB additional information '!$L$18/100)*(1-VLOOKUP(D439,'DB technologies'!$N$210:$Y$222,8,FALSE)/100)*'Calc (ex-housing, ex-storage)'!F439/100)/VLOOKUP($C$439,'DB animal categories'!$C$157:$AC$166,27,FALSE)*AJ439,IF(AI439=4,('Calc (ex-animal)'!$G$85*(1-'DB additional information '!$K$18/100)+'Calc (ex-animal)'!$H$85*(1-'DB additional information '!$L$18/100))*(1-VLOOKUP(D439,'DB technologies'!$N$210:$Y$222,8,FALSE)/100)*'Calc (ex-housing, ex-storage)'!F439/100*VLOOKUP(D439,'DB technologies'!$N$210:$Y$222,11,FALSE)/100/VLOOKUP($C$439,'DB animal categories'!$C$157:$AC$166,27,FALSE)*AJ439,0))))</f>
        <v/>
      </c>
      <c r="AN439" s="453" t="str">
        <f>IF(AI439="","",IF(AL439=0,0,AL439/AK439*100))</f>
        <v/>
      </c>
      <c r="AO439" s="180" t="str">
        <f>IF(D439="","",IF(AI439=2,(('Calc (ex-animal)'!$L$85*'Calc (ex-housing, ex-storage)'!F439/100+'Calc (ex-animal)'!$K$85*'Calc (ex-housing, ex-storage)'!F439/100))/VLOOKUP($C$439,'DB animal categories'!$C$157:$AC$166,27,FALSE)*AJ439+Q439+R439+S439-AC439,IF(AI439=1,('Calc (ex-animal)'!$L$85*'Calc (ex-housing, ex-storage)'!F439/100)/VLOOKUP($C$439,'DB animal categories'!$C$157:$AC$166,27,FALSE)*AJ439-'Calc (ex-housing, ex-storage)'!AC439,IF(AI439=4,('Calc (ex-animal)'!$L$85+'Calc (ex-animal)'!$K$85)*'Calc (ex-housing, ex-storage)'!F439/100*VLOOKUP(D439,'DB technologies'!$N$210:$Y$222,11,FALSE)/100/VLOOKUP($C$439,'DB animal categories'!$C$157:$AC$166,27,FALSE)*AJ439-AC439*VLOOKUP(D439,'DB technologies'!$N$210:$Y$222,11,FALSE)/100,0))))</f>
        <v/>
      </c>
      <c r="AP439" s="180" t="str">
        <f>IF(D439="","",IF(AO439&lt;-0.01,0,IF(AI439=2,(('Calc (ex-animal)'!$L$85*'Calc (ex-housing, ex-storage)'!F439/100+'Calc (ex-animal)'!$K$85*'Calc (ex-housing, ex-storage)'!F439/100))/VLOOKUP($C$439,'DB animal categories'!$C$157:$AC$166,27,FALSE)*AJ439+Q439+R439+S439-AC439,IF(AI439=1,('Calc (ex-animal)'!$L$85*'Calc (ex-housing, ex-storage)'!F439/100)/VLOOKUP($C$439,'DB animal categories'!$C$157:$AC$166,27,FALSE)*AJ439-'Calc (ex-housing, ex-storage)'!AC439,IF(AI439=4,('Calc (ex-animal)'!$L$85+'Calc (ex-animal)'!$K$85)*'Calc (ex-housing, ex-storage)'!F439/100*VLOOKUP(D439,'DB technologies'!$N$210:$Y$222,11,FALSE)/100/VLOOKUP($C$439,'DB animal categories'!$C$157:$AC$166,27,FALSE)*AJ439-AC439*VLOOKUP(D439,'DB technologies'!$N$210:$Y$222,11,FALSE)/100,0)))))</f>
        <v/>
      </c>
      <c r="AQ439" s="180" t="str">
        <f>IF(D439="","",IF(AI439=2,('Calc (ex-animal)'!$O$85*'Calc (ex-housing, ex-storage)'!F439/100+'Calc (ex-animal)'!$N$85*'Calc (ex-housing, ex-storage)'!F439/100)/VLOOKUP($C$439,'DB animal categories'!$C$157:$AC$166,27,FALSE)*AJ439+U439+V439+W439,IF(AI439=1,'Calc (ex-animal)'!$O$85*'Calc (ex-housing, ex-storage)'!F439/100/VLOOKUP($C$439,'DB animal categories'!$C$157:$AC$166,27,FALSE)*AJ439,IF(AI439=4,('Calc (ex-animal)'!$O$85+'Calc (ex-animal)'!$N$85)*'Calc (ex-housing, ex-storage)'!F439/100*VLOOKUP(D439,'DB technologies'!$N$210:$Y$222,11,FALSE)/100/VLOOKUP($C$439,'DB animal categories'!$C$157:$AC$166,27,FALSE)*AJ439,0))))</f>
        <v/>
      </c>
      <c r="AR439" s="180" t="str">
        <f>IF(D439="","",IF(AI439=2,('Calc (ex-animal)'!$R$85*'Calc (ex-housing, ex-storage)'!F439/100+'Calc (ex-animal)'!$Q$85*'Calc (ex-housing, ex-storage)'!F439/100)/VLOOKUP($C$439,'DB animal categories'!$C$157:$AC$166,27,FALSE)*AJ439+Y439+Z439+AA439,IF(AI439=1,'Calc (ex-animal)'!$R$85*'Calc (ex-housing, ex-storage)'!F439/100/VLOOKUP($C$439,'DB animal categories'!$C$157:$AC$166,27,FALSE)*AJ439,IF(AI439=4,('Calc (ex-animal)'!$R$85+'Calc (ex-animal)'!$Q$85)*'Calc (ex-housing, ex-storage)'!F439/100*VLOOKUP(D439,'DB technologies'!$N$210:$Y$222,11,FALSE)/100/VLOOKUP($C$439,'DB animal categories'!$C$157:$AC$166,27,FALSE)*AJ439,0))))</f>
        <v/>
      </c>
      <c r="AS439" s="179" t="str">
        <f>IF(D439="","",VLOOKUP(D439,'DB technologies'!$N$210:$Y$222,10,FALSE))</f>
        <v/>
      </c>
      <c r="AT439" s="453" t="str">
        <f>IF(AS439="","",AU439+AV439)</f>
        <v/>
      </c>
      <c r="AU439" s="453" t="str">
        <f>IF(D439="","",IF(AS439=2,0,IF(AS439=1,'Calc (ex-animal)'!$G$85*'DB additional information '!$K$18/100*(1-VLOOKUP(D439,'DB technologies'!$N$210:$Y$222,8,FALSE)/100)*'Calc (ex-housing, ex-storage)'!F439/100/VLOOKUP($C$439,'DB animal categories'!$C$157:$AC$166,27,FALSE)*AJ439+I439+J439+K439,IF(AS439=5,(('Calc (ex-animal)'!$G$85*'DB additional information '!$K$18/100+'Calc (ex-animal)'!$H$85*'DB additional information '!$L$18/100))*(1-VLOOKUP(D439,'DB technologies'!$N$210:$Y$222,9,FALSE)/100)*'Calc (ex-housing, ex-storage)'!F439/100/VLOOKUP($C$439,'DB animal categories'!$C$157:$AC$166,27,FALSE)*AJ439+I439+J439+K439,IF(AS439=3,('Calc (ex-animal)'!$G$85*'DB additional information '!$K$18/100+'Calc (ex-animal)'!$H$85*'DB additional information '!$L$18/100)*(1-VLOOKUP(D439,'DB technologies'!$N$210:$Y$222,9,FALSE)/100)*'Calc (ex-housing, ex-storage)'!F439/100/VLOOKUP($C$439,'DB animal categories'!$C$157:$AC$166,27,FALSE)*AJ439+I439+J439+K439,IF(AS439=4,('Calc (ex-animal)'!$G$85*'DB additional information '!$K$18/100+'Calc (ex-animal)'!$H$85*'DB additional information '!$L$18/100)*(1-VLOOKUP(D439,'DB technologies'!$N$210:$Y$222,9,FALSE)/100)*'Calc (ex-housing, ex-storage)'!F439/100*VLOOKUP(D439,'DB technologies'!$N$210:$Y$222,12,FALSE)/100/VLOOKUP($C$439,'DB animal categories'!$C$157:$AC$166,27,FALSE)*AJ439+I439+J439+K439,0))))))</f>
        <v/>
      </c>
      <c r="AV439" s="453" t="str">
        <f>IF(D439="","",IF(AS439=2,0,IF(AS439=1,'Calc (ex-animal)'!$G$85*(1-'DB additional information '!$K$18/100)*(1-VLOOKUP(D439,'DB technologies'!$N$210:$Y$222,8,FALSE)/100)*'Calc (ex-housing, ex-storage)'!F439/100/VLOOKUP($C$439,'DB animal categories'!$C$157:$AC$166,27,FALSE)*AJ439+M439+N439+O439,IF(AS439=5,('Calc (ex-animal)'!$G$85*(1-'DB additional information '!$K$18/100)+'Calc (ex-animal)'!$H$85*(1-'DB additional information '!$L$18/100))*(1-VLOOKUP(D439,'DB technologies'!$N$210:$Y$222,8,FALSE)/100)*'Calc (ex-housing, ex-storage)'!F439/100/VLOOKUP($C$439,'DB animal categories'!$C$157:$AC$166,27,FALSE)*AJ439+M439+N439+O439,IF(AS439=3,('Calc (ex-animal)'!$G$85*(1-'DB additional information '!$K$18/100)+'Calc (ex-animal)'!$H$85*(1-'DB additional information '!$L$18/100))*(1-VLOOKUP(D439,'DB technologies'!$N$210:$Y$222,8,FALSE)/100)*'Calc (ex-housing, ex-storage)'!F439/100/VLOOKUP($C$439,'DB animal categories'!$C$157:$AC$166,27,FALSE)*AJ439+M439+N439+O439,IF(AS439=4,('Calc (ex-animal)'!$G$85*(1-'DB additional information '!$K$18/100)+'Calc (ex-animal)'!$H$85*(1-'DB additional information '!$L$18/100))*(1-VLOOKUP(D439,'DB technologies'!$N$210:$Y$222,8,FALSE)/100)*'Calc (ex-housing, ex-storage)'!F439/100*VLOOKUP(D439,'DB technologies'!$N$210:$Y$222,12,FALSE)/100/VLOOKUP($C$439,'DB animal categories'!$C$157:$AC$166,27,FALSE)*AJ439+M439+N439+O439,0))))))</f>
        <v/>
      </c>
      <c r="AW439" s="453" t="str">
        <f>IF(AS439="","",IF(AU439=0,0,AU439/AT439*100))</f>
        <v/>
      </c>
      <c r="AX439" s="180" t="str">
        <f>IF(D439="","",IF(AS439=2,0,IF(AS439=1,'Calc (ex-animal)'!$K$85*'Calc (ex-housing, ex-storage)'!F439/100/VLOOKUP($C$439,'DB animal categories'!$C$157:$AC$166,27,FALSE)*AJ439+Q439+R439+S439,IF(AS439=5,('Calc (ex-animal)'!$K$85+'Calc (ex-animal)'!$L$85)*'Calc (ex-housing, ex-storage)'!F439/100/VLOOKUP($C$439,'DB animal categories'!$C$157:$AC$166,27,FALSE)*AJ439+Q439+R439+S439-'Calc (ex-housing, ex-storage)'!AC439,IF(AS439=3,('Calc (ex-animal)'!$K$85+'Calc (ex-animal)'!$L$85)*'Calc (ex-housing, ex-storage)'!F439/100/VLOOKUP($C$439,'DB animal categories'!$C$157:$AC$166,27,FALSE)*AJ439+Q439+R439+S439-'Calc (ex-housing, ex-storage)'!AC439-AD439-AE439,IF(AI439=4,('Calc (ex-animal)'!$K$85+'Calc (ex-animal)'!$L$85)*'Calc (ex-housing, ex-storage)'!F439/100*VLOOKUP(D439,'DB technologies'!$N$210:$Y$222,12,FALSE)/100/VLOOKUP($C$439,'DB animal categories'!$C$157:$AC$166,27,FALSE)*AJ439+Q439+R439+S439-(VLOOKUP(D439,'DB technologies'!$N$210:$Y$222,12,FALSE)/100*AC439)-AD439-AE439,0))))))</f>
        <v/>
      </c>
      <c r="AY439" s="180" t="str">
        <f>IF(D439="","",IF(AS439=2,0,IF(AS439=1,'Calc (ex-animal)'!$N$85*'Calc (ex-housing, ex-storage)'!F439/100/VLOOKUP($C$439,'DB animal categories'!$C$157:$AC$166,27,FALSE)*AJ439+U439+V439+W439,IF(AS439=5,('Calc (ex-animal)'!$N$85+'Calc (ex-animal)'!$O$85)*'Calc (ex-housing, ex-storage)'!F439/100/VLOOKUP($C$439,'DB animal categories'!$C$157:$AC$166,27,FALSE)*AJ439+U439+V439+W439,IF(AS439=3,('Calc (ex-animal)'!$N$85+'Calc (ex-animal)'!$O$85)*'Calc (ex-housing, ex-storage)'!F439/100/VLOOKUP($C$439,'DB animal categories'!$C$157:$AC$166,27,FALSE)*AJ439+U439+V439+W439,IF(AS439=4,('Calc (ex-animal)'!$N$85+'Calc (ex-animal)'!$O$85)*'Calc (ex-housing, ex-storage)'!F439/100*VLOOKUP(D439,'DB technologies'!$N$210:$Y$222,12,FALSE)/100/VLOOKUP($C$439,'DB animal categories'!$C$157:$AC$166,27,FALSE)*AJ439+U439+V439+W439,0))))))</f>
        <v/>
      </c>
      <c r="AZ439" s="180" t="str">
        <f>IF(D439="","",IF(AS439=2,0,IF(AS439=1,'Calc (ex-animal)'!$Q$85*'Calc (ex-housing, ex-storage)'!F439/100/VLOOKUP($C$439,'DB animal categories'!$C$157:$AC$166,27,FALSE)*AJ439+Y439+Z439+AA439,IF(AS439=5,('Calc (ex-animal)'!$Q$85+'Calc (ex-animal)'!$R$85)*'Calc (ex-housing, ex-storage)'!F439/100/VLOOKUP($C$439,'DB animal categories'!$C$157:$AC$166,27,FALSE)*AJ439+Y439+Z439+AA439,IF(AS439=3,('Calc (ex-animal)'!$Q$85+'Calc (ex-animal)'!$R$85)*'Calc (ex-housing, ex-storage)'!F439/100/VLOOKUP($C$439,'DB animal categories'!$C$157:$AC$166,27,FALSE)*AJ439+Y439+Z439+AA439,IF(AS439=4,('Calc (ex-animal)'!$Q$85+'Calc (ex-animal)'!$R$85)*'Calc (ex-housing, ex-storage)'!F439/100*VLOOKUP(D439,'DB technologies'!$N$210:$Y$222,12,FALSE)/100/VLOOKUP($C$439,'DB animal categories'!$C$157:$AC$166,27,FALSE)*AJ439+Y439+Z439+AA439,0))))))</f>
        <v/>
      </c>
      <c r="BA439" s="506"/>
      <c r="BB439" s="506"/>
      <c r="BC439" s="506"/>
    </row>
    <row r="440" spans="1:55" x14ac:dyDescent="0.2">
      <c r="A440" s="695"/>
      <c r="B440" s="695"/>
      <c r="C440" s="251"/>
      <c r="D440" s="1357"/>
      <c r="E440" s="1358"/>
      <c r="F440" s="480" t="str">
        <f>IF('Calc (ex-animal)'!$F$83=1,"",IF($C$439=0,"",IF(D440="","",E440/'Calc (ex-animal)'!$E$85*100)))</f>
        <v/>
      </c>
      <c r="G440" s="485" t="str">
        <f>IF($C$439=0,"",IF('Calc (ex-animal)'!$F$83=1,"",IF(D440="","",SUM(H440:O440))))</f>
        <v/>
      </c>
      <c r="H440" s="423" t="str">
        <f>IF('Calc (ex-animal)'!$F$83=1,"",IF(D440="","",(((VLOOKUP($C$439,'Calc (ex-animal)'!$D$83:$Y$87,6,FALSE)-VLOOKUP($C$439,'Calc (ex-animal)'!$D$83:$Y$87,17,FALSE))*F440/100))*VLOOKUP($C$439,'Calc (ex-animal)'!$D$83:$Y$87,7,FALSE)/100*(1-VLOOKUP(D440,'DB technologies'!$N$210:$Y$222,9,FALSE)/100)))</f>
        <v/>
      </c>
      <c r="I440" s="423" t="str">
        <f>IF(D440="","",((VLOOKUP(D440,'DB technologies'!$N$210:$Y$222,2,FALSE)*VLOOKUP($C$439,'DB animal categories'!$C$157:$AC$166,27,FALSE)*E440/1000)/VLOOKUP($C$439,'DB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'!$S$6/100*(1-VLOOKUP(D440,'DB technologies'!$N$210:$Y$222,9,FALSE)/100)))</f>
        <v/>
      </c>
      <c r="J440" s="434" t="str">
        <f>IF(D440="","",((VLOOKUP(D440,'DB technologies'!$N$210:$Y$222,3,FALSE)*VLOOKUP($C$439,'DB animal categories'!$C$157:$AC$166,27,FALSE)*E440/1000)/VLOOKUP($C$439,'DB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'!$S$7/100*(1-VLOOKUP(D440,'DB technologies'!$N$210:$Y$222,9,FALSE)/100)))</f>
        <v/>
      </c>
      <c r="K440" s="434" t="str">
        <f>IF(D440="","",((VLOOKUP(D440,'DB technologies'!$N$210:$Y$222,4,FALSE)*E440*'DB additional information '!$S$8/100*(1-VLOOKUP(D440,'DB technologies'!$N$210:$Y$222,9,FALSE)/100))/VLOOKUP($C$439,'DB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L440" s="423" t="str">
        <f>IF('Calc (ex-animal)'!$F$83=1,"",IF(D440="","",(((VLOOKUP($C$439,'Calc (ex-animal)'!$D$83:$Y$87,6,FALSE)-VLOOKUP($C$439,'Calc (ex-animal)'!$D$83:$Y$87,17,FALSE))*F440/100))*(1-VLOOKUP($C$439,'Calc (ex-animal)'!$D$83:$Y$87,7,FALSE)/100)*(1-VLOOKUP(D440,'DB technologies'!$N$210:$V$222,8,FALSE)/100)))</f>
        <v/>
      </c>
      <c r="M440" s="434" t="str">
        <f>IF(D440="","",((VLOOKUP(D440,'DB technologies'!$N$210:$Y$222,2,FALSE)*VLOOKUP($C$439,'DB animal categories'!$C$157:$AC$166,27,FALSE)*E440/1000)/VLOOKUP($C$439,'DB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'!$S$6/100)*(1-VLOOKUP(D440,'DB technologies'!$N$210:$Y$222,9,FALSE)/100))</f>
        <v/>
      </c>
      <c r="N440" s="434" t="str">
        <f>IF(D440="","",((VLOOKUP(D440,'DB technologies'!$N$210:$Y$222,3,FALSE)*VLOOKUP($C$439,'DB animal categories'!$C$157:$AC$166,27,FALSE)*E440/1000)/VLOOKUP($C$439,'DB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'!$S$7/100)*(1-VLOOKUP(D440,'DB technologies'!$N$210:$Y$222,9,FALSE)/100))</f>
        <v/>
      </c>
      <c r="O440" s="423" t="str">
        <f>IF(D440="","",((VLOOKUP(D440,'DB technologies'!$N$210:$Y$222,4,FALSE)*E440*(1-'DB additional information '!$S$8/100)*(1-VLOOKUP(D440,'DB technologies'!$N$210:$Y$222,8,FALSE)/100))/VLOOKUP($C$439,'DB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P440" s="438" t="str">
        <f>IF(G440=0,0,IF(E440="","",IF(F440="","",IF($C$439=0,"",IF(D440="","",SUM(H440:K440)/G440*100)))))</f>
        <v/>
      </c>
      <c r="Q440" s="416" t="str">
        <f>IF(D440="","",(VLOOKUP(D440,'DB technologies'!$N$210:$Y$222,2,FALSE)*'DB additional information '!$S$6/100*'DB additional information '!$T$6*VLOOKUP($C$439,'DB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R440" s="416" t="str">
        <f>IF(D440="","",(VLOOKUP(D440,'DB technologies'!$N$210:$Y$222,3,FALSE)*'DB additional information '!$S$7/100*'DB additional information '!$T$7*VLOOKUP($C$439,'DB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S440" s="491" t="str">
        <f>IF(D440="","",(VLOOKUP(D440,'DB technologies'!$N$210:$Y$222,4,FALSE)*('DB additional information '!$S$8/100*'DB additional information '!$T$8*E440/1000/1000)))</f>
        <v/>
      </c>
      <c r="T440" s="264" t="str">
        <f>IF($C$439=0,"",IF('Calc (ex-animal)'!$F$83=1,"",IF(D440="","",((VLOOKUP($C$439,'Calc (ex-animal)'!$D$83:$Y$87,10,FALSE)-VLOOKUP($C$439,'Calc (ex-animal)'!$D$83:$Y$87,18,FALSE))*F440/100+Q440+R440+S440)-AC440-AD440-AE440)))</f>
        <v/>
      </c>
      <c r="U440" s="422" t="str">
        <f>IF(D440="","",(VLOOKUP(D440,'DB technologies'!$N$210:$Y$222,2,FALSE)*'DB additional information '!$S$6/100*'DB additional information '!$U$6*VLOOKUP($C$439,'DB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V440" s="418" t="str">
        <f>IF(D440="","",(VLOOKUP(D440,'DB technologies'!$N$210:$Y$222,3,FALSE)*'DB additional information '!$S$7/100*'DB additional information '!$U$7*VLOOKUP($C$439,'DB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W440" s="417" t="str">
        <f>IF(D440="","",(VLOOKUP(D440,'DB technologies'!$N$210:$Y$222,4,FALSE)*('DB additional information '!$S$8/100*'DB additional information '!$U$8*E440/1000/1000)))</f>
        <v/>
      </c>
      <c r="X440" s="261" t="str">
        <f>IF($C$439=0,"",IF('Calc (ex-animal)'!$F$83=1,"",IF(D440="","",((VLOOKUP($C$439,'Calc (ex-animal)'!$D$83:$Y$87,13,FALSE)-VLOOKUP($C$439,'Calc (ex-animal)'!$D$83:$Y$87,19,FALSE))*F440/100+U440+V440+W440))))</f>
        <v/>
      </c>
      <c r="Y440" s="418" t="str">
        <f>IF(D440="","",(VLOOKUP(D440,'DB technologies'!$N$210:$Y$222,2,FALSE)*'DB additional information '!$S$6/100*'DB additional information '!$V$6*VLOOKUP($C$439,'DB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Z440" s="418" t="str">
        <f>IF(D440="","",(VLOOKUP(D440,'DB technologies'!$N$210:$Y$222,3,FALSE)*'DB additional information '!$S$7/100*'DB additional information '!$V$7*VLOOKUP($C$439,'DB animal categories'!$C$157:$AC$166,27,FALSE)*E440/1000/1000)/VLOOKUP($C$439,'DB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AA440" s="418" t="str">
        <f>IF(D440="","",(VLOOKUP(D440,'DB technologies'!$N$210:$Y$222,4,FALSE)*('DB additional information '!$S$8/100*'DB additional information '!$V$8*E440/1000/1000)))</f>
        <v/>
      </c>
      <c r="AB440" s="261" t="str">
        <f>IF($C$439=0,"",IF('Calc (ex-animal)'!$F$83=1,"",IF(D440="","",((VLOOKUP($C$439,'Calc (ex-animal)'!$D$83:$Y$87,16,FALSE)-VLOOKUP($C$439,'Calc (ex-animal)'!$D$83:$Y$87,20,FALSE))*F440/100+Y440+Z440+AA440))))</f>
        <v/>
      </c>
      <c r="AC440" s="261" t="str">
        <f>IF($C$439=0,"",IF('Calc (ex-animal)'!$F$83=1,"",IF(D440="","",VLOOKUP($C$439,'Calc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categories'!$C$157:$AC$166,26,FALSE)/24)*F440/100*VLOOKUP(D440,'DB technologies'!$N$210:$R$222,5,FALSE)/100)))</f>
        <v/>
      </c>
      <c r="AD440" s="261" t="str">
        <f>IF($C$439=0,"",IF('Calc (ex-animal)'!$F$83=1,"",IF(D440="","",VLOOKUP($C$439,'Calc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categories'!$C$157:$AC$166,26,FALSE)/24)*F440/100*VLOOKUP(D440,'DB technologies'!$N$210:$Y$222,6,FALSE)/100)))</f>
        <v/>
      </c>
      <c r="AE440" s="262" t="str">
        <f>IF($C$439=0,"",IF('Calc (ex-animal)'!$F$83=1,"",IF(D440="","",VLOOKUP($C$439,'Calc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categories'!$C$157:$AC$166,26,FALSE)/24)*F440/100*VLOOKUP(D440,'DB technologies'!$N$210:$Y$222,7,FALSE)/100)))</f>
        <v/>
      </c>
      <c r="AI440" s="181" t="str">
        <f>IF(D440="","",VLOOKUP(D440,'DB technologies'!$N$210:$Y$222,10,FALSE))</f>
        <v/>
      </c>
      <c r="AJ440" s="449" t="e">
        <f>VLOOKUP($C$439,'DB animal categories'!$C$157:$AN$166,27,FALSE)-VLOOKUP($C$439,'DB animal categories'!$C$157:$AN$166,26,FALSE)*VLOOKUP($C$439,'DB animal categories'!$C$157:$AN$166,25,FALSE)/24</f>
        <v>#N/A</v>
      </c>
      <c r="AK440" s="442" t="str">
        <f>IF(AI440="","",AL440+AM440)</f>
        <v/>
      </c>
      <c r="AL440" s="442" t="str">
        <f>IF(D440="","",IF(AI440=2,(('Calc (ex-animal)'!$G$85*'DB additional information '!$K$18/100*(1-VLOOKUP(D440,'DB technologies'!$N$210:$Y$222,9,FALSE)/100)*'Calc (ex-housing, ex-storage)'!F440/100+'Calc (ex-animal)'!$H$85*'DB additional information '!$L$18/100*(1-VLOOKUP(D440,'DB technologies'!$N$210:$Y$222,9,FALSE)/100)*'Calc (ex-housing, ex-storage)'!F440/100))/VLOOKUP($C$439,'DB animal categories'!$C$157:$AC$166,27,FALSE)*AJ440+I440+J440+K440,IF(AI440=1,('Calc (ex-animal)'!$H$85*'DB additional information '!$L$18/100*(1-VLOOKUP(D440,'DB technologies'!$N$210:$Y$222,9,FALSE)/100)*'Calc (ex-housing, ex-storage)'!F440/100)/VLOOKUP($C$439,'DB animal categories'!$C$157:$AC$166,27,FALSE)*AJ440,IF(AI440=4,('Calc (ex-animal)'!$G$85*'DB additional information '!$K$18/100+'Calc (ex-animal)'!$H$85*'DB additional information '!$L$18/100)*(1-VLOOKUP(D440,'DB technologies'!$N$210:$Y$222,9,FALSE)/100)*'Calc (ex-housing, ex-storage)'!F440/100*VLOOKUP(D440,'DB technologies'!$N$210:$Y$222,11,FALSE)/100/VLOOKUP($C$439,'DB animal categories'!$C$157:$AC$166,27,FALSE)*AJ440,0))))</f>
        <v/>
      </c>
      <c r="AM440" s="442" t="str">
        <f>IF(D440="","",IF(AI440=2,(('Calc (ex-animal)'!$G$85*(1-'DB additional information '!$K$18/100)*(1-VLOOKUP(D440,'DB technologies'!$N$210:$Y$222,8,FALSE)/100)*'Calc (ex-housing, ex-storage)'!F440/100+'Calc (ex-animal)'!$H$85*(1-'DB additional information '!$L$18/100)*(1-VLOOKUP(D440,'DB technologies'!$N$210:$Y$222,8,FALSE)/100)*'Calc (ex-housing, ex-storage)'!F440/100))/VLOOKUP($C$439,'DB animal categories'!$C$157:$AC$166,27,FALSE)*AJ440+M440+N440+O440,IF(AI440=1,('Calc (ex-animal)'!$H$85*(1-'DB additional information '!$L$18/100)*(1-VLOOKUP(D440,'DB technologies'!$N$210:$Y$222,8,FALSE)/100)*'Calc (ex-housing, ex-storage)'!F440/100)/VLOOKUP($C$439,'DB animal categories'!$C$157:$AC$166,27,FALSE)*AJ440,IF(AI440=4,('Calc (ex-animal)'!$G$85*(1-'DB additional information '!$K$18/100)+'Calc (ex-animal)'!$H$85*(1-'DB additional information '!$L$18/100))*(1-VLOOKUP(D440,'DB technologies'!$N$210:$Y$222,8,FALSE)/100)*'Calc (ex-housing, ex-storage)'!F440/100*VLOOKUP(D440,'DB technologies'!$N$210:$Y$222,11,FALSE)/100/VLOOKUP($C$439,'DB animal categories'!$C$157:$AC$166,27,FALSE)*AJ440,0))))</f>
        <v/>
      </c>
      <c r="AN440" s="442" t="str">
        <f>IF(AI440="","",IF(AL440=0,0,AL440/AK440*100))</f>
        <v/>
      </c>
      <c r="AO440" s="182" t="str">
        <f>IF(D440="","",IF(AI440=2,(('Calc (ex-animal)'!$L$85*'Calc (ex-housing, ex-storage)'!F440/100+'Calc (ex-animal)'!$K$85*'Calc (ex-housing, ex-storage)'!F440/100))/VLOOKUP($C$439,'DB animal categories'!$C$157:$AC$166,27,FALSE)*AJ440+Q440+R440+S440-AC440,IF(AI440=1,('Calc (ex-animal)'!$L$85*'Calc (ex-housing, ex-storage)'!F440/100)/VLOOKUP($C$439,'DB animal categories'!$C$157:$AC$166,27,FALSE)*AJ440-'Calc (ex-housing, ex-storage)'!AC440,IF(AI440=4,('Calc (ex-animal)'!$L$85+'Calc (ex-animal)'!$K$85)*'Calc (ex-housing, ex-storage)'!F440/100*VLOOKUP(D440,'DB technologies'!$N$210:$Y$222,11,FALSE)/100/VLOOKUP($C$439,'DB animal categories'!$C$157:$AC$166,27,FALSE)*AJ440-AC440*VLOOKUP(D440,'DB technologies'!$N$210:$Y$222,11,FALSE)/100,0))))</f>
        <v/>
      </c>
      <c r="AP440" s="182" t="str">
        <f>IF(D440="","",IF(AO440&lt;-0.01,0,IF(AI440=2,(('Calc (ex-animal)'!$L$85*'Calc (ex-housing, ex-storage)'!F440/100+'Calc (ex-animal)'!$K$85*'Calc (ex-housing, ex-storage)'!F440/100))/VLOOKUP($C$439,'DB animal categories'!$C$157:$AC$166,27,FALSE)*AJ440+Q440+R440+S440-AC440,IF(AI440=1,('Calc (ex-animal)'!$L$85*'Calc (ex-housing, ex-storage)'!F440/100)/VLOOKUP($C$439,'DB animal categories'!$C$157:$AC$166,27,FALSE)*AJ440-'Calc (ex-housing, ex-storage)'!AC440,IF(AI440=4,('Calc (ex-animal)'!$L$85+'Calc (ex-animal)'!$K$85)*'Calc (ex-housing, ex-storage)'!F440/100*VLOOKUP(D440,'DB technologies'!$N$210:$Y$222,11,FALSE)/100/VLOOKUP($C$439,'DB animal categories'!$C$157:$AC$166,27,FALSE)*AJ440-AC440*VLOOKUP(D440,'DB technologies'!$N$210:$Y$222,11,FALSE)/100,0)))))</f>
        <v/>
      </c>
      <c r="AQ440" s="182" t="str">
        <f>IF(D440="","",IF(AI440=2,('Calc (ex-animal)'!$O$85*'Calc (ex-housing, ex-storage)'!F440/100+'Calc (ex-animal)'!$N$85*'Calc (ex-housing, ex-storage)'!F440/100)/VLOOKUP($C$439,'DB animal categories'!$C$157:$AC$166,27,FALSE)*AJ440+U440+V440+W440,IF(AI440=1,'Calc (ex-animal)'!$O$85*'Calc (ex-housing, ex-storage)'!F440/100/VLOOKUP($C$439,'DB animal categories'!$C$157:$AC$166,27,FALSE)*AJ440,IF(AI440=4,('Calc (ex-animal)'!$O$85+'Calc (ex-animal)'!$N$85)*'Calc (ex-housing, ex-storage)'!F440/100*VLOOKUP(D440,'DB technologies'!$N$210:$Y$222,11,FALSE)/100/VLOOKUP($C$439,'DB animal categories'!$C$157:$AC$166,27,FALSE)*AJ440,0))))</f>
        <v/>
      </c>
      <c r="AR440" s="182" t="str">
        <f>IF(D440="","",IF(AI440=2,('Calc (ex-animal)'!$R$85*'Calc (ex-housing, ex-storage)'!F440/100+'Calc (ex-animal)'!$Q$85*'Calc (ex-housing, ex-storage)'!F440/100)/VLOOKUP($C$439,'DB animal categories'!$C$157:$AC$166,27,FALSE)*AJ440+Y440+Z440+AA440,IF(AI440=1,'Calc (ex-animal)'!$R$85*'Calc (ex-housing, ex-storage)'!F440/100/VLOOKUP($C$439,'DB animal categories'!$C$157:$AC$166,27,FALSE)*AJ440,IF(AI440=4,('Calc (ex-animal)'!$R$85+'Calc (ex-animal)'!$Q$85)*'Calc (ex-housing, ex-storage)'!F440/100*VLOOKUP(D440,'DB technologies'!$N$210:$Y$222,11,FALSE)/100/VLOOKUP($C$439,'DB animal categories'!$C$157:$AC$166,27,FALSE)*AJ440,0))))</f>
        <v/>
      </c>
      <c r="AS440" s="181" t="str">
        <f>IF(D440="","",VLOOKUP(D440,'DB technologies'!$N$210:$Y$222,10,FALSE))</f>
        <v/>
      </c>
      <c r="AT440" s="442" t="str">
        <f>IF(AS440="","",AU440+AV440)</f>
        <v/>
      </c>
      <c r="AU440" s="442" t="str">
        <f>IF(D440="","",IF(AS440=2,0,IF(AS440=1,'Calc (ex-animal)'!$G$85*'DB additional information '!$K$18/100*(1-VLOOKUP(D440,'DB technologies'!$N$210:$Y$222,8,FALSE)/100)*'Calc (ex-housing, ex-storage)'!F440/100/VLOOKUP($C$439,'DB animal categories'!$C$157:$AC$166,27,FALSE)*AJ440+I440+J440+K440,IF(AS440=5,(('Calc (ex-animal)'!$G$85*'DB additional information '!$K$18/100+'Calc (ex-animal)'!$H$85*'DB additional information '!$L$18/100))*(1-VLOOKUP(D440,'DB technologies'!$N$210:$Y$222,9,FALSE)/100)*'Calc (ex-housing, ex-storage)'!F440/100/VLOOKUP($C$439,'DB animal categories'!$C$157:$AC$166,27,FALSE)*AJ440+I440+J440+K440,IF(AS440=3,('Calc (ex-animal)'!$G$85*'DB additional information '!$K$18/100+'Calc (ex-animal)'!$H$85*'DB additional information '!$L$18/100)*(1-VLOOKUP(D440,'DB technologies'!$N$210:$Y$222,9,FALSE)/100)*'Calc (ex-housing, ex-storage)'!F440/100/VLOOKUP($C$439,'DB animal categories'!$C$157:$AC$166,27,FALSE)*AJ440+I440+J440+K440,IF(AS440=4,('Calc (ex-animal)'!$G$85*'DB additional information '!$K$18/100+'Calc (ex-animal)'!$H$85*'DB additional information '!$L$18/100)*(1-VLOOKUP(D440,'DB technologies'!$N$210:$Y$222,9,FALSE)/100)*'Calc (ex-housing, ex-storage)'!F440/100*VLOOKUP(D440,'DB technologies'!$N$210:$Y$222,12,FALSE)/100/VLOOKUP($C$439,'DB animal categories'!$C$157:$AC$166,27,FALSE)*AJ440+I440+J440+K440,0))))))</f>
        <v/>
      </c>
      <c r="AV440" s="442" t="str">
        <f>IF(D440="","",IF(AS440=2,0,IF(AS440=1,'Calc (ex-animal)'!$G$85*(1-'DB additional information '!$K$18/100)*(1-VLOOKUP(D440,'DB technologies'!$N$210:$Y$222,8,FALSE)/100)*'Calc (ex-housing, ex-storage)'!F440/100/VLOOKUP($C$439,'DB animal categories'!$C$157:$AC$166,27,FALSE)*AJ440+M440+N440+O440,IF(AS440=5,('Calc (ex-animal)'!$G$85*(1-'DB additional information '!$K$18/100)+'Calc (ex-animal)'!$H$85*(1-'DB additional information '!$L$18/100))*(1-VLOOKUP(D440,'DB technologies'!$N$210:$Y$222,8,FALSE)/100)*'Calc (ex-housing, ex-storage)'!F440/100/VLOOKUP($C$439,'DB animal categories'!$C$157:$AC$166,27,FALSE)*AJ440+M440+N440+O440,IF(AS440=3,('Calc (ex-animal)'!$G$85*(1-'DB additional information '!$K$18/100)+'Calc (ex-animal)'!$H$85*(1-'DB additional information '!$L$18/100))*(1-VLOOKUP(D440,'DB technologies'!$N$210:$Y$222,8,FALSE)/100)*'Calc (ex-housing, ex-storage)'!F440/100/VLOOKUP($C$439,'DB animal categories'!$C$157:$AC$166,27,FALSE)*AJ440+M440+N440+O440,IF(AS440=4,('Calc (ex-animal)'!$G$85*(1-'DB additional information '!$K$18/100)+'Calc (ex-animal)'!$H$85*(1-'DB additional information '!$L$18/100))*(1-VLOOKUP(D440,'DB technologies'!$N$210:$Y$222,8,FALSE)/100)*'Calc (ex-housing, ex-storage)'!F440/100*VLOOKUP(D440,'DB technologies'!$N$210:$Y$222,12,FALSE)/100/VLOOKUP($C$439,'DB animal categories'!$C$157:$AC$166,27,FALSE)*AJ440+M440+N440+O440,0))))))</f>
        <v/>
      </c>
      <c r="AW440" s="442" t="str">
        <f>IF(AS440="","",IF(AU440=0,0,AU440/AT440*100))</f>
        <v/>
      </c>
      <c r="AX440" s="182" t="str">
        <f>IF(D440="","",IF(AS440=2,0,IF(AS440=1,'Calc (ex-animal)'!$K$85*'Calc (ex-housing, ex-storage)'!F440/100/VLOOKUP($C$439,'DB animal categories'!$C$157:$AC$166,27,FALSE)*AJ440+Q440+R440+S440,IF(AS440=5,('Calc (ex-animal)'!$K$85+'Calc (ex-animal)'!$L$85)*'Calc (ex-housing, ex-storage)'!F440/100/VLOOKUP($C$439,'DB animal categories'!$C$157:$AC$166,27,FALSE)*AJ440+Q440+R440+S440-'Calc (ex-housing, ex-storage)'!AC440,IF(AS440=3,('Calc (ex-animal)'!$K$85+'Calc (ex-animal)'!$L$85)*'Calc (ex-housing, ex-storage)'!F440/100/VLOOKUP($C$439,'DB animal categories'!$C$157:$AC$166,27,FALSE)*AJ440+Q440+R440+S440-'Calc (ex-housing, ex-storage)'!AC440-AD440-AE440,IF(AI440=4,('Calc (ex-animal)'!$K$85+'Calc (ex-animal)'!$L$85)*'Calc (ex-housing, ex-storage)'!F440/100*VLOOKUP(D440,'DB technologies'!$N$210:$Y$222,12,FALSE)/100/VLOOKUP($C$439,'DB animal categories'!$C$157:$AC$166,27,FALSE)*AJ440+Q440+R440+S440-(VLOOKUP(D440,'DB technologies'!$N$210:$Y$222,12,FALSE)/100*AC440)-AD440-AE440,0))))))</f>
        <v/>
      </c>
      <c r="AY440" s="182" t="str">
        <f>IF(D440="","",IF(AS440=2,0,IF(AS440=1,'Calc (ex-animal)'!$N$85*'Calc (ex-housing, ex-storage)'!F440/100/VLOOKUP($C$439,'DB animal categories'!$C$157:$AC$166,27,FALSE)*AJ440+U440+V440+W440,IF(AS440=5,('Calc (ex-animal)'!$N$85+'Calc (ex-animal)'!$O$85)*'Calc (ex-housing, ex-storage)'!F440/100/VLOOKUP($C$439,'DB animal categories'!$C$157:$AC$166,27,FALSE)*AJ440+U440+V440+W440,IF(AS440=3,('Calc (ex-animal)'!$N$85+'Calc (ex-animal)'!$O$85)*'Calc (ex-housing, ex-storage)'!F440/100/VLOOKUP($C$439,'DB animal categories'!$C$157:$AC$166,27,FALSE)*AJ440+U440+V440+W440,IF(AS440=4,('Calc (ex-animal)'!$N$85+'Calc (ex-animal)'!$O$85)*'Calc (ex-housing, ex-storage)'!F440/100*VLOOKUP(D440,'DB technologies'!$N$210:$Y$222,12,FALSE)/100/VLOOKUP($C$439,'DB animal categories'!$C$157:$AC$166,27,FALSE)*AJ440+U440+V440+W440,0))))))</f>
        <v/>
      </c>
      <c r="AZ440" s="182" t="str">
        <f>IF(D440="","",IF(AS440=2,0,IF(AS440=1,'Calc (ex-animal)'!$Q$85*'Calc (ex-housing, ex-storage)'!F440/100/VLOOKUP($C$439,'DB animal categories'!$C$157:$AC$166,27,FALSE)*AJ440+Y440+Z440+AA440,IF(AS440=5,('Calc (ex-animal)'!$Q$85+'Calc (ex-animal)'!$R$85)*'Calc (ex-housing, ex-storage)'!F440/100/VLOOKUP($C$439,'DB animal categories'!$C$157:$AC$166,27,FALSE)*AJ440+Y440+Z440+AA440,IF(AS440=3,('Calc (ex-animal)'!$Q$85+'Calc (ex-animal)'!$R$85)*'Calc (ex-housing, ex-storage)'!F440/100/VLOOKUP($C$439,'DB animal categories'!$C$157:$AC$166,27,FALSE)*AJ440+Y440+Z440+AA440,IF(AS440=4,('Calc (ex-animal)'!$Q$85+'Calc (ex-animal)'!$R$85)*'Calc (ex-housing, ex-storage)'!F440/100*VLOOKUP(D440,'DB technologies'!$N$210:$Y$222,12,FALSE)/100/VLOOKUP($C$439,'DB animal categories'!$C$157:$AC$166,27,FALSE)*AJ440+Y440+Z440+AA440,0))))))</f>
        <v/>
      </c>
      <c r="BA440" s="506"/>
      <c r="BB440" s="506"/>
      <c r="BC440" s="506"/>
    </row>
    <row r="441" spans="1:55" x14ac:dyDescent="0.2">
      <c r="A441" s="695"/>
      <c r="B441" s="695"/>
      <c r="C441" s="251"/>
      <c r="D441" s="1357"/>
      <c r="E441" s="1358"/>
      <c r="F441" s="480" t="str">
        <f>IF('Calc (ex-animal)'!$F$83=1,"",IF($C$439=0,"",IF(D441="","",E441/'Calc (ex-animal)'!$E$85*100)))</f>
        <v/>
      </c>
      <c r="G441" s="485" t="str">
        <f>IF($C$439=0,"",IF('Calc (ex-animal)'!$F$83=1,"",IF(D441="","",SUM(H441:O441))))</f>
        <v/>
      </c>
      <c r="H441" s="423" t="str">
        <f>IF('Calc (ex-animal)'!$F$83=1,"",IF(D441="","",(((VLOOKUP($C$439,'Calc (ex-animal)'!$D$83:$Y$87,6,FALSE)-VLOOKUP($C$439,'Calc (ex-animal)'!$D$83:$Y$87,17,FALSE))*F441/100))*VLOOKUP($C$439,'Calc (ex-animal)'!$D$83:$Y$87,7,FALSE)/100*(1-VLOOKUP(D441,'DB technologies'!$N$210:$Y$222,9,FALSE)/100)))</f>
        <v/>
      </c>
      <c r="I441" s="423" t="str">
        <f>IF(D441="","",((VLOOKUP(D441,'DB technologies'!$N$210:$Y$222,2,FALSE)*VLOOKUP($C$439,'DB animal categories'!$C$157:$AC$166,27,FALSE)*E441/1000)/VLOOKUP($C$439,'DB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'!$S$6/100*(1-VLOOKUP(D441,'DB technologies'!$N$210:$Y$222,9,FALSE)/100)))</f>
        <v/>
      </c>
      <c r="J441" s="434" t="str">
        <f>IF(D441="","",((VLOOKUP(D441,'DB technologies'!$N$210:$Y$222,3,FALSE)*VLOOKUP($C$439,'DB animal categories'!$C$157:$AC$166,27,FALSE)*E441/1000)/VLOOKUP($C$439,'DB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'!$S$7/100*(1-VLOOKUP(D441,'DB technologies'!$N$210:$Y$222,9,FALSE)/100)))</f>
        <v/>
      </c>
      <c r="K441" s="434" t="str">
        <f>IF(D441="","",((VLOOKUP(D441,'DB technologies'!$N$210:$Y$222,4,FALSE)*E441*'DB additional information '!$S$8/100*(1-VLOOKUP(D441,'DB technologies'!$N$210:$Y$222,9,FALSE)/100))/VLOOKUP($C$439,'DB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L441" s="423" t="str">
        <f>IF('Calc (ex-animal)'!$F$83=1,"",IF(D441="","",(((VLOOKUP($C$439,'Calc (ex-animal)'!$D$83:$Y$87,6,FALSE)-VLOOKUP($C$439,'Calc (ex-animal)'!$D$83:$Y$87,17,FALSE))*F441/100))*(1-VLOOKUP($C$439,'Calc (ex-animal)'!$D$83:$Y$87,7,FALSE)/100)*(1-VLOOKUP(D441,'DB technologies'!$N$210:$V$222,8,FALSE)/100)))</f>
        <v/>
      </c>
      <c r="M441" s="434" t="str">
        <f>IF(D441="","",((VLOOKUP(D441,'DB technologies'!$N$210:$Y$222,2,FALSE)*VLOOKUP($C$439,'DB animal categories'!$C$157:$AC$166,27,FALSE)*E441/1000)/VLOOKUP($C$439,'DB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'!$S$6/100)*(1-VLOOKUP(D441,'DB technologies'!$N$210:$Y$222,9,FALSE)/100))</f>
        <v/>
      </c>
      <c r="N441" s="434" t="str">
        <f>IF(D441="","",((VLOOKUP(D441,'DB technologies'!$N$210:$Y$222,3,FALSE)*VLOOKUP($C$439,'DB animal categories'!$C$157:$AC$166,27,FALSE)*E441/1000)/VLOOKUP($C$439,'DB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'!$S$7/100)*(1-VLOOKUP(D441,'DB technologies'!$N$210:$Y$222,9,FALSE)/100))</f>
        <v/>
      </c>
      <c r="O441" s="423" t="str">
        <f>IF(D441="","",((VLOOKUP(D441,'DB technologies'!$N$210:$Y$222,4,FALSE)*E441*(1-'DB additional information '!$S$8/100)*(1-VLOOKUP(D441,'DB technologies'!$N$210:$Y$222,8,FALSE)/100))/VLOOKUP($C$439,'DB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P441" s="438" t="str">
        <f>IF(G441=0,0,IF(E441="","",IF(F441="","",IF($C$439=0,"",IF(D441="","",SUM(H441:K441)/G441*100)))))</f>
        <v/>
      </c>
      <c r="Q441" s="416" t="str">
        <f>IF(D441="","",(VLOOKUP(D441,'DB technologies'!$N$210:$Y$222,2,FALSE)*'DB additional information '!$S$6/100*'DB additional information '!$T$6*VLOOKUP($C$439,'DB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R441" s="416" t="str">
        <f>IF(D441="","",(VLOOKUP(D441,'DB technologies'!$N$210:$Y$222,3,FALSE)*'DB additional information '!$S$7/100*'DB additional information '!$T$7*VLOOKUP($C$439,'DB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S441" s="491" t="str">
        <f>IF(D441="","",(VLOOKUP(D441,'DB technologies'!$N$210:$Y$222,4,FALSE)*('DB additional information '!$S$8/100*'DB additional information '!$T$8*E441/1000/1000)))</f>
        <v/>
      </c>
      <c r="T441" s="264" t="str">
        <f>IF($C$439=0,"",IF('Calc (ex-animal)'!$F$83=1,"",IF(D441="","",((VLOOKUP($C$439,'Calc (ex-animal)'!$D$83:$Y$87,10,FALSE)-VLOOKUP($C$439,'Calc (ex-animal)'!$D$83:$Y$87,18,FALSE))*F441/100+Q441+R441+S441)-AC441-AD441-AE441)))</f>
        <v/>
      </c>
      <c r="U441" s="422" t="str">
        <f>IF(D441="","",(VLOOKUP(D441,'DB technologies'!$N$210:$Y$222,2,FALSE)*'DB additional information '!$S$6/100*'DB additional information '!$U$6*VLOOKUP($C$439,'DB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V441" s="418" t="str">
        <f>IF(D441="","",(VLOOKUP(D441,'DB technologies'!$N$210:$Y$222,3,FALSE)*'DB additional information '!$S$7/100*'DB additional information '!$U$7*VLOOKUP($C$439,'DB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W441" s="417" t="str">
        <f>IF(D441="","",(VLOOKUP(D441,'DB technologies'!$N$210:$Y$222,4,FALSE)*('DB additional information '!$S$8/100*'DB additional information '!$U$8*E441/1000/1000)))</f>
        <v/>
      </c>
      <c r="X441" s="261" t="str">
        <f>IF($C$439=0,"",IF('Calc (ex-animal)'!$F$83=1,"",IF(D441="","",((VLOOKUP($C$439,'Calc (ex-animal)'!$D$83:$Y$87,13,FALSE)-VLOOKUP($C$439,'Calc (ex-animal)'!$D$83:$Y$87,19,FALSE))*F441/100+U441+V441+W441))))</f>
        <v/>
      </c>
      <c r="Y441" s="418" t="str">
        <f>IF(D441="","",(VLOOKUP(D441,'DB technologies'!$N$210:$Y$222,2,FALSE)*'DB additional information '!$S$6/100*'DB additional information '!$V$6*VLOOKUP($C$439,'DB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Z441" s="418" t="str">
        <f>IF(D441="","",(VLOOKUP(D441,'DB technologies'!$N$210:$Y$222,3,FALSE)*'DB additional information '!$S$7/100*'DB additional information '!$V$7*VLOOKUP($C$439,'DB animal categories'!$C$157:$AC$166,27,FALSE)*E441/1000/1000)/VLOOKUP($C$439,'DB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AA441" s="418" t="str">
        <f>IF(D441="","",(VLOOKUP(D441,'DB technologies'!$N$210:$Y$222,4,FALSE)*('DB additional information '!$S$8/100*'DB additional information '!$V$8*E441/1000/1000)))</f>
        <v/>
      </c>
      <c r="AB441" s="261" t="str">
        <f>IF($C$439=0,"",IF('Calc (ex-animal)'!$F$83=1,"",IF(D441="","",((VLOOKUP($C$439,'Calc (ex-animal)'!$D$83:$Y$87,16,FALSE)-VLOOKUP($C$439,'Calc (ex-animal)'!$D$83:$Y$87,20,FALSE))*F441/100+Y441+Z441+AA441))))</f>
        <v/>
      </c>
      <c r="AC441" s="261" t="str">
        <f>IF($C$439=0,"",IF('Calc (ex-animal)'!$F$83=1,"",IF(D441="","",VLOOKUP($C$439,'Calc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categories'!$C$157:$AC$166,26,FALSE)/24)*F441/100*VLOOKUP(D441,'DB technologies'!$N$210:$R$222,5,FALSE)/100)))</f>
        <v/>
      </c>
      <c r="AD441" s="261" t="str">
        <f>IF($C$439=0,"",IF('Calc (ex-animal)'!$F$83=1,"",IF(D441="","",VLOOKUP($C$439,'Calc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categories'!$C$157:$AC$166,26,FALSE)/24)*F441/100*VLOOKUP(D441,'DB technologies'!$N$210:$Y$222,6,FALSE)/100)))</f>
        <v/>
      </c>
      <c r="AE441" s="262" t="str">
        <f>IF($C$439=0,"",IF('Calc (ex-animal)'!$F$83=1,"",IF(D441="","",VLOOKUP($C$439,'Calc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categories'!$C$157:$AC$166,26,FALSE)/24)*F441/100*VLOOKUP(D441,'DB technologies'!$N$210:$Y$222,7,FALSE)/100)))</f>
        <v/>
      </c>
      <c r="AI441" s="181" t="str">
        <f>IF(D441="","",VLOOKUP(D441,'DB technologies'!$N$210:$Y$222,10,FALSE))</f>
        <v/>
      </c>
      <c r="AJ441" s="449" t="e">
        <f>VLOOKUP($C$439,'DB animal categories'!$C$157:$AN$166,27,FALSE)-VLOOKUP($C$439,'DB animal categories'!$C$157:$AN$166,26,FALSE)*VLOOKUP($C$439,'DB animal categories'!$C$157:$AN$166,25,FALSE)/24</f>
        <v>#N/A</v>
      </c>
      <c r="AK441" s="442" t="str">
        <f>IF(AI441="","",AL441+AM441)</f>
        <v/>
      </c>
      <c r="AL441" s="442" t="str">
        <f>IF(D441="","",IF(AI441=2,(('Calc (ex-animal)'!$G$85*'DB additional information '!$K$18/100*(1-VLOOKUP(D441,'DB technologies'!$N$210:$Y$222,9,FALSE)/100)*'Calc (ex-housing, ex-storage)'!F441/100+'Calc (ex-animal)'!$H$85*'DB additional information '!$L$18/100*(1-VLOOKUP(D441,'DB technologies'!$N$210:$Y$222,9,FALSE)/100)*'Calc (ex-housing, ex-storage)'!F441/100))/VLOOKUP($C$439,'DB animal categories'!$C$157:$AC$166,27,FALSE)*AJ441+I441+J441+K441,IF(AI441=1,('Calc (ex-animal)'!$H$85*'DB additional information '!$L$18/100*(1-VLOOKUP(D441,'DB technologies'!$N$210:$Y$222,9,FALSE)/100)*'Calc (ex-housing, ex-storage)'!F441/100)/VLOOKUP($C$439,'DB animal categories'!$C$157:$AC$166,27,FALSE)*AJ441,IF(AI441=4,('Calc (ex-animal)'!$G$85*'DB additional information '!$K$18/100+'Calc (ex-animal)'!$H$85*'DB additional information '!$L$18/100)*(1-VLOOKUP(D441,'DB technologies'!$N$210:$Y$222,9,FALSE)/100)*'Calc (ex-housing, ex-storage)'!F441/100*VLOOKUP(D441,'DB technologies'!$N$210:$Y$222,11,FALSE)/100/VLOOKUP($C$439,'DB animal categories'!$C$157:$AC$166,27,FALSE)*AJ441,0))))</f>
        <v/>
      </c>
      <c r="AM441" s="442" t="str">
        <f>IF(D441="","",IF(AI441=2,(('Calc (ex-animal)'!$G$85*(1-'DB additional information '!$K$18/100)*(1-VLOOKUP(D441,'DB technologies'!$N$210:$Y$222,8,FALSE)/100)*'Calc (ex-housing, ex-storage)'!F441/100+'Calc (ex-animal)'!$H$85*(1-'DB additional information '!$L$18/100)*(1-VLOOKUP(D441,'DB technologies'!$N$210:$Y$222,8,FALSE)/100)*'Calc (ex-housing, ex-storage)'!F441/100))/VLOOKUP($C$439,'DB animal categories'!$C$157:$AC$166,27,FALSE)*AJ441+M441+N441+O441,IF(AI441=1,('Calc (ex-animal)'!$H$85*(1-'DB additional information '!$L$18/100)*(1-VLOOKUP(D441,'DB technologies'!$N$210:$Y$222,8,FALSE)/100)*'Calc (ex-housing, ex-storage)'!F441/100)/VLOOKUP($C$439,'DB animal categories'!$C$157:$AC$166,27,FALSE)*AJ441,IF(AI441=4,('Calc (ex-animal)'!$G$85*(1-'DB additional information '!$K$18/100)+'Calc (ex-animal)'!$H$85*(1-'DB additional information '!$L$18/100))*(1-VLOOKUP(D441,'DB technologies'!$N$210:$Y$222,8,FALSE)/100)*'Calc (ex-housing, ex-storage)'!F441/100*VLOOKUP(D441,'DB technologies'!$N$210:$Y$222,11,FALSE)/100/VLOOKUP($C$439,'DB animal categories'!$C$157:$AC$166,27,FALSE)*AJ441,0))))</f>
        <v/>
      </c>
      <c r="AN441" s="442" t="str">
        <f>IF(AI441="","",IF(AL441=0,0,AL441/AK441*100))</f>
        <v/>
      </c>
      <c r="AO441" s="182" t="str">
        <f>IF(D441="","",IF(AI441=2,(('Calc (ex-animal)'!$L$85*'Calc (ex-housing, ex-storage)'!F441/100+'Calc (ex-animal)'!$K$85*'Calc (ex-housing, ex-storage)'!F441/100))/VLOOKUP($C$439,'DB animal categories'!$C$157:$AC$166,27,FALSE)*AJ441+Q441+R441+S441-AC441,IF(AI441=1,('Calc (ex-animal)'!$L$85*'Calc (ex-housing, ex-storage)'!F441/100)/VLOOKUP($C$439,'DB animal categories'!$C$157:$AC$166,27,FALSE)*AJ441-'Calc (ex-housing, ex-storage)'!AC441,IF(AI441=4,('Calc (ex-animal)'!$L$85+'Calc (ex-animal)'!$K$85)*'Calc (ex-housing, ex-storage)'!F441/100*VLOOKUP(D441,'DB technologies'!$N$210:$Y$222,11,FALSE)/100/VLOOKUP($C$439,'DB animal categories'!$C$157:$AC$166,27,FALSE)*AJ441-AC441*VLOOKUP(D441,'DB technologies'!$N$210:$Y$222,11,FALSE)/100,0))))</f>
        <v/>
      </c>
      <c r="AP441" s="182" t="str">
        <f>IF(D441="","",IF(AO441&lt;-0.01,0,IF(AI441=2,(('Calc (ex-animal)'!$L$85*'Calc (ex-housing, ex-storage)'!F441/100+'Calc (ex-animal)'!$K$85*'Calc (ex-housing, ex-storage)'!F441/100))/VLOOKUP($C$439,'DB animal categories'!$C$157:$AC$166,27,FALSE)*AJ441+Q441+R441+S441-AC441,IF(AI441=1,('Calc (ex-animal)'!$L$85*'Calc (ex-housing, ex-storage)'!F441/100)/VLOOKUP($C$439,'DB animal categories'!$C$157:$AC$166,27,FALSE)*AJ441-'Calc (ex-housing, ex-storage)'!AC441,IF(AI441=4,('Calc (ex-animal)'!$L$85+'Calc (ex-animal)'!$K$85)*'Calc (ex-housing, ex-storage)'!F441/100*VLOOKUP(D441,'DB technologies'!$N$210:$Y$222,11,FALSE)/100/VLOOKUP($C$439,'DB animal categories'!$C$157:$AC$166,27,FALSE)*AJ441-AC441*VLOOKUP(D441,'DB technologies'!$N$210:$Y$222,11,FALSE)/100,0)))))</f>
        <v/>
      </c>
      <c r="AQ441" s="182" t="str">
        <f>IF(D441="","",IF(AI441=2,('Calc (ex-animal)'!$O$85*'Calc (ex-housing, ex-storage)'!F441/100+'Calc (ex-animal)'!$N$85*'Calc (ex-housing, ex-storage)'!F441/100)/VLOOKUP($C$439,'DB animal categories'!$C$157:$AC$166,27,FALSE)*AJ441+U441+V441+W441,IF(AI441=1,'Calc (ex-animal)'!$O$85*'Calc (ex-housing, ex-storage)'!F441/100/VLOOKUP($C$439,'DB animal categories'!$C$157:$AC$166,27,FALSE)*AJ441,IF(AI441=4,('Calc (ex-animal)'!$O$85+'Calc (ex-animal)'!$N$85)*'Calc (ex-housing, ex-storage)'!F441/100*VLOOKUP(D441,'DB technologies'!$N$210:$Y$222,11,FALSE)/100/VLOOKUP($C$439,'DB animal categories'!$C$157:$AC$166,27,FALSE)*AJ441,0))))</f>
        <v/>
      </c>
      <c r="AR441" s="182" t="str">
        <f>IF(D441="","",IF(AI441=2,('Calc (ex-animal)'!$R$85*'Calc (ex-housing, ex-storage)'!F441/100+'Calc (ex-animal)'!$Q$85*'Calc (ex-housing, ex-storage)'!F441/100)/VLOOKUP($C$439,'DB animal categories'!$C$157:$AC$166,27,FALSE)*AJ441+Y441+Z441+AA441,IF(AI441=1,'Calc (ex-animal)'!$R$85*'Calc (ex-housing, ex-storage)'!F441/100/VLOOKUP($C$439,'DB animal categories'!$C$157:$AC$166,27,FALSE)*AJ441,IF(AI441=4,('Calc (ex-animal)'!$R$85+'Calc (ex-animal)'!$Q$85)*'Calc (ex-housing, ex-storage)'!F441/100*VLOOKUP(D441,'DB technologies'!$N$210:$Y$222,11,FALSE)/100/VLOOKUP($C$439,'DB animal categories'!$C$157:$AC$166,27,FALSE)*AJ441,0))))</f>
        <v/>
      </c>
      <c r="AS441" s="181" t="str">
        <f>IF(D441="","",VLOOKUP(D441,'DB technologies'!$N$210:$Y$222,10,FALSE))</f>
        <v/>
      </c>
      <c r="AT441" s="442" t="str">
        <f>IF(AS441="","",AU441+AV441)</f>
        <v/>
      </c>
      <c r="AU441" s="442" t="str">
        <f>IF(D441="","",IF(AS441=2,0,IF(AS441=1,'Calc (ex-animal)'!$G$85*'DB additional information '!$K$18/100*(1-VLOOKUP(D441,'DB technologies'!$N$210:$Y$222,8,FALSE)/100)*'Calc (ex-housing, ex-storage)'!F441/100/VLOOKUP($C$439,'DB animal categories'!$C$157:$AC$166,27,FALSE)*AJ441+I441+J441+K441,IF(AS441=5,(('Calc (ex-animal)'!$G$85*'DB additional information '!$K$18/100+'Calc (ex-animal)'!$H$85*'DB additional information '!$L$18/100))*(1-VLOOKUP(D441,'DB technologies'!$N$210:$Y$222,9,FALSE)/100)*'Calc (ex-housing, ex-storage)'!F441/100/VLOOKUP($C$439,'DB animal categories'!$C$157:$AC$166,27,FALSE)*AJ441+I441+J441+K441,IF(AS441=3,('Calc (ex-animal)'!$G$85*'DB additional information '!$K$18/100+'Calc (ex-animal)'!$H$85*'DB additional information '!$L$18/100)*(1-VLOOKUP(D441,'DB technologies'!$N$210:$Y$222,9,FALSE)/100)*'Calc (ex-housing, ex-storage)'!F441/100/VLOOKUP($C$439,'DB animal categories'!$C$157:$AC$166,27,FALSE)*AJ441+I441+J441+K441,IF(AS441=4,('Calc (ex-animal)'!$G$85*'DB additional information '!$K$18/100+'Calc (ex-animal)'!$H$85*'DB additional information '!$L$18/100)*(1-VLOOKUP(D441,'DB technologies'!$N$210:$Y$222,9,FALSE)/100)*'Calc (ex-housing, ex-storage)'!F441/100*VLOOKUP(D441,'DB technologies'!$N$210:$Y$222,12,FALSE)/100/VLOOKUP($C$439,'DB animal categories'!$C$157:$AC$166,27,FALSE)*AJ441+I441+J441+K441,0))))))</f>
        <v/>
      </c>
      <c r="AV441" s="442" t="str">
        <f>IF(D441="","",IF(AS441=2,0,IF(AS441=1,'Calc (ex-animal)'!$G$85*(1-'DB additional information '!$K$18/100)*(1-VLOOKUP(D441,'DB technologies'!$N$210:$Y$222,8,FALSE)/100)*'Calc (ex-housing, ex-storage)'!F441/100/VLOOKUP($C$439,'DB animal categories'!$C$157:$AC$166,27,FALSE)*AJ441+M441+N441+O441,IF(AS441=5,('Calc (ex-animal)'!$G$85*(1-'DB additional information '!$K$18/100)+'Calc (ex-animal)'!$H$85*(1-'DB additional information '!$L$18/100))*(1-VLOOKUP(D441,'DB technologies'!$N$210:$Y$222,8,FALSE)/100)*'Calc (ex-housing, ex-storage)'!F441/100/VLOOKUP($C$439,'DB animal categories'!$C$157:$AC$166,27,FALSE)*AJ441+M441+N441+O441,IF(AS441=3,('Calc (ex-animal)'!$G$85*(1-'DB additional information '!$K$18/100)+'Calc (ex-animal)'!$H$85*(1-'DB additional information '!$L$18/100))*(1-VLOOKUP(D441,'DB technologies'!$N$210:$Y$222,8,FALSE)/100)*'Calc (ex-housing, ex-storage)'!F441/100/VLOOKUP($C$439,'DB animal categories'!$C$157:$AC$166,27,FALSE)*AJ441+M441+N441+O441,IF(AS441=4,('Calc (ex-animal)'!$G$85*(1-'DB additional information '!$K$18/100)+'Calc (ex-animal)'!$H$85*(1-'DB additional information '!$L$18/100))*(1-VLOOKUP(D441,'DB technologies'!$N$210:$Y$222,8,FALSE)/100)*'Calc (ex-housing, ex-storage)'!F441/100*VLOOKUP(D441,'DB technologies'!$N$210:$Y$222,12,FALSE)/100/VLOOKUP($C$439,'DB animal categories'!$C$157:$AC$166,27,FALSE)*AJ441+M441+N441+O441,0))))))</f>
        <v/>
      </c>
      <c r="AW441" s="442" t="str">
        <f>IF(AS441="","",IF(AU441=0,0,AU441/AT441*100))</f>
        <v/>
      </c>
      <c r="AX441" s="182" t="str">
        <f>IF(D441="","",IF(AS441=2,0,IF(AS441=1,'Calc (ex-animal)'!$K$85*'Calc (ex-housing, ex-storage)'!F441/100/VLOOKUP($C$439,'DB animal categories'!$C$157:$AC$166,27,FALSE)*AJ441+Q441+R441+S441,IF(AS441=5,('Calc (ex-animal)'!$K$85+'Calc (ex-animal)'!$L$85)*'Calc (ex-housing, ex-storage)'!F441/100/VLOOKUP($C$439,'DB animal categories'!$C$157:$AC$166,27,FALSE)*AJ441+Q441+R441+S441-'Calc (ex-housing, ex-storage)'!AC441,IF(AS441=3,('Calc (ex-animal)'!$K$85+'Calc (ex-animal)'!$L$85)*'Calc (ex-housing, ex-storage)'!F441/100/VLOOKUP($C$439,'DB animal categories'!$C$157:$AC$166,27,FALSE)*AJ441+Q441+R441+S441-'Calc (ex-housing, ex-storage)'!AC441-AD441-AE441,IF(AI441=4,('Calc (ex-animal)'!$K$85+'Calc (ex-animal)'!$L$85)*'Calc (ex-housing, ex-storage)'!F441/100*VLOOKUP(D441,'DB technologies'!$N$210:$Y$222,12,FALSE)/100/VLOOKUP($C$439,'DB animal categories'!$C$157:$AC$166,27,FALSE)*AJ441+Q441+R441+S441-(VLOOKUP(D441,'DB technologies'!$N$210:$Y$222,12,FALSE)/100*AC441)-AD441-AE441,0))))))</f>
        <v/>
      </c>
      <c r="AY441" s="182" t="str">
        <f>IF(D441="","",IF(AS441=2,0,IF(AS441=1,'Calc (ex-animal)'!$N$85*'Calc (ex-housing, ex-storage)'!F441/100/VLOOKUP($C$439,'DB animal categories'!$C$157:$AC$166,27,FALSE)*AJ441+U441+V441+W441,IF(AS441=5,('Calc (ex-animal)'!$N$85+'Calc (ex-animal)'!$O$85)*'Calc (ex-housing, ex-storage)'!F441/100/VLOOKUP($C$439,'DB animal categories'!$C$157:$AC$166,27,FALSE)*AJ441+U441+V441+W441,IF(AS441=3,('Calc (ex-animal)'!$N$85+'Calc (ex-animal)'!$O$85)*'Calc (ex-housing, ex-storage)'!F441/100/VLOOKUP($C$439,'DB animal categories'!$C$157:$AC$166,27,FALSE)*AJ441+U441+V441+W441,IF(AS441=4,('Calc (ex-animal)'!$N$85+'Calc (ex-animal)'!$O$85)*'Calc (ex-housing, ex-storage)'!F441/100*VLOOKUP(D441,'DB technologies'!$N$210:$Y$222,12,FALSE)/100/VLOOKUP($C$439,'DB animal categories'!$C$157:$AC$166,27,FALSE)*AJ441+U441+V441+W441,0))))))</f>
        <v/>
      </c>
      <c r="AZ441" s="182" t="str">
        <f>IF(D441="","",IF(AS441=2,0,IF(AS441=1,'Calc (ex-animal)'!$Q$85*'Calc (ex-housing, ex-storage)'!F441/100/VLOOKUP($C$439,'DB animal categories'!$C$157:$AC$166,27,FALSE)*AJ441+Y441+Z441+AA441,IF(AS441=5,('Calc (ex-animal)'!$Q$85+'Calc (ex-animal)'!$R$85)*'Calc (ex-housing, ex-storage)'!F441/100/VLOOKUP($C$439,'DB animal categories'!$C$157:$AC$166,27,FALSE)*AJ441+Y441+Z441+AA441,IF(AS441=3,('Calc (ex-animal)'!$Q$85+'Calc (ex-animal)'!$R$85)*'Calc (ex-housing, ex-storage)'!F441/100/VLOOKUP($C$439,'DB animal categories'!$C$157:$AC$166,27,FALSE)*AJ441+Y441+Z441+AA441,IF(AS441=4,('Calc (ex-animal)'!$Q$85+'Calc (ex-animal)'!$R$85)*'Calc (ex-housing, ex-storage)'!F441/100*VLOOKUP(D441,'DB technologies'!$N$210:$Y$222,12,FALSE)/100/VLOOKUP($C$439,'DB animal categories'!$C$157:$AC$166,27,FALSE)*AJ441+Y441+Z441+AA441,0))))))</f>
        <v/>
      </c>
      <c r="BA441" s="506"/>
      <c r="BB441" s="506"/>
      <c r="BC441" s="506"/>
    </row>
    <row r="442" spans="1:55" x14ac:dyDescent="0.2">
      <c r="A442" s="695"/>
      <c r="B442" s="695"/>
      <c r="C442" s="251"/>
      <c r="D442" s="1357"/>
      <c r="E442" s="1358"/>
      <c r="F442" s="480" t="str">
        <f>IF('Calc (ex-animal)'!$F$83=1,"",IF($C$439=0,"",IF(D442="","",E442/'Calc (ex-animal)'!$E$85*100)))</f>
        <v/>
      </c>
      <c r="G442" s="485" t="str">
        <f>IF($C$439=0,"",IF('Calc (ex-animal)'!$F$83=1,"",IF(D442="","",SUM(H442:O442))))</f>
        <v/>
      </c>
      <c r="H442" s="423" t="str">
        <f>IF('Calc (ex-animal)'!$F$83=1,"",IF(D442="","",(((VLOOKUP($C$439,'Calc (ex-animal)'!$D$83:$Y$87,6,FALSE)-VLOOKUP($C$439,'Calc (ex-animal)'!$D$83:$Y$87,17,FALSE))*F442/100))*VLOOKUP($C$439,'Calc (ex-animal)'!$D$83:$Y$87,7,FALSE)/100*(1-VLOOKUP(D442,'DB technologies'!$N$210:$Y$222,9,FALSE)/100)))</f>
        <v/>
      </c>
      <c r="I442" s="423" t="str">
        <f>IF(D442="","",((VLOOKUP(D442,'DB technologies'!$N$210:$Y$222,2,FALSE)*VLOOKUP($C$439,'DB animal categories'!$C$157:$AC$166,27,FALSE)*E442/1000)/VLOOKUP($C$439,'DB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'!$S$6/100*(1-VLOOKUP(D442,'DB technologies'!$N$210:$Y$222,9,FALSE)/100)))</f>
        <v/>
      </c>
      <c r="J442" s="434" t="str">
        <f>IF(D442="","",((VLOOKUP(D442,'DB technologies'!$N$210:$Y$222,3,FALSE)*VLOOKUP($C$439,'DB animal categories'!$C$157:$AC$166,27,FALSE)*E442/1000)/VLOOKUP($C$439,'DB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'!$S$7/100*(1-VLOOKUP(D442,'DB technologies'!$N$210:$Y$222,9,FALSE)/100)))</f>
        <v/>
      </c>
      <c r="K442" s="434" t="str">
        <f>IF(D442="","",((VLOOKUP(D442,'DB technologies'!$N$210:$Y$222,4,FALSE)*E442*'DB additional information '!$S$8/100*(1-VLOOKUP(D442,'DB technologies'!$N$210:$Y$222,9,FALSE)/100))/VLOOKUP($C$439,'DB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L442" s="423" t="str">
        <f>IF('Calc (ex-animal)'!$F$83=1,"",IF(D442="","",(((VLOOKUP($C$439,'Calc (ex-animal)'!$D$83:$Y$87,6,FALSE)-VLOOKUP($C$439,'Calc (ex-animal)'!$D$83:$Y$87,17,FALSE))*F442/100))*(1-VLOOKUP($C$439,'Calc (ex-animal)'!$D$83:$Y$87,7,FALSE)/100)*(1-VLOOKUP(D442,'DB technologies'!$N$210:$V$222,8,FALSE)/100)))</f>
        <v/>
      </c>
      <c r="M442" s="434" t="str">
        <f>IF(D442="","",((VLOOKUP(D442,'DB technologies'!$N$210:$Y$222,2,FALSE)*VLOOKUP($C$439,'DB animal categories'!$C$157:$AC$166,27,FALSE)*E442/1000)/VLOOKUP($C$439,'DB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'!$S$6/100)*(1-VLOOKUP(D442,'DB technologies'!$N$210:$Y$222,9,FALSE)/100))</f>
        <v/>
      </c>
      <c r="N442" s="434" t="str">
        <f>IF(D442="","",((VLOOKUP(D442,'DB technologies'!$N$210:$Y$222,3,FALSE)*VLOOKUP($C$439,'DB animal categories'!$C$157:$AC$166,27,FALSE)*E442/1000)/VLOOKUP($C$439,'DB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'!$S$7/100)*(1-VLOOKUP(D442,'DB technologies'!$N$210:$Y$222,9,FALSE)/100))</f>
        <v/>
      </c>
      <c r="O442" s="423" t="str">
        <f>IF(D442="","",((VLOOKUP(D442,'DB technologies'!$N$210:$Y$222,4,FALSE)*E442*(1-'DB additional information '!$S$8/100)*(1-VLOOKUP(D442,'DB technologies'!$N$210:$Y$222,8,FALSE)/100))/VLOOKUP($C$439,'DB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P442" s="438" t="str">
        <f>IF(G442=0,0,IF(E442="","",IF(F442="","",IF($C$439=0,"",IF(D442="","",SUM(H442:K442)/G442*100)))))</f>
        <v/>
      </c>
      <c r="Q442" s="416" t="str">
        <f>IF(D442="","",(VLOOKUP(D442,'DB technologies'!$N$210:$Y$222,2,FALSE)*'DB additional information '!$S$6/100*'DB additional information '!$T$6*VLOOKUP($C$439,'DB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R442" s="416" t="str">
        <f>IF(D442="","",(VLOOKUP(D442,'DB technologies'!$N$210:$Y$222,3,FALSE)*'DB additional information '!$S$7/100*'DB additional information '!$T$7*VLOOKUP($C$439,'DB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S442" s="491" t="str">
        <f>IF(D442="","",(VLOOKUP(D442,'DB technologies'!$N$210:$Y$222,4,FALSE)*('DB additional information '!$S$8/100*'DB additional information '!$T$8*E442/1000/1000)))</f>
        <v/>
      </c>
      <c r="T442" s="264" t="str">
        <f>IF($C$439=0,"",IF('Calc (ex-animal)'!$F$83=1,"",IF(D442="","",((VLOOKUP($C$439,'Calc (ex-animal)'!$D$83:$Y$87,10,FALSE)-VLOOKUP($C$439,'Calc (ex-animal)'!$D$83:$Y$87,18,FALSE))*F442/100+Q442+R442+S442)-AC442-AD442-AE442)))</f>
        <v/>
      </c>
      <c r="U442" s="422" t="str">
        <f>IF(D442="","",(VLOOKUP(D442,'DB technologies'!$N$210:$Y$222,2,FALSE)*'DB additional information '!$S$6/100*'DB additional information '!$U$6*VLOOKUP($C$439,'DB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V442" s="418" t="str">
        <f>IF(D442="","",(VLOOKUP(D442,'DB technologies'!$N$210:$Y$222,3,FALSE)*'DB additional information '!$S$7/100*'DB additional information '!$U$7*VLOOKUP($C$439,'DB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W442" s="417" t="str">
        <f>IF(D442="","",(VLOOKUP(D442,'DB technologies'!$N$210:$Y$222,4,FALSE)*('DB additional information '!$S$8/100*'DB additional information '!$U$8*E442/1000/1000)))</f>
        <v/>
      </c>
      <c r="X442" s="261" t="str">
        <f>IF($C$439=0,"",IF('Calc (ex-animal)'!$F$83=1,"",IF(D442="","",((VLOOKUP($C$439,'Calc (ex-animal)'!$D$83:$Y$87,13,FALSE)-VLOOKUP($C$439,'Calc (ex-animal)'!$D$83:$Y$87,19,FALSE))*F442/100+U442+V442+W442))))</f>
        <v/>
      </c>
      <c r="Y442" s="418" t="str">
        <f>IF(D442="","",(VLOOKUP(D442,'DB technologies'!$N$210:$Y$222,2,FALSE)*'DB additional information '!$S$6/100*'DB additional information '!$V$6*VLOOKUP($C$439,'DB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Z442" s="418" t="str">
        <f>IF(D442="","",(VLOOKUP(D442,'DB technologies'!$N$210:$Y$222,3,FALSE)*'DB additional information '!$S$7/100*'DB additional information '!$V$7*VLOOKUP($C$439,'DB animal categories'!$C$157:$AC$166,27,FALSE)*E442/1000/1000)/VLOOKUP($C$439,'DB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AA442" s="418" t="str">
        <f>IF(D442="","",(VLOOKUP(D442,'DB technologies'!$N$210:$Y$222,4,FALSE)*('DB additional information '!$S$8/100*'DB additional information '!$V$8*E442/1000/1000)))</f>
        <v/>
      </c>
      <c r="AB442" s="261" t="str">
        <f>IF($C$439=0,"",IF('Calc (ex-animal)'!$F$83=1,"",IF(D442="","",((VLOOKUP($C$439,'Calc (ex-animal)'!$D$83:$Y$87,16,FALSE)-VLOOKUP($C$439,'Calc (ex-animal)'!$D$83:$Y$87,20,FALSE))*F442/100+Y442+Z442+AA442))))</f>
        <v/>
      </c>
      <c r="AC442" s="261" t="str">
        <f>IF($C$439=0,"",IF('Calc (ex-animal)'!$F$83=1,"",IF(D442="","",VLOOKUP($C$439,'Calc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categories'!$C$157:$AC$166,26,FALSE)/24)*F442/100*VLOOKUP(D442,'DB technologies'!$N$210:$R$222,5,FALSE)/100)))</f>
        <v/>
      </c>
      <c r="AD442" s="261" t="str">
        <f>IF($C$439=0,"",IF('Calc (ex-animal)'!$F$83=1,"",IF(D442="","",VLOOKUP($C$439,'Calc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categories'!$C$157:$AC$166,26,FALSE)/24)*F442/100*VLOOKUP(D442,'DB technologies'!$N$210:$Y$222,6,FALSE)/100)))</f>
        <v/>
      </c>
      <c r="AE442" s="262" t="str">
        <f>IF($C$439=0,"",IF('Calc (ex-animal)'!$F$83=1,"",IF(D442="","",VLOOKUP($C$439,'Calc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categories'!$C$157:$AC$166,26,FALSE)/24)*F442/100*VLOOKUP(D442,'DB technologies'!$N$210:$Y$222,7,FALSE)/100)))</f>
        <v/>
      </c>
      <c r="AI442" s="181" t="str">
        <f>IF(D442="","",VLOOKUP(D442,'DB technologies'!$N$210:$Y$222,10,FALSE))</f>
        <v/>
      </c>
      <c r="AJ442" s="449" t="e">
        <f>VLOOKUP($C$439,'DB animal categories'!$C$157:$AN$166,27,FALSE)-VLOOKUP($C$439,'DB animal categories'!$C$157:$AN$166,26,FALSE)*VLOOKUP($C$439,'DB animal categories'!$C$157:$AN$166,25,FALSE)/24</f>
        <v>#N/A</v>
      </c>
      <c r="AK442" s="442" t="str">
        <f>IF(AI442="","",AL442+AM442)</f>
        <v/>
      </c>
      <c r="AL442" s="442" t="str">
        <f>IF(D442="","",IF(AI442=2,(('Calc (ex-animal)'!$G$85*'DB additional information '!$K$18/100*(1-VLOOKUP(D442,'DB technologies'!$N$210:$Y$222,9,FALSE)/100)*'Calc (ex-housing, ex-storage)'!F442/100+'Calc (ex-animal)'!$H$85*'DB additional information '!$L$18/100*(1-VLOOKUP(D442,'DB technologies'!$N$210:$Y$222,9,FALSE)/100)*'Calc (ex-housing, ex-storage)'!F442/100))/VLOOKUP($C$439,'DB animal categories'!$C$157:$AC$166,27,FALSE)*AJ442+I442+J442+K442,IF(AI442=1,('Calc (ex-animal)'!$H$85*'DB additional information '!$L$18/100*(1-VLOOKUP(D442,'DB technologies'!$N$210:$Y$222,9,FALSE)/100)*'Calc (ex-housing, ex-storage)'!F442/100)/VLOOKUP($C$439,'DB animal categories'!$C$157:$AC$166,27,FALSE)*AJ442,IF(AI442=4,('Calc (ex-animal)'!$G$85*'DB additional information '!$K$18/100+'Calc (ex-animal)'!$H$85*'DB additional information '!$L$18/100)*(1-VLOOKUP(D442,'DB technologies'!$N$210:$Y$222,9,FALSE)/100)*'Calc (ex-housing, ex-storage)'!F442/100*VLOOKUP(D442,'DB technologies'!$N$210:$Y$222,11,FALSE)/100/VLOOKUP($C$439,'DB animal categories'!$C$157:$AC$166,27,FALSE)*AJ442,0))))</f>
        <v/>
      </c>
      <c r="AM442" s="442" t="str">
        <f>IF(D442="","",IF(AI442=2,(('Calc (ex-animal)'!$G$85*(1-'DB additional information '!$K$18/100)*(1-VLOOKUP(D442,'DB technologies'!$N$210:$Y$222,8,FALSE)/100)*'Calc (ex-housing, ex-storage)'!F442/100+'Calc (ex-animal)'!$H$85*(1-'DB additional information '!$L$18/100)*(1-VLOOKUP(D442,'DB technologies'!$N$210:$Y$222,8,FALSE)/100)*'Calc (ex-housing, ex-storage)'!F442/100))/VLOOKUP($C$439,'DB animal categories'!$C$157:$AC$166,27,FALSE)*AJ442+M442+N442+O442,IF(AI442=1,('Calc (ex-animal)'!$H$85*(1-'DB additional information '!$L$18/100)*(1-VLOOKUP(D442,'DB technologies'!$N$210:$Y$222,8,FALSE)/100)*'Calc (ex-housing, ex-storage)'!F442/100)/VLOOKUP($C$439,'DB animal categories'!$C$157:$AC$166,27,FALSE)*AJ442,IF(AI442=4,('Calc (ex-animal)'!$G$85*(1-'DB additional information '!$K$18/100)+'Calc (ex-animal)'!$H$85*(1-'DB additional information '!$L$18/100))*(1-VLOOKUP(D442,'DB technologies'!$N$210:$Y$222,8,FALSE)/100)*'Calc (ex-housing, ex-storage)'!F442/100*VLOOKUP(D442,'DB technologies'!$N$210:$Y$222,11,FALSE)/100/VLOOKUP($C$439,'DB animal categories'!$C$157:$AC$166,27,FALSE)*AJ442,0))))</f>
        <v/>
      </c>
      <c r="AN442" s="442" t="str">
        <f>IF(AI442="","",IF(AL442=0,0,AL442/AK442*100))</f>
        <v/>
      </c>
      <c r="AO442" s="182" t="str">
        <f>IF(D442="","",IF(AI442=2,(('Calc (ex-animal)'!$L$85*'Calc (ex-housing, ex-storage)'!F442/100+'Calc (ex-animal)'!$K$85*'Calc (ex-housing, ex-storage)'!F442/100))/VLOOKUP($C$439,'DB animal categories'!$C$157:$AC$166,27,FALSE)*AJ442+Q442+R442+S442-AC442,IF(AI442=1,('Calc (ex-animal)'!$L$85*'Calc (ex-housing, ex-storage)'!F442/100)/VLOOKUP($C$439,'DB animal categories'!$C$157:$AC$166,27,FALSE)*AJ442-'Calc (ex-housing, ex-storage)'!AC442,IF(AI442=4,('Calc (ex-animal)'!$L$85+'Calc (ex-animal)'!$K$85)*'Calc (ex-housing, ex-storage)'!F442/100*VLOOKUP(D442,'DB technologies'!$N$210:$Y$222,11,FALSE)/100/VLOOKUP($C$439,'DB animal categories'!$C$157:$AC$166,27,FALSE)*AJ442-AC442*VLOOKUP(D442,'DB technologies'!$N$210:$Y$222,11,FALSE)/100,0))))</f>
        <v/>
      </c>
      <c r="AP442" s="182" t="str">
        <f>IF(D442="","",IF(AO442&lt;-0.01,0,IF(AI442=2,(('Calc (ex-animal)'!$L$85*'Calc (ex-housing, ex-storage)'!F442/100+'Calc (ex-animal)'!$K$85*'Calc (ex-housing, ex-storage)'!F442/100))/VLOOKUP($C$439,'DB animal categories'!$C$157:$AC$166,27,FALSE)*AJ442+Q442+R442+S442-AC442,IF(AI442=1,('Calc (ex-animal)'!$L$85*'Calc (ex-housing, ex-storage)'!F442/100)/VLOOKUP($C$439,'DB animal categories'!$C$157:$AC$166,27,FALSE)*AJ442-'Calc (ex-housing, ex-storage)'!AC442,IF(AI442=4,('Calc (ex-animal)'!$L$85+'Calc (ex-animal)'!$K$85)*'Calc (ex-housing, ex-storage)'!F442/100*VLOOKUP(D442,'DB technologies'!$N$210:$Y$222,11,FALSE)/100/VLOOKUP($C$439,'DB animal categories'!$C$157:$AC$166,27,FALSE)*AJ442-AC442*VLOOKUP(D442,'DB technologies'!$N$210:$Y$222,11,FALSE)/100,0)))))</f>
        <v/>
      </c>
      <c r="AQ442" s="182" t="str">
        <f>IF(D442="","",IF(AI442=2,('Calc (ex-animal)'!$O$85*'Calc (ex-housing, ex-storage)'!F442/100+'Calc (ex-animal)'!$N$85*'Calc (ex-housing, ex-storage)'!F442/100)/VLOOKUP($C$439,'DB animal categories'!$C$157:$AC$166,27,FALSE)*AJ442+U442+V442+W442,IF(AI442=1,'Calc (ex-animal)'!$O$85*'Calc (ex-housing, ex-storage)'!F442/100/VLOOKUP($C$439,'DB animal categories'!$C$157:$AC$166,27,FALSE)*AJ442,IF(AI442=4,('Calc (ex-animal)'!$O$85+'Calc (ex-animal)'!$N$85)*'Calc (ex-housing, ex-storage)'!F442/100*VLOOKUP(D442,'DB technologies'!$N$210:$Y$222,11,FALSE)/100/VLOOKUP($C$439,'DB animal categories'!$C$157:$AC$166,27,FALSE)*AJ442,0))))</f>
        <v/>
      </c>
      <c r="AR442" s="182" t="str">
        <f>IF(D442="","",IF(AI442=2,('Calc (ex-animal)'!$R$85*'Calc (ex-housing, ex-storage)'!F442/100+'Calc (ex-animal)'!$Q$85*'Calc (ex-housing, ex-storage)'!F442/100)/VLOOKUP($C$439,'DB animal categories'!$C$157:$AC$166,27,FALSE)*AJ442+Y442+Z442+AA442,IF(AI442=1,'Calc (ex-animal)'!$R$85*'Calc (ex-housing, ex-storage)'!F442/100/VLOOKUP($C$439,'DB animal categories'!$C$157:$AC$166,27,FALSE)*AJ442,IF(AI442=4,('Calc (ex-animal)'!$R$85+'Calc (ex-animal)'!$Q$85)*'Calc (ex-housing, ex-storage)'!F442/100*VLOOKUP(D442,'DB technologies'!$N$210:$Y$222,11,FALSE)/100/VLOOKUP($C$439,'DB animal categories'!$C$157:$AC$166,27,FALSE)*AJ442,0))))</f>
        <v/>
      </c>
      <c r="AS442" s="181" t="str">
        <f>IF(D442="","",VLOOKUP(D442,'DB technologies'!$N$210:$Y$222,10,FALSE))</f>
        <v/>
      </c>
      <c r="AT442" s="442" t="str">
        <f>IF(AS442="","",AU442+AV442)</f>
        <v/>
      </c>
      <c r="AU442" s="442" t="str">
        <f>IF(D442="","",IF(AS442=2,0,IF(AS442=1,'Calc (ex-animal)'!$G$85*'DB additional information '!$K$18/100*(1-VLOOKUP(D442,'DB technologies'!$N$210:$Y$222,8,FALSE)/100)*'Calc (ex-housing, ex-storage)'!F442/100/VLOOKUP($C$439,'DB animal categories'!$C$157:$AC$166,27,FALSE)*AJ442+I442+J442+K442,IF(AS442=5,(('Calc (ex-animal)'!$G$85*'DB additional information '!$K$18/100+'Calc (ex-animal)'!$H$85*'DB additional information '!$L$18/100))*(1-VLOOKUP(D442,'DB technologies'!$N$210:$Y$222,9,FALSE)/100)*'Calc (ex-housing, ex-storage)'!F442/100/VLOOKUP($C$439,'DB animal categories'!$C$157:$AC$166,27,FALSE)*AJ442+I442+J442+K442,IF(AS442=3,('Calc (ex-animal)'!$G$85*'DB additional information '!$K$18/100+'Calc (ex-animal)'!$H$85*'DB additional information '!$L$18/100)*(1-VLOOKUP(D442,'DB technologies'!$N$210:$Y$222,9,FALSE)/100)*'Calc (ex-housing, ex-storage)'!F442/100/VLOOKUP($C$439,'DB animal categories'!$C$157:$AC$166,27,FALSE)*AJ442+I442+J442+K442,IF(AS442=4,('Calc (ex-animal)'!$G$85*'DB additional information '!$K$18/100+'Calc (ex-animal)'!$H$85*'DB additional information '!$L$18/100)*(1-VLOOKUP(D442,'DB technologies'!$N$210:$Y$222,9,FALSE)/100)*'Calc (ex-housing, ex-storage)'!F442/100*VLOOKUP(D442,'DB technologies'!$N$210:$Y$222,12,FALSE)/100/VLOOKUP($C$439,'DB animal categories'!$C$157:$AC$166,27,FALSE)*AJ442+I442+J442+K442,0))))))</f>
        <v/>
      </c>
      <c r="AV442" s="442" t="str">
        <f>IF(D442="","",IF(AS442=2,0,IF(AS442=1,'Calc (ex-animal)'!$G$85*(1-'DB additional information '!$K$18/100)*(1-VLOOKUP(D442,'DB technologies'!$N$210:$Y$222,8,FALSE)/100)*'Calc (ex-housing, ex-storage)'!F442/100/VLOOKUP($C$439,'DB animal categories'!$C$157:$AC$166,27,FALSE)*AJ442+M442+N442+O442,IF(AS442=5,('Calc (ex-animal)'!$G$85*(1-'DB additional information '!$K$18/100)+'Calc (ex-animal)'!$H$85*(1-'DB additional information '!$L$18/100))*(1-VLOOKUP(D442,'DB technologies'!$N$210:$Y$222,8,FALSE)/100)*'Calc (ex-housing, ex-storage)'!F442/100/VLOOKUP($C$439,'DB animal categories'!$C$157:$AC$166,27,FALSE)*AJ442+M442+N442+O442,IF(AS442=3,('Calc (ex-animal)'!$G$85*(1-'DB additional information '!$K$18/100)+'Calc (ex-animal)'!$H$85*(1-'DB additional information '!$L$18/100))*(1-VLOOKUP(D442,'DB technologies'!$N$210:$Y$222,8,FALSE)/100)*'Calc (ex-housing, ex-storage)'!F442/100/VLOOKUP($C$439,'DB animal categories'!$C$157:$AC$166,27,FALSE)*AJ442+M442+N442+O442,IF(AS442=4,('Calc (ex-animal)'!$G$85*(1-'DB additional information '!$K$18/100)+'Calc (ex-animal)'!$H$85*(1-'DB additional information '!$L$18/100))*(1-VLOOKUP(D442,'DB technologies'!$N$210:$Y$222,8,FALSE)/100)*'Calc (ex-housing, ex-storage)'!F442/100*VLOOKUP(D442,'DB technologies'!$N$210:$Y$222,12,FALSE)/100/VLOOKUP($C$439,'DB animal categories'!$C$157:$AC$166,27,FALSE)*AJ442+M442+N442+O442,0))))))</f>
        <v/>
      </c>
      <c r="AW442" s="442" t="str">
        <f>IF(AS442="","",IF(AU442=0,0,AU442/AT442*100))</f>
        <v/>
      </c>
      <c r="AX442" s="182" t="str">
        <f>IF(D442="","",IF(AS442=2,0,IF(AS442=1,'Calc (ex-animal)'!$K$85*'Calc (ex-housing, ex-storage)'!F442/100/VLOOKUP($C$439,'DB animal categories'!$C$157:$AC$166,27,FALSE)*AJ442+Q442+R442+S442,IF(AS442=5,('Calc (ex-animal)'!$K$85+'Calc (ex-animal)'!$L$85)*'Calc (ex-housing, ex-storage)'!F442/100/VLOOKUP($C$439,'DB animal categories'!$C$157:$AC$166,27,FALSE)*AJ442+Q442+R442+S442-'Calc (ex-housing, ex-storage)'!AC442,IF(AS442=3,('Calc (ex-animal)'!$K$85+'Calc (ex-animal)'!$L$85)*'Calc (ex-housing, ex-storage)'!F442/100/VLOOKUP($C$439,'DB animal categories'!$C$157:$AC$166,27,FALSE)*AJ442+Q442+R442+S442-'Calc (ex-housing, ex-storage)'!AC442-AD442-AE442,IF(AI442=4,('Calc (ex-animal)'!$K$85+'Calc (ex-animal)'!$L$85)*'Calc (ex-housing, ex-storage)'!F442/100*VLOOKUP(D442,'DB technologies'!$N$210:$Y$222,12,FALSE)/100/VLOOKUP($C$439,'DB animal categories'!$C$157:$AC$166,27,FALSE)*AJ442+Q442+R442+S442-(VLOOKUP(D442,'DB technologies'!$N$210:$Y$222,12,FALSE)/100*AC442)-AD442-AE442,0))))))</f>
        <v/>
      </c>
      <c r="AY442" s="182" t="str">
        <f>IF(D442="","",IF(AS442=2,0,IF(AS442=1,'Calc (ex-animal)'!$N$85*'Calc (ex-housing, ex-storage)'!F442/100/VLOOKUP($C$439,'DB animal categories'!$C$157:$AC$166,27,FALSE)*AJ442+U442+V442+W442,IF(AS442=5,('Calc (ex-animal)'!$N$85+'Calc (ex-animal)'!$O$85)*'Calc (ex-housing, ex-storage)'!F442/100/VLOOKUP($C$439,'DB animal categories'!$C$157:$AC$166,27,FALSE)*AJ442+U442+V442+W442,IF(AS442=3,('Calc (ex-animal)'!$N$85+'Calc (ex-animal)'!$O$85)*'Calc (ex-housing, ex-storage)'!F442/100/VLOOKUP($C$439,'DB animal categories'!$C$157:$AC$166,27,FALSE)*AJ442+U442+V442+W442,IF(AS442=4,('Calc (ex-animal)'!$N$85+'Calc (ex-animal)'!$O$85)*'Calc (ex-housing, ex-storage)'!F442/100*VLOOKUP(D442,'DB technologies'!$N$210:$Y$222,12,FALSE)/100/VLOOKUP($C$439,'DB animal categories'!$C$157:$AC$166,27,FALSE)*AJ442+U442+V442+W442,0))))))</f>
        <v/>
      </c>
      <c r="AZ442" s="182" t="str">
        <f>IF(D442="","",IF(AS442=2,0,IF(AS442=1,'Calc (ex-animal)'!$Q$85*'Calc (ex-housing, ex-storage)'!F442/100/VLOOKUP($C$439,'DB animal categories'!$C$157:$AC$166,27,FALSE)*AJ442+Y442+Z442+AA442,IF(AS442=5,('Calc (ex-animal)'!$Q$85+'Calc (ex-animal)'!$R$85)*'Calc (ex-housing, ex-storage)'!F442/100/VLOOKUP($C$439,'DB animal categories'!$C$157:$AC$166,27,FALSE)*AJ442+Y442+Z442+AA442,IF(AS442=3,('Calc (ex-animal)'!$Q$85+'Calc (ex-animal)'!$R$85)*'Calc (ex-housing, ex-storage)'!F442/100/VLOOKUP($C$439,'DB animal categories'!$C$157:$AC$166,27,FALSE)*AJ442+Y442+Z442+AA442,IF(AS442=4,('Calc (ex-animal)'!$Q$85+'Calc (ex-animal)'!$R$85)*'Calc (ex-housing, ex-storage)'!F442/100*VLOOKUP(D442,'DB technologies'!$N$210:$Y$222,12,FALSE)/100/VLOOKUP($C$439,'DB animal categories'!$C$157:$AC$166,27,FALSE)*AJ442+Y442+Z442+AA442,0))))))</f>
        <v/>
      </c>
      <c r="BA442" s="506"/>
      <c r="BB442" s="506"/>
      <c r="BC442" s="506"/>
    </row>
    <row r="443" spans="1:55" ht="12" thickBot="1" x14ac:dyDescent="0.25">
      <c r="A443" s="695"/>
      <c r="B443" s="695"/>
      <c r="C443" s="251"/>
      <c r="D443" s="1359"/>
      <c r="E443" s="1360"/>
      <c r="F443" s="481" t="str">
        <f>IF('Calc (ex-animal)'!$F$83=1,"",IF($C$439=0,"",IF(D443="","",E443/'Calc (ex-animal)'!$E$85*100)))</f>
        <v/>
      </c>
      <c r="G443" s="483" t="str">
        <f>IF($C$439=0,"",IF('Calc (ex-animal)'!$F$83=1,"",IF(D443="","",SUM(H443:O443))))</f>
        <v/>
      </c>
      <c r="H443" s="445" t="str">
        <f>IF('Calc (ex-animal)'!$F$83=1,"",IF(D443="","",(((VLOOKUP($C$439,'Calc (ex-animal)'!$D$83:$Y$87,6,FALSE)-VLOOKUP($C$439,'Calc (ex-animal)'!$D$83:$Y$87,17,FALSE))*F443/100))*VLOOKUP($C$439,'Calc (ex-animal)'!$D$83:$Y$87,7,FALSE)/100*(1-VLOOKUP(D443,'DB technologies'!$N$210:$Y$222,9,FALSE)/100)))</f>
        <v/>
      </c>
      <c r="I443" s="445" t="str">
        <f>IF(D443="","",((VLOOKUP(D443,'DB technologies'!$N$210:$Y$222,2,FALSE)*VLOOKUP($C$439,'DB animal categories'!$C$157:$AC$166,27,FALSE)*E443/1000)/VLOOKUP($C$439,'DB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'!$S$6/100*(1-VLOOKUP(D443,'DB technologies'!$N$210:$Y$222,9,FALSE)/100)))</f>
        <v/>
      </c>
      <c r="J443" s="446" t="str">
        <f>IF(D443="","",((VLOOKUP(D443,'DB technologies'!$N$210:$Y$222,3,FALSE)*VLOOKUP($C$439,'DB animal categories'!$C$157:$AC$166,27,FALSE)*E443/1000)/VLOOKUP($C$439,'DB animal categories'!$C$157:$AC$166,27,FALSE)*(VLOOKUP($C$439,'DB animal categories'!$C$157:$AC$166,27,FALSE)-(VLOOKUP($C$439,'DB animal categories'!$C$157:$AC$166,25,FALSE)*VLOOKUP($C$439,'DB animal categories'!$C$157:$AC$166,26,FALSE)/24))*'DB additional information '!$S$7/100*(1-VLOOKUP(D443,'DB technologies'!$N$210:$Y$222,9,FALSE)/100)))</f>
        <v/>
      </c>
      <c r="K443" s="446" t="str">
        <f>IF(D443="","",((VLOOKUP(D443,'DB technologies'!$N$210:$Y$222,4,FALSE)*E443*'DB additional information '!$S$8/100*(1-VLOOKUP(D443,'DB technologies'!$N$210:$Y$222,9,FALSE)/100))/VLOOKUP($C$439,'DB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L443" s="445" t="str">
        <f>IF('Calc (ex-animal)'!$F$83=1,"",IF(D443="","",(((VLOOKUP($C$439,'Calc (ex-animal)'!$D$83:$Y$87,6,FALSE)-VLOOKUP($C$439,'Calc (ex-animal)'!$D$83:$Y$87,17,FALSE))*F443/100))*(1-VLOOKUP($C$439,'Calc (ex-animal)'!$D$83:$Y$87,7,FALSE)/100)*(1-VLOOKUP(D443,'DB technologies'!$N$210:$V$222,8,FALSE)/100)))</f>
        <v/>
      </c>
      <c r="M443" s="446" t="str">
        <f>IF(D443="","",((VLOOKUP(D443,'DB technologies'!$N$210:$Y$222,2,FALSE)*VLOOKUP($C$439,'DB animal categories'!$C$157:$AC$166,27,FALSE)*E443/1000)/VLOOKUP($C$439,'DB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'!$S$6/100)*(1-VLOOKUP(D443,'DB technologies'!$N$210:$Y$222,9,FALSE)/100))</f>
        <v/>
      </c>
      <c r="N443" s="446" t="str">
        <f>IF(D443="","",((VLOOKUP(D443,'DB technologies'!$N$210:$Y$222,3,FALSE)*VLOOKUP($C$439,'DB animal categories'!$C$157:$AC$166,27,FALSE)*E443/1000)/VLOOKUP($C$439,'DB animal categories'!$C$157:$AC$166,27,FALSE)*(VLOOKUP($C$439,'DB animal categories'!$C$157:$AC$166,27,FALSE)-VLOOKUP($C$439,'DB animal categories'!$C$157:$AC$166,25,FALSE)*VLOOKUP($C$439,'DB animal categories'!$C$157:$AC$166,26,FALSE)/24))*(1-'DB additional information '!$S$7/100)*(1-VLOOKUP(D443,'DB technologies'!$N$210:$Y$222,9,FALSE)/100))</f>
        <v/>
      </c>
      <c r="O443" s="445" t="str">
        <f>IF(D443="","",((VLOOKUP(D443,'DB technologies'!$N$210:$Y$222,4,FALSE)*E443*(1-'DB additional information '!$S$8/100)*(1-VLOOKUP(D443,'DB technologies'!$N$210:$Y$222,8,FALSE)/100))/VLOOKUP($C$439,'DB animal categories'!$C$157:$AC$166,27,FALSE)*(VLOOKUP($C$439,'DB animal categories'!$C$157:$AC$166,27,FALSE)-VLOOKUP($C$439,'DB animal categories'!$C$157:$AC$166,25,FALSE)*VLOOKUP($C$439,'DB animal categories'!$C$157:$AC$166,26,FALSE)/24)))</f>
        <v/>
      </c>
      <c r="P443" s="444" t="str">
        <f>IF(G443=0,0,IF(E443="","",IF(F443="","",IF($C$439=0,"",IF(D443="","",SUM(H443:K443)/G443*100)))))</f>
        <v/>
      </c>
      <c r="Q443" s="476" t="str">
        <f>IF(D443="","",(VLOOKUP(D443,'DB technologies'!$N$210:$Y$222,2,FALSE)*'DB additional information '!$S$6/100*'DB additional information '!$T$6*VLOOKUP($C$439,'DB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R443" s="476" t="str">
        <f>IF(D443="","",(VLOOKUP(D443,'DB technologies'!$N$210:$Y$222,3,FALSE)*'DB additional information '!$S$7/100*'DB additional information '!$T$7*VLOOKUP($C$439,'DB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S443" s="494" t="str">
        <f>IF(D443="","",(VLOOKUP(D443,'DB technologies'!$N$210:$Y$222,4,FALSE)*('DB additional information '!$S$8/100*'DB additional information '!$T$8*E443/1000/1000)))</f>
        <v/>
      </c>
      <c r="T443" s="266" t="str">
        <f>IF($C$439=0,"",IF('Calc (ex-animal)'!$F$83=1,"",IF(D443="","",((VLOOKUP($C$439,'Calc (ex-animal)'!$D$83:$Y$87,10,FALSE)-VLOOKUP($C$439,'Calc (ex-animal)'!$D$83:$Y$87,18,FALSE))*F443/100+Q443+R443+S443)-AC443-AD443-AE443)))</f>
        <v/>
      </c>
      <c r="U443" s="477" t="str">
        <f>IF(D443="","",(VLOOKUP(D443,'DB technologies'!$N$210:$Y$222,2,FALSE)*'DB additional information '!$S$6/100*'DB additional information '!$U$6*VLOOKUP($C$439,'DB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V443" s="433" t="str">
        <f>IF(D443="","",(VLOOKUP(D443,'DB technologies'!$N$210:$Y$222,3,FALSE)*'DB additional information '!$S$7/100*'DB additional information '!$U$7*VLOOKUP($C$439,'DB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W443" s="475" t="str">
        <f>IF(D443="","",(VLOOKUP(D443,'DB technologies'!$N$210:$Y$222,4,FALSE)*('DB additional information '!$S$8/100*'DB additional information '!$U$8*E443/1000/1000)))</f>
        <v/>
      </c>
      <c r="X443" s="267" t="str">
        <f>IF($C$439=0,"",IF('Calc (ex-animal)'!$F$83=1,"",IF(D443="","",((VLOOKUP($C$439,'Calc (ex-animal)'!$D$83:$Y$87,13,FALSE)-VLOOKUP($C$439,'Calc (ex-animal)'!$D$83:$Y$87,19,FALSE))*F443/100+U443+V443+W443))))</f>
        <v/>
      </c>
      <c r="Y443" s="433" t="str">
        <f>IF(D443="","",(VLOOKUP(D443,'DB technologies'!$N$210:$Y$222,2,FALSE)*'DB additional information '!$S$6/100*'DB additional information '!$V$6*VLOOKUP($C$439,'DB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Z443" s="433" t="str">
        <f>IF(D443="","",(VLOOKUP(D443,'DB technologies'!$N$210:$Y$222,3,FALSE)*'DB additional information '!$S$7/100*'DB additional information '!$V$7*VLOOKUP($C$439,'DB animal categories'!$C$157:$AC$166,27,FALSE)*E443/1000/1000)/VLOOKUP($C$439,'DB animal categories'!$C$157:$AC$166,27,FALSE)*(VLOOKUP($C$439,'DB animal categories'!$C$157:$AC$166,27,FALSE)-VLOOKUP($C$439,'DB animal categories'!$C$157:$AC$166,25,FALSE)*VLOOKUP($C$439,'DB animal categories'!$C$157:$AC$166,26,FALSE)/24))</f>
        <v/>
      </c>
      <c r="AA443" s="433" t="str">
        <f>IF(D443="","",(VLOOKUP(D443,'DB technologies'!$N$210:$Y$222,4,FALSE)*('DB additional information '!$S$8/100*'DB additional information '!$V$8*E443/1000/1000)))</f>
        <v/>
      </c>
      <c r="AB443" s="267" t="str">
        <f>IF($C$439=0,"",IF('Calc (ex-animal)'!$F$83=1,"",IF(D443="","",((VLOOKUP($C$439,'Calc (ex-animal)'!$D$83:$Y$87,16,FALSE)-VLOOKUP($C$439,'Calc (ex-animal)'!$D$83:$Y$87,20,FALSE))*F443/100+Y443+Z443+AA443))))</f>
        <v/>
      </c>
      <c r="AC443" s="267" t="str">
        <f>IF($C$439=0,"",IF('Calc (ex-animal)'!$F$83=1,"",IF(D443="","",VLOOKUP($C$439,'Calc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categories'!$C$157:$AC$166,26,FALSE)/24)*F443/100*VLOOKUP(D443,'DB technologies'!$N$210:$R$222,5,FALSE)/100)))</f>
        <v/>
      </c>
      <c r="AD443" s="267" t="str">
        <f>IF($C$439=0,"",IF('Calc (ex-animal)'!$F$83=1,"",IF(D443="","",VLOOKUP($C$439,'Calc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categories'!$C$157:$AC$166,26,FALSE)/24)*F443/100*VLOOKUP(D443,'DB technologies'!$N$210:$Y$222,6,FALSE)/100)))</f>
        <v/>
      </c>
      <c r="AE443" s="268" t="str">
        <f>IF($C$439=0,"",IF('Calc (ex-animal)'!$F$83=1,"",IF(D443="","",VLOOKUP($C$439,'Calc (ex-animal)'!$D$83:$Y$87,10,FALSE)/VLOOKUP($C$439,'DB animal categories'!$C$157:$AC$166,27,FALSE)*(VLOOKUP($C$439,'DB animal categories'!$C$157:$AC$166,27,FALSE)-VLOOKUP($C$439,'DB animal categories'!$C$157:$AC$166,25,FALSE)*VLOOKUP($C$439,'DB animal categories'!$C$157:$AC$166,26,FALSE)/24)*F443/100*VLOOKUP(D443,'DB technologies'!$N$210:$Y$222,7,FALSE)/100)))</f>
        <v/>
      </c>
      <c r="AI443" s="183" t="str">
        <f>IF(D443="","",VLOOKUP(D443,'DB technologies'!$N$210:$Y$222,10,FALSE))</f>
        <v/>
      </c>
      <c r="AJ443" s="451" t="e">
        <f>VLOOKUP($C$439,'DB animal categories'!$C$157:$AN$166,27,FALSE)-VLOOKUP($C$439,'DB animal categories'!$C$157:$AN$166,26,FALSE)*VLOOKUP($C$439,'DB animal categories'!$C$157:$AN$166,25,FALSE)/24</f>
        <v>#N/A</v>
      </c>
      <c r="AK443" s="452" t="str">
        <f>IF(AI443="","",AL443+AM443)</f>
        <v/>
      </c>
      <c r="AL443" s="452" t="str">
        <f>IF(D443="","",IF(AI443=2,(('Calc (ex-animal)'!$G$85*'DB additional information '!$K$18/100*(1-VLOOKUP(D443,'DB technologies'!$N$210:$Y$222,9,FALSE)/100)*'Calc (ex-housing, ex-storage)'!F443/100+'Calc (ex-animal)'!$H$85*'DB additional information '!$L$18/100*(1-VLOOKUP(D443,'DB technologies'!$N$210:$Y$222,9,FALSE)/100)*'Calc (ex-housing, ex-storage)'!F443/100))/VLOOKUP($C$439,'DB animal categories'!$C$157:$AC$166,27,FALSE)*AJ443+I443+J443+K443,IF(AI443=1,('Calc (ex-animal)'!$H$85*'DB additional information '!$L$18/100*(1-VLOOKUP(D443,'DB technologies'!$N$210:$Y$222,9,FALSE)/100)*'Calc (ex-housing, ex-storage)'!F443/100)/VLOOKUP($C$439,'DB animal categories'!$C$157:$AC$166,27,FALSE)*AJ443,IF(AI443=4,('Calc (ex-animal)'!$G$85*'DB additional information '!$K$18/100+'Calc (ex-animal)'!$H$85*'DB additional information '!$L$18/100)*(1-VLOOKUP(D443,'DB technologies'!$N$210:$Y$222,9,FALSE)/100)*'Calc (ex-housing, ex-storage)'!F443/100*VLOOKUP(D443,'DB technologies'!$N$210:$Y$222,11,FALSE)/100/VLOOKUP($C$439,'DB animal categories'!$C$157:$AC$166,27,FALSE)*AJ443,0))))</f>
        <v/>
      </c>
      <c r="AM443" s="452" t="str">
        <f>IF(D443="","",IF(AI443=2,(('Calc (ex-animal)'!$G$85*(1-'DB additional information '!$K$18/100)*(1-VLOOKUP(D443,'DB technologies'!$N$210:$Y$222,8,FALSE)/100)*'Calc (ex-housing, ex-storage)'!F443/100+'Calc (ex-animal)'!$H$85*(1-'DB additional information '!$L$18/100)*(1-VLOOKUP(D443,'DB technologies'!$N$210:$Y$222,8,FALSE)/100)*'Calc (ex-housing, ex-storage)'!F443/100))/VLOOKUP($C$439,'DB animal categories'!$C$157:$AC$166,27,FALSE)*AJ443+M443+N443+O443,IF(AI443=1,('Calc (ex-animal)'!$H$85*(1-'DB additional information '!$L$18/100)*(1-VLOOKUP(D443,'DB technologies'!$N$210:$Y$222,8,FALSE)/100)*'Calc (ex-housing, ex-storage)'!F443/100)/VLOOKUP($C$439,'DB animal categories'!$C$157:$AC$166,27,FALSE)*AJ443,IF(AI443=4,('Calc (ex-animal)'!$G$85*(1-'DB additional information '!$K$18/100)+'Calc (ex-animal)'!$H$85*(1-'DB additional information '!$L$18/100))*(1-VLOOKUP(D443,'DB technologies'!$N$210:$Y$222,8,FALSE)/100)*'Calc (ex-housing, ex-storage)'!F443/100*VLOOKUP(D443,'DB technologies'!$N$210:$Y$222,11,FALSE)/100/VLOOKUP($C$439,'DB animal categories'!$C$157:$AC$166,27,FALSE)*AJ443,0))))</f>
        <v/>
      </c>
      <c r="AN443" s="452" t="str">
        <f>IF(AI443="","",IF(AL443=0,0,AL443/AK443*100))</f>
        <v/>
      </c>
      <c r="AO443" s="184" t="str">
        <f>IF(D443="","",IF(AI443=2,(('Calc (ex-animal)'!$L$85*'Calc (ex-housing, ex-storage)'!F443/100+'Calc (ex-animal)'!$K$85*'Calc (ex-housing, ex-storage)'!F443/100))/VLOOKUP($C$439,'DB animal categories'!$C$157:$AC$166,27,FALSE)*AJ443+Q443+R443+S443-AC443,IF(AI443=1,('Calc (ex-animal)'!$L$85*'Calc (ex-housing, ex-storage)'!F443/100)/VLOOKUP($C$439,'DB animal categories'!$C$157:$AC$166,27,FALSE)*AJ443-'Calc (ex-housing, ex-storage)'!AC443,IF(AI443=4,('Calc (ex-animal)'!$L$85+'Calc (ex-animal)'!$K$85)*'Calc (ex-housing, ex-storage)'!F443/100*VLOOKUP(D443,'DB technologies'!$N$210:$Y$222,11,FALSE)/100/VLOOKUP($C$439,'DB animal categories'!$C$157:$AC$166,27,FALSE)*AJ443-AC443*VLOOKUP(D443,'DB technologies'!$N$210:$Y$222,11,FALSE)/100,0))))</f>
        <v/>
      </c>
      <c r="AP443" s="184" t="str">
        <f>IF(D443="","",IF(AO443&lt;-0.01,0,IF(AI443=2,(('Calc (ex-animal)'!$L$85*'Calc (ex-housing, ex-storage)'!F443/100+'Calc (ex-animal)'!$K$85*'Calc (ex-housing, ex-storage)'!F443/100))/VLOOKUP($C$439,'DB animal categories'!$C$157:$AC$166,27,FALSE)*AJ443+Q443+R443+S443-AC443,IF(AI443=1,('Calc (ex-animal)'!$L$85*'Calc (ex-housing, ex-storage)'!F443/100)/VLOOKUP($C$439,'DB animal categories'!$C$157:$AC$166,27,FALSE)*AJ443-'Calc (ex-housing, ex-storage)'!AC443,IF(AI443=4,('Calc (ex-animal)'!$L$85+'Calc (ex-animal)'!$K$85)*'Calc (ex-housing, ex-storage)'!F443/100*VLOOKUP(D443,'DB technologies'!$N$210:$Y$222,11,FALSE)/100/VLOOKUP($C$439,'DB animal categories'!$C$157:$AC$166,27,FALSE)*AJ443-AC443*VLOOKUP(D443,'DB technologies'!$N$210:$Y$222,11,FALSE)/100,0)))))</f>
        <v/>
      </c>
      <c r="AQ443" s="184" t="str">
        <f>IF(D443="","",IF(AI443=2,('Calc (ex-animal)'!$O$85*'Calc (ex-housing, ex-storage)'!F443/100+'Calc (ex-animal)'!$N$85*'Calc (ex-housing, ex-storage)'!F443/100)/VLOOKUP($C$439,'DB animal categories'!$C$157:$AC$166,27,FALSE)*AJ443+U443+V443+W443,IF(AI443=1,'Calc (ex-animal)'!$O$85*'Calc (ex-housing, ex-storage)'!F443/100/VLOOKUP($C$439,'DB animal categories'!$C$157:$AC$166,27,FALSE)*AJ443,IF(AI443=4,('Calc (ex-animal)'!$O$85+'Calc (ex-animal)'!$N$85)*'Calc (ex-housing, ex-storage)'!F443/100*VLOOKUP(D443,'DB technologies'!$N$210:$Y$222,11,FALSE)/100/VLOOKUP($C$439,'DB animal categories'!$C$157:$AC$166,27,FALSE)*AJ443,0))))</f>
        <v/>
      </c>
      <c r="AR443" s="184" t="str">
        <f>IF(D443="","",IF(AI443=2,('Calc (ex-animal)'!$R$85*'Calc (ex-housing, ex-storage)'!F443/100+'Calc (ex-animal)'!$Q$85*'Calc (ex-housing, ex-storage)'!F443/100)/VLOOKUP($C$439,'DB animal categories'!$C$157:$AC$166,27,FALSE)*AJ443+Y443+Z443+AA443,IF(AI443=1,'Calc (ex-animal)'!$R$85*'Calc (ex-housing, ex-storage)'!F443/100/VLOOKUP($C$439,'DB animal categories'!$C$157:$AC$166,27,FALSE)*AJ443,IF(AI443=4,('Calc (ex-animal)'!$R$85+'Calc (ex-animal)'!$Q$85)*'Calc (ex-housing, ex-storage)'!F443/100*VLOOKUP(D443,'DB technologies'!$N$210:$Y$222,11,FALSE)/100/VLOOKUP($C$439,'DB animal categories'!$C$157:$AC$166,27,FALSE)*AJ443,0))))</f>
        <v/>
      </c>
      <c r="AS443" s="183" t="str">
        <f>IF(D443="","",VLOOKUP(D443,'DB technologies'!$N$210:$Y$222,10,FALSE))</f>
        <v/>
      </c>
      <c r="AT443" s="452" t="str">
        <f>IF(AS443="","",AU443+AV443)</f>
        <v/>
      </c>
      <c r="AU443" s="452" t="str">
        <f>IF(D443="","",IF(AS443=2,0,IF(AS443=1,'Calc (ex-animal)'!$G$85*'DB additional information '!$K$18/100*(1-VLOOKUP(D443,'DB technologies'!$N$210:$Y$222,8,FALSE)/100)*'Calc (ex-housing, ex-storage)'!F443/100/VLOOKUP($C$439,'DB animal categories'!$C$157:$AC$166,27,FALSE)*AJ443+I443+J443+K443,IF(AS443=5,(('Calc (ex-animal)'!$G$85*'DB additional information '!$K$18/100+'Calc (ex-animal)'!$H$85*'DB additional information '!$L$18/100))*(1-VLOOKUP(D443,'DB technologies'!$N$210:$Y$222,9,FALSE)/100)*'Calc (ex-housing, ex-storage)'!F443/100/VLOOKUP($C$439,'DB animal categories'!$C$157:$AC$166,27,FALSE)*AJ443+I443+J443+K443,IF(AS443=3,('Calc (ex-animal)'!$G$85*'DB additional information '!$K$18/100+'Calc (ex-animal)'!$H$85*'DB additional information '!$L$18/100)*(1-VLOOKUP(D443,'DB technologies'!$N$210:$Y$222,9,FALSE)/100)*'Calc (ex-housing, ex-storage)'!F443/100/VLOOKUP($C$439,'DB animal categories'!$C$157:$AC$166,27,FALSE)*AJ443+I443+J443+K443,IF(AS443=4,('Calc (ex-animal)'!$G$85*'DB additional information '!$K$18/100+'Calc (ex-animal)'!$H$85*'DB additional information '!$L$18/100)*(1-VLOOKUP(D443,'DB technologies'!$N$210:$Y$222,9,FALSE)/100)*'Calc (ex-housing, ex-storage)'!F443/100*VLOOKUP(D443,'DB technologies'!$N$210:$Y$222,12,FALSE)/100/VLOOKUP($C$439,'DB animal categories'!$C$157:$AC$166,27,FALSE)*AJ443+I443+J443+K443,0))))))</f>
        <v/>
      </c>
      <c r="AV443" s="452" t="str">
        <f>IF(D443="","",IF(AS443=2,0,IF(AS443=1,'Calc (ex-animal)'!$G$85*(1-'DB additional information '!$K$18/100)*(1-VLOOKUP(D443,'DB technologies'!$N$210:$Y$222,8,FALSE)/100)*'Calc (ex-housing, ex-storage)'!F443/100/VLOOKUP($C$439,'DB animal categories'!$C$157:$AC$166,27,FALSE)*AJ443+M443+N443+O443,IF(AS443=5,('Calc (ex-animal)'!$G$85*(1-'DB additional information '!$K$18/100)+'Calc (ex-animal)'!$H$85*(1-'DB additional information '!$L$18/100))*(1-VLOOKUP(D443,'DB technologies'!$N$210:$Y$222,8,FALSE)/100)*'Calc (ex-housing, ex-storage)'!F443/100/VLOOKUP($C$439,'DB animal categories'!$C$157:$AC$166,27,FALSE)*AJ443+M443+N443+O443,IF(AS443=3,('Calc (ex-animal)'!$G$85*(1-'DB additional information '!$K$18/100)+'Calc (ex-animal)'!$H$85*(1-'DB additional information '!$L$18/100))*(1-VLOOKUP(D443,'DB technologies'!$N$210:$Y$222,8,FALSE)/100)*'Calc (ex-housing, ex-storage)'!F443/100/VLOOKUP($C$439,'DB animal categories'!$C$157:$AC$166,27,FALSE)*AJ443+M443+N443+O443,IF(AS443=4,('Calc (ex-animal)'!$G$85*(1-'DB additional information '!$K$18/100)+'Calc (ex-animal)'!$H$85*(1-'DB additional information '!$L$18/100))*(1-VLOOKUP(D443,'DB technologies'!$N$210:$Y$222,8,FALSE)/100)*'Calc (ex-housing, ex-storage)'!F443/100*VLOOKUP(D443,'DB technologies'!$N$210:$Y$222,12,FALSE)/100/VLOOKUP($C$439,'DB animal categories'!$C$157:$AC$166,27,FALSE)*AJ443+M443+N443+O443,0))))))</f>
        <v/>
      </c>
      <c r="AW443" s="452" t="str">
        <f>IF(AS443="","",IF(AU443=0,0,AU443/AT443*100))</f>
        <v/>
      </c>
      <c r="AX443" s="184" t="str">
        <f>IF(D443="","",IF(AS443=2,0,IF(AS443=1,'Calc (ex-animal)'!$K$85*'Calc (ex-housing, ex-storage)'!F443/100/VLOOKUP($C$439,'DB animal categories'!$C$157:$AC$166,27,FALSE)*AJ443+Q443+R443+S443,IF(AS443=5,('Calc (ex-animal)'!$K$85+'Calc (ex-animal)'!$L$85)*'Calc (ex-housing, ex-storage)'!F443/100/VLOOKUP($C$439,'DB animal categories'!$C$157:$AC$166,27,FALSE)*AJ443+Q443+R443+S443-'Calc (ex-housing, ex-storage)'!AC443,IF(AS443=3,('Calc (ex-animal)'!$K$85+'Calc (ex-animal)'!$L$85)*'Calc (ex-housing, ex-storage)'!F443/100/VLOOKUP($C$439,'DB animal categories'!$C$157:$AC$166,27,FALSE)*AJ443+Q443+R443+S443-'Calc (ex-housing, ex-storage)'!AC443-AD443-AE443,IF(AI443=4,('Calc (ex-animal)'!$K$85+'Calc (ex-animal)'!$L$85)*'Calc (ex-housing, ex-storage)'!F443/100*VLOOKUP(D443,'DB technologies'!$N$210:$Y$222,12,FALSE)/100/VLOOKUP($C$439,'DB animal categories'!$C$157:$AC$166,27,FALSE)*AJ443+Q443+R443+S443-(VLOOKUP(D443,'DB technologies'!$N$210:$Y$222,12,FALSE)/100*AC443)-AD443-AE443,0))))))</f>
        <v/>
      </c>
      <c r="AY443" s="184" t="str">
        <f>IF(D443="","",IF(AS443=2,0,IF(AS443=1,'Calc (ex-animal)'!$N$85*'Calc (ex-housing, ex-storage)'!F443/100/VLOOKUP($C$439,'DB animal categories'!$C$157:$AC$166,27,FALSE)*AJ443+U443+V443+W443,IF(AS443=5,('Calc (ex-animal)'!$N$85+'Calc (ex-animal)'!$O$85)*'Calc (ex-housing, ex-storage)'!F443/100/VLOOKUP($C$439,'DB animal categories'!$C$157:$AC$166,27,FALSE)*AJ443+U443+V443+W443,IF(AS443=3,('Calc (ex-animal)'!$N$85+'Calc (ex-animal)'!$O$85)*'Calc (ex-housing, ex-storage)'!F443/100/VLOOKUP($C$439,'DB animal categories'!$C$157:$AC$166,27,FALSE)*AJ443+U443+V443+W443,IF(AS443=4,('Calc (ex-animal)'!$N$85+'Calc (ex-animal)'!$O$85)*'Calc (ex-housing, ex-storage)'!F443/100*VLOOKUP(D443,'DB technologies'!$N$210:$Y$222,12,FALSE)/100/VLOOKUP($C$439,'DB animal categories'!$C$157:$AC$166,27,FALSE)*AJ443+U443+V443+W443,0))))))</f>
        <v/>
      </c>
      <c r="AZ443" s="184" t="str">
        <f>IF(D443="","",IF(AS443=2,0,IF(AS443=1,'Calc (ex-animal)'!$Q$85*'Calc (ex-housing, ex-storage)'!F443/100/VLOOKUP($C$439,'DB animal categories'!$C$157:$AC$166,27,FALSE)*AJ443+Y443+Z443+AA443,IF(AS443=5,('Calc (ex-animal)'!$Q$85+'Calc (ex-animal)'!$R$85)*'Calc (ex-housing, ex-storage)'!F443/100/VLOOKUP($C$439,'DB animal categories'!$C$157:$AC$166,27,FALSE)*AJ443+Y443+Z443+AA443,IF(AS443=3,('Calc (ex-animal)'!$Q$85+'Calc (ex-animal)'!$R$85)*'Calc (ex-housing, ex-storage)'!F443/100/VLOOKUP($C$439,'DB animal categories'!$C$157:$AC$166,27,FALSE)*AJ443+Y443+Z443+AA443,IF(AS443=4,('Calc (ex-animal)'!$Q$85+'Calc (ex-animal)'!$R$85)*'Calc (ex-housing, ex-storage)'!F443/100*VLOOKUP(D443,'DB technologies'!$N$210:$Y$222,12,FALSE)/100/VLOOKUP($C$439,'DB animal categories'!$C$157:$AC$166,27,FALSE)*AJ443+Y443+Z443+AA443,0))))))</f>
        <v/>
      </c>
      <c r="BA443" s="506"/>
      <c r="BB443" s="506"/>
      <c r="BC443" s="506"/>
    </row>
    <row r="444" spans="1:55" ht="12" thickBot="1" x14ac:dyDescent="0.25">
      <c r="A444" s="695"/>
      <c r="B444" s="695"/>
      <c r="C444" s="252"/>
      <c r="D444" s="269" t="s">
        <v>58</v>
      </c>
      <c r="E444" s="270">
        <f>IF(F444&lt;=100,SUM(E439:E443),"ERROR")</f>
        <v>0</v>
      </c>
      <c r="F444" s="284">
        <f>IF(SUM(F439:F443) &lt;=100,SUM(F439:F443),"ERROR, SUM&gt;100%")</f>
        <v>0</v>
      </c>
      <c r="G444" s="550">
        <f>IF('Calc (ex-animal)'!$F$83=1,"",SUM(G439:G443))</f>
        <v>0</v>
      </c>
      <c r="H444" s="418">
        <f>IF('Calc (ex-animal)'!$F$8=1,"",SUM(H439:H443))</f>
        <v>0</v>
      </c>
      <c r="I444" s="418">
        <f>IF('Calc (ex-animal)'!$F$8=1,"",SUM(I439:I443))</f>
        <v>0</v>
      </c>
      <c r="J444" s="418">
        <f>IF('Calc (ex-animal)'!$F$8=1,"",SUM(J439:J443))</f>
        <v>0</v>
      </c>
      <c r="K444" s="418">
        <f>IF('Calc (ex-animal)'!$F$8=1,"",SUM(K439:K443))</f>
        <v>0</v>
      </c>
      <c r="L444" s="418">
        <f>IF('Calc (ex-animal)'!$F$8=1,"",SUM(L439:L443))</f>
        <v>0</v>
      </c>
      <c r="M444" s="551"/>
      <c r="N444" s="551"/>
      <c r="O444" s="551"/>
      <c r="P444" s="552">
        <f>IF(G444=0,0,IF('Calc (ex-animal)'!$F$83=1,"",IF(D444="","",SUM(H444:K444)/G444*100)))</f>
        <v>0</v>
      </c>
      <c r="Q444" s="394"/>
      <c r="R444" s="394"/>
      <c r="S444" s="394"/>
      <c r="T444" s="285">
        <f>IF('Calc (ex-animal)'!$F$85=1,"",SUM(T439:T443))</f>
        <v>0</v>
      </c>
      <c r="U444" s="286"/>
      <c r="V444" s="286"/>
      <c r="W444" s="286"/>
      <c r="X444" s="286">
        <f>IF('Calc (ex-animal)'!$F$85=1,"",SUM(X439:X443))</f>
        <v>0</v>
      </c>
      <c r="Y444" s="286"/>
      <c r="Z444" s="286"/>
      <c r="AA444" s="286"/>
      <c r="AB444" s="286">
        <f>IF('Calc (ex-animal)'!$F$85=1,"",SUM(AB439:AB443))</f>
        <v>0</v>
      </c>
      <c r="AC444" s="286">
        <f>IF('Calc (ex-animal)'!$F$85=1,"",SUM(AC439:AC443))</f>
        <v>0</v>
      </c>
      <c r="AD444" s="286">
        <f>IF('Calc (ex-animal)'!$F$85=1,"",SUM(AD439:AD443))</f>
        <v>0</v>
      </c>
      <c r="AE444" s="287">
        <f>IF('Calc (ex-animal)'!$F$85=1,"",SUM(AE439:AE443))</f>
        <v>0</v>
      </c>
    </row>
    <row r="445" spans="1:55" x14ac:dyDescent="0.2">
      <c r="A445" s="695"/>
      <c r="B445" s="695"/>
      <c r="C445" s="250">
        <f>'Calc (ex-animal)'!D86</f>
        <v>0</v>
      </c>
      <c r="D445" s="1355"/>
      <c r="E445" s="1356"/>
      <c r="F445" s="479" t="str">
        <f>IF('Calc (ex-animal)'!$F$83=1,"",IF($C$445=0,"",IF(D445="","",E445/'Calc (ex-animal)'!$E$86*100)))</f>
        <v/>
      </c>
      <c r="G445" s="484" t="str">
        <f>IF($C$445=0,"",IF('Calc (ex-animal)'!$F$83=1,"",IF(D445="","",SUM(H445:O445))))</f>
        <v/>
      </c>
      <c r="H445" s="471" t="str">
        <f>IF('Calc (ex-animal)'!$F$83=1,"",IF(D445="","",(((VLOOKUP($C$445,'Calc (ex-animal)'!$D$83:$Y$87,6,FALSE)-VLOOKUP($C$445,'Calc (ex-animal)'!$D$83:$Y$87,17,FALSE))*F445/100))*VLOOKUP($C$445,'Calc (ex-animal)'!$D$83:$Y$87,7,FALSE)/100*(1-VLOOKUP(D445,'DB technologies'!$N$210:$Y$222,9,FALSE)/100)))</f>
        <v/>
      </c>
      <c r="I445" s="471" t="str">
        <f>IF(D445="","",((VLOOKUP(D445,'DB technologies'!$N$210:$Y$222,2,FALSE)*VLOOKUP($C$445,'DB animal categories'!$C$157:$AC$166,27,FALSE)*E445/1000)/VLOOKUP($C$445,'DB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'!$S$6/100*(1-VLOOKUP(D445,'DB technologies'!$N$210:$Y$222,9,FALSE)/100)))</f>
        <v/>
      </c>
      <c r="J445" s="472" t="str">
        <f>IF(D445="","",((VLOOKUP(D445,'DB technologies'!$N$210:$Y$222,3,FALSE)*VLOOKUP($C$445,'DB animal categories'!$C$157:$AC$166,27,FALSE)*E445/1000)/VLOOKUP($C$445,'DB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'!$S$7/100*(1-VLOOKUP(D445,'DB technologies'!$N$210:$Y$222,9,FALSE)/100)))</f>
        <v/>
      </c>
      <c r="K445" s="472" t="str">
        <f>IF(D445="","",((VLOOKUP(D445,'DB technologies'!$N$210:$Y$222,4,FALSE)*E445*'DB additional information '!$S$8/100*(1-VLOOKUP(D445,'DB technologies'!$N$210:$Y$222,9,FALSE)/100))/VLOOKUP($C$445,'DB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L445" s="471" t="str">
        <f>IF('Calc (ex-animal)'!$F$83=1,"",IF(D445="","",(((VLOOKUP($C$445,'Calc (ex-animal)'!$D$83:$Y$87,6,FALSE)-VLOOKUP($C$445,'Calc (ex-animal)'!$D$83:$Y$87,17,FALSE))*F445/100))*(1-VLOOKUP($C$445,'Calc (ex-animal)'!$D$83:$Y$87,7,FALSE)/100)*(1-VLOOKUP(D445,'DB technologies'!$N$210:$V$222,8,FALSE)/100)))</f>
        <v/>
      </c>
      <c r="M445" s="472" t="str">
        <f>IF(D445="","",((VLOOKUP(D445,'DB technologies'!$N$210:$Y$222,2,FALSE)*VLOOKUP($C$445,'DB animal categories'!$C$157:$AC$166,27,FALSE)*E445/1000)/VLOOKUP($C$445,'DB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'!$S$6/100)*(1-VLOOKUP(D445,'DB technologies'!$N$210:$Y$222,9,FALSE)/100))</f>
        <v/>
      </c>
      <c r="N445" s="472" t="str">
        <f>IF(D445="","",((VLOOKUP(D445,'DB technologies'!$N$210:$Y$222,3,FALSE)*VLOOKUP($C$445,'DB animal categories'!$C$157:$AC$166,27,FALSE)*E445/1000)/VLOOKUP($C$445,'DB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'!$S$7/100)*(1-VLOOKUP(D445,'DB technologies'!$N$210:$Y$222,9,FALSE)/100))</f>
        <v/>
      </c>
      <c r="O445" s="471" t="str">
        <f>IF(D445="","",((VLOOKUP(D445,'DB technologies'!$N$210:$Y$222,4,FALSE)*E445*(1-'DB additional information '!$S$8/100)*(1-VLOOKUP(D445,'DB technologies'!$N$210:$Y$222,8,FALSE)/100))/VLOOKUP($C$445,'DB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P445" s="443" t="str">
        <f>IF(G445=0,0,IF(E445="","",IF(F445="","",IF($C$445=0,"",IF(D445="","",SUM(H445:K445)/G445*100)))))</f>
        <v/>
      </c>
      <c r="Q445" s="473" t="str">
        <f>IF(D445="","",(VLOOKUP(D445,'DB technologies'!$N$210:$Y$222,2,FALSE)*'DB additional information '!$S$6/100*'DB additional information '!$T$6*VLOOKUP($C$445,'DB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R445" s="473" t="str">
        <f>IF(D445="","",(VLOOKUP(D445,'DB technologies'!$N$210:$Y$222,3,FALSE)*'DB additional information '!$S$7/100*'DB additional information '!$T$7*VLOOKUP($C$445,'DB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S445" s="490" t="str">
        <f>IF(D445="","",(VLOOKUP(D445,'DB technologies'!$N$210:$Y$222,4,FALSE)*('DB additional information '!$S$8/100*'DB additional information '!$T$8*E445/1000/1000)))</f>
        <v/>
      </c>
      <c r="T445" s="263" t="str">
        <f>IF($C$445=0,"",IF('Calc (ex-animal)'!$F$83=1,"",IF(D445="","",((VLOOKUP($C$445,'Calc (ex-animal)'!$D$83:$Y$87,10,FALSE)-VLOOKUP($C$445,'Calc (ex-animal)'!$D$83:$Y$87,18,FALSE))*F445/100+Q445+R445+S445)-AC445-AD445-AE445)))</f>
        <v/>
      </c>
      <c r="U445" s="474" t="str">
        <f>IF(D445="","",(VLOOKUP(D445,'DB technologies'!$N$210:$Y$222,2,FALSE)*'DB additional information '!$S$6/100*'DB additional information '!$U$6*VLOOKUP($C$445,'DB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V445" s="420" t="str">
        <f>IF(D445="","",(VLOOKUP(D445,'DB technologies'!$N$210:$Y$222,3,FALSE)*'DB additional information '!$S$7/100*'DB additional information '!$U$7*VLOOKUP($C$445,'DB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W445" s="415" t="str">
        <f>IF(D445="","",(VLOOKUP(D445,'DB technologies'!$N$210:$Y$222,4,FALSE)*('DB additional information '!$S$8/100*'DB additional information '!$U$8*E445/1000/1000)))</f>
        <v/>
      </c>
      <c r="X445" s="259" t="str">
        <f>IF($C$445=0,"",IF('Calc (ex-animal)'!$F$83=1,"",IF(D445="","",((VLOOKUP($C$445,'Calc (ex-animal)'!$D$83:$Y$87,13,FALSE)-VLOOKUP($C$445,'Calc (ex-animal)'!$D$83:$Y$87,19,FALSE))*F445/100+U445+V445+W445))))</f>
        <v/>
      </c>
      <c r="Y445" s="420" t="str">
        <f>IF(D445="","",(VLOOKUP(D445,'DB technologies'!$N$210:$Y$222,2,FALSE)*'DB additional information '!$S$6/100*'DB additional information '!$V$6*VLOOKUP($C$445,'DB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Z445" s="420" t="str">
        <f>IF(D445="","",(VLOOKUP(D445,'DB technologies'!$N$210:$Y$222,3,FALSE)*'DB additional information '!$S$7/100*'DB additional information '!$V$7*VLOOKUP($C$445,'DB animal categories'!$C$157:$AC$166,27,FALSE)*E445/1000/1000)/VLOOKUP($C$445,'DB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AA445" s="420" t="str">
        <f>IF(D445="","",(VLOOKUP(D445,'DB technologies'!$N$210:$Y$222,4,FALSE)*('DB additional information '!$S$8/100*'DB additional information '!$V$8*E445/1000/1000)))</f>
        <v/>
      </c>
      <c r="AB445" s="259" t="str">
        <f>IF($C$445=0,"",IF('Calc (ex-animal)'!$F$83=1,"",IF(D445="","",((VLOOKUP($C$445,'Calc (ex-animal)'!$D$83:$Y$87,16,FALSE)-VLOOKUP($C$445,'Calc (ex-animal)'!$D$83:$Y$87,20,FALSE))*F445/100+Y445+Z445+AA445))))</f>
        <v/>
      </c>
      <c r="AC445" s="259" t="str">
        <f>IF($C$445=0,"",IF('Calc (ex-animal)'!$F$83=1,"",IF(D445="","",VLOOKUP($C$445,'Calc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categories'!$C$157:$AC$166,26,FALSE)/24)*F445/100*VLOOKUP(D445,'DB technologies'!$N$210:$R$222,5,FALSE)/100)))</f>
        <v/>
      </c>
      <c r="AD445" s="259" t="str">
        <f>IF($C$445=0,"",IF('Calc (ex-animal)'!$F$83=1,"",IF(D445="","",VLOOKUP($C$445,'Calc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categories'!$C$157:$AC$166,26,FALSE)/24)*F445/100*VLOOKUP(D445,'DB technologies'!$N$210:$Y$222,6,FALSE)/100)))</f>
        <v/>
      </c>
      <c r="AE445" s="260" t="str">
        <f>IF($C$445=0,"",IF('Calc (ex-animal)'!$F$83=1,"",IF(D445="","",VLOOKUP($C$445,'Calc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categories'!$C$157:$AC$166,26,FALSE)/24)*F445/100*VLOOKUP(D445,'DB technologies'!$N$210:$Y$222,7,FALSE)/100)))</f>
        <v/>
      </c>
      <c r="AI445" s="179" t="str">
        <f>IF(D445="","",VLOOKUP(D445,'DB technologies'!$N$210:$Y$222,10,FALSE))</f>
        <v/>
      </c>
      <c r="AJ445" s="482" t="e">
        <f>VLOOKUP($C$445,'DB animal categories'!$C$157:$AN$166,27,FALSE)-VLOOKUP($C$445,'DB animal categories'!$C$157:$AN$166,26,FALSE)*VLOOKUP($C$445,'DB animal categories'!$C$157:$AN$166,25,FALSE)/24</f>
        <v>#N/A</v>
      </c>
      <c r="AK445" s="453" t="str">
        <f>IF(AI445="","",AL445+AM445)</f>
        <v/>
      </c>
      <c r="AL445" s="453" t="str">
        <f>IF(D445="","",IF(AI445=2,(('Calc (ex-animal)'!$G$86*'DB additional information '!$K$18/100*(1-VLOOKUP(D445,'DB technologies'!$N$210:$Y$222,9,FALSE)/100)*'Calc (ex-housing, ex-storage)'!F445/100+'Calc (ex-animal)'!$H$86*'DB additional information '!$L$18/100*(1-VLOOKUP(D445,'DB technologies'!$N$210:$Y$222,9,FALSE)/100)*'Calc (ex-housing, ex-storage)'!F445/100))/VLOOKUP($C$445,'DB animal categories'!$C$157:$AC$166,27,FALSE)*AJ445+I445+J445+K445,IF(AI445=1,('Calc (ex-animal)'!$H$86*'DB additional information '!$L$18/100*(1-VLOOKUP(D445,'DB technologies'!$N$210:$Y$222,9,FALSE)/100)*'Calc (ex-housing, ex-storage)'!F445/100)/VLOOKUP($C$445,'DB animal categories'!$C$157:$AC$166,27,FALSE)*AJ445,IF(AI445=4,('Calc (ex-animal)'!$G$86*'DB additional information '!$K$18/100+'Calc (ex-animal)'!$H$86*'DB additional information '!$L$18/100)*(1-VLOOKUP(D445,'DB technologies'!$N$210:$Y$222,9,FALSE)/100)*'Calc (ex-housing, ex-storage)'!F445/100*VLOOKUP(D445,'DB technologies'!$N$210:$Y$222,11,FALSE)/100/VLOOKUP($C$445,'DB animal categories'!$C$157:$AC$166,27,FALSE)*AJ445,0))))</f>
        <v/>
      </c>
      <c r="AM445" s="453" t="str">
        <f>IF(D445="","",IF(AI445=2,(('Calc (ex-animal)'!$G$86*(1-'DB additional information '!$K$18/100)*(1-VLOOKUP(D445,'DB technologies'!$N$210:$Y$222,8,FALSE)/100)*'Calc (ex-housing, ex-storage)'!F445/100+'Calc (ex-animal)'!$H$86*(1-'DB additional information '!$L$18/100)*(1-VLOOKUP(D445,'DB technologies'!$N$210:$Y$222,8,FALSE)/100)*'Calc (ex-housing, ex-storage)'!F445/100))/VLOOKUP($C$445,'DB animal categories'!$C$157:$AC$166,27,FALSE)*AJ445+M445+N445+O445,IF(AI445=1,('Calc (ex-animal)'!$H$86*(1-'DB additional information '!$L$18/100)*(1-VLOOKUP(D445,'DB technologies'!$N$210:$Y$222,8,FALSE)/100)*'Calc (ex-housing, ex-storage)'!F445/100)/VLOOKUP($C$445,'DB animal categories'!$C$157:$AC$166,27,FALSE)*AJ445,IF(AI445=4,('Calc (ex-animal)'!$G$86*(1-'DB additional information '!$K$18/100)+'Calc (ex-animal)'!$H$86*(1-'DB additional information '!$L$18/100))*(1-VLOOKUP(D445,'DB technologies'!$N$210:$Y$222,8,FALSE)/100)*'Calc (ex-housing, ex-storage)'!F445/100*VLOOKUP(D445,'DB technologies'!$N$210:$Y$222,11,FALSE)/100/VLOOKUP($C$445,'DB animal categories'!$C$157:$AC$166,27,FALSE)*AJ445,0))))</f>
        <v/>
      </c>
      <c r="AN445" s="453" t="str">
        <f>IF(AI445="","",IF(AL445=0,0,AL445/AK445*100))</f>
        <v/>
      </c>
      <c r="AO445" s="180" t="str">
        <f>IF(D445="","",IF(AI445=2,(('Calc (ex-animal)'!$L$86*'Calc (ex-housing, ex-storage)'!F445/100+'Calc (ex-animal)'!$K$86*'Calc (ex-housing, ex-storage)'!F445/100))/VLOOKUP($C$445,'DB animal categories'!$C$157:$AC$166,27,FALSE)*AJ445+Q445+R445+S445-AC445,IF(AI445=1,('Calc (ex-animal)'!$L$86*'Calc (ex-housing, ex-storage)'!F445/100)/VLOOKUP($C$445,'DB animal categories'!$C$157:$AC$166,27,FALSE)*AJ445-'Calc (ex-housing, ex-storage)'!AC445,IF(AI445=4,('Calc (ex-animal)'!$L$86+'Calc (ex-animal)'!$K$86)*'Calc (ex-housing, ex-storage)'!F445/100*VLOOKUP(D445,'DB technologies'!$N$210:$Y$222,11,FALSE)/100/VLOOKUP($C$445,'DB animal categories'!$C$157:$AC$166,27,FALSE)*AJ445-AC445*VLOOKUP(D445,'DB technologies'!$N$210:$Y$222,11,FALSE)/100,0))))</f>
        <v/>
      </c>
      <c r="AP445" s="180" t="str">
        <f>IF(D445="","",IF(AO445&lt;-0.01,0,IF(AI445=2,(('Calc (ex-animal)'!$L$86*'Calc (ex-housing, ex-storage)'!F445/100+'Calc (ex-animal)'!$K$86*'Calc (ex-housing, ex-storage)'!F445/100))/VLOOKUP($C$445,'DB animal categories'!$C$157:$AC$166,27,FALSE)*AJ445+Q445+R445+S445-AC445,IF(AI445=1,('Calc (ex-animal)'!$L$86*'Calc (ex-housing, ex-storage)'!F445/100)/VLOOKUP($C$445,'DB animal categories'!$C$157:$AC$166,27,FALSE)*AJ445-'Calc (ex-housing, ex-storage)'!AC445,IF(AI445=4,('Calc (ex-animal)'!$L$86+'Calc (ex-animal)'!$K$86)*'Calc (ex-housing, ex-storage)'!F445/100*VLOOKUP(D445,'DB technologies'!$N$210:$Y$222,11,FALSE)/100/VLOOKUP($C$445,'DB animal categories'!$C$157:$AC$166,27,FALSE)*AJ445-AC445*VLOOKUP(D445,'DB technologies'!$N$210:$Y$222,11,FALSE)/100,0)))))</f>
        <v/>
      </c>
      <c r="AQ445" s="180" t="str">
        <f>IF(D445="","",IF(AI445=2,('Calc (ex-animal)'!$O$86*'Calc (ex-housing, ex-storage)'!F445/100+'Calc (ex-animal)'!$N$86*'Calc (ex-housing, ex-storage)'!F445/100)/VLOOKUP($C$445,'DB animal categories'!$C$157:$AC$166,27,FALSE)*AJ445+U445+V445+W445,IF(AI445=1,'Calc (ex-animal)'!$O$86*'Calc (ex-housing, ex-storage)'!F445/100/VLOOKUP($C$445,'DB animal categories'!$C$157:$AC$166,27,FALSE)*AJ445,IF(AI445=4,('Calc (ex-animal)'!$O$86+'Calc (ex-animal)'!$N$86)*'Calc (ex-housing, ex-storage)'!F445/100*VLOOKUP(D445,'DB technologies'!$N$210:$Y$222,11,FALSE)/100/VLOOKUP($C$445,'DB animal categories'!$C$157:$AC$166,27,FALSE)*AJ445,0))))</f>
        <v/>
      </c>
      <c r="AR445" s="180" t="str">
        <f>IF(D445="","",IF(AI445=2,('Calc (ex-animal)'!$R$86*'Calc (ex-housing, ex-storage)'!F445/100+'Calc (ex-animal)'!$Q$86*'Calc (ex-housing, ex-storage)'!F445/100)/VLOOKUP($C$445,'DB animal categories'!$C$157:$AC$166,27,FALSE)*AJ445+Y445+Z445+AA445,IF(AI445=1,'Calc (ex-animal)'!$R$86*'Calc (ex-housing, ex-storage)'!F445/100/VLOOKUP($C$445,'DB animal categories'!$C$157:$AC$166,27,FALSE)*AJ445,IF(AI445=4,('Calc (ex-animal)'!$R$86+'Calc (ex-animal)'!$Q$86)*'Calc (ex-housing, ex-storage)'!F445/100*VLOOKUP(D445,'DB technologies'!$N$210:$Y$222,11,FALSE)/100/VLOOKUP($C$445,'DB animal categories'!$C$157:$AC$166,27,FALSE)*AJ445,0))))</f>
        <v/>
      </c>
      <c r="AS445" s="179" t="str">
        <f>IF(D445="","",VLOOKUP(D445,'DB technologies'!$N$210:$Y$222,10,FALSE))</f>
        <v/>
      </c>
      <c r="AT445" s="453" t="str">
        <f>IF(AS445="","",AU445+AV445)</f>
        <v/>
      </c>
      <c r="AU445" s="453" t="str">
        <f>IF(D445="","",IF(AS445=2,0,IF(AS445=1,'Calc (ex-animal)'!$G$86*'DB additional information '!$K$18/100*(1-VLOOKUP(D445,'DB technologies'!$N$210:$Y$222,8,FALSE)/100)*'Calc (ex-housing, ex-storage)'!F445/100/VLOOKUP($C$445,'DB animal categories'!$C$157:$AC$166,27,FALSE)*AJ445+I445+J445+K445,IF(AS445=5,(('Calc (ex-animal)'!$G$86*'DB additional information '!$K$18/100+'Calc (ex-animal)'!$H$86*'DB additional information '!$L$18/100))*(1-VLOOKUP(D445,'DB technologies'!$N$210:$Y$222,9,FALSE)/100)*'Calc (ex-housing, ex-storage)'!F445/100/VLOOKUP($C$445,'DB animal categories'!$C$157:$AC$166,27,FALSE)*AJ445+I445+J445+K445,IF(AS445=3,('Calc (ex-animal)'!$G$86*'DB additional information '!$K$18/100+'Calc (ex-animal)'!$H$86*'DB additional information '!$L$18/100)*(1-VLOOKUP(D445,'DB technologies'!$N$210:$Y$222,9,FALSE)/100)*'Calc (ex-housing, ex-storage)'!F445/100/VLOOKUP($C$445,'DB animal categories'!$C$157:$AC$166,27,FALSE)*AJ445+I445+J445+K445,IF(AS445=4,('Calc (ex-animal)'!$G$86*'DB additional information '!$K$18/100+'Calc (ex-animal)'!$H$86*'DB additional information '!$L$18/100)*(1-VLOOKUP(D445,'DB technologies'!$N$210:$Y$222,9,FALSE)/100)*'Calc (ex-housing, ex-storage)'!F445/100*VLOOKUP(D445,'DB technologies'!$N$210:$Y$222,12,FALSE)/100/VLOOKUP($C$445,'DB animal categories'!$C$157:$AC$166,27,FALSE)*AJ445+I445+J445+K445,0))))))</f>
        <v/>
      </c>
      <c r="AV445" s="453" t="str">
        <f>IF(D445="","",IF(AS445=2,0,IF(AS445=1,'Calc (ex-animal)'!$G$86*(1-'DB additional information '!$K$18/100)*(1-VLOOKUP(D445,'DB technologies'!$N$210:$Y$222,8,FALSE)/100)*'Calc (ex-housing, ex-storage)'!F445/100/VLOOKUP($C$445,'DB animal categories'!$C$157:$AC$166,27,FALSE)*AJ445+M445+N445+O445,IF(AS445=5,('Calc (ex-animal)'!$G$86*(1-'DB additional information '!$K$18/100)+'Calc (ex-animal)'!$H$86*(1-'DB additional information '!$L$18/100))*(1-VLOOKUP(D445,'DB technologies'!$N$210:$Y$222,8,FALSE)/100)*'Calc (ex-housing, ex-storage)'!F445/100/VLOOKUP($C$445,'DB animal categories'!$C$157:$AC$166,27,FALSE)*AJ445+M445+N445+O445,IF(AS445=3,('Calc (ex-animal)'!$G$86*(1-'DB additional information '!$K$18/100)+'Calc (ex-animal)'!$H$86*(1-'DB additional information '!$L$18/100))*(1-VLOOKUP(D445,'DB technologies'!$N$210:$Y$222,8,FALSE)/100)*'Calc (ex-housing, ex-storage)'!F445/100/VLOOKUP($C$445,'DB animal categories'!$C$157:$AC$166,27,FALSE)*AJ445+M445+N445+O445,IF(AS445=4,('Calc (ex-animal)'!$G$86*(1-'DB additional information '!$K$18/100)+'Calc (ex-animal)'!$H$86*(1-'DB additional information '!$L$18/100))*(1-VLOOKUP(D445,'DB technologies'!$N$210:$Y$222,8,FALSE)/100)*'Calc (ex-housing, ex-storage)'!F445/100*VLOOKUP(D445,'DB technologies'!$N$210:$Y$222,12,FALSE)/100/VLOOKUP($C$445,'DB animal categories'!$C$157:$AC$166,27,FALSE)*AJ445+M445+N445+O445,0))))))</f>
        <v/>
      </c>
      <c r="AW445" s="453" t="str">
        <f>IF(AS445="","",IF(AU445=0,0,AU445/AT445*100))</f>
        <v/>
      </c>
      <c r="AX445" s="180" t="str">
        <f>IF(D445="","",IF(AS445=2,0,IF(AS445=1,'Calc (ex-animal)'!$K$86*'Calc (ex-housing, ex-storage)'!F445/100/VLOOKUP($C$445,'DB animal categories'!$C$157:$AC$166,27,FALSE)*AJ445+Q445+R445+S445,IF(AS445=5,('Calc (ex-animal)'!$K$86+'Calc (ex-animal)'!$L$86)*'Calc (ex-housing, ex-storage)'!F445/100/VLOOKUP($C$445,'DB animal categories'!$C$157:$AC$166,27,FALSE)*AJ445+Q445+R445+S445-'Calc (ex-housing, ex-storage)'!AC445,IF(AS445=3,('Calc (ex-animal)'!$K$86+'Calc (ex-animal)'!$L$86)*'Calc (ex-housing, ex-storage)'!F445/100/VLOOKUP($C$445,'DB animal categories'!$C$157:$AC$166,27,FALSE)*AJ445+Q445+R445+S445-'Calc (ex-housing, ex-storage)'!AC445-AD445-AE445,IF(AI445=4,('Calc (ex-animal)'!$K$86+'Calc (ex-animal)'!$L$86)*'Calc (ex-housing, ex-storage)'!F445/100*VLOOKUP(D445,'DB technologies'!$N$210:$Y$222,12,FALSE)/100/VLOOKUP($C$445,'DB animal categories'!$C$157:$AC$166,27,FALSE)*AJ445+Q445+R445+S445-(VLOOKUP(D445,'DB technologies'!$N$210:$Y$222,12,FALSE)/100*AC445)-AD445-AE445,0))))))</f>
        <v/>
      </c>
      <c r="AY445" s="180" t="str">
        <f>IF(D445="","",IF(AS445=2,0,IF(AS445=1,'Calc (ex-animal)'!$N$86*'Calc (ex-housing, ex-storage)'!F445/100/VLOOKUP($C$445,'DB animal categories'!$C$157:$AC$166,27,FALSE)*AJ445+U445+V445+W445,IF(AS445=5,('Calc (ex-animal)'!$N$86+'Calc (ex-animal)'!$O$86)*'Calc (ex-housing, ex-storage)'!F445/100/VLOOKUP($C$445,'DB animal categories'!$C$157:$AC$166,27,FALSE)*AJ445+U445+V445+W445,IF(AS445=3,('Calc (ex-animal)'!$N$86+'Calc (ex-animal)'!$O$86)*'Calc (ex-housing, ex-storage)'!F445/100/VLOOKUP($C$445,'DB animal categories'!$C$157:$AC$166,27,FALSE)*AJ445+U445+V445+W445,IF(AS445=4,('Calc (ex-animal)'!$N$86+'Calc (ex-animal)'!$O$86)*'Calc (ex-housing, ex-storage)'!F445/100*VLOOKUP(D445,'DB technologies'!$N$210:$Y$222,12,FALSE)/100/VLOOKUP($C$445,'DB animal categories'!$C$157:$AC$166,27,FALSE)*AJ445+U445+V445+W445,0))))))</f>
        <v/>
      </c>
      <c r="AZ445" s="180" t="str">
        <f>IF(D445="","",IF(AS445=2,0,IF(AS445=1,'Calc (ex-animal)'!$Q$86*'Calc (ex-housing, ex-storage)'!F445/100/VLOOKUP($C$445,'DB animal categories'!$C$157:$AC$166,27,FALSE)*AJ445+Y445+Z445+AA445,IF(AS445=5,('Calc (ex-animal)'!$Q$86+'Calc (ex-animal)'!$R$86)*'Calc (ex-housing, ex-storage)'!F445/100/VLOOKUP($C$445,'DB animal categories'!$C$157:$AC$166,27,FALSE)*AJ445+Y445+Z445+AA445,IF(AS445=3,('Calc (ex-animal)'!$Q$86+'Calc (ex-animal)'!$R$86)*'Calc (ex-housing, ex-storage)'!F445/100/VLOOKUP($C$445,'DB animal categories'!$C$157:$AC$166,27,FALSE)*AJ445+Y445+Z445+AA445,IF(AS445=4,('Calc (ex-animal)'!$Q$86+'Calc (ex-animal)'!$R$86)*'Calc (ex-housing, ex-storage)'!F445/100*VLOOKUP(D445,'DB technologies'!$N$210:$Y$222,12,FALSE)/100/VLOOKUP($C$445,'DB animal categories'!$C$157:$AC$166,27,FALSE)*AJ445+Y445+Z445+AA445,0))))))</f>
        <v/>
      </c>
      <c r="BA445" s="506"/>
      <c r="BB445" s="506"/>
      <c r="BC445" s="506"/>
    </row>
    <row r="446" spans="1:55" x14ac:dyDescent="0.2">
      <c r="A446" s="695"/>
      <c r="B446" s="695"/>
      <c r="C446" s="251"/>
      <c r="D446" s="1357"/>
      <c r="E446" s="1358"/>
      <c r="F446" s="480" t="str">
        <f>IF('Calc (ex-animal)'!$F$83=1,"",IF($C$445=0,"",IF(D446="","",E446/'Calc (ex-animal)'!$E$86*100)))</f>
        <v/>
      </c>
      <c r="G446" s="485" t="str">
        <f>IF($C$445=0,"",IF('Calc (ex-animal)'!$F$83=1,"",IF(D446="","",SUM(H446:O446))))</f>
        <v/>
      </c>
      <c r="H446" s="423" t="str">
        <f>IF('Calc (ex-animal)'!$F$83=1,"",IF(D446="","",(((VLOOKUP($C$445,'Calc (ex-animal)'!$D$83:$Y$87,6,FALSE)-VLOOKUP($C$445,'Calc (ex-animal)'!$D$83:$Y$87,17,FALSE))*F446/100))*VLOOKUP($C$445,'Calc (ex-animal)'!$D$83:$Y$87,7,FALSE)/100*(1-VLOOKUP(D446,'DB technologies'!$N$210:$Y$222,9,FALSE)/100)))</f>
        <v/>
      </c>
      <c r="I446" s="423" t="str">
        <f>IF(D446="","",((VLOOKUP(D446,'DB technologies'!$N$210:$Y$222,2,FALSE)*VLOOKUP($C$445,'DB animal categories'!$C$157:$AC$166,27,FALSE)*E446/1000)/VLOOKUP($C$445,'DB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'!$S$6/100*(1-VLOOKUP(D446,'DB technologies'!$N$210:$Y$222,9,FALSE)/100)))</f>
        <v/>
      </c>
      <c r="J446" s="434" t="str">
        <f>IF(D446="","",((VLOOKUP(D446,'DB technologies'!$N$210:$Y$222,3,FALSE)*VLOOKUP($C$445,'DB animal categories'!$C$157:$AC$166,27,FALSE)*E446/1000)/VLOOKUP($C$445,'DB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'!$S$7/100*(1-VLOOKUP(D446,'DB technologies'!$N$210:$Y$222,9,FALSE)/100)))</f>
        <v/>
      </c>
      <c r="K446" s="434" t="str">
        <f>IF(D446="","",((VLOOKUP(D446,'DB technologies'!$N$210:$Y$222,4,FALSE)*E446*'DB additional information '!$S$8/100*(1-VLOOKUP(D446,'DB technologies'!$N$210:$Y$222,9,FALSE)/100))/VLOOKUP($C$445,'DB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L446" s="423" t="str">
        <f>IF('Calc (ex-animal)'!$F$83=1,"",IF(D446="","",(((VLOOKUP($C$445,'Calc (ex-animal)'!$D$83:$Y$87,6,FALSE)-VLOOKUP($C$445,'Calc (ex-animal)'!$D$83:$Y$87,17,FALSE))*F446/100))*(1-VLOOKUP($C$445,'Calc (ex-animal)'!$D$83:$Y$87,7,FALSE)/100)*(1-VLOOKUP(D446,'DB technologies'!$N$210:$V$222,8,FALSE)/100)))</f>
        <v/>
      </c>
      <c r="M446" s="434" t="str">
        <f>IF(D446="","",((VLOOKUP(D446,'DB technologies'!$N$210:$Y$222,2,FALSE)*VLOOKUP($C$445,'DB animal categories'!$C$157:$AC$166,27,FALSE)*E446/1000)/VLOOKUP($C$445,'DB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'!$S$6/100)*(1-VLOOKUP(D446,'DB technologies'!$N$210:$Y$222,9,FALSE)/100))</f>
        <v/>
      </c>
      <c r="N446" s="434" t="str">
        <f>IF(D446="","",((VLOOKUP(D446,'DB technologies'!$N$210:$Y$222,3,FALSE)*VLOOKUP($C$445,'DB animal categories'!$C$157:$AC$166,27,FALSE)*E446/1000)/VLOOKUP($C$445,'DB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'!$S$7/100)*(1-VLOOKUP(D446,'DB technologies'!$N$210:$Y$222,9,FALSE)/100))</f>
        <v/>
      </c>
      <c r="O446" s="423" t="str">
        <f>IF(D446="","",((VLOOKUP(D446,'DB technologies'!$N$210:$Y$222,4,FALSE)*E446*(1-'DB additional information '!$S$8/100)*(1-VLOOKUP(D446,'DB technologies'!$N$210:$Y$222,8,FALSE)/100))/VLOOKUP($C$445,'DB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P446" s="438" t="str">
        <f>IF(G446=0,0,IF(E446="","",IF(F446="","",IF($C$445=0,"",IF(D446="","",SUM(H446:K446)/G446*100)))))</f>
        <v/>
      </c>
      <c r="Q446" s="416" t="str">
        <f>IF(D446="","",(VLOOKUP(D446,'DB technologies'!$N$210:$Y$222,2,FALSE)*'DB additional information '!$S$6/100*'DB additional information '!$T$6*VLOOKUP($C$445,'DB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R446" s="416" t="str">
        <f>IF(D446="","",(VLOOKUP(D446,'DB technologies'!$N$210:$Y$222,3,FALSE)*'DB additional information '!$S$7/100*'DB additional information '!$T$7*VLOOKUP($C$445,'DB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S446" s="491" t="str">
        <f>IF(D446="","",(VLOOKUP(D446,'DB technologies'!$N$210:$Y$222,4,FALSE)*('DB additional information '!$S$8/100*'DB additional information '!$T$8*E446/1000/1000)))</f>
        <v/>
      </c>
      <c r="T446" s="264" t="str">
        <f>IF($C$445=0,"",IF('Calc (ex-animal)'!$F$83=1,"",IF(D446="","",((VLOOKUP($C$445,'Calc (ex-animal)'!$D$83:$Y$87,10,FALSE)-VLOOKUP($C$445,'Calc (ex-animal)'!$D$83:$Y$87,18,FALSE))*F446/100+Q446+R446+S446)-AC446-AD446-AE446)))</f>
        <v/>
      </c>
      <c r="U446" s="422" t="str">
        <f>IF(D446="","",(VLOOKUP(D446,'DB technologies'!$N$210:$Y$222,2,FALSE)*'DB additional information '!$S$6/100*'DB additional information '!$U$6*VLOOKUP($C$445,'DB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V446" s="418" t="str">
        <f>IF(D446="","",(VLOOKUP(D446,'DB technologies'!$N$210:$Y$222,3,FALSE)*'DB additional information '!$S$7/100*'DB additional information '!$U$7*VLOOKUP($C$445,'DB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W446" s="417" t="str">
        <f>IF(D446="","",(VLOOKUP(D446,'DB technologies'!$N$210:$Y$222,4,FALSE)*('DB additional information '!$S$8/100*'DB additional information '!$U$8*E446/1000/1000)))</f>
        <v/>
      </c>
      <c r="X446" s="261" t="str">
        <f>IF($C$445=0,"",IF('Calc (ex-animal)'!$F$83=1,"",IF(D446="","",((VLOOKUP($C$445,'Calc (ex-animal)'!$D$83:$Y$87,13,FALSE)-VLOOKUP($C$445,'Calc (ex-animal)'!$D$83:$Y$87,19,FALSE))*F446/100+U446+V446+W446))))</f>
        <v/>
      </c>
      <c r="Y446" s="418" t="str">
        <f>IF(D446="","",(VLOOKUP(D446,'DB technologies'!$N$210:$Y$222,2,FALSE)*'DB additional information '!$S$6/100*'DB additional information '!$V$6*VLOOKUP($C$445,'DB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Z446" s="418" t="str">
        <f>IF(D446="","",(VLOOKUP(D446,'DB technologies'!$N$210:$Y$222,3,FALSE)*'DB additional information '!$S$7/100*'DB additional information '!$V$7*VLOOKUP($C$445,'DB animal categories'!$C$157:$AC$166,27,FALSE)*E446/1000/1000)/VLOOKUP($C$445,'DB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AA446" s="418" t="str">
        <f>IF(D446="","",(VLOOKUP(D446,'DB technologies'!$N$210:$Y$222,4,FALSE)*('DB additional information '!$S$8/100*'DB additional information '!$V$8*E446/1000/1000)))</f>
        <v/>
      </c>
      <c r="AB446" s="261" t="str">
        <f>IF($C$445=0,"",IF('Calc (ex-animal)'!$F$83=1,"",IF(D446="","",((VLOOKUP($C$445,'Calc (ex-animal)'!$D$83:$Y$87,16,FALSE)-VLOOKUP($C$445,'Calc (ex-animal)'!$D$83:$Y$87,20,FALSE))*F446/100+Y446+Z446+AA446))))</f>
        <v/>
      </c>
      <c r="AC446" s="261" t="str">
        <f>IF($C$445=0,"",IF('Calc (ex-animal)'!$F$83=1,"",IF(D446="","",VLOOKUP($C$445,'Calc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categories'!$C$157:$AC$166,26,FALSE)/24)*F446/100*VLOOKUP(D446,'DB technologies'!$N$210:$R$222,5,FALSE)/100)))</f>
        <v/>
      </c>
      <c r="AD446" s="261" t="str">
        <f>IF($C$445=0,"",IF('Calc (ex-animal)'!$F$83=1,"",IF(D446="","",VLOOKUP($C$445,'Calc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categories'!$C$157:$AC$166,26,FALSE)/24)*F446/100*VLOOKUP(D446,'DB technologies'!$N$210:$Y$222,6,FALSE)/100)))</f>
        <v/>
      </c>
      <c r="AE446" s="262" t="str">
        <f>IF($C$445=0,"",IF('Calc (ex-animal)'!$F$83=1,"",IF(D446="","",VLOOKUP($C$445,'Calc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categories'!$C$157:$AC$166,26,FALSE)/24)*F446/100*VLOOKUP(D446,'DB technologies'!$N$210:$Y$222,7,FALSE)/100)))</f>
        <v/>
      </c>
      <c r="AI446" s="181" t="str">
        <f>IF(D446="","",VLOOKUP(D446,'DB technologies'!$N$210:$Y$222,10,FALSE))</f>
        <v/>
      </c>
      <c r="AJ446" s="449" t="e">
        <f>VLOOKUP($C$445,'DB animal categories'!$C$157:$AN$166,27,FALSE)-VLOOKUP($C$445,'DB animal categories'!$C$157:$AN$166,26,FALSE)*VLOOKUP($C$445,'DB animal categories'!$C$157:$AN$166,25,FALSE)/24</f>
        <v>#N/A</v>
      </c>
      <c r="AK446" s="442" t="str">
        <f>IF(AI446="","",AL446+AM446)</f>
        <v/>
      </c>
      <c r="AL446" s="442" t="str">
        <f>IF(D446="","",IF(AI446=2,(('Calc (ex-animal)'!$G$86*'DB additional information '!$K$18/100*(1-VLOOKUP(D446,'DB technologies'!$N$210:$Y$222,9,FALSE)/100)*'Calc (ex-housing, ex-storage)'!F446/100+'Calc (ex-animal)'!$H$86*'DB additional information '!$L$18/100*(1-VLOOKUP(D446,'DB technologies'!$N$210:$Y$222,9,FALSE)/100)*'Calc (ex-housing, ex-storage)'!F446/100))/VLOOKUP($C$445,'DB animal categories'!$C$157:$AC$166,27,FALSE)*AJ446+I446+J446+K446,IF(AI446=1,('Calc (ex-animal)'!$H$86*'DB additional information '!$L$18/100*(1-VLOOKUP(D446,'DB technologies'!$N$210:$Y$222,9,FALSE)/100)*'Calc (ex-housing, ex-storage)'!F446/100)/VLOOKUP($C$445,'DB animal categories'!$C$157:$AC$166,27,FALSE)*AJ446,IF(AI446=4,('Calc (ex-animal)'!$G$86*'DB additional information '!$K$18/100+'Calc (ex-animal)'!$H$86*'DB additional information '!$L$18/100)*(1-VLOOKUP(D446,'DB technologies'!$N$210:$Y$222,9,FALSE)/100)*'Calc (ex-housing, ex-storage)'!F446/100*VLOOKUP(D446,'DB technologies'!$N$210:$Y$222,11,FALSE)/100/VLOOKUP($C$445,'DB animal categories'!$C$157:$AC$166,27,FALSE)*AJ446,0))))</f>
        <v/>
      </c>
      <c r="AM446" s="442" t="str">
        <f>IF(D446="","",IF(AI446=2,(('Calc (ex-animal)'!$G$86*(1-'DB additional information '!$K$18/100)*(1-VLOOKUP(D446,'DB technologies'!$N$210:$Y$222,8,FALSE)/100)*'Calc (ex-housing, ex-storage)'!F446/100+'Calc (ex-animal)'!$H$86*(1-'DB additional information '!$L$18/100)*(1-VLOOKUP(D446,'DB technologies'!$N$210:$Y$222,8,FALSE)/100)*'Calc (ex-housing, ex-storage)'!F446/100))/VLOOKUP($C$445,'DB animal categories'!$C$157:$AC$166,27,FALSE)*AJ446+M446+N446+O446,IF(AI446=1,('Calc (ex-animal)'!$H$86*(1-'DB additional information '!$L$18/100)*(1-VLOOKUP(D446,'DB technologies'!$N$210:$Y$222,8,FALSE)/100)*'Calc (ex-housing, ex-storage)'!F446/100)/VLOOKUP($C$445,'DB animal categories'!$C$157:$AC$166,27,FALSE)*AJ446,IF(AI446=4,('Calc (ex-animal)'!$G$86*(1-'DB additional information '!$K$18/100)+'Calc (ex-animal)'!$H$86*(1-'DB additional information '!$L$18/100))*(1-VLOOKUP(D446,'DB technologies'!$N$210:$Y$222,8,FALSE)/100)*'Calc (ex-housing, ex-storage)'!F446/100*VLOOKUP(D446,'DB technologies'!$N$210:$Y$222,11,FALSE)/100/VLOOKUP($C$445,'DB animal categories'!$C$157:$AC$166,27,FALSE)*AJ446,0))))</f>
        <v/>
      </c>
      <c r="AN446" s="442" t="str">
        <f>IF(AI446="","",IF(AL446=0,0,AL446/AK446*100))</f>
        <v/>
      </c>
      <c r="AO446" s="182" t="str">
        <f>IF(D446="","",IF(AI446=2,(('Calc (ex-animal)'!$L$86*'Calc (ex-housing, ex-storage)'!F446/100+'Calc (ex-animal)'!$K$86*'Calc (ex-housing, ex-storage)'!F446/100))/VLOOKUP($C$445,'DB animal categories'!$C$157:$AC$166,27,FALSE)*AJ446+Q446+R446+S446-AC446,IF(AI446=1,('Calc (ex-animal)'!$L$86*'Calc (ex-housing, ex-storage)'!F446/100)/VLOOKUP($C$445,'DB animal categories'!$C$157:$AC$166,27,FALSE)*AJ446-'Calc (ex-housing, ex-storage)'!AC446,IF(AI446=4,('Calc (ex-animal)'!$L$86+'Calc (ex-animal)'!$K$86)*'Calc (ex-housing, ex-storage)'!F446/100*VLOOKUP(D446,'DB technologies'!$N$210:$Y$222,11,FALSE)/100/VLOOKUP($C$445,'DB animal categories'!$C$157:$AC$166,27,FALSE)*AJ446-AC446*VLOOKUP(D446,'DB technologies'!$N$210:$Y$222,11,FALSE)/100,0))))</f>
        <v/>
      </c>
      <c r="AP446" s="182" t="str">
        <f>IF(D446="","",IF(AO446&lt;-0.01,0,IF(AI446=2,(('Calc (ex-animal)'!$L$86*'Calc (ex-housing, ex-storage)'!F446/100+'Calc (ex-animal)'!$K$86*'Calc (ex-housing, ex-storage)'!F446/100))/VLOOKUP($C$445,'DB animal categories'!$C$157:$AC$166,27,FALSE)*AJ446+Q446+R446+S446-AC446,IF(AI446=1,('Calc (ex-animal)'!$L$86*'Calc (ex-housing, ex-storage)'!F446/100)/VLOOKUP($C$445,'DB animal categories'!$C$157:$AC$166,27,FALSE)*AJ446-'Calc (ex-housing, ex-storage)'!AC446,IF(AI446=4,('Calc (ex-animal)'!$L$86+'Calc (ex-animal)'!$K$86)*'Calc (ex-housing, ex-storage)'!F446/100*VLOOKUP(D446,'DB technologies'!$N$210:$Y$222,11,FALSE)/100/VLOOKUP($C$445,'DB animal categories'!$C$157:$AC$166,27,FALSE)*AJ446-AC446*VLOOKUP(D446,'DB technologies'!$N$210:$Y$222,11,FALSE)/100,0)))))</f>
        <v/>
      </c>
      <c r="AQ446" s="182" t="str">
        <f>IF(D446="","",IF(AI446=2,('Calc (ex-animal)'!$O$86*'Calc (ex-housing, ex-storage)'!F446/100+'Calc (ex-animal)'!$N$86*'Calc (ex-housing, ex-storage)'!F446/100)/VLOOKUP($C$445,'DB animal categories'!$C$157:$AC$166,27,FALSE)*AJ446+U446+V446+W446,IF(AI446=1,'Calc (ex-animal)'!$O$86*'Calc (ex-housing, ex-storage)'!F446/100/VLOOKUP($C$445,'DB animal categories'!$C$157:$AC$166,27,FALSE)*AJ446,IF(AI446=4,('Calc (ex-animal)'!$O$86+'Calc (ex-animal)'!$N$86)*'Calc (ex-housing, ex-storage)'!F446/100*VLOOKUP(D446,'DB technologies'!$N$210:$Y$222,11,FALSE)/100/VLOOKUP($C$445,'DB animal categories'!$C$157:$AC$166,27,FALSE)*AJ446,0))))</f>
        <v/>
      </c>
      <c r="AR446" s="182" t="str">
        <f>IF(D446="","",IF(AI446=2,('Calc (ex-animal)'!$R$86*'Calc (ex-housing, ex-storage)'!F446/100+'Calc (ex-animal)'!$Q$86*'Calc (ex-housing, ex-storage)'!F446/100)/VLOOKUP($C$445,'DB animal categories'!$C$157:$AC$166,27,FALSE)*AJ446+Y446+Z446+AA446,IF(AI446=1,'Calc (ex-animal)'!$R$86*'Calc (ex-housing, ex-storage)'!F446/100/VLOOKUP($C$445,'DB animal categories'!$C$157:$AC$166,27,FALSE)*AJ446,IF(AI446=4,('Calc (ex-animal)'!$R$86+'Calc (ex-animal)'!$Q$86)*'Calc (ex-housing, ex-storage)'!F446/100*VLOOKUP(D446,'DB technologies'!$N$210:$Y$222,11,FALSE)/100/VLOOKUP($C$445,'DB animal categories'!$C$157:$AC$166,27,FALSE)*AJ446,0))))</f>
        <v/>
      </c>
      <c r="AS446" s="181" t="str">
        <f>IF(D446="","",VLOOKUP(D446,'DB technologies'!$N$210:$Y$222,10,FALSE))</f>
        <v/>
      </c>
      <c r="AT446" s="442" t="str">
        <f>IF(AS446="","",AU446+AV446)</f>
        <v/>
      </c>
      <c r="AU446" s="442" t="str">
        <f>IF(D446="","",IF(AS446=2,0,IF(AS446=1,'Calc (ex-animal)'!$G$86*'DB additional information '!$K$18/100*(1-VLOOKUP(D446,'DB technologies'!$N$210:$Y$222,8,FALSE)/100)*'Calc (ex-housing, ex-storage)'!F446/100/VLOOKUP($C$445,'DB animal categories'!$C$157:$AC$166,27,FALSE)*AJ446+I446+J446+K446,IF(AS446=5,(('Calc (ex-animal)'!$G$86*'DB additional information '!$K$18/100+'Calc (ex-animal)'!$H$86*'DB additional information '!$L$18/100))*(1-VLOOKUP(D446,'DB technologies'!$N$210:$Y$222,9,FALSE)/100)*'Calc (ex-housing, ex-storage)'!F446/100/VLOOKUP($C$445,'DB animal categories'!$C$157:$AC$166,27,FALSE)*AJ446+I446+J446+K446,IF(AS446=3,('Calc (ex-animal)'!$G$86*'DB additional information '!$K$18/100+'Calc (ex-animal)'!$H$86*'DB additional information '!$L$18/100)*(1-VLOOKUP(D446,'DB technologies'!$N$210:$Y$222,9,FALSE)/100)*'Calc (ex-housing, ex-storage)'!F446/100/VLOOKUP($C$445,'DB animal categories'!$C$157:$AC$166,27,FALSE)*AJ446+I446+J446+K446,IF(AS446=4,('Calc (ex-animal)'!$G$86*'DB additional information '!$K$18/100+'Calc (ex-animal)'!$H$86*'DB additional information '!$L$18/100)*(1-VLOOKUP(D446,'DB technologies'!$N$210:$Y$222,9,FALSE)/100)*'Calc (ex-housing, ex-storage)'!F446/100*VLOOKUP(D446,'DB technologies'!$N$210:$Y$222,12,FALSE)/100/VLOOKUP($C$445,'DB animal categories'!$C$157:$AC$166,27,FALSE)*AJ446+I446+J446+K446,0))))))</f>
        <v/>
      </c>
      <c r="AV446" s="442" t="str">
        <f>IF(D446="","",IF(AS446=2,0,IF(AS446=1,'Calc (ex-animal)'!$G$86*(1-'DB additional information '!$K$18/100)*(1-VLOOKUP(D446,'DB technologies'!$N$210:$Y$222,8,FALSE)/100)*'Calc (ex-housing, ex-storage)'!F446/100/VLOOKUP($C$445,'DB animal categories'!$C$157:$AC$166,27,FALSE)*AJ446+M446+N446+O446,IF(AS446=5,('Calc (ex-animal)'!$G$86*(1-'DB additional information '!$K$18/100)+'Calc (ex-animal)'!$H$86*(1-'DB additional information '!$L$18/100))*(1-VLOOKUP(D446,'DB technologies'!$N$210:$Y$222,8,FALSE)/100)*'Calc (ex-housing, ex-storage)'!F446/100/VLOOKUP($C$445,'DB animal categories'!$C$157:$AC$166,27,FALSE)*AJ446+M446+N446+O446,IF(AS446=3,('Calc (ex-animal)'!$G$86*(1-'DB additional information '!$K$18/100)+'Calc (ex-animal)'!$H$86*(1-'DB additional information '!$L$18/100))*(1-VLOOKUP(D446,'DB technologies'!$N$210:$Y$222,8,FALSE)/100)*'Calc (ex-housing, ex-storage)'!F446/100/VLOOKUP($C$445,'DB animal categories'!$C$157:$AC$166,27,FALSE)*AJ446+M446+N446+O446,IF(AS446=4,('Calc (ex-animal)'!$G$86*(1-'DB additional information '!$K$18/100)+'Calc (ex-animal)'!$H$86*(1-'DB additional information '!$L$18/100))*(1-VLOOKUP(D446,'DB technologies'!$N$210:$Y$222,8,FALSE)/100)*'Calc (ex-housing, ex-storage)'!F446/100*VLOOKUP(D446,'DB technologies'!$N$210:$Y$222,12,FALSE)/100/VLOOKUP($C$445,'DB animal categories'!$C$157:$AC$166,27,FALSE)*AJ446+M446+N446+O446,0))))))</f>
        <v/>
      </c>
      <c r="AW446" s="442" t="str">
        <f>IF(AS446="","",IF(AU446=0,0,AU446/AT446*100))</f>
        <v/>
      </c>
      <c r="AX446" s="182" t="str">
        <f>IF(D446="","",IF(AS446=2,0,IF(AS446=1,'Calc (ex-animal)'!$K$86*'Calc (ex-housing, ex-storage)'!F446/100/VLOOKUP($C$445,'DB animal categories'!$C$157:$AC$166,27,FALSE)*AJ446+Q446+R446+S446,IF(AS446=5,('Calc (ex-animal)'!$K$86+'Calc (ex-animal)'!$L$86)*'Calc (ex-housing, ex-storage)'!F446/100/VLOOKUP($C$445,'DB animal categories'!$C$157:$AC$166,27,FALSE)*AJ446+Q446+R446+S446-'Calc (ex-housing, ex-storage)'!AC446,IF(AS446=3,('Calc (ex-animal)'!$K$86+'Calc (ex-animal)'!$L$86)*'Calc (ex-housing, ex-storage)'!F446/100/VLOOKUP($C$445,'DB animal categories'!$C$157:$AC$166,27,FALSE)*AJ446+Q446+R446+S446-'Calc (ex-housing, ex-storage)'!AC446-AD446-AE446,IF(AI446=4,('Calc (ex-animal)'!$K$86+'Calc (ex-animal)'!$L$86)*'Calc (ex-housing, ex-storage)'!F446/100*VLOOKUP(D446,'DB technologies'!$N$210:$Y$222,12,FALSE)/100/VLOOKUP($C$445,'DB animal categories'!$C$157:$AC$166,27,FALSE)*AJ446+Q446+R446+S446-(VLOOKUP(D446,'DB technologies'!$N$210:$Y$222,12,FALSE)/100*AC446)-AD446-AE446,0))))))</f>
        <v/>
      </c>
      <c r="AY446" s="182" t="str">
        <f>IF(D446="","",IF(AS446=2,0,IF(AS446=1,'Calc (ex-animal)'!$N$86*'Calc (ex-housing, ex-storage)'!F446/100/VLOOKUP($C$445,'DB animal categories'!$C$157:$AC$166,27,FALSE)*AJ446+U446+V446+W446,IF(AS446=5,('Calc (ex-animal)'!$N$86+'Calc (ex-animal)'!$O$86)*'Calc (ex-housing, ex-storage)'!F446/100/VLOOKUP($C$445,'DB animal categories'!$C$157:$AC$166,27,FALSE)*AJ446+U446+V446+W446,IF(AS446=3,('Calc (ex-animal)'!$N$86+'Calc (ex-animal)'!$O$86)*'Calc (ex-housing, ex-storage)'!F446/100/VLOOKUP($C$445,'DB animal categories'!$C$157:$AC$166,27,FALSE)*AJ446+U446+V446+W446,IF(AS446=4,('Calc (ex-animal)'!$N$86+'Calc (ex-animal)'!$O$86)*'Calc (ex-housing, ex-storage)'!F446/100*VLOOKUP(D446,'DB technologies'!$N$210:$Y$222,12,FALSE)/100/VLOOKUP($C$445,'DB animal categories'!$C$157:$AC$166,27,FALSE)*AJ446+U446+V446+W446,0))))))</f>
        <v/>
      </c>
      <c r="AZ446" s="182" t="str">
        <f>IF(D446="","",IF(AS446=2,0,IF(AS446=1,'Calc (ex-animal)'!$Q$86*'Calc (ex-housing, ex-storage)'!F446/100/VLOOKUP($C$445,'DB animal categories'!$C$157:$AC$166,27,FALSE)*AJ446+Y446+Z446+AA446,IF(AS446=5,('Calc (ex-animal)'!$Q$86+'Calc (ex-animal)'!$R$86)*'Calc (ex-housing, ex-storage)'!F446/100/VLOOKUP($C$445,'DB animal categories'!$C$157:$AC$166,27,FALSE)*AJ446+Y446+Z446+AA446,IF(AS446=3,('Calc (ex-animal)'!$Q$86+'Calc (ex-animal)'!$R$86)*'Calc (ex-housing, ex-storage)'!F446/100/VLOOKUP($C$445,'DB animal categories'!$C$157:$AC$166,27,FALSE)*AJ446+Y446+Z446+AA446,IF(AS446=4,('Calc (ex-animal)'!$Q$86+'Calc (ex-animal)'!$R$86)*'Calc (ex-housing, ex-storage)'!F446/100*VLOOKUP(D446,'DB technologies'!$N$210:$Y$222,12,FALSE)/100/VLOOKUP($C$445,'DB animal categories'!$C$157:$AC$166,27,FALSE)*AJ446+Y446+Z446+AA446,0))))))</f>
        <v/>
      </c>
      <c r="BA446" s="506"/>
      <c r="BB446" s="506"/>
      <c r="BC446" s="506"/>
    </row>
    <row r="447" spans="1:55" x14ac:dyDescent="0.2">
      <c r="A447" s="695"/>
      <c r="B447" s="695"/>
      <c r="C447" s="251"/>
      <c r="D447" s="1357"/>
      <c r="E447" s="1358"/>
      <c r="F447" s="480" t="str">
        <f>IF('Calc (ex-animal)'!$F$83=1,"",IF($C$445=0,"",IF(D447="","",E447/'Calc (ex-animal)'!$E$86*100)))</f>
        <v/>
      </c>
      <c r="G447" s="485" t="str">
        <f>IF($C$445=0,"",IF('Calc (ex-animal)'!$F$83=1,"",IF(D447="","",SUM(H447:O447))))</f>
        <v/>
      </c>
      <c r="H447" s="423" t="str">
        <f>IF('Calc (ex-animal)'!$F$83=1,"",IF(D447="","",(((VLOOKUP($C$445,'Calc (ex-animal)'!$D$83:$Y$87,6,FALSE)-VLOOKUP($C$445,'Calc (ex-animal)'!$D$83:$Y$87,17,FALSE))*F447/100))*VLOOKUP($C$445,'Calc (ex-animal)'!$D$83:$Y$87,7,FALSE)/100*(1-VLOOKUP(D447,'DB technologies'!$N$210:$Y$222,9,FALSE)/100)))</f>
        <v/>
      </c>
      <c r="I447" s="423" t="str">
        <f>IF(D447="","",((VLOOKUP(D447,'DB technologies'!$N$210:$Y$222,2,FALSE)*VLOOKUP($C$445,'DB animal categories'!$C$157:$AC$166,27,FALSE)*E447/1000)/VLOOKUP($C$445,'DB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'!$S$6/100*(1-VLOOKUP(D447,'DB technologies'!$N$210:$Y$222,9,FALSE)/100)))</f>
        <v/>
      </c>
      <c r="J447" s="434" t="str">
        <f>IF(D447="","",((VLOOKUP(D447,'DB technologies'!$N$210:$Y$222,3,FALSE)*VLOOKUP($C$445,'DB animal categories'!$C$157:$AC$166,27,FALSE)*E447/1000)/VLOOKUP($C$445,'DB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'!$S$7/100*(1-VLOOKUP(D447,'DB technologies'!$N$210:$Y$222,9,FALSE)/100)))</f>
        <v/>
      </c>
      <c r="K447" s="434" t="str">
        <f>IF(D447="","",((VLOOKUP(D447,'DB technologies'!$N$210:$Y$222,4,FALSE)*E447*'DB additional information '!$S$8/100*(1-VLOOKUP(D447,'DB technologies'!$N$210:$Y$222,9,FALSE)/100))/VLOOKUP($C$445,'DB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L447" s="423" t="str">
        <f>IF('Calc (ex-animal)'!$F$83=1,"",IF(D447="","",(((VLOOKUP($C$445,'Calc (ex-animal)'!$D$83:$Y$87,6,FALSE)-VLOOKUP($C$445,'Calc (ex-animal)'!$D$83:$Y$87,17,FALSE))*F447/100))*(1-VLOOKUP($C$445,'Calc (ex-animal)'!$D$83:$Y$87,7,FALSE)/100)*(1-VLOOKUP(D447,'DB technologies'!$N$210:$V$222,8,FALSE)/100)))</f>
        <v/>
      </c>
      <c r="M447" s="434" t="str">
        <f>IF(D447="","",((VLOOKUP(D447,'DB technologies'!$N$210:$Y$222,2,FALSE)*VLOOKUP($C$445,'DB animal categories'!$C$157:$AC$166,27,FALSE)*E447/1000)/VLOOKUP($C$445,'DB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'!$S$6/100)*(1-VLOOKUP(D447,'DB technologies'!$N$210:$Y$222,9,FALSE)/100))</f>
        <v/>
      </c>
      <c r="N447" s="434" t="str">
        <f>IF(D447="","",((VLOOKUP(D447,'DB technologies'!$N$210:$Y$222,3,FALSE)*VLOOKUP($C$445,'DB animal categories'!$C$157:$AC$166,27,FALSE)*E447/1000)/VLOOKUP($C$445,'DB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'!$S$7/100)*(1-VLOOKUP(D447,'DB technologies'!$N$210:$Y$222,9,FALSE)/100))</f>
        <v/>
      </c>
      <c r="O447" s="423" t="str">
        <f>IF(D447="","",((VLOOKUP(D447,'DB technologies'!$N$210:$Y$222,4,FALSE)*E447*(1-'DB additional information '!$S$8/100)*(1-VLOOKUP(D447,'DB technologies'!$N$210:$Y$222,8,FALSE)/100))/VLOOKUP($C$445,'DB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P447" s="438" t="str">
        <f>IF(G447=0,0,IF(E447="","",IF(F447="","",IF($C$445=0,"",IF(D447="","",SUM(H447:K447)/G447*100)))))</f>
        <v/>
      </c>
      <c r="Q447" s="416" t="str">
        <f>IF(D447="","",(VLOOKUP(D447,'DB technologies'!$N$210:$Y$222,2,FALSE)*'DB additional information '!$S$6/100*'DB additional information '!$T$6*VLOOKUP($C$445,'DB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R447" s="416" t="str">
        <f>IF(D447="","",(VLOOKUP(D447,'DB technologies'!$N$210:$Y$222,3,FALSE)*'DB additional information '!$S$7/100*'DB additional information '!$T$7*VLOOKUP($C$445,'DB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S447" s="491" t="str">
        <f>IF(D447="","",(VLOOKUP(D447,'DB technologies'!$N$210:$Y$222,4,FALSE)*('DB additional information '!$S$8/100*'DB additional information '!$T$8*E447/1000/1000)))</f>
        <v/>
      </c>
      <c r="T447" s="264" t="str">
        <f>IF($C$445=0,"",IF('Calc (ex-animal)'!$F$83=1,"",IF(D447="","",((VLOOKUP($C$445,'Calc (ex-animal)'!$D$83:$Y$87,10,FALSE)-VLOOKUP($C$445,'Calc (ex-animal)'!$D$83:$Y$87,18,FALSE))*F447/100+Q447+R447+S447)-AC447-AD447-AE447)))</f>
        <v/>
      </c>
      <c r="U447" s="422" t="str">
        <f>IF(D447="","",(VLOOKUP(D447,'DB technologies'!$N$210:$Y$222,2,FALSE)*'DB additional information '!$S$6/100*'DB additional information '!$U$6*VLOOKUP($C$445,'DB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V447" s="418" t="str">
        <f>IF(D447="","",(VLOOKUP(D447,'DB technologies'!$N$210:$Y$222,3,FALSE)*'DB additional information '!$S$7/100*'DB additional information '!$U$7*VLOOKUP($C$445,'DB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W447" s="417" t="str">
        <f>IF(D447="","",(VLOOKUP(D447,'DB technologies'!$N$210:$Y$222,4,FALSE)*('DB additional information '!$S$8/100*'DB additional information '!$U$8*E447/1000/1000)))</f>
        <v/>
      </c>
      <c r="X447" s="261" t="str">
        <f>IF($C$445=0,"",IF('Calc (ex-animal)'!$F$83=1,"",IF(D447="","",((VLOOKUP($C$445,'Calc (ex-animal)'!$D$83:$Y$87,13,FALSE)-VLOOKUP($C$445,'Calc (ex-animal)'!$D$83:$Y$87,19,FALSE))*F447/100+U447+V447+W447))))</f>
        <v/>
      </c>
      <c r="Y447" s="418" t="str">
        <f>IF(D447="","",(VLOOKUP(D447,'DB technologies'!$N$210:$Y$222,2,FALSE)*'DB additional information '!$S$6/100*'DB additional information '!$V$6*VLOOKUP($C$445,'DB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Z447" s="418" t="str">
        <f>IF(D447="","",(VLOOKUP(D447,'DB technologies'!$N$210:$Y$222,3,FALSE)*'DB additional information '!$S$7/100*'DB additional information '!$V$7*VLOOKUP($C$445,'DB animal categories'!$C$157:$AC$166,27,FALSE)*E447/1000/1000)/VLOOKUP($C$445,'DB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AA447" s="418" t="str">
        <f>IF(D447="","",(VLOOKUP(D447,'DB technologies'!$N$210:$Y$222,4,FALSE)*('DB additional information '!$S$8/100*'DB additional information '!$V$8*E447/1000/1000)))</f>
        <v/>
      </c>
      <c r="AB447" s="261" t="str">
        <f>IF($C$445=0,"",IF('Calc (ex-animal)'!$F$83=1,"",IF(D447="","",((VLOOKUP($C$445,'Calc (ex-animal)'!$D$83:$Y$87,16,FALSE)-VLOOKUP($C$445,'Calc (ex-animal)'!$D$83:$Y$87,20,FALSE))*F447/100+Y447+Z447+AA447))))</f>
        <v/>
      </c>
      <c r="AC447" s="261" t="str">
        <f>IF($C$445=0,"",IF('Calc (ex-animal)'!$F$83=1,"",IF(D447="","",VLOOKUP($C$445,'Calc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categories'!$C$157:$AC$166,26,FALSE)/24)*F447/100*VLOOKUP(D447,'DB technologies'!$N$210:$R$222,5,FALSE)/100)))</f>
        <v/>
      </c>
      <c r="AD447" s="261" t="str">
        <f>IF($C$445=0,"",IF('Calc (ex-animal)'!$F$83=1,"",IF(D447="","",VLOOKUP($C$445,'Calc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categories'!$C$157:$AC$166,26,FALSE)/24)*F447/100*VLOOKUP(D447,'DB technologies'!$N$210:$Y$222,6,FALSE)/100)))</f>
        <v/>
      </c>
      <c r="AE447" s="262" t="str">
        <f>IF($C$445=0,"",IF('Calc (ex-animal)'!$F$83=1,"",IF(D447="","",VLOOKUP($C$445,'Calc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categories'!$C$157:$AC$166,26,FALSE)/24)*F447/100*VLOOKUP(D447,'DB technologies'!$N$210:$Y$222,7,FALSE)/100)))</f>
        <v/>
      </c>
      <c r="AI447" s="181" t="str">
        <f>IF(D447="","",VLOOKUP(D447,'DB technologies'!$N$210:$Y$222,10,FALSE))</f>
        <v/>
      </c>
      <c r="AJ447" s="449" t="e">
        <f>VLOOKUP($C$445,'DB animal categories'!$C$157:$AN$166,27,FALSE)-VLOOKUP($C$445,'DB animal categories'!$C$157:$AN$166,26,FALSE)*VLOOKUP($C$445,'DB animal categories'!$C$157:$AN$166,25,FALSE)/24</f>
        <v>#N/A</v>
      </c>
      <c r="AK447" s="442" t="str">
        <f>IF(AI447="","",AL447+AM447)</f>
        <v/>
      </c>
      <c r="AL447" s="442" t="str">
        <f>IF(D447="","",IF(AI447=2,(('Calc (ex-animal)'!$G$86*'DB additional information '!$K$18/100*(1-VLOOKUP(D447,'DB technologies'!$N$210:$Y$222,9,FALSE)/100)*'Calc (ex-housing, ex-storage)'!F447/100+'Calc (ex-animal)'!$H$86*'DB additional information '!$L$18/100*(1-VLOOKUP(D447,'DB technologies'!$N$210:$Y$222,9,FALSE)/100)*'Calc (ex-housing, ex-storage)'!F447/100))/VLOOKUP($C$445,'DB animal categories'!$C$157:$AC$166,27,FALSE)*AJ447+I447+J447+K447,IF(AI447=1,('Calc (ex-animal)'!$H$86*'DB additional information '!$L$18/100*(1-VLOOKUP(D447,'DB technologies'!$N$210:$Y$222,9,FALSE)/100)*'Calc (ex-housing, ex-storage)'!F447/100)/VLOOKUP($C$445,'DB animal categories'!$C$157:$AC$166,27,FALSE)*AJ447,IF(AI447=4,('Calc (ex-animal)'!$G$86*'DB additional information '!$K$18/100+'Calc (ex-animal)'!$H$86*'DB additional information '!$L$18/100)*(1-VLOOKUP(D447,'DB technologies'!$N$210:$Y$222,9,FALSE)/100)*'Calc (ex-housing, ex-storage)'!F447/100*VLOOKUP(D447,'DB technologies'!$N$210:$Y$222,11,FALSE)/100/VLOOKUP($C$445,'DB animal categories'!$C$157:$AC$166,27,FALSE)*AJ447,0))))</f>
        <v/>
      </c>
      <c r="AM447" s="442" t="str">
        <f>IF(D447="","",IF(AI447=2,(('Calc (ex-animal)'!$G$86*(1-'DB additional information '!$K$18/100)*(1-VLOOKUP(D447,'DB technologies'!$N$210:$Y$222,8,FALSE)/100)*'Calc (ex-housing, ex-storage)'!F447/100+'Calc (ex-animal)'!$H$86*(1-'DB additional information '!$L$18/100)*(1-VLOOKUP(D447,'DB technologies'!$N$210:$Y$222,8,FALSE)/100)*'Calc (ex-housing, ex-storage)'!F447/100))/VLOOKUP($C$445,'DB animal categories'!$C$157:$AC$166,27,FALSE)*AJ447+M447+N447+O447,IF(AI447=1,('Calc (ex-animal)'!$H$86*(1-'DB additional information '!$L$18/100)*(1-VLOOKUP(D447,'DB technologies'!$N$210:$Y$222,8,FALSE)/100)*'Calc (ex-housing, ex-storage)'!F447/100)/VLOOKUP($C$445,'DB animal categories'!$C$157:$AC$166,27,FALSE)*AJ447,IF(AI447=4,('Calc (ex-animal)'!$G$86*(1-'DB additional information '!$K$18/100)+'Calc (ex-animal)'!$H$86*(1-'DB additional information '!$L$18/100))*(1-VLOOKUP(D447,'DB technologies'!$N$210:$Y$222,8,FALSE)/100)*'Calc (ex-housing, ex-storage)'!F447/100*VLOOKUP(D447,'DB technologies'!$N$210:$Y$222,11,FALSE)/100/VLOOKUP($C$445,'DB animal categories'!$C$157:$AC$166,27,FALSE)*AJ447,0))))</f>
        <v/>
      </c>
      <c r="AN447" s="442" t="str">
        <f>IF(AI447="","",IF(AL447=0,0,AL447/AK447*100))</f>
        <v/>
      </c>
      <c r="AO447" s="182" t="str">
        <f>IF(D447="","",IF(AI447=2,(('Calc (ex-animal)'!$L$86*'Calc (ex-housing, ex-storage)'!F447/100+'Calc (ex-animal)'!$K$86*'Calc (ex-housing, ex-storage)'!F447/100))/VLOOKUP($C$445,'DB animal categories'!$C$157:$AC$166,27,FALSE)*AJ447+Q447+R447+S447-AC447,IF(AI447=1,('Calc (ex-animal)'!$L$86*'Calc (ex-housing, ex-storage)'!F447/100)/VLOOKUP($C$445,'DB animal categories'!$C$157:$AC$166,27,FALSE)*AJ447-'Calc (ex-housing, ex-storage)'!AC447,IF(AI447=4,('Calc (ex-animal)'!$L$86+'Calc (ex-animal)'!$K$86)*'Calc (ex-housing, ex-storage)'!F447/100*VLOOKUP(D447,'DB technologies'!$N$210:$Y$222,11,FALSE)/100/VLOOKUP($C$445,'DB animal categories'!$C$157:$AC$166,27,FALSE)*AJ447-AC447*VLOOKUP(D447,'DB technologies'!$N$210:$Y$222,11,FALSE)/100,0))))</f>
        <v/>
      </c>
      <c r="AP447" s="182" t="str">
        <f>IF(D447="","",IF(AO447&lt;-0.01,0,IF(AI447=2,(('Calc (ex-animal)'!$L$86*'Calc (ex-housing, ex-storage)'!F447/100+'Calc (ex-animal)'!$K$86*'Calc (ex-housing, ex-storage)'!F447/100))/VLOOKUP($C$445,'DB animal categories'!$C$157:$AC$166,27,FALSE)*AJ447+Q447+R447+S447-AC447,IF(AI447=1,('Calc (ex-animal)'!$L$86*'Calc (ex-housing, ex-storage)'!F447/100)/VLOOKUP($C$445,'DB animal categories'!$C$157:$AC$166,27,FALSE)*AJ447-'Calc (ex-housing, ex-storage)'!AC447,IF(AI447=4,('Calc (ex-animal)'!$L$86+'Calc (ex-animal)'!$K$86)*'Calc (ex-housing, ex-storage)'!F447/100*VLOOKUP(D447,'DB technologies'!$N$210:$Y$222,11,FALSE)/100/VLOOKUP($C$445,'DB animal categories'!$C$157:$AC$166,27,FALSE)*AJ447-AC447*VLOOKUP(D447,'DB technologies'!$N$210:$Y$222,11,FALSE)/100,0)))))</f>
        <v/>
      </c>
      <c r="AQ447" s="182" t="str">
        <f>IF(D447="","",IF(AI447=2,('Calc (ex-animal)'!$O$86*'Calc (ex-housing, ex-storage)'!F447/100+'Calc (ex-animal)'!$N$86*'Calc (ex-housing, ex-storage)'!F447/100)/VLOOKUP($C$445,'DB animal categories'!$C$157:$AC$166,27,FALSE)*AJ447+U447+V447+W447,IF(AI447=1,'Calc (ex-animal)'!$O$86*'Calc (ex-housing, ex-storage)'!F447/100/VLOOKUP($C$445,'DB animal categories'!$C$157:$AC$166,27,FALSE)*AJ447,IF(AI447=4,('Calc (ex-animal)'!$O$86+'Calc (ex-animal)'!$N$86)*'Calc (ex-housing, ex-storage)'!F447/100*VLOOKUP(D447,'DB technologies'!$N$210:$Y$222,11,FALSE)/100/VLOOKUP($C$445,'DB animal categories'!$C$157:$AC$166,27,FALSE)*AJ447,0))))</f>
        <v/>
      </c>
      <c r="AR447" s="182" t="str">
        <f>IF(D447="","",IF(AI447=2,('Calc (ex-animal)'!$R$86*'Calc (ex-housing, ex-storage)'!F447/100+'Calc (ex-animal)'!$Q$86*'Calc (ex-housing, ex-storage)'!F447/100)/VLOOKUP($C$445,'DB animal categories'!$C$157:$AC$166,27,FALSE)*AJ447+Y447+Z447+AA447,IF(AI447=1,'Calc (ex-animal)'!$R$86*'Calc (ex-housing, ex-storage)'!F447/100/VLOOKUP($C$445,'DB animal categories'!$C$157:$AC$166,27,FALSE)*AJ447,IF(AI447=4,('Calc (ex-animal)'!$R$86+'Calc (ex-animal)'!$Q$86)*'Calc (ex-housing, ex-storage)'!F447/100*VLOOKUP(D447,'DB technologies'!$N$210:$Y$222,11,FALSE)/100/VLOOKUP($C$445,'DB animal categories'!$C$157:$AC$166,27,FALSE)*AJ447,0))))</f>
        <v/>
      </c>
      <c r="AS447" s="181" t="str">
        <f>IF(D447="","",VLOOKUP(D447,'DB technologies'!$N$210:$Y$222,10,FALSE))</f>
        <v/>
      </c>
      <c r="AT447" s="442" t="str">
        <f>IF(AS447="","",AU447+AV447)</f>
        <v/>
      </c>
      <c r="AU447" s="442" t="str">
        <f>IF(D447="","",IF(AS447=2,0,IF(AS447=1,'Calc (ex-animal)'!$G$86*'DB additional information '!$K$18/100*(1-VLOOKUP(D447,'DB technologies'!$N$210:$Y$222,8,FALSE)/100)*'Calc (ex-housing, ex-storage)'!F447/100/VLOOKUP($C$445,'DB animal categories'!$C$157:$AC$166,27,FALSE)*AJ447+I447+J447+K447,IF(AS447=5,(('Calc (ex-animal)'!$G$86*'DB additional information '!$K$18/100+'Calc (ex-animal)'!$H$86*'DB additional information '!$L$18/100))*(1-VLOOKUP(D447,'DB technologies'!$N$210:$Y$222,9,FALSE)/100)*'Calc (ex-housing, ex-storage)'!F447/100/VLOOKUP($C$445,'DB animal categories'!$C$157:$AC$166,27,FALSE)*AJ447+I447+J447+K447,IF(AS447=3,('Calc (ex-animal)'!$G$86*'DB additional information '!$K$18/100+'Calc (ex-animal)'!$H$86*'DB additional information '!$L$18/100)*(1-VLOOKUP(D447,'DB technologies'!$N$210:$Y$222,9,FALSE)/100)*'Calc (ex-housing, ex-storage)'!F447/100/VLOOKUP($C$445,'DB animal categories'!$C$157:$AC$166,27,FALSE)*AJ447+I447+J447+K447,IF(AS447=4,('Calc (ex-animal)'!$G$86*'DB additional information '!$K$18/100+'Calc (ex-animal)'!$H$86*'DB additional information '!$L$18/100)*(1-VLOOKUP(D447,'DB technologies'!$N$210:$Y$222,9,FALSE)/100)*'Calc (ex-housing, ex-storage)'!F447/100*VLOOKUP(D447,'DB technologies'!$N$210:$Y$222,12,FALSE)/100/VLOOKUP($C$445,'DB animal categories'!$C$157:$AC$166,27,FALSE)*AJ447+I447+J447+K447,0))))))</f>
        <v/>
      </c>
      <c r="AV447" s="442" t="str">
        <f>IF(D447="","",IF(AS447=2,0,IF(AS447=1,'Calc (ex-animal)'!$G$86*(1-'DB additional information '!$K$18/100)*(1-VLOOKUP(D447,'DB technologies'!$N$210:$Y$222,8,FALSE)/100)*'Calc (ex-housing, ex-storage)'!F447/100/VLOOKUP($C$445,'DB animal categories'!$C$157:$AC$166,27,FALSE)*AJ447+M447+N447+O447,IF(AS447=5,('Calc (ex-animal)'!$G$86*(1-'DB additional information '!$K$18/100)+'Calc (ex-animal)'!$H$86*(1-'DB additional information '!$L$18/100))*(1-VLOOKUP(D447,'DB technologies'!$N$210:$Y$222,8,FALSE)/100)*'Calc (ex-housing, ex-storage)'!F447/100/VLOOKUP($C$445,'DB animal categories'!$C$157:$AC$166,27,FALSE)*AJ447+M447+N447+O447,IF(AS447=3,('Calc (ex-animal)'!$G$86*(1-'DB additional information '!$K$18/100)+'Calc (ex-animal)'!$H$86*(1-'DB additional information '!$L$18/100))*(1-VLOOKUP(D447,'DB technologies'!$N$210:$Y$222,8,FALSE)/100)*'Calc (ex-housing, ex-storage)'!F447/100/VLOOKUP($C$445,'DB animal categories'!$C$157:$AC$166,27,FALSE)*AJ447+M447+N447+O447,IF(AS447=4,('Calc (ex-animal)'!$G$86*(1-'DB additional information '!$K$18/100)+'Calc (ex-animal)'!$H$86*(1-'DB additional information '!$L$18/100))*(1-VLOOKUP(D447,'DB technologies'!$N$210:$Y$222,8,FALSE)/100)*'Calc (ex-housing, ex-storage)'!F447/100*VLOOKUP(D447,'DB technologies'!$N$210:$Y$222,12,FALSE)/100/VLOOKUP($C$445,'DB animal categories'!$C$157:$AC$166,27,FALSE)*AJ447+M447+N447+O447,0))))))</f>
        <v/>
      </c>
      <c r="AW447" s="442" t="str">
        <f>IF(AS447="","",IF(AU447=0,0,AU447/AT447*100))</f>
        <v/>
      </c>
      <c r="AX447" s="182" t="str">
        <f>IF(D447="","",IF(AS447=2,0,IF(AS447=1,'Calc (ex-animal)'!$K$86*'Calc (ex-housing, ex-storage)'!F447/100/VLOOKUP($C$445,'DB animal categories'!$C$157:$AC$166,27,FALSE)*AJ447+Q447+R447+S447,IF(AS447=5,('Calc (ex-animal)'!$K$86+'Calc (ex-animal)'!$L$86)*'Calc (ex-housing, ex-storage)'!F447/100/VLOOKUP($C$445,'DB animal categories'!$C$157:$AC$166,27,FALSE)*AJ447+Q447+R447+S447-'Calc (ex-housing, ex-storage)'!AC447,IF(AS447=3,('Calc (ex-animal)'!$K$86+'Calc (ex-animal)'!$L$86)*'Calc (ex-housing, ex-storage)'!F447/100/VLOOKUP($C$445,'DB animal categories'!$C$157:$AC$166,27,FALSE)*AJ447+Q447+R447+S447-'Calc (ex-housing, ex-storage)'!AC447-AD447-AE447,IF(AI447=4,('Calc (ex-animal)'!$K$86+'Calc (ex-animal)'!$L$86)*'Calc (ex-housing, ex-storage)'!F447/100*VLOOKUP(D447,'DB technologies'!$N$210:$Y$222,12,FALSE)/100/VLOOKUP($C$445,'DB animal categories'!$C$157:$AC$166,27,FALSE)*AJ447+Q447+R447+S447-(VLOOKUP(D447,'DB technologies'!$N$210:$Y$222,12,FALSE)/100*AC447)-AD447-AE447,0))))))</f>
        <v/>
      </c>
      <c r="AY447" s="182" t="str">
        <f>IF(D447="","",IF(AS447=2,0,IF(AS447=1,'Calc (ex-animal)'!$N$86*'Calc (ex-housing, ex-storage)'!F447/100/VLOOKUP($C$445,'DB animal categories'!$C$157:$AC$166,27,FALSE)*AJ447+U447+V447+W447,IF(AS447=5,('Calc (ex-animal)'!$N$86+'Calc (ex-animal)'!$O$86)*'Calc (ex-housing, ex-storage)'!F447/100/VLOOKUP($C$445,'DB animal categories'!$C$157:$AC$166,27,FALSE)*AJ447+U447+V447+W447,IF(AS447=3,('Calc (ex-animal)'!$N$86+'Calc (ex-animal)'!$O$86)*'Calc (ex-housing, ex-storage)'!F447/100/VLOOKUP($C$445,'DB animal categories'!$C$157:$AC$166,27,FALSE)*AJ447+U447+V447+W447,IF(AS447=4,('Calc (ex-animal)'!$N$86+'Calc (ex-animal)'!$O$86)*'Calc (ex-housing, ex-storage)'!F447/100*VLOOKUP(D447,'DB technologies'!$N$210:$Y$222,12,FALSE)/100/VLOOKUP($C$445,'DB animal categories'!$C$157:$AC$166,27,FALSE)*AJ447+U447+V447+W447,0))))))</f>
        <v/>
      </c>
      <c r="AZ447" s="182" t="str">
        <f>IF(D447="","",IF(AS447=2,0,IF(AS447=1,'Calc (ex-animal)'!$Q$86*'Calc (ex-housing, ex-storage)'!F447/100/VLOOKUP($C$445,'DB animal categories'!$C$157:$AC$166,27,FALSE)*AJ447+Y447+Z447+AA447,IF(AS447=5,('Calc (ex-animal)'!$Q$86+'Calc (ex-animal)'!$R$86)*'Calc (ex-housing, ex-storage)'!F447/100/VLOOKUP($C$445,'DB animal categories'!$C$157:$AC$166,27,FALSE)*AJ447+Y447+Z447+AA447,IF(AS447=3,('Calc (ex-animal)'!$Q$86+'Calc (ex-animal)'!$R$86)*'Calc (ex-housing, ex-storage)'!F447/100/VLOOKUP($C$445,'DB animal categories'!$C$157:$AC$166,27,FALSE)*AJ447+Y447+Z447+AA447,IF(AS447=4,('Calc (ex-animal)'!$Q$86+'Calc (ex-animal)'!$R$86)*'Calc (ex-housing, ex-storage)'!F447/100*VLOOKUP(D447,'DB technologies'!$N$210:$Y$222,12,FALSE)/100/VLOOKUP($C$445,'DB animal categories'!$C$157:$AC$166,27,FALSE)*AJ447+Y447+Z447+AA447,0))))))</f>
        <v/>
      </c>
      <c r="BA447" s="506"/>
      <c r="BB447" s="506"/>
      <c r="BC447" s="506"/>
    </row>
    <row r="448" spans="1:55" x14ac:dyDescent="0.2">
      <c r="A448" s="695"/>
      <c r="B448" s="695"/>
      <c r="C448" s="251"/>
      <c r="D448" s="1357"/>
      <c r="E448" s="1358"/>
      <c r="F448" s="480" t="str">
        <f>IF('Calc (ex-animal)'!$F$83=1,"",IF($C$445=0,"",IF(D448="","",E448/'Calc (ex-animal)'!$E$86*100)))</f>
        <v/>
      </c>
      <c r="G448" s="485" t="str">
        <f>IF($C$445=0,"",IF('Calc (ex-animal)'!$F$83=1,"",IF(D448="","",SUM(H448:O448))))</f>
        <v/>
      </c>
      <c r="H448" s="423" t="str">
        <f>IF('Calc (ex-animal)'!$F$83=1,"",IF(D448="","",(((VLOOKUP($C$445,'Calc (ex-animal)'!$D$83:$Y$87,6,FALSE)-VLOOKUP($C$445,'Calc (ex-animal)'!$D$83:$Y$87,17,FALSE))*F448/100))*VLOOKUP($C$445,'Calc (ex-animal)'!$D$83:$Y$87,7,FALSE)/100*(1-VLOOKUP(D448,'DB technologies'!$N$210:$Y$222,9,FALSE)/100)))</f>
        <v/>
      </c>
      <c r="I448" s="423" t="str">
        <f>IF(D448="","",((VLOOKUP(D448,'DB technologies'!$N$210:$Y$222,2,FALSE)*VLOOKUP($C$445,'DB animal categories'!$C$157:$AC$166,27,FALSE)*E448/1000)/VLOOKUP($C$445,'DB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'!$S$6/100*(1-VLOOKUP(D448,'DB technologies'!$N$210:$Y$222,9,FALSE)/100)))</f>
        <v/>
      </c>
      <c r="J448" s="434" t="str">
        <f>IF(D448="","",((VLOOKUP(D448,'DB technologies'!$N$210:$Y$222,3,FALSE)*VLOOKUP($C$445,'DB animal categories'!$C$157:$AC$166,27,FALSE)*E448/1000)/VLOOKUP($C$445,'DB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'!$S$7/100*(1-VLOOKUP(D448,'DB technologies'!$N$210:$Y$222,9,FALSE)/100)))</f>
        <v/>
      </c>
      <c r="K448" s="434" t="str">
        <f>IF(D448="","",((VLOOKUP(D448,'DB technologies'!$N$210:$Y$222,4,FALSE)*E448*'DB additional information '!$S$8/100*(1-VLOOKUP(D448,'DB technologies'!$N$210:$Y$222,9,FALSE)/100))/VLOOKUP($C$445,'DB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L448" s="423" t="str">
        <f>IF('Calc (ex-animal)'!$F$83=1,"",IF(D448="","",(((VLOOKUP($C$445,'Calc (ex-animal)'!$D$83:$Y$87,6,FALSE)-VLOOKUP($C$445,'Calc (ex-animal)'!$D$83:$Y$87,17,FALSE))*F448/100))*(1-VLOOKUP($C$445,'Calc (ex-animal)'!$D$83:$Y$87,7,FALSE)/100)*(1-VLOOKUP(D448,'DB technologies'!$N$210:$V$222,8,FALSE)/100)))</f>
        <v/>
      </c>
      <c r="M448" s="434" t="str">
        <f>IF(D448="","",((VLOOKUP(D448,'DB technologies'!$N$210:$Y$222,2,FALSE)*VLOOKUP($C$445,'DB animal categories'!$C$157:$AC$166,27,FALSE)*E448/1000)/VLOOKUP($C$445,'DB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'!$S$6/100)*(1-VLOOKUP(D448,'DB technologies'!$N$210:$Y$222,9,FALSE)/100))</f>
        <v/>
      </c>
      <c r="N448" s="434" t="str">
        <f>IF(D448="","",((VLOOKUP(D448,'DB technologies'!$N$210:$Y$222,3,FALSE)*VLOOKUP($C$445,'DB animal categories'!$C$157:$AC$166,27,FALSE)*E448/1000)/VLOOKUP($C$445,'DB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'!$S$7/100)*(1-VLOOKUP(D448,'DB technologies'!$N$210:$Y$222,9,FALSE)/100))</f>
        <v/>
      </c>
      <c r="O448" s="423" t="str">
        <f>IF(D448="","",((VLOOKUP(D448,'DB technologies'!$N$210:$Y$222,4,FALSE)*E448*(1-'DB additional information '!$S$8/100)*(1-VLOOKUP(D448,'DB technologies'!$N$210:$Y$222,8,FALSE)/100))/VLOOKUP($C$445,'DB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P448" s="438" t="str">
        <f>IF(G448=0,0,IF(E448="","",IF(F448="","",IF($C$445=0,"",IF(D448="","",SUM(H448:K448)/G448*100)))))</f>
        <v/>
      </c>
      <c r="Q448" s="416" t="str">
        <f>IF(D448="","",(VLOOKUP(D448,'DB technologies'!$N$210:$Y$222,2,FALSE)*'DB additional information '!$S$6/100*'DB additional information '!$T$6*VLOOKUP($C$445,'DB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R448" s="416" t="str">
        <f>IF(D448="","",(VLOOKUP(D448,'DB technologies'!$N$210:$Y$222,3,FALSE)*'DB additional information '!$S$7/100*'DB additional information '!$T$7*VLOOKUP($C$445,'DB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S448" s="491" t="str">
        <f>IF(D448="","",(VLOOKUP(D448,'DB technologies'!$N$210:$Y$222,4,FALSE)*('DB additional information '!$S$8/100*'DB additional information '!$T$8*E448/1000/1000)))</f>
        <v/>
      </c>
      <c r="T448" s="264" t="str">
        <f>IF($C$445=0,"",IF('Calc (ex-animal)'!$F$83=1,"",IF(D448="","",((VLOOKUP($C$445,'Calc (ex-animal)'!$D$83:$Y$87,10,FALSE)-VLOOKUP($C$445,'Calc (ex-animal)'!$D$83:$Y$87,18,FALSE))*F448/100+Q448+R448+S448)-AC448-AD448-AE448)))</f>
        <v/>
      </c>
      <c r="U448" s="422" t="str">
        <f>IF(D448="","",(VLOOKUP(D448,'DB technologies'!$N$210:$Y$222,2,FALSE)*'DB additional information '!$S$6/100*'DB additional information '!$U$6*VLOOKUP($C$445,'DB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V448" s="418" t="str">
        <f>IF(D448="","",(VLOOKUP(D448,'DB technologies'!$N$210:$Y$222,3,FALSE)*'DB additional information '!$S$7/100*'DB additional information '!$U$7*VLOOKUP($C$445,'DB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W448" s="417" t="str">
        <f>IF(D448="","",(VLOOKUP(D448,'DB technologies'!$N$210:$Y$222,4,FALSE)*('DB additional information '!$S$8/100*'DB additional information '!$U$8*E448/1000/1000)))</f>
        <v/>
      </c>
      <c r="X448" s="261" t="str">
        <f>IF($C$445=0,"",IF('Calc (ex-animal)'!$F$83=1,"",IF(D448="","",((VLOOKUP($C$445,'Calc (ex-animal)'!$D$83:$Y$87,13,FALSE)-VLOOKUP($C$445,'Calc (ex-animal)'!$D$83:$Y$87,19,FALSE))*F448/100+U448+V448+W448))))</f>
        <v/>
      </c>
      <c r="Y448" s="418" t="str">
        <f>IF(D448="","",(VLOOKUP(D448,'DB technologies'!$N$210:$Y$222,2,FALSE)*'DB additional information '!$S$6/100*'DB additional information '!$V$6*VLOOKUP($C$445,'DB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Z448" s="418" t="str">
        <f>IF(D448="","",(VLOOKUP(D448,'DB technologies'!$N$210:$Y$222,3,FALSE)*'DB additional information '!$S$7/100*'DB additional information '!$V$7*VLOOKUP($C$445,'DB animal categories'!$C$157:$AC$166,27,FALSE)*E448/1000/1000)/VLOOKUP($C$445,'DB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AA448" s="418" t="str">
        <f>IF(D448="","",(VLOOKUP(D448,'DB technologies'!$N$210:$Y$222,4,FALSE)*('DB additional information '!$S$8/100*'DB additional information '!$V$8*E448/1000/1000)))</f>
        <v/>
      </c>
      <c r="AB448" s="261" t="str">
        <f>IF($C$445=0,"",IF('Calc (ex-animal)'!$F$83=1,"",IF(D448="","",((VLOOKUP($C$445,'Calc (ex-animal)'!$D$83:$Y$87,16,FALSE)-VLOOKUP($C$445,'Calc (ex-animal)'!$D$83:$Y$87,20,FALSE))*F448/100+Y448+Z448+AA448))))</f>
        <v/>
      </c>
      <c r="AC448" s="261" t="str">
        <f>IF($C$445=0,"",IF('Calc (ex-animal)'!$F$83=1,"",IF(D448="","",VLOOKUP($C$445,'Calc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categories'!$C$157:$AC$166,26,FALSE)/24)*F448/100*VLOOKUP(D448,'DB technologies'!$N$210:$R$222,5,FALSE)/100)))</f>
        <v/>
      </c>
      <c r="AD448" s="261" t="str">
        <f>IF($C$445=0,"",IF('Calc (ex-animal)'!$F$83=1,"",IF(D448="","",VLOOKUP($C$445,'Calc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categories'!$C$157:$AC$166,26,FALSE)/24)*F448/100*VLOOKUP(D448,'DB technologies'!$N$210:$Y$222,6,FALSE)/100)))</f>
        <v/>
      </c>
      <c r="AE448" s="262" t="str">
        <f>IF($C$445=0,"",IF('Calc (ex-animal)'!$F$83=1,"",IF(D448="","",VLOOKUP($C$445,'Calc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categories'!$C$157:$AC$166,26,FALSE)/24)*F448/100*VLOOKUP(D448,'DB technologies'!$N$210:$Y$222,7,FALSE)/100)))</f>
        <v/>
      </c>
      <c r="AI448" s="181" t="str">
        <f>IF(D448="","",VLOOKUP(D448,'DB technologies'!$N$210:$Y$222,10,FALSE))</f>
        <v/>
      </c>
      <c r="AJ448" s="449" t="e">
        <f>VLOOKUP($C$445,'DB animal categories'!$C$157:$AN$166,27,FALSE)-VLOOKUP($C$445,'DB animal categories'!$C$157:$AN$166,26,FALSE)*VLOOKUP($C$445,'DB animal categories'!$C$157:$AN$166,25,FALSE)/24</f>
        <v>#N/A</v>
      </c>
      <c r="AK448" s="442" t="str">
        <f>IF(AI448="","",AL448+AM448)</f>
        <v/>
      </c>
      <c r="AL448" s="442" t="str">
        <f>IF(D448="","",IF(AI448=2,(('Calc (ex-animal)'!$G$86*'DB additional information '!$K$18/100*(1-VLOOKUP(D448,'DB technologies'!$N$210:$Y$222,9,FALSE)/100)*'Calc (ex-housing, ex-storage)'!F448/100+'Calc (ex-animal)'!$H$86*'DB additional information '!$L$18/100*(1-VLOOKUP(D448,'DB technologies'!$N$210:$Y$222,9,FALSE)/100)*'Calc (ex-housing, ex-storage)'!F448/100))/VLOOKUP($C$445,'DB animal categories'!$C$157:$AC$166,27,FALSE)*AJ448+I448+J448+K448,IF(AI448=1,('Calc (ex-animal)'!$H$86*'DB additional information '!$L$18/100*(1-VLOOKUP(D448,'DB technologies'!$N$210:$Y$222,9,FALSE)/100)*'Calc (ex-housing, ex-storage)'!F448/100)/VLOOKUP($C$445,'DB animal categories'!$C$157:$AC$166,27,FALSE)*AJ448,IF(AI448=4,('Calc (ex-animal)'!$G$86*'DB additional information '!$K$18/100+'Calc (ex-animal)'!$H$86*'DB additional information '!$L$18/100)*(1-VLOOKUP(D448,'DB technologies'!$N$210:$Y$222,9,FALSE)/100)*'Calc (ex-housing, ex-storage)'!F448/100*VLOOKUP(D448,'DB technologies'!$N$210:$Y$222,11,FALSE)/100/VLOOKUP($C$445,'DB animal categories'!$C$157:$AC$166,27,FALSE)*AJ448,0))))</f>
        <v/>
      </c>
      <c r="AM448" s="442" t="str">
        <f>IF(D448="","",IF(AI448=2,(('Calc (ex-animal)'!$G$86*(1-'DB additional information '!$K$18/100)*(1-VLOOKUP(D448,'DB technologies'!$N$210:$Y$222,8,FALSE)/100)*'Calc (ex-housing, ex-storage)'!F448/100+'Calc (ex-animal)'!$H$86*(1-'DB additional information '!$L$18/100)*(1-VLOOKUP(D448,'DB technologies'!$N$210:$Y$222,8,FALSE)/100)*'Calc (ex-housing, ex-storage)'!F448/100))/VLOOKUP($C$445,'DB animal categories'!$C$157:$AC$166,27,FALSE)*AJ448+M448+N448+O448,IF(AI448=1,('Calc (ex-animal)'!$H$86*(1-'DB additional information '!$L$18/100)*(1-VLOOKUP(D448,'DB technologies'!$N$210:$Y$222,8,FALSE)/100)*'Calc (ex-housing, ex-storage)'!F448/100)/VLOOKUP($C$445,'DB animal categories'!$C$157:$AC$166,27,FALSE)*AJ448,IF(AI448=4,('Calc (ex-animal)'!$G$86*(1-'DB additional information '!$K$18/100)+'Calc (ex-animal)'!$H$86*(1-'DB additional information '!$L$18/100))*(1-VLOOKUP(D448,'DB technologies'!$N$210:$Y$222,8,FALSE)/100)*'Calc (ex-housing, ex-storage)'!F448/100*VLOOKUP(D448,'DB technologies'!$N$210:$Y$222,11,FALSE)/100/VLOOKUP($C$445,'DB animal categories'!$C$157:$AC$166,27,FALSE)*AJ448,0))))</f>
        <v/>
      </c>
      <c r="AN448" s="442" t="str">
        <f>IF(AI448="","",IF(AL448=0,0,AL448/AK448*100))</f>
        <v/>
      </c>
      <c r="AO448" s="182" t="str">
        <f>IF(D448="","",IF(AI448=2,(('Calc (ex-animal)'!$L$86*'Calc (ex-housing, ex-storage)'!F448/100+'Calc (ex-animal)'!$K$86*'Calc (ex-housing, ex-storage)'!F448/100))/VLOOKUP($C$445,'DB animal categories'!$C$157:$AC$166,27,FALSE)*AJ448+Q448+R448+S448-AC448,IF(AI448=1,('Calc (ex-animal)'!$L$86*'Calc (ex-housing, ex-storage)'!F448/100)/VLOOKUP($C$445,'DB animal categories'!$C$157:$AC$166,27,FALSE)*AJ448-'Calc (ex-housing, ex-storage)'!AC448,IF(AI448=4,('Calc (ex-animal)'!$L$86+'Calc (ex-animal)'!$K$86)*'Calc (ex-housing, ex-storage)'!F448/100*VLOOKUP(D448,'DB technologies'!$N$210:$Y$222,11,FALSE)/100/VLOOKUP($C$445,'DB animal categories'!$C$157:$AC$166,27,FALSE)*AJ448-AC448*VLOOKUP(D448,'DB technologies'!$N$210:$Y$222,11,FALSE)/100,0))))</f>
        <v/>
      </c>
      <c r="AP448" s="182" t="str">
        <f>IF(D448="","",IF(AO448&lt;-0.01,0,IF(AI448=2,(('Calc (ex-animal)'!$L$86*'Calc (ex-housing, ex-storage)'!F448/100+'Calc (ex-animal)'!$K$86*'Calc (ex-housing, ex-storage)'!F448/100))/VLOOKUP($C$445,'DB animal categories'!$C$157:$AC$166,27,FALSE)*AJ448+Q448+R448+S448-AC448,IF(AI448=1,('Calc (ex-animal)'!$L$86*'Calc (ex-housing, ex-storage)'!F448/100)/VLOOKUP($C$445,'DB animal categories'!$C$157:$AC$166,27,FALSE)*AJ448-'Calc (ex-housing, ex-storage)'!AC448,IF(AI448=4,('Calc (ex-animal)'!$L$86+'Calc (ex-animal)'!$K$86)*'Calc (ex-housing, ex-storage)'!F448/100*VLOOKUP(D448,'DB technologies'!$N$210:$Y$222,11,FALSE)/100/VLOOKUP($C$445,'DB animal categories'!$C$157:$AC$166,27,FALSE)*AJ448-AC448*VLOOKUP(D448,'DB technologies'!$N$210:$Y$222,11,FALSE)/100,0)))))</f>
        <v/>
      </c>
      <c r="AQ448" s="182" t="str">
        <f>IF(D448="","",IF(AI448=2,('Calc (ex-animal)'!$O$86*'Calc (ex-housing, ex-storage)'!F448/100+'Calc (ex-animal)'!$N$86*'Calc (ex-housing, ex-storage)'!F448/100)/VLOOKUP($C$445,'DB animal categories'!$C$157:$AC$166,27,FALSE)*AJ448+U448+V448+W448,IF(AI448=1,'Calc (ex-animal)'!$O$86*'Calc (ex-housing, ex-storage)'!F448/100/VLOOKUP($C$445,'DB animal categories'!$C$157:$AC$166,27,FALSE)*AJ448,IF(AI448=4,('Calc (ex-animal)'!$O$86+'Calc (ex-animal)'!$N$86)*'Calc (ex-housing, ex-storage)'!F448/100*VLOOKUP(D448,'DB technologies'!$N$210:$Y$222,11,FALSE)/100/VLOOKUP($C$445,'DB animal categories'!$C$157:$AC$166,27,FALSE)*AJ448,0))))</f>
        <v/>
      </c>
      <c r="AR448" s="182" t="str">
        <f>IF(D448="","",IF(AI448=2,('Calc (ex-animal)'!$R$86*'Calc (ex-housing, ex-storage)'!F448/100+'Calc (ex-animal)'!$Q$86*'Calc (ex-housing, ex-storage)'!F448/100)/VLOOKUP($C$445,'DB animal categories'!$C$157:$AC$166,27,FALSE)*AJ448+Y448+Z448+AA448,IF(AI448=1,'Calc (ex-animal)'!$R$86*'Calc (ex-housing, ex-storage)'!F448/100/VLOOKUP($C$445,'DB animal categories'!$C$157:$AC$166,27,FALSE)*AJ448,IF(AI448=4,('Calc (ex-animal)'!$R$86+'Calc (ex-animal)'!$Q$86)*'Calc (ex-housing, ex-storage)'!F448/100*VLOOKUP(D448,'DB technologies'!$N$210:$Y$222,11,FALSE)/100/VLOOKUP($C$445,'DB animal categories'!$C$157:$AC$166,27,FALSE)*AJ448,0))))</f>
        <v/>
      </c>
      <c r="AS448" s="181" t="str">
        <f>IF(D448="","",VLOOKUP(D448,'DB technologies'!$N$210:$Y$222,10,FALSE))</f>
        <v/>
      </c>
      <c r="AT448" s="442" t="str">
        <f>IF(AS448="","",AU448+AV448)</f>
        <v/>
      </c>
      <c r="AU448" s="442" t="str">
        <f>IF(D448="","",IF(AS448=2,0,IF(AS448=1,'Calc (ex-animal)'!$G$86*'DB additional information '!$K$18/100*(1-VLOOKUP(D448,'DB technologies'!$N$210:$Y$222,8,FALSE)/100)*'Calc (ex-housing, ex-storage)'!F448/100/VLOOKUP($C$445,'DB animal categories'!$C$157:$AC$166,27,FALSE)*AJ448+I448+J448+K448,IF(AS448=5,(('Calc (ex-animal)'!$G$86*'DB additional information '!$K$18/100+'Calc (ex-animal)'!$H$86*'DB additional information '!$L$18/100))*(1-VLOOKUP(D448,'DB technologies'!$N$210:$Y$222,9,FALSE)/100)*'Calc (ex-housing, ex-storage)'!F448/100/VLOOKUP($C$445,'DB animal categories'!$C$157:$AC$166,27,FALSE)*AJ448+I448+J448+K448,IF(AS448=3,('Calc (ex-animal)'!$G$86*'DB additional information '!$K$18/100+'Calc (ex-animal)'!$H$86*'DB additional information '!$L$18/100)*(1-VLOOKUP(D448,'DB technologies'!$N$210:$Y$222,9,FALSE)/100)*'Calc (ex-housing, ex-storage)'!F448/100/VLOOKUP($C$445,'DB animal categories'!$C$157:$AC$166,27,FALSE)*AJ448+I448+J448+K448,IF(AS448=4,('Calc (ex-animal)'!$G$86*'DB additional information '!$K$18/100+'Calc (ex-animal)'!$H$86*'DB additional information '!$L$18/100)*(1-VLOOKUP(D448,'DB technologies'!$N$210:$Y$222,9,FALSE)/100)*'Calc (ex-housing, ex-storage)'!F448/100*VLOOKUP(D448,'DB technologies'!$N$210:$Y$222,12,FALSE)/100/VLOOKUP($C$445,'DB animal categories'!$C$157:$AC$166,27,FALSE)*AJ448+I448+J448+K448,0))))))</f>
        <v/>
      </c>
      <c r="AV448" s="442" t="str">
        <f>IF(D448="","",IF(AS448=2,0,IF(AS448=1,'Calc (ex-animal)'!$G$86*(1-'DB additional information '!$K$18/100)*(1-VLOOKUP(D448,'DB technologies'!$N$210:$Y$222,8,FALSE)/100)*'Calc (ex-housing, ex-storage)'!F448/100/VLOOKUP($C$445,'DB animal categories'!$C$157:$AC$166,27,FALSE)*AJ448+M448+N448+O448,IF(AS448=5,('Calc (ex-animal)'!$G$86*(1-'DB additional information '!$K$18/100)+'Calc (ex-animal)'!$H$86*(1-'DB additional information '!$L$18/100))*(1-VLOOKUP(D448,'DB technologies'!$N$210:$Y$222,8,FALSE)/100)*'Calc (ex-housing, ex-storage)'!F448/100/VLOOKUP($C$445,'DB animal categories'!$C$157:$AC$166,27,FALSE)*AJ448+M448+N448+O448,IF(AS448=3,('Calc (ex-animal)'!$G$86*(1-'DB additional information '!$K$18/100)+'Calc (ex-animal)'!$H$86*(1-'DB additional information '!$L$18/100))*(1-VLOOKUP(D448,'DB technologies'!$N$210:$Y$222,8,FALSE)/100)*'Calc (ex-housing, ex-storage)'!F448/100/VLOOKUP($C$445,'DB animal categories'!$C$157:$AC$166,27,FALSE)*AJ448+M448+N448+O448,IF(AS448=4,('Calc (ex-animal)'!$G$86*(1-'DB additional information '!$K$18/100)+'Calc (ex-animal)'!$H$86*(1-'DB additional information '!$L$18/100))*(1-VLOOKUP(D448,'DB technologies'!$N$210:$Y$222,8,FALSE)/100)*'Calc (ex-housing, ex-storage)'!F448/100*VLOOKUP(D448,'DB technologies'!$N$210:$Y$222,12,FALSE)/100/VLOOKUP($C$445,'DB animal categories'!$C$157:$AC$166,27,FALSE)*AJ448+M448+N448+O448,0))))))</f>
        <v/>
      </c>
      <c r="AW448" s="442" t="str">
        <f>IF(AS448="","",IF(AU448=0,0,AU448/AT448*100))</f>
        <v/>
      </c>
      <c r="AX448" s="182" t="str">
        <f>IF(D448="","",IF(AS448=2,0,IF(AS448=1,'Calc (ex-animal)'!$K$86*'Calc (ex-housing, ex-storage)'!F448/100/VLOOKUP($C$445,'DB animal categories'!$C$157:$AC$166,27,FALSE)*AJ448+Q448+R448+S448,IF(AS448=5,('Calc (ex-animal)'!$K$86+'Calc (ex-animal)'!$L$86)*'Calc (ex-housing, ex-storage)'!F448/100/VLOOKUP($C$445,'DB animal categories'!$C$157:$AC$166,27,FALSE)*AJ448+Q448+R448+S448-'Calc (ex-housing, ex-storage)'!AC448,IF(AS448=3,('Calc (ex-animal)'!$K$86+'Calc (ex-animal)'!$L$86)*'Calc (ex-housing, ex-storage)'!F448/100/VLOOKUP($C$445,'DB animal categories'!$C$157:$AC$166,27,FALSE)*AJ448+Q448+R448+S448-'Calc (ex-housing, ex-storage)'!AC448-AD448-AE448,IF(AI448=4,('Calc (ex-animal)'!$K$86+'Calc (ex-animal)'!$L$86)*'Calc (ex-housing, ex-storage)'!F448/100*VLOOKUP(D448,'DB technologies'!$N$210:$Y$222,12,FALSE)/100/VLOOKUP($C$445,'DB animal categories'!$C$157:$AC$166,27,FALSE)*AJ448+Q448+R448+S448-(VLOOKUP(D448,'DB technologies'!$N$210:$Y$222,12,FALSE)/100*AC448)-AD448-AE448,0))))))</f>
        <v/>
      </c>
      <c r="AY448" s="182" t="str">
        <f>IF(D448="","",IF(AS448=2,0,IF(AS448=1,'Calc (ex-animal)'!$N$86*'Calc (ex-housing, ex-storage)'!F448/100/VLOOKUP($C$445,'DB animal categories'!$C$157:$AC$166,27,FALSE)*AJ448+U448+V448+W448,IF(AS448=5,('Calc (ex-animal)'!$N$86+'Calc (ex-animal)'!$O$86)*'Calc (ex-housing, ex-storage)'!F448/100/VLOOKUP($C$445,'DB animal categories'!$C$157:$AC$166,27,FALSE)*AJ448+U448+V448+W448,IF(AS448=3,('Calc (ex-animal)'!$N$86+'Calc (ex-animal)'!$O$86)*'Calc (ex-housing, ex-storage)'!F448/100/VLOOKUP($C$445,'DB animal categories'!$C$157:$AC$166,27,FALSE)*AJ448+U448+V448+W448,IF(AS448=4,('Calc (ex-animal)'!$N$86+'Calc (ex-animal)'!$O$86)*'Calc (ex-housing, ex-storage)'!F448/100*VLOOKUP(D448,'DB technologies'!$N$210:$Y$222,12,FALSE)/100/VLOOKUP($C$445,'DB animal categories'!$C$157:$AC$166,27,FALSE)*AJ448+U448+V448+W448,0))))))</f>
        <v/>
      </c>
      <c r="AZ448" s="182" t="str">
        <f>IF(D448="","",IF(AS448=2,0,IF(AS448=1,'Calc (ex-animal)'!$Q$86*'Calc (ex-housing, ex-storage)'!F448/100/VLOOKUP($C$445,'DB animal categories'!$C$157:$AC$166,27,FALSE)*AJ448+Y448+Z448+AA448,IF(AS448=5,('Calc (ex-animal)'!$Q$86+'Calc (ex-animal)'!$R$86)*'Calc (ex-housing, ex-storage)'!F448/100/VLOOKUP($C$445,'DB animal categories'!$C$157:$AC$166,27,FALSE)*AJ448+Y448+Z448+AA448,IF(AS448=3,('Calc (ex-animal)'!$Q$86+'Calc (ex-animal)'!$R$86)*'Calc (ex-housing, ex-storage)'!F448/100/VLOOKUP($C$445,'DB animal categories'!$C$157:$AC$166,27,FALSE)*AJ448+Y448+Z448+AA448,IF(AS448=4,('Calc (ex-animal)'!$Q$86+'Calc (ex-animal)'!$R$86)*'Calc (ex-housing, ex-storage)'!F448/100*VLOOKUP(D448,'DB technologies'!$N$210:$Y$222,12,FALSE)/100/VLOOKUP($C$445,'DB animal categories'!$C$157:$AC$166,27,FALSE)*AJ448+Y448+Z448+AA448,0))))))</f>
        <v/>
      </c>
      <c r="BA448" s="506"/>
      <c r="BB448" s="506"/>
      <c r="BC448" s="506"/>
    </row>
    <row r="449" spans="1:55" ht="12" thickBot="1" x14ac:dyDescent="0.25">
      <c r="A449" s="695"/>
      <c r="B449" s="695"/>
      <c r="C449" s="251"/>
      <c r="D449" s="1359"/>
      <c r="E449" s="1360"/>
      <c r="F449" s="481" t="str">
        <f>IF('Calc (ex-animal)'!$F$83=1,"",IF($C$445=0,"",IF(D449="","",E449/'Calc (ex-animal)'!$E$86*100)))</f>
        <v/>
      </c>
      <c r="G449" s="483" t="str">
        <f>IF($C$445=0,"",IF('Calc (ex-animal)'!$F$83=1,"",IF(D449="","",SUM(H449:O449))))</f>
        <v/>
      </c>
      <c r="H449" s="445" t="str">
        <f>IF('Calc (ex-animal)'!$F$83=1,"",IF(D449="","",(((VLOOKUP($C$445,'Calc (ex-animal)'!$D$83:$Y$87,6,FALSE)-VLOOKUP($C$445,'Calc (ex-animal)'!$D$83:$Y$87,17,FALSE))*F449/100))*VLOOKUP($C$445,'Calc (ex-animal)'!$D$83:$Y$87,7,FALSE)/100*(1-VLOOKUP(D449,'DB technologies'!$N$210:$Y$222,9,FALSE)/100)))</f>
        <v/>
      </c>
      <c r="I449" s="445" t="str">
        <f>IF(D449="","",((VLOOKUP(D449,'DB technologies'!$N$210:$Y$222,2,FALSE)*VLOOKUP($C$445,'DB animal categories'!$C$157:$AC$166,27,FALSE)*E449/1000)/VLOOKUP($C$445,'DB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'!$S$6/100*(1-VLOOKUP(D449,'DB technologies'!$N$210:$Y$222,9,FALSE)/100)))</f>
        <v/>
      </c>
      <c r="J449" s="446" t="str">
        <f>IF(D449="","",((VLOOKUP(D449,'DB technologies'!$N$210:$Y$222,3,FALSE)*VLOOKUP($C$445,'DB animal categories'!$C$157:$AC$166,27,FALSE)*E449/1000)/VLOOKUP($C$445,'DB animal categories'!$C$157:$AC$166,27,FALSE)*(VLOOKUP($C$445,'DB animal categories'!$C$157:$AC$166,27,FALSE)-(VLOOKUP($C$445,'DB animal categories'!$C$157:$AC$166,25,FALSE)*VLOOKUP($C$445,'DB animal categories'!$C$157:$AC$166,26,FALSE)/24))*'DB additional information '!$S$7/100*(1-VLOOKUP(D449,'DB technologies'!$N$210:$Y$222,9,FALSE)/100)))</f>
        <v/>
      </c>
      <c r="K449" s="446" t="str">
        <f>IF(D449="","",((VLOOKUP(D449,'DB technologies'!$N$210:$Y$222,4,FALSE)*E449*'DB additional information '!$S$8/100*(1-VLOOKUP(D449,'DB technologies'!$N$210:$Y$222,9,FALSE)/100))/VLOOKUP($C$445,'DB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L449" s="445" t="str">
        <f>IF('Calc (ex-animal)'!$F$83=1,"",IF(D449="","",(((VLOOKUP($C$445,'Calc (ex-animal)'!$D$83:$Y$87,6,FALSE)-VLOOKUP($C$445,'Calc (ex-animal)'!$D$83:$Y$87,17,FALSE))*F449/100))*(1-VLOOKUP($C$445,'Calc (ex-animal)'!$D$83:$Y$87,7,FALSE)/100)*(1-VLOOKUP(D449,'DB technologies'!$N$210:$V$222,8,FALSE)/100)))</f>
        <v/>
      </c>
      <c r="M449" s="446" t="str">
        <f>IF(D449="","",((VLOOKUP(D449,'DB technologies'!$N$210:$Y$222,2,FALSE)*VLOOKUP($C$445,'DB animal categories'!$C$157:$AC$166,27,FALSE)*E449/1000)/VLOOKUP($C$445,'DB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'!$S$6/100)*(1-VLOOKUP(D449,'DB technologies'!$N$210:$Y$222,9,FALSE)/100))</f>
        <v/>
      </c>
      <c r="N449" s="446" t="str">
        <f>IF(D449="","",((VLOOKUP(D449,'DB technologies'!$N$210:$Y$222,3,FALSE)*VLOOKUP($C$445,'DB animal categories'!$C$157:$AC$166,27,FALSE)*E449/1000)/VLOOKUP($C$445,'DB animal categories'!$C$157:$AC$166,27,FALSE)*(VLOOKUP($C$445,'DB animal categories'!$C$157:$AC$166,27,FALSE)-VLOOKUP($C$445,'DB animal categories'!$C$157:$AC$166,25,FALSE)*VLOOKUP($C$445,'DB animal categories'!$C$157:$AC$166,26,FALSE)/24))*(1-'DB additional information '!$S$7/100)*(1-VLOOKUP(D449,'DB technologies'!$N$210:$Y$222,9,FALSE)/100))</f>
        <v/>
      </c>
      <c r="O449" s="445" t="str">
        <f>IF(D449="","",((VLOOKUP(D449,'DB technologies'!$N$210:$Y$222,4,FALSE)*E449*(1-'DB additional information '!$S$8/100)*(1-VLOOKUP(D449,'DB technologies'!$N$210:$Y$222,8,FALSE)/100))/VLOOKUP($C$445,'DB animal categories'!$C$157:$AC$166,27,FALSE)*(VLOOKUP($C$445,'DB animal categories'!$C$157:$AC$166,27,FALSE)-VLOOKUP($C$445,'DB animal categories'!$C$157:$AC$166,25,FALSE)*VLOOKUP($C$445,'DB animal categories'!$C$157:$AC$166,26,FALSE)/24)))</f>
        <v/>
      </c>
      <c r="P449" s="444" t="str">
        <f>IF(G449=0,0,IF(E449="","",IF(F449="","",IF($C$445=0,"",IF(D449="","",SUM(H449:K449)/G449*100)))))</f>
        <v/>
      </c>
      <c r="Q449" s="476" t="str">
        <f>IF(D449="","",(VLOOKUP(D449,'DB technologies'!$N$210:$Y$222,2,FALSE)*'DB additional information '!$S$6/100*'DB additional information '!$T$6*VLOOKUP($C$445,'DB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R449" s="476" t="str">
        <f>IF(D449="","",(VLOOKUP(D449,'DB technologies'!$N$210:$Y$222,3,FALSE)*'DB additional information '!$S$7/100*'DB additional information '!$T$7*VLOOKUP($C$445,'DB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S449" s="494" t="str">
        <f>IF(D449="","",(VLOOKUP(D449,'DB technologies'!$N$210:$Y$222,4,FALSE)*('DB additional information '!$S$8/100*'DB additional information '!$T$8*E449/1000/1000)))</f>
        <v/>
      </c>
      <c r="T449" s="266" t="str">
        <f>IF($C$445=0,"",IF('Calc (ex-animal)'!$F$83=1,"",IF(D449="","",((VLOOKUP($C$445,'Calc (ex-animal)'!$D$83:$Y$87,10,FALSE)-VLOOKUP($C$445,'Calc (ex-animal)'!$D$83:$Y$87,18,FALSE))*F449/100+Q449+R449+S449)-AC449-AD449-AE449)))</f>
        <v/>
      </c>
      <c r="U449" s="477" t="str">
        <f>IF(D449="","",(VLOOKUP(D449,'DB technologies'!$N$210:$Y$222,2,FALSE)*'DB additional information '!$S$6/100*'DB additional information '!$U$6*VLOOKUP($C$445,'DB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V449" s="433" t="str">
        <f>IF(D449="","",(VLOOKUP(D449,'DB technologies'!$N$210:$Y$222,3,FALSE)*'DB additional information '!$S$7/100*'DB additional information '!$U$7*VLOOKUP($C$445,'DB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W449" s="475" t="str">
        <f>IF(D449="","",(VLOOKUP(D449,'DB technologies'!$N$210:$Y$222,4,FALSE)*('DB additional information '!$S$8/100*'DB additional information '!$U$8*E449/1000/1000)))</f>
        <v/>
      </c>
      <c r="X449" s="267" t="str">
        <f>IF($C$445=0,"",IF('Calc (ex-animal)'!$F$83=1,"",IF(D449="","",((VLOOKUP($C$445,'Calc (ex-animal)'!$D$83:$Y$87,13,FALSE)-VLOOKUP($C$445,'Calc (ex-animal)'!$D$83:$Y$87,19,FALSE))*F449/100+U449+V449+W449))))</f>
        <v/>
      </c>
      <c r="Y449" s="433" t="str">
        <f>IF(D449="","",(VLOOKUP(D449,'DB technologies'!$N$210:$Y$222,2,FALSE)*'DB additional information '!$S$6/100*'DB additional information '!$V$6*VLOOKUP($C$445,'DB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Z449" s="433" t="str">
        <f>IF(D449="","",(VLOOKUP(D449,'DB technologies'!$N$210:$Y$222,3,FALSE)*'DB additional information '!$S$7/100*'DB additional information '!$V$7*VLOOKUP($C$445,'DB animal categories'!$C$157:$AC$166,27,FALSE)*E449/1000/1000)/VLOOKUP($C$445,'DB animal categories'!$C$157:$AC$166,27,FALSE)*(VLOOKUP($C$445,'DB animal categories'!$C$157:$AC$166,27,FALSE)-VLOOKUP($C$445,'DB animal categories'!$C$157:$AC$166,25,FALSE)*VLOOKUP($C$445,'DB animal categories'!$C$157:$AC$166,26,FALSE)/24))</f>
        <v/>
      </c>
      <c r="AA449" s="433" t="str">
        <f>IF(D449="","",(VLOOKUP(D449,'DB technologies'!$N$210:$Y$222,4,FALSE)*('DB additional information '!$S$8/100*'DB additional information '!$V$8*E449/1000/1000)))</f>
        <v/>
      </c>
      <c r="AB449" s="267" t="str">
        <f>IF($C$445=0,"",IF('Calc (ex-animal)'!$F$83=1,"",IF(D449="","",((VLOOKUP($C$445,'Calc (ex-animal)'!$D$83:$Y$87,16,FALSE)-VLOOKUP($C$445,'Calc (ex-animal)'!$D$83:$Y$87,20,FALSE))*F449/100+Y449+Z449+AA449))))</f>
        <v/>
      </c>
      <c r="AC449" s="267" t="str">
        <f>IF($C$445=0,"",IF('Calc (ex-animal)'!$F$83=1,"",IF(D449="","",VLOOKUP($C$445,'Calc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categories'!$C$157:$AC$166,26,FALSE)/24)*F449/100*VLOOKUP(D449,'DB technologies'!$N$210:$R$222,5,FALSE)/100)))</f>
        <v/>
      </c>
      <c r="AD449" s="267" t="str">
        <f>IF($C$445=0,"",IF('Calc (ex-animal)'!$F$83=1,"",IF(D449="","",VLOOKUP($C$445,'Calc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categories'!$C$157:$AC$166,26,FALSE)/24)*F449/100*VLOOKUP(D449,'DB technologies'!$N$210:$Y$222,6,FALSE)/100)))</f>
        <v/>
      </c>
      <c r="AE449" s="268" t="str">
        <f>IF($C$445=0,"",IF('Calc (ex-animal)'!$F$83=1,"",IF(D449="","",VLOOKUP($C$445,'Calc (ex-animal)'!$D$83:$Y$87,10,FALSE)/VLOOKUP($C$445,'DB animal categories'!$C$157:$AC$166,27,FALSE)*(VLOOKUP($C$445,'DB animal categories'!$C$157:$AC$166,27,FALSE)-VLOOKUP($C$445,'DB animal categories'!$C$157:$AC$166,25,FALSE)*VLOOKUP($C$445,'DB animal categories'!$C$157:$AC$166,26,FALSE)/24)*F449/100*VLOOKUP(D449,'DB technologies'!$N$210:$Y$222,7,FALSE)/100)))</f>
        <v/>
      </c>
      <c r="AI449" s="183" t="str">
        <f>IF(D449="","",VLOOKUP(D449,'DB technologies'!$N$210:$Y$222,10,FALSE))</f>
        <v/>
      </c>
      <c r="AJ449" s="451" t="e">
        <f>VLOOKUP($C$445,'DB animal categories'!$C$157:$AN$166,27,FALSE)-VLOOKUP($C$445,'DB animal categories'!$C$157:$AN$166,26,FALSE)*VLOOKUP($C$445,'DB animal categories'!$C$157:$AN$166,25,FALSE)/24</f>
        <v>#N/A</v>
      </c>
      <c r="AK449" s="452" t="str">
        <f>IF(AI449="","",AL449+AM449)</f>
        <v/>
      </c>
      <c r="AL449" s="452" t="str">
        <f>IF(D449="","",IF(AI449=2,(('Calc (ex-animal)'!$G$86*'DB additional information '!$K$18/100*(1-VLOOKUP(D449,'DB technologies'!$N$210:$Y$222,9,FALSE)/100)*'Calc (ex-housing, ex-storage)'!F449/100+'Calc (ex-animal)'!$H$86*'DB additional information '!$L$18/100*(1-VLOOKUP(D449,'DB technologies'!$N$210:$Y$222,9,FALSE)/100)*'Calc (ex-housing, ex-storage)'!F449/100))/VLOOKUP($C$445,'DB animal categories'!$C$157:$AC$166,27,FALSE)*AJ449+I449+J449+K449,IF(AI449=1,('Calc (ex-animal)'!$H$86*'DB additional information '!$L$18/100*(1-VLOOKUP(D449,'DB technologies'!$N$210:$Y$222,9,FALSE)/100)*'Calc (ex-housing, ex-storage)'!F449/100)/VLOOKUP($C$445,'DB animal categories'!$C$157:$AC$166,27,FALSE)*AJ449,IF(AI449=4,('Calc (ex-animal)'!$G$86*'DB additional information '!$K$18/100+'Calc (ex-animal)'!$H$86*'DB additional information '!$L$18/100)*(1-VLOOKUP(D449,'DB technologies'!$N$210:$Y$222,9,FALSE)/100)*'Calc (ex-housing, ex-storage)'!F449/100*VLOOKUP(D449,'DB technologies'!$N$210:$Y$222,11,FALSE)/100/VLOOKUP($C$445,'DB animal categories'!$C$157:$AC$166,27,FALSE)*AJ449,0))))</f>
        <v/>
      </c>
      <c r="AM449" s="452" t="str">
        <f>IF(D449="","",IF(AI449=2,(('Calc (ex-animal)'!$G$86*(1-'DB additional information '!$K$18/100)*(1-VLOOKUP(D449,'DB technologies'!$N$210:$Y$222,8,FALSE)/100)*'Calc (ex-housing, ex-storage)'!F449/100+'Calc (ex-animal)'!$H$86*(1-'DB additional information '!$L$18/100)*(1-VLOOKUP(D449,'DB technologies'!$N$210:$Y$222,8,FALSE)/100)*'Calc (ex-housing, ex-storage)'!F449/100))/VLOOKUP($C$445,'DB animal categories'!$C$157:$AC$166,27,FALSE)*AJ449+M449+N449+O449,IF(AI449=1,('Calc (ex-animal)'!$H$86*(1-'DB additional information '!$L$18/100)*(1-VLOOKUP(D449,'DB technologies'!$N$210:$Y$222,8,FALSE)/100)*'Calc (ex-housing, ex-storage)'!F449/100)/VLOOKUP($C$445,'DB animal categories'!$C$157:$AC$166,27,FALSE)*AJ449,IF(AI449=4,('Calc (ex-animal)'!$G$86*(1-'DB additional information '!$K$18/100)+'Calc (ex-animal)'!$H$86*(1-'DB additional information '!$L$18/100))*(1-VLOOKUP(D449,'DB technologies'!$N$210:$Y$222,8,FALSE)/100)*'Calc (ex-housing, ex-storage)'!F449/100*VLOOKUP(D449,'DB technologies'!$N$210:$Y$222,11,FALSE)/100/VLOOKUP($C$445,'DB animal categories'!$C$157:$AC$166,27,FALSE)*AJ449,0))))</f>
        <v/>
      </c>
      <c r="AN449" s="452" t="str">
        <f>IF(AI449="","",IF(AL449=0,0,AL449/AK449*100))</f>
        <v/>
      </c>
      <c r="AO449" s="184" t="str">
        <f>IF(D449="","",IF(AI449=2,(('Calc (ex-animal)'!$L$86*'Calc (ex-housing, ex-storage)'!F449/100+'Calc (ex-animal)'!$K$86*'Calc (ex-housing, ex-storage)'!F449/100))/VLOOKUP($C$445,'DB animal categories'!$C$157:$AC$166,27,FALSE)*AJ449+Q449+R449+S449-AC449,IF(AI449=1,('Calc (ex-animal)'!$L$86*'Calc (ex-housing, ex-storage)'!F449/100)/VLOOKUP($C$445,'DB animal categories'!$C$157:$AC$166,27,FALSE)*AJ449-'Calc (ex-housing, ex-storage)'!AC449,IF(AI449=4,('Calc (ex-animal)'!$L$86+'Calc (ex-animal)'!$K$86)*'Calc (ex-housing, ex-storage)'!F449/100*VLOOKUP(D449,'DB technologies'!$N$210:$Y$222,11,FALSE)/100/VLOOKUP($C$445,'DB animal categories'!$C$157:$AC$166,27,FALSE)*AJ449-AC449*VLOOKUP(D449,'DB technologies'!$N$210:$Y$222,11,FALSE)/100,0))))</f>
        <v/>
      </c>
      <c r="AP449" s="184" t="str">
        <f>IF(D449="","",IF(AO449&lt;-0.01,0,IF(AI449=2,(('Calc (ex-animal)'!$L$86*'Calc (ex-housing, ex-storage)'!F449/100+'Calc (ex-animal)'!$K$86*'Calc (ex-housing, ex-storage)'!F449/100))/VLOOKUP($C$445,'DB animal categories'!$C$157:$AC$166,27,FALSE)*AJ449+Q449+R449+S449-AC449,IF(AI449=1,('Calc (ex-animal)'!$L$86*'Calc (ex-housing, ex-storage)'!F449/100)/VLOOKUP($C$445,'DB animal categories'!$C$157:$AC$166,27,FALSE)*AJ449-'Calc (ex-housing, ex-storage)'!AC449,IF(AI449=4,('Calc (ex-animal)'!$L$86+'Calc (ex-animal)'!$K$86)*'Calc (ex-housing, ex-storage)'!F449/100*VLOOKUP(D449,'DB technologies'!$N$210:$Y$222,11,FALSE)/100/VLOOKUP($C$445,'DB animal categories'!$C$157:$AC$166,27,FALSE)*AJ449-AC449*VLOOKUP(D449,'DB technologies'!$N$210:$Y$222,11,FALSE)/100,0)))))</f>
        <v/>
      </c>
      <c r="AQ449" s="184" t="str">
        <f>IF(D449="","",IF(AI449=2,('Calc (ex-animal)'!$O$86*'Calc (ex-housing, ex-storage)'!F449/100+'Calc (ex-animal)'!$N$86*'Calc (ex-housing, ex-storage)'!F449/100)/VLOOKUP($C$445,'DB animal categories'!$C$157:$AC$166,27,FALSE)*AJ449+U449+V449+W449,IF(AI449=1,'Calc (ex-animal)'!$O$86*'Calc (ex-housing, ex-storage)'!F449/100/VLOOKUP($C$445,'DB animal categories'!$C$157:$AC$166,27,FALSE)*AJ449,IF(AI449=4,('Calc (ex-animal)'!$O$86+'Calc (ex-animal)'!$N$86)*'Calc (ex-housing, ex-storage)'!F449/100*VLOOKUP(D449,'DB technologies'!$N$210:$Y$222,11,FALSE)/100/VLOOKUP($C$445,'DB animal categories'!$C$157:$AC$166,27,FALSE)*AJ449,0))))</f>
        <v/>
      </c>
      <c r="AR449" s="184" t="str">
        <f>IF(D449="","",IF(AI449=2,('Calc (ex-animal)'!$R$86*'Calc (ex-housing, ex-storage)'!F449/100+'Calc (ex-animal)'!$Q$86*'Calc (ex-housing, ex-storage)'!F449/100)/VLOOKUP($C$445,'DB animal categories'!$C$157:$AC$166,27,FALSE)*AJ449+Y449+Z449+AA449,IF(AI449=1,'Calc (ex-animal)'!$R$86*'Calc (ex-housing, ex-storage)'!F449/100/VLOOKUP($C$445,'DB animal categories'!$C$157:$AC$166,27,FALSE)*AJ449,IF(AI449=4,('Calc (ex-animal)'!$R$86+'Calc (ex-animal)'!$Q$86)*'Calc (ex-housing, ex-storage)'!F449/100*VLOOKUP(D449,'DB technologies'!$N$210:$Y$222,11,FALSE)/100/VLOOKUP($C$445,'DB animal categories'!$C$157:$AC$166,27,FALSE)*AJ449,0))))</f>
        <v/>
      </c>
      <c r="AS449" s="183" t="str">
        <f>IF(D449="","",VLOOKUP(D449,'DB technologies'!$N$210:$Y$222,10,FALSE))</f>
        <v/>
      </c>
      <c r="AT449" s="452" t="str">
        <f>IF(AS449="","",AU449+AV449)</f>
        <v/>
      </c>
      <c r="AU449" s="452" t="str">
        <f>IF(D449="","",IF(AS449=2,0,IF(AS449=1,'Calc (ex-animal)'!$G$86*'DB additional information '!$K$18/100*(1-VLOOKUP(D449,'DB technologies'!$N$210:$Y$222,8,FALSE)/100)*'Calc (ex-housing, ex-storage)'!F449/100/VLOOKUP($C$445,'DB animal categories'!$C$157:$AC$166,27,FALSE)*AJ449+I449+J449+K449,IF(AS449=5,(('Calc (ex-animal)'!$G$86*'DB additional information '!$K$18/100+'Calc (ex-animal)'!$H$86*'DB additional information '!$L$18/100))*(1-VLOOKUP(D449,'DB technologies'!$N$210:$Y$222,9,FALSE)/100)*'Calc (ex-housing, ex-storage)'!F449/100/VLOOKUP($C$445,'DB animal categories'!$C$157:$AC$166,27,FALSE)*AJ449+I449+J449+K449,IF(AS449=3,('Calc (ex-animal)'!$G$86*'DB additional information '!$K$18/100+'Calc (ex-animal)'!$H$86*'DB additional information '!$L$18/100)*(1-VLOOKUP(D449,'DB technologies'!$N$210:$Y$222,9,FALSE)/100)*'Calc (ex-housing, ex-storage)'!F449/100/VLOOKUP($C$445,'DB animal categories'!$C$157:$AC$166,27,FALSE)*AJ449+I449+J449+K449,IF(AS449=4,('Calc (ex-animal)'!$G$86*'DB additional information '!$K$18/100+'Calc (ex-animal)'!$H$86*'DB additional information '!$L$18/100)*(1-VLOOKUP(D449,'DB technologies'!$N$210:$Y$222,9,FALSE)/100)*'Calc (ex-housing, ex-storage)'!F449/100*VLOOKUP(D449,'DB technologies'!$N$210:$Y$222,12,FALSE)/100/VLOOKUP($C$445,'DB animal categories'!$C$157:$AC$166,27,FALSE)*AJ449+I449+J449+K449,0))))))</f>
        <v/>
      </c>
      <c r="AV449" s="452" t="str">
        <f>IF(D449="","",IF(AS449=2,0,IF(AS449=1,'Calc (ex-animal)'!$G$86*(1-'DB additional information '!$K$18/100)*(1-VLOOKUP(D449,'DB technologies'!$N$210:$Y$222,8,FALSE)/100)*'Calc (ex-housing, ex-storage)'!F449/100/VLOOKUP($C$445,'DB animal categories'!$C$157:$AC$166,27,FALSE)*AJ449+M449+N449+O449,IF(AS449=5,('Calc (ex-animal)'!$G$86*(1-'DB additional information '!$K$18/100)+'Calc (ex-animal)'!$H$86*(1-'DB additional information '!$L$18/100))*(1-VLOOKUP(D449,'DB technologies'!$N$210:$Y$222,8,FALSE)/100)*'Calc (ex-housing, ex-storage)'!F449/100/VLOOKUP($C$445,'DB animal categories'!$C$157:$AC$166,27,FALSE)*AJ449+M449+N449+O449,IF(AS449=3,('Calc (ex-animal)'!$G$86*(1-'DB additional information '!$K$18/100)+'Calc (ex-animal)'!$H$86*(1-'DB additional information '!$L$18/100))*(1-VLOOKUP(D449,'DB technologies'!$N$210:$Y$222,8,FALSE)/100)*'Calc (ex-housing, ex-storage)'!F449/100/VLOOKUP($C$445,'DB animal categories'!$C$157:$AC$166,27,FALSE)*AJ449+M449+N449+O449,IF(AS449=4,('Calc (ex-animal)'!$G$86*(1-'DB additional information '!$K$18/100)+'Calc (ex-animal)'!$H$86*(1-'DB additional information '!$L$18/100))*(1-VLOOKUP(D449,'DB technologies'!$N$210:$Y$222,8,FALSE)/100)*'Calc (ex-housing, ex-storage)'!F449/100*VLOOKUP(D449,'DB technologies'!$N$210:$Y$222,12,FALSE)/100/VLOOKUP($C$445,'DB animal categories'!$C$157:$AC$166,27,FALSE)*AJ449+M449+N449+O449,0))))))</f>
        <v/>
      </c>
      <c r="AW449" s="452" t="str">
        <f>IF(AS449="","",IF(AU449=0,0,AU449/AT449*100))</f>
        <v/>
      </c>
      <c r="AX449" s="184" t="str">
        <f>IF(D449="","",IF(AS449=2,0,IF(AS449=1,'Calc (ex-animal)'!$K$86*'Calc (ex-housing, ex-storage)'!F449/100/VLOOKUP($C$445,'DB animal categories'!$C$157:$AC$166,27,FALSE)*AJ449+Q449+R449+S449,IF(AS449=5,('Calc (ex-animal)'!$K$86+'Calc (ex-animal)'!$L$86)*'Calc (ex-housing, ex-storage)'!F449/100/VLOOKUP($C$445,'DB animal categories'!$C$157:$AC$166,27,FALSE)*AJ449+Q449+R449+S449-'Calc (ex-housing, ex-storage)'!AC449,IF(AS449=3,('Calc (ex-animal)'!$K$86+'Calc (ex-animal)'!$L$86)*'Calc (ex-housing, ex-storage)'!F449/100/VLOOKUP($C$445,'DB animal categories'!$C$157:$AC$166,27,FALSE)*AJ449+Q449+R449+S449-'Calc (ex-housing, ex-storage)'!AC449-AD449-AE449,IF(AI449=4,('Calc (ex-animal)'!$K$86+'Calc (ex-animal)'!$L$86)*'Calc (ex-housing, ex-storage)'!F449/100*VLOOKUP(D449,'DB technologies'!$N$210:$Y$222,12,FALSE)/100/VLOOKUP($C$445,'DB animal categories'!$C$157:$AC$166,27,FALSE)*AJ449+Q449+R449+S449-(VLOOKUP(D449,'DB technologies'!$N$210:$Y$222,12,FALSE)/100*AC449)-AD449-AE449,0))))))</f>
        <v/>
      </c>
      <c r="AY449" s="184" t="str">
        <f>IF(D449="","",IF(AS449=2,0,IF(AS449=1,'Calc (ex-animal)'!$N$86*'Calc (ex-housing, ex-storage)'!F449/100/VLOOKUP($C$445,'DB animal categories'!$C$157:$AC$166,27,FALSE)*AJ449+U449+V449+W449,IF(AS449=5,('Calc (ex-animal)'!$N$86+'Calc (ex-animal)'!$O$86)*'Calc (ex-housing, ex-storage)'!F449/100/VLOOKUP($C$445,'DB animal categories'!$C$157:$AC$166,27,FALSE)*AJ449+U449+V449+W449,IF(AS449=3,('Calc (ex-animal)'!$N$86+'Calc (ex-animal)'!$O$86)*'Calc (ex-housing, ex-storage)'!F449/100/VLOOKUP($C$445,'DB animal categories'!$C$157:$AC$166,27,FALSE)*AJ449+U449+V449+W449,IF(AS449=4,('Calc (ex-animal)'!$N$86+'Calc (ex-animal)'!$O$86)*'Calc (ex-housing, ex-storage)'!F449/100*VLOOKUP(D449,'DB technologies'!$N$210:$Y$222,12,FALSE)/100/VLOOKUP($C$445,'DB animal categories'!$C$157:$AC$166,27,FALSE)*AJ449+U449+V449+W449,0))))))</f>
        <v/>
      </c>
      <c r="AZ449" s="184" t="str">
        <f>IF(D449="","",IF(AS449=2,0,IF(AS449=1,'Calc (ex-animal)'!$Q$86*'Calc (ex-housing, ex-storage)'!F449/100/VLOOKUP($C$445,'DB animal categories'!$C$157:$AC$166,27,FALSE)*AJ449+Y449+Z449+AA449,IF(AS449=5,('Calc (ex-animal)'!$Q$86+'Calc (ex-animal)'!$R$86)*'Calc (ex-housing, ex-storage)'!F449/100/VLOOKUP($C$445,'DB animal categories'!$C$157:$AC$166,27,FALSE)*AJ449+Y449+Z449+AA449,IF(AS449=3,('Calc (ex-animal)'!$Q$86+'Calc (ex-animal)'!$R$86)*'Calc (ex-housing, ex-storage)'!F449/100/VLOOKUP($C$445,'DB animal categories'!$C$157:$AC$166,27,FALSE)*AJ449+Y449+Z449+AA449,IF(AS449=4,('Calc (ex-animal)'!$Q$86+'Calc (ex-animal)'!$R$86)*'Calc (ex-housing, ex-storage)'!F449/100*VLOOKUP(D449,'DB technologies'!$N$210:$Y$222,12,FALSE)/100/VLOOKUP($C$445,'DB animal categories'!$C$157:$AC$166,27,FALSE)*AJ449+Y449+Z449+AA449,0))))))</f>
        <v/>
      </c>
      <c r="BA449" s="506"/>
      <c r="BB449" s="506"/>
      <c r="BC449" s="506"/>
    </row>
    <row r="450" spans="1:55" ht="12" thickBot="1" x14ac:dyDescent="0.25">
      <c r="A450" s="695"/>
      <c r="B450" s="695"/>
      <c r="C450" s="252"/>
      <c r="D450" s="269" t="s">
        <v>58</v>
      </c>
      <c r="E450" s="270">
        <f>IF(F450&lt;=100,SUM(E445:E449),"ERROR")</f>
        <v>0</v>
      </c>
      <c r="F450" s="284">
        <f>IF(SUM(F445:F449) &lt;=100,SUM(F445:F449),"ERROR, SUM&gt;100%")</f>
        <v>0</v>
      </c>
      <c r="G450" s="550">
        <f>IF('Calc (ex-animal)'!$F$83=1,"",SUM(G445:G449))</f>
        <v>0</v>
      </c>
      <c r="H450" s="418">
        <f>IF('Calc (ex-animal)'!$F$8=1,"",SUM(H445:H449))</f>
        <v>0</v>
      </c>
      <c r="I450" s="418">
        <f>IF('Calc (ex-animal)'!$F$8=1,"",SUM(I445:I449))</f>
        <v>0</v>
      </c>
      <c r="J450" s="418">
        <f>IF('Calc (ex-animal)'!$F$8=1,"",SUM(J445:J449))</f>
        <v>0</v>
      </c>
      <c r="K450" s="418">
        <f>IF('Calc (ex-animal)'!$F$8=1,"",SUM(K445:K449))</f>
        <v>0</v>
      </c>
      <c r="L450" s="418">
        <f>IF('Calc (ex-animal)'!$F$8=1,"",SUM(L445:L449))</f>
        <v>0</v>
      </c>
      <c r="M450" s="551"/>
      <c r="N450" s="551"/>
      <c r="O450" s="551"/>
      <c r="P450" s="552">
        <f>IF(G450=0,0,IF('Calc (ex-animal)'!$F$83=1,"",IF(D450="","",SUM(H450:K450)/G450*100)))</f>
        <v>0</v>
      </c>
      <c r="Q450" s="394"/>
      <c r="R450" s="394"/>
      <c r="S450" s="394"/>
      <c r="T450" s="285">
        <f>IF('Calc (ex-animal)'!$F$86=1,"",SUM(T445:T449))</f>
        <v>0</v>
      </c>
      <c r="U450" s="286"/>
      <c r="V450" s="286"/>
      <c r="W450" s="286"/>
      <c r="X450" s="286">
        <f>IF('Calc (ex-animal)'!$F$86=1,"",SUM(X445:X449))</f>
        <v>0</v>
      </c>
      <c r="Y450" s="286"/>
      <c r="Z450" s="286"/>
      <c r="AA450" s="286"/>
      <c r="AB450" s="286">
        <f>IF('Calc (ex-animal)'!$F$86=1,"",SUM(AB445:AB449))</f>
        <v>0</v>
      </c>
      <c r="AC450" s="286">
        <f>IF('Calc (ex-animal)'!$F$86=1,"",SUM(AC445:AC449))</f>
        <v>0</v>
      </c>
      <c r="AD450" s="286">
        <f>IF('Calc (ex-animal)'!$F$86=1,"",SUM(AD445:AD449))</f>
        <v>0</v>
      </c>
      <c r="AE450" s="287">
        <f>IF('Calc (ex-animal)'!$F$86=1,"",SUM(AE445:AE449))</f>
        <v>0</v>
      </c>
    </row>
    <row r="451" spans="1:55" x14ac:dyDescent="0.2">
      <c r="A451" s="695"/>
      <c r="B451" s="695"/>
      <c r="C451" s="250">
        <f>'Calc (ex-animal)'!D87</f>
        <v>0</v>
      </c>
      <c r="D451" s="1355"/>
      <c r="E451" s="1356"/>
      <c r="F451" s="479" t="str">
        <f>IF('Calc (ex-animal)'!$F$83=1,"",IF($C$451=0,"",IF(D451="","",E451/'Calc (ex-animal)'!$E$87*100)))</f>
        <v/>
      </c>
      <c r="G451" s="484" t="str">
        <f>IF($C$451=0,"",IF('Calc (ex-animal)'!$F$83=1,"",IF(D451="","",SUM(H451:O451))))</f>
        <v/>
      </c>
      <c r="H451" s="471" t="str">
        <f>IF('Calc (ex-animal)'!$F$83=1,"",IF(D451="","",(((VLOOKUP($C$451,'Calc (ex-animal)'!$D$83:$Y$87,6,FALSE)-VLOOKUP($C$451,'Calc (ex-animal)'!$D$83:$Y$87,17,FALSE))*F451/100))*VLOOKUP($C$451,'Calc (ex-animal)'!$D$83:$Y$87,7,FALSE)/100*(1-VLOOKUP(D451,'DB technologies'!$N$210:$Y$222,9,FALSE)/100)))</f>
        <v/>
      </c>
      <c r="I451" s="471" t="str">
        <f>IF(D451="","",((VLOOKUP(D451,'DB technologies'!$N$210:$Y$222,2,FALSE)*VLOOKUP($C$451,'DB animal categories'!$C$157:$AC$166,27,FALSE)*E451/1000)/VLOOKUP($C$451,'DB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'!$S$6/100*(1-VLOOKUP(D451,'DB technologies'!$N$210:$Y$222,9,FALSE)/100)))</f>
        <v/>
      </c>
      <c r="J451" s="472" t="str">
        <f>IF(D451="","",((VLOOKUP(D451,'DB technologies'!$N$210:$Y$222,3,FALSE)*VLOOKUP($C$451,'DB animal categories'!$C$157:$AC$166,27,FALSE)*E451/1000)/VLOOKUP($C$451,'DB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'!$S$7/100*(1-VLOOKUP(D451,'DB technologies'!$N$210:$Y$222,9,FALSE)/100)))</f>
        <v/>
      </c>
      <c r="K451" s="472" t="str">
        <f>IF(D451="","",((VLOOKUP(D451,'DB technologies'!$N$210:$Y$222,4,FALSE)*E451*'DB additional information '!$S$8/100*(1-VLOOKUP(D451,'DB technologies'!$N$210:$Y$222,9,FALSE)/100))/VLOOKUP($C$451,'DB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L451" s="471" t="str">
        <f>IF('Calc (ex-animal)'!$F$83=1,"",IF(D451="","",(((VLOOKUP($C$451,'Calc (ex-animal)'!$D$83:$Y$87,6,FALSE)-VLOOKUP($C$451,'Calc (ex-animal)'!$D$83:$Y$87,17,FALSE))*F451/100))*(1-VLOOKUP($C$451,'Calc (ex-animal)'!$D$83:$Y$87,7,FALSE)/100)*(1-VLOOKUP(D451,'DB technologies'!$N$210:$V$222,8,FALSE)/100)))</f>
        <v/>
      </c>
      <c r="M451" s="472" t="str">
        <f>IF(D451="","",((VLOOKUP(D451,'DB technologies'!$N$210:$Y$222,2,FALSE)*VLOOKUP($C$451,'DB animal categories'!$C$157:$AC$166,27,FALSE)*E451/1000)/VLOOKUP($C$451,'DB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'!$S$6/100)*(1-VLOOKUP(D451,'DB technologies'!$N$210:$Y$222,9,FALSE)/100))</f>
        <v/>
      </c>
      <c r="N451" s="472" t="str">
        <f>IF(D451="","",((VLOOKUP(D451,'DB technologies'!$N$210:$Y$222,3,FALSE)*VLOOKUP($C$451,'DB animal categories'!$C$157:$AC$166,27,FALSE)*E451/1000)/VLOOKUP($C$451,'DB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'!$S$7/100)*(1-VLOOKUP(D451,'DB technologies'!$N$210:$Y$222,9,FALSE)/100))</f>
        <v/>
      </c>
      <c r="O451" s="471" t="str">
        <f>IF(D451="","",((VLOOKUP(D451,'DB technologies'!$N$210:$Y$222,4,FALSE)*E451*(1-'DB additional information '!$S$8/100)*(1-VLOOKUP(D451,'DB technologies'!$N$210:$Y$222,8,FALSE)/100))/VLOOKUP($C$451,'DB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P451" s="443" t="str">
        <f>IF(G451=0,0,IF(E451="","",IF(F451="","",IF($C$451=0,"",IF(D451="","",SUM(H451:K451)/G451*100)))))</f>
        <v/>
      </c>
      <c r="Q451" s="473" t="str">
        <f>IF(D451="","",(VLOOKUP(D451,'DB technologies'!$N$210:$Y$222,2,FALSE)*'DB additional information '!$S$6/100*'DB additional information '!$T$6*VLOOKUP($C$451,'DB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R451" s="473" t="str">
        <f>IF(D451="","",(VLOOKUP(D451,'DB technologies'!$N$210:$Y$222,3,FALSE)*'DB additional information '!$S$7/100*'DB additional information '!$T$7*VLOOKUP($C$451,'DB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S451" s="490" t="str">
        <f>IF(D451="","",(VLOOKUP(D451,'DB technologies'!$N$210:$Y$222,4,FALSE)*('DB additional information '!$S$8/100*'DB additional information '!$T$8*E451/1000/1000)))</f>
        <v/>
      </c>
      <c r="T451" s="263" t="str">
        <f>IF($C$451=0,"",IF('Calc (ex-animal)'!$F$83=1,"",IF(D451="","",((VLOOKUP($C$451,'Calc (ex-animal)'!$D$83:$Y$87,10,FALSE)-VLOOKUP($C$451,'Calc (ex-animal)'!$D$83:$Y$87,18,FALSE))*F451/100+Q451+R451+S451)-AC451-AD451-AE451)))</f>
        <v/>
      </c>
      <c r="U451" s="474" t="str">
        <f>IF(D451="","",(VLOOKUP(D451,'DB technologies'!$N$210:$Y$222,2,FALSE)*'DB additional information '!$S$6/100*'DB additional information '!$U$6*VLOOKUP($C$451,'DB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V451" s="420" t="str">
        <f>IF(D451="","",(VLOOKUP(D451,'DB technologies'!$N$210:$Y$222,3,FALSE)*'DB additional information '!$S$7/100*'DB additional information '!$U$7*VLOOKUP($C$451,'DB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W451" s="415" t="str">
        <f>IF(D451="","",(VLOOKUP(D451,'DB technologies'!$N$210:$Y$222,4,FALSE)*('DB additional information '!$S$8/100*'DB additional information '!$U$8*E451/1000/1000)))</f>
        <v/>
      </c>
      <c r="X451" s="259" t="str">
        <f>IF($C$451=0,"",IF('Calc (ex-animal)'!$F$83=1,"",IF(D451="","",((VLOOKUP($C$451,'Calc (ex-animal)'!$D$83:$Y$87,13,FALSE)-VLOOKUP($C$451,'Calc (ex-animal)'!$D$83:$Y$87,19,FALSE))*F451/100+U451+V451+W451))))</f>
        <v/>
      </c>
      <c r="Y451" s="420" t="str">
        <f>IF(D451="","",(VLOOKUP(D451,'DB technologies'!$N$210:$Y$222,2,FALSE)*'DB additional information '!$S$6/100*'DB additional information '!$V$6*VLOOKUP($C$451,'DB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Z451" s="420" t="str">
        <f>IF(D451="","",(VLOOKUP(D451,'DB technologies'!$N$210:$Y$222,3,FALSE)*'DB additional information '!$S$7/100*'DB additional information '!$V$7*VLOOKUP($C$451,'DB animal categories'!$C$157:$AC$166,27,FALSE)*E451/1000/1000)/VLOOKUP($C$451,'DB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AA451" s="420" t="str">
        <f>IF(D451="","",(VLOOKUP(D451,'DB technologies'!$N$210:$Y$222,4,FALSE)*('DB additional information '!$S$8/100*'DB additional information '!$V$8*E451/1000/1000)))</f>
        <v/>
      </c>
      <c r="AB451" s="259" t="str">
        <f>IF($C$451=0,"",IF('Calc (ex-animal)'!$F$83=1,"",IF(D451="","",((VLOOKUP($C$451,'Calc (ex-animal)'!$D$83:$Y$87,16,FALSE)-VLOOKUP($C$451,'Calc (ex-animal)'!$D$83:$Y$87,20,FALSE))*F451/100+Y451+Z451+AA451))))</f>
        <v/>
      </c>
      <c r="AC451" s="259" t="str">
        <f>IF($C$451=0,"",IF('Calc (ex-animal)'!$F$83=1,"",IF(D451="","",VLOOKUP($C$451,'Calc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categories'!$C$157:$AC$166,26,FALSE)/24)*F451/100*VLOOKUP(D451,'DB technologies'!$N$210:$R$222,5,FALSE)/100)))</f>
        <v/>
      </c>
      <c r="AD451" s="259" t="str">
        <f>IF($C$451=0,"",IF('Calc (ex-animal)'!$F$83=1,"",IF(D451="","",VLOOKUP($C$451,'Calc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categories'!$C$157:$AC$166,26,FALSE)/24)*F451/100*VLOOKUP(D451,'DB technologies'!$N$210:$Y$222,6,FALSE)/100)))</f>
        <v/>
      </c>
      <c r="AE451" s="260" t="str">
        <f>IF($C$451=0,"",IF('Calc (ex-animal)'!$F$83=1,"",IF(D451="","",VLOOKUP($C$451,'Calc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categories'!$C$157:$AC$166,26,FALSE)/24)*F451/100*VLOOKUP(D451,'DB technologies'!$N$210:$Y$222,7,FALSE)/100)))</f>
        <v/>
      </c>
      <c r="AI451" s="179" t="str">
        <f>IF(D451="","",VLOOKUP(D451,'DB technologies'!$N$210:$Y$222,10,FALSE))</f>
        <v/>
      </c>
      <c r="AJ451" s="482" t="e">
        <f>VLOOKUP($C$451,'DB animal categories'!$C$157:$AN$166,27,FALSE)-VLOOKUP($C$451,'DB animal categories'!$C$157:$AN$166,26,FALSE)*VLOOKUP($C$451,'DB animal categories'!$C$157:$AN$166,25,FALSE)/24</f>
        <v>#N/A</v>
      </c>
      <c r="AK451" s="453" t="str">
        <f>IF(AI451="","",AL451+AM451)</f>
        <v/>
      </c>
      <c r="AL451" s="453" t="str">
        <f>IF(D451="","",IF(AI451=2,(('Calc (ex-animal)'!$G$87*'DB additional information '!$K$18/100*(1-VLOOKUP(D451,'DB technologies'!$N$210:$Y$222,9,FALSE)/100)*'Calc (ex-housing, ex-storage)'!F451/100+'Calc (ex-animal)'!$H$87*'DB additional information '!$L$18/100*(1-VLOOKUP(D451,'DB technologies'!$N$210:$Y$222,9,FALSE)/100)*'Calc (ex-housing, ex-storage)'!F451/100))/VLOOKUP($C$451,'DB animal categories'!$C$157:$AC$166,27,FALSE)*AJ451+I451+J451+K451,IF(AI451=1,('Calc (ex-animal)'!$H$87*'DB additional information '!$L$18/100*(1-VLOOKUP(D451,'DB technologies'!$N$210:$Y$222,9,FALSE)/100)*'Calc (ex-housing, ex-storage)'!F451/100)/VLOOKUP($C$451,'DB animal categories'!$C$157:$AC$166,27,FALSE)*AJ451,IF(AI451=4,('Calc (ex-animal)'!$G$87*'DB additional information '!$K$18/100+'Calc (ex-animal)'!$H$87*'DB additional information '!$L$18/100)*(1-VLOOKUP(D451,'DB technologies'!$N$210:$Y$222,9,FALSE)/100)*'Calc (ex-housing, ex-storage)'!F451/100*VLOOKUP(D451,'DB technologies'!$N$210:$Y$222,11,FALSE)/100/VLOOKUP($C$451,'DB animal categories'!$C$157:$AC$166,27,FALSE)*AJ451,0))))</f>
        <v/>
      </c>
      <c r="AM451" s="453" t="str">
        <f>IF(D451="","",IF(AI451=2,(('Calc (ex-animal)'!$G$87*(1-'DB additional information '!$K$18/100)*(1-VLOOKUP(D451,'DB technologies'!$N$210:$Y$222,8,FALSE)/100)*'Calc (ex-housing, ex-storage)'!F451/100+'Calc (ex-animal)'!$H$87*(1-'DB additional information '!$L$18/100)*(1-VLOOKUP(D451,'DB technologies'!$N$210:$Y$222,8,FALSE)/100)*'Calc (ex-housing, ex-storage)'!F451/100))/VLOOKUP($C$451,'DB animal categories'!$C$157:$AC$166,27,FALSE)*AJ451+M451+N451+O451,IF(AI451=1,('Calc (ex-animal)'!$H$87*(1-'DB additional information '!$L$18/100)*(1-VLOOKUP(D451,'DB technologies'!$N$210:$Y$222,8,FALSE)/100)*'Calc (ex-housing, ex-storage)'!F451/100)/VLOOKUP($C$451,'DB animal categories'!$C$157:$AC$166,27,FALSE)*AJ451,IF(AI451=4,('Calc (ex-animal)'!$G$87*(1-'DB additional information '!$K$18/100)+'Calc (ex-animal)'!$H$87*(1-'DB additional information '!$L$18/100))*(1-VLOOKUP(D451,'DB technologies'!$N$210:$Y$222,8,FALSE)/100)*'Calc (ex-housing, ex-storage)'!F451/100*VLOOKUP(D451,'DB technologies'!$N$210:$Y$222,11,FALSE)/100/VLOOKUP($C$451,'DB animal categories'!$C$157:$AC$166,27,FALSE)*AJ451,0))))</f>
        <v/>
      </c>
      <c r="AN451" s="453" t="str">
        <f>IF(AI451="","",IF(AL451=0,0,AL451/AK451*100))</f>
        <v/>
      </c>
      <c r="AO451" s="180" t="str">
        <f>IF(D451="","",IF(AI451=2,(('Calc (ex-animal)'!$L$87*'Calc (ex-housing, ex-storage)'!F451/100+'Calc (ex-animal)'!$K$87*'Calc (ex-housing, ex-storage)'!F451/100))/VLOOKUP($C$451,'DB animal categories'!$C$157:$AC$166,27,FALSE)*AJ451+Q451+R451+S451-AC451,IF(AI451=1,('Calc (ex-animal)'!$L$87*'Calc (ex-housing, ex-storage)'!F451/100)/VLOOKUP($C$451,'DB animal categories'!$C$157:$AC$166,27,FALSE)*AJ451-'Calc (ex-housing, ex-storage)'!AC451,IF(AI451=4,('Calc (ex-animal)'!$L$87+'Calc (ex-animal)'!$K$87)*'Calc (ex-housing, ex-storage)'!F451/100*VLOOKUP(D451,'DB technologies'!$N$210:$Y$222,11,FALSE)/100/VLOOKUP($C$451,'DB animal categories'!$C$157:$AC$166,27,FALSE)*AJ451-AC451*VLOOKUP(D451,'DB technologies'!$N$210:$Y$222,11,FALSE)/100,0))))</f>
        <v/>
      </c>
      <c r="AP451" s="180" t="str">
        <f>IF(D451="","",IF(AO451&lt;-0.01,0,IF(AI451=2,(('Calc (ex-animal)'!$L$87*'Calc (ex-housing, ex-storage)'!F451/100+'Calc (ex-animal)'!$K$87*'Calc (ex-housing, ex-storage)'!F451/100))/VLOOKUP($C$451,'DB animal categories'!$C$157:$AC$166,27,FALSE)*AJ451+Q451+R451+S451-AC451,IF(AI451=1,('Calc (ex-animal)'!$L$87*'Calc (ex-housing, ex-storage)'!F451/100)/VLOOKUP($C$451,'DB animal categories'!$C$157:$AC$166,27,FALSE)*AJ451-'Calc (ex-housing, ex-storage)'!AC451,IF(AI451=4,('Calc (ex-animal)'!$L$87+'Calc (ex-animal)'!$K$87)*'Calc (ex-housing, ex-storage)'!F451/100*VLOOKUP(D451,'DB technologies'!$N$210:$Y$222,11,FALSE)/100/VLOOKUP($C$451,'DB animal categories'!$C$157:$AC$166,27,FALSE)*AJ451-AC451*VLOOKUP(D451,'DB technologies'!$N$210:$Y$222,11,FALSE)/100,0)))))</f>
        <v/>
      </c>
      <c r="AQ451" s="180" t="str">
        <f>IF(D451="","",IF(AI451=2,('Calc (ex-animal)'!$O$87*'Calc (ex-housing, ex-storage)'!F451/100+'Calc (ex-animal)'!$N$87*'Calc (ex-housing, ex-storage)'!F451/100)/VLOOKUP($C$451,'DB animal categories'!$C$157:$AC$166,27,FALSE)*AJ451+U451+V451+W451,IF(AI451=1,'Calc (ex-animal)'!$O$87*'Calc (ex-housing, ex-storage)'!F451/100/VLOOKUP($C$451,'DB animal categories'!$C$157:$AC$166,27,FALSE)*AJ451,IF(AI451=4,('Calc (ex-animal)'!$O$87+'Calc (ex-animal)'!$N$87)*'Calc (ex-housing, ex-storage)'!F451/100*VLOOKUP(D451,'DB technologies'!$N$210:$Y$222,11,FALSE)/100/VLOOKUP($C$451,'DB animal categories'!$C$157:$AC$166,27,FALSE)*AJ451,0))))</f>
        <v/>
      </c>
      <c r="AR451" s="180" t="str">
        <f>IF(D451="","",IF(AI451=2,('Calc (ex-animal)'!$R$87*'Calc (ex-housing, ex-storage)'!F451/100+'Calc (ex-animal)'!$Q$87*'Calc (ex-housing, ex-storage)'!F451/100)/VLOOKUP($C$451,'DB animal categories'!$C$157:$AC$166,27,FALSE)*AJ451+Y451+Z451+AA451,IF(AI451=1,'Calc (ex-animal)'!$R$87*'Calc (ex-housing, ex-storage)'!F451/100/VLOOKUP($C$451,'DB animal categories'!$C$157:$AC$166,27,FALSE)*AJ451,IF(AI451=4,('Calc (ex-animal)'!$R$87+'Calc (ex-animal)'!$Q$87)*'Calc (ex-housing, ex-storage)'!F451/100*VLOOKUP(D451,'DB technologies'!$N$210:$Y$222,11,FALSE)/100/VLOOKUP($C$451,'DB animal categories'!$C$157:$AC$166,27,FALSE)*AJ451,0))))</f>
        <v/>
      </c>
      <c r="AS451" s="179" t="str">
        <f>IF(D451="","",VLOOKUP(D451,'DB technologies'!$N$210:$Y$222,10,FALSE))</f>
        <v/>
      </c>
      <c r="AT451" s="453" t="str">
        <f>IF(AS451="","",AU451+AV451)</f>
        <v/>
      </c>
      <c r="AU451" s="453" t="str">
        <f>IF(D451="","",IF(AS451=2,0,IF(AS451=1,'Calc (ex-animal)'!$G$87*'DB additional information '!$K$18/100*(1-VLOOKUP(D451,'DB technologies'!$N$210:$Y$222,8,FALSE)/100)*'Calc (ex-housing, ex-storage)'!F451/100/VLOOKUP($C$451,'DB animal categories'!$C$157:$AC$166,27,FALSE)*AJ451+I451+J451+K451,IF(AS451=5,(('Calc (ex-animal)'!$G$87*'DB additional information '!$K$18/100+'Calc (ex-animal)'!$H$87*'DB additional information '!$L$18/100))*(1-VLOOKUP(D451,'DB technologies'!$N$210:$Y$222,9,FALSE)/100)*'Calc (ex-housing, ex-storage)'!F451/100/VLOOKUP($C$451,'DB animal categories'!$C$157:$AC$166,27,FALSE)*AJ451+I451+J451+K451,IF(AS451=3,('Calc (ex-animal)'!$G$87*'DB additional information '!$K$18/100+'Calc (ex-animal)'!$H$87*'DB additional information '!$L$18/100)*(1-VLOOKUP(D451,'DB technologies'!$N$210:$Y$222,9,FALSE)/100)*'Calc (ex-housing, ex-storage)'!F451/100/VLOOKUP($C$451,'DB animal categories'!$C$157:$AC$166,27,FALSE)*AJ451+I451+J451+K451,IF(AS451=4,('Calc (ex-animal)'!$G$87*'DB additional information '!$K$18/100+'Calc (ex-animal)'!$H$87*'DB additional information '!$L$18/100)*(1-VLOOKUP(D451,'DB technologies'!$N$210:$Y$222,9,FALSE)/100)*'Calc (ex-housing, ex-storage)'!F451/100*VLOOKUP(D451,'DB technologies'!$N$210:$Y$222,12,FALSE)/100/VLOOKUP($C$451,'DB animal categories'!$C$157:$AC$166,27,FALSE)*AJ451+I451+J451+K451,0))))))</f>
        <v/>
      </c>
      <c r="AV451" s="453" t="str">
        <f>IF(D451="","",IF(AS451=2,0,IF(AS451=1,'Calc (ex-animal)'!$G$87*(1-'DB additional information '!$K$18/100)*(1-VLOOKUP(D451,'DB technologies'!$N$210:$Y$222,8,FALSE)/100)*'Calc (ex-housing, ex-storage)'!F451/100/VLOOKUP($C$451,'DB animal categories'!$C$157:$AC$166,27,FALSE)*AJ451+M451+N451+O451,IF(AS451=5,('Calc (ex-animal)'!$G$87*(1-'DB additional information '!$K$18/100)+'Calc (ex-animal)'!$H$87*(1-'DB additional information '!$L$18/100))*(1-VLOOKUP(D451,'DB technologies'!$N$210:$Y$222,8,FALSE)/100)*'Calc (ex-housing, ex-storage)'!F451/100/VLOOKUP($C$451,'DB animal categories'!$C$157:$AC$166,27,FALSE)*AJ451+M451+N451+O451,IF(AS451=3,('Calc (ex-animal)'!$G$87*(1-'DB additional information '!$K$18/100)+'Calc (ex-animal)'!$H$87*(1-'DB additional information '!$L$18/100))*(1-VLOOKUP(D451,'DB technologies'!$N$210:$Y$222,8,FALSE)/100)*'Calc (ex-housing, ex-storage)'!F451/100/VLOOKUP($C$451,'DB animal categories'!$C$157:$AC$166,27,FALSE)*AJ451+M451+N451+O451,IF(AS451=4,('Calc (ex-animal)'!$G$87*(1-'DB additional information '!$K$18/100)+'Calc (ex-animal)'!$H$87*(1-'DB additional information '!$L$18/100))*(1-VLOOKUP(D451,'DB technologies'!$N$210:$Y$222,8,FALSE)/100)*'Calc (ex-housing, ex-storage)'!F451/100*VLOOKUP(D451,'DB technologies'!$N$210:$Y$222,12,FALSE)/100/VLOOKUP($C$451,'DB animal categories'!$C$157:$AC$166,27,FALSE)*AJ451+M451+N451+O451,0))))))</f>
        <v/>
      </c>
      <c r="AW451" s="453" t="str">
        <f>IF(AS451="","",IF(AU451=0,0,AU451/AT451*100))</f>
        <v/>
      </c>
      <c r="AX451" s="180" t="str">
        <f>IF(D451="","",IF(AS451=2,0,IF(AS451=1,'Calc (ex-animal)'!$K$87*'Calc (ex-housing, ex-storage)'!F451/100/VLOOKUP($C$451,'DB animal categories'!$C$157:$AC$166,27,FALSE)*AJ451+Q451+R451+S451,IF(AS451=5,('Calc (ex-animal)'!$K$87+'Calc (ex-animal)'!$L$87)*'Calc (ex-housing, ex-storage)'!F451/100/VLOOKUP($C$451,'DB animal categories'!$C$157:$AC$166,27,FALSE)*AJ451+Q451+R451+S451-'Calc (ex-housing, ex-storage)'!AC451,IF(AS451=3,('Calc (ex-animal)'!$K$87+'Calc (ex-animal)'!$L$87)*'Calc (ex-housing, ex-storage)'!F451/100/VLOOKUP($C$451,'DB animal categories'!$C$157:$AC$166,27,FALSE)*AJ451+Q451+R451+S451-'Calc (ex-housing, ex-storage)'!AC451-AD451-AE451,IF(AI451=4,('Calc (ex-animal)'!$K$87+'Calc (ex-animal)'!$L$87)*'Calc (ex-housing, ex-storage)'!F451/100*VLOOKUP(D451,'DB technologies'!$N$210:$Y$222,12,FALSE)/100/VLOOKUP($C$451,'DB animal categories'!$C$157:$AC$166,27,FALSE)*AJ451+Q451+R451+S451-(VLOOKUP(D451,'DB technologies'!$N$210:$Y$222,12,FALSE)/100*AC451)-AD451-AE451,0))))))</f>
        <v/>
      </c>
      <c r="AY451" s="180" t="str">
        <f>IF(D451="","",IF(AS451=2,0,IF(AS451=1,'Calc (ex-animal)'!$N$87*'Calc (ex-housing, ex-storage)'!F451/100/VLOOKUP($C$451,'DB animal categories'!$C$157:$AC$166,27,FALSE)*AJ451+U451+V451+W451,IF(AS451=5,('Calc (ex-animal)'!$N$87+'Calc (ex-animal)'!$O$87)*'Calc (ex-housing, ex-storage)'!F451/100/VLOOKUP($C$451,'DB animal categories'!$C$157:$AC$166,27,FALSE)*AJ451+U451+V451+W451,IF(AS451=3,('Calc (ex-animal)'!$N$87+'Calc (ex-animal)'!$O$87)*'Calc (ex-housing, ex-storage)'!F451/100/VLOOKUP($C$451,'DB animal categories'!$C$157:$AC$166,27,FALSE)*AJ451+U451+V451+W451,IF(AS451=4,('Calc (ex-animal)'!$N$87+'Calc (ex-animal)'!$O$87)*'Calc (ex-housing, ex-storage)'!F451/100*VLOOKUP(D451,'DB technologies'!$N$210:$Y$222,12,FALSE)/100/VLOOKUP($C$451,'DB animal categories'!$C$157:$AC$166,27,FALSE)*AJ451+U451+V451+W451,0))))))</f>
        <v/>
      </c>
      <c r="AZ451" s="180" t="str">
        <f>IF(D451="","",IF(AS451=2,0,IF(AS451=1,'Calc (ex-animal)'!$Q$87*'Calc (ex-housing, ex-storage)'!F451/100/VLOOKUP($C$451,'DB animal categories'!$C$157:$AC$166,27,FALSE)*AJ451+Y451+Z451+AA451,IF(AS451=5,('Calc (ex-animal)'!$Q$87+'Calc (ex-animal)'!$R$87)*'Calc (ex-housing, ex-storage)'!F451/100/VLOOKUP($C$451,'DB animal categories'!$C$157:$AC$166,27,FALSE)*AJ451+Y451+Z451+AA451,IF(AS451=3,('Calc (ex-animal)'!$Q$87+'Calc (ex-animal)'!$R$87)*'Calc (ex-housing, ex-storage)'!F451/100/VLOOKUP($C$451,'DB animal categories'!$C$157:$AC$166,27,FALSE)*AJ451+Y451+Z451+AA451,IF(AS451=4,('Calc (ex-animal)'!$Q$87+'Calc (ex-animal)'!$R$87)*'Calc (ex-housing, ex-storage)'!F451/100*VLOOKUP(D451,'DB technologies'!$N$210:$Y$222,12,FALSE)/100/VLOOKUP($C$451,'DB animal categories'!$C$157:$AC$166,27,FALSE)*AJ451+Y451+Z451+AA451,0))))))</f>
        <v/>
      </c>
      <c r="BA451" s="506"/>
      <c r="BB451" s="506"/>
      <c r="BC451" s="506"/>
    </row>
    <row r="452" spans="1:55" x14ac:dyDescent="0.2">
      <c r="A452" s="695"/>
      <c r="B452" s="695"/>
      <c r="C452" s="251"/>
      <c r="D452" s="1357"/>
      <c r="E452" s="1358"/>
      <c r="F452" s="480" t="str">
        <f>IF('Calc (ex-animal)'!$F$83=1,"",IF($C$451=0,"",IF(D452="","",E452/'Calc (ex-animal)'!$E$87*100)))</f>
        <v/>
      </c>
      <c r="G452" s="485" t="str">
        <f>IF($C$451=0,"",IF('Calc (ex-animal)'!$F$83=1,"",IF(D452="","",SUM(H452:O452))))</f>
        <v/>
      </c>
      <c r="H452" s="423" t="str">
        <f>IF('Calc (ex-animal)'!$F$83=1,"",IF(D452="","",(((VLOOKUP($C$451,'Calc (ex-animal)'!$D$83:$Y$87,6,FALSE)-VLOOKUP($C$451,'Calc (ex-animal)'!$D$83:$Y$87,17,FALSE))*F452/100))*VLOOKUP($C$451,'Calc (ex-animal)'!$D$83:$Y$87,7,FALSE)/100*(1-VLOOKUP(D452,'DB technologies'!$N$210:$Y$222,9,FALSE)/100)))</f>
        <v/>
      </c>
      <c r="I452" s="423" t="str">
        <f>IF(D452="","",((VLOOKUP(D452,'DB technologies'!$N$210:$Y$222,2,FALSE)*VLOOKUP($C$451,'DB animal categories'!$C$157:$AC$166,27,FALSE)*E452/1000)/VLOOKUP($C$451,'DB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'!$S$6/100*(1-VLOOKUP(D452,'DB technologies'!$N$210:$Y$222,9,FALSE)/100)))</f>
        <v/>
      </c>
      <c r="J452" s="434" t="str">
        <f>IF(D452="","",((VLOOKUP(D452,'DB technologies'!$N$210:$Y$222,3,FALSE)*VLOOKUP($C$451,'DB animal categories'!$C$157:$AC$166,27,FALSE)*E452/1000)/VLOOKUP($C$451,'DB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'!$S$7/100*(1-VLOOKUP(D452,'DB technologies'!$N$210:$Y$222,9,FALSE)/100)))</f>
        <v/>
      </c>
      <c r="K452" s="434" t="str">
        <f>IF(D452="","",((VLOOKUP(D452,'DB technologies'!$N$210:$Y$222,4,FALSE)*E452*'DB additional information '!$S$8/100*(1-VLOOKUP(D452,'DB technologies'!$N$210:$Y$222,9,FALSE)/100))/VLOOKUP($C$451,'DB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L452" s="423" t="str">
        <f>IF('Calc (ex-animal)'!$F$83=1,"",IF(D452="","",(((VLOOKUP($C$451,'Calc (ex-animal)'!$D$83:$Y$87,6,FALSE)-VLOOKUP($C$451,'Calc (ex-animal)'!$D$83:$Y$87,17,FALSE))*F452/100))*(1-VLOOKUP($C$451,'Calc (ex-animal)'!$D$83:$Y$87,7,FALSE)/100)*(1-VLOOKUP(D452,'DB technologies'!$N$210:$V$222,8,FALSE)/100)))</f>
        <v/>
      </c>
      <c r="M452" s="434" t="str">
        <f>IF(D452="","",((VLOOKUP(D452,'DB technologies'!$N$210:$Y$222,2,FALSE)*VLOOKUP($C$451,'DB animal categories'!$C$157:$AC$166,27,FALSE)*E452/1000)/VLOOKUP($C$451,'DB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'!$S$6/100)*(1-VLOOKUP(D452,'DB technologies'!$N$210:$Y$222,9,FALSE)/100))</f>
        <v/>
      </c>
      <c r="N452" s="434" t="str">
        <f>IF(D452="","",((VLOOKUP(D452,'DB technologies'!$N$210:$Y$222,3,FALSE)*VLOOKUP($C$451,'DB animal categories'!$C$157:$AC$166,27,FALSE)*E452/1000)/VLOOKUP($C$451,'DB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'!$S$7/100)*(1-VLOOKUP(D452,'DB technologies'!$N$210:$Y$222,9,FALSE)/100))</f>
        <v/>
      </c>
      <c r="O452" s="423" t="str">
        <f>IF(D452="","",((VLOOKUP(D452,'DB technologies'!$N$210:$Y$222,4,FALSE)*E452*(1-'DB additional information '!$S$8/100)*(1-VLOOKUP(D452,'DB technologies'!$N$210:$Y$222,8,FALSE)/100))/VLOOKUP($C$451,'DB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P452" s="438" t="str">
        <f>IF(G452=0,0,IF(E452="","",IF(F452="","",IF($C$451=0,"",IF(D452="","",SUM(H452:K452)/G452*100)))))</f>
        <v/>
      </c>
      <c r="Q452" s="416" t="str">
        <f>IF(D452="","",(VLOOKUP(D452,'DB technologies'!$N$210:$Y$222,2,FALSE)*'DB additional information '!$S$6/100*'DB additional information '!$T$6*VLOOKUP($C$451,'DB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R452" s="416" t="str">
        <f>IF(D452="","",(VLOOKUP(D452,'DB technologies'!$N$210:$Y$222,3,FALSE)*'DB additional information '!$S$7/100*'DB additional information '!$T$7*VLOOKUP($C$451,'DB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S452" s="491" t="str">
        <f>IF(D452="","",(VLOOKUP(D452,'DB technologies'!$N$210:$Y$222,4,FALSE)*('DB additional information '!$S$8/100*'DB additional information '!$T$8*E452/1000/1000)))</f>
        <v/>
      </c>
      <c r="T452" s="264" t="str">
        <f>IF($C$451=0,"",IF('Calc (ex-animal)'!$F$83=1,"",IF(D452="","",((VLOOKUP($C$451,'Calc (ex-animal)'!$D$83:$Y$87,10,FALSE)-VLOOKUP($C$451,'Calc (ex-animal)'!$D$83:$Y$87,18,FALSE))*F452/100+Q452+R452+S452)-AC452-AD452-AE452)))</f>
        <v/>
      </c>
      <c r="U452" s="422" t="str">
        <f>IF(D452="","",(VLOOKUP(D452,'DB technologies'!$N$210:$Y$222,2,FALSE)*'DB additional information '!$S$6/100*'DB additional information '!$U$6*VLOOKUP($C$451,'DB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V452" s="418" t="str">
        <f>IF(D452="","",(VLOOKUP(D452,'DB technologies'!$N$210:$Y$222,3,FALSE)*'DB additional information '!$S$7/100*'DB additional information '!$U$7*VLOOKUP($C$451,'DB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W452" s="417" t="str">
        <f>IF(D452="","",(VLOOKUP(D452,'DB technologies'!$N$210:$Y$222,4,FALSE)*('DB additional information '!$S$8/100*'DB additional information '!$U$8*E452/1000/1000)))</f>
        <v/>
      </c>
      <c r="X452" s="261" t="str">
        <f>IF($C$451=0,"",IF('Calc (ex-animal)'!$F$83=1,"",IF(D452="","",((VLOOKUP($C$451,'Calc (ex-animal)'!$D$83:$Y$87,13,FALSE)-VLOOKUP($C$451,'Calc (ex-animal)'!$D$83:$Y$87,19,FALSE))*F452/100+U452+V452+W452))))</f>
        <v/>
      </c>
      <c r="Y452" s="418" t="str">
        <f>IF(D452="","",(VLOOKUP(D452,'DB technologies'!$N$210:$Y$222,2,FALSE)*'DB additional information '!$S$6/100*'DB additional information '!$V$6*VLOOKUP($C$451,'DB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Z452" s="418" t="str">
        <f>IF(D452="","",(VLOOKUP(D452,'DB technologies'!$N$210:$Y$222,3,FALSE)*'DB additional information '!$S$7/100*'DB additional information '!$V$7*VLOOKUP($C$451,'DB animal categories'!$C$157:$AC$166,27,FALSE)*E452/1000/1000)/VLOOKUP($C$451,'DB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AA452" s="418" t="str">
        <f>IF(D452="","",(VLOOKUP(D452,'DB technologies'!$N$210:$Y$222,4,FALSE)*('DB additional information '!$S$8/100*'DB additional information '!$V$8*E452/1000/1000)))</f>
        <v/>
      </c>
      <c r="AB452" s="261" t="str">
        <f>IF($C$451=0,"",IF('Calc (ex-animal)'!$F$83=1,"",IF(D452="","",((VLOOKUP($C$451,'Calc (ex-animal)'!$D$83:$Y$87,16,FALSE)-VLOOKUP($C$451,'Calc (ex-animal)'!$D$83:$Y$87,20,FALSE))*F452/100+Y452+Z452+AA452))))</f>
        <v/>
      </c>
      <c r="AC452" s="261" t="str">
        <f>IF($C$451=0,"",IF('Calc (ex-animal)'!$F$83=1,"",IF(D452="","",VLOOKUP($C$451,'Calc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categories'!$C$157:$AC$166,26,FALSE)/24)*F452/100*VLOOKUP(D452,'DB technologies'!$N$210:$R$222,5,FALSE)/100)))</f>
        <v/>
      </c>
      <c r="AD452" s="261" t="str">
        <f>IF($C$451=0,"",IF('Calc (ex-animal)'!$F$83=1,"",IF(D452="","",VLOOKUP($C$451,'Calc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categories'!$C$157:$AC$166,26,FALSE)/24)*F452/100*VLOOKUP(D452,'DB technologies'!$N$210:$Y$222,6,FALSE)/100)))</f>
        <v/>
      </c>
      <c r="AE452" s="262" t="str">
        <f>IF($C$451=0,"",IF('Calc (ex-animal)'!$F$83=1,"",IF(D452="","",VLOOKUP($C$451,'Calc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categories'!$C$157:$AC$166,26,FALSE)/24)*F452/100*VLOOKUP(D452,'DB technologies'!$N$210:$Y$222,7,FALSE)/100)))</f>
        <v/>
      </c>
      <c r="AI452" s="181" t="str">
        <f>IF(D452="","",VLOOKUP(D452,'DB technologies'!$N$210:$Y$222,10,FALSE))</f>
        <v/>
      </c>
      <c r="AJ452" s="449" t="e">
        <f>VLOOKUP($C$451,'DB animal categories'!$C$157:$AN$166,27,FALSE)-VLOOKUP($C$451,'DB animal categories'!$C$157:$AN$166,26,FALSE)*VLOOKUP($C$451,'DB animal categories'!$C$157:$AN$166,25,FALSE)/24</f>
        <v>#N/A</v>
      </c>
      <c r="AK452" s="442" t="str">
        <f>IF(AI452="","",AL452+AM452)</f>
        <v/>
      </c>
      <c r="AL452" s="442" t="str">
        <f>IF(D452="","",IF(AI452=2,(('Calc (ex-animal)'!$G$87*'DB additional information '!$K$18/100*(1-VLOOKUP(D452,'DB technologies'!$N$210:$Y$222,9,FALSE)/100)*'Calc (ex-housing, ex-storage)'!F452/100+'Calc (ex-animal)'!$H$87*'DB additional information '!$L$18/100*(1-VLOOKUP(D452,'DB technologies'!$N$210:$Y$222,9,FALSE)/100)*'Calc (ex-housing, ex-storage)'!F452/100))/VLOOKUP($C$451,'DB animal categories'!$C$157:$AC$166,27,FALSE)*AJ452+I452+J452+K452,IF(AI452=1,('Calc (ex-animal)'!$H$87*'DB additional information '!$L$18/100*(1-VLOOKUP(D452,'DB technologies'!$N$210:$Y$222,9,FALSE)/100)*'Calc (ex-housing, ex-storage)'!F452/100)/VLOOKUP($C$451,'DB animal categories'!$C$157:$AC$166,27,FALSE)*AJ452,IF(AI452=4,('Calc (ex-animal)'!$G$87*'DB additional information '!$K$18/100+'Calc (ex-animal)'!$H$87*'DB additional information '!$L$18/100)*(1-VLOOKUP(D452,'DB technologies'!$N$210:$Y$222,9,FALSE)/100)*'Calc (ex-housing, ex-storage)'!F452/100*VLOOKUP(D452,'DB technologies'!$N$210:$Y$222,11,FALSE)/100/VLOOKUP($C$451,'DB animal categories'!$C$157:$AC$166,27,FALSE)*AJ452,0))))</f>
        <v/>
      </c>
      <c r="AM452" s="442" t="str">
        <f>IF(D452="","",IF(AI452=2,(('Calc (ex-animal)'!$G$87*(1-'DB additional information '!$K$18/100)*(1-VLOOKUP(D452,'DB technologies'!$N$210:$Y$222,8,FALSE)/100)*'Calc (ex-housing, ex-storage)'!F452/100+'Calc (ex-animal)'!$H$87*(1-'DB additional information '!$L$18/100)*(1-VLOOKUP(D452,'DB technologies'!$N$210:$Y$222,8,FALSE)/100)*'Calc (ex-housing, ex-storage)'!F452/100))/VLOOKUP($C$451,'DB animal categories'!$C$157:$AC$166,27,FALSE)*AJ452+M452+N452+O452,IF(AI452=1,('Calc (ex-animal)'!$H$87*(1-'DB additional information '!$L$18/100)*(1-VLOOKUP(D452,'DB technologies'!$N$210:$Y$222,8,FALSE)/100)*'Calc (ex-housing, ex-storage)'!F452/100)/VLOOKUP($C$451,'DB animal categories'!$C$157:$AC$166,27,FALSE)*AJ452,IF(AI452=4,('Calc (ex-animal)'!$G$87*(1-'DB additional information '!$K$18/100)+'Calc (ex-animal)'!$H$87*(1-'DB additional information '!$L$18/100))*(1-VLOOKUP(D452,'DB technologies'!$N$210:$Y$222,8,FALSE)/100)*'Calc (ex-housing, ex-storage)'!F452/100*VLOOKUP(D452,'DB technologies'!$N$210:$Y$222,11,FALSE)/100/VLOOKUP($C$451,'DB animal categories'!$C$157:$AC$166,27,FALSE)*AJ452,0))))</f>
        <v/>
      </c>
      <c r="AN452" s="442" t="str">
        <f>IF(AI452="","",IF(AL452=0,0,AL452/AK452*100))</f>
        <v/>
      </c>
      <c r="AO452" s="182" t="str">
        <f>IF(D452="","",IF(AI452=2,(('Calc (ex-animal)'!$L$87*'Calc (ex-housing, ex-storage)'!F452/100+'Calc (ex-animal)'!$K$87*'Calc (ex-housing, ex-storage)'!F452/100))/VLOOKUP($C$451,'DB animal categories'!$C$157:$AC$166,27,FALSE)*AJ452+Q452+R452+S452-AC452,IF(AI452=1,('Calc (ex-animal)'!$L$87*'Calc (ex-housing, ex-storage)'!F452/100)/VLOOKUP($C$451,'DB animal categories'!$C$157:$AC$166,27,FALSE)*AJ452-'Calc (ex-housing, ex-storage)'!AC452,IF(AI452=4,('Calc (ex-animal)'!$L$87+'Calc (ex-animal)'!$K$87)*'Calc (ex-housing, ex-storage)'!F452/100*VLOOKUP(D452,'DB technologies'!$N$210:$Y$222,11,FALSE)/100/VLOOKUP($C$451,'DB animal categories'!$C$157:$AC$166,27,FALSE)*AJ452-AC452*VLOOKUP(D452,'DB technologies'!$N$210:$Y$222,11,FALSE)/100,0))))</f>
        <v/>
      </c>
      <c r="AP452" s="182" t="str">
        <f>IF(D452="","",IF(AO452&lt;-0.01,0,IF(AI452=2,(('Calc (ex-animal)'!$L$87*'Calc (ex-housing, ex-storage)'!F452/100+'Calc (ex-animal)'!$K$87*'Calc (ex-housing, ex-storage)'!F452/100))/VLOOKUP($C$451,'DB animal categories'!$C$157:$AC$166,27,FALSE)*AJ452+Q452+R452+S452-AC452,IF(AI452=1,('Calc (ex-animal)'!$L$87*'Calc (ex-housing, ex-storage)'!F452/100)/VLOOKUP($C$451,'DB animal categories'!$C$157:$AC$166,27,FALSE)*AJ452-'Calc (ex-housing, ex-storage)'!AC452,IF(AI452=4,('Calc (ex-animal)'!$L$87+'Calc (ex-animal)'!$K$87)*'Calc (ex-housing, ex-storage)'!F452/100*VLOOKUP(D452,'DB technologies'!$N$210:$Y$222,11,FALSE)/100/VLOOKUP($C$451,'DB animal categories'!$C$157:$AC$166,27,FALSE)*AJ452-AC452*VLOOKUP(D452,'DB technologies'!$N$210:$Y$222,11,FALSE)/100,0)))))</f>
        <v/>
      </c>
      <c r="AQ452" s="182" t="str">
        <f>IF(D452="","",IF(AI452=2,('Calc (ex-animal)'!$O$87*'Calc (ex-housing, ex-storage)'!F452/100+'Calc (ex-animal)'!$N$87*'Calc (ex-housing, ex-storage)'!F452/100)/VLOOKUP($C$451,'DB animal categories'!$C$157:$AC$166,27,FALSE)*AJ452+U452+V452+W452,IF(AI452=1,'Calc (ex-animal)'!$O$87*'Calc (ex-housing, ex-storage)'!F452/100/VLOOKUP($C$451,'DB animal categories'!$C$157:$AC$166,27,FALSE)*AJ452,IF(AI452=4,('Calc (ex-animal)'!$O$87+'Calc (ex-animal)'!$N$87)*'Calc (ex-housing, ex-storage)'!F452/100*VLOOKUP(D452,'DB technologies'!$N$210:$Y$222,11,FALSE)/100/VLOOKUP($C$451,'DB animal categories'!$C$157:$AC$166,27,FALSE)*AJ452,0))))</f>
        <v/>
      </c>
      <c r="AR452" s="182" t="str">
        <f>IF(D452="","",IF(AI452=2,('Calc (ex-animal)'!$R$87*'Calc (ex-housing, ex-storage)'!F452/100+'Calc (ex-animal)'!$Q$87*'Calc (ex-housing, ex-storage)'!F452/100)/VLOOKUP($C$451,'DB animal categories'!$C$157:$AC$166,27,FALSE)*AJ452+Y452+Z452+AA452,IF(AI452=1,'Calc (ex-animal)'!$R$87*'Calc (ex-housing, ex-storage)'!F452/100/VLOOKUP($C$451,'DB animal categories'!$C$157:$AC$166,27,FALSE)*AJ452,IF(AI452=4,('Calc (ex-animal)'!$R$87+'Calc (ex-animal)'!$Q$87)*'Calc (ex-housing, ex-storage)'!F452/100*VLOOKUP(D452,'DB technologies'!$N$210:$Y$222,11,FALSE)/100/VLOOKUP($C$451,'DB animal categories'!$C$157:$AC$166,27,FALSE)*AJ452,0))))</f>
        <v/>
      </c>
      <c r="AS452" s="181" t="str">
        <f>IF(D452="","",VLOOKUP(D452,'DB technologies'!$N$210:$Y$222,10,FALSE))</f>
        <v/>
      </c>
      <c r="AT452" s="442" t="str">
        <f>IF(AS452="","",AU452+AV452)</f>
        <v/>
      </c>
      <c r="AU452" s="442" t="str">
        <f>IF(D452="","",IF(AS452=2,0,IF(AS452=1,'Calc (ex-animal)'!$G$87*'DB additional information '!$K$18/100*(1-VLOOKUP(D452,'DB technologies'!$N$210:$Y$222,8,FALSE)/100)*'Calc (ex-housing, ex-storage)'!F452/100/VLOOKUP($C$451,'DB animal categories'!$C$157:$AC$166,27,FALSE)*AJ452+I452+J452+K452,IF(AS452=5,(('Calc (ex-animal)'!$G$87*'DB additional information '!$K$18/100+'Calc (ex-animal)'!$H$87*'DB additional information '!$L$18/100))*(1-VLOOKUP(D452,'DB technologies'!$N$210:$Y$222,9,FALSE)/100)*'Calc (ex-housing, ex-storage)'!F452/100/VLOOKUP($C$451,'DB animal categories'!$C$157:$AC$166,27,FALSE)*AJ452+I452+J452+K452,IF(AS452=3,('Calc (ex-animal)'!$G$87*'DB additional information '!$K$18/100+'Calc (ex-animal)'!$H$87*'DB additional information '!$L$18/100)*(1-VLOOKUP(D452,'DB technologies'!$N$210:$Y$222,9,FALSE)/100)*'Calc (ex-housing, ex-storage)'!F452/100/VLOOKUP($C$451,'DB animal categories'!$C$157:$AC$166,27,FALSE)*AJ452+I452+J452+K452,IF(AS452=4,('Calc (ex-animal)'!$G$87*'DB additional information '!$K$18/100+'Calc (ex-animal)'!$H$87*'DB additional information '!$L$18/100)*(1-VLOOKUP(D452,'DB technologies'!$N$210:$Y$222,9,FALSE)/100)*'Calc (ex-housing, ex-storage)'!F452/100*VLOOKUP(D452,'DB technologies'!$N$210:$Y$222,12,FALSE)/100/VLOOKUP($C$451,'DB animal categories'!$C$157:$AC$166,27,FALSE)*AJ452+I452+J452+K452,0))))))</f>
        <v/>
      </c>
      <c r="AV452" s="442" t="str">
        <f>IF(D452="","",IF(AS452=2,0,IF(AS452=1,'Calc (ex-animal)'!$G$87*(1-'DB additional information '!$K$18/100)*(1-VLOOKUP(D452,'DB technologies'!$N$210:$Y$222,8,FALSE)/100)*'Calc (ex-housing, ex-storage)'!F452/100/VLOOKUP($C$451,'DB animal categories'!$C$157:$AC$166,27,FALSE)*AJ452+M452+N452+O452,IF(AS452=5,('Calc (ex-animal)'!$G$87*(1-'DB additional information '!$K$18/100)+'Calc (ex-animal)'!$H$87*(1-'DB additional information '!$L$18/100))*(1-VLOOKUP(D452,'DB technologies'!$N$210:$Y$222,8,FALSE)/100)*'Calc (ex-housing, ex-storage)'!F452/100/VLOOKUP($C$451,'DB animal categories'!$C$157:$AC$166,27,FALSE)*AJ452+M452+N452+O452,IF(AS452=3,('Calc (ex-animal)'!$G$87*(1-'DB additional information '!$K$18/100)+'Calc (ex-animal)'!$H$87*(1-'DB additional information '!$L$18/100))*(1-VLOOKUP(D452,'DB technologies'!$N$210:$Y$222,8,FALSE)/100)*'Calc (ex-housing, ex-storage)'!F452/100/VLOOKUP($C$451,'DB animal categories'!$C$157:$AC$166,27,FALSE)*AJ452+M452+N452+O452,IF(AS452=4,('Calc (ex-animal)'!$G$87*(1-'DB additional information '!$K$18/100)+'Calc (ex-animal)'!$H$87*(1-'DB additional information '!$L$18/100))*(1-VLOOKUP(D452,'DB technologies'!$N$210:$Y$222,8,FALSE)/100)*'Calc (ex-housing, ex-storage)'!F452/100*VLOOKUP(D452,'DB technologies'!$N$210:$Y$222,12,FALSE)/100/VLOOKUP($C$451,'DB animal categories'!$C$157:$AC$166,27,FALSE)*AJ452+M452+N452+O452,0))))))</f>
        <v/>
      </c>
      <c r="AW452" s="442" t="str">
        <f>IF(AS452="","",IF(AU452=0,0,AU452/AT452*100))</f>
        <v/>
      </c>
      <c r="AX452" s="182" t="str">
        <f>IF(D452="","",IF(AS452=2,0,IF(AS452=1,'Calc (ex-animal)'!$K$87*'Calc (ex-housing, ex-storage)'!F452/100/VLOOKUP($C$451,'DB animal categories'!$C$157:$AC$166,27,FALSE)*AJ452+Q452+R452+S452,IF(AS452=5,('Calc (ex-animal)'!$K$87+'Calc (ex-animal)'!$L$87)*'Calc (ex-housing, ex-storage)'!F452/100/VLOOKUP($C$451,'DB animal categories'!$C$157:$AC$166,27,FALSE)*AJ452+Q452+R452+S452-'Calc (ex-housing, ex-storage)'!AC452,IF(AS452=3,('Calc (ex-animal)'!$K$87+'Calc (ex-animal)'!$L$87)*'Calc (ex-housing, ex-storage)'!F452/100/VLOOKUP($C$451,'DB animal categories'!$C$157:$AC$166,27,FALSE)*AJ452+Q452+R452+S452-'Calc (ex-housing, ex-storage)'!AC452-AD452-AE452,IF(AI452=4,('Calc (ex-animal)'!$K$87+'Calc (ex-animal)'!$L$87)*'Calc (ex-housing, ex-storage)'!F452/100*VLOOKUP(D452,'DB technologies'!$N$210:$Y$222,12,FALSE)/100/VLOOKUP($C$451,'DB animal categories'!$C$157:$AC$166,27,FALSE)*AJ452+Q452+R452+S452-(VLOOKUP(D452,'DB technologies'!$N$210:$Y$222,12,FALSE)/100*AC452)-AD452-AE452,0))))))</f>
        <v/>
      </c>
      <c r="AY452" s="182" t="str">
        <f>IF(D452="","",IF(AS452=2,0,IF(AS452=1,'Calc (ex-animal)'!$N$87*'Calc (ex-housing, ex-storage)'!F452/100/VLOOKUP($C$451,'DB animal categories'!$C$157:$AC$166,27,FALSE)*AJ452+U452+V452+W452,IF(AS452=5,('Calc (ex-animal)'!$N$87+'Calc (ex-animal)'!$O$87)*'Calc (ex-housing, ex-storage)'!F452/100/VLOOKUP($C$451,'DB animal categories'!$C$157:$AC$166,27,FALSE)*AJ452+U452+V452+W452,IF(AS452=3,('Calc (ex-animal)'!$N$87+'Calc (ex-animal)'!$O$87)*'Calc (ex-housing, ex-storage)'!F452/100/VLOOKUP($C$451,'DB animal categories'!$C$157:$AC$166,27,FALSE)*AJ452+U452+V452+W452,IF(AS452=4,('Calc (ex-animal)'!$N$87+'Calc (ex-animal)'!$O$87)*'Calc (ex-housing, ex-storage)'!F452/100*VLOOKUP(D452,'DB technologies'!$N$210:$Y$222,12,FALSE)/100/VLOOKUP($C$451,'DB animal categories'!$C$157:$AC$166,27,FALSE)*AJ452+U452+V452+W452,0))))))</f>
        <v/>
      </c>
      <c r="AZ452" s="182" t="str">
        <f>IF(D452="","",IF(AS452=2,0,IF(AS452=1,'Calc (ex-animal)'!$Q$87*'Calc (ex-housing, ex-storage)'!F452/100/VLOOKUP($C$451,'DB animal categories'!$C$157:$AC$166,27,FALSE)*AJ452+Y452+Z452+AA452,IF(AS452=5,('Calc (ex-animal)'!$Q$87+'Calc (ex-animal)'!$R$87)*'Calc (ex-housing, ex-storage)'!F452/100/VLOOKUP($C$451,'DB animal categories'!$C$157:$AC$166,27,FALSE)*AJ452+Y452+Z452+AA452,IF(AS452=3,('Calc (ex-animal)'!$Q$87+'Calc (ex-animal)'!$R$87)*'Calc (ex-housing, ex-storage)'!F452/100/VLOOKUP($C$451,'DB animal categories'!$C$157:$AC$166,27,FALSE)*AJ452+Y452+Z452+AA452,IF(AS452=4,('Calc (ex-animal)'!$Q$87+'Calc (ex-animal)'!$R$87)*'Calc (ex-housing, ex-storage)'!F452/100*VLOOKUP(D452,'DB technologies'!$N$210:$Y$222,12,FALSE)/100/VLOOKUP($C$451,'DB animal categories'!$C$157:$AC$166,27,FALSE)*AJ452+Y452+Z452+AA452,0))))))</f>
        <v/>
      </c>
      <c r="BA452" s="506"/>
      <c r="BB452" s="506"/>
      <c r="BC452" s="506"/>
    </row>
    <row r="453" spans="1:55" x14ac:dyDescent="0.2">
      <c r="A453" s="695"/>
      <c r="B453" s="695"/>
      <c r="C453" s="251"/>
      <c r="D453" s="1357"/>
      <c r="E453" s="1358"/>
      <c r="F453" s="480" t="str">
        <f>IF('Calc (ex-animal)'!$F$83=1,"",IF($C$451=0,"",IF(D453="","",E453/'Calc (ex-animal)'!$E$87*100)))</f>
        <v/>
      </c>
      <c r="G453" s="485" t="str">
        <f>IF($C$451=0,"",IF('Calc (ex-animal)'!$F$83=1,"",IF(D453="","",SUM(H453:O453))))</f>
        <v/>
      </c>
      <c r="H453" s="423" t="str">
        <f>IF('Calc (ex-animal)'!$F$83=1,"",IF(D453="","",(((VLOOKUP($C$451,'Calc (ex-animal)'!$D$83:$Y$87,6,FALSE)-VLOOKUP($C$451,'Calc (ex-animal)'!$D$83:$Y$87,17,FALSE))*F453/100))*VLOOKUP($C$451,'Calc (ex-animal)'!$D$83:$Y$87,7,FALSE)/100*(1-VLOOKUP(D453,'DB technologies'!$N$210:$Y$222,9,FALSE)/100)))</f>
        <v/>
      </c>
      <c r="I453" s="423" t="str">
        <f>IF(D453="","",((VLOOKUP(D453,'DB technologies'!$N$210:$Y$222,2,FALSE)*VLOOKUP($C$451,'DB animal categories'!$C$157:$AC$166,27,FALSE)*E453/1000)/VLOOKUP($C$451,'DB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'!$S$6/100*(1-VLOOKUP(D453,'DB technologies'!$N$210:$Y$222,9,FALSE)/100)))</f>
        <v/>
      </c>
      <c r="J453" s="434" t="str">
        <f>IF(D453="","",((VLOOKUP(D453,'DB technologies'!$N$210:$Y$222,3,FALSE)*VLOOKUP($C$451,'DB animal categories'!$C$157:$AC$166,27,FALSE)*E453/1000)/VLOOKUP($C$451,'DB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'!$S$7/100*(1-VLOOKUP(D453,'DB technologies'!$N$210:$Y$222,9,FALSE)/100)))</f>
        <v/>
      </c>
      <c r="K453" s="434" t="str">
        <f>IF(D453="","",((VLOOKUP(D453,'DB technologies'!$N$210:$Y$222,4,FALSE)*E453*'DB additional information '!$S$8/100*(1-VLOOKUP(D453,'DB technologies'!$N$210:$Y$222,9,FALSE)/100))/VLOOKUP($C$451,'DB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L453" s="423" t="str">
        <f>IF('Calc (ex-animal)'!$F$83=1,"",IF(D453="","",(((VLOOKUP($C$451,'Calc (ex-animal)'!$D$83:$Y$87,6,FALSE)-VLOOKUP($C$451,'Calc (ex-animal)'!$D$83:$Y$87,17,FALSE))*F453/100))*(1-VLOOKUP($C$451,'Calc (ex-animal)'!$D$83:$Y$87,7,FALSE)/100)*(1-VLOOKUP(D453,'DB technologies'!$N$210:$V$222,8,FALSE)/100)))</f>
        <v/>
      </c>
      <c r="M453" s="434" t="str">
        <f>IF(D453="","",((VLOOKUP(D453,'DB technologies'!$N$210:$Y$222,2,FALSE)*VLOOKUP($C$451,'DB animal categories'!$C$157:$AC$166,27,FALSE)*E453/1000)/VLOOKUP($C$451,'DB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'!$S$6/100)*(1-VLOOKUP(D453,'DB technologies'!$N$210:$Y$222,9,FALSE)/100))</f>
        <v/>
      </c>
      <c r="N453" s="434" t="str">
        <f>IF(D453="","",((VLOOKUP(D453,'DB technologies'!$N$210:$Y$222,3,FALSE)*VLOOKUP($C$451,'DB animal categories'!$C$157:$AC$166,27,FALSE)*E453/1000)/VLOOKUP($C$451,'DB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'!$S$7/100)*(1-VLOOKUP(D453,'DB technologies'!$N$210:$Y$222,9,FALSE)/100))</f>
        <v/>
      </c>
      <c r="O453" s="423" t="str">
        <f>IF(D453="","",((VLOOKUP(D453,'DB technologies'!$N$210:$Y$222,4,FALSE)*E453*(1-'DB additional information '!$S$8/100)*(1-VLOOKUP(D453,'DB technologies'!$N$210:$Y$222,8,FALSE)/100))/VLOOKUP($C$451,'DB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P453" s="438" t="str">
        <f>IF(G453=0,0,IF(E453="","",IF(F453="","",IF($C$451=0,"",IF(D453="","",SUM(H453:K453)/G453*100)))))</f>
        <v/>
      </c>
      <c r="Q453" s="416" t="str">
        <f>IF(D453="","",(VLOOKUP(D453,'DB technologies'!$N$210:$Y$222,2,FALSE)*'DB additional information '!$S$6/100*'DB additional information '!$T$6*VLOOKUP($C$451,'DB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R453" s="416" t="str">
        <f>IF(D453="","",(VLOOKUP(D453,'DB technologies'!$N$210:$Y$222,3,FALSE)*'DB additional information '!$S$7/100*'DB additional information '!$T$7*VLOOKUP($C$451,'DB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S453" s="491" t="str">
        <f>IF(D453="","",(VLOOKUP(D453,'DB technologies'!$N$210:$Y$222,4,FALSE)*('DB additional information '!$S$8/100*'DB additional information '!$T$8*E453/1000/1000)))</f>
        <v/>
      </c>
      <c r="T453" s="264" t="str">
        <f>IF($C$451=0,"",IF('Calc (ex-animal)'!$F$83=1,"",IF(D453="","",((VLOOKUP($C$451,'Calc (ex-animal)'!$D$83:$Y$87,10,FALSE)-VLOOKUP($C$451,'Calc (ex-animal)'!$D$83:$Y$87,18,FALSE))*F453/100+Q453+R453+S453)-AC453-AD453-AE453)))</f>
        <v/>
      </c>
      <c r="U453" s="422" t="str">
        <f>IF(D453="","",(VLOOKUP(D453,'DB technologies'!$N$210:$Y$222,2,FALSE)*'DB additional information '!$S$6/100*'DB additional information '!$U$6*VLOOKUP($C$451,'DB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V453" s="418" t="str">
        <f>IF(D453="","",(VLOOKUP(D453,'DB technologies'!$N$210:$Y$222,3,FALSE)*'DB additional information '!$S$7/100*'DB additional information '!$U$7*VLOOKUP($C$451,'DB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W453" s="417" t="str">
        <f>IF(D453="","",(VLOOKUP(D453,'DB technologies'!$N$210:$Y$222,4,FALSE)*('DB additional information '!$S$8/100*'DB additional information '!$U$8*E453/1000/1000)))</f>
        <v/>
      </c>
      <c r="X453" s="261" t="str">
        <f>IF($C$451=0,"",IF('Calc (ex-animal)'!$F$83=1,"",IF(D453="","",((VLOOKUP($C$451,'Calc (ex-animal)'!$D$83:$Y$87,13,FALSE)-VLOOKUP($C$451,'Calc (ex-animal)'!$D$83:$Y$87,19,FALSE))*F453/100+U453+V453+W453))))</f>
        <v/>
      </c>
      <c r="Y453" s="418" t="str">
        <f>IF(D453="","",(VLOOKUP(D453,'DB technologies'!$N$210:$Y$222,2,FALSE)*'DB additional information '!$S$6/100*'DB additional information '!$V$6*VLOOKUP($C$451,'DB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Z453" s="418" t="str">
        <f>IF(D453="","",(VLOOKUP(D453,'DB technologies'!$N$210:$Y$222,3,FALSE)*'DB additional information '!$S$7/100*'DB additional information '!$V$7*VLOOKUP($C$451,'DB animal categories'!$C$157:$AC$166,27,FALSE)*E453/1000/1000)/VLOOKUP($C$451,'DB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AA453" s="418" t="str">
        <f>IF(D453="","",(VLOOKUP(D453,'DB technologies'!$N$210:$Y$222,4,FALSE)*('DB additional information '!$S$8/100*'DB additional information '!$V$8*E453/1000/1000)))</f>
        <v/>
      </c>
      <c r="AB453" s="261" t="str">
        <f>IF($C$451=0,"",IF('Calc (ex-animal)'!$F$83=1,"",IF(D453="","",((VLOOKUP($C$451,'Calc (ex-animal)'!$D$83:$Y$87,16,FALSE)-VLOOKUP($C$451,'Calc (ex-animal)'!$D$83:$Y$87,20,FALSE))*F453/100+Y453+Z453+AA453))))</f>
        <v/>
      </c>
      <c r="AC453" s="261" t="str">
        <f>IF($C$451=0,"",IF('Calc (ex-animal)'!$F$83=1,"",IF(D453="","",VLOOKUP($C$451,'Calc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categories'!$C$157:$AC$166,26,FALSE)/24)*F453/100*VLOOKUP(D453,'DB technologies'!$N$210:$R$222,5,FALSE)/100)))</f>
        <v/>
      </c>
      <c r="AD453" s="261" t="str">
        <f>IF($C$451=0,"",IF('Calc (ex-animal)'!$F$83=1,"",IF(D453="","",VLOOKUP($C$451,'Calc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categories'!$C$157:$AC$166,26,FALSE)/24)*F453/100*VLOOKUP(D453,'DB technologies'!$N$210:$Y$222,6,FALSE)/100)))</f>
        <v/>
      </c>
      <c r="AE453" s="262" t="str">
        <f>IF($C$451=0,"",IF('Calc (ex-animal)'!$F$83=1,"",IF(D453="","",VLOOKUP($C$451,'Calc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categories'!$C$157:$AC$166,26,FALSE)/24)*F453/100*VLOOKUP(D453,'DB technologies'!$N$210:$Y$222,7,FALSE)/100)))</f>
        <v/>
      </c>
      <c r="AI453" s="181" t="str">
        <f>IF(D453="","",VLOOKUP(D453,'DB technologies'!$N$210:$Y$222,10,FALSE))</f>
        <v/>
      </c>
      <c r="AJ453" s="449" t="e">
        <f>VLOOKUP($C$451,'DB animal categories'!$C$157:$AN$166,27,FALSE)-VLOOKUP($C$451,'DB animal categories'!$C$157:$AN$166,26,FALSE)*VLOOKUP($C$451,'DB animal categories'!$C$157:$AN$166,25,FALSE)/24</f>
        <v>#N/A</v>
      </c>
      <c r="AK453" s="442" t="str">
        <f>IF(AI453="","",AL453+AM453)</f>
        <v/>
      </c>
      <c r="AL453" s="442" t="str">
        <f>IF(D453="","",IF(AI453=2,(('Calc (ex-animal)'!$G$87*'DB additional information '!$K$18/100*(1-VLOOKUP(D453,'DB technologies'!$N$210:$Y$222,9,FALSE)/100)*'Calc (ex-housing, ex-storage)'!F453/100+'Calc (ex-animal)'!$H$87*'DB additional information '!$L$18/100*(1-VLOOKUP(D453,'DB technologies'!$N$210:$Y$222,9,FALSE)/100)*'Calc (ex-housing, ex-storage)'!F453/100))/VLOOKUP($C$451,'DB animal categories'!$C$157:$AC$166,27,FALSE)*AJ453+I453+J453+K453,IF(AI453=1,('Calc (ex-animal)'!$H$87*'DB additional information '!$L$18/100*(1-VLOOKUP(D453,'DB technologies'!$N$210:$Y$222,9,FALSE)/100)*'Calc (ex-housing, ex-storage)'!F453/100)/VLOOKUP($C$451,'DB animal categories'!$C$157:$AC$166,27,FALSE)*AJ453,IF(AI453=4,('Calc (ex-animal)'!$G$87*'DB additional information '!$K$18/100+'Calc (ex-animal)'!$H$87*'DB additional information '!$L$18/100)*(1-VLOOKUP(D453,'DB technologies'!$N$210:$Y$222,9,FALSE)/100)*'Calc (ex-housing, ex-storage)'!F453/100*VLOOKUP(D453,'DB technologies'!$N$210:$Y$222,11,FALSE)/100/VLOOKUP($C$451,'DB animal categories'!$C$157:$AC$166,27,FALSE)*AJ453,0))))</f>
        <v/>
      </c>
      <c r="AM453" s="442" t="str">
        <f>IF(D453="","",IF(AI453=2,(('Calc (ex-animal)'!$G$87*(1-'DB additional information '!$K$18/100)*(1-VLOOKUP(D453,'DB technologies'!$N$210:$Y$222,8,FALSE)/100)*'Calc (ex-housing, ex-storage)'!F453/100+'Calc (ex-animal)'!$H$87*(1-'DB additional information '!$L$18/100)*(1-VLOOKUP(D453,'DB technologies'!$N$210:$Y$222,8,FALSE)/100)*'Calc (ex-housing, ex-storage)'!F453/100))/VLOOKUP($C$451,'DB animal categories'!$C$157:$AC$166,27,FALSE)*AJ453+M453+N453+O453,IF(AI453=1,('Calc (ex-animal)'!$H$87*(1-'DB additional information '!$L$18/100)*(1-VLOOKUP(D453,'DB technologies'!$N$210:$Y$222,8,FALSE)/100)*'Calc (ex-housing, ex-storage)'!F453/100)/VLOOKUP($C$451,'DB animal categories'!$C$157:$AC$166,27,FALSE)*AJ453,IF(AI453=4,('Calc (ex-animal)'!$G$87*(1-'DB additional information '!$K$18/100)+'Calc (ex-animal)'!$H$87*(1-'DB additional information '!$L$18/100))*(1-VLOOKUP(D453,'DB technologies'!$N$210:$Y$222,8,FALSE)/100)*'Calc (ex-housing, ex-storage)'!F453/100*VLOOKUP(D453,'DB technologies'!$N$210:$Y$222,11,FALSE)/100/VLOOKUP($C$451,'DB animal categories'!$C$157:$AC$166,27,FALSE)*AJ453,0))))</f>
        <v/>
      </c>
      <c r="AN453" s="442" t="str">
        <f>IF(AI453="","",IF(AL453=0,0,AL453/AK453*100))</f>
        <v/>
      </c>
      <c r="AO453" s="182" t="str">
        <f>IF(D453="","",IF(AI453=2,(('Calc (ex-animal)'!$L$87*'Calc (ex-housing, ex-storage)'!F453/100+'Calc (ex-animal)'!$K$87*'Calc (ex-housing, ex-storage)'!F453/100))/VLOOKUP($C$451,'DB animal categories'!$C$157:$AC$166,27,FALSE)*AJ453+Q453+R453+S453-AC453,IF(AI453=1,('Calc (ex-animal)'!$L$87*'Calc (ex-housing, ex-storage)'!F453/100)/VLOOKUP($C$451,'DB animal categories'!$C$157:$AC$166,27,FALSE)*AJ453-'Calc (ex-housing, ex-storage)'!AC453,IF(AI453=4,('Calc (ex-animal)'!$L$87+'Calc (ex-animal)'!$K$87)*'Calc (ex-housing, ex-storage)'!F453/100*VLOOKUP(D453,'DB technologies'!$N$210:$Y$222,11,FALSE)/100/VLOOKUP($C$451,'DB animal categories'!$C$157:$AC$166,27,FALSE)*AJ453-AC453*VLOOKUP(D453,'DB technologies'!$N$210:$Y$222,11,FALSE)/100,0))))</f>
        <v/>
      </c>
      <c r="AP453" s="182" t="str">
        <f>IF(D453="","",IF(AO453&lt;-0.01,0,IF(AI453=2,(('Calc (ex-animal)'!$L$87*'Calc (ex-housing, ex-storage)'!F453/100+'Calc (ex-animal)'!$K$87*'Calc (ex-housing, ex-storage)'!F453/100))/VLOOKUP($C$451,'DB animal categories'!$C$157:$AC$166,27,FALSE)*AJ453+Q453+R453+S453-AC453,IF(AI453=1,('Calc (ex-animal)'!$L$87*'Calc (ex-housing, ex-storage)'!F453/100)/VLOOKUP($C$451,'DB animal categories'!$C$157:$AC$166,27,FALSE)*AJ453-'Calc (ex-housing, ex-storage)'!AC453,IF(AI453=4,('Calc (ex-animal)'!$L$87+'Calc (ex-animal)'!$K$87)*'Calc (ex-housing, ex-storage)'!F453/100*VLOOKUP(D453,'DB technologies'!$N$210:$Y$222,11,FALSE)/100/VLOOKUP($C$451,'DB animal categories'!$C$157:$AC$166,27,FALSE)*AJ453-AC453*VLOOKUP(D453,'DB technologies'!$N$210:$Y$222,11,FALSE)/100,0)))))</f>
        <v/>
      </c>
      <c r="AQ453" s="182" t="str">
        <f>IF(D453="","",IF(AI453=2,('Calc (ex-animal)'!$O$87*'Calc (ex-housing, ex-storage)'!F453/100+'Calc (ex-animal)'!$N$87*'Calc (ex-housing, ex-storage)'!F453/100)/VLOOKUP($C$451,'DB animal categories'!$C$157:$AC$166,27,FALSE)*AJ453+U453+V453+W453,IF(AI453=1,'Calc (ex-animal)'!$O$87*'Calc (ex-housing, ex-storage)'!F453/100/VLOOKUP($C$451,'DB animal categories'!$C$157:$AC$166,27,FALSE)*AJ453,IF(AI453=4,('Calc (ex-animal)'!$O$87+'Calc (ex-animal)'!$N$87)*'Calc (ex-housing, ex-storage)'!F453/100*VLOOKUP(D453,'DB technologies'!$N$210:$Y$222,11,FALSE)/100/VLOOKUP($C$451,'DB animal categories'!$C$157:$AC$166,27,FALSE)*AJ453,0))))</f>
        <v/>
      </c>
      <c r="AR453" s="182" t="str">
        <f>IF(D453="","",IF(AI453=2,('Calc (ex-animal)'!$R$87*'Calc (ex-housing, ex-storage)'!F453/100+'Calc (ex-animal)'!$Q$87*'Calc (ex-housing, ex-storage)'!F453/100)/VLOOKUP($C$451,'DB animal categories'!$C$157:$AC$166,27,FALSE)*AJ453+Y453+Z453+AA453,IF(AI453=1,'Calc (ex-animal)'!$R$87*'Calc (ex-housing, ex-storage)'!F453/100/VLOOKUP($C$451,'DB animal categories'!$C$157:$AC$166,27,FALSE)*AJ453,IF(AI453=4,('Calc (ex-animal)'!$R$87+'Calc (ex-animal)'!$Q$87)*'Calc (ex-housing, ex-storage)'!F453/100*VLOOKUP(D453,'DB technologies'!$N$210:$Y$222,11,FALSE)/100/VLOOKUP($C$451,'DB animal categories'!$C$157:$AC$166,27,FALSE)*AJ453,0))))</f>
        <v/>
      </c>
      <c r="AS453" s="181" t="str">
        <f>IF(D453="","",VLOOKUP(D453,'DB technologies'!$N$210:$Y$222,10,FALSE))</f>
        <v/>
      </c>
      <c r="AT453" s="442" t="str">
        <f>IF(AS453="","",AU453+AV453)</f>
        <v/>
      </c>
      <c r="AU453" s="442" t="str">
        <f>IF(D453="","",IF(AS453=2,0,IF(AS453=1,'Calc (ex-animal)'!$G$87*'DB additional information '!$K$18/100*(1-VLOOKUP(D453,'DB technologies'!$N$210:$Y$222,8,FALSE)/100)*'Calc (ex-housing, ex-storage)'!F453/100/VLOOKUP($C$451,'DB animal categories'!$C$157:$AC$166,27,FALSE)*AJ453+I453+J453+K453,IF(AS453=5,(('Calc (ex-animal)'!$G$87*'DB additional information '!$K$18/100+'Calc (ex-animal)'!$H$87*'DB additional information '!$L$18/100))*(1-VLOOKUP(D453,'DB technologies'!$N$210:$Y$222,9,FALSE)/100)*'Calc (ex-housing, ex-storage)'!F453/100/VLOOKUP($C$451,'DB animal categories'!$C$157:$AC$166,27,FALSE)*AJ453+I453+J453+K453,IF(AS453=3,('Calc (ex-animal)'!$G$87*'DB additional information '!$K$18/100+'Calc (ex-animal)'!$H$87*'DB additional information '!$L$18/100)*(1-VLOOKUP(D453,'DB technologies'!$N$210:$Y$222,9,FALSE)/100)*'Calc (ex-housing, ex-storage)'!F453/100/VLOOKUP($C$451,'DB animal categories'!$C$157:$AC$166,27,FALSE)*AJ453+I453+J453+K453,IF(AS453=4,('Calc (ex-animal)'!$G$87*'DB additional information '!$K$18/100+'Calc (ex-animal)'!$H$87*'DB additional information '!$L$18/100)*(1-VLOOKUP(D453,'DB technologies'!$N$210:$Y$222,9,FALSE)/100)*'Calc (ex-housing, ex-storage)'!F453/100*VLOOKUP(D453,'DB technologies'!$N$210:$Y$222,12,FALSE)/100/VLOOKUP($C$451,'DB animal categories'!$C$157:$AC$166,27,FALSE)*AJ453+I453+J453+K453,0))))))</f>
        <v/>
      </c>
      <c r="AV453" s="442" t="str">
        <f>IF(D453="","",IF(AS453=2,0,IF(AS453=1,'Calc (ex-animal)'!$G$87*(1-'DB additional information '!$K$18/100)*(1-VLOOKUP(D453,'DB technologies'!$N$210:$Y$222,8,FALSE)/100)*'Calc (ex-housing, ex-storage)'!F453/100/VLOOKUP($C$451,'DB animal categories'!$C$157:$AC$166,27,FALSE)*AJ453+M453+N453+O453,IF(AS453=5,('Calc (ex-animal)'!$G$87*(1-'DB additional information '!$K$18/100)+'Calc (ex-animal)'!$H$87*(1-'DB additional information '!$L$18/100))*(1-VLOOKUP(D453,'DB technologies'!$N$210:$Y$222,8,FALSE)/100)*'Calc (ex-housing, ex-storage)'!F453/100/VLOOKUP($C$451,'DB animal categories'!$C$157:$AC$166,27,FALSE)*AJ453+M453+N453+O453,IF(AS453=3,('Calc (ex-animal)'!$G$87*(1-'DB additional information '!$K$18/100)+'Calc (ex-animal)'!$H$87*(1-'DB additional information '!$L$18/100))*(1-VLOOKUP(D453,'DB technologies'!$N$210:$Y$222,8,FALSE)/100)*'Calc (ex-housing, ex-storage)'!F453/100/VLOOKUP($C$451,'DB animal categories'!$C$157:$AC$166,27,FALSE)*AJ453+M453+N453+O453,IF(AS453=4,('Calc (ex-animal)'!$G$87*(1-'DB additional information '!$K$18/100)+'Calc (ex-animal)'!$H$87*(1-'DB additional information '!$L$18/100))*(1-VLOOKUP(D453,'DB technologies'!$N$210:$Y$222,8,FALSE)/100)*'Calc (ex-housing, ex-storage)'!F453/100*VLOOKUP(D453,'DB technologies'!$N$210:$Y$222,12,FALSE)/100/VLOOKUP($C$451,'DB animal categories'!$C$157:$AC$166,27,FALSE)*AJ453+M453+N453+O453,0))))))</f>
        <v/>
      </c>
      <c r="AW453" s="442" t="str">
        <f>IF(AS453="","",IF(AU453=0,0,AU453/AT453*100))</f>
        <v/>
      </c>
      <c r="AX453" s="182" t="str">
        <f>IF(D453="","",IF(AS453=2,0,IF(AS453=1,'Calc (ex-animal)'!$K$87*'Calc (ex-housing, ex-storage)'!F453/100/VLOOKUP($C$451,'DB animal categories'!$C$157:$AC$166,27,FALSE)*AJ453+Q453+R453+S453,IF(AS453=5,('Calc (ex-animal)'!$K$87+'Calc (ex-animal)'!$L$87)*'Calc (ex-housing, ex-storage)'!F453/100/VLOOKUP($C$451,'DB animal categories'!$C$157:$AC$166,27,FALSE)*AJ453+Q453+R453+S453-'Calc (ex-housing, ex-storage)'!AC453,IF(AS453=3,('Calc (ex-animal)'!$K$87+'Calc (ex-animal)'!$L$87)*'Calc (ex-housing, ex-storage)'!F453/100/VLOOKUP($C$451,'DB animal categories'!$C$157:$AC$166,27,FALSE)*AJ453+Q453+R453+S453-'Calc (ex-housing, ex-storage)'!AC453-AD453-AE453,IF(AI453=4,('Calc (ex-animal)'!$K$87+'Calc (ex-animal)'!$L$87)*'Calc (ex-housing, ex-storage)'!F453/100*VLOOKUP(D453,'DB technologies'!$N$210:$Y$222,12,FALSE)/100/VLOOKUP($C$451,'DB animal categories'!$C$157:$AC$166,27,FALSE)*AJ453+Q453+R453+S453-(VLOOKUP(D453,'DB technologies'!$N$210:$Y$222,12,FALSE)/100*AC453)-AD453-AE453,0))))))</f>
        <v/>
      </c>
      <c r="AY453" s="182" t="str">
        <f>IF(D453="","",IF(AS453=2,0,IF(AS453=1,'Calc (ex-animal)'!$N$87*'Calc (ex-housing, ex-storage)'!F453/100/VLOOKUP($C$451,'DB animal categories'!$C$157:$AC$166,27,FALSE)*AJ453+U453+V453+W453,IF(AS453=5,('Calc (ex-animal)'!$N$87+'Calc (ex-animal)'!$O$87)*'Calc (ex-housing, ex-storage)'!F453/100/VLOOKUP($C$451,'DB animal categories'!$C$157:$AC$166,27,FALSE)*AJ453+U453+V453+W453,IF(AS453=3,('Calc (ex-animal)'!$N$87+'Calc (ex-animal)'!$O$87)*'Calc (ex-housing, ex-storage)'!F453/100/VLOOKUP($C$451,'DB animal categories'!$C$157:$AC$166,27,FALSE)*AJ453+U453+V453+W453,IF(AS453=4,('Calc (ex-animal)'!$N$87+'Calc (ex-animal)'!$O$87)*'Calc (ex-housing, ex-storage)'!F453/100*VLOOKUP(D453,'DB technologies'!$N$210:$Y$222,12,FALSE)/100/VLOOKUP($C$451,'DB animal categories'!$C$157:$AC$166,27,FALSE)*AJ453+U453+V453+W453,0))))))</f>
        <v/>
      </c>
      <c r="AZ453" s="182" t="str">
        <f>IF(D453="","",IF(AS453=2,0,IF(AS453=1,'Calc (ex-animal)'!$Q$87*'Calc (ex-housing, ex-storage)'!F453/100/VLOOKUP($C$451,'DB animal categories'!$C$157:$AC$166,27,FALSE)*AJ453+Y453+Z453+AA453,IF(AS453=5,('Calc (ex-animal)'!$Q$87+'Calc (ex-animal)'!$R$87)*'Calc (ex-housing, ex-storage)'!F453/100/VLOOKUP($C$451,'DB animal categories'!$C$157:$AC$166,27,FALSE)*AJ453+Y453+Z453+AA453,IF(AS453=3,('Calc (ex-animal)'!$Q$87+'Calc (ex-animal)'!$R$87)*'Calc (ex-housing, ex-storage)'!F453/100/VLOOKUP($C$451,'DB animal categories'!$C$157:$AC$166,27,FALSE)*AJ453+Y453+Z453+AA453,IF(AS453=4,('Calc (ex-animal)'!$Q$87+'Calc (ex-animal)'!$R$87)*'Calc (ex-housing, ex-storage)'!F453/100*VLOOKUP(D453,'DB technologies'!$N$210:$Y$222,12,FALSE)/100/VLOOKUP($C$451,'DB animal categories'!$C$157:$AC$166,27,FALSE)*AJ453+Y453+Z453+AA453,0))))))</f>
        <v/>
      </c>
      <c r="BA453" s="506"/>
      <c r="BB453" s="506"/>
      <c r="BC453" s="506"/>
    </row>
    <row r="454" spans="1:55" x14ac:dyDescent="0.2">
      <c r="A454" s="695"/>
      <c r="B454" s="695"/>
      <c r="C454" s="251"/>
      <c r="D454" s="1357"/>
      <c r="E454" s="1358"/>
      <c r="F454" s="480" t="str">
        <f>IF('Calc (ex-animal)'!$F$83=1,"",IF($C$451=0,"",IF(D454="","",E454/'Calc (ex-animal)'!$E$87*100)))</f>
        <v/>
      </c>
      <c r="G454" s="485" t="str">
        <f>IF($C$451=0,"",IF('Calc (ex-animal)'!$F$83=1,"",IF(D454="","",SUM(H454:O454))))</f>
        <v/>
      </c>
      <c r="H454" s="423" t="str">
        <f>IF('Calc (ex-animal)'!$F$83=1,"",IF(D454="","",(((VLOOKUP($C$451,'Calc (ex-animal)'!$D$83:$Y$87,6,FALSE)-VLOOKUP($C$451,'Calc (ex-animal)'!$D$83:$Y$87,17,FALSE))*F454/100))*VLOOKUP($C$451,'Calc (ex-animal)'!$D$83:$Y$87,7,FALSE)/100*(1-VLOOKUP(D454,'DB technologies'!$N$210:$Y$222,9,FALSE)/100)))</f>
        <v/>
      </c>
      <c r="I454" s="423" t="str">
        <f>IF(D454="","",((VLOOKUP(D454,'DB technologies'!$N$210:$Y$222,2,FALSE)*VLOOKUP($C$451,'DB animal categories'!$C$157:$AC$166,27,FALSE)*E454/1000)/VLOOKUP($C$451,'DB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'!$S$6/100*(1-VLOOKUP(D454,'DB technologies'!$N$210:$Y$222,9,FALSE)/100)))</f>
        <v/>
      </c>
      <c r="J454" s="434" t="str">
        <f>IF(D454="","",((VLOOKUP(D454,'DB technologies'!$N$210:$Y$222,3,FALSE)*VLOOKUP($C$451,'DB animal categories'!$C$157:$AC$166,27,FALSE)*E454/1000)/VLOOKUP($C$451,'DB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'!$S$7/100*(1-VLOOKUP(D454,'DB technologies'!$N$210:$Y$222,9,FALSE)/100)))</f>
        <v/>
      </c>
      <c r="K454" s="434" t="str">
        <f>IF(D454="","",((VLOOKUP(D454,'DB technologies'!$N$210:$Y$222,4,FALSE)*E454*'DB additional information '!$S$8/100*(1-VLOOKUP(D454,'DB technologies'!$N$210:$Y$222,9,FALSE)/100))/VLOOKUP($C$451,'DB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L454" s="423" t="str">
        <f>IF('Calc (ex-animal)'!$F$83=1,"",IF(D454="","",(((VLOOKUP($C$451,'Calc (ex-animal)'!$D$83:$Y$87,6,FALSE)-VLOOKUP($C$451,'Calc (ex-animal)'!$D$83:$Y$87,17,FALSE))*F454/100))*(1-VLOOKUP($C$451,'Calc (ex-animal)'!$D$83:$Y$87,7,FALSE)/100)*(1-VLOOKUP(D454,'DB technologies'!$N$210:$V$222,8,FALSE)/100)))</f>
        <v/>
      </c>
      <c r="M454" s="434" t="str">
        <f>IF(D454="","",((VLOOKUP(D454,'DB technologies'!$N$210:$Y$222,2,FALSE)*VLOOKUP($C$451,'DB animal categories'!$C$157:$AC$166,27,FALSE)*E454/1000)/VLOOKUP($C$451,'DB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'!$S$6/100)*(1-VLOOKUP(D454,'DB technologies'!$N$210:$Y$222,9,FALSE)/100))</f>
        <v/>
      </c>
      <c r="N454" s="434" t="str">
        <f>IF(D454="","",((VLOOKUP(D454,'DB technologies'!$N$210:$Y$222,3,FALSE)*VLOOKUP($C$451,'DB animal categories'!$C$157:$AC$166,27,FALSE)*E454/1000)/VLOOKUP($C$451,'DB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'!$S$7/100)*(1-VLOOKUP(D454,'DB technologies'!$N$210:$Y$222,9,FALSE)/100))</f>
        <v/>
      </c>
      <c r="O454" s="423" t="str">
        <f>IF(D454="","",((VLOOKUP(D454,'DB technologies'!$N$210:$Y$222,4,FALSE)*E454*(1-'DB additional information '!$S$8/100)*(1-VLOOKUP(D454,'DB technologies'!$N$210:$Y$222,8,FALSE)/100))/VLOOKUP($C$451,'DB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P454" s="438" t="str">
        <f>IF(G454=0,0,IF(E454="","",IF(F454="","",IF($C$451=0,"",IF(D454="","",SUM(H454:K454)/G454*100)))))</f>
        <v/>
      </c>
      <c r="Q454" s="416" t="str">
        <f>IF(D454="","",(VLOOKUP(D454,'DB technologies'!$N$210:$Y$222,2,FALSE)*'DB additional information '!$S$6/100*'DB additional information '!$T$6*VLOOKUP($C$451,'DB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R454" s="416" t="str">
        <f>IF(D454="","",(VLOOKUP(D454,'DB technologies'!$N$210:$Y$222,3,FALSE)*'DB additional information '!$S$7/100*'DB additional information '!$T$7*VLOOKUP($C$451,'DB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S454" s="491" t="str">
        <f>IF(D454="","",(VLOOKUP(D454,'DB technologies'!$N$210:$Y$222,4,FALSE)*('DB additional information '!$S$8/100*'DB additional information '!$T$8*E454/1000/1000)))</f>
        <v/>
      </c>
      <c r="T454" s="264" t="str">
        <f>IF($C$451=0,"",IF('Calc (ex-animal)'!$F$83=1,"",IF(D454="","",((VLOOKUP($C$451,'Calc (ex-animal)'!$D$83:$Y$87,10,FALSE)-VLOOKUP($C$451,'Calc (ex-animal)'!$D$83:$Y$87,18,FALSE))*F454/100+Q454+R454+S454)-AC454-AD454-AE454)))</f>
        <v/>
      </c>
      <c r="U454" s="422" t="str">
        <f>IF(D454="","",(VLOOKUP(D454,'DB technologies'!$N$210:$Y$222,2,FALSE)*'DB additional information '!$S$6/100*'DB additional information '!$U$6*VLOOKUP($C$451,'DB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V454" s="418" t="str">
        <f>IF(D454="","",(VLOOKUP(D454,'DB technologies'!$N$210:$Y$222,3,FALSE)*'DB additional information '!$S$7/100*'DB additional information '!$U$7*VLOOKUP($C$451,'DB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W454" s="417" t="str">
        <f>IF(D454="","",(VLOOKUP(D454,'DB technologies'!$N$210:$Y$222,4,FALSE)*('DB additional information '!$S$8/100*'DB additional information '!$U$8*E454/1000/1000)))</f>
        <v/>
      </c>
      <c r="X454" s="261" t="str">
        <f>IF($C$451=0,"",IF('Calc (ex-animal)'!$F$83=1,"",IF(D454="","",((VLOOKUP($C$451,'Calc (ex-animal)'!$D$83:$Y$87,13,FALSE)-VLOOKUP($C$451,'Calc (ex-animal)'!$D$83:$Y$87,19,FALSE))*F454/100+U454+V454+W454))))</f>
        <v/>
      </c>
      <c r="Y454" s="418" t="str">
        <f>IF(D454="","",(VLOOKUP(D454,'DB technologies'!$N$210:$Y$222,2,FALSE)*'DB additional information '!$S$6/100*'DB additional information '!$V$6*VLOOKUP($C$451,'DB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Z454" s="418" t="str">
        <f>IF(D454="","",(VLOOKUP(D454,'DB technologies'!$N$210:$Y$222,3,FALSE)*'DB additional information '!$S$7/100*'DB additional information '!$V$7*VLOOKUP($C$451,'DB animal categories'!$C$157:$AC$166,27,FALSE)*E454/1000/1000)/VLOOKUP($C$451,'DB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AA454" s="418" t="str">
        <f>IF(D454="","",(VLOOKUP(D454,'DB technologies'!$N$210:$Y$222,4,FALSE)*('DB additional information '!$S$8/100*'DB additional information '!$V$8*E454/1000/1000)))</f>
        <v/>
      </c>
      <c r="AB454" s="261" t="str">
        <f>IF($C$451=0,"",IF('Calc (ex-animal)'!$F$83=1,"",IF(D454="","",((VLOOKUP($C$451,'Calc (ex-animal)'!$D$83:$Y$87,16,FALSE)-VLOOKUP($C$451,'Calc (ex-animal)'!$D$83:$Y$87,20,FALSE))*F454/100+Y454+Z454+AA454))))</f>
        <v/>
      </c>
      <c r="AC454" s="261" t="str">
        <f>IF($C$451=0,"",IF('Calc (ex-animal)'!$F$83=1,"",IF(D454="","",VLOOKUP($C$451,'Calc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categories'!$C$157:$AC$166,26,FALSE)/24)*F454/100*VLOOKUP(D454,'DB technologies'!$N$210:$R$222,5,FALSE)/100)))</f>
        <v/>
      </c>
      <c r="AD454" s="261" t="str">
        <f>IF($C$451=0,"",IF('Calc (ex-animal)'!$F$83=1,"",IF(D454="","",VLOOKUP($C$451,'Calc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categories'!$C$157:$AC$166,26,FALSE)/24)*F454/100*VLOOKUP(D454,'DB technologies'!$N$210:$Y$222,6,FALSE)/100)))</f>
        <v/>
      </c>
      <c r="AE454" s="262" t="str">
        <f>IF($C$451=0,"",IF('Calc (ex-animal)'!$F$83=1,"",IF(D454="","",VLOOKUP($C$451,'Calc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categories'!$C$157:$AC$166,26,FALSE)/24)*F454/100*VLOOKUP(D454,'DB technologies'!$N$210:$Y$222,7,FALSE)/100)))</f>
        <v/>
      </c>
      <c r="AI454" s="181" t="str">
        <f>IF(D454="","",VLOOKUP(D454,'DB technologies'!$N$210:$Y$222,10,FALSE))</f>
        <v/>
      </c>
      <c r="AJ454" s="449" t="e">
        <f>VLOOKUP($C$451,'DB animal categories'!$C$157:$AN$166,27,FALSE)-VLOOKUP($C$451,'DB animal categories'!$C$157:$AN$166,26,FALSE)*VLOOKUP($C$451,'DB animal categories'!$C$157:$AN$166,25,FALSE)/24</f>
        <v>#N/A</v>
      </c>
      <c r="AK454" s="442" t="str">
        <f>IF(AI454="","",AL454+AM454)</f>
        <v/>
      </c>
      <c r="AL454" s="442" t="str">
        <f>IF(D454="","",IF(AI454=2,(('Calc (ex-animal)'!$G$87*'DB additional information '!$K$18/100*(1-VLOOKUP(D454,'DB technologies'!$N$210:$Y$222,9,FALSE)/100)*'Calc (ex-housing, ex-storage)'!F454/100+'Calc (ex-animal)'!$H$87*'DB additional information '!$L$18/100*(1-VLOOKUP(D454,'DB technologies'!$N$210:$Y$222,9,FALSE)/100)*'Calc (ex-housing, ex-storage)'!F454/100))/VLOOKUP($C$451,'DB animal categories'!$C$157:$AC$166,27,FALSE)*AJ454+I454+J454+K454,IF(AI454=1,('Calc (ex-animal)'!$H$87*'DB additional information '!$L$18/100*(1-VLOOKUP(D454,'DB technologies'!$N$210:$Y$222,9,FALSE)/100)*'Calc (ex-housing, ex-storage)'!F454/100)/VLOOKUP($C$451,'DB animal categories'!$C$157:$AC$166,27,FALSE)*AJ454,IF(AI454=4,('Calc (ex-animal)'!$G$87*'DB additional information '!$K$18/100+'Calc (ex-animal)'!$H$87*'DB additional information '!$L$18/100)*(1-VLOOKUP(D454,'DB technologies'!$N$210:$Y$222,9,FALSE)/100)*'Calc (ex-housing, ex-storage)'!F454/100*VLOOKUP(D454,'DB technologies'!$N$210:$Y$222,11,FALSE)/100/VLOOKUP($C$451,'DB animal categories'!$C$157:$AC$166,27,FALSE)*AJ454,0))))</f>
        <v/>
      </c>
      <c r="AM454" s="442" t="str">
        <f>IF(D454="","",IF(AI454=2,(('Calc (ex-animal)'!$G$87*(1-'DB additional information '!$K$18/100)*(1-VLOOKUP(D454,'DB technologies'!$N$210:$Y$222,8,FALSE)/100)*'Calc (ex-housing, ex-storage)'!F454/100+'Calc (ex-animal)'!$H$87*(1-'DB additional information '!$L$18/100)*(1-VLOOKUP(D454,'DB technologies'!$N$210:$Y$222,8,FALSE)/100)*'Calc (ex-housing, ex-storage)'!F454/100))/VLOOKUP($C$451,'DB animal categories'!$C$157:$AC$166,27,FALSE)*AJ454+M454+N454+O454,IF(AI454=1,('Calc (ex-animal)'!$H$87*(1-'DB additional information '!$L$18/100)*(1-VLOOKUP(D454,'DB technologies'!$N$210:$Y$222,8,FALSE)/100)*'Calc (ex-housing, ex-storage)'!F454/100)/VLOOKUP($C$451,'DB animal categories'!$C$157:$AC$166,27,FALSE)*AJ454,IF(AI454=4,('Calc (ex-animal)'!$G$87*(1-'DB additional information '!$K$18/100)+'Calc (ex-animal)'!$H$87*(1-'DB additional information '!$L$18/100))*(1-VLOOKUP(D454,'DB technologies'!$N$210:$Y$222,8,FALSE)/100)*'Calc (ex-housing, ex-storage)'!F454/100*VLOOKUP(D454,'DB technologies'!$N$210:$Y$222,11,FALSE)/100/VLOOKUP($C$451,'DB animal categories'!$C$157:$AC$166,27,FALSE)*AJ454,0))))</f>
        <v/>
      </c>
      <c r="AN454" s="442" t="str">
        <f>IF(AI454="","",IF(AL454=0,0,AL454/AK454*100))</f>
        <v/>
      </c>
      <c r="AO454" s="182" t="str">
        <f>IF(D454="","",IF(AI454=2,(('Calc (ex-animal)'!$L$87*'Calc (ex-housing, ex-storage)'!F454/100+'Calc (ex-animal)'!$K$87*'Calc (ex-housing, ex-storage)'!F454/100))/VLOOKUP($C$451,'DB animal categories'!$C$157:$AC$166,27,FALSE)*AJ454+Q454+R454+S454-AC454,IF(AI454=1,('Calc (ex-animal)'!$L$87*'Calc (ex-housing, ex-storage)'!F454/100)/VLOOKUP($C$451,'DB animal categories'!$C$157:$AC$166,27,FALSE)*AJ454-'Calc (ex-housing, ex-storage)'!AC454,IF(AI454=4,('Calc (ex-animal)'!$L$87+'Calc (ex-animal)'!$K$87)*'Calc (ex-housing, ex-storage)'!F454/100*VLOOKUP(D454,'DB technologies'!$N$210:$Y$222,11,FALSE)/100/VLOOKUP($C$451,'DB animal categories'!$C$157:$AC$166,27,FALSE)*AJ454-AC454*VLOOKUP(D454,'DB technologies'!$N$210:$Y$222,11,FALSE)/100,0))))</f>
        <v/>
      </c>
      <c r="AP454" s="182" t="str">
        <f>IF(D454="","",IF(AO454&lt;-0.01,0,IF(AI454=2,(('Calc (ex-animal)'!$L$87*'Calc (ex-housing, ex-storage)'!F454/100+'Calc (ex-animal)'!$K$87*'Calc (ex-housing, ex-storage)'!F454/100))/VLOOKUP($C$451,'DB animal categories'!$C$157:$AC$166,27,FALSE)*AJ454+Q454+R454+S454-AC454,IF(AI454=1,('Calc (ex-animal)'!$L$87*'Calc (ex-housing, ex-storage)'!F454/100)/VLOOKUP($C$451,'DB animal categories'!$C$157:$AC$166,27,FALSE)*AJ454-'Calc (ex-housing, ex-storage)'!AC454,IF(AI454=4,('Calc (ex-animal)'!$L$87+'Calc (ex-animal)'!$K$87)*'Calc (ex-housing, ex-storage)'!F454/100*VLOOKUP(D454,'DB technologies'!$N$210:$Y$222,11,FALSE)/100/VLOOKUP($C$451,'DB animal categories'!$C$157:$AC$166,27,FALSE)*AJ454-AC454*VLOOKUP(D454,'DB technologies'!$N$210:$Y$222,11,FALSE)/100,0)))))</f>
        <v/>
      </c>
      <c r="AQ454" s="182" t="str">
        <f>IF(D454="","",IF(AI454=2,('Calc (ex-animal)'!$O$87*'Calc (ex-housing, ex-storage)'!F454/100+'Calc (ex-animal)'!$N$87*'Calc (ex-housing, ex-storage)'!F454/100)/VLOOKUP($C$451,'DB animal categories'!$C$157:$AC$166,27,FALSE)*AJ454+U454+V454+W454,IF(AI454=1,'Calc (ex-animal)'!$O$87*'Calc (ex-housing, ex-storage)'!F454/100/VLOOKUP($C$451,'DB animal categories'!$C$157:$AC$166,27,FALSE)*AJ454,IF(AI454=4,('Calc (ex-animal)'!$O$87+'Calc (ex-animal)'!$N$87)*'Calc (ex-housing, ex-storage)'!F454/100*VLOOKUP(D454,'DB technologies'!$N$210:$Y$222,11,FALSE)/100/VLOOKUP($C$451,'DB animal categories'!$C$157:$AC$166,27,FALSE)*AJ454,0))))</f>
        <v/>
      </c>
      <c r="AR454" s="182" t="str">
        <f>IF(D454="","",IF(AI454=2,('Calc (ex-animal)'!$R$87*'Calc (ex-housing, ex-storage)'!F454/100+'Calc (ex-animal)'!$Q$87*'Calc (ex-housing, ex-storage)'!F454/100)/VLOOKUP($C$451,'DB animal categories'!$C$157:$AC$166,27,FALSE)*AJ454+Y454+Z454+AA454,IF(AI454=1,'Calc (ex-animal)'!$R$87*'Calc (ex-housing, ex-storage)'!F454/100/VLOOKUP($C$451,'DB animal categories'!$C$157:$AC$166,27,FALSE)*AJ454,IF(AI454=4,('Calc (ex-animal)'!$R$87+'Calc (ex-animal)'!$Q$87)*'Calc (ex-housing, ex-storage)'!F454/100*VLOOKUP(D454,'DB technologies'!$N$210:$Y$222,11,FALSE)/100/VLOOKUP($C$451,'DB animal categories'!$C$157:$AC$166,27,FALSE)*AJ454,0))))</f>
        <v/>
      </c>
      <c r="AS454" s="181" t="str">
        <f>IF(D454="","",VLOOKUP(D454,'DB technologies'!$N$210:$Y$222,10,FALSE))</f>
        <v/>
      </c>
      <c r="AT454" s="442" t="str">
        <f>IF(AS454="","",AU454+AV454)</f>
        <v/>
      </c>
      <c r="AU454" s="442" t="str">
        <f>IF(D454="","",IF(AS454=2,0,IF(AS454=1,'Calc (ex-animal)'!$G$87*'DB additional information '!$K$18/100*(1-VLOOKUP(D454,'DB technologies'!$N$210:$Y$222,8,FALSE)/100)*'Calc (ex-housing, ex-storage)'!F454/100/VLOOKUP($C$451,'DB animal categories'!$C$157:$AC$166,27,FALSE)*AJ454+I454+J454+K454,IF(AS454=5,(('Calc (ex-animal)'!$G$87*'DB additional information '!$K$18/100+'Calc (ex-animal)'!$H$87*'DB additional information '!$L$18/100))*(1-VLOOKUP(D454,'DB technologies'!$N$210:$Y$222,9,FALSE)/100)*'Calc (ex-housing, ex-storage)'!F454/100/VLOOKUP($C$451,'DB animal categories'!$C$157:$AC$166,27,FALSE)*AJ454+I454+J454+K454,IF(AS454=3,('Calc (ex-animal)'!$G$87*'DB additional information '!$K$18/100+'Calc (ex-animal)'!$H$87*'DB additional information '!$L$18/100)*(1-VLOOKUP(D454,'DB technologies'!$N$210:$Y$222,9,FALSE)/100)*'Calc (ex-housing, ex-storage)'!F454/100/VLOOKUP($C$451,'DB animal categories'!$C$157:$AC$166,27,FALSE)*AJ454+I454+J454+K454,IF(AS454=4,('Calc (ex-animal)'!$G$87*'DB additional information '!$K$18/100+'Calc (ex-animal)'!$H$87*'DB additional information '!$L$18/100)*(1-VLOOKUP(D454,'DB technologies'!$N$210:$Y$222,9,FALSE)/100)*'Calc (ex-housing, ex-storage)'!F454/100*VLOOKUP(D454,'DB technologies'!$N$210:$Y$222,12,FALSE)/100/VLOOKUP($C$451,'DB animal categories'!$C$157:$AC$166,27,FALSE)*AJ454+I454+J454+K454,0))))))</f>
        <v/>
      </c>
      <c r="AV454" s="442" t="str">
        <f>IF(D454="","",IF(AS454=2,0,IF(AS454=1,'Calc (ex-animal)'!$G$87*(1-'DB additional information '!$K$18/100)*(1-VLOOKUP(D454,'DB technologies'!$N$210:$Y$222,8,FALSE)/100)*'Calc (ex-housing, ex-storage)'!F454/100/VLOOKUP($C$451,'DB animal categories'!$C$157:$AC$166,27,FALSE)*AJ454+M454+N454+O454,IF(AS454=5,('Calc (ex-animal)'!$G$87*(1-'DB additional information '!$K$18/100)+'Calc (ex-animal)'!$H$87*(1-'DB additional information '!$L$18/100))*(1-VLOOKUP(D454,'DB technologies'!$N$210:$Y$222,8,FALSE)/100)*'Calc (ex-housing, ex-storage)'!F454/100/VLOOKUP($C$451,'DB animal categories'!$C$157:$AC$166,27,FALSE)*AJ454+M454+N454+O454,IF(AS454=3,('Calc (ex-animal)'!$G$87*(1-'DB additional information '!$K$18/100)+'Calc (ex-animal)'!$H$87*(1-'DB additional information '!$L$18/100))*(1-VLOOKUP(D454,'DB technologies'!$N$210:$Y$222,8,FALSE)/100)*'Calc (ex-housing, ex-storage)'!F454/100/VLOOKUP($C$451,'DB animal categories'!$C$157:$AC$166,27,FALSE)*AJ454+M454+N454+O454,IF(AS454=4,('Calc (ex-animal)'!$G$87*(1-'DB additional information '!$K$18/100)+'Calc (ex-animal)'!$H$87*(1-'DB additional information '!$L$18/100))*(1-VLOOKUP(D454,'DB technologies'!$N$210:$Y$222,8,FALSE)/100)*'Calc (ex-housing, ex-storage)'!F454/100*VLOOKUP(D454,'DB technologies'!$N$210:$Y$222,12,FALSE)/100/VLOOKUP($C$451,'DB animal categories'!$C$157:$AC$166,27,FALSE)*AJ454+M454+N454+O454,0))))))</f>
        <v/>
      </c>
      <c r="AW454" s="442" t="str">
        <f>IF(AS454="","",IF(AU454=0,0,AU454/AT454*100))</f>
        <v/>
      </c>
      <c r="AX454" s="182" t="str">
        <f>IF(D454="","",IF(AS454=2,0,IF(AS454=1,'Calc (ex-animal)'!$K$87*'Calc (ex-housing, ex-storage)'!F454/100/VLOOKUP($C$451,'DB animal categories'!$C$157:$AC$166,27,FALSE)*AJ454+Q454+R454+S454,IF(AS454=5,('Calc (ex-animal)'!$K$87+'Calc (ex-animal)'!$L$87)*'Calc (ex-housing, ex-storage)'!F454/100/VLOOKUP($C$451,'DB animal categories'!$C$157:$AC$166,27,FALSE)*AJ454+Q454+R454+S454-'Calc (ex-housing, ex-storage)'!AC454,IF(AS454=3,('Calc (ex-animal)'!$K$87+'Calc (ex-animal)'!$L$87)*'Calc (ex-housing, ex-storage)'!F454/100/VLOOKUP($C$451,'DB animal categories'!$C$157:$AC$166,27,FALSE)*AJ454+Q454+R454+S454-'Calc (ex-housing, ex-storage)'!AC454-AD454-AE454,IF(AI454=4,('Calc (ex-animal)'!$K$87+'Calc (ex-animal)'!$L$87)*'Calc (ex-housing, ex-storage)'!F454/100*VLOOKUP(D454,'DB technologies'!$N$210:$Y$222,12,FALSE)/100/VLOOKUP($C$451,'DB animal categories'!$C$157:$AC$166,27,FALSE)*AJ454+Q454+R454+S454-(VLOOKUP(D454,'DB technologies'!$N$210:$Y$222,12,FALSE)/100*AC454)-AD454-AE454,0))))))</f>
        <v/>
      </c>
      <c r="AY454" s="182" t="str">
        <f>IF(D454="","",IF(AS454=2,0,IF(AS454=1,'Calc (ex-animal)'!$N$87*'Calc (ex-housing, ex-storage)'!F454/100/VLOOKUP($C$451,'DB animal categories'!$C$157:$AC$166,27,FALSE)*AJ454+U454+V454+W454,IF(AS454=5,('Calc (ex-animal)'!$N$87+'Calc (ex-animal)'!$O$87)*'Calc (ex-housing, ex-storage)'!F454/100/VLOOKUP($C$451,'DB animal categories'!$C$157:$AC$166,27,FALSE)*AJ454+U454+V454+W454,IF(AS454=3,('Calc (ex-animal)'!$N$87+'Calc (ex-animal)'!$O$87)*'Calc (ex-housing, ex-storage)'!F454/100/VLOOKUP($C$451,'DB animal categories'!$C$157:$AC$166,27,FALSE)*AJ454+U454+V454+W454,IF(AS454=4,('Calc (ex-animal)'!$N$87+'Calc (ex-animal)'!$O$87)*'Calc (ex-housing, ex-storage)'!F454/100*VLOOKUP(D454,'DB technologies'!$N$210:$Y$222,12,FALSE)/100/VLOOKUP($C$451,'DB animal categories'!$C$157:$AC$166,27,FALSE)*AJ454+U454+V454+W454,0))))))</f>
        <v/>
      </c>
      <c r="AZ454" s="182" t="str">
        <f>IF(D454="","",IF(AS454=2,0,IF(AS454=1,'Calc (ex-animal)'!$Q$87*'Calc (ex-housing, ex-storage)'!F454/100/VLOOKUP($C$451,'DB animal categories'!$C$157:$AC$166,27,FALSE)*AJ454+Y454+Z454+AA454,IF(AS454=5,('Calc (ex-animal)'!$Q$87+'Calc (ex-animal)'!$R$87)*'Calc (ex-housing, ex-storage)'!F454/100/VLOOKUP($C$451,'DB animal categories'!$C$157:$AC$166,27,FALSE)*AJ454+Y454+Z454+AA454,IF(AS454=3,('Calc (ex-animal)'!$Q$87+'Calc (ex-animal)'!$R$87)*'Calc (ex-housing, ex-storage)'!F454/100/VLOOKUP($C$451,'DB animal categories'!$C$157:$AC$166,27,FALSE)*AJ454+Y454+Z454+AA454,IF(AS454=4,('Calc (ex-animal)'!$Q$87+'Calc (ex-animal)'!$R$87)*'Calc (ex-housing, ex-storage)'!F454/100*VLOOKUP(D454,'DB technologies'!$N$210:$Y$222,12,FALSE)/100/VLOOKUP($C$451,'DB animal categories'!$C$157:$AC$166,27,FALSE)*AJ454+Y454+Z454+AA454,0))))))</f>
        <v/>
      </c>
      <c r="BA454" s="506"/>
      <c r="BB454" s="506"/>
      <c r="BC454" s="506"/>
    </row>
    <row r="455" spans="1:55" ht="12" thickBot="1" x14ac:dyDescent="0.25">
      <c r="A455" s="695"/>
      <c r="B455" s="695"/>
      <c r="C455" s="251"/>
      <c r="D455" s="1359"/>
      <c r="E455" s="1360"/>
      <c r="F455" s="481" t="str">
        <f>IF('Calc (ex-animal)'!$F$83=1,"",IF($C$451=0,"",IF(D455="","",E455/'Calc (ex-animal)'!$E$87*100)))</f>
        <v/>
      </c>
      <c r="G455" s="483" t="str">
        <f>IF($C$451=0,"",IF('Calc (ex-animal)'!$F$83=1,"",IF(D455="","",SUM(H455:O455))))</f>
        <v/>
      </c>
      <c r="H455" s="445" t="str">
        <f>IF('Calc (ex-animal)'!$F$83=1,"",IF(D455="","",(((VLOOKUP($C$451,'Calc (ex-animal)'!$D$83:$Y$87,6,FALSE)-VLOOKUP($C$451,'Calc (ex-animal)'!$D$83:$Y$87,17,FALSE))*F455/100))*VLOOKUP($C$451,'Calc (ex-animal)'!$D$83:$Y$87,7,FALSE)/100*(1-VLOOKUP(D455,'DB technologies'!$N$210:$Y$222,9,FALSE)/100)))</f>
        <v/>
      </c>
      <c r="I455" s="445" t="str">
        <f>IF(D455="","",((VLOOKUP(D455,'DB technologies'!$N$210:$Y$222,2,FALSE)*VLOOKUP($C$451,'DB animal categories'!$C$157:$AC$166,27,FALSE)*E455/1000)/VLOOKUP($C$451,'DB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'!$S$6/100*(1-VLOOKUP(D455,'DB technologies'!$N$210:$Y$222,9,FALSE)/100)))</f>
        <v/>
      </c>
      <c r="J455" s="446" t="str">
        <f>IF(D455="","",((VLOOKUP(D455,'DB technologies'!$N$210:$Y$222,3,FALSE)*VLOOKUP($C$451,'DB animal categories'!$C$157:$AC$166,27,FALSE)*E455/1000)/VLOOKUP($C$451,'DB animal categories'!$C$157:$AC$166,27,FALSE)*(VLOOKUP($C$451,'DB animal categories'!$C$157:$AC$166,27,FALSE)-(VLOOKUP($C$451,'DB animal categories'!$C$157:$AC$166,25,FALSE)*VLOOKUP($C$451,'DB animal categories'!$C$157:$AC$166,26,FALSE)/24))*'DB additional information '!$S$7/100*(1-VLOOKUP(D455,'DB technologies'!$N$210:$Y$222,9,FALSE)/100)))</f>
        <v/>
      </c>
      <c r="K455" s="446" t="str">
        <f>IF(D455="","",((VLOOKUP(D455,'DB technologies'!$N$210:$Y$222,4,FALSE)*E455*'DB additional information '!$S$8/100*(1-VLOOKUP(D455,'DB technologies'!$N$210:$Y$222,9,FALSE)/100))/VLOOKUP($C$451,'DB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L455" s="445" t="str">
        <f>IF('Calc (ex-animal)'!$F$83=1,"",IF(D455="","",(((VLOOKUP($C$451,'Calc (ex-animal)'!$D$83:$Y$87,6,FALSE)-VLOOKUP($C$451,'Calc (ex-animal)'!$D$83:$Y$87,17,FALSE))*F455/100))*(1-VLOOKUP($C$451,'Calc (ex-animal)'!$D$83:$Y$87,7,FALSE)/100)*(1-VLOOKUP(D455,'DB technologies'!$N$210:$V$222,8,FALSE)/100)))</f>
        <v/>
      </c>
      <c r="M455" s="446" t="str">
        <f>IF(D455="","",((VLOOKUP(D455,'DB technologies'!$N$210:$Y$222,2,FALSE)*VLOOKUP($C$451,'DB animal categories'!$C$157:$AC$166,27,FALSE)*E455/1000)/VLOOKUP($C$451,'DB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'!$S$6/100)*(1-VLOOKUP(D455,'DB technologies'!$N$210:$Y$222,9,FALSE)/100))</f>
        <v/>
      </c>
      <c r="N455" s="446" t="str">
        <f>IF(D455="","",((VLOOKUP(D455,'DB technologies'!$N$210:$Y$222,3,FALSE)*VLOOKUP($C$451,'DB animal categories'!$C$157:$AC$166,27,FALSE)*E455/1000)/VLOOKUP($C$451,'DB animal categories'!$C$157:$AC$166,27,FALSE)*(VLOOKUP($C$451,'DB animal categories'!$C$157:$AC$166,27,FALSE)-VLOOKUP($C$451,'DB animal categories'!$C$157:$AC$166,25,FALSE)*VLOOKUP($C$451,'DB animal categories'!$C$157:$AC$166,26,FALSE)/24))*(1-'DB additional information '!$S$7/100)*(1-VLOOKUP(D455,'DB technologies'!$N$210:$Y$222,9,FALSE)/100))</f>
        <v/>
      </c>
      <c r="O455" s="445" t="str">
        <f>IF(D455="","",((VLOOKUP(D455,'DB technologies'!$N$210:$Y$222,4,FALSE)*E455*(1-'DB additional information '!$S$8/100)*(1-VLOOKUP(D455,'DB technologies'!$N$210:$Y$222,8,FALSE)/100))/VLOOKUP($C$451,'DB animal categories'!$C$157:$AC$166,27,FALSE)*(VLOOKUP($C$451,'DB animal categories'!$C$157:$AC$166,27,FALSE)-VLOOKUP($C$451,'DB animal categories'!$C$157:$AC$166,25,FALSE)*VLOOKUP($C$451,'DB animal categories'!$C$157:$AC$166,26,FALSE)/24)))</f>
        <v/>
      </c>
      <c r="P455" s="444" t="str">
        <f>IF(G455=0,0,IF(E455="","",IF(F455="","",IF($C$451=0,"",IF(D455="","",SUM(H455:K455)/G455*100)))))</f>
        <v/>
      </c>
      <c r="Q455" s="476" t="str">
        <f>IF(D455="","",(VLOOKUP(D455,'DB technologies'!$N$210:$Y$222,2,FALSE)*'DB additional information '!$S$6/100*'DB additional information '!$T$6*VLOOKUP($C$451,'DB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R455" s="476" t="str">
        <f>IF(D455="","",(VLOOKUP(D455,'DB technologies'!$N$210:$Y$222,3,FALSE)*'DB additional information '!$S$7/100*'DB additional information '!$T$7*VLOOKUP($C$451,'DB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S455" s="494" t="str">
        <f>IF(D455="","",(VLOOKUP(D455,'DB technologies'!$N$210:$Y$222,4,FALSE)*('DB additional information '!$S$8/100*'DB additional information '!$T$8*E455/1000/1000)))</f>
        <v/>
      </c>
      <c r="T455" s="266" t="str">
        <f>IF($C$451=0,"",IF('Calc (ex-animal)'!$F$83=1,"",IF(D455="","",((VLOOKUP($C$451,'Calc (ex-animal)'!$D$83:$Y$87,10,FALSE)-VLOOKUP($C$451,'Calc (ex-animal)'!$D$83:$Y$87,18,FALSE))*F455/100+Q455+R455+S455)-AC455-AD455-AE455)))</f>
        <v/>
      </c>
      <c r="U455" s="477" t="str">
        <f>IF(D455="","",(VLOOKUP(D455,'DB technologies'!$N$210:$Y$222,2,FALSE)*'DB additional information '!$S$6/100*'DB additional information '!$U$6*VLOOKUP($C$451,'DB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V455" s="433" t="str">
        <f>IF(D455="","",(VLOOKUP(D455,'DB technologies'!$N$210:$Y$222,3,FALSE)*'DB additional information '!$S$7/100*'DB additional information '!$U$7*VLOOKUP($C$451,'DB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W455" s="475" t="str">
        <f>IF(D455="","",(VLOOKUP(D455,'DB technologies'!$N$210:$Y$222,4,FALSE)*('DB additional information '!$S$8/100*'DB additional information '!$U$8*E455/1000/1000)))</f>
        <v/>
      </c>
      <c r="X455" s="267" t="str">
        <f>IF($C$451=0,"",IF('Calc (ex-animal)'!$F$83=1,"",IF(D455="","",((VLOOKUP($C$451,'Calc (ex-animal)'!$D$83:$Y$87,13,FALSE)-VLOOKUP($C$451,'Calc (ex-animal)'!$D$83:$Y$87,19,FALSE))*F455/100+U455+V455+W455))))</f>
        <v/>
      </c>
      <c r="Y455" s="433" t="str">
        <f>IF(D455="","",(VLOOKUP(D455,'DB technologies'!$N$210:$Y$222,2,FALSE)*'DB additional information '!$S$6/100*'DB additional information '!$V$6*VLOOKUP($C$451,'DB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Z455" s="433" t="str">
        <f>IF(D455="","",(VLOOKUP(D455,'DB technologies'!$N$210:$Y$222,3,FALSE)*'DB additional information '!$S$7/100*'DB additional information '!$V$7*VLOOKUP($C$451,'DB animal categories'!$C$157:$AC$166,27,FALSE)*E455/1000/1000)/VLOOKUP($C$451,'DB animal categories'!$C$157:$AC$166,27,FALSE)*(VLOOKUP($C$451,'DB animal categories'!$C$157:$AC$166,27,FALSE)-VLOOKUP($C$451,'DB animal categories'!$C$157:$AC$166,25,FALSE)*VLOOKUP($C$451,'DB animal categories'!$C$157:$AC$166,26,FALSE)/24))</f>
        <v/>
      </c>
      <c r="AA455" s="433" t="str">
        <f>IF(D455="","",(VLOOKUP(D455,'DB technologies'!$N$210:$Y$222,4,FALSE)*('DB additional information '!$S$8/100*'DB additional information '!$V$8*E455/1000/1000)))</f>
        <v/>
      </c>
      <c r="AB455" s="267" t="str">
        <f>IF($C$451=0,"",IF('Calc (ex-animal)'!$F$83=1,"",IF(D455="","",((VLOOKUP($C$451,'Calc (ex-animal)'!$D$83:$Y$87,16,FALSE)-VLOOKUP($C$451,'Calc (ex-animal)'!$D$83:$Y$87,20,FALSE))*F455/100+Y455+Z455+AA455))))</f>
        <v/>
      </c>
      <c r="AC455" s="267" t="str">
        <f>IF($C$451=0,"",IF('Calc (ex-animal)'!$F$83=1,"",IF(D455="","",VLOOKUP($C$451,'Calc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categories'!$C$157:$AC$166,26,FALSE)/24)*F455/100*VLOOKUP(D455,'DB technologies'!$N$210:$R$222,5,FALSE)/100)))</f>
        <v/>
      </c>
      <c r="AD455" s="267" t="str">
        <f>IF($C$451=0,"",IF('Calc (ex-animal)'!$F$83=1,"",IF(D455="","",VLOOKUP($C$451,'Calc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categories'!$C$157:$AC$166,26,FALSE)/24)*F455/100*VLOOKUP(D455,'DB technologies'!$N$210:$Y$222,6,FALSE)/100)))</f>
        <v/>
      </c>
      <c r="AE455" s="268" t="str">
        <f>IF($C$451=0,"",IF('Calc (ex-animal)'!$F$83=1,"",IF(D455="","",VLOOKUP($C$451,'Calc (ex-animal)'!$D$83:$Y$87,10,FALSE)/VLOOKUP($C$451,'DB animal categories'!$C$157:$AC$166,27,FALSE)*(VLOOKUP($C$451,'DB animal categories'!$C$157:$AC$166,27,FALSE)-VLOOKUP($C$451,'DB animal categories'!$C$157:$AC$166,25,FALSE)*VLOOKUP($C$451,'DB animal categories'!$C$157:$AC$166,26,FALSE)/24)*F455/100*VLOOKUP(D455,'DB technologies'!$N$210:$Y$222,7,FALSE)/100)))</f>
        <v/>
      </c>
      <c r="AI455" s="183" t="str">
        <f>IF(D455="","",VLOOKUP(D455,'DB technologies'!$N$210:$Y$222,10,FALSE))</f>
        <v/>
      </c>
      <c r="AJ455" s="451" t="e">
        <f>VLOOKUP($C$451,'DB animal categories'!$C$157:$AN$166,27,FALSE)-VLOOKUP($C$451,'DB animal categories'!$C$157:$AN$166,26,FALSE)*VLOOKUP($C$451,'DB animal categories'!$C$157:$AN$166,25,FALSE)/24</f>
        <v>#N/A</v>
      </c>
      <c r="AK455" s="452" t="str">
        <f>IF(AI455="","",AL455+AM455)</f>
        <v/>
      </c>
      <c r="AL455" s="452" t="str">
        <f>IF(D455="","",IF(AI455=2,(('Calc (ex-animal)'!$G$87*'DB additional information '!$K$18/100*(1-VLOOKUP(D455,'DB technologies'!$N$210:$Y$222,9,FALSE)/100)*'Calc (ex-housing, ex-storage)'!F455/100+'Calc (ex-animal)'!$H$87*'DB additional information '!$L$18/100*(1-VLOOKUP(D455,'DB technologies'!$N$210:$Y$222,9,FALSE)/100)*'Calc (ex-housing, ex-storage)'!F455/100))/VLOOKUP($C$451,'DB animal categories'!$C$157:$AC$166,27,FALSE)*AJ455+I455+J455+K455,IF(AI455=1,('Calc (ex-animal)'!$H$87*'DB additional information '!$L$18/100*(1-VLOOKUP(D455,'DB technologies'!$N$210:$Y$222,9,FALSE)/100)*'Calc (ex-housing, ex-storage)'!F455/100)/VLOOKUP($C$451,'DB animal categories'!$C$157:$AC$166,27,FALSE)*AJ455,IF(AI455=4,('Calc (ex-animal)'!$G$87*'DB additional information '!$K$18/100+'Calc (ex-animal)'!$H$87*'DB additional information '!$L$18/100)*(1-VLOOKUP(D455,'DB technologies'!$N$210:$Y$222,9,FALSE)/100)*'Calc (ex-housing, ex-storage)'!F455/100*VLOOKUP(D455,'DB technologies'!$N$210:$Y$222,11,FALSE)/100/VLOOKUP($C$451,'DB animal categories'!$C$157:$AC$166,27,FALSE)*AJ455,0))))</f>
        <v/>
      </c>
      <c r="AM455" s="452" t="str">
        <f>IF(D455="","",IF(AI455=2,(('Calc (ex-animal)'!$G$87*(1-'DB additional information '!$K$18/100)*(1-VLOOKUP(D455,'DB technologies'!$N$210:$Y$222,8,FALSE)/100)*'Calc (ex-housing, ex-storage)'!F455/100+'Calc (ex-animal)'!$H$87*(1-'DB additional information '!$L$18/100)*(1-VLOOKUP(D455,'DB technologies'!$N$210:$Y$222,8,FALSE)/100)*'Calc (ex-housing, ex-storage)'!F455/100))/VLOOKUP($C$451,'DB animal categories'!$C$157:$AC$166,27,FALSE)*AJ455+M455+N455+O455,IF(AI455=1,('Calc (ex-animal)'!$H$87*(1-'DB additional information '!$L$18/100)*(1-VLOOKUP(D455,'DB technologies'!$N$210:$Y$222,8,FALSE)/100)*'Calc (ex-housing, ex-storage)'!F455/100)/VLOOKUP($C$451,'DB animal categories'!$C$157:$AC$166,27,FALSE)*AJ455,IF(AI455=4,('Calc (ex-animal)'!$G$87*(1-'DB additional information '!$K$18/100)+'Calc (ex-animal)'!$H$87*(1-'DB additional information '!$L$18/100))*(1-VLOOKUP(D455,'DB technologies'!$N$210:$Y$222,8,FALSE)/100)*'Calc (ex-housing, ex-storage)'!F455/100*VLOOKUP(D455,'DB technologies'!$N$210:$Y$222,11,FALSE)/100/VLOOKUP($C$451,'DB animal categories'!$C$157:$AC$166,27,FALSE)*AJ455,0))))</f>
        <v/>
      </c>
      <c r="AN455" s="452" t="str">
        <f>IF(AI455="","",IF(AL455=0,0,AL455/AK455*100))</f>
        <v/>
      </c>
      <c r="AO455" s="184" t="str">
        <f>IF(D455="","",IF(AI455=2,(('Calc (ex-animal)'!$L$87*'Calc (ex-housing, ex-storage)'!F455/100+'Calc (ex-animal)'!$K$87*'Calc (ex-housing, ex-storage)'!F455/100))/VLOOKUP($C$451,'DB animal categories'!$C$157:$AC$166,27,FALSE)*AJ455+Q455+R455+S455-AC455,IF(AI455=1,('Calc (ex-animal)'!$L$87*'Calc (ex-housing, ex-storage)'!F455/100)/VLOOKUP($C$451,'DB animal categories'!$C$157:$AC$166,27,FALSE)*AJ455-'Calc (ex-housing, ex-storage)'!AC455,IF(AI455=4,('Calc (ex-animal)'!$L$87+'Calc (ex-animal)'!$K$87)*'Calc (ex-housing, ex-storage)'!F455/100*VLOOKUP(D455,'DB technologies'!$N$210:$Y$222,11,FALSE)/100/VLOOKUP($C$451,'DB animal categories'!$C$157:$AC$166,27,FALSE)*AJ455-AC455*VLOOKUP(D455,'DB technologies'!$N$210:$Y$222,11,FALSE)/100,0))))</f>
        <v/>
      </c>
      <c r="AP455" s="184" t="str">
        <f>IF(D455="","",IF(AO455&lt;-0.01,0,IF(AI455=2,(('Calc (ex-animal)'!$L$87*'Calc (ex-housing, ex-storage)'!F455/100+'Calc (ex-animal)'!$K$87*'Calc (ex-housing, ex-storage)'!F455/100))/VLOOKUP($C$451,'DB animal categories'!$C$157:$AC$166,27,FALSE)*AJ455+Q455+R455+S455-AC455,IF(AI455=1,('Calc (ex-animal)'!$L$87*'Calc (ex-housing, ex-storage)'!F455/100)/VLOOKUP($C$451,'DB animal categories'!$C$157:$AC$166,27,FALSE)*AJ455-'Calc (ex-housing, ex-storage)'!AC455,IF(AI455=4,('Calc (ex-animal)'!$L$87+'Calc (ex-animal)'!$K$87)*'Calc (ex-housing, ex-storage)'!F455/100*VLOOKUP(D455,'DB technologies'!$N$210:$Y$222,11,FALSE)/100/VLOOKUP($C$451,'DB animal categories'!$C$157:$AC$166,27,FALSE)*AJ455-AC455*VLOOKUP(D455,'DB technologies'!$N$210:$Y$222,11,FALSE)/100,0)))))</f>
        <v/>
      </c>
      <c r="AQ455" s="184" t="str">
        <f>IF(D455="","",IF(AI455=2,('Calc (ex-animal)'!$O$87*'Calc (ex-housing, ex-storage)'!F455/100+'Calc (ex-animal)'!$N$87*'Calc (ex-housing, ex-storage)'!F455/100)/VLOOKUP($C$451,'DB animal categories'!$C$157:$AC$166,27,FALSE)*AJ455+U455+V455+W455,IF(AI455=1,'Calc (ex-animal)'!$O$87*'Calc (ex-housing, ex-storage)'!F455/100/VLOOKUP($C$451,'DB animal categories'!$C$157:$AC$166,27,FALSE)*AJ455,IF(AI455=4,('Calc (ex-animal)'!$O$87+'Calc (ex-animal)'!$N$87)*'Calc (ex-housing, ex-storage)'!F455/100*VLOOKUP(D455,'DB technologies'!$N$210:$Y$222,11,FALSE)/100/VLOOKUP($C$451,'DB animal categories'!$C$157:$AC$166,27,FALSE)*AJ455,0))))</f>
        <v/>
      </c>
      <c r="AR455" s="184" t="str">
        <f>IF(D455="","",IF(AI455=2,('Calc (ex-animal)'!$R$87*'Calc (ex-housing, ex-storage)'!F455/100+'Calc (ex-animal)'!$Q$87*'Calc (ex-housing, ex-storage)'!F455/100)/VLOOKUP($C$451,'DB animal categories'!$C$157:$AC$166,27,FALSE)*AJ455+Y455+Z455+AA455,IF(AI455=1,'Calc (ex-animal)'!$R$87*'Calc (ex-housing, ex-storage)'!F455/100/VLOOKUP($C$451,'DB animal categories'!$C$157:$AC$166,27,FALSE)*AJ455,IF(AI455=4,('Calc (ex-animal)'!$R$87+'Calc (ex-animal)'!$Q$87)*'Calc (ex-housing, ex-storage)'!F455/100*VLOOKUP(D455,'DB technologies'!$N$210:$Y$222,11,FALSE)/100/VLOOKUP($C$451,'DB animal categories'!$C$157:$AC$166,27,FALSE)*AJ455,0))))</f>
        <v/>
      </c>
      <c r="AS455" s="183" t="str">
        <f>IF(D455="","",VLOOKUP(D455,'DB technologies'!$N$210:$Y$222,10,FALSE))</f>
        <v/>
      </c>
      <c r="AT455" s="452" t="str">
        <f>IF(AS455="","",AU455+AV455)</f>
        <v/>
      </c>
      <c r="AU455" s="452" t="str">
        <f>IF(D455="","",IF(AS455=2,0,IF(AS455=1,'Calc (ex-animal)'!$G$87*'DB additional information '!$K$18/100*(1-VLOOKUP(D455,'DB technologies'!$N$210:$Y$222,8,FALSE)/100)*'Calc (ex-housing, ex-storage)'!F455/100/VLOOKUP($C$451,'DB animal categories'!$C$157:$AC$166,27,FALSE)*AJ455+I455+J455+K455,IF(AS455=5,(('Calc (ex-animal)'!$G$87*'DB additional information '!$K$18/100+'Calc (ex-animal)'!$H$87*'DB additional information '!$L$18/100))*(1-VLOOKUP(D455,'DB technologies'!$N$210:$Y$222,9,FALSE)/100)*'Calc (ex-housing, ex-storage)'!F455/100/VLOOKUP($C$451,'DB animal categories'!$C$157:$AC$166,27,FALSE)*AJ455+I455+J455+K455,IF(AS455=3,('Calc (ex-animal)'!$G$87*'DB additional information '!$K$18/100+'Calc (ex-animal)'!$H$87*'DB additional information '!$L$18/100)*(1-VLOOKUP(D455,'DB technologies'!$N$210:$Y$222,9,FALSE)/100)*'Calc (ex-housing, ex-storage)'!F455/100/VLOOKUP($C$451,'DB animal categories'!$C$157:$AC$166,27,FALSE)*AJ455+I455+J455+K455,IF(AS455=4,('Calc (ex-animal)'!$G$87*'DB additional information '!$K$18/100+'Calc (ex-animal)'!$H$87*'DB additional information '!$L$18/100)*(1-VLOOKUP(D455,'DB technologies'!$N$210:$Y$222,9,FALSE)/100)*'Calc (ex-housing, ex-storage)'!F455/100*VLOOKUP(D455,'DB technologies'!$N$210:$Y$222,12,FALSE)/100/VLOOKUP($C$451,'DB animal categories'!$C$157:$AC$166,27,FALSE)*AJ455+I455+J455+K455,0))))))</f>
        <v/>
      </c>
      <c r="AV455" s="452" t="str">
        <f>IF(D455="","",IF(AS455=2,0,IF(AS455=1,'Calc (ex-animal)'!$G$87*(1-'DB additional information '!$K$18/100)*(1-VLOOKUP(D455,'DB technologies'!$N$210:$Y$222,8,FALSE)/100)*'Calc (ex-housing, ex-storage)'!F455/100/VLOOKUP($C$451,'DB animal categories'!$C$157:$AC$166,27,FALSE)*AJ455+M455+N455+O455,IF(AS455=5,('Calc (ex-animal)'!$G$87*(1-'DB additional information '!$K$18/100)+'Calc (ex-animal)'!$H$87*(1-'DB additional information '!$L$18/100))*(1-VLOOKUP(D455,'DB technologies'!$N$210:$Y$222,8,FALSE)/100)*'Calc (ex-housing, ex-storage)'!F455/100/VLOOKUP($C$451,'DB animal categories'!$C$157:$AC$166,27,FALSE)*AJ455+M455+N455+O455,IF(AS455=3,('Calc (ex-animal)'!$G$87*(1-'DB additional information '!$K$18/100)+'Calc (ex-animal)'!$H$87*(1-'DB additional information '!$L$18/100))*(1-VLOOKUP(D455,'DB technologies'!$N$210:$Y$222,8,FALSE)/100)*'Calc (ex-housing, ex-storage)'!F455/100/VLOOKUP($C$451,'DB animal categories'!$C$157:$AC$166,27,FALSE)*AJ455+M455+N455+O455,IF(AS455=4,('Calc (ex-animal)'!$G$87*(1-'DB additional information '!$K$18/100)+'Calc (ex-animal)'!$H$87*(1-'DB additional information '!$L$18/100))*(1-VLOOKUP(D455,'DB technologies'!$N$210:$Y$222,8,FALSE)/100)*'Calc (ex-housing, ex-storage)'!F455/100*VLOOKUP(D455,'DB technologies'!$N$210:$Y$222,12,FALSE)/100/VLOOKUP($C$451,'DB animal categories'!$C$157:$AC$166,27,FALSE)*AJ455+M455+N455+O455,0))))))</f>
        <v/>
      </c>
      <c r="AW455" s="452" t="str">
        <f>IF(AS455="","",IF(AU455=0,0,AU455/AT455*100))</f>
        <v/>
      </c>
      <c r="AX455" s="184" t="str">
        <f>IF(D455="","",IF(AS455=2,0,IF(AS455=1,'Calc (ex-animal)'!$K$87*'Calc (ex-housing, ex-storage)'!F455/100/VLOOKUP($C$451,'DB animal categories'!$C$157:$AC$166,27,FALSE)*AJ455+Q455+R455+S455,IF(AS455=5,('Calc (ex-animal)'!$K$87+'Calc (ex-animal)'!$L$87)*'Calc (ex-housing, ex-storage)'!F455/100/VLOOKUP($C$451,'DB animal categories'!$C$157:$AC$166,27,FALSE)*AJ455+Q455+R455+S455-'Calc (ex-housing, ex-storage)'!AC455,IF(AS455=3,('Calc (ex-animal)'!$K$87+'Calc (ex-animal)'!$L$87)*'Calc (ex-housing, ex-storage)'!F455/100/VLOOKUP($C$451,'DB animal categories'!$C$157:$AC$166,27,FALSE)*AJ455+Q455+R455+S455-'Calc (ex-housing, ex-storage)'!AC455-AD455-AE455,IF(AI455=4,('Calc (ex-animal)'!$K$87+'Calc (ex-animal)'!$L$87)*'Calc (ex-housing, ex-storage)'!F455/100*VLOOKUP(D455,'DB technologies'!$N$210:$Y$222,12,FALSE)/100/VLOOKUP($C$451,'DB animal categories'!$C$157:$AC$166,27,FALSE)*AJ455+Q455+R455+S455-(VLOOKUP(D455,'DB technologies'!$N$210:$Y$222,12,FALSE)/100*AC455)-AD455-AE455,0))))))</f>
        <v/>
      </c>
      <c r="AY455" s="184" t="str">
        <f>IF(D455="","",IF(AS455=2,0,IF(AS455=1,'Calc (ex-animal)'!$N$87*'Calc (ex-housing, ex-storage)'!F455/100/VLOOKUP($C$451,'DB animal categories'!$C$157:$AC$166,27,FALSE)*AJ455+U455+V455+W455,IF(AS455=5,('Calc (ex-animal)'!$N$87+'Calc (ex-animal)'!$O$87)*'Calc (ex-housing, ex-storage)'!F455/100/VLOOKUP($C$451,'DB animal categories'!$C$157:$AC$166,27,FALSE)*AJ455+U455+V455+W455,IF(AS455=3,('Calc (ex-animal)'!$N$87+'Calc (ex-animal)'!$O$87)*'Calc (ex-housing, ex-storage)'!F455/100/VLOOKUP($C$451,'DB animal categories'!$C$157:$AC$166,27,FALSE)*AJ455+U455+V455+W455,IF(AS455=4,('Calc (ex-animal)'!$N$87+'Calc (ex-animal)'!$O$87)*'Calc (ex-housing, ex-storage)'!F455/100*VLOOKUP(D455,'DB technologies'!$N$210:$Y$222,12,FALSE)/100/VLOOKUP($C$451,'DB animal categories'!$C$157:$AC$166,27,FALSE)*AJ455+U455+V455+W455,0))))))</f>
        <v/>
      </c>
      <c r="AZ455" s="184" t="str">
        <f>IF(D455="","",IF(AS455=2,0,IF(AS455=1,'Calc (ex-animal)'!$Q$87*'Calc (ex-housing, ex-storage)'!F455/100/VLOOKUP($C$451,'DB animal categories'!$C$157:$AC$166,27,FALSE)*AJ455+Y455+Z455+AA455,IF(AS455=5,('Calc (ex-animal)'!$Q$87+'Calc (ex-animal)'!$R$87)*'Calc (ex-housing, ex-storage)'!F455/100/VLOOKUP($C$451,'DB animal categories'!$C$157:$AC$166,27,FALSE)*AJ455+Y455+Z455+AA455,IF(AS455=3,('Calc (ex-animal)'!$Q$87+'Calc (ex-animal)'!$R$87)*'Calc (ex-housing, ex-storage)'!F455/100/VLOOKUP($C$451,'DB animal categories'!$C$157:$AC$166,27,FALSE)*AJ455+Y455+Z455+AA455,IF(AS455=4,('Calc (ex-animal)'!$Q$87+'Calc (ex-animal)'!$R$87)*'Calc (ex-housing, ex-storage)'!F455/100*VLOOKUP(D455,'DB technologies'!$N$210:$Y$222,12,FALSE)/100/VLOOKUP($C$451,'DB animal categories'!$C$157:$AC$166,27,FALSE)*AJ455+Y455+Z455+AA455,0))))))</f>
        <v/>
      </c>
      <c r="BA455" s="506"/>
      <c r="BB455" s="506"/>
      <c r="BC455" s="506"/>
    </row>
    <row r="456" spans="1:55" ht="12" thickBot="1" x14ac:dyDescent="0.25">
      <c r="A456" s="695"/>
      <c r="B456" s="696"/>
      <c r="C456" s="252"/>
      <c r="D456" s="281" t="s">
        <v>58</v>
      </c>
      <c r="E456" s="270">
        <f>IF(F456&lt;=100,SUM(E451:E455),"ERROR")</f>
        <v>0</v>
      </c>
      <c r="F456" s="284">
        <f>IF(SUM(F451:F455) &lt;=100,SUM(F451:F455),"ERROR, SUM&gt;100%")</f>
        <v>0</v>
      </c>
      <c r="G456" s="550">
        <f>IF('Calc (ex-animal)'!$F$83=1,"",SUM(G451:G455))</f>
        <v>0</v>
      </c>
      <c r="H456" s="418">
        <f>IF('Calc (ex-animal)'!$F$8=1,"",SUM(H451:H455))</f>
        <v>0</v>
      </c>
      <c r="I456" s="418">
        <f>IF('Calc (ex-animal)'!$F$8=1,"",SUM(I451:I455))</f>
        <v>0</v>
      </c>
      <c r="J456" s="418">
        <f>IF('Calc (ex-animal)'!$F$8=1,"",SUM(J451:J455))</f>
        <v>0</v>
      </c>
      <c r="K456" s="418">
        <f>IF('Calc (ex-animal)'!$F$8=1,"",SUM(K451:K455))</f>
        <v>0</v>
      </c>
      <c r="L456" s="418">
        <f>IF('Calc (ex-animal)'!$F$8=1,"",SUM(L451:L455))</f>
        <v>0</v>
      </c>
      <c r="M456" s="551"/>
      <c r="N456" s="551"/>
      <c r="O456" s="551"/>
      <c r="P456" s="552">
        <f>IF(G456=0,0,IF('Calc (ex-animal)'!$F$83=1,"",IF(D456="","",SUM(H456:K456)/G456*100)))</f>
        <v>0</v>
      </c>
      <c r="Q456" s="394"/>
      <c r="R456" s="394"/>
      <c r="S456" s="394"/>
      <c r="T456" s="285">
        <f>IF('Calc (ex-animal)'!$F$87=1,"",SUM(T451:T455))</f>
        <v>0</v>
      </c>
      <c r="U456" s="286"/>
      <c r="V456" s="286"/>
      <c r="W456" s="286"/>
      <c r="X456" s="286">
        <f>IF('Calc (ex-animal)'!$F$87=1,"",SUM(X451:X455))</f>
        <v>0</v>
      </c>
      <c r="Y456" s="286"/>
      <c r="Z456" s="286"/>
      <c r="AA456" s="286"/>
      <c r="AB456" s="286">
        <f>IF('Calc (ex-animal)'!$F$87=1,"",SUM(AB451:AB455))</f>
        <v>0</v>
      </c>
      <c r="AC456" s="286">
        <f>IF('Calc (ex-animal)'!$F$87=1,"",SUM(AC451:AC455))</f>
        <v>0</v>
      </c>
      <c r="AD456" s="286">
        <f>IF('Calc (ex-animal)'!$F$87=1,"",SUM(AD451:AD455))</f>
        <v>0</v>
      </c>
      <c r="AE456" s="287">
        <f>IF('Calc (ex-animal)'!$F$87=1,"",SUM(AE451:AE455))</f>
        <v>0</v>
      </c>
    </row>
    <row r="457" spans="1:55" x14ac:dyDescent="0.2">
      <c r="A457" s="695"/>
      <c r="B457" s="694" t="s">
        <v>193</v>
      </c>
      <c r="C457" s="254">
        <f>'Calc (ex-animal)'!D88</f>
        <v>0</v>
      </c>
      <c r="D457" s="1355"/>
      <c r="E457" s="1356"/>
      <c r="F457" s="479" t="str">
        <f>IF('Calc (ex-animal)'!$F$88=1,"",IF($C$457=0,"",IF(D457="","",E457/'Calc (ex-animal)'!$E$88*100)))</f>
        <v/>
      </c>
      <c r="G457" s="484" t="str">
        <f>IF($C$457=0,"",IF('Calc (ex-animal)'!$F$88=1,"",IF(D457="","",SUM(H457:O457))))</f>
        <v/>
      </c>
      <c r="H457" s="471" t="str">
        <f>IF('Calc (ex-animal)'!$F$88=1,"",IF(D457="","",(((VLOOKUP($C$457,'Calc (ex-animal)'!$D$88:$Y$92,6,FALSE)-VLOOKUP($C$457,'Calc (ex-animal)'!$D$88:$Y$92,17,FALSE))*F457/100))*VLOOKUP($C$457,'Calc (ex-animal)'!$D$88:$Y$92,7,FALSE)/100*(1-VLOOKUP(D457,'DB technologies'!$N$224:$Y$236,9,FALSE)/100)))</f>
        <v/>
      </c>
      <c r="I457" s="471" t="str">
        <f>IF(D457="","",((VLOOKUP(D457,'DB technologies'!$N$224:$Y$236,2,FALSE)*VLOOKUP($C$457,'DB animal categories'!$C$167:$AC$176,27,FALSE)*E457/1000)/VLOOKUP($C$457,'DB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'!$S$6/100*(1-VLOOKUP(D457,'DB technologies'!$N$224:$Y$236,9,FALSE)/100)))</f>
        <v/>
      </c>
      <c r="J457" s="472" t="str">
        <f>IF(D457="","",((VLOOKUP(D457,'DB technologies'!$N$224:$Y$236,3,FALSE)*VLOOKUP($C$457,'DB animal categories'!$C$167:$AC$176,27,FALSE)*E457/1000)/VLOOKUP($C$457,'DB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'!$S$7/100*(1-VLOOKUP(D457,'DB technologies'!$N$224:$Y$236,9,FALSE)/100)))</f>
        <v/>
      </c>
      <c r="K457" s="472" t="str">
        <f>IF(D457="","",((VLOOKUP(D457,'DB technologies'!$N$224:$Y$236,4,FALSE)*E457*'DB additional information '!$S$8/100*(1-VLOOKUP(D457,'DB technologies'!$N$224:$Y$236,9,FALSE)/100))/VLOOKUP($C$457,'DB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L457" s="471" t="str">
        <f>IF('Calc (ex-animal)'!$F$88=1,"",IF(D457="","",(((VLOOKUP($C$457,'Calc (ex-animal)'!$D$88:$Y$92,6,FALSE)-VLOOKUP($C$457,'Calc (ex-animal)'!$D$88:$Y$92,17,FALSE))*F457/100))*(1-VLOOKUP($C$457,'Calc (ex-animal)'!$D$88:$Y$92,7,FALSE)/100)*(1-VLOOKUP(D457,'DB technologies'!$N$224:$V$236,8,FALSE)/100)))</f>
        <v/>
      </c>
      <c r="M457" s="472" t="str">
        <f>IF(D457="","",((VLOOKUP(D457,'DB technologies'!$N$224:$Y$236,2,FALSE)*VLOOKUP($C$457,'DB animal categories'!$C$167:$AC$176,27,FALSE)*E457/1000)/VLOOKUP($C$457,'DB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'!$S$6/100)*(1-VLOOKUP(D457,'DB technologies'!$N$224:$Y$236,9,FALSE)/100))</f>
        <v/>
      </c>
      <c r="N457" s="472" t="str">
        <f>IF(D457="","",((VLOOKUP(D457,'DB technologies'!$N$224:$Y$236,3,FALSE)*VLOOKUP($C$457,'DB animal categories'!$C$167:$AC$176,27,FALSE)*E457/1000)/VLOOKUP($C$457,'DB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'!$S$7/100)*(1-VLOOKUP(D457,'DB technologies'!$N$224:$Y$236,9,FALSE)/100))</f>
        <v/>
      </c>
      <c r="O457" s="471" t="str">
        <f>IF(D457="","",((VLOOKUP(D457,'DB technologies'!$N$224:$Y$236,4,FALSE)*E457*(1-'DB additional information '!$S$8/100)*(1-VLOOKUP(D457,'DB technologies'!$N$224:$Y$236,8,FALSE)/100))/VLOOKUP($C$457,'DB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P457" s="443" t="str">
        <f>IF(G457=0,0,IF(E457="","",IF(F457="","",IF($C$457=0,"",IF(D457="","",SUM(H457:K457)/G457*100)))))</f>
        <v/>
      </c>
      <c r="Q457" s="473" t="str">
        <f>IF(D457="","",(VLOOKUP(D457,'DB technologies'!$N$224:$Y$236,2,FALSE)*'DB additional information '!$S$6/100*'DB additional information '!$T$6*VLOOKUP($C$457,'DB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R457" s="473" t="str">
        <f>IF(D457="","",(VLOOKUP(D457,'DB technologies'!$N$224:$Y$236,3,FALSE)*'DB additional information '!$S$7/100*'DB additional information '!$T$7*VLOOKUP($C$457,'DB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S457" s="490" t="str">
        <f>IF(D457="","",(VLOOKUP(D457,'DB technologies'!$N$224:$Y$236,4,FALSE)*('DB additional information '!$S$8/100*'DB additional information '!$T$8*E457/1000/1000)))</f>
        <v/>
      </c>
      <c r="T457" s="263" t="str">
        <f>IF($C$457=0,"",IF('Calc (ex-animal)'!$F$88=1,"",IF(D457="","",((VLOOKUP($C$457,'Calc (ex-animal)'!$D$88:$Y$92,10,FALSE)-VLOOKUP($C$457,'Calc (ex-animal)'!$D$88:$Y$92,18,FALSE))*F457/100+Q457+R457+S457)-AC457-AD457-AE457)))</f>
        <v/>
      </c>
      <c r="U457" s="474" t="str">
        <f>IF(D457="","",(VLOOKUP(D457,'DB technologies'!$N$224:$Y$236,2,FALSE)*'DB additional information '!$S$6/100*'DB additional information '!$U$6*VLOOKUP($C$457,'DB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V457" s="420" t="str">
        <f>IF(D457="","",(VLOOKUP(D457,'DB technologies'!$N$224:$Y$236,3,FALSE)*'DB additional information '!$S$7/100*'DB additional information '!$U$7*VLOOKUP($C$457,'DB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W457" s="415" t="str">
        <f>IF(D457="","",(VLOOKUP(D457,'DB technologies'!$N$224:$Y$236,4,FALSE)*('DB additional information '!$S$8/100*'DB additional information '!$U$8*E457/1000/1000)))</f>
        <v/>
      </c>
      <c r="X457" s="259" t="str">
        <f>IF($C$457=0,"",IF('Calc (ex-animal)'!$F$88=1,"",IF(D457="","",((VLOOKUP($C$457,'Calc (ex-animal)'!$D$88:$Y$92,13,FALSE)-VLOOKUP($C$457,'Calc (ex-animal)'!$D$88:$Y$92,19,FALSE))*F457/100+U457+V457+W457))))</f>
        <v/>
      </c>
      <c r="Y457" s="420" t="str">
        <f>IF(D457="","",(VLOOKUP(D457,'DB technologies'!$N$224:$Y$236,2,FALSE)*'DB additional information '!$S$6/100*'DB additional information '!$V$6*VLOOKUP($C$457,'DB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Z457" s="420" t="str">
        <f>IF(D457="","",(VLOOKUP(D457,'DB technologies'!$N$224:$Y$236,3,FALSE)*'DB additional information '!$S$7/100*'DB additional information '!$V$7*VLOOKUP($C$457,'DB animal categories'!$C$167:$AC$176,27,FALSE)*E457/1000/1000)/VLOOKUP($C$457,'DB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AA457" s="420" t="str">
        <f>IF(D457="","",(VLOOKUP(D457,'DB technologies'!$N$224:$Y$236,4,FALSE)*('DB additional information '!$S$8/100*'DB additional information '!$V$8*E457/1000/1000)))</f>
        <v/>
      </c>
      <c r="AB457" s="259" t="str">
        <f>IF($C$457=0,"",IF('Calc (ex-animal)'!$F$88=1,"",IF(D457="","",((VLOOKUP($C$457,'Calc (ex-animal)'!$D$88:$Y$92,16,FALSE)-VLOOKUP($C$457,'Calc (ex-animal)'!$D$88:$Y$92,20,FALSE))*F457/100+Y457+Z457+AA457))))</f>
        <v/>
      </c>
      <c r="AC457" s="259" t="str">
        <f>IF($C$457=0,"",IF('Calc (ex-animal)'!$F$88=1,"",IF(D457="","",VLOOKUP($C$457,'Calc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categories'!$C$167:$AC$176,26,FALSE)/24)*F457/100*VLOOKUP(D457,'DB technologies'!$N$224:$R$236,5,FALSE)/100)))</f>
        <v/>
      </c>
      <c r="AD457" s="259" t="str">
        <f>IF($C$457=0,"",IF('Calc (ex-animal)'!$F$88=1,"",IF(D457="","",VLOOKUP($C$457,'Calc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categories'!$C$167:$AC$176,26,FALSE)/24)*F457/100*VLOOKUP(D457,'DB technologies'!$N$224:$Y$236,6,FALSE)/100)))</f>
        <v/>
      </c>
      <c r="AE457" s="260" t="str">
        <f>IF($C$457=0,"",IF('Calc (ex-animal)'!$F$88=1,"",IF(D457="","",VLOOKUP($C$457,'Calc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categories'!$C$167:$AC$176,26,FALSE)/24)*F457/100*VLOOKUP(D457,'DB technologies'!$N$224:$Y$236,7,FALSE)/100)))</f>
        <v/>
      </c>
      <c r="AI457" s="179" t="str">
        <f>IF(D457="","",VLOOKUP(D457,'DB technologies'!$N$224:$Y$236,10,FALSE))</f>
        <v/>
      </c>
      <c r="AJ457" s="482" t="e">
        <f>VLOOKUP($C$457,'DB animal categories'!$C$167:$AN$176,27,FALSE)-VLOOKUP($C$457,'DB animal categories'!$C$167:$AN$176,26,FALSE)*VLOOKUP($C$457,'DB animal categories'!$C$167:$AN$176,25,FALSE)/24</f>
        <v>#N/A</v>
      </c>
      <c r="AK457" s="453" t="str">
        <f>IF(AI457="","",AL457+AM457)</f>
        <v/>
      </c>
      <c r="AL457" s="453" t="str">
        <f>IF(D457="","",IF(AI457=2,(('Calc (ex-animal)'!$G$88*'DB additional information '!$K$19/100*(1-VLOOKUP(D457,'DB technologies'!$N$224:$Y$236,9,FALSE)/100)*'Calc (ex-housing, ex-storage)'!F457/100+'Calc (ex-animal)'!$H$88*'DB additional information '!$L$19/100*(1-VLOOKUP(D457,'DB technologies'!$N$224:$Y$236,9,FALSE)/100)*'Calc (ex-housing, ex-storage)'!F457/100))/VLOOKUP($C$457,'DB animal categories'!$C$167:$AC$176,27,FALSE)*AJ457+I457+J457+K457,IF(AI457=1,('Calc (ex-animal)'!$H$88*'DB additional information '!$L$19/100*(1-VLOOKUP(D457,'DB technologies'!$N$224:$Y$236,9,FALSE)/100)*'Calc (ex-housing, ex-storage)'!F457/100)/VLOOKUP($C$457,'DB animal categories'!$C$167:$AC$176,27,FALSE)*AJ457,IF(AI457=4,('Calc (ex-animal)'!$G$88*'DB additional information '!$K$19/100+'Calc (ex-animal)'!$H$88*'DB additional information '!$L$19/100)*(1-VLOOKUP(D457,'DB technologies'!$N$224:$Y$236,9,FALSE)/100)*'Calc (ex-housing, ex-storage)'!F457/100*VLOOKUP(D457,'DB technologies'!$N$224:$Y$236,11,FALSE)/100/VLOOKUP($C$457,'DB animal categories'!$C$167:$AC$176,27,FALSE)*AJ457,0))))</f>
        <v/>
      </c>
      <c r="AM457" s="453" t="str">
        <f>IF(D457="","",IF(AI457=2,(('Calc (ex-animal)'!$G$88*(1-'DB additional information '!$K$19/100)*(1-VLOOKUP(D457,'DB technologies'!$N$224:$Y$236,8,FALSE)/100)*'Calc (ex-housing, ex-storage)'!F457/100+'Calc (ex-animal)'!$H$88*(1-'DB additional information '!$L$19/100)*(1-VLOOKUP(D457,'DB technologies'!$N$224:$Y$236,8,FALSE)/100)*'Calc (ex-housing, ex-storage)'!F457/100))/VLOOKUP($C$457,'DB animal categories'!$C$167:$AC$176,27,FALSE)*AJ457+M457+N457+O457,IF(AI457=1,('Calc (ex-animal)'!$H$88*(1-'DB additional information '!$L$19/100)*(1-VLOOKUP(D457,'DB technologies'!$N$224:$Y$236,8,FALSE)/100)*'Calc (ex-housing, ex-storage)'!F457/100)/VLOOKUP($C$457,'DB animal categories'!$C$167:$AC$176,27,FALSE)*AJ457,IF(AI457=4,('Calc (ex-animal)'!$G$88*(1-'DB additional information '!$K$19/100)+'Calc (ex-animal)'!$H$88*(1-'DB additional information '!$L$19/100))*(1-VLOOKUP(D457,'DB technologies'!$N$224:$Y$236,8,FALSE)/100)*'Calc (ex-housing, ex-storage)'!F457/100*VLOOKUP(D457,'DB technologies'!$N$224:$Y$236,11,FALSE)/100/VLOOKUP($C$457,'DB animal categories'!$C$167:$AC$176,27,FALSE)*AJ457,0))))</f>
        <v/>
      </c>
      <c r="AN457" s="453" t="str">
        <f>IF(AI457="","",IF(AL457=0,0,AL457/AK457*100))</f>
        <v/>
      </c>
      <c r="AO457" s="180" t="str">
        <f>IF(D457="","",IF(AI457=2,(('Calc (ex-animal)'!$L$88*'Calc (ex-housing, ex-storage)'!F457/100+'Calc (ex-animal)'!$K$88*'Calc (ex-housing, ex-storage)'!F457/100))/VLOOKUP($C$457,'DB animal categories'!$C$167:$AC$176,27,FALSE)*AJ457+Q457+R457+S457-AC457,IF(AI457=1,('Calc (ex-animal)'!$L$88*'Calc (ex-housing, ex-storage)'!F457/100)/VLOOKUP($C$457,'DB animal categories'!$C$167:$AC$176,27,FALSE)*AJ457-'Calc (ex-housing, ex-storage)'!AC457,IF(AI457=4,('Calc (ex-animal)'!$L$88+'Calc (ex-animal)'!$K$88)*'Calc (ex-housing, ex-storage)'!F457/100*VLOOKUP(D457,'DB technologies'!$N$224:$Y$236,11,FALSE)/100/VLOOKUP($C$457,'DB animal categories'!$C$167:$AC$176,27,FALSE)*AJ457-AC457*VLOOKUP(D457,'DB technologies'!$N$224:$Y$236,11,FALSE)/100,0))))</f>
        <v/>
      </c>
      <c r="AP457" s="180" t="str">
        <f>IF(D457="","",IF(AO457&lt;-0.01,0,IF(AI457=2,(('Calc (ex-animal)'!$L$88*'Calc (ex-housing, ex-storage)'!F457/100+'Calc (ex-animal)'!$K$88*'Calc (ex-housing, ex-storage)'!F457/100))/VLOOKUP($C$457,'DB animal categories'!$C$167:$AC$176,27,FALSE)*AJ457+Q457+R457+S457-AC457,IF(AI457=1,('Calc (ex-animal)'!$L$88*'Calc (ex-housing, ex-storage)'!F457/100)/VLOOKUP($C$457,'DB animal categories'!$C$167:$AC$176,27,FALSE)*AJ457-'Calc (ex-housing, ex-storage)'!AC457,IF(AI457=4,('Calc (ex-animal)'!$L$88+'Calc (ex-animal)'!$K$88)*'Calc (ex-housing, ex-storage)'!F457/100*VLOOKUP(D457,'DB technologies'!$N$224:$Y$236,11,FALSE)/100/VLOOKUP($C$457,'DB animal categories'!$C$167:$AC$176,27,FALSE)*AJ457-AC457*VLOOKUP(D457,'DB technologies'!$N$224:$Y$236,11,FALSE)/100,0)))))</f>
        <v/>
      </c>
      <c r="AQ457" s="180" t="str">
        <f>IF(D457="","",IF(AI457=2,('Calc (ex-animal)'!$O$88*'Calc (ex-housing, ex-storage)'!F457/100+'Calc (ex-animal)'!$N$88*'Calc (ex-housing, ex-storage)'!F457/100)/VLOOKUP($C$457,'DB animal categories'!$C$167:$AC$176,27,FALSE)*AJ457+U457+V457+W457,IF(AI457=1,'Calc (ex-animal)'!$O$88*'Calc (ex-housing, ex-storage)'!F457/100/VLOOKUP($C$457,'DB animal categories'!$C$167:$AC$176,27,FALSE)*AJ457,IF(AI457=4,('Calc (ex-animal)'!$O$88+'Calc (ex-animal)'!$N$88)*'Calc (ex-housing, ex-storage)'!F457/100*VLOOKUP(D457,'DB technologies'!$N$224:$Y$236,11,FALSE)/100/VLOOKUP($C$457,'DB animal categories'!$C$167:$AC$176,27,FALSE)*AJ457,0))))</f>
        <v/>
      </c>
      <c r="AR457" s="180" t="str">
        <f>IF(D457="","",IF(AI457=2,('Calc (ex-animal)'!$R$88*'Calc (ex-housing, ex-storage)'!F457/100+'Calc (ex-animal)'!$Q$88*'Calc (ex-housing, ex-storage)'!F457/100)/VLOOKUP($C$457,'DB animal categories'!$C$167:$AC$176,27,FALSE)*AJ457+Y457+Z457+AA457,IF(AI457=1,'Calc (ex-animal)'!$R$88*'Calc (ex-housing, ex-storage)'!F457/100/VLOOKUP($C$457,'DB animal categories'!$C$167:$AC$176,27,FALSE)*AJ457,IF(AI457=4,('Calc (ex-animal)'!$R$88+'Calc (ex-animal)'!$Q$88)*'Calc (ex-housing, ex-storage)'!F457/100*VLOOKUP(D457,'DB technologies'!$N$224:$Y$236,11,FALSE)/100/VLOOKUP($C$457,'DB animal categories'!$C$167:$AC$176,27,FALSE)*AJ457,0))))</f>
        <v/>
      </c>
      <c r="AS457" s="179" t="str">
        <f>IF(D457="","",VLOOKUP(D457,'DB technologies'!$N$224:$Y$236,10,FALSE))</f>
        <v/>
      </c>
      <c r="AT457" s="453" t="str">
        <f>IF(AS457="","",AU457+AV457)</f>
        <v/>
      </c>
      <c r="AU457" s="453" t="str">
        <f>IF(D457="","",IF(AS457=2,0,IF(AS457=1,'Calc (ex-animal)'!$G$88*'DB additional information '!$K$19/100*(1-VLOOKUP(D457,'DB technologies'!$N$224:$Y$236,8,FALSE)/100)*'Calc (ex-housing, ex-storage)'!F457/100/VLOOKUP($C$457,'DB animal categories'!$C$167:$AC$176,27,FALSE)*AJ457+I457+J457+K457,IF(AS457=5,(('Calc (ex-animal)'!$G$88*'DB additional information '!$K$19/100+'Calc (ex-animal)'!$H$88*'DB additional information '!$L$19/100))*(1-VLOOKUP(D457,'DB technologies'!$N$224:$Y$236,9,FALSE)/100)*'Calc (ex-housing, ex-storage)'!F457/100/VLOOKUP($C$457,'DB animal categories'!$C$167:$AC$176,27,FALSE)*AJ457+I457+J457+K457,IF(AS457=3,('Calc (ex-animal)'!$G$88*'DB additional information '!$K$19/100+'Calc (ex-animal)'!$H$88*'DB additional information '!$L$19/100)*(1-VLOOKUP(D457,'DB technologies'!$N$224:$Y$236,9,FALSE)/100)*'Calc (ex-housing, ex-storage)'!F457/100/VLOOKUP($C$457,'DB animal categories'!$C$167:$AC$176,27,FALSE)*AJ457+I457+J457+K457,IF(AS457=4,('Calc (ex-animal)'!$G$88*'DB additional information '!$K$19/100+'Calc (ex-animal)'!$H$88*'DB additional information '!$L$19/100)*(1-VLOOKUP(D457,'DB technologies'!$N$224:$Y$236,9,FALSE)/100)*'Calc (ex-housing, ex-storage)'!F457/100*VLOOKUP(D457,'DB technologies'!$N$224:$Y$236,12,FALSE)/100/VLOOKUP($C$457,'DB animal categories'!$C$167:$AC$176,27,FALSE)*AJ457+I457+J457+K457,0))))))</f>
        <v/>
      </c>
      <c r="AV457" s="453" t="str">
        <f>IF(D457="","",IF(AS457=2,0,IF(AS457=1,'Calc (ex-animal)'!$G$88*(1-'DB additional information '!$K$19/100)*(1-VLOOKUP(D457,'DB technologies'!$N$224:$Y$236,8,FALSE)/100)*'Calc (ex-housing, ex-storage)'!F457/100/VLOOKUP($C$457,'DB animal categories'!$C$167:$AC$176,27,FALSE)*AJ457+M457+N457+O457,IF(AS457=5,('Calc (ex-animal)'!$G$88*(1-'DB additional information '!$K$19/100)+'Calc (ex-animal)'!$H$88*(1-'DB additional information '!$L$19/100))*(1-VLOOKUP(D457,'DB technologies'!$N$224:$Y$236,8,FALSE)/100)*'Calc (ex-housing, ex-storage)'!F457/100/VLOOKUP($C$457,'DB animal categories'!$C$167:$AC$176,27,FALSE)*AJ457+M457+N457+O457,IF(AS457=3,('Calc (ex-animal)'!$G$88*(1-'DB additional information '!$K$19/100)+'Calc (ex-animal)'!$H$88*(1-'DB additional information '!$L$19/100))*(1-VLOOKUP(D457,'DB technologies'!$N$224:$Y$236,8,FALSE)/100)*'Calc (ex-housing, ex-storage)'!F457/100/VLOOKUP($C$457,'DB animal categories'!$C$167:$AC$176,27,FALSE)*AJ457+M457+N457+O457,IF(AS457=4,('Calc (ex-animal)'!$G$88*(1-'DB additional information '!$K$19/100)+'Calc (ex-animal)'!$H$88*(1-'DB additional information '!$L$19/100))*(1-VLOOKUP(D457,'DB technologies'!$N$224:$Y$236,8,FALSE)/100)*'Calc (ex-housing, ex-storage)'!F457/100*VLOOKUP(D457,'DB technologies'!$N$224:$Y$236,12,FALSE)/100/VLOOKUP($C$457,'DB animal categories'!$C$167:$AC$176,27,FALSE)*AJ457+M457+N457+O457,0))))))</f>
        <v/>
      </c>
      <c r="AW457" s="453" t="str">
        <f>IF(AS457="","",IF(AU457=0,0,AU457/AT457*100))</f>
        <v/>
      </c>
      <c r="AX457" s="180" t="str">
        <f>IF(D457="","",IF(AS457=2,0,IF(AS457=1,'Calc (ex-animal)'!$K$88*'Calc (ex-housing, ex-storage)'!F457/100/VLOOKUP($C$457,'DB animal categories'!$C$167:$AC$176,27,FALSE)*AJ457+Q457+R457+S457,IF(AS457=5,('Calc (ex-animal)'!$K$88+'Calc (ex-animal)'!$L$88)*'Calc (ex-housing, ex-storage)'!F457/100/VLOOKUP($C$457,'DB animal categories'!$C$167:$AC$176,27,FALSE)*AJ457+Q457+R457+S457-'Calc (ex-housing, ex-storage)'!AC457,IF(AS457=3,('Calc (ex-animal)'!$K$88+'Calc (ex-animal)'!$L$88)*'Calc (ex-housing, ex-storage)'!F457/100/VLOOKUP($C$457,'DB animal categories'!$C$167:$AC$176,27,FALSE)*AJ457+Q457+R457+S457-'Calc (ex-housing, ex-storage)'!AC457-AD457-AE457,IF(AI457=4,('Calc (ex-animal)'!$K$88+'Calc (ex-animal)'!$L$88)*'Calc (ex-housing, ex-storage)'!F457/100*VLOOKUP(D457,'DB technologies'!$N$224:$Y$236,12,FALSE)/100/VLOOKUP($C$457,'DB animal categories'!$C$167:$AC$176,27,FALSE)*AJ457+Q457+R457+S457-(VLOOKUP(D457,'DB technologies'!$N$224:$Y$236,12,FALSE)/100*AC457)-AD457-AE457,0))))))</f>
        <v/>
      </c>
      <c r="AY457" s="180" t="str">
        <f>IF(D457="","",IF(AS457=2,0,IF(AS457=1,'Calc (ex-animal)'!$N$88*'Calc (ex-housing, ex-storage)'!F457/100/VLOOKUP($C$457,'DB animal categories'!$C$167:$AC$176,27,FALSE)*AJ457+U457+V457+W457,IF(AS457=5,('Calc (ex-animal)'!$N$88+'Calc (ex-animal)'!$O$88)*'Calc (ex-housing, ex-storage)'!F457/100/VLOOKUP($C$457,'DB animal categories'!$C$167:$AC$176,27,FALSE)*AJ457+U457+V457+W457,IF(AS457=3,('Calc (ex-animal)'!$N$88+'Calc (ex-animal)'!$O$88)*'Calc (ex-housing, ex-storage)'!F457/100/VLOOKUP($C$457,'DB animal categories'!$C$167:$AC$176,27,FALSE)*AJ457+U457+V457+W457,IF(AS457=4,('Calc (ex-animal)'!$N$88+'Calc (ex-animal)'!$O$88)*'Calc (ex-housing, ex-storage)'!F457/100*VLOOKUP(D457,'DB technologies'!$N$224:$Y$236,12,FALSE)/100/VLOOKUP($C$457,'DB animal categories'!$C$167:$AC$176,27,FALSE)*AJ457+U457+V457+W457,0))))))</f>
        <v/>
      </c>
      <c r="AZ457" s="180" t="str">
        <f>IF(D457="","",IF(AS457=2,0,IF(AS457=1,'Calc (ex-animal)'!$Q$88*'Calc (ex-housing, ex-storage)'!F457/100/VLOOKUP($C$457,'DB animal categories'!$C$167:$AC$176,27,FALSE)*AJ457+Y457+Z457+AA457,IF(AS457=5,('Calc (ex-animal)'!$Q$88+'Calc (ex-animal)'!$R$88)*'Calc (ex-housing, ex-storage)'!F457/100/VLOOKUP($C$457,'DB animal categories'!$C$167:$AC$176,27,FALSE)*AJ457+Y457+Z457+AA457,IF(AS457=3,('Calc (ex-animal)'!$Q$88+'Calc (ex-animal)'!$R$88)*'Calc (ex-housing, ex-storage)'!F457/100/VLOOKUP($C$457,'DB animal categories'!$C$167:$AC$176,27,FALSE)*AJ457+Y457+Z457+AA457,IF(AS457=4,('Calc (ex-animal)'!$Q$88+'Calc (ex-animal)'!$R$88)*'Calc (ex-housing, ex-storage)'!F457/100*VLOOKUP(D457,'DB technologies'!$N$224:$Y$236,12,FALSE)/100/VLOOKUP($C$457,'DB animal categories'!$C$167:$AC$176,27,FALSE)*AJ457+Y457+Z457+AA457,0))))))</f>
        <v/>
      </c>
      <c r="BA457" s="506"/>
      <c r="BB457" s="506"/>
      <c r="BC457" s="506"/>
    </row>
    <row r="458" spans="1:55" x14ac:dyDescent="0.2">
      <c r="A458" s="695"/>
      <c r="B458" s="695"/>
      <c r="C458" s="255"/>
      <c r="D458" s="1357"/>
      <c r="E458" s="1358"/>
      <c r="F458" s="480" t="str">
        <f>IF('Calc (ex-animal)'!$F$88=1,"",IF($C$457=0,"",IF(D458="","",E458/'Calc (ex-animal)'!$E$88*100)))</f>
        <v/>
      </c>
      <c r="G458" s="485" t="str">
        <f>IF($C$457=0,"",IF('Calc (ex-animal)'!$F$88=1,"",IF(D458="","",SUM(H458:O458))))</f>
        <v/>
      </c>
      <c r="H458" s="423" t="str">
        <f>IF('Calc (ex-animal)'!$F$88=1,"",IF(D458="","",(((VLOOKUP($C$457,'Calc (ex-animal)'!$D$88:$Y$92,6,FALSE)-VLOOKUP($C$457,'Calc (ex-animal)'!$D$88:$Y$92,17,FALSE))*F458/100))*VLOOKUP($C$457,'Calc (ex-animal)'!$D$88:$Y$92,7,FALSE)/100*(1-VLOOKUP(D458,'DB technologies'!$N$224:$Y$236,9,FALSE)/100)))</f>
        <v/>
      </c>
      <c r="I458" s="423" t="str">
        <f>IF(D458="","",((VLOOKUP(D458,'DB technologies'!$N$224:$Y$236,2,FALSE)*VLOOKUP($C$457,'DB animal categories'!$C$167:$AC$176,27,FALSE)*E458/1000)/VLOOKUP($C$457,'DB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'!$S$6/100*(1-VLOOKUP(D458,'DB technologies'!$N$224:$Y$236,9,FALSE)/100)))</f>
        <v/>
      </c>
      <c r="J458" s="434" t="str">
        <f>IF(D458="","",((VLOOKUP(D458,'DB technologies'!$N$224:$Y$236,3,FALSE)*VLOOKUP($C$457,'DB animal categories'!$C$167:$AC$176,27,FALSE)*E458/1000)/VLOOKUP($C$457,'DB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'!$S$7/100*(1-VLOOKUP(D458,'DB technologies'!$N$224:$Y$236,9,FALSE)/100)))</f>
        <v/>
      </c>
      <c r="K458" s="434" t="str">
        <f>IF(D458="","",((VLOOKUP(D458,'DB technologies'!$N$224:$Y$236,4,FALSE)*E458*'DB additional information '!$S$8/100*(1-VLOOKUP(D458,'DB technologies'!$N$224:$Y$236,9,FALSE)/100))/VLOOKUP($C$457,'DB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L458" s="423" t="str">
        <f>IF('Calc (ex-animal)'!$F$88=1,"",IF(D458="","",(((VLOOKUP($C$457,'Calc (ex-animal)'!$D$88:$Y$92,6,FALSE)-VLOOKUP($C$457,'Calc (ex-animal)'!$D$88:$Y$92,17,FALSE))*F458/100))*(1-VLOOKUP($C$457,'Calc (ex-animal)'!$D$88:$Y$92,7,FALSE)/100)*(1-VLOOKUP(D458,'DB technologies'!$N$224:$V$236,8,FALSE)/100)))</f>
        <v/>
      </c>
      <c r="M458" s="434" t="str">
        <f>IF(D458="","",((VLOOKUP(D458,'DB technologies'!$N$224:$Y$236,2,FALSE)*VLOOKUP($C$457,'DB animal categories'!$C$167:$AC$176,27,FALSE)*E458/1000)/VLOOKUP($C$457,'DB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'!$S$6/100)*(1-VLOOKUP(D458,'DB technologies'!$N$224:$Y$236,9,FALSE)/100))</f>
        <v/>
      </c>
      <c r="N458" s="434" t="str">
        <f>IF(D458="","",((VLOOKUP(D458,'DB technologies'!$N$224:$Y$236,3,FALSE)*VLOOKUP($C$457,'DB animal categories'!$C$167:$AC$176,27,FALSE)*E458/1000)/VLOOKUP($C$457,'DB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'!$S$7/100)*(1-VLOOKUP(D458,'DB technologies'!$N$224:$Y$236,9,FALSE)/100))</f>
        <v/>
      </c>
      <c r="O458" s="423" t="str">
        <f>IF(D458="","",((VLOOKUP(D458,'DB technologies'!$N$224:$Y$236,4,FALSE)*E458*(1-'DB additional information '!$S$8/100)*(1-VLOOKUP(D458,'DB technologies'!$N$224:$Y$236,8,FALSE)/100))/VLOOKUP($C$457,'DB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P458" s="438" t="str">
        <f>IF(G458=0,0,IF(E458="","",IF(F458="","",IF($C$457=0,"",IF(D458="","",SUM(H458:K458)/G458*100)))))</f>
        <v/>
      </c>
      <c r="Q458" s="416" t="str">
        <f>IF(D458="","",(VLOOKUP(D458,'DB technologies'!$N$224:$Y$236,2,FALSE)*'DB additional information '!$S$6/100*'DB additional information '!$T$6*VLOOKUP($C$457,'DB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R458" s="416" t="str">
        <f>IF(D458="","",(VLOOKUP(D458,'DB technologies'!$N$224:$Y$236,3,FALSE)*'DB additional information '!$S$7/100*'DB additional information '!$T$7*VLOOKUP($C$457,'DB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S458" s="491" t="str">
        <f>IF(D458="","",(VLOOKUP(D458,'DB technologies'!$N$224:$Y$236,4,FALSE)*('DB additional information '!$S$8/100*'DB additional information '!$T$8*E458/1000/1000)))</f>
        <v/>
      </c>
      <c r="T458" s="264" t="str">
        <f>IF($C$457=0,"",IF('Calc (ex-animal)'!$F$88=1,"",IF(D458="","",((VLOOKUP($C$457,'Calc (ex-animal)'!$D$88:$Y$92,10,FALSE)-VLOOKUP($C$457,'Calc (ex-animal)'!$D$88:$Y$92,18,FALSE))*F458/100+Q458+R458+S458)-AC458-AD458-AE458)))</f>
        <v/>
      </c>
      <c r="U458" s="422" t="str">
        <f>IF(D458="","",(VLOOKUP(D458,'DB technologies'!$N$224:$Y$236,2,FALSE)*'DB additional information '!$S$6/100*'DB additional information '!$U$6*VLOOKUP($C$457,'DB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V458" s="418" t="str">
        <f>IF(D458="","",(VLOOKUP(D458,'DB technologies'!$N$224:$Y$236,3,FALSE)*'DB additional information '!$S$7/100*'DB additional information '!$U$7*VLOOKUP($C$457,'DB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W458" s="417" t="str">
        <f>IF(D458="","",(VLOOKUP(D458,'DB technologies'!$N$224:$Y$236,4,FALSE)*('DB additional information '!$S$8/100*'DB additional information '!$U$8*E458/1000/1000)))</f>
        <v/>
      </c>
      <c r="X458" s="261" t="str">
        <f>IF($C$457=0,"",IF('Calc (ex-animal)'!$F$88=1,"",IF(D458="","",((VLOOKUP($C$457,'Calc (ex-animal)'!$D$88:$Y$92,13,FALSE)-VLOOKUP($C$457,'Calc (ex-animal)'!$D$88:$Y$92,19,FALSE))*F458/100+U458+V458+W458))))</f>
        <v/>
      </c>
      <c r="Y458" s="418" t="str">
        <f>IF(D458="","",(VLOOKUP(D458,'DB technologies'!$N$224:$Y$236,2,FALSE)*'DB additional information '!$S$6/100*'DB additional information '!$V$6*VLOOKUP($C$457,'DB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Z458" s="418" t="str">
        <f>IF(D458="","",(VLOOKUP(D458,'DB technologies'!$N$224:$Y$236,3,FALSE)*'DB additional information '!$S$7/100*'DB additional information '!$V$7*VLOOKUP($C$457,'DB animal categories'!$C$167:$AC$176,27,FALSE)*E458/1000/1000)/VLOOKUP($C$457,'DB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AA458" s="418" t="str">
        <f>IF(D458="","",(VLOOKUP(D458,'DB technologies'!$N$224:$Y$236,4,FALSE)*('DB additional information '!$S$8/100*'DB additional information '!$V$8*E458/1000/1000)))</f>
        <v/>
      </c>
      <c r="AB458" s="261" t="str">
        <f>IF($C$457=0,"",IF('Calc (ex-animal)'!$F$88=1,"",IF(D458="","",((VLOOKUP($C$457,'Calc (ex-animal)'!$D$88:$Y$92,16,FALSE)-VLOOKUP($C$457,'Calc (ex-animal)'!$D$88:$Y$92,20,FALSE))*F458/100+Y458+Z458+AA458))))</f>
        <v/>
      </c>
      <c r="AC458" s="261" t="str">
        <f>IF($C$457=0,"",IF('Calc (ex-animal)'!$F$88=1,"",IF(D458="","",VLOOKUP($C$457,'Calc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categories'!$C$167:$AC$176,26,FALSE)/24)*F458/100*VLOOKUP(D458,'DB technologies'!$N$224:$R$236,5,FALSE)/100)))</f>
        <v/>
      </c>
      <c r="AD458" s="261" t="str">
        <f>IF($C$457=0,"",IF('Calc (ex-animal)'!$F$88=1,"",IF(D458="","",VLOOKUP($C$457,'Calc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categories'!$C$167:$AC$176,26,FALSE)/24)*F458/100*VLOOKUP(D458,'DB technologies'!$N$224:$Y$236,6,FALSE)/100)))</f>
        <v/>
      </c>
      <c r="AE458" s="262" t="str">
        <f>IF($C$457=0,"",IF('Calc (ex-animal)'!$F$88=1,"",IF(D458="","",VLOOKUP($C$457,'Calc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categories'!$C$167:$AC$176,26,FALSE)/24)*F458/100*VLOOKUP(D458,'DB technologies'!$N$224:$Y$236,7,FALSE)/100)))</f>
        <v/>
      </c>
      <c r="AI458" s="181" t="str">
        <f>IF(D458="","",VLOOKUP(D458,'DB technologies'!$N$224:$Y$236,10,FALSE))</f>
        <v/>
      </c>
      <c r="AJ458" s="449" t="e">
        <f>VLOOKUP($C$457,'DB animal categories'!$C$167:$AN$176,27,FALSE)-VLOOKUP($C$457,'DB animal categories'!$C$167:$AN$176,26,FALSE)*VLOOKUP($C$457,'DB animal categories'!$C$167:$AN$176,25,FALSE)/24</f>
        <v>#N/A</v>
      </c>
      <c r="AK458" s="442" t="str">
        <f>IF(AI458="","",AL458+AM458)</f>
        <v/>
      </c>
      <c r="AL458" s="442" t="str">
        <f>IF(D458="","",IF(AI458=2,(('Calc (ex-animal)'!$G$88*'DB additional information '!$K$19/100*(1-VLOOKUP(D458,'DB technologies'!$N$224:$Y$236,9,FALSE)/100)*'Calc (ex-housing, ex-storage)'!F458/100+'Calc (ex-animal)'!$H$88*'DB additional information '!$L$19/100*(1-VLOOKUP(D458,'DB technologies'!$N$224:$Y$236,9,FALSE)/100)*'Calc (ex-housing, ex-storage)'!F458/100))/VLOOKUP($C$457,'DB animal categories'!$C$167:$AC$176,27,FALSE)*AJ458+I458+J458+K458,IF(AI458=1,('Calc (ex-animal)'!$H$88*'DB additional information '!$L$19/100*(1-VLOOKUP(D458,'DB technologies'!$N$224:$Y$236,9,FALSE)/100)*'Calc (ex-housing, ex-storage)'!F458/100)/VLOOKUP($C$457,'DB animal categories'!$C$167:$AC$176,27,FALSE)*AJ458,IF(AI458=4,('Calc (ex-animal)'!$G$88*'DB additional information '!$K$19/100+'Calc (ex-animal)'!$H$88*'DB additional information '!$L$19/100)*(1-VLOOKUP(D458,'DB technologies'!$N$224:$Y$236,9,FALSE)/100)*'Calc (ex-housing, ex-storage)'!F458/100*VLOOKUP(D458,'DB technologies'!$N$224:$Y$236,11,FALSE)/100/VLOOKUP($C$457,'DB animal categories'!$C$167:$AC$176,27,FALSE)*AJ458,0))))</f>
        <v/>
      </c>
      <c r="AM458" s="442" t="str">
        <f>IF(D458="","",IF(AI458=2,(('Calc (ex-animal)'!$G$88*(1-'DB additional information '!$K$19/100)*(1-VLOOKUP(D458,'DB technologies'!$N$224:$Y$236,8,FALSE)/100)*'Calc (ex-housing, ex-storage)'!F458/100+'Calc (ex-animal)'!$H$88*(1-'DB additional information '!$L$19/100)*(1-VLOOKUP(D458,'DB technologies'!$N$224:$Y$236,8,FALSE)/100)*'Calc (ex-housing, ex-storage)'!F458/100))/VLOOKUP($C$457,'DB animal categories'!$C$167:$AC$176,27,FALSE)*AJ458+M458+N458+O458,IF(AI458=1,('Calc (ex-animal)'!$H$88*(1-'DB additional information '!$L$19/100)*(1-VLOOKUP(D458,'DB technologies'!$N$224:$Y$236,8,FALSE)/100)*'Calc (ex-housing, ex-storage)'!F458/100)/VLOOKUP($C$457,'DB animal categories'!$C$167:$AC$176,27,FALSE)*AJ458,IF(AI458=4,('Calc (ex-animal)'!$G$88*(1-'DB additional information '!$K$19/100)+'Calc (ex-animal)'!$H$88*(1-'DB additional information '!$L$19/100))*(1-VLOOKUP(D458,'DB technologies'!$N$224:$Y$236,8,FALSE)/100)*'Calc (ex-housing, ex-storage)'!F458/100*VLOOKUP(D458,'DB technologies'!$N$224:$Y$236,11,FALSE)/100/VLOOKUP($C$457,'DB animal categories'!$C$167:$AC$176,27,FALSE)*AJ458,0))))</f>
        <v/>
      </c>
      <c r="AN458" s="442" t="str">
        <f>IF(AI458="","",IF(AL458=0,0,AL458/AK458*100))</f>
        <v/>
      </c>
      <c r="AO458" s="182" t="str">
        <f>IF(D458="","",IF(AI458=2,(('Calc (ex-animal)'!$L$88*'Calc (ex-housing, ex-storage)'!F458/100+'Calc (ex-animal)'!$K$88*'Calc (ex-housing, ex-storage)'!F458/100))/VLOOKUP($C$457,'DB animal categories'!$C$167:$AC$176,27,FALSE)*AJ458+Q458+R458+S458-AC458,IF(AI458=1,('Calc (ex-animal)'!$L$88*'Calc (ex-housing, ex-storage)'!F458/100)/VLOOKUP($C$457,'DB animal categories'!$C$167:$AC$176,27,FALSE)*AJ458-'Calc (ex-housing, ex-storage)'!AC458,IF(AI458=4,('Calc (ex-animal)'!$L$88+'Calc (ex-animal)'!$K$88)*'Calc (ex-housing, ex-storage)'!F458/100*VLOOKUP(D458,'DB technologies'!$N$224:$Y$236,11,FALSE)/100/VLOOKUP($C$457,'DB animal categories'!$C$167:$AC$176,27,FALSE)*AJ458-AC458*VLOOKUP(D458,'DB technologies'!$N$224:$Y$236,11,FALSE)/100,0))))</f>
        <v/>
      </c>
      <c r="AP458" s="182" t="str">
        <f>IF(D458="","",IF(AO458&lt;-0.01,0,IF(AI458=2,(('Calc (ex-animal)'!$L$88*'Calc (ex-housing, ex-storage)'!F458/100+'Calc (ex-animal)'!$K$88*'Calc (ex-housing, ex-storage)'!F458/100))/VLOOKUP($C$457,'DB animal categories'!$C$167:$AC$176,27,FALSE)*AJ458+Q458+R458+S458-AC458,IF(AI458=1,('Calc (ex-animal)'!$L$88*'Calc (ex-housing, ex-storage)'!F458/100)/VLOOKUP($C$457,'DB animal categories'!$C$167:$AC$176,27,FALSE)*AJ458-'Calc (ex-housing, ex-storage)'!AC458,IF(AI458=4,('Calc (ex-animal)'!$L$88+'Calc (ex-animal)'!$K$88)*'Calc (ex-housing, ex-storage)'!F458/100*VLOOKUP(D458,'DB technologies'!$N$224:$Y$236,11,FALSE)/100/VLOOKUP($C$457,'DB animal categories'!$C$167:$AC$176,27,FALSE)*AJ458-AC458*VLOOKUP(D458,'DB technologies'!$N$224:$Y$236,11,FALSE)/100,0)))))</f>
        <v/>
      </c>
      <c r="AQ458" s="182" t="str">
        <f>IF(D458="","",IF(AI458=2,('Calc (ex-animal)'!$O$88*'Calc (ex-housing, ex-storage)'!F458/100+'Calc (ex-animal)'!$N$88*'Calc (ex-housing, ex-storage)'!F458/100)/VLOOKUP($C$457,'DB animal categories'!$C$167:$AC$176,27,FALSE)*AJ458+U458+V458+W458,IF(AI458=1,'Calc (ex-animal)'!$O$88*'Calc (ex-housing, ex-storage)'!F458/100/VLOOKUP($C$457,'DB animal categories'!$C$167:$AC$176,27,FALSE)*AJ458,IF(AI458=4,('Calc (ex-animal)'!$O$88+'Calc (ex-animal)'!$N$88)*'Calc (ex-housing, ex-storage)'!F458/100*VLOOKUP(D458,'DB technologies'!$N$224:$Y$236,11,FALSE)/100/VLOOKUP($C$457,'DB animal categories'!$C$167:$AC$176,27,FALSE)*AJ458,0))))</f>
        <v/>
      </c>
      <c r="AR458" s="182" t="str">
        <f>IF(D458="","",IF(AI458=2,('Calc (ex-animal)'!$R$88*'Calc (ex-housing, ex-storage)'!F458/100+'Calc (ex-animal)'!$Q$88*'Calc (ex-housing, ex-storage)'!F458/100)/VLOOKUP($C$457,'DB animal categories'!$C$167:$AC$176,27,FALSE)*AJ458+Y458+Z458+AA458,IF(AI458=1,'Calc (ex-animal)'!$R$88*'Calc (ex-housing, ex-storage)'!F458/100/VLOOKUP($C$457,'DB animal categories'!$C$167:$AC$176,27,FALSE)*AJ458,IF(AI458=4,('Calc (ex-animal)'!$R$88+'Calc (ex-animal)'!$Q$88)*'Calc (ex-housing, ex-storage)'!F458/100*VLOOKUP(D458,'DB technologies'!$N$224:$Y$236,11,FALSE)/100/VLOOKUP($C$457,'DB animal categories'!$C$167:$AC$176,27,FALSE)*AJ458,0))))</f>
        <v/>
      </c>
      <c r="AS458" s="181" t="str">
        <f>IF(D458="","",VLOOKUP(D458,'DB technologies'!$N$224:$Y$236,10,FALSE))</f>
        <v/>
      </c>
      <c r="AT458" s="442" t="str">
        <f>IF(AS458="","",AU458+AV458)</f>
        <v/>
      </c>
      <c r="AU458" s="442" t="str">
        <f>IF(D458="","",IF(AS458=2,0,IF(AS458=1,'Calc (ex-animal)'!$G$88*'DB additional information '!$K$19/100*(1-VLOOKUP(D458,'DB technologies'!$N$224:$Y$236,8,FALSE)/100)*'Calc (ex-housing, ex-storage)'!F458/100/VLOOKUP($C$457,'DB animal categories'!$C$167:$AC$176,27,FALSE)*AJ458+I458+J458+K458,IF(AS458=5,(('Calc (ex-animal)'!$G$88*'DB additional information '!$K$19/100+'Calc (ex-animal)'!$H$88*'DB additional information '!$L$19/100))*(1-VLOOKUP(D458,'DB technologies'!$N$224:$Y$236,9,FALSE)/100)*'Calc (ex-housing, ex-storage)'!F458/100/VLOOKUP($C$457,'DB animal categories'!$C$167:$AC$176,27,FALSE)*AJ458+I458+J458+K458,IF(AS458=3,('Calc (ex-animal)'!$G$88*'DB additional information '!$K$19/100+'Calc (ex-animal)'!$H$88*'DB additional information '!$L$19/100)*(1-VLOOKUP(D458,'DB technologies'!$N$224:$Y$236,9,FALSE)/100)*'Calc (ex-housing, ex-storage)'!F458/100/VLOOKUP($C$457,'DB animal categories'!$C$167:$AC$176,27,FALSE)*AJ458+I458+J458+K458,IF(AS458=4,('Calc (ex-animal)'!$G$88*'DB additional information '!$K$19/100+'Calc (ex-animal)'!$H$88*'DB additional information '!$L$19/100)*(1-VLOOKUP(D458,'DB technologies'!$N$224:$Y$236,9,FALSE)/100)*'Calc (ex-housing, ex-storage)'!F458/100*VLOOKUP(D458,'DB technologies'!$N$224:$Y$236,12,FALSE)/100/VLOOKUP($C$457,'DB animal categories'!$C$167:$AC$176,27,FALSE)*AJ458+I458+J458+K458,0))))))</f>
        <v/>
      </c>
      <c r="AV458" s="442" t="str">
        <f>IF(D458="","",IF(AS458=2,0,IF(AS458=1,'Calc (ex-animal)'!$G$88*(1-'DB additional information '!$K$19/100)*(1-VLOOKUP(D458,'DB technologies'!$N$224:$Y$236,8,FALSE)/100)*'Calc (ex-housing, ex-storage)'!F458/100/VLOOKUP($C$457,'DB animal categories'!$C$167:$AC$176,27,FALSE)*AJ458+M458+N458+O458,IF(AS458=5,('Calc (ex-animal)'!$G$88*(1-'DB additional information '!$K$19/100)+'Calc (ex-animal)'!$H$88*(1-'DB additional information '!$L$19/100))*(1-VLOOKUP(D458,'DB technologies'!$N$224:$Y$236,8,FALSE)/100)*'Calc (ex-housing, ex-storage)'!F458/100/VLOOKUP($C$457,'DB animal categories'!$C$167:$AC$176,27,FALSE)*AJ458+M458+N458+O458,IF(AS458=3,('Calc (ex-animal)'!$G$88*(1-'DB additional information '!$K$19/100)+'Calc (ex-animal)'!$H$88*(1-'DB additional information '!$L$19/100))*(1-VLOOKUP(D458,'DB technologies'!$N$224:$Y$236,8,FALSE)/100)*'Calc (ex-housing, ex-storage)'!F458/100/VLOOKUP($C$457,'DB animal categories'!$C$167:$AC$176,27,FALSE)*AJ458+M458+N458+O458,IF(AS458=4,('Calc (ex-animal)'!$G$88*(1-'DB additional information '!$K$19/100)+'Calc (ex-animal)'!$H$88*(1-'DB additional information '!$L$19/100))*(1-VLOOKUP(D458,'DB technologies'!$N$224:$Y$236,8,FALSE)/100)*'Calc (ex-housing, ex-storage)'!F458/100*VLOOKUP(D458,'DB technologies'!$N$224:$Y$236,12,FALSE)/100/VLOOKUP($C$457,'DB animal categories'!$C$167:$AC$176,27,FALSE)*AJ458+M458+N458+O458,0))))))</f>
        <v/>
      </c>
      <c r="AW458" s="442" t="str">
        <f>IF(AS458="","",IF(AU458=0,0,AU458/AT458*100))</f>
        <v/>
      </c>
      <c r="AX458" s="182" t="str">
        <f>IF(D458="","",IF(AS458=2,0,IF(AS458=1,'Calc (ex-animal)'!$K$88*'Calc (ex-housing, ex-storage)'!F458/100/VLOOKUP($C$457,'DB animal categories'!$C$167:$AC$176,27,FALSE)*AJ458+Q458+R458+S458,IF(AS458=5,('Calc (ex-animal)'!$K$88+'Calc (ex-animal)'!$L$88)*'Calc (ex-housing, ex-storage)'!F458/100/VLOOKUP($C$457,'DB animal categories'!$C$167:$AC$176,27,FALSE)*AJ458+Q458+R458+S458-'Calc (ex-housing, ex-storage)'!AC458,IF(AS458=3,('Calc (ex-animal)'!$K$88+'Calc (ex-animal)'!$L$88)*'Calc (ex-housing, ex-storage)'!F458/100/VLOOKUP($C$457,'DB animal categories'!$C$167:$AC$176,27,FALSE)*AJ458+Q458+R458+S458-'Calc (ex-housing, ex-storage)'!AC458-AD458-AE458,IF(AI458=4,('Calc (ex-animal)'!$K$88+'Calc (ex-animal)'!$L$88)*'Calc (ex-housing, ex-storage)'!F458/100*VLOOKUP(D458,'DB technologies'!$N$224:$Y$236,12,FALSE)/100/VLOOKUP($C$457,'DB animal categories'!$C$167:$AC$176,27,FALSE)*AJ458+Q458+R458+S458-(VLOOKUP(D458,'DB technologies'!$N$224:$Y$236,12,FALSE)/100*AC458)-AD458-AE458,0))))))</f>
        <v/>
      </c>
      <c r="AY458" s="182" t="str">
        <f>IF(D458="","",IF(AS458=2,0,IF(AS458=1,'Calc (ex-animal)'!$N$88*'Calc (ex-housing, ex-storage)'!F458/100/VLOOKUP($C$457,'DB animal categories'!$C$167:$AC$176,27,FALSE)*AJ458+U458+V458+W458,IF(AS458=5,('Calc (ex-animal)'!$N$88+'Calc (ex-animal)'!$O$88)*'Calc (ex-housing, ex-storage)'!F458/100/VLOOKUP($C$457,'DB animal categories'!$C$167:$AC$176,27,FALSE)*AJ458+U458+V458+W458,IF(AS458=3,('Calc (ex-animal)'!$N$88+'Calc (ex-animal)'!$O$88)*'Calc (ex-housing, ex-storage)'!F458/100/VLOOKUP($C$457,'DB animal categories'!$C$167:$AC$176,27,FALSE)*AJ458+U458+V458+W458,IF(AS458=4,('Calc (ex-animal)'!$N$88+'Calc (ex-animal)'!$O$88)*'Calc (ex-housing, ex-storage)'!F458/100*VLOOKUP(D458,'DB technologies'!$N$224:$Y$236,12,FALSE)/100/VLOOKUP($C$457,'DB animal categories'!$C$167:$AC$176,27,FALSE)*AJ458+U458+V458+W458,0))))))</f>
        <v/>
      </c>
      <c r="AZ458" s="182" t="str">
        <f>IF(D458="","",IF(AS458=2,0,IF(AS458=1,'Calc (ex-animal)'!$Q$88*'Calc (ex-housing, ex-storage)'!F458/100/VLOOKUP($C$457,'DB animal categories'!$C$167:$AC$176,27,FALSE)*AJ458+Y458+Z458+AA458,IF(AS458=5,('Calc (ex-animal)'!$Q$88+'Calc (ex-animal)'!$R$88)*'Calc (ex-housing, ex-storage)'!F458/100/VLOOKUP($C$457,'DB animal categories'!$C$167:$AC$176,27,FALSE)*AJ458+Y458+Z458+AA458,IF(AS458=3,('Calc (ex-animal)'!$Q$88+'Calc (ex-animal)'!$R$88)*'Calc (ex-housing, ex-storage)'!F458/100/VLOOKUP($C$457,'DB animal categories'!$C$167:$AC$176,27,FALSE)*AJ458+Y458+Z458+AA458,IF(AS458=4,('Calc (ex-animal)'!$Q$88+'Calc (ex-animal)'!$R$88)*'Calc (ex-housing, ex-storage)'!F458/100*VLOOKUP(D458,'DB technologies'!$N$224:$Y$236,12,FALSE)/100/VLOOKUP($C$457,'DB animal categories'!$C$167:$AC$176,27,FALSE)*AJ458+Y458+Z458+AA458,0))))))</f>
        <v/>
      </c>
      <c r="BA458" s="506"/>
      <c r="BB458" s="506"/>
      <c r="BC458" s="506"/>
    </row>
    <row r="459" spans="1:55" x14ac:dyDescent="0.2">
      <c r="A459" s="695"/>
      <c r="B459" s="695"/>
      <c r="C459" s="255"/>
      <c r="D459" s="1357"/>
      <c r="E459" s="1358"/>
      <c r="F459" s="480" t="str">
        <f>IF('Calc (ex-animal)'!$F$88=1,"",IF($C$457=0,"",IF(D459="","",E459/'Calc (ex-animal)'!$E$88*100)))</f>
        <v/>
      </c>
      <c r="G459" s="485" t="str">
        <f>IF($C$457=0,"",IF('Calc (ex-animal)'!$F$88=1,"",IF(D459="","",SUM(H459:O459))))</f>
        <v/>
      </c>
      <c r="H459" s="423" t="str">
        <f>IF('Calc (ex-animal)'!$F$88=1,"",IF(D459="","",(((VLOOKUP($C$457,'Calc (ex-animal)'!$D$88:$Y$92,6,FALSE)-VLOOKUP($C$457,'Calc (ex-animal)'!$D$88:$Y$92,17,FALSE))*F459/100))*VLOOKUP($C$457,'Calc (ex-animal)'!$D$88:$Y$92,7,FALSE)/100*(1-VLOOKUP(D459,'DB technologies'!$N$224:$Y$236,9,FALSE)/100)))</f>
        <v/>
      </c>
      <c r="I459" s="423" t="str">
        <f>IF(D459="","",((VLOOKUP(D459,'DB technologies'!$N$224:$Y$236,2,FALSE)*VLOOKUP($C$457,'DB animal categories'!$C$167:$AC$176,27,FALSE)*E459/1000)/VLOOKUP($C$457,'DB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'!$S$6/100*(1-VLOOKUP(D459,'DB technologies'!$N$224:$Y$236,9,FALSE)/100)))</f>
        <v/>
      </c>
      <c r="J459" s="434" t="str">
        <f>IF(D459="","",((VLOOKUP(D459,'DB technologies'!$N$224:$Y$236,3,FALSE)*VLOOKUP($C$457,'DB animal categories'!$C$167:$AC$176,27,FALSE)*E459/1000)/VLOOKUP($C$457,'DB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'!$S$7/100*(1-VLOOKUP(D459,'DB technologies'!$N$224:$Y$236,9,FALSE)/100)))</f>
        <v/>
      </c>
      <c r="K459" s="434" t="str">
        <f>IF(D459="","",((VLOOKUP(D459,'DB technologies'!$N$224:$Y$236,4,FALSE)*E459*'DB additional information '!$S$8/100*(1-VLOOKUP(D459,'DB technologies'!$N$224:$Y$236,9,FALSE)/100))/VLOOKUP($C$457,'DB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L459" s="423" t="str">
        <f>IF('Calc (ex-animal)'!$F$88=1,"",IF(D459="","",(((VLOOKUP($C$457,'Calc (ex-animal)'!$D$88:$Y$92,6,FALSE)-VLOOKUP($C$457,'Calc (ex-animal)'!$D$88:$Y$92,17,FALSE))*F459/100))*(1-VLOOKUP($C$457,'Calc (ex-animal)'!$D$88:$Y$92,7,FALSE)/100)*(1-VLOOKUP(D459,'DB technologies'!$N$224:$V$236,8,FALSE)/100)))</f>
        <v/>
      </c>
      <c r="M459" s="434" t="str">
        <f>IF(D459="","",((VLOOKUP(D459,'DB technologies'!$N$224:$Y$236,2,FALSE)*VLOOKUP($C$457,'DB animal categories'!$C$167:$AC$176,27,FALSE)*E459/1000)/VLOOKUP($C$457,'DB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'!$S$6/100)*(1-VLOOKUP(D459,'DB technologies'!$N$224:$Y$236,9,FALSE)/100))</f>
        <v/>
      </c>
      <c r="N459" s="434" t="str">
        <f>IF(D459="","",((VLOOKUP(D459,'DB technologies'!$N$224:$Y$236,3,FALSE)*VLOOKUP($C$457,'DB animal categories'!$C$167:$AC$176,27,FALSE)*E459/1000)/VLOOKUP($C$457,'DB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'!$S$7/100)*(1-VLOOKUP(D459,'DB technologies'!$N$224:$Y$236,9,FALSE)/100))</f>
        <v/>
      </c>
      <c r="O459" s="423" t="str">
        <f>IF(D459="","",((VLOOKUP(D459,'DB technologies'!$N$224:$Y$236,4,FALSE)*E459*(1-'DB additional information '!$S$8/100)*(1-VLOOKUP(D459,'DB technologies'!$N$224:$Y$236,8,FALSE)/100))/VLOOKUP($C$457,'DB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P459" s="438" t="str">
        <f>IF(G459=0,0,IF(E459="","",IF(F459="","",IF($C$457=0,"",IF(D459="","",SUM(H459:K459)/G459*100)))))</f>
        <v/>
      </c>
      <c r="Q459" s="416" t="str">
        <f>IF(D459="","",(VLOOKUP(D459,'DB technologies'!$N$224:$Y$236,2,FALSE)*'DB additional information '!$S$6/100*'DB additional information '!$T$6*VLOOKUP($C$457,'DB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R459" s="416" t="str">
        <f>IF(D459="","",(VLOOKUP(D459,'DB technologies'!$N$224:$Y$236,3,FALSE)*'DB additional information '!$S$7/100*'DB additional information '!$T$7*VLOOKUP($C$457,'DB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S459" s="491" t="str">
        <f>IF(D459="","",(VLOOKUP(D459,'DB technologies'!$N$224:$Y$236,4,FALSE)*('DB additional information '!$S$8/100*'DB additional information '!$T$8*E459/1000/1000)))</f>
        <v/>
      </c>
      <c r="T459" s="264" t="str">
        <f>IF($C$457=0,"",IF('Calc (ex-animal)'!$F$88=1,"",IF(D459="","",((VLOOKUP($C$457,'Calc (ex-animal)'!$D$88:$Y$92,10,FALSE)-VLOOKUP($C$457,'Calc (ex-animal)'!$D$88:$Y$92,18,FALSE))*F459/100+Q459+R459+S459)-AC459-AD459-AE459)))</f>
        <v/>
      </c>
      <c r="U459" s="422" t="str">
        <f>IF(D459="","",(VLOOKUP(D459,'DB technologies'!$N$224:$Y$236,2,FALSE)*'DB additional information '!$S$6/100*'DB additional information '!$U$6*VLOOKUP($C$457,'DB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V459" s="418" t="str">
        <f>IF(D459="","",(VLOOKUP(D459,'DB technologies'!$N$224:$Y$236,3,FALSE)*'DB additional information '!$S$7/100*'DB additional information '!$U$7*VLOOKUP($C$457,'DB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W459" s="417" t="str">
        <f>IF(D459="","",(VLOOKUP(D459,'DB technologies'!$N$224:$Y$236,4,FALSE)*('DB additional information '!$S$8/100*'DB additional information '!$U$8*E459/1000/1000)))</f>
        <v/>
      </c>
      <c r="X459" s="261" t="str">
        <f>IF($C$457=0,"",IF('Calc (ex-animal)'!$F$88=1,"",IF(D459="","",((VLOOKUP($C$457,'Calc (ex-animal)'!$D$88:$Y$92,13,FALSE)-VLOOKUP($C$457,'Calc (ex-animal)'!$D$88:$Y$92,19,FALSE))*F459/100+U459+V459+W459))))</f>
        <v/>
      </c>
      <c r="Y459" s="418" t="str">
        <f>IF(D459="","",(VLOOKUP(D459,'DB technologies'!$N$224:$Y$236,2,FALSE)*'DB additional information '!$S$6/100*'DB additional information '!$V$6*VLOOKUP($C$457,'DB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Z459" s="418" t="str">
        <f>IF(D459="","",(VLOOKUP(D459,'DB technologies'!$N$224:$Y$236,3,FALSE)*'DB additional information '!$S$7/100*'DB additional information '!$V$7*VLOOKUP($C$457,'DB animal categories'!$C$167:$AC$176,27,FALSE)*E459/1000/1000)/VLOOKUP($C$457,'DB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AA459" s="418" t="str">
        <f>IF(D459="","",(VLOOKUP(D459,'DB technologies'!$N$224:$Y$236,4,FALSE)*('DB additional information '!$S$8/100*'DB additional information '!$V$8*E459/1000/1000)))</f>
        <v/>
      </c>
      <c r="AB459" s="261" t="str">
        <f>IF($C$457=0,"",IF('Calc (ex-animal)'!$F$88=1,"",IF(D459="","",((VLOOKUP($C$457,'Calc (ex-animal)'!$D$88:$Y$92,16,FALSE)-VLOOKUP($C$457,'Calc (ex-animal)'!$D$88:$Y$92,20,FALSE))*F459/100+Y459+Z459+AA459))))</f>
        <v/>
      </c>
      <c r="AC459" s="261" t="str">
        <f>IF($C$457=0,"",IF('Calc (ex-animal)'!$F$88=1,"",IF(D459="","",VLOOKUP($C$457,'Calc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categories'!$C$167:$AC$176,26,FALSE)/24)*F459/100*VLOOKUP(D459,'DB technologies'!$N$224:$R$236,5,FALSE)/100)))</f>
        <v/>
      </c>
      <c r="AD459" s="261" t="str">
        <f>IF($C$457=0,"",IF('Calc (ex-animal)'!$F$88=1,"",IF(D459="","",VLOOKUP($C$457,'Calc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categories'!$C$167:$AC$176,26,FALSE)/24)*F459/100*VLOOKUP(D459,'DB technologies'!$N$224:$Y$236,6,FALSE)/100)))</f>
        <v/>
      </c>
      <c r="AE459" s="262" t="str">
        <f>IF($C$457=0,"",IF('Calc (ex-animal)'!$F$88=1,"",IF(D459="","",VLOOKUP($C$457,'Calc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categories'!$C$167:$AC$176,26,FALSE)/24)*F459/100*VLOOKUP(D459,'DB technologies'!$N$224:$Y$236,7,FALSE)/100)))</f>
        <v/>
      </c>
      <c r="AI459" s="181" t="str">
        <f>IF(D459="","",VLOOKUP(D459,'DB technologies'!$N$224:$Y$236,10,FALSE))</f>
        <v/>
      </c>
      <c r="AJ459" s="449" t="e">
        <f>VLOOKUP($C$457,'DB animal categories'!$C$167:$AN$176,27,FALSE)-VLOOKUP($C$457,'DB animal categories'!$C$167:$AN$176,26,FALSE)*VLOOKUP($C$457,'DB animal categories'!$C$167:$AN$176,25,FALSE)/24</f>
        <v>#N/A</v>
      </c>
      <c r="AK459" s="442" t="str">
        <f>IF(AI459="","",AL459+AM459)</f>
        <v/>
      </c>
      <c r="AL459" s="442" t="str">
        <f>IF(D459="","",IF(AI459=2,(('Calc (ex-animal)'!$G$88*'DB additional information '!$K$19/100*(1-VLOOKUP(D459,'DB technologies'!$N$224:$Y$236,9,FALSE)/100)*'Calc (ex-housing, ex-storage)'!F459/100+'Calc (ex-animal)'!$H$88*'DB additional information '!$L$19/100*(1-VLOOKUP(D459,'DB technologies'!$N$224:$Y$236,9,FALSE)/100)*'Calc (ex-housing, ex-storage)'!F459/100))/VLOOKUP($C$457,'DB animal categories'!$C$167:$AC$176,27,FALSE)*AJ459+I459+J459+K459,IF(AI459=1,('Calc (ex-animal)'!$H$88*'DB additional information '!$L$19/100*(1-VLOOKUP(D459,'DB technologies'!$N$224:$Y$236,9,FALSE)/100)*'Calc (ex-housing, ex-storage)'!F459/100)/VLOOKUP($C$457,'DB animal categories'!$C$167:$AC$176,27,FALSE)*AJ459,IF(AI459=4,('Calc (ex-animal)'!$G$88*'DB additional information '!$K$19/100+'Calc (ex-animal)'!$H$88*'DB additional information '!$L$19/100)*(1-VLOOKUP(D459,'DB technologies'!$N$224:$Y$236,9,FALSE)/100)*'Calc (ex-housing, ex-storage)'!F459/100*VLOOKUP(D459,'DB technologies'!$N$224:$Y$236,11,FALSE)/100/VLOOKUP($C$457,'DB animal categories'!$C$167:$AC$176,27,FALSE)*AJ459,0))))</f>
        <v/>
      </c>
      <c r="AM459" s="442" t="str">
        <f>IF(D459="","",IF(AI459=2,(('Calc (ex-animal)'!$G$88*(1-'DB additional information '!$K$19/100)*(1-VLOOKUP(D459,'DB technologies'!$N$224:$Y$236,8,FALSE)/100)*'Calc (ex-housing, ex-storage)'!F459/100+'Calc (ex-animal)'!$H$88*(1-'DB additional information '!$L$19/100)*(1-VLOOKUP(D459,'DB technologies'!$N$224:$Y$236,8,FALSE)/100)*'Calc (ex-housing, ex-storage)'!F459/100))/VLOOKUP($C$457,'DB animal categories'!$C$167:$AC$176,27,FALSE)*AJ459+M459+N459+O459,IF(AI459=1,('Calc (ex-animal)'!$H$88*(1-'DB additional information '!$L$19/100)*(1-VLOOKUP(D459,'DB technologies'!$N$224:$Y$236,8,FALSE)/100)*'Calc (ex-housing, ex-storage)'!F459/100)/VLOOKUP($C$457,'DB animal categories'!$C$167:$AC$176,27,FALSE)*AJ459,IF(AI459=4,('Calc (ex-animal)'!$G$88*(1-'DB additional information '!$K$19/100)+'Calc (ex-animal)'!$H$88*(1-'DB additional information '!$L$19/100))*(1-VLOOKUP(D459,'DB technologies'!$N$224:$Y$236,8,FALSE)/100)*'Calc (ex-housing, ex-storage)'!F459/100*VLOOKUP(D459,'DB technologies'!$N$224:$Y$236,11,FALSE)/100/VLOOKUP($C$456,'DB animal categories'!$C$167:$AC$176,27,FALSE)*AJ459,0))))</f>
        <v/>
      </c>
      <c r="AN459" s="442" t="str">
        <f>IF(AI459="","",IF(AL459=0,0,AL459/AK459*100))</f>
        <v/>
      </c>
      <c r="AO459" s="182" t="str">
        <f>IF(D459="","",IF(AI459=2,(('Calc (ex-animal)'!$L$88*'Calc (ex-housing, ex-storage)'!F459/100+'Calc (ex-animal)'!$K$88*'Calc (ex-housing, ex-storage)'!F459/100))/VLOOKUP($C$457,'DB animal categories'!$C$167:$AC$176,27,FALSE)*AJ459+Q459+R459+S459-AC459,IF(AI459=1,('Calc (ex-animal)'!$L$88*'Calc (ex-housing, ex-storage)'!F459/100)/VLOOKUP($C$457,'DB animal categories'!$C$167:$AC$176,27,FALSE)*AJ459-'Calc (ex-housing, ex-storage)'!AC459,IF(AI459=4,('Calc (ex-animal)'!$L$88+'Calc (ex-animal)'!$K$88)*'Calc (ex-housing, ex-storage)'!F459/100*VLOOKUP(D459,'DB technologies'!$N$224:$Y$236,11,FALSE)/100/VLOOKUP($C$457,'DB animal categories'!$C$167:$AC$176,27,FALSE)*AJ459-AC459*VLOOKUP(D459,'DB technologies'!$N$224:$Y$236,11,FALSE)/100,0))))</f>
        <v/>
      </c>
      <c r="AP459" s="182" t="str">
        <f>IF(D459="","",IF(AO459&lt;-0.01,0,IF(AI459=2,(('Calc (ex-animal)'!$L$88*'Calc (ex-housing, ex-storage)'!F459/100+'Calc (ex-animal)'!$K$88*'Calc (ex-housing, ex-storage)'!F459/100))/VLOOKUP($C$457,'DB animal categories'!$C$167:$AC$176,27,FALSE)*AJ459+Q459+R459+S459-AC459,IF(AI459=1,('Calc (ex-animal)'!$L$88*'Calc (ex-housing, ex-storage)'!F459/100)/VLOOKUP($C$457,'DB animal categories'!$C$167:$AC$176,27,FALSE)*AJ459-'Calc (ex-housing, ex-storage)'!AC459,IF(AI459=4,('Calc (ex-animal)'!$L$88+'Calc (ex-animal)'!$K$88)*'Calc (ex-housing, ex-storage)'!F459/100*VLOOKUP(D459,'DB technologies'!$N$224:$Y$236,11,FALSE)/100/VLOOKUP($C$457,'DB animal categories'!$C$167:$AC$176,27,FALSE)*AJ459-AC459*VLOOKUP(D459,'DB technologies'!$N$224:$Y$236,11,FALSE)/100,0)))))</f>
        <v/>
      </c>
      <c r="AQ459" s="182" t="str">
        <f>IF(D459="","",IF(AI459=2,('Calc (ex-animal)'!$O$88*'Calc (ex-housing, ex-storage)'!F459/100+'Calc (ex-animal)'!$N$88*'Calc (ex-housing, ex-storage)'!F459/100)/VLOOKUP($C$457,'DB animal categories'!$C$167:$AC$176,27,FALSE)*AJ459+U459+V459+W459,IF(AI459=1,'Calc (ex-animal)'!$O$88*'Calc (ex-housing, ex-storage)'!F459/100/VLOOKUP($C$457,'DB animal categories'!$C$167:$AC$176,27,FALSE)*AJ459,IF(AI459=4,('Calc (ex-animal)'!$O$88+'Calc (ex-animal)'!$N$88)*'Calc (ex-housing, ex-storage)'!F459/100*VLOOKUP(D459,'DB technologies'!$N$224:$Y$236,11,FALSE)/100/VLOOKUP($C$457,'DB animal categories'!$C$167:$AC$176,27,FALSE)*AJ459,0))))</f>
        <v/>
      </c>
      <c r="AR459" s="182" t="str">
        <f>IF(D459="","",IF(AI459=2,('Calc (ex-animal)'!$R$88*'Calc (ex-housing, ex-storage)'!F459/100+'Calc (ex-animal)'!$Q$88*'Calc (ex-housing, ex-storage)'!F459/100)/VLOOKUP($C$457,'DB animal categories'!$C$167:$AC$176,27,FALSE)*AJ459+Y459+Z459+AA459,IF(AI459=1,'Calc (ex-animal)'!$R$88*'Calc (ex-housing, ex-storage)'!F459/100/VLOOKUP($C$457,'DB animal categories'!$C$167:$AC$176,27,FALSE)*AJ459,IF(AI459=4,('Calc (ex-animal)'!$R$88+'Calc (ex-animal)'!$Q$88)*'Calc (ex-housing, ex-storage)'!F459/100*VLOOKUP(D459,'DB technologies'!$N$224:$Y$236,11,FALSE)/100/VLOOKUP($C$457,'DB animal categories'!$C$167:$AC$176,27,FALSE)*AJ459,0))))</f>
        <v/>
      </c>
      <c r="AS459" s="181" t="str">
        <f>IF(D459="","",VLOOKUP(D459,'DB technologies'!$N$224:$Y$236,10,FALSE))</f>
        <v/>
      </c>
      <c r="AT459" s="442" t="str">
        <f>IF(AS459="","",AU459+AV459)</f>
        <v/>
      </c>
      <c r="AU459" s="442" t="str">
        <f>IF(D459="","",IF(AS459=2,0,IF(AS459=1,'Calc (ex-animal)'!$G$88*'DB additional information '!$K$19/100*(1-VLOOKUP(D459,'DB technologies'!$N$224:$Y$236,8,FALSE)/100)*'Calc (ex-housing, ex-storage)'!F459/100/VLOOKUP($C$457,'DB animal categories'!$C$167:$AC$176,27,FALSE)*AJ459+I459+J459+K459,IF(AS459=5,(('Calc (ex-animal)'!$G$88*'DB additional information '!$K$19/100+'Calc (ex-animal)'!$H$88*'DB additional information '!$L$19/100))*(1-VLOOKUP(D459,'DB technologies'!$N$224:$Y$236,9,FALSE)/100)*'Calc (ex-housing, ex-storage)'!F459/100/VLOOKUP($C$457,'DB animal categories'!$C$167:$AC$176,27,FALSE)*AJ459+I459+J459+K459,IF(AS459=3,('Calc (ex-animal)'!$G$88*'DB additional information '!$K$19/100+'Calc (ex-animal)'!$H$88*'DB additional information '!$L$19/100)*(1-VLOOKUP(D459,'DB technologies'!$N$224:$Y$236,9,FALSE)/100)*'Calc (ex-housing, ex-storage)'!F459/100/VLOOKUP($C$457,'DB animal categories'!$C$167:$AC$176,27,FALSE)*AJ459+I459+J459+K459,IF(AS459=4,('Calc (ex-animal)'!$G$88*'DB additional information '!$K$19/100+'Calc (ex-animal)'!$H$88*'DB additional information '!$L$19/100)*(1-VLOOKUP(D459,'DB technologies'!$N$224:$Y$236,9,FALSE)/100)*'Calc (ex-housing, ex-storage)'!F459/100*VLOOKUP(D459,'DB technologies'!$N$224:$Y$236,12,FALSE)/100/VLOOKUP($C$457,'DB animal categories'!$C$167:$AC$176,27,FALSE)*AJ459+I459+J459+K459,0))))))</f>
        <v/>
      </c>
      <c r="AV459" s="442" t="str">
        <f>IF(D459="","",IF(AS459=2,0,IF(AS459=1,'Calc (ex-animal)'!$G$88*(1-'DB additional information '!$K$19/100)*(1-VLOOKUP(D459,'DB technologies'!$N$224:$Y$236,8,FALSE)/100)*'Calc (ex-housing, ex-storage)'!F459/100/VLOOKUP($C$457,'DB animal categories'!$C$167:$AC$176,27,FALSE)*AJ459+M459+N459+O459,IF(AS459=5,('Calc (ex-animal)'!$G$88*(1-'DB additional information '!$K$19/100)+'Calc (ex-animal)'!$H$88*(1-'DB additional information '!$L$19/100))*(1-VLOOKUP(D459,'DB technologies'!$N$224:$Y$236,8,FALSE)/100)*'Calc (ex-housing, ex-storage)'!F459/100/VLOOKUP($C$457,'DB animal categories'!$C$167:$AC$176,27,FALSE)*AJ459+M459+N459+O459,IF(AS459=3,('Calc (ex-animal)'!$G$88*(1-'DB additional information '!$K$19/100)+'Calc (ex-animal)'!$H$88*(1-'DB additional information '!$L$19/100))*(1-VLOOKUP(D459,'DB technologies'!$N$224:$Y$236,8,FALSE)/100)*'Calc (ex-housing, ex-storage)'!F459/100/VLOOKUP($C$457,'DB animal categories'!$C$167:$AC$176,27,FALSE)*AJ459+M459+N459+O459,IF(AS459=4,('Calc (ex-animal)'!$G$88*(1-'DB additional information '!$K$19/100)+'Calc (ex-animal)'!$H$88*(1-'DB additional information '!$L$19/100))*(1-VLOOKUP(D459,'DB technologies'!$N$224:$Y$236,8,FALSE)/100)*'Calc (ex-housing, ex-storage)'!F459/100*VLOOKUP(D459,'DB technologies'!$N$224:$Y$236,12,FALSE)/100/VLOOKUP($C$457,'DB animal categories'!$C$167:$AC$176,27,FALSE)*AJ459+M459+N459+O459,0))))))</f>
        <v/>
      </c>
      <c r="AW459" s="442" t="str">
        <f>IF(AS459="","",IF(AU459=0,0,AU459/AT459*100))</f>
        <v/>
      </c>
      <c r="AX459" s="182" t="str">
        <f>IF(D459="","",IF(AS459=2,0,IF(AS459=1,'Calc (ex-animal)'!$K$88*'Calc (ex-housing, ex-storage)'!F459/100/VLOOKUP($C$457,'DB animal categories'!$C$167:$AC$176,27,FALSE)*AJ459+Q459+R459+S459,IF(AS459=5,('Calc (ex-animal)'!$K$88+'Calc (ex-animal)'!$L$88)*'Calc (ex-housing, ex-storage)'!F459/100/VLOOKUP($C$457,'DB animal categories'!$C$167:$AC$176,27,FALSE)*AJ459+Q459+R459+S459-'Calc (ex-housing, ex-storage)'!AC459,IF(AS459=3,('Calc (ex-animal)'!$K$88+'Calc (ex-animal)'!$L$88)*'Calc (ex-housing, ex-storage)'!F459/100/VLOOKUP($C$457,'DB animal categories'!$C$167:$AC$176,27,FALSE)*AJ459+Q459+R459+S459-'Calc (ex-housing, ex-storage)'!AC459-AD459-AE459,IF(AI459=4,('Calc (ex-animal)'!$K$88+'Calc (ex-animal)'!$L$88)*'Calc (ex-housing, ex-storage)'!F459/100*VLOOKUP(D459,'DB technologies'!$N$224:$Y$236,12,FALSE)/100/VLOOKUP($C$457,'DB animal categories'!$C$167:$AC$176,27,FALSE)*AJ459+Q459+R459+S459-(VLOOKUP(D459,'DB technologies'!$N$224:$Y$236,12,FALSE)/100*AC459)-AD459-AE459,0))))))</f>
        <v/>
      </c>
      <c r="AY459" s="182" t="str">
        <f>IF(D459="","",IF(AS459=2,0,IF(AS459=1,'Calc (ex-animal)'!$N$88*'Calc (ex-housing, ex-storage)'!F459/100/VLOOKUP($C$457,'DB animal categories'!$C$167:$AC$176,27,FALSE)*AJ459+U459+V459+W459,IF(AS459=5,('Calc (ex-animal)'!$N$88+'Calc (ex-animal)'!$O$88)*'Calc (ex-housing, ex-storage)'!F459/100/VLOOKUP($C$457,'DB animal categories'!$C$167:$AC$176,27,FALSE)*AJ459+U459+V459+W459,IF(AS459=3,('Calc (ex-animal)'!$N$88+'Calc (ex-animal)'!$O$88)*'Calc (ex-housing, ex-storage)'!F459/100/VLOOKUP($C$457,'DB animal categories'!$C$167:$AC$176,27,FALSE)*AJ459+U459+V459+W459,IF(AS459=4,('Calc (ex-animal)'!$N$88+'Calc (ex-animal)'!$O$88)*'Calc (ex-housing, ex-storage)'!F459/100*VLOOKUP(D459,'DB technologies'!$N$224:$Y$236,12,FALSE)/100/VLOOKUP($C$457,'DB animal categories'!$C$167:$AC$176,27,FALSE)*AJ459+U459+V459+W459,0))))))</f>
        <v/>
      </c>
      <c r="AZ459" s="182" t="str">
        <f>IF(D459="","",IF(AS459=2,0,IF(AS459=1,'Calc (ex-animal)'!$Q$88*'Calc (ex-housing, ex-storage)'!F459/100/VLOOKUP($C$457,'DB animal categories'!$C$167:$AC$176,27,FALSE)*AJ459+Y459+Z459+AA459,IF(AS459=5,('Calc (ex-animal)'!$Q$88+'Calc (ex-animal)'!$R$88)*'Calc (ex-housing, ex-storage)'!F459/100/VLOOKUP($C$457,'DB animal categories'!$C$167:$AC$176,27,FALSE)*AJ459+Y459+Z459+AA459,IF(AS459=3,('Calc (ex-animal)'!$Q$88+'Calc (ex-animal)'!$R$88)*'Calc (ex-housing, ex-storage)'!F459/100/VLOOKUP($C$457,'DB animal categories'!$C$167:$AC$176,27,FALSE)*AJ459+Y459+Z459+AA459,IF(AS459=4,('Calc (ex-animal)'!$Q$88+'Calc (ex-animal)'!$R$88)*'Calc (ex-housing, ex-storage)'!F459/100*VLOOKUP(D459,'DB technologies'!$N$224:$Y$236,12,FALSE)/100/VLOOKUP($C$457,'DB animal categories'!$C$167:$AC$176,27,FALSE)*AJ459+Y459+Z459+AA459,0))))))</f>
        <v/>
      </c>
      <c r="BA459" s="506"/>
      <c r="BB459" s="506"/>
      <c r="BC459" s="506"/>
    </row>
    <row r="460" spans="1:55" x14ac:dyDescent="0.2">
      <c r="A460" s="695"/>
      <c r="B460" s="695"/>
      <c r="C460" s="255"/>
      <c r="D460" s="1357"/>
      <c r="E460" s="1358"/>
      <c r="F460" s="480" t="str">
        <f>IF('Calc (ex-animal)'!$F$88=1,"",IF($C$457=0,"",IF(D460="","",E460/'Calc (ex-animal)'!$E$88*100)))</f>
        <v/>
      </c>
      <c r="G460" s="485" t="str">
        <f>IF($C$457=0,"",IF('Calc (ex-animal)'!$F$88=1,"",IF(D460="","",SUM(H460:O460))))</f>
        <v/>
      </c>
      <c r="H460" s="423" t="str">
        <f>IF('Calc (ex-animal)'!$F$88=1,"",IF(D460="","",(((VLOOKUP($C$457,'Calc (ex-animal)'!$D$88:$Y$92,6,FALSE)-VLOOKUP($C$457,'Calc (ex-animal)'!$D$88:$Y$92,17,FALSE))*F460/100))*VLOOKUP($C$457,'Calc (ex-animal)'!$D$88:$Y$92,7,FALSE)/100*(1-VLOOKUP(D460,'DB technologies'!$N$224:$Y$236,9,FALSE)/100)))</f>
        <v/>
      </c>
      <c r="I460" s="423" t="str">
        <f>IF(D460="","",((VLOOKUP(D460,'DB technologies'!$N$224:$Y$236,2,FALSE)*VLOOKUP($C$457,'DB animal categories'!$C$167:$AC$176,27,FALSE)*E460/1000)/VLOOKUP($C$457,'DB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'!$S$6/100*(1-VLOOKUP(D460,'DB technologies'!$N$224:$Y$236,9,FALSE)/100)))</f>
        <v/>
      </c>
      <c r="J460" s="434" t="str">
        <f>IF(D460="","",((VLOOKUP(D460,'DB technologies'!$N$224:$Y$236,3,FALSE)*VLOOKUP($C$457,'DB animal categories'!$C$167:$AC$176,27,FALSE)*E460/1000)/VLOOKUP($C$457,'DB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'!$S$7/100*(1-VLOOKUP(D460,'DB technologies'!$N$224:$Y$236,9,FALSE)/100)))</f>
        <v/>
      </c>
      <c r="K460" s="434" t="str">
        <f>IF(D460="","",((VLOOKUP(D460,'DB technologies'!$N$224:$Y$236,4,FALSE)*E460*'DB additional information '!$S$8/100*(1-VLOOKUP(D460,'DB technologies'!$N$224:$Y$236,9,FALSE)/100))/VLOOKUP($C$457,'DB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L460" s="423" t="str">
        <f>IF('Calc (ex-animal)'!$F$88=1,"",IF(D460="","",(((VLOOKUP($C$457,'Calc (ex-animal)'!$D$88:$Y$92,6,FALSE)-VLOOKUP($C$457,'Calc (ex-animal)'!$D$88:$Y$92,17,FALSE))*F460/100))*(1-VLOOKUP($C$457,'Calc (ex-animal)'!$D$88:$Y$92,7,FALSE)/100)*(1-VLOOKUP(D460,'DB technologies'!$N$224:$V$236,8,FALSE)/100)))</f>
        <v/>
      </c>
      <c r="M460" s="434" t="str">
        <f>IF(D460="","",((VLOOKUP(D460,'DB technologies'!$N$224:$Y$236,2,FALSE)*VLOOKUP($C$457,'DB animal categories'!$C$167:$AC$176,27,FALSE)*E460/1000)/VLOOKUP($C$457,'DB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'!$S$6/100)*(1-VLOOKUP(D460,'DB technologies'!$N$224:$Y$236,9,FALSE)/100))</f>
        <v/>
      </c>
      <c r="N460" s="434" t="str">
        <f>IF(D460="","",((VLOOKUP(D460,'DB technologies'!$N$224:$Y$236,3,FALSE)*VLOOKUP($C$457,'DB animal categories'!$C$167:$AC$176,27,FALSE)*E460/1000)/VLOOKUP($C$457,'DB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'!$S$7/100)*(1-VLOOKUP(D460,'DB technologies'!$N$224:$Y$236,9,FALSE)/100))</f>
        <v/>
      </c>
      <c r="O460" s="423" t="str">
        <f>IF(D460="","",((VLOOKUP(D460,'DB technologies'!$N$224:$Y$236,4,FALSE)*E460*(1-'DB additional information '!$S$8/100)*(1-VLOOKUP(D460,'DB technologies'!$N$224:$Y$236,8,FALSE)/100))/VLOOKUP($C$457,'DB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P460" s="438" t="str">
        <f>IF(G460=0,0,IF(E460="","",IF(F460="","",IF($C$457=0,"",IF(D460="","",SUM(H460:K460)/G460*100)))))</f>
        <v/>
      </c>
      <c r="Q460" s="416" t="str">
        <f>IF(D460="","",(VLOOKUP(D460,'DB technologies'!$N$224:$Y$236,2,FALSE)*'DB additional information '!$S$6/100*'DB additional information '!$T$6*VLOOKUP($C$457,'DB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R460" s="416" t="str">
        <f>IF(D460="","",(VLOOKUP(D460,'DB technologies'!$N$224:$Y$236,3,FALSE)*'DB additional information '!$S$7/100*'DB additional information '!$T$7*VLOOKUP($C$457,'DB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S460" s="491" t="str">
        <f>IF(D460="","",(VLOOKUP(D460,'DB technologies'!$N$224:$Y$236,4,FALSE)*('DB additional information '!$S$8/100*'DB additional information '!$T$8*E460/1000/1000)))</f>
        <v/>
      </c>
      <c r="T460" s="264" t="str">
        <f>IF($C$457=0,"",IF('Calc (ex-animal)'!$F$88=1,"",IF(D460="","",((VLOOKUP($C$457,'Calc (ex-animal)'!$D$88:$Y$92,10,FALSE)-VLOOKUP($C$457,'Calc (ex-animal)'!$D$88:$Y$92,18,FALSE))*F460/100+Q460+R460+S460)-AC460-AD460-AE460)))</f>
        <v/>
      </c>
      <c r="U460" s="422" t="str">
        <f>IF(D460="","",(VLOOKUP(D460,'DB technologies'!$N$224:$Y$236,2,FALSE)*'DB additional information '!$S$6/100*'DB additional information '!$U$6*VLOOKUP($C$457,'DB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V460" s="418" t="str">
        <f>IF(D460="","",(VLOOKUP(D460,'DB technologies'!$N$224:$Y$236,3,FALSE)*'DB additional information '!$S$7/100*'DB additional information '!$U$7*VLOOKUP($C$457,'DB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W460" s="417" t="str">
        <f>IF(D460="","",(VLOOKUP(D460,'DB technologies'!$N$224:$Y$236,4,FALSE)*('DB additional information '!$S$8/100*'DB additional information '!$U$8*E460/1000/1000)))</f>
        <v/>
      </c>
      <c r="X460" s="261" t="str">
        <f>IF($C$457=0,"",IF('Calc (ex-animal)'!$F$88=1,"",IF(D460="","",((VLOOKUP($C$457,'Calc (ex-animal)'!$D$88:$Y$92,13,FALSE)-VLOOKUP($C$457,'Calc (ex-animal)'!$D$88:$Y$92,19,FALSE))*F460/100+U460+V460+W460))))</f>
        <v/>
      </c>
      <c r="Y460" s="418" t="str">
        <f>IF(D460="","",(VLOOKUP(D460,'DB technologies'!$N$224:$Y$236,2,FALSE)*'DB additional information '!$S$6/100*'DB additional information '!$V$6*VLOOKUP($C$457,'DB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Z460" s="418" t="str">
        <f>IF(D460="","",(VLOOKUP(D460,'DB technologies'!$N$224:$Y$236,3,FALSE)*'DB additional information '!$S$7/100*'DB additional information '!$V$7*VLOOKUP($C$457,'DB animal categories'!$C$167:$AC$176,27,FALSE)*E460/1000/1000)/VLOOKUP($C$457,'DB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AA460" s="418" t="str">
        <f>IF(D460="","",(VLOOKUP(D460,'DB technologies'!$N$224:$Y$236,4,FALSE)*('DB additional information '!$S$8/100*'DB additional information '!$V$8*E460/1000/1000)))</f>
        <v/>
      </c>
      <c r="AB460" s="261" t="str">
        <f>IF($C$457=0,"",IF('Calc (ex-animal)'!$F$88=1,"",IF(D460="","",((VLOOKUP($C$457,'Calc (ex-animal)'!$D$88:$Y$92,16,FALSE)-VLOOKUP($C$457,'Calc (ex-animal)'!$D$88:$Y$92,20,FALSE))*F460/100+Y460+Z460+AA460))))</f>
        <v/>
      </c>
      <c r="AC460" s="261" t="str">
        <f>IF($C$457=0,"",IF('Calc (ex-animal)'!$F$88=1,"",IF(D460="","",VLOOKUP($C$457,'Calc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categories'!$C$167:$AC$176,26,FALSE)/24)*F460/100*VLOOKUP(D460,'DB technologies'!$N$224:$R$236,5,FALSE)/100)))</f>
        <v/>
      </c>
      <c r="AD460" s="261" t="str">
        <f>IF($C$457=0,"",IF('Calc (ex-animal)'!$F$88=1,"",IF(D460="","",VLOOKUP($C$457,'Calc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categories'!$C$167:$AC$176,26,FALSE)/24)*F460/100*VLOOKUP(D460,'DB technologies'!$N$224:$Y$236,6,FALSE)/100)))</f>
        <v/>
      </c>
      <c r="AE460" s="262" t="str">
        <f>IF($C$457=0,"",IF('Calc (ex-animal)'!$F$88=1,"",IF(D460="","",VLOOKUP($C$457,'Calc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categories'!$C$167:$AC$176,26,FALSE)/24)*F460/100*VLOOKUP(D460,'DB technologies'!$N$224:$Y$236,7,FALSE)/100)))</f>
        <v/>
      </c>
      <c r="AI460" s="181" t="str">
        <f>IF(D460="","",VLOOKUP(D460,'DB technologies'!$N$224:$Y$236,10,FALSE))</f>
        <v/>
      </c>
      <c r="AJ460" s="449" t="e">
        <f>VLOOKUP($C$457,'DB animal categories'!$C$167:$AN$176,27,FALSE)-VLOOKUP($C$457,'DB animal categories'!$C$167:$AN$176,26,FALSE)*VLOOKUP($C$457,'DB animal categories'!$C$167:$AN$176,25,FALSE)/24</f>
        <v>#N/A</v>
      </c>
      <c r="AK460" s="442" t="str">
        <f>IF(AI460="","",AL460+AM460)</f>
        <v/>
      </c>
      <c r="AL460" s="442" t="str">
        <f>IF(D460="","",IF(AI460=2,(('Calc (ex-animal)'!$G$88*'DB additional information '!$K$19/100*(1-VLOOKUP(D460,'DB technologies'!$N$224:$Y$236,9,FALSE)/100)*'Calc (ex-housing, ex-storage)'!F460/100+'Calc (ex-animal)'!$H$88*'DB additional information '!$L$19/100*(1-VLOOKUP(D460,'DB technologies'!$N$224:$Y$236,9,FALSE)/100)*'Calc (ex-housing, ex-storage)'!F460/100))/VLOOKUP($C$457,'DB animal categories'!$C$167:$AC$176,27,FALSE)*AJ460+I460+J460+K460,IF(AI460=1,('Calc (ex-animal)'!$H$88*'DB additional information '!$L$19/100*(1-VLOOKUP(D460,'DB technologies'!$N$224:$Y$236,9,FALSE)/100)*'Calc (ex-housing, ex-storage)'!F460/100)/VLOOKUP($C$457,'DB animal categories'!$C$167:$AC$176,27,FALSE)*AJ460,IF(AI460=4,('Calc (ex-animal)'!$G$88*'DB additional information '!$K$19/100+'Calc (ex-animal)'!$H$88*'DB additional information '!$L$19/100)*(1-VLOOKUP(D460,'DB technologies'!$N$224:$Y$236,9,FALSE)/100)*'Calc (ex-housing, ex-storage)'!F460/100*VLOOKUP(D460,'DB technologies'!$N$224:$Y$236,11,FALSE)/100/VLOOKUP($C$457,'DB animal categories'!$C$167:$AC$176,27,FALSE)*AJ460,0))))</f>
        <v/>
      </c>
      <c r="AM460" s="442" t="str">
        <f>IF(D460="","",IF(AI460=2,(('Calc (ex-animal)'!$G$88*(1-'DB additional information '!$K$19/100)*(1-VLOOKUP(D460,'DB technologies'!$N$224:$Y$236,8,FALSE)/100)*'Calc (ex-housing, ex-storage)'!F460/100+'Calc (ex-animal)'!$H$88*(1-'DB additional information '!$L$19/100)*(1-VLOOKUP(D460,'DB technologies'!$N$224:$Y$236,8,FALSE)/100)*'Calc (ex-housing, ex-storage)'!F460/100))/VLOOKUP($C$457,'DB animal categories'!$C$167:$AC$176,27,FALSE)*AJ460+M460+N460+O460,IF(AI460=1,('Calc (ex-animal)'!$H$88*(1-'DB additional information '!$L$19/100)*(1-VLOOKUP(D460,'DB technologies'!$N$224:$Y$236,8,FALSE)/100)*'Calc (ex-housing, ex-storage)'!F460/100)/VLOOKUP($C$457,'DB animal categories'!$C$167:$AC$176,27,FALSE)*AJ460,IF(AI460=4,('Calc (ex-animal)'!$G$88*(1-'DB additional information '!$K$19/100)+'Calc (ex-animal)'!$H$88*(1-'DB additional information '!$L$19/100))*(1-VLOOKUP(D460,'DB technologies'!$N$224:$Y$236,8,FALSE)/100)*'Calc (ex-housing, ex-storage)'!F460/100*VLOOKUP(D460,'DB technologies'!$N$224:$Y$236,11,FALSE)/100/VLOOKUP($C$457,'DB animal categories'!$C$167:$AC$176,27,FALSE)*AJ460,0))))</f>
        <v/>
      </c>
      <c r="AN460" s="442" t="str">
        <f>IF(AI460="","",IF(AL460=0,0,AL460/AK460*100))</f>
        <v/>
      </c>
      <c r="AO460" s="182" t="str">
        <f>IF(D460="","",IF(AI460=2,(('Calc (ex-animal)'!$L$88*'Calc (ex-housing, ex-storage)'!F460/100+'Calc (ex-animal)'!$K$88*'Calc (ex-housing, ex-storage)'!F460/100))/VLOOKUP($C$457,'DB animal categories'!$C$167:$AC$176,27,FALSE)*AJ460+Q460+R460+S460-AC460,IF(AI460=1,('Calc (ex-animal)'!$L$88*'Calc (ex-housing, ex-storage)'!F460/100)/VLOOKUP($C$457,'DB animal categories'!$C$167:$AC$176,27,FALSE)*AJ460-'Calc (ex-housing, ex-storage)'!AC460,IF(AI460=4,('Calc (ex-animal)'!$L$88+'Calc (ex-animal)'!$K$88)*'Calc (ex-housing, ex-storage)'!F460/100*VLOOKUP(D460,'DB technologies'!$N$224:$Y$236,11,FALSE)/100/VLOOKUP($C$457,'DB animal categories'!$C$167:$AC$176,27,FALSE)*AJ460-AC460*VLOOKUP(D460,'DB technologies'!$N$224:$Y$236,11,FALSE)/100,0))))</f>
        <v/>
      </c>
      <c r="AP460" s="182" t="str">
        <f>IF(D460="","",IF(AO460&lt;-0.01,0,IF(AI460=2,(('Calc (ex-animal)'!$L$88*'Calc (ex-housing, ex-storage)'!F460/100+'Calc (ex-animal)'!$K$88*'Calc (ex-housing, ex-storage)'!F460/100))/VLOOKUP($C$457,'DB animal categories'!$C$167:$AC$176,27,FALSE)*AJ460+Q460+R460+S460-AC460,IF(AI460=1,('Calc (ex-animal)'!$L$88*'Calc (ex-housing, ex-storage)'!F460/100)/VLOOKUP($C$457,'DB animal categories'!$C$167:$AC$176,27,FALSE)*AJ460-'Calc (ex-housing, ex-storage)'!AC460,IF(AI460=4,('Calc (ex-animal)'!$L$88+'Calc (ex-animal)'!$K$88)*'Calc (ex-housing, ex-storage)'!F460/100*VLOOKUP(D460,'DB technologies'!$N$224:$Y$236,11,FALSE)/100/VLOOKUP($C$457,'DB animal categories'!$C$167:$AC$176,27,FALSE)*AJ460-AC460*VLOOKUP(D460,'DB technologies'!$N$224:$Y$236,11,FALSE)/100,0)))))</f>
        <v/>
      </c>
      <c r="AQ460" s="182" t="str">
        <f>IF(D460="","",IF(AI460=2,('Calc (ex-animal)'!$O$88*'Calc (ex-housing, ex-storage)'!F460/100+'Calc (ex-animal)'!$N$88*'Calc (ex-housing, ex-storage)'!F460/100)/VLOOKUP($C$457,'DB animal categories'!$C$167:$AC$176,27,FALSE)*AJ460+U460+V460+W460,IF(AI460=1,'Calc (ex-animal)'!$O$88*'Calc (ex-housing, ex-storage)'!F460/100/VLOOKUP($C$457,'DB animal categories'!$C$167:$AC$176,27,FALSE)*AJ460,IF(AI460=4,('Calc (ex-animal)'!$O$88+'Calc (ex-animal)'!$N$88)*'Calc (ex-housing, ex-storage)'!F460/100*VLOOKUP(D460,'DB technologies'!$N$224:$Y$236,11,FALSE)/100/VLOOKUP($C$457,'DB animal categories'!$C$167:$AC$176,27,FALSE)*AJ460,0))))</f>
        <v/>
      </c>
      <c r="AR460" s="182" t="str">
        <f>IF(D460="","",IF(AI460=2,('Calc (ex-animal)'!$R$88*'Calc (ex-housing, ex-storage)'!F460/100+'Calc (ex-animal)'!$Q$88*'Calc (ex-housing, ex-storage)'!F460/100)/VLOOKUP($C$457,'DB animal categories'!$C$167:$AC$176,27,FALSE)*AJ460+Y460+Z460+AA460,IF(AI460=1,'Calc (ex-animal)'!$R$88*'Calc (ex-housing, ex-storage)'!F460/100/VLOOKUP($C$457,'DB animal categories'!$C$167:$AC$176,27,FALSE)*AJ460,IF(AI460=4,('Calc (ex-animal)'!$R$88+'Calc (ex-animal)'!$Q$88)*'Calc (ex-housing, ex-storage)'!F460/100*VLOOKUP(D460,'DB technologies'!$N$224:$Y$236,11,FALSE)/100/VLOOKUP($C$457,'DB animal categories'!$C$167:$AC$176,27,FALSE)*AJ460,0))))</f>
        <v/>
      </c>
      <c r="AS460" s="181" t="str">
        <f>IF(D460="","",VLOOKUP(D460,'DB technologies'!$N$224:$Y$236,10,FALSE))</f>
        <v/>
      </c>
      <c r="AT460" s="442" t="str">
        <f>IF(AS460="","",AU460+AV460)</f>
        <v/>
      </c>
      <c r="AU460" s="442" t="str">
        <f>IF(D460="","",IF(AS460=2,0,IF(AS460=1,'Calc (ex-animal)'!$G$88*'DB additional information '!$K$19/100*(1-VLOOKUP(D460,'DB technologies'!$N$224:$Y$236,8,FALSE)/100)*'Calc (ex-housing, ex-storage)'!F460/100/VLOOKUP($C$457,'DB animal categories'!$C$167:$AC$176,27,FALSE)*AJ460+I460+J460+K460,IF(AS460=5,(('Calc (ex-animal)'!$G$88*'DB additional information '!$K$19/100+'Calc (ex-animal)'!$H$88*'DB additional information '!$L$19/100))*(1-VLOOKUP(D460,'DB technologies'!$N$224:$Y$236,9,FALSE)/100)*'Calc (ex-housing, ex-storage)'!F460/100/VLOOKUP($C$457,'DB animal categories'!$C$167:$AC$176,27,FALSE)*AJ460+I460+J460+K460,IF(AS460=3,('Calc (ex-animal)'!$G$88*'DB additional information '!$K$19/100+'Calc (ex-animal)'!$H$88*'DB additional information '!$L$19/100)*(1-VLOOKUP(D460,'DB technologies'!$N$224:$Y$236,9,FALSE)/100)*'Calc (ex-housing, ex-storage)'!F460/100/VLOOKUP($C$457,'DB animal categories'!$C$167:$AC$176,27,FALSE)*AJ460+I460+J460+K460,IF(AS460=4,('Calc (ex-animal)'!$G$88*'DB additional information '!$K$19/100+'Calc (ex-animal)'!$H$88*'DB additional information '!$L$19/100)*(1-VLOOKUP(D460,'DB technologies'!$N$224:$Y$236,9,FALSE)/100)*'Calc (ex-housing, ex-storage)'!F460/100*VLOOKUP(D460,'DB technologies'!$N$224:$Y$236,12,FALSE)/100/VLOOKUP($C$457,'DB animal categories'!$C$167:$AC$176,27,FALSE)*AJ460+I460+J460+K460,0))))))</f>
        <v/>
      </c>
      <c r="AV460" s="442" t="str">
        <f>IF(D460="","",IF(AS460=2,0,IF(AS460=1,'Calc (ex-animal)'!$G$88*(1-'DB additional information '!$K$19/100)*(1-VLOOKUP(D460,'DB technologies'!$N$224:$Y$236,8,FALSE)/100)*'Calc (ex-housing, ex-storage)'!F460/100/VLOOKUP($C$457,'DB animal categories'!$C$167:$AC$176,27,FALSE)*AJ460+M460+N460+O460,IF(AS460=5,('Calc (ex-animal)'!$G$88*(1-'DB additional information '!$K$19/100)+'Calc (ex-animal)'!$H$88*(1-'DB additional information '!$L$19/100))*(1-VLOOKUP(D460,'DB technologies'!$N$224:$Y$236,8,FALSE)/100)*'Calc (ex-housing, ex-storage)'!F460/100/VLOOKUP($C$457,'DB animal categories'!$C$167:$AC$176,27,FALSE)*AJ460+M460+N460+O460,IF(AS460=3,('Calc (ex-animal)'!$G$88*(1-'DB additional information '!$K$19/100)+'Calc (ex-animal)'!$H$88*(1-'DB additional information '!$L$19/100))*(1-VLOOKUP(D460,'DB technologies'!$N$224:$Y$236,8,FALSE)/100)*'Calc (ex-housing, ex-storage)'!F460/100/VLOOKUP($C$457,'DB animal categories'!$C$167:$AC$176,27,FALSE)*AJ460+M460+N460+O460,IF(AS460=4,('Calc (ex-animal)'!$G$88*(1-'DB additional information '!$K$19/100)+'Calc (ex-animal)'!$H$88*(1-'DB additional information '!$L$19/100))*(1-VLOOKUP(D460,'DB technologies'!$N$224:$Y$236,8,FALSE)/100)*'Calc (ex-housing, ex-storage)'!F460/100*VLOOKUP(D460,'DB technologies'!$N$224:$Y$236,12,FALSE)/100/VLOOKUP($C$457,'DB animal categories'!$C$167:$AC$176,27,FALSE)*AJ460+M460+N460+O460,0))))))</f>
        <v/>
      </c>
      <c r="AW460" s="442" t="str">
        <f>IF(AS460="","",IF(AU460=0,0,AU460/AT460*100))</f>
        <v/>
      </c>
      <c r="AX460" s="182" t="str">
        <f>IF(D460="","",IF(AS460=2,0,IF(AS460=1,'Calc (ex-animal)'!$K$88*'Calc (ex-housing, ex-storage)'!F460/100/VLOOKUP($C$457,'DB animal categories'!$C$167:$AC$176,27,FALSE)*AJ460+Q460+R460+S460,IF(AS460=5,('Calc (ex-animal)'!$K$88+'Calc (ex-animal)'!$L$88)*'Calc (ex-housing, ex-storage)'!F460/100/VLOOKUP($C$457,'DB animal categories'!$C$167:$AC$176,27,FALSE)*AJ460+Q460+R460+S460-'Calc (ex-housing, ex-storage)'!AC460,IF(AS460=3,('Calc (ex-animal)'!$K$88+'Calc (ex-animal)'!$L$88)*'Calc (ex-housing, ex-storage)'!F460/100/VLOOKUP($C$457,'DB animal categories'!$C$167:$AC$176,27,FALSE)*AJ460+Q460+R460+S460-'Calc (ex-housing, ex-storage)'!AC460-AD460-AE460,IF(AI460=4,('Calc (ex-animal)'!$K$88+'Calc (ex-animal)'!$L$88)*'Calc (ex-housing, ex-storage)'!F460/100*VLOOKUP(D460,'DB technologies'!$N$224:$Y$236,12,FALSE)/100/VLOOKUP($C$457,'DB animal categories'!$C$167:$AC$176,27,FALSE)*AJ460+Q460+R460+S460-(VLOOKUP(D460,'DB technologies'!$N$224:$Y$236,12,FALSE)/100*AC460)-AD460-AE460,0))))))</f>
        <v/>
      </c>
      <c r="AY460" s="182" t="str">
        <f>IF(D460="","",IF(AS460=2,0,IF(AS460=1,'Calc (ex-animal)'!$N$88*'Calc (ex-housing, ex-storage)'!F460/100/VLOOKUP($C$457,'DB animal categories'!$C$167:$AC$176,27,FALSE)*AJ460+U460+V460+W460,IF(AS460=5,('Calc (ex-animal)'!$N$88+'Calc (ex-animal)'!$O$88)*'Calc (ex-housing, ex-storage)'!F460/100/VLOOKUP($C$457,'DB animal categories'!$C$167:$AC$176,27,FALSE)*AJ460+U460+V460+W460,IF(AS460=3,('Calc (ex-animal)'!$N$88+'Calc (ex-animal)'!$O$88)*'Calc (ex-housing, ex-storage)'!F460/100/VLOOKUP($C$457,'DB animal categories'!$C$167:$AC$176,27,FALSE)*AJ460+U460+V460+W460,IF(AS460=4,('Calc (ex-animal)'!$N$88+'Calc (ex-animal)'!$O$88)*'Calc (ex-housing, ex-storage)'!F460/100*VLOOKUP(D460,'DB technologies'!$N$224:$Y$236,12,FALSE)/100/VLOOKUP($C$457,'DB animal categories'!$C$167:$AC$176,27,FALSE)*AJ460+U460+V460+W460,0))))))</f>
        <v/>
      </c>
      <c r="AZ460" s="182" t="str">
        <f>IF(D460="","",IF(AS460=2,0,IF(AS460=1,'Calc (ex-animal)'!$Q$88*'Calc (ex-housing, ex-storage)'!F460/100/VLOOKUP($C$457,'DB animal categories'!$C$167:$AC$176,27,FALSE)*AJ460+Y460+Z460+AA460,IF(AS460=5,('Calc (ex-animal)'!$Q$88+'Calc (ex-animal)'!$R$88)*'Calc (ex-housing, ex-storage)'!F460/100/VLOOKUP($C$457,'DB animal categories'!$C$167:$AC$176,27,FALSE)*AJ460+Y460+Z460+AA460,IF(AS460=3,('Calc (ex-animal)'!$Q$88+'Calc (ex-animal)'!$R$88)*'Calc (ex-housing, ex-storage)'!F460/100/VLOOKUP($C$457,'DB animal categories'!$C$167:$AC$176,27,FALSE)*AJ460+Y460+Z460+AA460,IF(AS460=4,('Calc (ex-animal)'!$Q$88+'Calc (ex-animal)'!$R$88)*'Calc (ex-housing, ex-storage)'!F460/100*VLOOKUP(D460,'DB technologies'!$N$224:$Y$236,12,FALSE)/100/VLOOKUP($C$457,'DB animal categories'!$C$167:$AC$176,27,FALSE)*AJ460+Y460+Z460+AA460,0))))))</f>
        <v/>
      </c>
      <c r="BA460" s="506"/>
      <c r="BB460" s="506"/>
      <c r="BC460" s="506"/>
    </row>
    <row r="461" spans="1:55" ht="12" thickBot="1" x14ac:dyDescent="0.25">
      <c r="A461" s="695"/>
      <c r="B461" s="695"/>
      <c r="C461" s="255"/>
      <c r="D461" s="1359"/>
      <c r="E461" s="1360"/>
      <c r="F461" s="481" t="str">
        <f>IF('Calc (ex-animal)'!$F$88=1,"",IF($C$457=0,"",IF(D461="","",E461/'Calc (ex-animal)'!$E$88*100)))</f>
        <v/>
      </c>
      <c r="G461" s="483" t="str">
        <f>IF($C$457=0,"",IF('Calc (ex-animal)'!$F$88=1,"",IF(D461="","",SUM(H461:O461))))</f>
        <v/>
      </c>
      <c r="H461" s="445" t="str">
        <f>IF('Calc (ex-animal)'!$F$88=1,"",IF(D461="","",(((VLOOKUP($C$457,'Calc (ex-animal)'!$D$88:$Y$92,6,FALSE)-VLOOKUP($C$457,'Calc (ex-animal)'!$D$88:$Y$92,17,FALSE))*F461/100))*VLOOKUP($C$457,'Calc (ex-animal)'!$D$88:$Y$92,7,FALSE)/100*(1-VLOOKUP(D461,'DB technologies'!$N$224:$Y$236,9,FALSE)/100)))</f>
        <v/>
      </c>
      <c r="I461" s="445" t="str">
        <f>IF(D461="","",((VLOOKUP(D461,'DB technologies'!$N$224:$Y$236,2,FALSE)*VLOOKUP($C$457,'DB animal categories'!$C$167:$AC$176,27,FALSE)*E461/1000)/VLOOKUP($C$457,'DB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'!$S$6/100*(1-VLOOKUP(D461,'DB technologies'!$N$224:$Y$236,9,FALSE)/100)))</f>
        <v/>
      </c>
      <c r="J461" s="446" t="str">
        <f>IF(D461="","",((VLOOKUP(D461,'DB technologies'!$N$224:$Y$236,3,FALSE)*VLOOKUP($C$457,'DB animal categories'!$C$167:$AC$176,27,FALSE)*E461/1000)/VLOOKUP($C$457,'DB animal categories'!$C$167:$AC$176,27,FALSE)*(VLOOKUP($C$457,'DB animal categories'!$C$167:$AC$176,27,FALSE)-(VLOOKUP($C$457,'DB animal categories'!$C$167:$AC$176,25,FALSE)*VLOOKUP($C$457,'DB animal categories'!$C$167:$AC$176,26,FALSE)/24))*'DB additional information '!$S$7/100*(1-VLOOKUP(D461,'DB technologies'!$N$224:$Y$236,9,FALSE)/100)))</f>
        <v/>
      </c>
      <c r="K461" s="446" t="str">
        <f>IF(D461="","",((VLOOKUP(D461,'DB technologies'!$N$224:$Y$236,4,FALSE)*E461*'DB additional information '!$S$8/100*(1-VLOOKUP(D461,'DB technologies'!$N$224:$Y$236,9,FALSE)/100))/VLOOKUP($C$457,'DB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L461" s="445" t="str">
        <f>IF('Calc (ex-animal)'!$F$88=1,"",IF(D461="","",(((VLOOKUP($C$457,'Calc (ex-animal)'!$D$88:$Y$92,6,FALSE)-VLOOKUP($C$457,'Calc (ex-animal)'!$D$88:$Y$92,17,FALSE))*F461/100))*(1-VLOOKUP($C$457,'Calc (ex-animal)'!$D$88:$Y$92,7,FALSE)/100)*(1-VLOOKUP(D461,'DB technologies'!$N$224:$V$236,8,FALSE)/100)))</f>
        <v/>
      </c>
      <c r="M461" s="446" t="str">
        <f>IF(D461="","",((VLOOKUP(D461,'DB technologies'!$N$224:$Y$236,2,FALSE)*VLOOKUP($C$457,'DB animal categories'!$C$167:$AC$176,27,FALSE)*E461/1000)/VLOOKUP($C$457,'DB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'!$S$6/100)*(1-VLOOKUP(D461,'DB technologies'!$N$224:$Y$236,9,FALSE)/100))</f>
        <v/>
      </c>
      <c r="N461" s="446" t="str">
        <f>IF(D461="","",((VLOOKUP(D461,'DB technologies'!$N$224:$Y$236,3,FALSE)*VLOOKUP($C$457,'DB animal categories'!$C$167:$AC$176,27,FALSE)*E461/1000)/VLOOKUP($C$457,'DB animal categories'!$C$167:$AC$176,27,FALSE)*(VLOOKUP($C$457,'DB animal categories'!$C$167:$AC$176,27,FALSE)-VLOOKUP($C$457,'DB animal categories'!$C$167:$AC$176,25,FALSE)*VLOOKUP($C$457,'DB animal categories'!$C$167:$AC$176,26,FALSE)/24))*(1-'DB additional information '!$S$7/100)*(1-VLOOKUP(D461,'DB technologies'!$N$224:$Y$236,9,FALSE)/100))</f>
        <v/>
      </c>
      <c r="O461" s="445" t="str">
        <f>IF(D461="","",((VLOOKUP(D461,'DB technologies'!$N$224:$Y$236,4,FALSE)*E461*(1-'DB additional information '!$S$8/100)*(1-VLOOKUP(D461,'DB technologies'!$N$224:$Y$236,8,FALSE)/100))/VLOOKUP($C$457,'DB animal categories'!$C$167:$AC$176,27,FALSE)*(VLOOKUP($C$457,'DB animal categories'!$C$167:$AC$176,27,FALSE)-VLOOKUP($C$457,'DB animal categories'!$C$167:$AC$176,25,FALSE)*VLOOKUP($C$457,'DB animal categories'!$C$167:$AC$176,26,FALSE)/24)))</f>
        <v/>
      </c>
      <c r="P461" s="444" t="str">
        <f>IF(G461=0,0,IF(E461="","",IF(F461="","",IF($C$457=0,"",IF(D461="","",SUM(H461:K461)/G461*100)))))</f>
        <v/>
      </c>
      <c r="Q461" s="476" t="str">
        <f>IF(D461="","",(VLOOKUP(D461,'DB technologies'!$N$224:$Y$236,2,FALSE)*'DB additional information '!$S$6/100*'DB additional information '!$T$6*VLOOKUP($C$457,'DB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R461" s="476" t="str">
        <f>IF(D461="","",(VLOOKUP(D461,'DB technologies'!$N$224:$Y$236,3,FALSE)*'DB additional information '!$S$7/100*'DB additional information '!$T$7*VLOOKUP($C$457,'DB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S461" s="494" t="str">
        <f>IF(D461="","",(VLOOKUP(D461,'DB technologies'!$N$224:$Y$236,4,FALSE)*('DB additional information '!$S$8/100*'DB additional information '!$T$8*E461/1000/1000)))</f>
        <v/>
      </c>
      <c r="T461" s="266" t="str">
        <f>IF($C$457=0,"",IF('Calc (ex-animal)'!$F$88=1,"",IF(D461="","",((VLOOKUP($C$457,'Calc (ex-animal)'!$D$88:$Y$92,10,FALSE)-VLOOKUP($C$457,'Calc (ex-animal)'!$D$88:$Y$92,18,FALSE))*F461/100+Q461+R461+S461)-AC461-AD461-AE461)))</f>
        <v/>
      </c>
      <c r="U461" s="477" t="str">
        <f>IF(D461="","",(VLOOKUP(D461,'DB technologies'!$N$224:$Y$236,2,FALSE)*'DB additional information '!$S$6/100*'DB additional information '!$U$6*VLOOKUP($C$457,'DB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V461" s="433" t="str">
        <f>IF(D461="","",(VLOOKUP(D461,'DB technologies'!$N$224:$Y$236,3,FALSE)*'DB additional information '!$S$7/100*'DB additional information '!$U$7*VLOOKUP($C$457,'DB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W461" s="475" t="str">
        <f>IF(D461="","",(VLOOKUP(D461,'DB technologies'!$N$224:$Y$236,4,FALSE)*('DB additional information '!$S$8/100*'DB additional information '!$U$8*E461/1000/1000)))</f>
        <v/>
      </c>
      <c r="X461" s="267" t="str">
        <f>IF($C$457=0,"",IF('Calc (ex-animal)'!$F$88=1,"",IF(D461="","",((VLOOKUP($C$457,'Calc (ex-animal)'!$D$88:$Y$92,13,FALSE)-VLOOKUP($C$457,'Calc (ex-animal)'!$D$88:$Y$92,19,FALSE))*F461/100+U461+V461+W461))))</f>
        <v/>
      </c>
      <c r="Y461" s="433" t="str">
        <f>IF(D461="","",(VLOOKUP(D461,'DB technologies'!$N$224:$Y$236,2,FALSE)*'DB additional information '!$S$6/100*'DB additional information '!$V$6*VLOOKUP($C$457,'DB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Z461" s="433" t="str">
        <f>IF(D461="","",(VLOOKUP(D461,'DB technologies'!$N$224:$Y$236,3,FALSE)*'DB additional information '!$S$7/100*'DB additional information '!$V$7*VLOOKUP($C$457,'DB animal categories'!$C$167:$AC$176,27,FALSE)*E461/1000/1000)/VLOOKUP($C$457,'DB animal categories'!$C$167:$AC$176,27,FALSE)*(VLOOKUP($C$457,'DB animal categories'!$C$167:$AC$176,27,FALSE)-VLOOKUP($C$457,'DB animal categories'!$C$167:$AC$176,25,FALSE)*VLOOKUP($C$457,'DB animal categories'!$C$167:$AC$176,26,FALSE)/24))</f>
        <v/>
      </c>
      <c r="AA461" s="433" t="str">
        <f>IF(D461="","",(VLOOKUP(D461,'DB technologies'!$N$224:$Y$236,4,FALSE)*('DB additional information '!$S$8/100*'DB additional information '!$V$8*E461/1000/1000)))</f>
        <v/>
      </c>
      <c r="AB461" s="267" t="str">
        <f>IF($C$457=0,"",IF('Calc (ex-animal)'!$F$88=1,"",IF(D461="","",((VLOOKUP($C$457,'Calc (ex-animal)'!$D$88:$Y$92,16,FALSE)-VLOOKUP($C$457,'Calc (ex-animal)'!$D$88:$Y$92,20,FALSE))*F461/100+Y461+Z461+AA461))))</f>
        <v/>
      </c>
      <c r="AC461" s="267" t="str">
        <f>IF($C$457=0,"",IF('Calc (ex-animal)'!$F$88=1,"",IF(D461="","",VLOOKUP($C$457,'Calc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categories'!$C$167:$AC$176,26,FALSE)/24)*F461/100*VLOOKUP(D461,'DB technologies'!$N$224:$R$236,5,FALSE)/100)))</f>
        <v/>
      </c>
      <c r="AD461" s="267" t="str">
        <f>IF($C$457=0,"",IF('Calc (ex-animal)'!$F$88=1,"",IF(D461="","",VLOOKUP($C$457,'Calc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categories'!$C$167:$AC$176,26,FALSE)/24)*F461/100*VLOOKUP(D461,'DB technologies'!$N$224:$Y$236,6,FALSE)/100)))</f>
        <v/>
      </c>
      <c r="AE461" s="268" t="str">
        <f>IF($C$457=0,"",IF('Calc (ex-animal)'!$F$88=1,"",IF(D461="","",VLOOKUP($C$457,'Calc (ex-animal)'!$D$88:$Y$92,10,FALSE)/VLOOKUP($C$457,'DB animal categories'!$C$167:$AC$176,27,FALSE)*(VLOOKUP($C$457,'DB animal categories'!$C$167:$AC$176,27,FALSE)-VLOOKUP($C$457,'DB animal categories'!$C$167:$AC$176,25,FALSE)*VLOOKUP($C$457,'DB animal categories'!$C$167:$AC$176,26,FALSE)/24)*F461/100*VLOOKUP(D461,'DB technologies'!$N$224:$Y$236,7,FALSE)/100)))</f>
        <v/>
      </c>
      <c r="AI461" s="183" t="str">
        <f>IF(D461="","",VLOOKUP(D461,'DB technologies'!$N$224:$Y$236,10,FALSE))</f>
        <v/>
      </c>
      <c r="AJ461" s="451" t="e">
        <f>VLOOKUP($C$457,'DB animal categories'!$C$167:$AN$176,27,FALSE)-VLOOKUP($C$457,'DB animal categories'!$C$167:$AN$176,26,FALSE)*VLOOKUP($C$457,'DB animal categories'!$C$167:$AN$176,25,FALSE)/24</f>
        <v>#N/A</v>
      </c>
      <c r="AK461" s="452" t="str">
        <f>IF(AI461="","",AL461+AM461)</f>
        <v/>
      </c>
      <c r="AL461" s="452" t="str">
        <f>IF(D461="","",IF(AI461=2,(('Calc (ex-animal)'!$G$88*'DB additional information '!$K$19/100*(1-VLOOKUP(D461,'DB technologies'!$N$224:$Y$236,9,FALSE)/100)*'Calc (ex-housing, ex-storage)'!F461/100+'Calc (ex-animal)'!$H$88*'DB additional information '!$L$19/100*(1-VLOOKUP(D461,'DB technologies'!$N$224:$Y$236,9,FALSE)/100)*'Calc (ex-housing, ex-storage)'!F461/100))/VLOOKUP($C$457,'DB animal categories'!$C$167:$AC$176,27,FALSE)*AJ461+I461+J461+K461,IF(AI461=1,('Calc (ex-animal)'!$H$88*'DB additional information '!$L$19/100*(1-VLOOKUP(D461,'DB technologies'!$N$224:$Y$236,9,FALSE)/100)*'Calc (ex-housing, ex-storage)'!F461/100)/VLOOKUP($C$457,'DB animal categories'!$C$167:$AC$176,27,FALSE)*AJ461,IF(AI461=4,('Calc (ex-animal)'!$G$88*'DB additional information '!$K$19/100+'Calc (ex-animal)'!$H$88*'DB additional information '!$L$19/100)*(1-VLOOKUP(D461,'DB technologies'!$N$224:$Y$236,9,FALSE)/100)*'Calc (ex-housing, ex-storage)'!F461/100*VLOOKUP(D461,'DB technologies'!$N$224:$Y$236,11,FALSE)/100/VLOOKUP($C$457,'DB animal categories'!$C$167:$AC$176,27,FALSE)*AJ461,0))))</f>
        <v/>
      </c>
      <c r="AM461" s="452" t="str">
        <f>IF(D461="","",IF(AI461=2,(('Calc (ex-animal)'!$G$88*(1-'DB additional information '!$K$19/100)*(1-VLOOKUP(D461,'DB technologies'!$N$224:$Y$236,8,FALSE)/100)*'Calc (ex-housing, ex-storage)'!F461/100+'Calc (ex-animal)'!$H$88*(1-'DB additional information '!$L$19/100)*(1-VLOOKUP(D461,'DB technologies'!$N$224:$Y$236,8,FALSE)/100)*'Calc (ex-housing, ex-storage)'!F461/100))/VLOOKUP($C$457,'DB animal categories'!$C$167:$AC$176,27,FALSE)*AJ461+M461+N461+O461,IF(AI461=1,('Calc (ex-animal)'!$H$88*(1-'DB additional information '!$L$19/100)*(1-VLOOKUP(D461,'DB technologies'!$N$224:$Y$236,8,FALSE)/100)*'Calc (ex-housing, ex-storage)'!F461/100)/VLOOKUP($C$457,'DB animal categories'!$C$167:$AC$176,27,FALSE)*AJ461,IF(AI461=4,('Calc (ex-animal)'!$G$88*(1-'DB additional information '!$K$19/100)+'Calc (ex-animal)'!$H$88*(1-'DB additional information '!$L$19/100))*(1-VLOOKUP(D461,'DB technologies'!$N$224:$Y$236,8,FALSE)/100)*'Calc (ex-housing, ex-storage)'!F461/100*VLOOKUP(D461,'DB technologies'!$N$224:$Y$236,11,FALSE)/100/VLOOKUP($C$457,'DB animal categories'!$C$167:$AC$176,27,FALSE)*AJ461,0))))</f>
        <v/>
      </c>
      <c r="AN461" s="452" t="str">
        <f>IF(AI461="","",IF(AL461=0,0,AL461/AK461*100))</f>
        <v/>
      </c>
      <c r="AO461" s="184" t="str">
        <f>IF(D461="","",IF(AI461=2,(('Calc (ex-animal)'!$L$88*'Calc (ex-housing, ex-storage)'!F461/100+'Calc (ex-animal)'!$K$88*'Calc (ex-housing, ex-storage)'!F461/100))/VLOOKUP($C$457,'DB animal categories'!$C$167:$AC$176,27,FALSE)*AJ461+Q461+R461+S461-AC461,IF(AI461=1,('Calc (ex-animal)'!$L$88*'Calc (ex-housing, ex-storage)'!F461/100)/VLOOKUP($C$457,'DB animal categories'!$C$167:$AC$176,27,FALSE)*AJ461-'Calc (ex-housing, ex-storage)'!AC461,IF(AI461=4,('Calc (ex-animal)'!$L$88+'Calc (ex-animal)'!$K$88)*'Calc (ex-housing, ex-storage)'!F461/100*VLOOKUP(D461,'DB technologies'!$N$224:$Y$236,11,FALSE)/100/VLOOKUP($C$457,'DB animal categories'!$C$167:$AC$176,27,FALSE)*AJ461-AC461*VLOOKUP(D461,'DB technologies'!$N$224:$Y$236,11,FALSE)/100,0))))</f>
        <v/>
      </c>
      <c r="AP461" s="184" t="str">
        <f>IF(D461="","",IF(AO461&lt;-0.01,0,IF(AI461=2,(('Calc (ex-animal)'!$L$88*'Calc (ex-housing, ex-storage)'!F461/100+'Calc (ex-animal)'!$K$88*'Calc (ex-housing, ex-storage)'!F461/100))/VLOOKUP($C$457,'DB animal categories'!$C$167:$AC$176,27,FALSE)*AJ461+Q461+R461+S461-AC461,IF(AI461=1,('Calc (ex-animal)'!$L$88*'Calc (ex-housing, ex-storage)'!F461/100)/VLOOKUP($C$457,'DB animal categories'!$C$167:$AC$176,27,FALSE)*AJ461-'Calc (ex-housing, ex-storage)'!AC461,IF(AI461=4,('Calc (ex-animal)'!$L$88+'Calc (ex-animal)'!$K$88)*'Calc (ex-housing, ex-storage)'!F461/100*VLOOKUP(D461,'DB technologies'!$N$224:$Y$236,11,FALSE)/100/VLOOKUP($C$457,'DB animal categories'!$C$167:$AC$176,27,FALSE)*AJ461-AC461*VLOOKUP(D461,'DB technologies'!$N$224:$Y$236,11,FALSE)/100,0)))))</f>
        <v/>
      </c>
      <c r="AQ461" s="184" t="str">
        <f>IF(D461="","",IF(AI461=2,('Calc (ex-animal)'!$O$88*'Calc (ex-housing, ex-storage)'!F461/100+'Calc (ex-animal)'!$N$88*'Calc (ex-housing, ex-storage)'!F461/100)/VLOOKUP($C$457,'DB animal categories'!$C$167:$AC$176,27,FALSE)*AJ461+U461+V461+W461,IF(AI461=1,'Calc (ex-animal)'!$O$88*'Calc (ex-housing, ex-storage)'!F461/100/VLOOKUP($C$457,'DB animal categories'!$C$167:$AC$176,27,FALSE)*AJ461,IF(AI461=4,('Calc (ex-animal)'!$O$88+'Calc (ex-animal)'!$N$88)*'Calc (ex-housing, ex-storage)'!F461/100*VLOOKUP(D461,'DB technologies'!$N$224:$Y$236,11,FALSE)/100/VLOOKUP($C$457,'DB animal categories'!$C$167:$AC$176,27,FALSE)*AJ461,0))))</f>
        <v/>
      </c>
      <c r="AR461" s="184" t="str">
        <f>IF(D461="","",IF(AI461=2,('Calc (ex-animal)'!$R$88*'Calc (ex-housing, ex-storage)'!F461/100+'Calc (ex-animal)'!$Q$88*'Calc (ex-housing, ex-storage)'!F461/100)/VLOOKUP($C$457,'DB animal categories'!$C$167:$AC$176,27,FALSE)*AJ461+Y461+Z461+AA461,IF(AI461=1,'Calc (ex-animal)'!$R$88*'Calc (ex-housing, ex-storage)'!F461/100/VLOOKUP($C$457,'DB animal categories'!$C$167:$AC$176,27,FALSE)*AJ461,IF(AI461=4,('Calc (ex-animal)'!$R$88+'Calc (ex-animal)'!$Q$88)*'Calc (ex-housing, ex-storage)'!F461/100*VLOOKUP(D461,'DB technologies'!$N$224:$Y$236,11,FALSE)/100/VLOOKUP($C$457,'DB animal categories'!$C$167:$AC$176,27,FALSE)*AJ461,0))))</f>
        <v/>
      </c>
      <c r="AS461" s="183" t="str">
        <f>IF(D461="","",VLOOKUP(D461,'DB technologies'!$N$224:$Y$236,10,FALSE))</f>
        <v/>
      </c>
      <c r="AT461" s="452" t="str">
        <f>IF(AS461="","",AU461+AV461)</f>
        <v/>
      </c>
      <c r="AU461" s="452" t="str">
        <f>IF(D461="","",IF(AS461=2,0,IF(AS461=1,'Calc (ex-animal)'!$G$88*'DB additional information '!$K$19/100*(1-VLOOKUP(D461,'DB technologies'!$N$224:$Y$236,8,FALSE)/100)*'Calc (ex-housing, ex-storage)'!F461/100/VLOOKUP($C$457,'DB animal categories'!$C$167:$AC$176,27,FALSE)*AJ461+I461+J461+K461,IF(AS461=5,(('Calc (ex-animal)'!$G$88*'DB additional information '!$K$19/100+'Calc (ex-animal)'!$H$88*'DB additional information '!$L$19/100))*(1-VLOOKUP(D461,'DB technologies'!$N$224:$Y$236,9,FALSE)/100)*'Calc (ex-housing, ex-storage)'!F461/100/VLOOKUP($C$457,'DB animal categories'!$C$167:$AC$176,27,FALSE)*AJ461+I461+J461+K461,IF(AS461=3,('Calc (ex-animal)'!$G$88*'DB additional information '!$K$19/100+'Calc (ex-animal)'!$H$88*'DB additional information '!$L$19/100)*(1-VLOOKUP(D461,'DB technologies'!$N$224:$Y$236,9,FALSE)/100)*'Calc (ex-housing, ex-storage)'!F461/100/VLOOKUP($C$457,'DB animal categories'!$C$167:$AC$176,27,FALSE)*AJ461+I461+J461+K461,IF(AS461=4,('Calc (ex-animal)'!$G$88*'DB additional information '!$K$19/100+'Calc (ex-animal)'!$H$88*'DB additional information '!$L$19/100)*(1-VLOOKUP(D461,'DB technologies'!$N$224:$Y$236,9,FALSE)/100)*'Calc (ex-housing, ex-storage)'!F461/100*VLOOKUP(D461,'DB technologies'!$N$224:$Y$236,12,FALSE)/100/VLOOKUP($C$457,'DB animal categories'!$C$167:$AC$176,27,FALSE)*AJ461+I461+J461+K461,0))))))</f>
        <v/>
      </c>
      <c r="AV461" s="452" t="str">
        <f>IF(D461="","",IF(AS461=2,0,IF(AS461=1,'Calc (ex-animal)'!$G$88*(1-'DB additional information '!$K$19/100)*(1-VLOOKUP(D461,'DB technologies'!$N$224:$Y$236,8,FALSE)/100)*'Calc (ex-housing, ex-storage)'!F461/100/VLOOKUP($C$457,'DB animal categories'!$C$167:$AC$176,27,FALSE)*AJ461+M461+N461+O461,IF(AS461=5,('Calc (ex-animal)'!$G$88*(1-'DB additional information '!$K$19/100)+'Calc (ex-animal)'!$H$88*(1-'DB additional information '!$L$19/100))*(1-VLOOKUP(D461,'DB technologies'!$N$224:$Y$236,8,FALSE)/100)*'Calc (ex-housing, ex-storage)'!F461/100/VLOOKUP($C$457,'DB animal categories'!$C$167:$AC$176,27,FALSE)*AJ461+M461+N461+O461,IF(AS461=3,('Calc (ex-animal)'!$G$88*(1-'DB additional information '!$K$19/100)+'Calc (ex-animal)'!$H$88*(1-'DB additional information '!$L$19/100))*(1-VLOOKUP(D461,'DB technologies'!$N$224:$Y$236,8,FALSE)/100)*'Calc (ex-housing, ex-storage)'!F461/100/VLOOKUP($C$457,'DB animal categories'!$C$167:$AC$176,27,FALSE)*AJ461+M461+N461+O461,IF(AS461=4,('Calc (ex-animal)'!$G$88*(1-'DB additional information '!$K$19/100)+'Calc (ex-animal)'!$H$88*(1-'DB additional information '!$L$19/100))*(1-VLOOKUP(D461,'DB technologies'!$N$224:$Y$236,8,FALSE)/100)*'Calc (ex-housing, ex-storage)'!F461/100*VLOOKUP(D461,'DB technologies'!$N$224:$Y$236,12,FALSE)/100/VLOOKUP($C$457,'DB animal categories'!$C$167:$AC$176,27,FALSE)*AJ461+M461+N461+O461,0))))))</f>
        <v/>
      </c>
      <c r="AW461" s="452" t="str">
        <f>IF(AS461="","",IF(AU461=0,0,AU461/AT461*100))</f>
        <v/>
      </c>
      <c r="AX461" s="184" t="str">
        <f>IF(D461="","",IF(AS461=2,0,IF(AS461=1,'Calc (ex-animal)'!$K$88*'Calc (ex-housing, ex-storage)'!F461/100/VLOOKUP($C$457,'DB animal categories'!$C$167:$AC$176,27,FALSE)*AJ461+Q461+R461+S461,IF(AS461=5,('Calc (ex-animal)'!$K$88+'Calc (ex-animal)'!$L$88)*'Calc (ex-housing, ex-storage)'!F461/100/VLOOKUP($C$457,'DB animal categories'!$C$167:$AC$176,27,FALSE)*AJ461+Q461+R461+S461-'Calc (ex-housing, ex-storage)'!AC461,IF(AS461=3,('Calc (ex-animal)'!$K$88+'Calc (ex-animal)'!$L$88)*'Calc (ex-housing, ex-storage)'!F461/100/VLOOKUP($C$457,'DB animal categories'!$C$167:$AC$176,27,FALSE)*AJ461+Q461+R461+S461-'Calc (ex-housing, ex-storage)'!AC461-AD461-AE461,IF(AI461=4,('Calc (ex-animal)'!$K$88+'Calc (ex-animal)'!$L$88)*'Calc (ex-housing, ex-storage)'!F461/100*VLOOKUP(D461,'DB technologies'!$N$224:$Y$236,12,FALSE)/100/VLOOKUP($C$457,'DB animal categories'!$C$167:$AC$176,27,FALSE)*AJ461+Q461+R461+S461-(VLOOKUP(D461,'DB technologies'!$N$224:$Y$236,12,FALSE)/100*AC461)-AD461-AE461,0))))))</f>
        <v/>
      </c>
      <c r="AY461" s="184" t="str">
        <f>IF(D461="","",IF(AS461=2,0,IF(AS461=1,'Calc (ex-animal)'!$N$88*'Calc (ex-housing, ex-storage)'!F461/100/VLOOKUP($C$457,'DB animal categories'!$C$167:$AC$176,27,FALSE)*AJ461+U461+V461+W461,IF(AS461=5,('Calc (ex-animal)'!$N$88+'Calc (ex-animal)'!$O$88)*'Calc (ex-housing, ex-storage)'!F461/100/VLOOKUP($C$457,'DB animal categories'!$C$167:$AC$176,27,FALSE)*AJ461+U461+V461+W461,IF(AS461=3,('Calc (ex-animal)'!$N$88+'Calc (ex-animal)'!$O$88)*'Calc (ex-housing, ex-storage)'!F461/100/VLOOKUP($C$457,'DB animal categories'!$C$167:$AC$176,27,FALSE)*AJ461+U461+V461+W461,IF(AS461=4,('Calc (ex-animal)'!$N$88+'Calc (ex-animal)'!$O$88)*'Calc (ex-housing, ex-storage)'!F461/100*VLOOKUP(D461,'DB technologies'!$N$224:$Y$236,12,FALSE)/100/VLOOKUP($C$457,'DB animal categories'!$C$167:$AC$176,27,FALSE)*AJ461+U461+V461+W461,0))))))</f>
        <v/>
      </c>
      <c r="AZ461" s="184" t="str">
        <f>IF(D461="","",IF(AS461=2,0,IF(AS461=1,'Calc (ex-animal)'!$Q$88*'Calc (ex-housing, ex-storage)'!F461/100/VLOOKUP($C$457,'DB animal categories'!$C$167:$AC$176,27,FALSE)*AJ461+Y461+Z461+AA461,IF(AS461=5,('Calc (ex-animal)'!$Q$88+'Calc (ex-animal)'!$R$88)*'Calc (ex-housing, ex-storage)'!F461/100/VLOOKUP($C$457,'DB animal categories'!$C$167:$AC$176,27,FALSE)*AJ461+Y461+Z461+AA461,IF(AS461=3,('Calc (ex-animal)'!$Q$88+'Calc (ex-animal)'!$R$88)*'Calc (ex-housing, ex-storage)'!F461/100/VLOOKUP($C$457,'DB animal categories'!$C$167:$AC$176,27,FALSE)*AJ461+Y461+Z461+AA461,IF(AS461=4,('Calc (ex-animal)'!$Q$88+'Calc (ex-animal)'!$R$88)*'Calc (ex-housing, ex-storage)'!F461/100*VLOOKUP(D461,'DB technologies'!$N$224:$Y$236,12,FALSE)/100/VLOOKUP($C$457,'DB animal categories'!$C$167:$AC$176,27,FALSE)*AJ461+Y461+Z461+AA461,0))))))</f>
        <v/>
      </c>
      <c r="BA461" s="506"/>
      <c r="BB461" s="506"/>
      <c r="BC461" s="506"/>
    </row>
    <row r="462" spans="1:55" ht="12" thickBot="1" x14ac:dyDescent="0.25">
      <c r="A462" s="695"/>
      <c r="B462" s="695"/>
      <c r="C462" s="252"/>
      <c r="D462" s="269" t="s">
        <v>58</v>
      </c>
      <c r="E462" s="270">
        <f>IF('Calc (ex-animal)'!F88=1,'Calc (ex-animal)'!E88,IF(F462&lt;=100,SUM(E457:E461),"ERROR"))</f>
        <v>0</v>
      </c>
      <c r="F462" s="284">
        <f>IF('Calc (ex-animal)'!F88=1,100,IF(SUM(F457:F461) &lt;=100,SUM(F457:F461),"ERROR, SUM&gt;100%"))</f>
        <v>0</v>
      </c>
      <c r="G462" s="550">
        <f>IF('Calc (ex-animal)'!$F$88=1,"",SUM(G457:G461))</f>
        <v>0</v>
      </c>
      <c r="H462" s="418">
        <f>IF('Calc (ex-animal)'!$F$8=1,"",SUM(H457:H461))</f>
        <v>0</v>
      </c>
      <c r="I462" s="418">
        <f>IF('Calc (ex-animal)'!$F$8=1,"",SUM(I457:I461))</f>
        <v>0</v>
      </c>
      <c r="J462" s="418">
        <f>IF('Calc (ex-animal)'!$F$8=1,"",SUM(J457:J461))</f>
        <v>0</v>
      </c>
      <c r="K462" s="418">
        <f>IF('Calc (ex-animal)'!$F$8=1,"",SUM(K457:K461))</f>
        <v>0</v>
      </c>
      <c r="L462" s="418">
        <f>IF('Calc (ex-animal)'!$F$8=1,"",SUM(L457:L461))</f>
        <v>0</v>
      </c>
      <c r="M462" s="551"/>
      <c r="N462" s="551"/>
      <c r="O462" s="551"/>
      <c r="P462" s="552">
        <f>IF(G462=0,0,IF('Calc (ex-animal)'!$F$88=1,"",IF(D462="","",SUM(H462:K462)/G462*100)))</f>
        <v>0</v>
      </c>
      <c r="Q462" s="394"/>
      <c r="R462" s="394"/>
      <c r="S462" s="394"/>
      <c r="T462" s="285">
        <f>IF('Calc (ex-animal)'!$F$88=1,"",SUM(T457:T461))</f>
        <v>0</v>
      </c>
      <c r="U462" s="286"/>
      <c r="V462" s="286"/>
      <c r="W462" s="286"/>
      <c r="X462" s="286">
        <f>IF('Calc (ex-animal)'!$F$88=1,"",SUM(X457:X461))</f>
        <v>0</v>
      </c>
      <c r="Y462" s="286"/>
      <c r="Z462" s="286"/>
      <c r="AA462" s="286"/>
      <c r="AB462" s="286">
        <f>IF('Calc (ex-animal)'!$F$88=1,"",SUM(AB457:AB461))</f>
        <v>0</v>
      </c>
      <c r="AC462" s="286">
        <f>IF('Calc (ex-animal)'!$F$88=1,"",SUM(AC457:AC461))</f>
        <v>0</v>
      </c>
      <c r="AD462" s="286">
        <f>IF('Calc (ex-animal)'!$F$88=1,"",SUM(AD457:AD461))</f>
        <v>0</v>
      </c>
      <c r="AE462" s="287">
        <f>IF('Calc (ex-animal)'!$F$88=1,"",SUM(AE457:AE461))</f>
        <v>0</v>
      </c>
    </row>
    <row r="463" spans="1:55" x14ac:dyDescent="0.2">
      <c r="A463" s="695"/>
      <c r="B463" s="695"/>
      <c r="C463" s="250">
        <f>'Calc (ex-animal)'!D89</f>
        <v>0</v>
      </c>
      <c r="D463" s="1355"/>
      <c r="E463" s="1356"/>
      <c r="F463" s="479" t="str">
        <f>IF('Calc (ex-animal)'!$F$88=1,"",IF($C$463=0,"",IF(D463="","",E463/'Calc (ex-animal)'!$E$89*100)))</f>
        <v/>
      </c>
      <c r="G463" s="484" t="str">
        <f>IF($C$463=0,"",IF('Calc (ex-animal)'!$F$88=1,"",IF(D463="","",SUM(H463:O463))))</f>
        <v/>
      </c>
      <c r="H463" s="471" t="str">
        <f>IF('Calc (ex-animal)'!$F$88=1,"",IF(D463="","",(((VLOOKUP($C$463,'Calc (ex-animal)'!$D$88:$Y$92,6,FALSE)-VLOOKUP($C$463,'Calc (ex-animal)'!$D$88:$Y$92,17,FALSE))*F463/100))*VLOOKUP($C$463,'Calc (ex-animal)'!$D$88:$Y$92,7,FALSE)/100*(1-VLOOKUP(D463,'DB technologies'!$N$224:$Y$236,9,FALSE)/100)))</f>
        <v/>
      </c>
      <c r="I463" s="471" t="str">
        <f>IF(D463="","",((VLOOKUP(D463,'DB technologies'!$N$224:$Y$236,2,FALSE)*VLOOKUP($C$463,'DB animal categories'!$C$167:$AC$176,27,FALSE)*E463/1000)/VLOOKUP($C$463,'DB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'!$S$6/100*(1-VLOOKUP(D463,'DB technologies'!$N$224:$Y$236,9,FALSE)/100)))</f>
        <v/>
      </c>
      <c r="J463" s="472" t="str">
        <f>IF(D463="","",((VLOOKUP(D463,'DB technologies'!$N$224:$Y$236,3,FALSE)*VLOOKUP($C$463,'DB animal categories'!$C$167:$AC$176,27,FALSE)*E463/1000)/VLOOKUP($C$463,'DB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'!$S$7/100*(1-VLOOKUP(D463,'DB technologies'!$N$224:$Y$236,9,FALSE)/100)))</f>
        <v/>
      </c>
      <c r="K463" s="472" t="str">
        <f>IF(D463="","",((VLOOKUP(D463,'DB technologies'!$N$224:$Y$236,4,FALSE)*E463*'DB additional information '!$S$8/100*(1-VLOOKUP(D463,'DB technologies'!$N$224:$Y$236,9,FALSE)/100))/VLOOKUP($C$463,'DB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L463" s="471" t="str">
        <f>IF('Calc (ex-animal)'!$F$88=1,"",IF(D463="","",(((VLOOKUP($C$463,'Calc (ex-animal)'!$D$88:$Y$92,6,FALSE)-VLOOKUP($C$463,'Calc (ex-animal)'!$D$88:$Y$92,17,FALSE))*F463/100))*(1-VLOOKUP($C$463,'Calc (ex-animal)'!$D$88:$Y$92,7,FALSE)/100)*(1-VLOOKUP(D463,'DB technologies'!$N$224:$V$236,8,FALSE)/100)))</f>
        <v/>
      </c>
      <c r="M463" s="472" t="str">
        <f>IF(D463="","",((VLOOKUP(D463,'DB technologies'!$N$224:$Y$236,2,FALSE)*VLOOKUP($C$463,'DB animal categories'!$C$167:$AC$176,27,FALSE)*E463/1000)/VLOOKUP($C$463,'DB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'!$S$6/100)*(1-VLOOKUP(D463,'DB technologies'!$N$224:$Y$236,9,FALSE)/100))</f>
        <v/>
      </c>
      <c r="N463" s="472" t="str">
        <f>IF(D463="","",((VLOOKUP(D463,'DB technologies'!$N$224:$Y$236,3,FALSE)*VLOOKUP($C$463,'DB animal categories'!$C$167:$AC$176,27,FALSE)*E463/1000)/VLOOKUP($C$463,'DB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'!$S$7/100)*(1-VLOOKUP(D463,'DB technologies'!$N$224:$Y$236,9,FALSE)/100))</f>
        <v/>
      </c>
      <c r="O463" s="471" t="str">
        <f>IF(D463="","",((VLOOKUP(D463,'DB technologies'!$N$224:$Y$236,4,FALSE)*E463*(1-'DB additional information '!$S$8/100)*(1-VLOOKUP(D463,'DB technologies'!$N$224:$Y$236,8,FALSE)/100))/VLOOKUP($C$463,'DB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P463" s="443" t="str">
        <f>IF(G463=0,0,IF(E463="","",IF(F463="","",IF($C$463=0,"",IF(D463="","",SUM(H463:K463)/G463*100)))))</f>
        <v/>
      </c>
      <c r="Q463" s="473" t="str">
        <f>IF(D463="","",(VLOOKUP(D463,'DB technologies'!$N$224:$Y$236,2,FALSE)*'DB additional information '!$S$6/100*'DB additional information '!$T$6*VLOOKUP($C$463,'DB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R463" s="473" t="str">
        <f>IF(D463="","",(VLOOKUP(D463,'DB technologies'!$N$224:$Y$236,3,FALSE)*'DB additional information '!$S$7/100*'DB additional information '!$T$7*VLOOKUP($C$463,'DB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S463" s="490" t="str">
        <f>IF(D463="","",(VLOOKUP(D463,'DB technologies'!$N$224:$Y$236,4,FALSE)*('DB additional information '!$S$8/100*'DB additional information '!$T$8*E463/1000/1000)))</f>
        <v/>
      </c>
      <c r="T463" s="263" t="str">
        <f>IF($C$463=0,"",IF('Calc (ex-animal)'!$F$88=1,"",IF(D463="","",((VLOOKUP($C$463,'Calc (ex-animal)'!$D$88:$Y$92,10,FALSE)-VLOOKUP($C$463,'Calc (ex-animal)'!$D$88:$Y$92,18,FALSE))*F463/100+Q463+R463+S463)-AC463-AD463-AE463)))</f>
        <v/>
      </c>
      <c r="U463" s="474" t="str">
        <f>IF(D463="","",(VLOOKUP(D463,'DB technologies'!$N$224:$Y$236,2,FALSE)*'DB additional information '!$S$6/100*'DB additional information '!$U$6*VLOOKUP($C$463,'DB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V463" s="420" t="str">
        <f>IF(D463="","",(VLOOKUP(D463,'DB technologies'!$N$224:$Y$236,3,FALSE)*'DB additional information '!$S$7/100*'DB additional information '!$U$7*VLOOKUP($C$463,'DB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W463" s="415" t="str">
        <f>IF(D463="","",(VLOOKUP(D463,'DB technologies'!$N$224:$Y$236,4,FALSE)*('DB additional information '!$S$8/100*'DB additional information '!$U$8*E463/1000/1000)))</f>
        <v/>
      </c>
      <c r="X463" s="259" t="str">
        <f>IF($C$463=0,"",IF('Calc (ex-animal)'!$F$88=1,"",IF(D463="","",((VLOOKUP($C$463,'Calc (ex-animal)'!$D$88:$Y$92,13,FALSE)-VLOOKUP($C$463,'Calc (ex-animal)'!$D$88:$Y$92,19,FALSE))*F463/100+U463+V463+W463))))</f>
        <v/>
      </c>
      <c r="Y463" s="420" t="str">
        <f>IF(D463="","",(VLOOKUP(D463,'DB technologies'!$N$224:$Y$236,2,FALSE)*'DB additional information '!$S$6/100*'DB additional information '!$V$6*VLOOKUP($C$463,'DB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Z463" s="420" t="str">
        <f>IF(D463="","",(VLOOKUP(D463,'DB technologies'!$N$224:$Y$236,3,FALSE)*'DB additional information '!$S$7/100*'DB additional information '!$V$7*VLOOKUP($C$463,'DB animal categories'!$C$167:$AC$176,27,FALSE)*E463/1000/1000)/VLOOKUP($C$463,'DB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AA463" s="420" t="str">
        <f>IF(D463="","",(VLOOKUP(D463,'DB technologies'!$N$224:$Y$236,4,FALSE)*('DB additional information '!$S$8/100*'DB additional information '!$V$8*E463/1000/1000)))</f>
        <v/>
      </c>
      <c r="AB463" s="259" t="str">
        <f>IF($C$463=0,"",IF('Calc (ex-animal)'!$F$88=1,"",IF(D463="","",((VLOOKUP($C$463,'Calc (ex-animal)'!$D$88:$Y$92,16,FALSE)-VLOOKUP($C$463,'Calc (ex-animal)'!$D$88:$Y$92,20,FALSE))*F463/100+Y463+Z463+AA463))))</f>
        <v/>
      </c>
      <c r="AC463" s="259" t="str">
        <f>IF($C$463=0,"",IF('Calc (ex-animal)'!$F$88=1,"",IF(D463="","",VLOOKUP($C$463,'Calc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categories'!$C$167:$AC$176,26,FALSE)/24)*F463/100*VLOOKUP(D463,'DB technologies'!$N$224:$R$236,5,FALSE)/100)))</f>
        <v/>
      </c>
      <c r="AD463" s="259" t="str">
        <f>IF($C$463=0,"",IF('Calc (ex-animal)'!$F$88=1,"",IF(D463="","",VLOOKUP($C$463,'Calc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categories'!$C$167:$AC$176,26,FALSE)/24)*F463/100*VLOOKUP(D463,'DB technologies'!$N$224:$Y$236,6,FALSE)/100)))</f>
        <v/>
      </c>
      <c r="AE463" s="260" t="str">
        <f>IF($C$463=0,"",IF('Calc (ex-animal)'!$F$88=1,"",IF(D463="","",VLOOKUP($C$463,'Calc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categories'!$C$167:$AC$176,26,FALSE)/24)*F463/100*VLOOKUP(D463,'DB technologies'!$N$224:$Y$236,7,FALSE)/100)))</f>
        <v/>
      </c>
      <c r="AI463" s="179" t="str">
        <f>IF(D463="","",VLOOKUP(D463,'DB technologies'!$N$224:$Y$236,10,FALSE))</f>
        <v/>
      </c>
      <c r="AJ463" s="482" t="e">
        <f>VLOOKUP($C$463,'DB animal categories'!$C$167:$AN$176,27,FALSE)-VLOOKUP($C$463,'DB animal categories'!$C$167:$AN$176,26,FALSE)*VLOOKUP($C$463,'DB animal categories'!$C$167:$AN$176,25,FALSE)/24</f>
        <v>#N/A</v>
      </c>
      <c r="AK463" s="453" t="str">
        <f>IF(AI463="","",AL463+AM463)</f>
        <v/>
      </c>
      <c r="AL463" s="453" t="str">
        <f>IF(D463="","",IF(AI463=2,(('Calc (ex-animal)'!$G$89*'DB additional information '!$K$19/100*(1-VLOOKUP(D463,'DB technologies'!$N$224:$Y$236,9,FALSE)/100)*'Calc (ex-housing, ex-storage)'!F463/100+'Calc (ex-animal)'!$H$89*'DB additional information '!$L$19/100*(1-VLOOKUP(D463,'DB technologies'!$N$224:$Y$236,9,FALSE)/100)*'Calc (ex-housing, ex-storage)'!F463/100))/VLOOKUP($C$463,'DB animal categories'!$C$167:$AC$176,27,FALSE)*AJ463+I463+J463+K463,IF(AI463=1,('Calc (ex-animal)'!$H$89*'DB additional information '!$L$19/100*(1-VLOOKUP(D463,'DB technologies'!$N$224:$Y$236,9,FALSE)/100)*'Calc (ex-housing, ex-storage)'!F463/100)/VLOOKUP($C$463,'DB animal categories'!$C$167:$AC$176,27,FALSE)*AJ463,IF(AI463=4,('Calc (ex-animal)'!$G$89*'DB additional information '!$K$19/100+'Calc (ex-animal)'!$H$89*'DB additional information '!$L$19/100)*(1-VLOOKUP(D463,'DB technologies'!$N$224:$Y$236,9,FALSE)/100)*'Calc (ex-housing, ex-storage)'!F463/100*VLOOKUP(D463,'DB technologies'!$N$224:$Y$236,11,FALSE)/100/VLOOKUP($C$463,'DB animal categories'!$C$167:$AC$176,27,FALSE)*AJ463,0))))</f>
        <v/>
      </c>
      <c r="AM463" s="453" t="str">
        <f>IF(D463="","",IF(AI463=2,(('Calc (ex-animal)'!$G$89*(1-'DB additional information '!$K$19/100)*(1-VLOOKUP(D463,'DB technologies'!$N$224:$Y$236,8,FALSE)/100)*'Calc (ex-housing, ex-storage)'!F463/100+'Calc (ex-animal)'!$H$89*(1-'DB additional information '!$L$19/100)*(1-VLOOKUP(D463,'DB technologies'!$N$224:$Y$236,8,FALSE)/100)*'Calc (ex-housing, ex-storage)'!F463/100))/VLOOKUP($C$463,'DB animal categories'!$C$167:$AC$176,27,FALSE)*AJ463+M463+N463+O463,IF(AI463=1,('Calc (ex-animal)'!$H$89*(1-'DB additional information '!$L$19/100)*(1-VLOOKUP(D463,'DB technologies'!$N$224:$Y$236,8,FALSE)/100)*'Calc (ex-housing, ex-storage)'!F463/100)/VLOOKUP($C$463,'DB animal categories'!$C$167:$AC$176,27,FALSE)*AJ463,IF(AI463=4,('Calc (ex-animal)'!$G$89*(1-'DB additional information '!$K$19/100)+'Calc (ex-animal)'!$H$89*(1-'DB additional information '!$L$19/100))*(1-VLOOKUP(D463,'DB technologies'!$N$224:$Y$236,8,FALSE)/100)*'Calc (ex-housing, ex-storage)'!F463/100*VLOOKUP(D463,'DB technologies'!$N$224:$Y$236,11,FALSE)/100/VLOOKUP($C$463,'DB animal categories'!$C$167:$AC$176,27,FALSE)*AJ463,0))))</f>
        <v/>
      </c>
      <c r="AN463" s="453" t="str">
        <f>IF(AI463="","",IF(AL463=0,0,AL463/AK463*100))</f>
        <v/>
      </c>
      <c r="AO463" s="180" t="str">
        <f>IF(D463="","",IF(AI463=2,(('Calc (ex-animal)'!$L$89*'Calc (ex-housing, ex-storage)'!F463/100+'Calc (ex-animal)'!$K$89*'Calc (ex-housing, ex-storage)'!F463/100))/VLOOKUP($C$463,'DB animal categories'!$C$167:$AC$176,27,FALSE)*AJ463+Q463+R463+S463-AC463,IF(AI463=1,('Calc (ex-animal)'!$L$89*'Calc (ex-housing, ex-storage)'!F463/100)/VLOOKUP($C$463,'DB animal categories'!$C$167:$AC$176,27,FALSE)*AJ463-'Calc (ex-housing, ex-storage)'!AC463,IF(AI463=4,('Calc (ex-animal)'!$L$89+'Calc (ex-animal)'!$K$89)*'Calc (ex-housing, ex-storage)'!F463/100*VLOOKUP(D463,'DB technologies'!$N$224:$Y$236,11,FALSE)/100/VLOOKUP($C$463,'DB animal categories'!$C$167:$AC$176,27,FALSE)*AJ463-AC463*VLOOKUP(D463,'DB technologies'!$N$224:$Y$236,11,FALSE)/100,0))))</f>
        <v/>
      </c>
      <c r="AP463" s="180" t="str">
        <f>IF(D463="","",IF(AO463&lt;-0.01,0,IF(AI463=2,(('Calc (ex-animal)'!$L$89*'Calc (ex-housing, ex-storage)'!F463/100+'Calc (ex-animal)'!$K$89*'Calc (ex-housing, ex-storage)'!F463/100))/VLOOKUP($C$463,'DB animal categories'!$C$167:$AC$176,27,FALSE)*AJ463+Q463+R463+S463-AC463,IF(AI463=1,('Calc (ex-animal)'!$L$89*'Calc (ex-housing, ex-storage)'!F463/100)/VLOOKUP($C$463,'DB animal categories'!$C$167:$AC$176,27,FALSE)*AJ463-'Calc (ex-housing, ex-storage)'!AC463,IF(AI463=4,('Calc (ex-animal)'!$L$89+'Calc (ex-animal)'!$K$89)*'Calc (ex-housing, ex-storage)'!F463/100*VLOOKUP(D463,'DB technologies'!$N$224:$Y$236,11,FALSE)/100/VLOOKUP($C$463,'DB animal categories'!$C$167:$AC$176,27,FALSE)*AJ463-AC463*VLOOKUP(D463,'DB technologies'!$N$224:$Y$236,11,FALSE)/100,0)))))</f>
        <v/>
      </c>
      <c r="AQ463" s="180" t="str">
        <f>IF(D463="","",IF(AI463=2,('Calc (ex-animal)'!$O$89*'Calc (ex-housing, ex-storage)'!F463/100+'Calc (ex-animal)'!$N$89*'Calc (ex-housing, ex-storage)'!F463/100)/VLOOKUP($C$463,'DB animal categories'!$C$167:$AC$176,27,FALSE)*AJ463+U463+V463+W463,IF(AI463=1,'Calc (ex-animal)'!$O$89*'Calc (ex-housing, ex-storage)'!F463/100/VLOOKUP($C$463,'DB animal categories'!$C$167:$AC$176,27,FALSE)*AJ463,IF(AI463=4,('Calc (ex-animal)'!$O$89+'Calc (ex-animal)'!$N$89)*'Calc (ex-housing, ex-storage)'!F463/100*VLOOKUP(D463,'DB technologies'!$N$224:$Y$236,11,FALSE)/100/VLOOKUP($C$463,'DB animal categories'!$C$167:$AC$176,27,FALSE)*AJ463,0))))</f>
        <v/>
      </c>
      <c r="AR463" s="180" t="str">
        <f>IF(D463="","",IF(AI463=2,('Calc (ex-animal)'!$R$89*'Calc (ex-housing, ex-storage)'!F463/100+'Calc (ex-animal)'!$Q$89*'Calc (ex-housing, ex-storage)'!F463/100)/VLOOKUP($C$463,'DB animal categories'!$C$167:$AC$176,27,FALSE)*AJ463+Y463+Z463+AA463,IF(AI463=1,'Calc (ex-animal)'!$R$89*'Calc (ex-housing, ex-storage)'!F463/100/VLOOKUP($C$463,'DB animal categories'!$C$167:$AC$176,27,FALSE)*AJ463,IF(AI463=4,('Calc (ex-animal)'!$R$89+'Calc (ex-animal)'!$Q$89)*'Calc (ex-housing, ex-storage)'!F463/100*VLOOKUP(D463,'DB technologies'!$N$224:$Y$236,11,FALSE)/100/VLOOKUP($C$463,'DB animal categories'!$C$167:$AC$176,27,FALSE)*AJ463,0))))</f>
        <v/>
      </c>
      <c r="AS463" s="179" t="str">
        <f>IF(D463="","",VLOOKUP(D463,'DB technologies'!$N$224:$Y$236,10,FALSE))</f>
        <v/>
      </c>
      <c r="AT463" s="453" t="str">
        <f>IF(AS463="","",AU463+AV463)</f>
        <v/>
      </c>
      <c r="AU463" s="453" t="str">
        <f>IF(D463="","",IF(AS463=2,0,IF(AS463=1,'Calc (ex-animal)'!$G$89*'DB additional information '!$K$19/100*(1-VLOOKUP(D463,'DB technologies'!$N$224:$Y$236,8,FALSE)/100)*'Calc (ex-housing, ex-storage)'!F463/100/VLOOKUP($C$463,'DB animal categories'!$C$167:$AC$176,27,FALSE)*AJ463+I463+J463+K463,IF(AS463=5,(('Calc (ex-animal)'!$G$89*'DB additional information '!$K$19/100+'Calc (ex-animal)'!$H$89*'DB additional information '!$L$19/100))*(1-VLOOKUP(D463,'DB technologies'!$N$224:$Y$236,9,FALSE)/100)*'Calc (ex-housing, ex-storage)'!F463/100/VLOOKUP($C$463,'DB animal categories'!$C$167:$AC$176,27,FALSE)*AJ463+I463+J463+K463,IF(AS463=3,('Calc (ex-animal)'!$G$89*'DB additional information '!$K$19/100+'Calc (ex-animal)'!$H$89*'DB additional information '!$L$19/100)*(1-VLOOKUP(D463,'DB technologies'!$N$224:$Y$236,9,FALSE)/100)*'Calc (ex-housing, ex-storage)'!F463/100/VLOOKUP($C$463,'DB animal categories'!$C$167:$AC$176,27,FALSE)*AJ463+I463+J463+K463,IF(AS463=4,('Calc (ex-animal)'!$G$89*'DB additional information '!$K$19/100+'Calc (ex-animal)'!$H$89*'DB additional information '!$L$19/100)*(1-VLOOKUP(D463,'DB technologies'!$N$224:$Y$236,9,FALSE)/100)*'Calc (ex-housing, ex-storage)'!F463/100*VLOOKUP(D463,'DB technologies'!$N$224:$Y$236,12,FALSE)/100/VLOOKUP($C$463,'DB animal categories'!$C$167:$AC$176,27,FALSE)*AJ463+I463+J463+K463,0))))))</f>
        <v/>
      </c>
      <c r="AV463" s="453" t="str">
        <f>IF(D463="","",IF(AS463=2,0,IF(AS463=1,'Calc (ex-animal)'!$G$89*(1-'DB additional information '!$K$19/100)*(1-VLOOKUP(D463,'DB technologies'!$N$224:$Y$236,8,FALSE)/100)*'Calc (ex-housing, ex-storage)'!F463/100/VLOOKUP($C$463,'DB animal categories'!$C$167:$AC$176,27,FALSE)*AJ463+M463+N463+O463,IF(AS463=5,('Calc (ex-animal)'!$G$89*(1-'DB additional information '!$K$19/100)+'Calc (ex-animal)'!$H$89*(1-'DB additional information '!$L$19/100))*(1-VLOOKUP(D463,'DB technologies'!$N$224:$Y$236,8,FALSE)/100)*'Calc (ex-housing, ex-storage)'!F463/100/VLOOKUP($C$463,'DB animal categories'!$C$167:$AC$176,27,FALSE)*AJ463+M463+N463+O463,IF(AS463=3,('Calc (ex-animal)'!$G$89*(1-'DB additional information '!$K$19/100)+'Calc (ex-animal)'!$H$89*(1-'DB additional information '!$L$19/100))*(1-VLOOKUP(D463,'DB technologies'!$N$224:$Y$236,8,FALSE)/100)*'Calc (ex-housing, ex-storage)'!F463/100/VLOOKUP($C$463,'DB animal categories'!$C$167:$AC$176,27,FALSE)*AJ463+M463+N463+O463,IF(AS463=4,('Calc (ex-animal)'!$G$89*(1-'DB additional information '!$K$19/100)+'Calc (ex-animal)'!$H$89*(1-'DB additional information '!$L$19/100))*(1-VLOOKUP(D463,'DB technologies'!$N$224:$Y$236,8,FALSE)/100)*'Calc (ex-housing, ex-storage)'!F463/100*VLOOKUP(D463,'DB technologies'!$N$224:$Y$236,12,FALSE)/100/VLOOKUP($C$463,'DB animal categories'!$C$167:$AC$176,27,FALSE)*AJ463+M463+N463+O463,0))))))</f>
        <v/>
      </c>
      <c r="AW463" s="453" t="str">
        <f>IF(AS463="","",IF(AU463=0,0,AU463/AT463*100))</f>
        <v/>
      </c>
      <c r="AX463" s="180" t="str">
        <f>IF(D463="","",IF(AS463=2,0,IF(AS463=1,'Calc (ex-animal)'!$K$89*'Calc (ex-housing, ex-storage)'!F463/100/VLOOKUP($C$463,'DB animal categories'!$C$167:$AC$176,27,FALSE)*AJ463+Q463+R463+S463,IF(AS463=5,('Calc (ex-animal)'!$K$89+'Calc (ex-animal)'!$L$89)*'Calc (ex-housing, ex-storage)'!F463/100/VLOOKUP($C$463,'DB animal categories'!$C$167:$AC$176,27,FALSE)*AJ463+Q463+R463+S463-'Calc (ex-housing, ex-storage)'!AC463,IF(AS463=3,('Calc (ex-animal)'!$K$89+'Calc (ex-animal)'!$L$89)*'Calc (ex-housing, ex-storage)'!F463/100/VLOOKUP($C$463,'DB animal categories'!$C$167:$AC$176,27,FALSE)*AJ463+Q463+R463+S463-'Calc (ex-housing, ex-storage)'!AC463-AD463-AE463,IF(AI463=4,('Calc (ex-animal)'!$K$89+'Calc (ex-animal)'!$L$89)*'Calc (ex-housing, ex-storage)'!F463/100*VLOOKUP(D463,'DB technologies'!$N$224:$Y$236,12,FALSE)/100/VLOOKUP($C$463,'DB animal categories'!$C$167:$AC$176,27,FALSE)*AJ463+Q463+R463+S463-(VLOOKUP(D463,'DB technologies'!$N$224:$Y$236,12,FALSE)/100*AC463)-AD463-AE463,0))))))</f>
        <v/>
      </c>
      <c r="AY463" s="180" t="str">
        <f>IF(D463="","",IF(AS463=2,0,IF(AS463=1,'Calc (ex-animal)'!$N$89*'Calc (ex-housing, ex-storage)'!F463/100/VLOOKUP($C$463,'DB animal categories'!$C$167:$AC$176,27,FALSE)*AJ463+U463+V463+W463,IF(AS463=5,('Calc (ex-animal)'!$N$89+'Calc (ex-animal)'!$O$89)*'Calc (ex-housing, ex-storage)'!F463/100/VLOOKUP($C$463,'DB animal categories'!$C$167:$AC$176,27,FALSE)*AJ463+U463+V463+W463,IF(AS463=3,('Calc (ex-animal)'!$N$89+'Calc (ex-animal)'!$O$89)*'Calc (ex-housing, ex-storage)'!F463/100/VLOOKUP($C$463,'DB animal categories'!$C$167:$AC$176,27,FALSE)*AJ463+U463+V463+W463,IF(AS463=4,('Calc (ex-animal)'!$N$89+'Calc (ex-animal)'!$O$89)*'Calc (ex-housing, ex-storage)'!F463/100*VLOOKUP(D463,'DB technologies'!$N$224:$Y$236,12,FALSE)/100/VLOOKUP($C$463,'DB animal categories'!$C$167:$AC$176,27,FALSE)*AJ463+U463+V463+W463,0))))))</f>
        <v/>
      </c>
      <c r="AZ463" s="180" t="str">
        <f>IF(D463="","",IF(AS463=2,0,IF(AS463=1,'Calc (ex-animal)'!$Q$89*'Calc (ex-housing, ex-storage)'!F463/100/VLOOKUP($C$463,'DB animal categories'!$C$167:$AC$176,27,FALSE)*AJ463+Y463+Z463+AA463,IF(AS463=5,('Calc (ex-animal)'!$Q$89+'Calc (ex-animal)'!$R$89)*'Calc (ex-housing, ex-storage)'!F463/100/VLOOKUP($C$463,'DB animal categories'!$C$167:$AC$176,27,FALSE)*AJ463+Y463+Z463+AA463,IF(AS463=3,('Calc (ex-animal)'!$Q$89+'Calc (ex-animal)'!$R$89)*'Calc (ex-housing, ex-storage)'!F463/100/VLOOKUP($C$463,'DB animal categories'!$C$167:$AC$176,27,FALSE)*AJ463+Y463+Z463+AA463,IF(AS463=4,('Calc (ex-animal)'!$Q$89+'Calc (ex-animal)'!$R$89)*'Calc (ex-housing, ex-storage)'!F463/100*VLOOKUP(D463,'DB technologies'!$N$224:$Y$236,12,FALSE)/100/VLOOKUP($C$463,'DB animal categories'!$C$167:$AC$176,27,FALSE)*AJ463+Y463+Z463+AA463,0))))))</f>
        <v/>
      </c>
      <c r="BA463" s="506"/>
      <c r="BB463" s="506"/>
      <c r="BC463" s="506"/>
    </row>
    <row r="464" spans="1:55" x14ac:dyDescent="0.2">
      <c r="A464" s="695"/>
      <c r="B464" s="695"/>
      <c r="C464" s="251"/>
      <c r="D464" s="1357"/>
      <c r="E464" s="1358"/>
      <c r="F464" s="480" t="str">
        <f>IF('Calc (ex-animal)'!$F$88=1,"",IF($C$463=0,"",IF(D464="","",E464/'Calc (ex-animal)'!$E$89*100)))</f>
        <v/>
      </c>
      <c r="G464" s="485" t="str">
        <f>IF($C$463=0,"",IF('Calc (ex-animal)'!$F$88=1,"",IF(D464="","",SUM(H464:O464))))</f>
        <v/>
      </c>
      <c r="H464" s="423" t="str">
        <f>IF('Calc (ex-animal)'!$F$88=1,"",IF(D464="","",(((VLOOKUP($C$463,'Calc (ex-animal)'!$D$88:$Y$92,6,FALSE)-VLOOKUP($C$463,'Calc (ex-animal)'!$D$88:$Y$92,17,FALSE))*F464/100))*VLOOKUP($C$463,'Calc (ex-animal)'!$D$88:$Y$92,7,FALSE)/100*(1-VLOOKUP(D464,'DB technologies'!$N$224:$Y$236,9,FALSE)/100)))</f>
        <v/>
      </c>
      <c r="I464" s="423" t="str">
        <f>IF(D464="","",((VLOOKUP(D464,'DB technologies'!$N$224:$Y$236,2,FALSE)*VLOOKUP($C$463,'DB animal categories'!$C$167:$AC$176,27,FALSE)*E464/1000)/VLOOKUP($C$463,'DB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'!$S$6/100*(1-VLOOKUP(D464,'DB technologies'!$N$224:$Y$236,9,FALSE)/100)))</f>
        <v/>
      </c>
      <c r="J464" s="434" t="str">
        <f>IF(D464="","",((VLOOKUP(D464,'DB technologies'!$N$224:$Y$236,3,FALSE)*VLOOKUP($C$463,'DB animal categories'!$C$167:$AC$176,27,FALSE)*E464/1000)/VLOOKUP($C$463,'DB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'!$S$7/100*(1-VLOOKUP(D464,'DB technologies'!$N$224:$Y$236,9,FALSE)/100)))</f>
        <v/>
      </c>
      <c r="K464" s="434" t="str">
        <f>IF(D464="","",((VLOOKUP(D464,'DB technologies'!$N$224:$Y$236,4,FALSE)*E464*'DB additional information '!$S$8/100*(1-VLOOKUP(D464,'DB technologies'!$N$224:$Y$236,9,FALSE)/100))/VLOOKUP($C$463,'DB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L464" s="423" t="str">
        <f>IF('Calc (ex-animal)'!$F$88=1,"",IF(D464="","",(((VLOOKUP($C$463,'Calc (ex-animal)'!$D$88:$Y$92,6,FALSE)-VLOOKUP($C$463,'Calc (ex-animal)'!$D$88:$Y$92,17,FALSE))*F464/100))*(1-VLOOKUP($C$463,'Calc (ex-animal)'!$D$88:$Y$92,7,FALSE)/100)*(1-VLOOKUP(D464,'DB technologies'!$N$224:$V$236,8,FALSE)/100)))</f>
        <v/>
      </c>
      <c r="M464" s="434" t="str">
        <f>IF(D464="","",((VLOOKUP(D464,'DB technologies'!$N$224:$Y$236,2,FALSE)*VLOOKUP($C$463,'DB animal categories'!$C$167:$AC$176,27,FALSE)*E464/1000)/VLOOKUP($C$463,'DB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'!$S$6/100)*(1-VLOOKUP(D464,'DB technologies'!$N$224:$Y$236,9,FALSE)/100))</f>
        <v/>
      </c>
      <c r="N464" s="434" t="str">
        <f>IF(D464="","",((VLOOKUP(D464,'DB technologies'!$N$224:$Y$236,3,FALSE)*VLOOKUP($C$463,'DB animal categories'!$C$167:$AC$176,27,FALSE)*E464/1000)/VLOOKUP($C$463,'DB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'!$S$7/100)*(1-VLOOKUP(D464,'DB technologies'!$N$224:$Y$236,9,FALSE)/100))</f>
        <v/>
      </c>
      <c r="O464" s="423" t="str">
        <f>IF(D464="","",((VLOOKUP(D464,'DB technologies'!$N$224:$Y$236,4,FALSE)*E464*(1-'DB additional information '!$S$8/100)*(1-VLOOKUP(D464,'DB technologies'!$N$224:$Y$236,8,FALSE)/100))/VLOOKUP($C$463,'DB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P464" s="438" t="str">
        <f>IF(G464=0,0,IF(E464="","",IF(F464="","",IF($C$463=0,"",IF(D464="","",SUM(H464:K464)/G464*100)))))</f>
        <v/>
      </c>
      <c r="Q464" s="416" t="str">
        <f>IF(D464="","",(VLOOKUP(D464,'DB technologies'!$N$224:$Y$236,2,FALSE)*'DB additional information '!$S$6/100*'DB additional information '!$T$6*VLOOKUP($C$463,'DB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R464" s="416" t="str">
        <f>IF(D464="","",(VLOOKUP(D464,'DB technologies'!$N$224:$Y$236,3,FALSE)*'DB additional information '!$S$7/100*'DB additional information '!$T$7*VLOOKUP($C$463,'DB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S464" s="491" t="str">
        <f>IF(D464="","",(VLOOKUP(D464,'DB technologies'!$N$224:$Y$236,4,FALSE)*('DB additional information '!$S$8/100*'DB additional information '!$T$8*E464/1000/1000)))</f>
        <v/>
      </c>
      <c r="T464" s="264" t="str">
        <f>IF($C$463=0,"",IF('Calc (ex-animal)'!$F$88=1,"",IF(D464="","",((VLOOKUP($C$463,'Calc (ex-animal)'!$D$88:$Y$92,10,FALSE)-VLOOKUP($C$463,'Calc (ex-animal)'!$D$88:$Y$92,18,FALSE))*F464/100+Q464+R464+S464)-AC464-AD464-AE464)))</f>
        <v/>
      </c>
      <c r="U464" s="422" t="str">
        <f>IF(D464="","",(VLOOKUP(D464,'DB technologies'!$N$224:$Y$236,2,FALSE)*'DB additional information '!$S$6/100*'DB additional information '!$U$6*VLOOKUP($C$463,'DB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V464" s="418" t="str">
        <f>IF(D464="","",(VLOOKUP(D464,'DB technologies'!$N$224:$Y$236,3,FALSE)*'DB additional information '!$S$7/100*'DB additional information '!$U$7*VLOOKUP($C$463,'DB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W464" s="417" t="str">
        <f>IF(D464="","",(VLOOKUP(D464,'DB technologies'!$N$224:$Y$236,4,FALSE)*('DB additional information '!$S$8/100*'DB additional information '!$U$8*E464/1000/1000)))</f>
        <v/>
      </c>
      <c r="X464" s="261" t="str">
        <f>IF($C$463=0,"",IF('Calc (ex-animal)'!$F$88=1,"",IF(D464="","",((VLOOKUP($C$463,'Calc (ex-animal)'!$D$88:$Y$92,13,FALSE)-VLOOKUP($C$463,'Calc (ex-animal)'!$D$88:$Y$92,19,FALSE))*F464/100+U464+V464+W464))))</f>
        <v/>
      </c>
      <c r="Y464" s="418" t="str">
        <f>IF(D464="","",(VLOOKUP(D464,'DB technologies'!$N$224:$Y$236,2,FALSE)*'DB additional information '!$S$6/100*'DB additional information '!$V$6*VLOOKUP($C$463,'DB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Z464" s="418" t="str">
        <f>IF(D464="","",(VLOOKUP(D464,'DB technologies'!$N$224:$Y$236,3,FALSE)*'DB additional information '!$S$7/100*'DB additional information '!$V$7*VLOOKUP($C$463,'DB animal categories'!$C$167:$AC$176,27,FALSE)*E464/1000/1000)/VLOOKUP($C$463,'DB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AA464" s="418" t="str">
        <f>IF(D464="","",(VLOOKUP(D464,'DB technologies'!$N$224:$Y$236,4,FALSE)*('DB additional information '!$S$8/100*'DB additional information '!$V$8*E464/1000/1000)))</f>
        <v/>
      </c>
      <c r="AB464" s="261" t="str">
        <f>IF($C$463=0,"",IF('Calc (ex-animal)'!$F$88=1,"",IF(D464="","",((VLOOKUP($C$463,'Calc (ex-animal)'!$D$88:$Y$92,16,FALSE)-VLOOKUP($C$463,'Calc (ex-animal)'!$D$88:$Y$92,20,FALSE))*F464/100+Y464+Z464+AA464))))</f>
        <v/>
      </c>
      <c r="AC464" s="261" t="str">
        <f>IF($C$463=0,"",IF('Calc (ex-animal)'!$F$88=1,"",IF(D464="","",VLOOKUP($C$463,'Calc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categories'!$C$167:$AC$176,26,FALSE)/24)*F464/100*VLOOKUP(D464,'DB technologies'!$N$224:$R$236,5,FALSE)/100)))</f>
        <v/>
      </c>
      <c r="AD464" s="261" t="str">
        <f>IF($C$463=0,"",IF('Calc (ex-animal)'!$F$88=1,"",IF(D464="","",VLOOKUP($C$463,'Calc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categories'!$C$167:$AC$176,26,FALSE)/24)*F464/100*VLOOKUP(D464,'DB technologies'!$N$224:$Y$236,6,FALSE)/100)))</f>
        <v/>
      </c>
      <c r="AE464" s="262" t="str">
        <f>IF($C$463=0,"",IF('Calc (ex-animal)'!$F$88=1,"",IF(D464="","",VLOOKUP($C$463,'Calc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categories'!$C$167:$AC$176,26,FALSE)/24)*F464/100*VLOOKUP(D464,'DB technologies'!$N$224:$Y$236,7,FALSE)/100)))</f>
        <v/>
      </c>
      <c r="AI464" s="181" t="str">
        <f>IF(D464="","",VLOOKUP(D464,'DB technologies'!$N$224:$Y$236,10,FALSE))</f>
        <v/>
      </c>
      <c r="AJ464" s="449" t="e">
        <f>VLOOKUP($C$463,'DB animal categories'!$C$167:$AN$176,27,FALSE)-VLOOKUP($C$463,'DB animal categories'!$C$167:$AN$176,26,FALSE)*VLOOKUP($C$463,'DB animal categories'!$C$167:$AN$176,25,FALSE)/24</f>
        <v>#N/A</v>
      </c>
      <c r="AK464" s="442" t="str">
        <f>IF(AI464="","",AL464+AM464)</f>
        <v/>
      </c>
      <c r="AL464" s="442" t="str">
        <f>IF(D464="","",IF(AI464=2,(('Calc (ex-animal)'!$G$89*'DB additional information '!$K$19/100*(1-VLOOKUP(D464,'DB technologies'!$N$224:$Y$236,9,FALSE)/100)*'Calc (ex-housing, ex-storage)'!F464/100+'Calc (ex-animal)'!$H$89*'DB additional information '!$L$19/100*(1-VLOOKUP(D464,'DB technologies'!$N$224:$Y$236,9,FALSE)/100)*'Calc (ex-housing, ex-storage)'!F464/100))/VLOOKUP($C$463,'DB animal categories'!$C$167:$AC$176,27,FALSE)*AJ464+I464+J464+K464,IF(AI464=1,('Calc (ex-animal)'!$H$89*'DB additional information '!$L$19/100*(1-VLOOKUP(D464,'DB technologies'!$N$224:$Y$236,9,FALSE)/100)*'Calc (ex-housing, ex-storage)'!F464/100)/VLOOKUP($C$463,'DB animal categories'!$C$167:$AC$176,27,FALSE)*AJ464,IF(AI464=4,('Calc (ex-animal)'!$G$89*'DB additional information '!$K$19/100+'Calc (ex-animal)'!$H$89*'DB additional information '!$L$19/100)*(1-VLOOKUP(D464,'DB technologies'!$N$224:$Y$236,9,FALSE)/100)*'Calc (ex-housing, ex-storage)'!F464/100*VLOOKUP(D464,'DB technologies'!$N$224:$Y$236,11,FALSE)/100/VLOOKUP($C$463,'DB animal categories'!$C$167:$AC$176,27,FALSE)*AJ464,0))))</f>
        <v/>
      </c>
      <c r="AM464" s="442" t="str">
        <f>IF(D464="","",IF(AI464=2,(('Calc (ex-animal)'!$G$89*(1-'DB additional information '!$K$19/100)*(1-VLOOKUP(D464,'DB technologies'!$N$224:$Y$236,8,FALSE)/100)*'Calc (ex-housing, ex-storage)'!F464/100+'Calc (ex-animal)'!$H$89*(1-'DB additional information '!$L$19/100)*(1-VLOOKUP(D464,'DB technologies'!$N$224:$Y$236,8,FALSE)/100)*'Calc (ex-housing, ex-storage)'!F464/100))/VLOOKUP($C$463,'DB animal categories'!$C$167:$AC$176,27,FALSE)*AJ464+M464+N464+O464,IF(AI464=1,('Calc (ex-animal)'!$H$89*(1-'DB additional information '!$L$19/100)*(1-VLOOKUP(D464,'DB technologies'!$N$224:$Y$236,8,FALSE)/100)*'Calc (ex-housing, ex-storage)'!F464/100)/VLOOKUP($C$463,'DB animal categories'!$C$167:$AC$176,27,FALSE)*AJ464,IF(AI464=4,('Calc (ex-animal)'!$G$89*(1-'DB additional information '!$K$19/100)+'Calc (ex-animal)'!$H$89*(1-'DB additional information '!$L$19/100))*(1-VLOOKUP(D464,'DB technologies'!$N$224:$Y$236,8,FALSE)/100)*'Calc (ex-housing, ex-storage)'!F464/100*VLOOKUP(D464,'DB technologies'!$N$224:$Y$236,11,FALSE)/100/VLOOKUP($C$463,'DB animal categories'!$C$167:$AC$176,27,FALSE)*AJ464,0))))</f>
        <v/>
      </c>
      <c r="AN464" s="442" t="str">
        <f>IF(AI464="","",IF(AL464=0,0,AL464/AK464*100))</f>
        <v/>
      </c>
      <c r="AO464" s="182" t="str">
        <f>IF(D464="","",IF(AI464=2,(('Calc (ex-animal)'!$L$89*'Calc (ex-housing, ex-storage)'!F464/100+'Calc (ex-animal)'!$K$89*'Calc (ex-housing, ex-storage)'!F464/100))/VLOOKUP($C$463,'DB animal categories'!$C$167:$AC$176,27,FALSE)*AJ464+Q464+R464+S464-AC464,IF(AI464=1,('Calc (ex-animal)'!$L$89*'Calc (ex-housing, ex-storage)'!F464/100)/VLOOKUP($C$463,'DB animal categories'!$C$167:$AC$176,27,FALSE)*AJ464-'Calc (ex-housing, ex-storage)'!AC464,IF(AI464=4,('Calc (ex-animal)'!$L$89+'Calc (ex-animal)'!$K$89)*'Calc (ex-housing, ex-storage)'!F464/100*VLOOKUP(D464,'DB technologies'!$N$224:$Y$236,11,FALSE)/100/VLOOKUP($C$463,'DB animal categories'!$C$167:$AC$176,27,FALSE)*AJ464-AC464*VLOOKUP(D464,'DB technologies'!$N$224:$Y$236,11,FALSE)/100,0))))</f>
        <v/>
      </c>
      <c r="AP464" s="182" t="str">
        <f>IF(D464="","",IF(AO464&lt;-0.01,0,IF(AI464=2,(('Calc (ex-animal)'!$L$89*'Calc (ex-housing, ex-storage)'!F464/100+'Calc (ex-animal)'!$K$89*'Calc (ex-housing, ex-storage)'!F464/100))/VLOOKUP($C$463,'DB animal categories'!$C$167:$AC$176,27,FALSE)*AJ464+Q464+R464+S464-AC464,IF(AI464=1,('Calc (ex-animal)'!$L$89*'Calc (ex-housing, ex-storage)'!F464/100)/VLOOKUP($C$463,'DB animal categories'!$C$167:$AC$176,27,FALSE)*AJ464-'Calc (ex-housing, ex-storage)'!AC464,IF(AI464=4,('Calc (ex-animal)'!$L$89+'Calc (ex-animal)'!$K$89)*'Calc (ex-housing, ex-storage)'!F464/100*VLOOKUP(D464,'DB technologies'!$N$224:$Y$236,11,FALSE)/100/VLOOKUP($C$463,'DB animal categories'!$C$167:$AC$176,27,FALSE)*AJ464-AC464*VLOOKUP(D464,'DB technologies'!$N$224:$Y$236,11,FALSE)/100,0)))))</f>
        <v/>
      </c>
      <c r="AQ464" s="182" t="str">
        <f>IF(D464="","",IF(AI464=2,('Calc (ex-animal)'!$O$89*'Calc (ex-housing, ex-storage)'!F464/100+'Calc (ex-animal)'!$N$89*'Calc (ex-housing, ex-storage)'!F464/100)/VLOOKUP($C$463,'DB animal categories'!$C$167:$AC$176,27,FALSE)*AJ464+U464+V464+W464,IF(AI464=1,'Calc (ex-animal)'!$O$89*'Calc (ex-housing, ex-storage)'!F464/100/VLOOKUP($C$463,'DB animal categories'!$C$167:$AC$176,27,FALSE)*AJ464,IF(AI464=4,('Calc (ex-animal)'!$O$89+'Calc (ex-animal)'!$N$89)*'Calc (ex-housing, ex-storage)'!F464/100*VLOOKUP(D464,'DB technologies'!$N$224:$Y$236,11,FALSE)/100/VLOOKUP($C$463,'DB animal categories'!$C$167:$AC$176,27,FALSE)*AJ464,0))))</f>
        <v/>
      </c>
      <c r="AR464" s="182" t="str">
        <f>IF(D464="","",IF(AI464=2,('Calc (ex-animal)'!$R$89*'Calc (ex-housing, ex-storage)'!F464/100+'Calc (ex-animal)'!$Q$89*'Calc (ex-housing, ex-storage)'!F464/100)/VLOOKUP($C$463,'DB animal categories'!$C$167:$AC$176,27,FALSE)*AJ464+Y464+Z464+AA464,IF(AI464=1,'Calc (ex-animal)'!$R$89*'Calc (ex-housing, ex-storage)'!F464/100/VLOOKUP($C$463,'DB animal categories'!$C$167:$AC$176,27,FALSE)*AJ464,IF(AI464=4,('Calc (ex-animal)'!$R$89+'Calc (ex-animal)'!$Q$89)*'Calc (ex-housing, ex-storage)'!F464/100*VLOOKUP(D464,'DB technologies'!$N$224:$Y$236,11,FALSE)/100/VLOOKUP($C$463,'DB animal categories'!$C$167:$AC$176,27,FALSE)*AJ464,0))))</f>
        <v/>
      </c>
      <c r="AS464" s="181" t="str">
        <f>IF(D464="","",VLOOKUP(D464,'DB technologies'!$N$224:$Y$236,10,FALSE))</f>
        <v/>
      </c>
      <c r="AT464" s="442" t="str">
        <f>IF(AS464="","",AU464+AV464)</f>
        <v/>
      </c>
      <c r="AU464" s="442" t="str">
        <f>IF(D464="","",IF(AS464=2,0,IF(AS464=1,'Calc (ex-animal)'!$G$89*'DB additional information '!$K$19/100*(1-VLOOKUP(D464,'DB technologies'!$N$224:$Y$236,8,FALSE)/100)*'Calc (ex-housing, ex-storage)'!F464/100/VLOOKUP($C$463,'DB animal categories'!$C$167:$AC$176,27,FALSE)*AJ464+I464+J464+K464,IF(AS464=5,(('Calc (ex-animal)'!$G$89*'DB additional information '!$K$19/100+'Calc (ex-animal)'!$H$89*'DB additional information '!$L$19/100))*(1-VLOOKUP(D464,'DB technologies'!$N$224:$Y$236,9,FALSE)/100)*'Calc (ex-housing, ex-storage)'!F464/100/VLOOKUP($C$463,'DB animal categories'!$C$167:$AC$176,27,FALSE)*AJ464+I464+J464+K464,IF(AS464=3,('Calc (ex-animal)'!$G$89*'DB additional information '!$K$19/100+'Calc (ex-animal)'!$H$89*'DB additional information '!$L$19/100)*(1-VLOOKUP(D464,'DB technologies'!$N$224:$Y$236,9,FALSE)/100)*'Calc (ex-housing, ex-storage)'!F464/100/VLOOKUP($C$463,'DB animal categories'!$C$167:$AC$176,27,FALSE)*AJ464+I464+J464+K464,IF(AS464=4,('Calc (ex-animal)'!$G$89*'DB additional information '!$K$19/100+'Calc (ex-animal)'!$H$89*'DB additional information '!$L$19/100)*(1-VLOOKUP(D464,'DB technologies'!$N$224:$Y$236,9,FALSE)/100)*'Calc (ex-housing, ex-storage)'!F464/100*VLOOKUP(D464,'DB technologies'!$N$224:$Y$236,12,FALSE)/100/VLOOKUP($C$463,'DB animal categories'!$C$167:$AC$176,27,FALSE)*AJ464+I464+J464+K464,0))))))</f>
        <v/>
      </c>
      <c r="AV464" s="442" t="str">
        <f>IF(D464="","",IF(AS464=2,0,IF(AS464=1,'Calc (ex-animal)'!$G$89*(1-'DB additional information '!$K$19/100)*(1-VLOOKUP(D464,'DB technologies'!$N$224:$Y$236,8,FALSE)/100)*'Calc (ex-housing, ex-storage)'!F464/100/VLOOKUP($C$463,'DB animal categories'!$C$167:$AC$176,27,FALSE)*AJ464+M464+N464+O464,IF(AS464=5,('Calc (ex-animal)'!$G$89*(1-'DB additional information '!$K$19/100)+'Calc (ex-animal)'!$H$89*(1-'DB additional information '!$L$19/100))*(1-VLOOKUP(D464,'DB technologies'!$N$224:$Y$236,8,FALSE)/100)*'Calc (ex-housing, ex-storage)'!F464/100/VLOOKUP($C$463,'DB animal categories'!$C$167:$AC$176,27,FALSE)*AJ464+M464+N464+O464,IF(AS464=3,('Calc (ex-animal)'!$G$89*(1-'DB additional information '!$K$19/100)+'Calc (ex-animal)'!$H$89*(1-'DB additional information '!$L$19/100))*(1-VLOOKUP(D464,'DB technologies'!$N$224:$Y$236,8,FALSE)/100)*'Calc (ex-housing, ex-storage)'!F464/100/VLOOKUP($C$463,'DB animal categories'!$C$167:$AC$176,27,FALSE)*AJ464+M464+N464+O464,IF(AS464=4,('Calc (ex-animal)'!$G$89*(1-'DB additional information '!$K$19/100)+'Calc (ex-animal)'!$H$89*(1-'DB additional information '!$L$19/100))*(1-VLOOKUP(D464,'DB technologies'!$N$224:$Y$236,8,FALSE)/100)*'Calc (ex-housing, ex-storage)'!F464/100*VLOOKUP(D464,'DB technologies'!$N$224:$Y$236,12,FALSE)/100/VLOOKUP($C$463,'DB animal categories'!$C$167:$AC$176,27,FALSE)*AJ464+M464+N464+O464,0))))))</f>
        <v/>
      </c>
      <c r="AW464" s="442" t="str">
        <f>IF(AS464="","",IF(AU464=0,0,AU464/AT464*100))</f>
        <v/>
      </c>
      <c r="AX464" s="182" t="str">
        <f>IF(D464="","",IF(AS464=2,0,IF(AS464=1,'Calc (ex-animal)'!$K$89*'Calc (ex-housing, ex-storage)'!F464/100/VLOOKUP($C$463,'DB animal categories'!$C$167:$AC$176,27,FALSE)*AJ464+Q464+R464+S464,IF(AS464=5,('Calc (ex-animal)'!$K$89+'Calc (ex-animal)'!$L$89)*'Calc (ex-housing, ex-storage)'!F464/100/VLOOKUP($C$463,'DB animal categories'!$C$167:$AC$176,27,FALSE)*AJ464+Q464+R464+S464-'Calc (ex-housing, ex-storage)'!AC464,IF(AS464=3,('Calc (ex-animal)'!$K$89+'Calc (ex-animal)'!$L$89)*'Calc (ex-housing, ex-storage)'!F464/100/VLOOKUP($C$463,'DB animal categories'!$C$167:$AC$176,27,FALSE)*AJ464+Q464+R464+S464-'Calc (ex-housing, ex-storage)'!AC464-AD464-AE464,IF(AI464=4,('Calc (ex-animal)'!$K$89+'Calc (ex-animal)'!$L$89)*'Calc (ex-housing, ex-storage)'!F464/100*VLOOKUP(D464,'DB technologies'!$N$224:$Y$236,12,FALSE)/100/VLOOKUP($C$463,'DB animal categories'!$C$167:$AC$176,27,FALSE)*AJ464+Q464+R464+S464-(VLOOKUP(D464,'DB technologies'!$N$224:$Y$236,12,FALSE)/100*AC464)-AD464-AE464,0))))))</f>
        <v/>
      </c>
      <c r="AY464" s="182" t="str">
        <f>IF(D464="","",IF(AS464=2,0,IF(AS464=1,'Calc (ex-animal)'!$N$89*'Calc (ex-housing, ex-storage)'!F464/100/VLOOKUP($C$463,'DB animal categories'!$C$167:$AC$176,27,FALSE)*AJ464+U464+V464+W464,IF(AS464=5,('Calc (ex-animal)'!$N$89+'Calc (ex-animal)'!$O$89)*'Calc (ex-housing, ex-storage)'!F464/100/VLOOKUP($C$463,'DB animal categories'!$C$167:$AC$176,27,FALSE)*AJ464+U464+V464+W464,IF(AS464=3,('Calc (ex-animal)'!$N$89+'Calc (ex-animal)'!$O$89)*'Calc (ex-housing, ex-storage)'!F464/100/VLOOKUP($C$463,'DB animal categories'!$C$167:$AC$176,27,FALSE)*AJ464+U464+V464+W464,IF(AS464=4,('Calc (ex-animal)'!$N$89+'Calc (ex-animal)'!$O$89)*'Calc (ex-housing, ex-storage)'!F464/100*VLOOKUP(D464,'DB technologies'!$N$224:$Y$236,12,FALSE)/100/VLOOKUP($C$463,'DB animal categories'!$C$167:$AC$176,27,FALSE)*AJ464+U464+V464+W464,0))))))</f>
        <v/>
      </c>
      <c r="AZ464" s="182" t="str">
        <f>IF(D464="","",IF(AS464=2,0,IF(AS464=1,'Calc (ex-animal)'!$Q$89*'Calc (ex-housing, ex-storage)'!F464/100/VLOOKUP($C$463,'DB animal categories'!$C$167:$AC$176,27,FALSE)*AJ464+Y464+Z464+AA464,IF(AS464=5,('Calc (ex-animal)'!$Q$89+'Calc (ex-animal)'!$R$89)*'Calc (ex-housing, ex-storage)'!F464/100/VLOOKUP($C$463,'DB animal categories'!$C$167:$AC$176,27,FALSE)*AJ464+Y464+Z464+AA464,IF(AS464=3,('Calc (ex-animal)'!$Q$89+'Calc (ex-animal)'!$R$89)*'Calc (ex-housing, ex-storage)'!F464/100/VLOOKUP($C$463,'DB animal categories'!$C$167:$AC$176,27,FALSE)*AJ464+Y464+Z464+AA464,IF(AS464=4,('Calc (ex-animal)'!$Q$89+'Calc (ex-animal)'!$R$89)*'Calc (ex-housing, ex-storage)'!F464/100*VLOOKUP(D464,'DB technologies'!$N$224:$Y$236,12,FALSE)/100/VLOOKUP($C$463,'DB animal categories'!$C$167:$AC$176,27,FALSE)*AJ464+Y464+Z464+AA464,0))))))</f>
        <v/>
      </c>
      <c r="BA464" s="506"/>
      <c r="BB464" s="506"/>
      <c r="BC464" s="506"/>
    </row>
    <row r="465" spans="1:55" x14ac:dyDescent="0.2">
      <c r="A465" s="695"/>
      <c r="B465" s="695"/>
      <c r="C465" s="251"/>
      <c r="D465" s="1357"/>
      <c r="E465" s="1358"/>
      <c r="F465" s="480" t="str">
        <f>IF('Calc (ex-animal)'!$F$88=1,"",IF($C$463=0,"",IF(D465="","",E465/'Calc (ex-animal)'!$E$89*100)))</f>
        <v/>
      </c>
      <c r="G465" s="485" t="str">
        <f>IF($C$463=0,"",IF('Calc (ex-animal)'!$F$88=1,"",IF(D465="","",SUM(H465:O465))))</f>
        <v/>
      </c>
      <c r="H465" s="423" t="str">
        <f>IF('Calc (ex-animal)'!$F$88=1,"",IF(D465="","",(((VLOOKUP($C$463,'Calc (ex-animal)'!$D$88:$Y$92,6,FALSE)-VLOOKUP($C$463,'Calc (ex-animal)'!$D$88:$Y$92,17,FALSE))*F465/100))*VLOOKUP($C$463,'Calc (ex-animal)'!$D$88:$Y$92,7,FALSE)/100*(1-VLOOKUP(D465,'DB technologies'!$N$224:$Y$236,9,FALSE)/100)))</f>
        <v/>
      </c>
      <c r="I465" s="423" t="str">
        <f>IF(D465="","",((VLOOKUP(D465,'DB technologies'!$N$224:$Y$236,2,FALSE)*VLOOKUP($C$463,'DB animal categories'!$C$167:$AC$176,27,FALSE)*E465/1000)/VLOOKUP($C$463,'DB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'!$S$6/100*(1-VLOOKUP(D465,'DB technologies'!$N$224:$Y$236,9,FALSE)/100)))</f>
        <v/>
      </c>
      <c r="J465" s="434" t="str">
        <f>IF(D465="","",((VLOOKUP(D465,'DB technologies'!$N$224:$Y$236,3,FALSE)*VLOOKUP($C$463,'DB animal categories'!$C$167:$AC$176,27,FALSE)*E465/1000)/VLOOKUP($C$463,'DB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'!$S$7/100*(1-VLOOKUP(D465,'DB technologies'!$N$224:$Y$236,9,FALSE)/100)))</f>
        <v/>
      </c>
      <c r="K465" s="434" t="str">
        <f>IF(D465="","",((VLOOKUP(D465,'DB technologies'!$N$224:$Y$236,4,FALSE)*E465*'DB additional information '!$S$8/100*(1-VLOOKUP(D465,'DB technologies'!$N$224:$Y$236,9,FALSE)/100))/VLOOKUP($C$463,'DB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L465" s="423" t="str">
        <f>IF('Calc (ex-animal)'!$F$88=1,"",IF(D465="","",(((VLOOKUP($C$463,'Calc (ex-animal)'!$D$88:$Y$92,6,FALSE)-VLOOKUP($C$463,'Calc (ex-animal)'!$D$88:$Y$92,17,FALSE))*F465/100))*(1-VLOOKUP($C$463,'Calc (ex-animal)'!$D$88:$Y$92,7,FALSE)/100)*(1-VLOOKUP(D465,'DB technologies'!$N$224:$V$236,8,FALSE)/100)))</f>
        <v/>
      </c>
      <c r="M465" s="434" t="str">
        <f>IF(D465="","",((VLOOKUP(D465,'DB technologies'!$N$224:$Y$236,2,FALSE)*VLOOKUP($C$463,'DB animal categories'!$C$167:$AC$176,27,FALSE)*E465/1000)/VLOOKUP($C$463,'DB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'!$S$6/100)*(1-VLOOKUP(D465,'DB technologies'!$N$224:$Y$236,9,FALSE)/100))</f>
        <v/>
      </c>
      <c r="N465" s="434" t="str">
        <f>IF(D465="","",((VLOOKUP(D465,'DB technologies'!$N$224:$Y$236,3,FALSE)*VLOOKUP($C$463,'DB animal categories'!$C$167:$AC$176,27,FALSE)*E465/1000)/VLOOKUP($C$463,'DB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'!$S$7/100)*(1-VLOOKUP(D465,'DB technologies'!$N$224:$Y$236,9,FALSE)/100))</f>
        <v/>
      </c>
      <c r="O465" s="423" t="str">
        <f>IF(D465="","",((VLOOKUP(D465,'DB technologies'!$N$224:$Y$236,4,FALSE)*E465*(1-'DB additional information '!$S$8/100)*(1-VLOOKUP(D465,'DB technologies'!$N$224:$Y$236,8,FALSE)/100))/VLOOKUP($C$463,'DB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P465" s="438" t="str">
        <f>IF(G465=0,0,IF(E465="","",IF(F465="","",IF($C$463=0,"",IF(D465="","",SUM(H465:K465)/G465*100)))))</f>
        <v/>
      </c>
      <c r="Q465" s="416" t="str">
        <f>IF(D465="","",(VLOOKUP(D465,'DB technologies'!$N$224:$Y$236,2,FALSE)*'DB additional information '!$S$6/100*'DB additional information '!$T$6*VLOOKUP($C$463,'DB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R465" s="416" t="str">
        <f>IF(D465="","",(VLOOKUP(D465,'DB technologies'!$N$224:$Y$236,3,FALSE)*'DB additional information '!$S$7/100*'DB additional information '!$T$7*VLOOKUP($C$463,'DB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S465" s="491" t="str">
        <f>IF(D465="","",(VLOOKUP(D465,'DB technologies'!$N$224:$Y$236,4,FALSE)*('DB additional information '!$S$8/100*'DB additional information '!$T$8*E465/1000/1000)))</f>
        <v/>
      </c>
      <c r="T465" s="264" t="str">
        <f>IF($C$463=0,"",IF('Calc (ex-animal)'!$F$88=1,"",IF(D465="","",((VLOOKUP($C$463,'Calc (ex-animal)'!$D$88:$Y$92,10,FALSE)-VLOOKUP($C$463,'Calc (ex-animal)'!$D$88:$Y$92,18,FALSE))*F465/100+Q465+R465+S465)-AC465-AD465-AE465)))</f>
        <v/>
      </c>
      <c r="U465" s="422" t="str">
        <f>IF(D465="","",(VLOOKUP(D465,'DB technologies'!$N$224:$Y$236,2,FALSE)*'DB additional information '!$S$6/100*'DB additional information '!$U$6*VLOOKUP($C$463,'DB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V465" s="418" t="str">
        <f>IF(D465="","",(VLOOKUP(D465,'DB technologies'!$N$224:$Y$236,3,FALSE)*'DB additional information '!$S$7/100*'DB additional information '!$U$7*VLOOKUP($C$463,'DB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W465" s="417" t="str">
        <f>IF(D465="","",(VLOOKUP(D465,'DB technologies'!$N$224:$Y$236,4,FALSE)*('DB additional information '!$S$8/100*'DB additional information '!$U$8*E465/1000/1000)))</f>
        <v/>
      </c>
      <c r="X465" s="261" t="str">
        <f>IF($C$463=0,"",IF('Calc (ex-animal)'!$F$88=1,"",IF(D465="","",((VLOOKUP($C$463,'Calc (ex-animal)'!$D$88:$Y$92,13,FALSE)-VLOOKUP($C$463,'Calc (ex-animal)'!$D$88:$Y$92,19,FALSE))*F465/100+U465+V465+W465))))</f>
        <v/>
      </c>
      <c r="Y465" s="418" t="str">
        <f>IF(D465="","",(VLOOKUP(D465,'DB technologies'!$N$224:$Y$236,2,FALSE)*'DB additional information '!$S$6/100*'DB additional information '!$V$6*VLOOKUP($C$463,'DB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Z465" s="418" t="str">
        <f>IF(D465="","",(VLOOKUP(D465,'DB technologies'!$N$224:$Y$236,3,FALSE)*'DB additional information '!$S$7/100*'DB additional information '!$V$7*VLOOKUP($C$463,'DB animal categories'!$C$167:$AC$176,27,FALSE)*E465/1000/1000)/VLOOKUP($C$463,'DB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AA465" s="418" t="str">
        <f>IF(D465="","",(VLOOKUP(D465,'DB technologies'!$N$224:$Y$236,4,FALSE)*('DB additional information '!$S$8/100*'DB additional information '!$V$8*E465/1000/1000)))</f>
        <v/>
      </c>
      <c r="AB465" s="261" t="str">
        <f>IF($C$463=0,"",IF('Calc (ex-animal)'!$F$88=1,"",IF(D465="","",((VLOOKUP($C$463,'Calc (ex-animal)'!$D$88:$Y$92,16,FALSE)-VLOOKUP($C$463,'Calc (ex-animal)'!$D$88:$Y$92,20,FALSE))*F465/100+Y465+Z465+AA465))))</f>
        <v/>
      </c>
      <c r="AC465" s="261" t="str">
        <f>IF($C$463=0,"",IF('Calc (ex-animal)'!$F$88=1,"",IF(D465="","",VLOOKUP($C$463,'Calc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categories'!$C$167:$AC$176,26,FALSE)/24)*F465/100*VLOOKUP(D465,'DB technologies'!$N$224:$R$236,5,FALSE)/100)))</f>
        <v/>
      </c>
      <c r="AD465" s="261" t="str">
        <f>IF($C$463=0,"",IF('Calc (ex-animal)'!$F$88=1,"",IF(D465="","",VLOOKUP($C$463,'Calc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categories'!$C$167:$AC$176,26,FALSE)/24)*F465/100*VLOOKUP(D465,'DB technologies'!$N$224:$Y$236,6,FALSE)/100)))</f>
        <v/>
      </c>
      <c r="AE465" s="262" t="str">
        <f>IF($C$463=0,"",IF('Calc (ex-animal)'!$F$88=1,"",IF(D465="","",VLOOKUP($C$463,'Calc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categories'!$C$167:$AC$176,26,FALSE)/24)*F465/100*VLOOKUP(D465,'DB technologies'!$N$224:$Y$236,7,FALSE)/100)))</f>
        <v/>
      </c>
      <c r="AI465" s="181" t="str">
        <f>IF(D465="","",VLOOKUP(D465,'DB technologies'!$N$224:$Y$236,10,FALSE))</f>
        <v/>
      </c>
      <c r="AJ465" s="449" t="e">
        <f>VLOOKUP($C$463,'DB animal categories'!$C$167:$AN$176,27,FALSE)-VLOOKUP($C$463,'DB animal categories'!$C$167:$AN$176,26,FALSE)*VLOOKUP($C$463,'DB animal categories'!$C$167:$AN$176,25,FALSE)/24</f>
        <v>#N/A</v>
      </c>
      <c r="AK465" s="442" t="str">
        <f>IF(AI465="","",AL465+AM465)</f>
        <v/>
      </c>
      <c r="AL465" s="442" t="str">
        <f>IF(D465="","",IF(AI465=2,(('Calc (ex-animal)'!$G$89*'DB additional information '!$K$19/100*(1-VLOOKUP(D465,'DB technologies'!$N$224:$Y$236,9,FALSE)/100)*'Calc (ex-housing, ex-storage)'!F465/100+'Calc (ex-animal)'!$H$89*'DB additional information '!$L$19/100*(1-VLOOKUP(D465,'DB technologies'!$N$224:$Y$236,9,FALSE)/100)*'Calc (ex-housing, ex-storage)'!F465/100))/VLOOKUP($C$463,'DB animal categories'!$C$167:$AC$176,27,FALSE)*AJ465+I465+J465+K465,IF(AI465=1,('Calc (ex-animal)'!$H$89*'DB additional information '!$L$19/100*(1-VLOOKUP(D465,'DB technologies'!$N$224:$Y$236,9,FALSE)/100)*'Calc (ex-housing, ex-storage)'!F465/100)/VLOOKUP($C$463,'DB animal categories'!$C$167:$AC$176,27,FALSE)*AJ465,IF(AI465=4,('Calc (ex-animal)'!$G$89*'DB additional information '!$K$19/100+'Calc (ex-animal)'!$H$89*'DB additional information '!$L$19/100)*(1-VLOOKUP(D465,'DB technologies'!$N$224:$Y$236,9,FALSE)/100)*'Calc (ex-housing, ex-storage)'!F465/100*VLOOKUP(D465,'DB technologies'!$N$224:$Y$236,11,FALSE)/100/VLOOKUP($C$463,'DB animal categories'!$C$167:$AC$176,27,FALSE)*AJ465,0))))</f>
        <v/>
      </c>
      <c r="AM465" s="442" t="str">
        <f>IF(D465="","",IF(AI465=2,(('Calc (ex-animal)'!$G$89*(1-'DB additional information '!$K$19/100)*(1-VLOOKUP(D465,'DB technologies'!$N$224:$Y$236,8,FALSE)/100)*'Calc (ex-housing, ex-storage)'!F465/100+'Calc (ex-animal)'!$H$89*(1-'DB additional information '!$L$19/100)*(1-VLOOKUP(D465,'DB technologies'!$N$224:$Y$236,8,FALSE)/100)*'Calc (ex-housing, ex-storage)'!F465/100))/VLOOKUP($C$463,'DB animal categories'!$C$167:$AC$176,27,FALSE)*AJ465+M465+N465+O465,IF(AI465=1,('Calc (ex-animal)'!$H$89*(1-'DB additional information '!$L$19/100)*(1-VLOOKUP(D465,'DB technologies'!$N$224:$Y$236,8,FALSE)/100)*'Calc (ex-housing, ex-storage)'!F465/100)/VLOOKUP($C$463,'DB animal categories'!$C$167:$AC$176,27,FALSE)*AJ465,IF(AI465=4,('Calc (ex-animal)'!$G$89*(1-'DB additional information '!$K$19/100)+'Calc (ex-animal)'!$H$89*(1-'DB additional information '!$L$19/100))*(1-VLOOKUP(D465,'DB technologies'!$N$224:$Y$236,8,FALSE)/100)*'Calc (ex-housing, ex-storage)'!F465/100*VLOOKUP(D465,'DB technologies'!$N$224:$Y$236,11,FALSE)/100/VLOOKUP($C$463,'DB animal categories'!$C$167:$AC$176,27,FALSE)*AJ465,0))))</f>
        <v/>
      </c>
      <c r="AN465" s="442" t="str">
        <f>IF(AI465="","",IF(AL465=0,0,AL465/AK465*100))</f>
        <v/>
      </c>
      <c r="AO465" s="182" t="str">
        <f>IF(D465="","",IF(AI465=2,(('Calc (ex-animal)'!$L$89*'Calc (ex-housing, ex-storage)'!F465/100+'Calc (ex-animal)'!$K$89*'Calc (ex-housing, ex-storage)'!F465/100))/VLOOKUP($C$463,'DB animal categories'!$C$167:$AC$176,27,FALSE)*AJ465+Q465+R465+S465-AC465,IF(AI465=1,('Calc (ex-animal)'!$L$89*'Calc (ex-housing, ex-storage)'!F465/100)/VLOOKUP($C$463,'DB animal categories'!$C$167:$AC$176,27,FALSE)*AJ465-'Calc (ex-housing, ex-storage)'!AC465,IF(AI465=4,('Calc (ex-animal)'!$L$89+'Calc (ex-animal)'!$K$89)*'Calc (ex-housing, ex-storage)'!F465/100*VLOOKUP(D465,'DB technologies'!$N$224:$Y$236,11,FALSE)/100/VLOOKUP($C$463,'DB animal categories'!$C$167:$AC$176,27,FALSE)*AJ465-AC465*VLOOKUP(D465,'DB technologies'!$N$224:$Y$236,11,FALSE)/100,0))))</f>
        <v/>
      </c>
      <c r="AP465" s="182" t="str">
        <f>IF(D465="","",IF(AO465&lt;-0.01,0,IF(AI465=2,(('Calc (ex-animal)'!$L$89*'Calc (ex-housing, ex-storage)'!F465/100+'Calc (ex-animal)'!$K$89*'Calc (ex-housing, ex-storage)'!F465/100))/VLOOKUP($C$463,'DB animal categories'!$C$167:$AC$176,27,FALSE)*AJ465+Q465+R465+S465-AC465,IF(AI465=1,('Calc (ex-animal)'!$L$89*'Calc (ex-housing, ex-storage)'!F465/100)/VLOOKUP($C$463,'DB animal categories'!$C$167:$AC$176,27,FALSE)*AJ465-'Calc (ex-housing, ex-storage)'!AC465,IF(AI465=4,('Calc (ex-animal)'!$L$89+'Calc (ex-animal)'!$K$89)*'Calc (ex-housing, ex-storage)'!F465/100*VLOOKUP(D465,'DB technologies'!$N$224:$Y$236,11,FALSE)/100/VLOOKUP($C$463,'DB animal categories'!$C$167:$AC$176,27,FALSE)*AJ465-AC465*VLOOKUP(D465,'DB technologies'!$N$224:$Y$236,11,FALSE)/100,0)))))</f>
        <v/>
      </c>
      <c r="AQ465" s="182" t="str">
        <f>IF(D465="","",IF(AI465=2,('Calc (ex-animal)'!$O$89*'Calc (ex-housing, ex-storage)'!F465/100+'Calc (ex-animal)'!$N$89*'Calc (ex-housing, ex-storage)'!F465/100)/VLOOKUP($C$463,'DB animal categories'!$C$167:$AC$176,27,FALSE)*AJ465+U465+V465+W465,IF(AI465=1,'Calc (ex-animal)'!$O$89*'Calc (ex-housing, ex-storage)'!F465/100/VLOOKUP($C$463,'DB animal categories'!$C$167:$AC$176,27,FALSE)*AJ465,IF(AI465=4,('Calc (ex-animal)'!$O$89+'Calc (ex-animal)'!$N$89)*'Calc (ex-housing, ex-storage)'!F465/100*VLOOKUP(D465,'DB technologies'!$N$224:$Y$236,11,FALSE)/100/VLOOKUP($C$463,'DB animal categories'!$C$167:$AC$176,27,FALSE)*AJ465,0))))</f>
        <v/>
      </c>
      <c r="AR465" s="182" t="str">
        <f>IF(D465="","",IF(AI465=2,('Calc (ex-animal)'!$R$89*'Calc (ex-housing, ex-storage)'!F465/100+'Calc (ex-animal)'!$Q$89*'Calc (ex-housing, ex-storage)'!F465/100)/VLOOKUP($C$463,'DB animal categories'!$C$167:$AC$176,27,FALSE)*AJ465+Y465+Z465+AA465,IF(AI465=1,'Calc (ex-animal)'!$R$89*'Calc (ex-housing, ex-storage)'!F465/100/VLOOKUP($C$463,'DB animal categories'!$C$167:$AC$176,27,FALSE)*AJ465,IF(AI465=4,('Calc (ex-animal)'!$R$89+'Calc (ex-animal)'!$Q$89)*'Calc (ex-housing, ex-storage)'!F465/100*VLOOKUP(D465,'DB technologies'!$N$224:$Y$236,11,FALSE)/100/VLOOKUP($C$463,'DB animal categories'!$C$167:$AC$176,27,FALSE)*AJ465,0))))</f>
        <v/>
      </c>
      <c r="AS465" s="181" t="str">
        <f>IF(D465="","",VLOOKUP(D465,'DB technologies'!$N$224:$Y$236,10,FALSE))</f>
        <v/>
      </c>
      <c r="AT465" s="442" t="str">
        <f>IF(AS465="","",AU465+AV465)</f>
        <v/>
      </c>
      <c r="AU465" s="442" t="str">
        <f>IF(D465="","",IF(AS465=2,0,IF(AS465=1,'Calc (ex-animal)'!$G$89*'DB additional information '!$K$19/100*(1-VLOOKUP(D465,'DB technologies'!$N$224:$Y$236,8,FALSE)/100)*'Calc (ex-housing, ex-storage)'!F465/100/VLOOKUP($C$463,'DB animal categories'!$C$167:$AC$176,27,FALSE)*AJ465+I465+J465+K465,IF(AS465=5,(('Calc (ex-animal)'!$G$89*'DB additional information '!$K$19/100+'Calc (ex-animal)'!$H$89*'DB additional information '!$L$19/100))*(1-VLOOKUP(D465,'DB technologies'!$N$224:$Y$236,9,FALSE)/100)*'Calc (ex-housing, ex-storage)'!F465/100/VLOOKUP($C$463,'DB animal categories'!$C$167:$AC$176,27,FALSE)*AJ465+I465+J465+K465,IF(AS465=3,('Calc (ex-animal)'!$G$89*'DB additional information '!$K$19/100+'Calc (ex-animal)'!$H$89*'DB additional information '!$L$19/100)*(1-VLOOKUP(D465,'DB technologies'!$N$224:$Y$236,9,FALSE)/100)*'Calc (ex-housing, ex-storage)'!F465/100/VLOOKUP($C$463,'DB animal categories'!$C$167:$AC$176,27,FALSE)*AJ465+I465+J465+K465,IF(AS465=4,('Calc (ex-animal)'!$G$89*'DB additional information '!$K$19/100+'Calc (ex-animal)'!$H$89*'DB additional information '!$L$19/100)*(1-VLOOKUP(D465,'DB technologies'!$N$224:$Y$236,9,FALSE)/100)*'Calc (ex-housing, ex-storage)'!F465/100*VLOOKUP(D465,'DB technologies'!$N$224:$Y$236,12,FALSE)/100/VLOOKUP($C$463,'DB animal categories'!$C$167:$AC$176,27,FALSE)*AJ465+I465+J465+K465,0))))))</f>
        <v/>
      </c>
      <c r="AV465" s="442" t="str">
        <f>IF(D465="","",IF(AS465=2,0,IF(AS465=1,'Calc (ex-animal)'!$G$89*(1-'DB additional information '!$K$19/100)*(1-VLOOKUP(D465,'DB technologies'!$N$224:$Y$236,8,FALSE)/100)*'Calc (ex-housing, ex-storage)'!F465/100/VLOOKUP($C$463,'DB animal categories'!$C$167:$AC$176,27,FALSE)*AJ465+M465+N465+O465,IF(AS465=5,('Calc (ex-animal)'!$G$89*(1-'DB additional information '!$K$19/100)+'Calc (ex-animal)'!$H$89*(1-'DB additional information '!$L$19/100))*(1-VLOOKUP(D465,'DB technologies'!$N$224:$Y$236,8,FALSE)/100)*'Calc (ex-housing, ex-storage)'!F465/100/VLOOKUP($C$463,'DB animal categories'!$C$167:$AC$176,27,FALSE)*AJ465+M465+N465+O465,IF(AS465=3,('Calc (ex-animal)'!$G$89*(1-'DB additional information '!$K$19/100)+'Calc (ex-animal)'!$H$89*(1-'DB additional information '!$L$19/100))*(1-VLOOKUP(D465,'DB technologies'!$N$224:$Y$236,8,FALSE)/100)*'Calc (ex-housing, ex-storage)'!F465/100/VLOOKUP($C$463,'DB animal categories'!$C$167:$AC$176,27,FALSE)*AJ465+M465+N465+O465,IF(AS465=4,('Calc (ex-animal)'!$G$89*(1-'DB additional information '!$K$19/100)+'Calc (ex-animal)'!$H$89*(1-'DB additional information '!$L$19/100))*(1-VLOOKUP(D465,'DB technologies'!$N$224:$Y$236,8,FALSE)/100)*'Calc (ex-housing, ex-storage)'!F465/100*VLOOKUP(D465,'DB technologies'!$N$224:$Y$236,12,FALSE)/100/VLOOKUP($C$463,'DB animal categories'!$C$167:$AC$176,27,FALSE)*AJ465+M465+N465+O465,0))))))</f>
        <v/>
      </c>
      <c r="AW465" s="442" t="str">
        <f>IF(AS465="","",IF(AU465=0,0,AU465/AT465*100))</f>
        <v/>
      </c>
      <c r="AX465" s="182" t="str">
        <f>IF(D465="","",IF(AS465=2,0,IF(AS465=1,'Calc (ex-animal)'!$K$89*'Calc (ex-housing, ex-storage)'!F465/100/VLOOKUP($C$463,'DB animal categories'!$C$167:$AC$176,27,FALSE)*AJ465+Q465+R465+S465,IF(AS465=5,('Calc (ex-animal)'!$K$89+'Calc (ex-animal)'!$L$89)*'Calc (ex-housing, ex-storage)'!F465/100/VLOOKUP($C$463,'DB animal categories'!$C$167:$AC$176,27,FALSE)*AJ465+Q465+R465+S465-'Calc (ex-housing, ex-storage)'!AC465,IF(AS465=3,('Calc (ex-animal)'!$K$89+'Calc (ex-animal)'!$L$89)*'Calc (ex-housing, ex-storage)'!F465/100/VLOOKUP($C$463,'DB animal categories'!$C$167:$AC$176,27,FALSE)*AJ465+Q465+R465+S465-'Calc (ex-housing, ex-storage)'!AC465-AD465-AE465,IF(AI465=4,('Calc (ex-animal)'!$K$89+'Calc (ex-animal)'!$L$89)*'Calc (ex-housing, ex-storage)'!F465/100*VLOOKUP(D465,'DB technologies'!$N$224:$Y$236,12,FALSE)/100/VLOOKUP($C$463,'DB animal categories'!$C$167:$AC$176,27,FALSE)*AJ465+Q465+R465+S465-(VLOOKUP(D465,'DB technologies'!$N$224:$Y$236,12,FALSE)/100*AC465)-AD465-AE465,0))))))</f>
        <v/>
      </c>
      <c r="AY465" s="182" t="str">
        <f>IF(D465="","",IF(AS465=2,0,IF(AS465=1,'Calc (ex-animal)'!$N$89*'Calc (ex-housing, ex-storage)'!F465/100/VLOOKUP($C$463,'DB animal categories'!$C$167:$AC$176,27,FALSE)*AJ465+U465+V465+W465,IF(AS465=5,('Calc (ex-animal)'!$N$89+'Calc (ex-animal)'!$O$89)*'Calc (ex-housing, ex-storage)'!F465/100/VLOOKUP($C$463,'DB animal categories'!$C$167:$AC$176,27,FALSE)*AJ465+U465+V465+W465,IF(AS465=3,('Calc (ex-animal)'!$N$89+'Calc (ex-animal)'!$O$89)*'Calc (ex-housing, ex-storage)'!F465/100/VLOOKUP($C$463,'DB animal categories'!$C$167:$AC$176,27,FALSE)*AJ465+U465+V465+W465,IF(AS465=4,('Calc (ex-animal)'!$N$89+'Calc (ex-animal)'!$O$89)*'Calc (ex-housing, ex-storage)'!F465/100*VLOOKUP(D465,'DB technologies'!$N$224:$Y$236,12,FALSE)/100/VLOOKUP($C$463,'DB animal categories'!$C$167:$AC$176,27,FALSE)*AJ465+U465+V465+W465,0))))))</f>
        <v/>
      </c>
      <c r="AZ465" s="182" t="str">
        <f>IF(D465="","",IF(AS465=2,0,IF(AS465=1,'Calc (ex-animal)'!$Q$89*'Calc (ex-housing, ex-storage)'!F465/100/VLOOKUP($C$463,'DB animal categories'!$C$167:$AC$176,27,FALSE)*AJ465+Y465+Z465+AA465,IF(AS465=5,('Calc (ex-animal)'!$Q$89+'Calc (ex-animal)'!$R$89)*'Calc (ex-housing, ex-storage)'!F465/100/VLOOKUP($C$463,'DB animal categories'!$C$167:$AC$176,27,FALSE)*AJ465+Y465+Z465+AA465,IF(AS465=3,('Calc (ex-animal)'!$Q$89+'Calc (ex-animal)'!$R$89)*'Calc (ex-housing, ex-storage)'!F465/100/VLOOKUP($C$463,'DB animal categories'!$C$167:$AC$176,27,FALSE)*AJ465+Y465+Z465+AA465,IF(AS465=4,('Calc (ex-animal)'!$Q$89+'Calc (ex-animal)'!$R$89)*'Calc (ex-housing, ex-storage)'!F465/100*VLOOKUP(D465,'DB technologies'!$N$224:$Y$236,12,FALSE)/100/VLOOKUP($C$463,'DB animal categories'!$C$167:$AC$176,27,FALSE)*AJ465+Y465+Z465+AA465,0))))))</f>
        <v/>
      </c>
      <c r="BA465" s="506"/>
      <c r="BB465" s="506"/>
      <c r="BC465" s="506"/>
    </row>
    <row r="466" spans="1:55" x14ac:dyDescent="0.2">
      <c r="A466" s="695"/>
      <c r="B466" s="695"/>
      <c r="C466" s="251"/>
      <c r="D466" s="1357"/>
      <c r="E466" s="1358"/>
      <c r="F466" s="480" t="str">
        <f>IF('Calc (ex-animal)'!$F$88=1,"",IF($C$463=0,"",IF(D466="","",E466/'Calc (ex-animal)'!$E$89*100)))</f>
        <v/>
      </c>
      <c r="G466" s="485" t="str">
        <f>IF($C$463=0,"",IF('Calc (ex-animal)'!$F$88=1,"",IF(D466="","",SUM(H466:O466))))</f>
        <v/>
      </c>
      <c r="H466" s="423" t="str">
        <f>IF('Calc (ex-animal)'!$F$88=1,"",IF(D466="","",(((VLOOKUP($C$463,'Calc (ex-animal)'!$D$88:$Y$92,6,FALSE)-VLOOKUP($C$463,'Calc (ex-animal)'!$D$88:$Y$92,17,FALSE))*F466/100))*VLOOKUP($C$463,'Calc (ex-animal)'!$D$88:$Y$92,7,FALSE)/100*(1-VLOOKUP(D466,'DB technologies'!$N$224:$Y$236,9,FALSE)/100)))</f>
        <v/>
      </c>
      <c r="I466" s="423" t="str">
        <f>IF(D466="","",((VLOOKUP(D466,'DB technologies'!$N$224:$Y$236,2,FALSE)*VLOOKUP($C$463,'DB animal categories'!$C$167:$AC$176,27,FALSE)*E466/1000)/VLOOKUP($C$463,'DB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'!$S$6/100*(1-VLOOKUP(D466,'DB technologies'!$N$224:$Y$236,9,FALSE)/100)))</f>
        <v/>
      </c>
      <c r="J466" s="434" t="str">
        <f>IF(D466="","",((VLOOKUP(D466,'DB technologies'!$N$224:$Y$236,3,FALSE)*VLOOKUP($C$463,'DB animal categories'!$C$167:$AC$176,27,FALSE)*E466/1000)/VLOOKUP($C$463,'DB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'!$S$7/100*(1-VLOOKUP(D466,'DB technologies'!$N$224:$Y$236,9,FALSE)/100)))</f>
        <v/>
      </c>
      <c r="K466" s="434" t="str">
        <f>IF(D466="","",((VLOOKUP(D466,'DB technologies'!$N$224:$Y$236,4,FALSE)*E466*'DB additional information '!$S$8/100*(1-VLOOKUP(D466,'DB technologies'!$N$224:$Y$236,9,FALSE)/100))/VLOOKUP($C$463,'DB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L466" s="423" t="str">
        <f>IF('Calc (ex-animal)'!$F$88=1,"",IF(D466="","",(((VLOOKUP($C$463,'Calc (ex-animal)'!$D$88:$Y$92,6,FALSE)-VLOOKUP($C$463,'Calc (ex-animal)'!$D$88:$Y$92,17,FALSE))*F466/100))*(1-VLOOKUP($C$463,'Calc (ex-animal)'!$D$88:$Y$92,7,FALSE)/100)*(1-VLOOKUP(D466,'DB technologies'!$N$224:$V$236,8,FALSE)/100)))</f>
        <v/>
      </c>
      <c r="M466" s="434" t="str">
        <f>IF(D466="","",((VLOOKUP(D466,'DB technologies'!$N$224:$Y$236,2,FALSE)*VLOOKUP($C$463,'DB animal categories'!$C$167:$AC$176,27,FALSE)*E466/1000)/VLOOKUP($C$463,'DB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'!$S$6/100)*(1-VLOOKUP(D466,'DB technologies'!$N$224:$Y$236,9,FALSE)/100))</f>
        <v/>
      </c>
      <c r="N466" s="434" t="str">
        <f>IF(D466="","",((VLOOKUP(D466,'DB technologies'!$N$224:$Y$236,3,FALSE)*VLOOKUP($C$463,'DB animal categories'!$C$167:$AC$176,27,FALSE)*E466/1000)/VLOOKUP($C$463,'DB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'!$S$7/100)*(1-VLOOKUP(D466,'DB technologies'!$N$224:$Y$236,9,FALSE)/100))</f>
        <v/>
      </c>
      <c r="O466" s="423" t="str">
        <f>IF(D466="","",((VLOOKUP(D466,'DB technologies'!$N$224:$Y$236,4,FALSE)*E466*(1-'DB additional information '!$S$8/100)*(1-VLOOKUP(D466,'DB technologies'!$N$224:$Y$236,8,FALSE)/100))/VLOOKUP($C$463,'DB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P466" s="438" t="str">
        <f>IF(G466=0,0,IF(E466="","",IF(F466="","",IF($C$463=0,"",IF(D466="","",SUM(H466:K466)/G466*100)))))</f>
        <v/>
      </c>
      <c r="Q466" s="416" t="str">
        <f>IF(D466="","",(VLOOKUP(D466,'DB technologies'!$N$224:$Y$236,2,FALSE)*'DB additional information '!$S$6/100*'DB additional information '!$T$6*VLOOKUP($C$463,'DB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R466" s="416" t="str">
        <f>IF(D466="","",(VLOOKUP(D466,'DB technologies'!$N$224:$Y$236,3,FALSE)*'DB additional information '!$S$7/100*'DB additional information '!$T$7*VLOOKUP($C$463,'DB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S466" s="491" t="str">
        <f>IF(D466="","",(VLOOKUP(D466,'DB technologies'!$N$224:$Y$236,4,FALSE)*('DB additional information '!$S$8/100*'DB additional information '!$T$8*E466/1000/1000)))</f>
        <v/>
      </c>
      <c r="T466" s="264" t="str">
        <f>IF($C$463=0,"",IF('Calc (ex-animal)'!$F$88=1,"",IF(D466="","",((VLOOKUP($C$463,'Calc (ex-animal)'!$D$88:$Y$92,10,FALSE)-VLOOKUP($C$463,'Calc (ex-animal)'!$D$88:$Y$92,18,FALSE))*F466/100+Q466+R466+S466)-AC466-AD466-AE466)))</f>
        <v/>
      </c>
      <c r="U466" s="422" t="str">
        <f>IF(D466="","",(VLOOKUP(D466,'DB technologies'!$N$224:$Y$236,2,FALSE)*'DB additional information '!$S$6/100*'DB additional information '!$U$6*VLOOKUP($C$463,'DB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V466" s="418" t="str">
        <f>IF(D466="","",(VLOOKUP(D466,'DB technologies'!$N$224:$Y$236,3,FALSE)*'DB additional information '!$S$7/100*'DB additional information '!$U$7*VLOOKUP($C$463,'DB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W466" s="417" t="str">
        <f>IF(D466="","",(VLOOKUP(D466,'DB technologies'!$N$224:$Y$236,4,FALSE)*('DB additional information '!$S$8/100*'DB additional information '!$U$8*E466/1000/1000)))</f>
        <v/>
      </c>
      <c r="X466" s="261" t="str">
        <f>IF($C$463=0,"",IF('Calc (ex-animal)'!$F$88=1,"",IF(D466="","",((VLOOKUP($C$463,'Calc (ex-animal)'!$D$88:$Y$92,13,FALSE)-VLOOKUP($C$463,'Calc (ex-animal)'!$D$88:$Y$92,19,FALSE))*F466/100+U466+V466+W466))))</f>
        <v/>
      </c>
      <c r="Y466" s="418" t="str">
        <f>IF(D466="","",(VLOOKUP(D466,'DB technologies'!$N$224:$Y$236,2,FALSE)*'DB additional information '!$S$6/100*'DB additional information '!$V$6*VLOOKUP($C$463,'DB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Z466" s="418" t="str">
        <f>IF(D466="","",(VLOOKUP(D466,'DB technologies'!$N$224:$Y$236,3,FALSE)*'DB additional information '!$S$7/100*'DB additional information '!$V$7*VLOOKUP($C$463,'DB animal categories'!$C$167:$AC$176,27,FALSE)*E466/1000/1000)/VLOOKUP($C$463,'DB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AA466" s="418" t="str">
        <f>IF(D466="","",(VLOOKUP(D466,'DB technologies'!$N$224:$Y$236,4,FALSE)*('DB additional information '!$S$8/100*'DB additional information '!$V$8*E466/1000/1000)))</f>
        <v/>
      </c>
      <c r="AB466" s="261" t="str">
        <f>IF($C$463=0,"",IF('Calc (ex-animal)'!$F$88=1,"",IF(D466="","",((VLOOKUP($C$463,'Calc (ex-animal)'!$D$88:$Y$92,16,FALSE)-VLOOKUP($C$463,'Calc (ex-animal)'!$D$88:$Y$92,20,FALSE))*F466/100+Y466+Z466+AA466))))</f>
        <v/>
      </c>
      <c r="AC466" s="261" t="str">
        <f>IF($C$463=0,"",IF('Calc (ex-animal)'!$F$88=1,"",IF(D466="","",VLOOKUP($C$463,'Calc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categories'!$C$167:$AC$176,26,FALSE)/24)*F466/100*VLOOKUP(D466,'DB technologies'!$N$224:$R$236,5,FALSE)/100)))</f>
        <v/>
      </c>
      <c r="AD466" s="261" t="str">
        <f>IF($C$463=0,"",IF('Calc (ex-animal)'!$F$88=1,"",IF(D466="","",VLOOKUP($C$463,'Calc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categories'!$C$167:$AC$176,26,FALSE)/24)*F466/100*VLOOKUP(D466,'DB technologies'!$N$224:$Y$236,6,FALSE)/100)))</f>
        <v/>
      </c>
      <c r="AE466" s="262" t="str">
        <f>IF($C$463=0,"",IF('Calc (ex-animal)'!$F$88=1,"",IF(D466="","",VLOOKUP($C$463,'Calc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categories'!$C$167:$AC$176,26,FALSE)/24)*F466/100*VLOOKUP(D466,'DB technologies'!$N$224:$Y$236,7,FALSE)/100)))</f>
        <v/>
      </c>
      <c r="AI466" s="181" t="str">
        <f>IF(D466="","",VLOOKUP(D466,'DB technologies'!$N$224:$Y$236,10,FALSE))</f>
        <v/>
      </c>
      <c r="AJ466" s="449" t="e">
        <f>VLOOKUP($C$463,'DB animal categories'!$C$167:$AN$176,27,FALSE)-VLOOKUP($C$463,'DB animal categories'!$C$167:$AN$176,26,FALSE)*VLOOKUP($C$463,'DB animal categories'!$C$167:$AN$176,25,FALSE)/24</f>
        <v>#N/A</v>
      </c>
      <c r="AK466" s="442" t="str">
        <f>IF(AI466="","",AL466+AM466)</f>
        <v/>
      </c>
      <c r="AL466" s="442" t="str">
        <f>IF(D466="","",IF(AI466=2,(('Calc (ex-animal)'!$G$89*'DB additional information '!$K$19/100*(1-VLOOKUP(D466,'DB technologies'!$N$224:$Y$236,9,FALSE)/100)*'Calc (ex-housing, ex-storage)'!F466/100+'Calc (ex-animal)'!$H$89*'DB additional information '!$L$19/100*(1-VLOOKUP(D466,'DB technologies'!$N$224:$Y$236,9,FALSE)/100)*'Calc (ex-housing, ex-storage)'!F466/100))/VLOOKUP($C$463,'DB animal categories'!$C$167:$AC$176,27,FALSE)*AJ466+I466+J466+K466,IF(AI466=1,('Calc (ex-animal)'!$H$89*'DB additional information '!$L$19/100*(1-VLOOKUP(D466,'DB technologies'!$N$224:$Y$236,9,FALSE)/100)*'Calc (ex-housing, ex-storage)'!F466/100)/VLOOKUP($C$463,'DB animal categories'!$C$167:$AC$176,27,FALSE)*AJ466,IF(AI466=4,('Calc (ex-animal)'!$G$89*'DB additional information '!$K$19/100+'Calc (ex-animal)'!$H$89*'DB additional information '!$L$19/100)*(1-VLOOKUP(D466,'DB technologies'!$N$224:$Y$236,9,FALSE)/100)*'Calc (ex-housing, ex-storage)'!F466/100*VLOOKUP(D466,'DB technologies'!$N$224:$Y$236,11,FALSE)/100/VLOOKUP($C$463,'DB animal categories'!$C$167:$AC$176,27,FALSE)*AJ466,0))))</f>
        <v/>
      </c>
      <c r="AM466" s="442" t="str">
        <f>IF(D466="","",IF(AI466=2,(('Calc (ex-animal)'!$G$89*(1-'DB additional information '!$K$19/100)*(1-VLOOKUP(D466,'DB technologies'!$N$224:$Y$236,8,FALSE)/100)*'Calc (ex-housing, ex-storage)'!F466/100+'Calc (ex-animal)'!$H$89*(1-'DB additional information '!$L$19/100)*(1-VLOOKUP(D466,'DB technologies'!$N$224:$Y$236,8,FALSE)/100)*'Calc (ex-housing, ex-storage)'!F466/100))/VLOOKUP($C$463,'DB animal categories'!$C$167:$AC$176,27,FALSE)*AJ466+M466+N466+O466,IF(AI466=1,('Calc (ex-animal)'!$H$89*(1-'DB additional information '!$L$19/100)*(1-VLOOKUP(D466,'DB technologies'!$N$224:$Y$236,8,FALSE)/100)*'Calc (ex-housing, ex-storage)'!F466/100)/VLOOKUP($C$463,'DB animal categories'!$C$167:$AC$176,27,FALSE)*AJ466,IF(AI466=4,('Calc (ex-animal)'!$G$89*(1-'DB additional information '!$K$19/100)+'Calc (ex-animal)'!$H$89*(1-'DB additional information '!$L$19/100))*(1-VLOOKUP(D466,'DB technologies'!$N$224:$Y$236,8,FALSE)/100)*'Calc (ex-housing, ex-storage)'!F466/100*VLOOKUP(D466,'DB technologies'!$N$224:$Y$236,11,FALSE)/100/VLOOKUP($C$463,'DB animal categories'!$C$167:$AC$176,27,FALSE)*AJ466,0))))</f>
        <v/>
      </c>
      <c r="AN466" s="442" t="str">
        <f>IF(AI466="","",IF(AL466=0,0,AL466/AK466*100))</f>
        <v/>
      </c>
      <c r="AO466" s="182" t="str">
        <f>IF(D466="","",IF(AI466=2,(('Calc (ex-animal)'!$L$89*'Calc (ex-housing, ex-storage)'!F466/100+'Calc (ex-animal)'!$K$89*'Calc (ex-housing, ex-storage)'!F466/100))/VLOOKUP($C$463,'DB animal categories'!$C$167:$AC$176,27,FALSE)*AJ466+Q466+R466+S466-AC466,IF(AI466=1,('Calc (ex-animal)'!$L$89*'Calc (ex-housing, ex-storage)'!F466/100)/VLOOKUP($C$463,'DB animal categories'!$C$167:$AC$176,27,FALSE)*AJ466-'Calc (ex-housing, ex-storage)'!AC466,IF(AI466=4,('Calc (ex-animal)'!$L$89+'Calc (ex-animal)'!$K$89)*'Calc (ex-housing, ex-storage)'!F466/100*VLOOKUP(D466,'DB technologies'!$N$224:$Y$236,11,FALSE)/100/VLOOKUP($C$463,'DB animal categories'!$C$167:$AC$176,27,FALSE)*AJ466-AC466*VLOOKUP(D466,'DB technologies'!$N$224:$Y$236,11,FALSE)/100,0))))</f>
        <v/>
      </c>
      <c r="AP466" s="182" t="str">
        <f>IF(D466="","",IF(AO466&lt;-0.01,0,IF(AI466=2,(('Calc (ex-animal)'!$L$89*'Calc (ex-housing, ex-storage)'!F466/100+'Calc (ex-animal)'!$K$89*'Calc (ex-housing, ex-storage)'!F466/100))/VLOOKUP($C$463,'DB animal categories'!$C$167:$AC$176,27,FALSE)*AJ466+Q466+R466+S466-AC466,IF(AI466=1,('Calc (ex-animal)'!$L$89*'Calc (ex-housing, ex-storage)'!F466/100)/VLOOKUP($C$463,'DB animal categories'!$C$167:$AC$176,27,FALSE)*AJ466-'Calc (ex-housing, ex-storage)'!AC466,IF(AI466=4,('Calc (ex-animal)'!$L$89+'Calc (ex-animal)'!$K$89)*'Calc (ex-housing, ex-storage)'!F466/100*VLOOKUP(D466,'DB technologies'!$N$224:$Y$236,11,FALSE)/100/VLOOKUP($C$463,'DB animal categories'!$C$167:$AC$176,27,FALSE)*AJ466-AC466*VLOOKUP(D466,'DB technologies'!$N$224:$Y$236,11,FALSE)/100,0)))))</f>
        <v/>
      </c>
      <c r="AQ466" s="182" t="str">
        <f>IF(D466="","",IF(AI466=2,('Calc (ex-animal)'!$O$89*'Calc (ex-housing, ex-storage)'!F466/100+'Calc (ex-animal)'!$N$89*'Calc (ex-housing, ex-storage)'!F466/100)/VLOOKUP($C$463,'DB animal categories'!$C$167:$AC$176,27,FALSE)*AJ466+U466+V466+W466,IF(AI466=1,'Calc (ex-animal)'!$O$89*'Calc (ex-housing, ex-storage)'!F466/100/VLOOKUP($C$463,'DB animal categories'!$C$167:$AC$176,27,FALSE)*AJ466,IF(AI466=4,('Calc (ex-animal)'!$O$89+'Calc (ex-animal)'!$N$89)*'Calc (ex-housing, ex-storage)'!F466/100*VLOOKUP(D466,'DB technologies'!$N$224:$Y$236,11,FALSE)/100/VLOOKUP($C$463,'DB animal categories'!$C$167:$AC$176,27,FALSE)*AJ466,0))))</f>
        <v/>
      </c>
      <c r="AR466" s="182" t="str">
        <f>IF(D466="","",IF(AI466=2,('Calc (ex-animal)'!$R$89*'Calc (ex-housing, ex-storage)'!F466/100+'Calc (ex-animal)'!$Q$89*'Calc (ex-housing, ex-storage)'!F466/100)/VLOOKUP($C$463,'DB animal categories'!$C$167:$AC$176,27,FALSE)*AJ466+Y466+Z466+AA466,IF(AI466=1,'Calc (ex-animal)'!$R$89*'Calc (ex-housing, ex-storage)'!F466/100/VLOOKUP($C$463,'DB animal categories'!$C$167:$AC$176,27,FALSE)*AJ466,IF(AI466=4,('Calc (ex-animal)'!$R$89+'Calc (ex-animal)'!$Q$89)*'Calc (ex-housing, ex-storage)'!F466/100*VLOOKUP(D466,'DB technologies'!$N$224:$Y$236,11,FALSE)/100/VLOOKUP($C$463,'DB animal categories'!$C$167:$AC$176,27,FALSE)*AJ466,0))))</f>
        <v/>
      </c>
      <c r="AS466" s="181" t="str">
        <f>IF(D466="","",VLOOKUP(D466,'DB technologies'!$N$224:$Y$236,10,FALSE))</f>
        <v/>
      </c>
      <c r="AT466" s="442" t="str">
        <f>IF(AS466="","",AU466+AV466)</f>
        <v/>
      </c>
      <c r="AU466" s="442" t="str">
        <f>IF(D466="","",IF(AS466=2,0,IF(AS466=1,'Calc (ex-animal)'!$G$89*'DB additional information '!$K$19/100*(1-VLOOKUP(D466,'DB technologies'!$N$224:$Y$236,8,FALSE)/100)*'Calc (ex-housing, ex-storage)'!F466/100/VLOOKUP($C$463,'DB animal categories'!$C$167:$AC$176,27,FALSE)*AJ466+I466+J466+K466,IF(AS466=5,(('Calc (ex-animal)'!$G$89*'DB additional information '!$K$19/100+'Calc (ex-animal)'!$H$89*'DB additional information '!$L$19/100))*(1-VLOOKUP(D466,'DB technologies'!$N$224:$Y$236,9,FALSE)/100)*'Calc (ex-housing, ex-storage)'!F466/100/VLOOKUP($C$463,'DB animal categories'!$C$167:$AC$176,27,FALSE)*AJ466+I466+J466+K466,IF(AS466=3,('Calc (ex-animal)'!$G$89*'DB additional information '!$K$19/100+'Calc (ex-animal)'!$H$89*'DB additional information '!$L$19/100)*(1-VLOOKUP(D466,'DB technologies'!$N$224:$Y$236,9,FALSE)/100)*'Calc (ex-housing, ex-storage)'!F466/100/VLOOKUP($C$463,'DB animal categories'!$C$167:$AC$176,27,FALSE)*AJ466+I466+J466+K466,IF(AS466=4,('Calc (ex-animal)'!$G$89*'DB additional information '!$K$19/100+'Calc (ex-animal)'!$H$89*'DB additional information '!$L$19/100)*(1-VLOOKUP(D466,'DB technologies'!$N$224:$Y$236,9,FALSE)/100)*'Calc (ex-housing, ex-storage)'!F466/100*VLOOKUP(D466,'DB technologies'!$N$224:$Y$236,12,FALSE)/100/VLOOKUP($C$463,'DB animal categories'!$C$167:$AC$176,27,FALSE)*AJ466+I466+J466+K466,0))))))</f>
        <v/>
      </c>
      <c r="AV466" s="442" t="str">
        <f>IF(D466="","",IF(AS466=2,0,IF(AS466=1,'Calc (ex-animal)'!$G$89*(1-'DB additional information '!$K$19/100)*(1-VLOOKUP(D466,'DB technologies'!$N$224:$Y$236,8,FALSE)/100)*'Calc (ex-housing, ex-storage)'!F466/100/VLOOKUP($C$463,'DB animal categories'!$C$167:$AC$176,27,FALSE)*AJ466+M466+N466+O466,IF(AS466=5,('Calc (ex-animal)'!$G$89*(1-'DB additional information '!$K$19/100)+'Calc (ex-animal)'!$H$89*(1-'DB additional information '!$L$19/100))*(1-VLOOKUP(D466,'DB technologies'!$N$224:$Y$236,8,FALSE)/100)*'Calc (ex-housing, ex-storage)'!F466/100/VLOOKUP($C$463,'DB animal categories'!$C$167:$AC$176,27,FALSE)*AJ466+M466+N466+O466,IF(AS466=3,('Calc (ex-animal)'!$G$89*(1-'DB additional information '!$K$19/100)+'Calc (ex-animal)'!$H$89*(1-'DB additional information '!$L$19/100))*(1-VLOOKUP(D466,'DB technologies'!$N$224:$Y$236,8,FALSE)/100)*'Calc (ex-housing, ex-storage)'!F466/100/VLOOKUP($C$463,'DB animal categories'!$C$167:$AC$176,27,FALSE)*AJ466+M466+N466+O466,IF(AS466=4,('Calc (ex-animal)'!$G$89*(1-'DB additional information '!$K$19/100)+'Calc (ex-animal)'!$H$89*(1-'DB additional information '!$L$19/100))*(1-VLOOKUP(D466,'DB technologies'!$N$224:$Y$236,8,FALSE)/100)*'Calc (ex-housing, ex-storage)'!F466/100*VLOOKUP(D466,'DB technologies'!$N$224:$Y$236,12,FALSE)/100/VLOOKUP($C$463,'DB animal categories'!$C$167:$AC$176,27,FALSE)*AJ466+M466+N466+O466,0))))))</f>
        <v/>
      </c>
      <c r="AW466" s="442" t="str">
        <f>IF(AS466="","",IF(AU466=0,0,AU466/AT466*100))</f>
        <v/>
      </c>
      <c r="AX466" s="182" t="str">
        <f>IF(D466="","",IF(AS466=2,0,IF(AS466=1,'Calc (ex-animal)'!$K$89*'Calc (ex-housing, ex-storage)'!F466/100/VLOOKUP($C$463,'DB animal categories'!$C$167:$AC$176,27,FALSE)*AJ466+Q466+R466+S466,IF(AS466=5,('Calc (ex-animal)'!$K$89+'Calc (ex-animal)'!$L$89)*'Calc (ex-housing, ex-storage)'!F466/100/VLOOKUP($C$463,'DB animal categories'!$C$167:$AC$176,27,FALSE)*AJ466+Q466+R466+S466-'Calc (ex-housing, ex-storage)'!AC466,IF(AS466=3,('Calc (ex-animal)'!$K$89+'Calc (ex-animal)'!$L$89)*'Calc (ex-housing, ex-storage)'!F466/100/VLOOKUP($C$463,'DB animal categories'!$C$167:$AC$176,27,FALSE)*AJ466+Q466+R466+S466-'Calc (ex-housing, ex-storage)'!AC466-AD466-AE466,IF(AI466=4,('Calc (ex-animal)'!$K$89+'Calc (ex-animal)'!$L$89)*'Calc (ex-housing, ex-storage)'!F466/100*VLOOKUP(D466,'DB technologies'!$N$224:$Y$236,12,FALSE)/100/VLOOKUP($C$463,'DB animal categories'!$C$167:$AC$176,27,FALSE)*AJ466+Q466+R466+S466-(VLOOKUP(D466,'DB technologies'!$N$224:$Y$236,12,FALSE)/100*AC466)-AD466-AE466,0))))))</f>
        <v/>
      </c>
      <c r="AY466" s="182" t="str">
        <f>IF(D466="","",IF(AS466=2,0,IF(AS466=1,'Calc (ex-animal)'!$N$89*'Calc (ex-housing, ex-storage)'!F466/100/VLOOKUP($C$463,'DB animal categories'!$C$167:$AC$176,27,FALSE)*AJ466+U466+V466+W466,IF(AS466=5,('Calc (ex-animal)'!$N$89+'Calc (ex-animal)'!$O$89)*'Calc (ex-housing, ex-storage)'!F466/100/VLOOKUP($C$463,'DB animal categories'!$C$167:$AC$176,27,FALSE)*AJ466+U466+V466+W466,IF(AS466=3,('Calc (ex-animal)'!$N$89+'Calc (ex-animal)'!$O$89)*'Calc (ex-housing, ex-storage)'!F466/100/VLOOKUP($C$463,'DB animal categories'!$C$167:$AC$176,27,FALSE)*AJ466+U466+V466+W466,IF(AS466=4,('Calc (ex-animal)'!$N$89+'Calc (ex-animal)'!$O$89)*'Calc (ex-housing, ex-storage)'!F466/100*VLOOKUP(D466,'DB technologies'!$N$224:$Y$236,12,FALSE)/100/VLOOKUP($C$463,'DB animal categories'!$C$167:$AC$176,27,FALSE)*AJ466+U466+V466+W466,0))))))</f>
        <v/>
      </c>
      <c r="AZ466" s="182" t="str">
        <f>IF(D466="","",IF(AS466=2,0,IF(AS466=1,'Calc (ex-animal)'!$Q$89*'Calc (ex-housing, ex-storage)'!F466/100/VLOOKUP($C$463,'DB animal categories'!$C$167:$AC$176,27,FALSE)*AJ466+Y466+Z466+AA466,IF(AS466=5,('Calc (ex-animal)'!$Q$89+'Calc (ex-animal)'!$R$89)*'Calc (ex-housing, ex-storage)'!F466/100/VLOOKUP($C$463,'DB animal categories'!$C$167:$AC$176,27,FALSE)*AJ466+Y466+Z466+AA466,IF(AS466=3,('Calc (ex-animal)'!$Q$89+'Calc (ex-animal)'!$R$89)*'Calc (ex-housing, ex-storage)'!F466/100/VLOOKUP($C$463,'DB animal categories'!$C$167:$AC$176,27,FALSE)*AJ466+Y466+Z466+AA466,IF(AS466=4,('Calc (ex-animal)'!$Q$89+'Calc (ex-animal)'!$R$89)*'Calc (ex-housing, ex-storage)'!F466/100*VLOOKUP(D466,'DB technologies'!$N$224:$Y$236,12,FALSE)/100/VLOOKUP($C$463,'DB animal categories'!$C$167:$AC$176,27,FALSE)*AJ466+Y466+Z466+AA466,0))))))</f>
        <v/>
      </c>
      <c r="BA466" s="506"/>
      <c r="BB466" s="506"/>
      <c r="BC466" s="506"/>
    </row>
    <row r="467" spans="1:55" ht="12" thickBot="1" x14ac:dyDescent="0.25">
      <c r="A467" s="695"/>
      <c r="B467" s="695"/>
      <c r="C467" s="251"/>
      <c r="D467" s="1359"/>
      <c r="E467" s="1360"/>
      <c r="F467" s="481" t="str">
        <f>IF('Calc (ex-animal)'!$F$88=1,"",IF($C$463=0,"",IF(D467="","",E467/'Calc (ex-animal)'!$E$89*100)))</f>
        <v/>
      </c>
      <c r="G467" s="483" t="str">
        <f>IF($C$463=0,"",IF('Calc (ex-animal)'!$F$88=1,"",IF(D467="","",SUM(H467:O467))))</f>
        <v/>
      </c>
      <c r="H467" s="445" t="str">
        <f>IF('Calc (ex-animal)'!$F$88=1,"",IF(D467="","",(((VLOOKUP($C$463,'Calc (ex-animal)'!$D$88:$Y$92,6,FALSE)-VLOOKUP($C$463,'Calc (ex-animal)'!$D$88:$Y$92,17,FALSE))*F467/100))*VLOOKUP($C$463,'Calc (ex-animal)'!$D$88:$Y$92,7,FALSE)/100*(1-VLOOKUP(D467,'DB technologies'!$N$224:$Y$236,9,FALSE)/100)))</f>
        <v/>
      </c>
      <c r="I467" s="445" t="str">
        <f>IF(D467="","",((VLOOKUP(D467,'DB technologies'!$N$224:$Y$236,2,FALSE)*VLOOKUP($C$463,'DB animal categories'!$C$167:$AC$176,27,FALSE)*E467/1000)/VLOOKUP($C$463,'DB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'!$S$6/100*(1-VLOOKUP(D467,'DB technologies'!$N$224:$Y$236,9,FALSE)/100)))</f>
        <v/>
      </c>
      <c r="J467" s="446" t="str">
        <f>IF(D467="","",((VLOOKUP(D467,'DB technologies'!$N$224:$Y$236,3,FALSE)*VLOOKUP($C$463,'DB animal categories'!$C$167:$AC$176,27,FALSE)*E467/1000)/VLOOKUP($C$463,'DB animal categories'!$C$167:$AC$176,27,FALSE)*(VLOOKUP($C$463,'DB animal categories'!$C$167:$AC$176,27,FALSE)-(VLOOKUP($C$463,'DB animal categories'!$C$167:$AC$176,25,FALSE)*VLOOKUP($C$463,'DB animal categories'!$C$167:$AC$176,26,FALSE)/24))*'DB additional information '!$S$7/100*(1-VLOOKUP(D467,'DB technologies'!$N$224:$Y$236,9,FALSE)/100)))</f>
        <v/>
      </c>
      <c r="K467" s="446" t="str">
        <f>IF(D467="","",((VLOOKUP(D467,'DB technologies'!$N$224:$Y$236,4,FALSE)*E467*'DB additional information '!$S$8/100*(1-VLOOKUP(D467,'DB technologies'!$N$224:$Y$236,9,FALSE)/100))/VLOOKUP($C$463,'DB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L467" s="445" t="str">
        <f>IF('Calc (ex-animal)'!$F$88=1,"",IF(D467="","",(((VLOOKUP($C$463,'Calc (ex-animal)'!$D$88:$Y$92,6,FALSE)-VLOOKUP($C$463,'Calc (ex-animal)'!$D$88:$Y$92,17,FALSE))*F467/100))*(1-VLOOKUP($C$463,'Calc (ex-animal)'!$D$88:$Y$92,7,FALSE)/100)*(1-VLOOKUP(D467,'DB technologies'!$N$224:$V$236,8,FALSE)/100)))</f>
        <v/>
      </c>
      <c r="M467" s="446" t="str">
        <f>IF(D467="","",((VLOOKUP(D467,'DB technologies'!$N$224:$Y$236,2,FALSE)*VLOOKUP($C$463,'DB animal categories'!$C$167:$AC$176,27,FALSE)*E467/1000)/VLOOKUP($C$463,'DB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'!$S$6/100)*(1-VLOOKUP(D467,'DB technologies'!$N$224:$Y$236,9,FALSE)/100))</f>
        <v/>
      </c>
      <c r="N467" s="446" t="str">
        <f>IF(D467="","",((VLOOKUP(D467,'DB technologies'!$N$224:$Y$236,3,FALSE)*VLOOKUP($C$463,'DB animal categories'!$C$167:$AC$176,27,FALSE)*E467/1000)/VLOOKUP($C$463,'DB animal categories'!$C$167:$AC$176,27,FALSE)*(VLOOKUP($C$463,'DB animal categories'!$C$167:$AC$176,27,FALSE)-VLOOKUP($C$463,'DB animal categories'!$C$167:$AC$176,25,FALSE)*VLOOKUP($C$463,'DB animal categories'!$C$167:$AC$176,26,FALSE)/24))*(1-'DB additional information '!$S$7/100)*(1-VLOOKUP(D467,'DB technologies'!$N$224:$Y$236,9,FALSE)/100))</f>
        <v/>
      </c>
      <c r="O467" s="445" t="str">
        <f>IF(D467="","",((VLOOKUP(D467,'DB technologies'!$N$224:$Y$236,4,FALSE)*E467*(1-'DB additional information '!$S$8/100)*(1-VLOOKUP(D467,'DB technologies'!$N$224:$Y$236,8,FALSE)/100))/VLOOKUP($C$463,'DB animal categories'!$C$167:$AC$176,27,FALSE)*(VLOOKUP($C$463,'DB animal categories'!$C$167:$AC$176,27,FALSE)-VLOOKUP($C$463,'DB animal categories'!$C$167:$AC$176,25,FALSE)*VLOOKUP($C$463,'DB animal categories'!$C$167:$AC$176,26,FALSE)/24)))</f>
        <v/>
      </c>
      <c r="P467" s="444" t="str">
        <f>IF(G467=0,0,IF(E467="","",IF(F467="","",IF($C$463=0,"",IF(D467="","",SUM(H467:K467)/G467*100)))))</f>
        <v/>
      </c>
      <c r="Q467" s="476" t="str">
        <f>IF(D467="","",(VLOOKUP(D467,'DB technologies'!$N$224:$Y$236,2,FALSE)*'DB additional information '!$S$6/100*'DB additional information '!$T$6*VLOOKUP($C$463,'DB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R467" s="476" t="str">
        <f>IF(D467="","",(VLOOKUP(D467,'DB technologies'!$N$224:$Y$236,3,FALSE)*'DB additional information '!$S$7/100*'DB additional information '!$T$7*VLOOKUP($C$463,'DB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S467" s="494" t="str">
        <f>IF(D467="","",(VLOOKUP(D467,'DB technologies'!$N$224:$Y$236,4,FALSE)*('DB additional information '!$S$8/100*'DB additional information '!$T$8*E467/1000/1000)))</f>
        <v/>
      </c>
      <c r="T467" s="266" t="str">
        <f>IF($C$463=0,"",IF('Calc (ex-animal)'!$F$88=1,"",IF(D467="","",((VLOOKUP($C$463,'Calc (ex-animal)'!$D$88:$Y$92,10,FALSE)-VLOOKUP($C$463,'Calc (ex-animal)'!$D$88:$Y$92,18,FALSE))*F467/100+Q467+R467+S467)-AC467-AD467-AE467)))</f>
        <v/>
      </c>
      <c r="U467" s="477" t="str">
        <f>IF(D467="","",(VLOOKUP(D467,'DB technologies'!$N$224:$Y$236,2,FALSE)*'DB additional information '!$S$6/100*'DB additional information '!$U$6*VLOOKUP($C$463,'DB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V467" s="433" t="str">
        <f>IF(D467="","",(VLOOKUP(D467,'DB technologies'!$N$224:$Y$236,3,FALSE)*'DB additional information '!$S$7/100*'DB additional information '!$U$7*VLOOKUP($C$463,'DB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W467" s="475" t="str">
        <f>IF(D467="","",(VLOOKUP(D467,'DB technologies'!$N$224:$Y$236,4,FALSE)*('DB additional information '!$S$8/100*'DB additional information '!$U$8*E467/1000/1000)))</f>
        <v/>
      </c>
      <c r="X467" s="267" t="str">
        <f>IF($C$463=0,"",IF('Calc (ex-animal)'!$F$88=1,"",IF(D467="","",((VLOOKUP($C$463,'Calc (ex-animal)'!$D$88:$Y$92,13,FALSE)-VLOOKUP($C$463,'Calc (ex-animal)'!$D$88:$Y$92,19,FALSE))*F467/100+U467+V467+W467))))</f>
        <v/>
      </c>
      <c r="Y467" s="433" t="str">
        <f>IF(D467="","",(VLOOKUP(D467,'DB technologies'!$N$224:$Y$236,2,FALSE)*'DB additional information '!$S$6/100*'DB additional information '!$V$6*VLOOKUP($C$463,'DB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Z467" s="433" t="str">
        <f>IF(D467="","",(VLOOKUP(D467,'DB technologies'!$N$224:$Y$236,3,FALSE)*'DB additional information '!$S$7/100*'DB additional information '!$V$7*VLOOKUP($C$463,'DB animal categories'!$C$167:$AC$176,27,FALSE)*E467/1000/1000)/VLOOKUP($C$463,'DB animal categories'!$C$167:$AC$176,27,FALSE)*(VLOOKUP($C$463,'DB animal categories'!$C$167:$AC$176,27,FALSE)-VLOOKUP($C$463,'DB animal categories'!$C$167:$AC$176,25,FALSE)*VLOOKUP($C$463,'DB animal categories'!$C$167:$AC$176,26,FALSE)/24))</f>
        <v/>
      </c>
      <c r="AA467" s="433" t="str">
        <f>IF(D467="","",(VLOOKUP(D467,'DB technologies'!$N$224:$Y$236,4,FALSE)*('DB additional information '!$S$8/100*'DB additional information '!$V$8*E467/1000/1000)))</f>
        <v/>
      </c>
      <c r="AB467" s="267" t="str">
        <f>IF($C$463=0,"",IF('Calc (ex-animal)'!$F$88=1,"",IF(D467="","",((VLOOKUP($C$463,'Calc (ex-animal)'!$D$88:$Y$92,16,FALSE)-VLOOKUP($C$463,'Calc (ex-animal)'!$D$88:$Y$92,20,FALSE))*F467/100+Y467+Z467+AA467))))</f>
        <v/>
      </c>
      <c r="AC467" s="267" t="str">
        <f>IF($C$463=0,"",IF('Calc (ex-animal)'!$F$88=1,"",IF(D467="","",VLOOKUP($C$463,'Calc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categories'!$C$167:$AC$176,26,FALSE)/24)*F467/100*VLOOKUP(D467,'DB technologies'!$N$224:$R$236,5,FALSE)/100)))</f>
        <v/>
      </c>
      <c r="AD467" s="267" t="str">
        <f>IF($C$463=0,"",IF('Calc (ex-animal)'!$F$88=1,"",IF(D467="","",VLOOKUP($C$463,'Calc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categories'!$C$167:$AC$176,26,FALSE)/24)*F467/100*VLOOKUP(D467,'DB technologies'!$N$224:$Y$236,6,FALSE)/100)))</f>
        <v/>
      </c>
      <c r="AE467" s="268" t="str">
        <f>IF($C$463=0,"",IF('Calc (ex-animal)'!$F$88=1,"",IF(D467="","",VLOOKUP($C$463,'Calc (ex-animal)'!$D$88:$Y$92,10,FALSE)/VLOOKUP($C$463,'DB animal categories'!$C$167:$AC$176,27,FALSE)*(VLOOKUP($C$463,'DB animal categories'!$C$167:$AC$176,27,FALSE)-VLOOKUP($C$463,'DB animal categories'!$C$167:$AC$176,25,FALSE)*VLOOKUP($C$463,'DB animal categories'!$C$167:$AC$176,26,FALSE)/24)*F467/100*VLOOKUP(D467,'DB technologies'!$N$224:$Y$236,7,FALSE)/100)))</f>
        <v/>
      </c>
      <c r="AI467" s="183" t="str">
        <f>IF(D467="","",VLOOKUP(D467,'DB technologies'!$N$224:$Y$236,10,FALSE))</f>
        <v/>
      </c>
      <c r="AJ467" s="451" t="e">
        <f>VLOOKUP($C$463,'DB animal categories'!$C$167:$AN$176,27,FALSE)-VLOOKUP($C$463,'DB animal categories'!$C$167:$AN$176,26,FALSE)*VLOOKUP($C$463,'DB animal categories'!$C$167:$AN$176,25,FALSE)/24</f>
        <v>#N/A</v>
      </c>
      <c r="AK467" s="452" t="str">
        <f>IF(AI467="","",AL467+AM467)</f>
        <v/>
      </c>
      <c r="AL467" s="452" t="str">
        <f>IF(D467="","",IF(AI467=2,(('Calc (ex-animal)'!$G$89*'DB additional information '!$K$19/100*(1-VLOOKUP(D467,'DB technologies'!$N$224:$Y$236,9,FALSE)/100)*'Calc (ex-housing, ex-storage)'!F467/100+'Calc (ex-animal)'!$H$89*'DB additional information '!$L$19/100*(1-VLOOKUP(D467,'DB technologies'!$N$224:$Y$236,9,FALSE)/100)*'Calc (ex-housing, ex-storage)'!F467/100))/VLOOKUP($C$463,'DB animal categories'!$C$167:$AC$176,27,FALSE)*AJ467+I467+J467+K467,IF(AI467=1,('Calc (ex-animal)'!$H$89*'DB additional information '!$L$19/100*(1-VLOOKUP(D467,'DB technologies'!$N$224:$Y$236,9,FALSE)/100)*'Calc (ex-housing, ex-storage)'!F467/100)/VLOOKUP($C$463,'DB animal categories'!$C$167:$AC$176,27,FALSE)*AJ467,IF(AI467=4,('Calc (ex-animal)'!$G$89*'DB additional information '!$K$19/100+'Calc (ex-animal)'!$H$89*'DB additional information '!$L$19/100)*(1-VLOOKUP(D467,'DB technologies'!$N$224:$Y$236,9,FALSE)/100)*'Calc (ex-housing, ex-storage)'!F467/100*VLOOKUP(D467,'DB technologies'!$N$224:$Y$236,11,FALSE)/100/VLOOKUP($C$463,'DB animal categories'!$C$167:$AC$176,27,FALSE)*AJ467,0))))</f>
        <v/>
      </c>
      <c r="AM467" s="452" t="str">
        <f>IF(D467="","",IF(AI467=2,(('Calc (ex-animal)'!$G$89*(1-'DB additional information '!$K$19/100)*(1-VLOOKUP(D467,'DB technologies'!$N$224:$Y$236,8,FALSE)/100)*'Calc (ex-housing, ex-storage)'!F467/100+'Calc (ex-animal)'!$H$89*(1-'DB additional information '!$L$19/100)*(1-VLOOKUP(D467,'DB technologies'!$N$224:$Y$236,8,FALSE)/100)*'Calc (ex-housing, ex-storage)'!F467/100))/VLOOKUP($C$463,'DB animal categories'!$C$167:$AC$176,27,FALSE)*AJ467+M467+N467+O467,IF(AI467=1,('Calc (ex-animal)'!$H$89*(1-'DB additional information '!$L$19/100)*(1-VLOOKUP(D467,'DB technologies'!$N$224:$Y$236,8,FALSE)/100)*'Calc (ex-housing, ex-storage)'!F467/100)/VLOOKUP($C$463,'DB animal categories'!$C$167:$AC$176,27,FALSE)*AJ467,IF(AI467=4,('Calc (ex-animal)'!$G$89*(1-'DB additional information '!$K$19/100)+'Calc (ex-animal)'!$H$89*(1-'DB additional information '!$L$19/100))*(1-VLOOKUP(D467,'DB technologies'!$N$224:$Y$236,8,FALSE)/100)*'Calc (ex-housing, ex-storage)'!F467/100*VLOOKUP(D467,'DB technologies'!$N$224:$Y$236,11,FALSE)/100/VLOOKUP($C$463,'DB animal categories'!$C$167:$AC$176,27,FALSE)*AJ467,0))))</f>
        <v/>
      </c>
      <c r="AN467" s="452" t="str">
        <f>IF(AI467="","",IF(AL467=0,0,AL467/AK467*100))</f>
        <v/>
      </c>
      <c r="AO467" s="184" t="str">
        <f>IF(D467="","",IF(AI467=2,(('Calc (ex-animal)'!$L$89*'Calc (ex-housing, ex-storage)'!F467/100+'Calc (ex-animal)'!$K$89*'Calc (ex-housing, ex-storage)'!F467/100))/VLOOKUP($C$463,'DB animal categories'!$C$167:$AC$176,27,FALSE)*AJ467+Q467+R467+S467-AC467,IF(AI467=1,('Calc (ex-animal)'!$L$89*'Calc (ex-housing, ex-storage)'!F467/100)/VLOOKUP($C$463,'DB animal categories'!$C$167:$AC$176,27,FALSE)*AJ467-'Calc (ex-housing, ex-storage)'!AC467,IF(AI467=4,('Calc (ex-animal)'!$L$89+'Calc (ex-animal)'!$K$89)*'Calc (ex-housing, ex-storage)'!F467/100*VLOOKUP(D467,'DB technologies'!$N$224:$Y$236,11,FALSE)/100/VLOOKUP($C$463,'DB animal categories'!$C$167:$AC$176,27,FALSE)*AJ467-AC467*VLOOKUP(D467,'DB technologies'!$N$224:$Y$236,11,FALSE)/100,0))))</f>
        <v/>
      </c>
      <c r="AP467" s="184" t="str">
        <f>IF(D467="","",IF(AO467&lt;-0.01,0,IF(AI467=2,(('Calc (ex-animal)'!$L$89*'Calc (ex-housing, ex-storage)'!F467/100+'Calc (ex-animal)'!$K$89*'Calc (ex-housing, ex-storage)'!F467/100))/VLOOKUP($C$463,'DB animal categories'!$C$167:$AC$176,27,FALSE)*AJ467+Q467+R467+S467-AC467,IF(AI467=1,('Calc (ex-animal)'!$L$89*'Calc (ex-housing, ex-storage)'!F467/100)/VLOOKUP($C$463,'DB animal categories'!$C$167:$AC$176,27,FALSE)*AJ467-'Calc (ex-housing, ex-storage)'!AC467,IF(AI467=4,('Calc (ex-animal)'!$L$89+'Calc (ex-animal)'!$K$89)*'Calc (ex-housing, ex-storage)'!F467/100*VLOOKUP(D467,'DB technologies'!$N$224:$Y$236,11,FALSE)/100/VLOOKUP($C$463,'DB animal categories'!$C$167:$AC$176,27,FALSE)*AJ467-AC467*VLOOKUP(D467,'DB technologies'!$N$224:$Y$236,11,FALSE)/100,0)))))</f>
        <v/>
      </c>
      <c r="AQ467" s="184" t="str">
        <f>IF(D467="","",IF(AI467=2,('Calc (ex-animal)'!$O$89*'Calc (ex-housing, ex-storage)'!F467/100+'Calc (ex-animal)'!$N$89*'Calc (ex-housing, ex-storage)'!F467/100)/VLOOKUP($C$463,'DB animal categories'!$C$167:$AC$176,27,FALSE)*AJ467+U467+V467+W467,IF(AI467=1,'Calc (ex-animal)'!$O$89*'Calc (ex-housing, ex-storage)'!F467/100/VLOOKUP($C$463,'DB animal categories'!$C$167:$AC$176,27,FALSE)*AJ467,IF(AI467=4,('Calc (ex-animal)'!$O$89+'Calc (ex-animal)'!$N$89)*'Calc (ex-housing, ex-storage)'!F467/100*VLOOKUP(D467,'DB technologies'!$N$224:$Y$236,11,FALSE)/100/VLOOKUP($C$463,'DB animal categories'!$C$167:$AC$176,27,FALSE)*AJ467,0))))</f>
        <v/>
      </c>
      <c r="AR467" s="184" t="str">
        <f>IF(D467="","",IF(AI467=2,('Calc (ex-animal)'!$R$89*'Calc (ex-housing, ex-storage)'!F467/100+'Calc (ex-animal)'!$Q$89*'Calc (ex-housing, ex-storage)'!F467/100)/VLOOKUP($C$463,'DB animal categories'!$C$167:$AC$176,27,FALSE)*AJ467+Y467+Z467+AA467,IF(AI467=1,'Calc (ex-animal)'!$R$89*'Calc (ex-housing, ex-storage)'!F467/100/VLOOKUP($C$463,'DB animal categories'!$C$167:$AC$176,27,FALSE)*AJ467,IF(AI467=4,('Calc (ex-animal)'!$R$89+'Calc (ex-animal)'!$Q$89)*'Calc (ex-housing, ex-storage)'!F467/100*VLOOKUP(D467,'DB technologies'!$N$224:$Y$236,11,FALSE)/100/VLOOKUP($C$463,'DB animal categories'!$C$167:$AC$176,27,FALSE)*AJ467,0))))</f>
        <v/>
      </c>
      <c r="AS467" s="183" t="str">
        <f>IF(D467="","",VLOOKUP(D467,'DB technologies'!$N$224:$Y$236,10,FALSE))</f>
        <v/>
      </c>
      <c r="AT467" s="452" t="str">
        <f>IF(AS467="","",AU467+AV467)</f>
        <v/>
      </c>
      <c r="AU467" s="452" t="str">
        <f>IF(D467="","",IF(AS467=2,0,IF(AS467=1,'Calc (ex-animal)'!$G$89*'DB additional information '!$K$19/100*(1-VLOOKUP(D467,'DB technologies'!$N$224:$Y$236,8,FALSE)/100)*'Calc (ex-housing, ex-storage)'!F467/100/VLOOKUP($C$463,'DB animal categories'!$C$167:$AC$176,27,FALSE)*AJ467+I467+J467+K467,IF(AS467=5,(('Calc (ex-animal)'!$G$89*'DB additional information '!$K$19/100+'Calc (ex-animal)'!$H$89*'DB additional information '!$L$19/100))*(1-VLOOKUP(D467,'DB technologies'!$N$224:$Y$236,9,FALSE)/100)*'Calc (ex-housing, ex-storage)'!F467/100/VLOOKUP($C$463,'DB animal categories'!$C$167:$AC$176,27,FALSE)*AJ467+I467+J467+K467,IF(AS467=3,('Calc (ex-animal)'!$G$89*'DB additional information '!$K$19/100+'Calc (ex-animal)'!$H$89*'DB additional information '!$L$19/100)*(1-VLOOKUP(D467,'DB technologies'!$N$224:$Y$236,9,FALSE)/100)*'Calc (ex-housing, ex-storage)'!F467/100/VLOOKUP($C$463,'DB animal categories'!$C$167:$AC$176,27,FALSE)*AJ467+I467+J467+K467,IF(AS467=4,('Calc (ex-animal)'!$G$89*'DB additional information '!$K$19/100+'Calc (ex-animal)'!$H$89*'DB additional information '!$L$19/100)*(1-VLOOKUP(D467,'DB technologies'!$N$224:$Y$236,9,FALSE)/100)*'Calc (ex-housing, ex-storage)'!F467/100*VLOOKUP(D467,'DB technologies'!$N$224:$Y$236,12,FALSE)/100/VLOOKUP($C$463,'DB animal categories'!$C$167:$AC$176,27,FALSE)*AJ467+I467+J467+K467,0))))))</f>
        <v/>
      </c>
      <c r="AV467" s="452" t="str">
        <f>IF(D467="","",IF(AS467=2,0,IF(AS467=1,'Calc (ex-animal)'!$G$89*(1-'DB additional information '!$K$19/100)*(1-VLOOKUP(D467,'DB technologies'!$N$224:$Y$236,8,FALSE)/100)*'Calc (ex-housing, ex-storage)'!F467/100/VLOOKUP($C$463,'DB animal categories'!$C$167:$AC$176,27,FALSE)*AJ467+M467+N467+O467,IF(AS467=5,('Calc (ex-animal)'!$G$89*(1-'DB additional information '!$K$19/100)+'Calc (ex-animal)'!$H$89*(1-'DB additional information '!$L$19/100))*(1-VLOOKUP(D467,'DB technologies'!$N$224:$Y$236,8,FALSE)/100)*'Calc (ex-housing, ex-storage)'!F467/100/VLOOKUP($C$463,'DB animal categories'!$C$167:$AC$176,27,FALSE)*AJ467+M467+N467+O467,IF(AS467=3,('Calc (ex-animal)'!$G$89*(1-'DB additional information '!$K$19/100)+'Calc (ex-animal)'!$H$89*(1-'DB additional information '!$L$19/100))*(1-VLOOKUP(D467,'DB technologies'!$N$224:$Y$236,8,FALSE)/100)*'Calc (ex-housing, ex-storage)'!F467/100/VLOOKUP($C$463,'DB animal categories'!$C$167:$AC$176,27,FALSE)*AJ467+M467+N467+O467,IF(AS467=4,('Calc (ex-animal)'!$G$89*(1-'DB additional information '!$K$19/100)+'Calc (ex-animal)'!$H$89*(1-'DB additional information '!$L$19/100))*(1-VLOOKUP(D467,'DB technologies'!$N$224:$Y$236,8,FALSE)/100)*'Calc (ex-housing, ex-storage)'!F467/100*VLOOKUP(D467,'DB technologies'!$N$224:$Y$236,12,FALSE)/100/VLOOKUP($C$463,'DB animal categories'!$C$167:$AC$176,27,FALSE)*AJ467+M467+N467+O467,0))))))</f>
        <v/>
      </c>
      <c r="AW467" s="452" t="str">
        <f>IF(AS467="","",IF(AU467=0,0,AU467/AT467*100))</f>
        <v/>
      </c>
      <c r="AX467" s="184" t="str">
        <f>IF(D467="","",IF(AS467=2,0,IF(AS467=1,'Calc (ex-animal)'!$K$89*'Calc (ex-housing, ex-storage)'!F467/100/VLOOKUP($C$463,'DB animal categories'!$C$167:$AC$176,27,FALSE)*AJ467+Q467+R467+S467,IF(AS467=5,('Calc (ex-animal)'!$K$89+'Calc (ex-animal)'!$L$89)*'Calc (ex-housing, ex-storage)'!F467/100/VLOOKUP($C$463,'DB animal categories'!$C$167:$AC$176,27,FALSE)*AJ467+Q467+R467+S467-'Calc (ex-housing, ex-storage)'!AC467,IF(AS467=3,('Calc (ex-animal)'!$K$89+'Calc (ex-animal)'!$L$89)*'Calc (ex-housing, ex-storage)'!F467/100/VLOOKUP($C$463,'DB animal categories'!$C$167:$AC$176,27,FALSE)*AJ467+Q467+R467+S467-'Calc (ex-housing, ex-storage)'!AC467-AD467-AE467,IF(AI467=4,('Calc (ex-animal)'!$K$89+'Calc (ex-animal)'!$L$89)*'Calc (ex-housing, ex-storage)'!F467/100*VLOOKUP(D467,'DB technologies'!$N$224:$Y$236,12,FALSE)/100/VLOOKUP($C$463,'DB animal categories'!$C$167:$AC$176,27,FALSE)*AJ467+Q467+R467+S467-(VLOOKUP(D467,'DB technologies'!$N$224:$Y$236,12,FALSE)/100*AC467)-AD467-AE467,0))))))</f>
        <v/>
      </c>
      <c r="AY467" s="184" t="str">
        <f>IF(D467="","",IF(AS467=2,0,IF(AS467=1,'Calc (ex-animal)'!$N$89*'Calc (ex-housing, ex-storage)'!F467/100/VLOOKUP($C$463,'DB animal categories'!$C$167:$AC$176,27,FALSE)*AJ467+U467+V467+W467,IF(AS467=5,('Calc (ex-animal)'!$N$89+'Calc (ex-animal)'!$O$89)*'Calc (ex-housing, ex-storage)'!F467/100/VLOOKUP($C$463,'DB animal categories'!$C$167:$AC$176,27,FALSE)*AJ467+U467+V467+W467,IF(AS467=3,('Calc (ex-animal)'!$N$89+'Calc (ex-animal)'!$O$89)*'Calc (ex-housing, ex-storage)'!F467/100/VLOOKUP($C$463,'DB animal categories'!$C$167:$AC$176,27,FALSE)*AJ467+U467+V467+W467,IF(AS467=4,('Calc (ex-animal)'!$N$89+'Calc (ex-animal)'!$O$89)*'Calc (ex-housing, ex-storage)'!F467/100*VLOOKUP(D467,'DB technologies'!$N$224:$Y$236,12,FALSE)/100/VLOOKUP($C$463,'DB animal categories'!$C$167:$AC$176,27,FALSE)*AJ467+U467+V467+W467,0))))))</f>
        <v/>
      </c>
      <c r="AZ467" s="184" t="str">
        <f>IF(D467="","",IF(AS467=2,0,IF(AS467=1,'Calc (ex-animal)'!$Q$89*'Calc (ex-housing, ex-storage)'!F467/100/VLOOKUP($C$463,'DB animal categories'!$C$167:$AC$176,27,FALSE)*AJ467+Y467+Z467+AA467,IF(AS467=5,('Calc (ex-animal)'!$Q$89+'Calc (ex-animal)'!$R$89)*'Calc (ex-housing, ex-storage)'!F467/100/VLOOKUP($C$463,'DB animal categories'!$C$167:$AC$176,27,FALSE)*AJ467+Y467+Z467+AA467,IF(AS467=3,('Calc (ex-animal)'!$Q$89+'Calc (ex-animal)'!$R$89)*'Calc (ex-housing, ex-storage)'!F467/100/VLOOKUP($C$463,'DB animal categories'!$C$167:$AC$176,27,FALSE)*AJ467+Y467+Z467+AA467,IF(AS467=4,('Calc (ex-animal)'!$Q$89+'Calc (ex-animal)'!$R$89)*'Calc (ex-housing, ex-storage)'!F467/100*VLOOKUP(D467,'DB technologies'!$N$224:$Y$236,12,FALSE)/100/VLOOKUP($C$463,'DB animal categories'!$C$167:$AC$176,27,FALSE)*AJ467+Y467+Z467+AA467,0))))))</f>
        <v/>
      </c>
      <c r="BA467" s="506"/>
      <c r="BB467" s="506"/>
      <c r="BC467" s="506"/>
    </row>
    <row r="468" spans="1:55" ht="12" thickBot="1" x14ac:dyDescent="0.25">
      <c r="A468" s="695"/>
      <c r="B468" s="695"/>
      <c r="C468" s="252"/>
      <c r="D468" s="269" t="s">
        <v>58</v>
      </c>
      <c r="E468" s="270">
        <f>IF('Calc (ex-animal)'!F89=1,'Calc (ex-animal)'!E89,IF(F468&lt;=100,SUM(E463:E467),"ERROR"))</f>
        <v>0</v>
      </c>
      <c r="F468" s="284">
        <f>IF('Calc (ex-animal)'!F89=1,100,IF(SUM(F463:F467) &lt;=100,SUM(F463:F467),"ERROR, SUM&gt;100%"))</f>
        <v>0</v>
      </c>
      <c r="G468" s="550">
        <f>IF('Calc (ex-animal)'!$F$88=1,"",SUM(G463:G467))</f>
        <v>0</v>
      </c>
      <c r="H468" s="418">
        <f>IF('Calc (ex-animal)'!$F$8=1,"",SUM(H463:H467))</f>
        <v>0</v>
      </c>
      <c r="I468" s="418">
        <f>IF('Calc (ex-animal)'!$F$8=1,"",SUM(I463:I467))</f>
        <v>0</v>
      </c>
      <c r="J468" s="418">
        <f>IF('Calc (ex-animal)'!$F$8=1,"",SUM(J463:J467))</f>
        <v>0</v>
      </c>
      <c r="K468" s="418">
        <f>IF('Calc (ex-animal)'!$F$8=1,"",SUM(K463:K467))</f>
        <v>0</v>
      </c>
      <c r="L468" s="418">
        <f>IF('Calc (ex-animal)'!$F$8=1,"",SUM(L463:L467))</f>
        <v>0</v>
      </c>
      <c r="M468" s="551"/>
      <c r="N468" s="551"/>
      <c r="O468" s="551"/>
      <c r="P468" s="552">
        <f>IF(G468=0,0,IF('Calc (ex-animal)'!$F$88=1,"",IF(D468="","",SUM(H468:K468)/G468*100)))</f>
        <v>0</v>
      </c>
      <c r="Q468" s="394"/>
      <c r="R468" s="394"/>
      <c r="S468" s="394"/>
      <c r="T468" s="285">
        <f>IF('Calc (ex-animal)'!$F$89=1,"",SUM(T463:T467))</f>
        <v>0</v>
      </c>
      <c r="U468" s="286"/>
      <c r="V468" s="286"/>
      <c r="W468" s="286"/>
      <c r="X468" s="286">
        <f>IF('Calc (ex-animal)'!$F$89=1,"",SUM(X463:X467))</f>
        <v>0</v>
      </c>
      <c r="Y468" s="286"/>
      <c r="Z468" s="286"/>
      <c r="AA468" s="286"/>
      <c r="AB468" s="286">
        <f>IF('Calc (ex-animal)'!$F$89=1,"",SUM(AB463:AB467))</f>
        <v>0</v>
      </c>
      <c r="AC468" s="286">
        <f>IF('Calc (ex-animal)'!$F$89=1,"",SUM(AC463:AC467))</f>
        <v>0</v>
      </c>
      <c r="AD468" s="286">
        <f>IF('Calc (ex-animal)'!$F$89=1,"",SUM(AD463:AD467))</f>
        <v>0</v>
      </c>
      <c r="AE468" s="287">
        <f>IF('Calc (ex-animal)'!$F$89=1,"",SUM(AE463:AE467))</f>
        <v>0</v>
      </c>
    </row>
    <row r="469" spans="1:55" x14ac:dyDescent="0.2">
      <c r="A469" s="695"/>
      <c r="B469" s="695"/>
      <c r="C469" s="250">
        <f>'Calc (ex-animal)'!D90</f>
        <v>0</v>
      </c>
      <c r="D469" s="1355"/>
      <c r="E469" s="1356"/>
      <c r="F469" s="479" t="str">
        <f>IF('Calc (ex-animal)'!$F$88=1,"",IF($C$469=0,"",IF(D469="","",E469/'Calc (ex-animal)'!$E$90*100)))</f>
        <v/>
      </c>
      <c r="G469" s="484" t="str">
        <f>IF($C$469=0,"",IF('Calc (ex-animal)'!$F$88=1,"",IF(D469="","",SUM(H469:O469))))</f>
        <v/>
      </c>
      <c r="H469" s="471" t="str">
        <f>IF('Calc (ex-animal)'!$F$88=1,"",IF(D469="","",(((VLOOKUP($C$469,'Calc (ex-animal)'!$D$88:$Y$92,6,FALSE)-VLOOKUP($C$469,'Calc (ex-animal)'!$D$88:$Y$92,17,FALSE))*F469/100))*VLOOKUP($C$469,'Calc (ex-animal)'!$D$88:$Y$92,7,FALSE)/100*(1-VLOOKUP(D469,'DB technologies'!$N$224:$Y$236,9,FALSE)/100)))</f>
        <v/>
      </c>
      <c r="I469" s="471" t="str">
        <f>IF(D469="","",((VLOOKUP(D469,'DB technologies'!$N$224:$Y$236,2,FALSE)*VLOOKUP($C$469,'DB animal categories'!$C$167:$AC$176,27,FALSE)*E469/1000)/VLOOKUP($C$469,'DB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'!$S$6/100*(1-VLOOKUP(D469,'DB technologies'!$N$224:$Y$236,9,FALSE)/100)))</f>
        <v/>
      </c>
      <c r="J469" s="472" t="str">
        <f>IF(D469="","",((VLOOKUP(D469,'DB technologies'!$N$224:$Y$236,3,FALSE)*VLOOKUP($C$469,'DB animal categories'!$C$167:$AC$176,27,FALSE)*E469/1000)/VLOOKUP($C$469,'DB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'!$S$7/100*(1-VLOOKUP(D469,'DB technologies'!$N$224:$Y$236,9,FALSE)/100)))</f>
        <v/>
      </c>
      <c r="K469" s="472" t="str">
        <f>IF(D469="","",((VLOOKUP(D469,'DB technologies'!$N$224:$Y$236,4,FALSE)*E469*'DB additional information '!$S$8/100*(1-VLOOKUP(D469,'DB technologies'!$N$224:$Y$236,9,FALSE)/100))/VLOOKUP($C$469,'DB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L469" s="471" t="str">
        <f>IF('Calc (ex-animal)'!$F$88=1,"",IF(D469="","",(((VLOOKUP($C$469,'Calc (ex-animal)'!$D$88:$Y$92,6,FALSE)-VLOOKUP($C$469,'Calc (ex-animal)'!$D$88:$Y$92,17,FALSE))*F469/100))*(1-VLOOKUP($C$469,'Calc (ex-animal)'!$D$88:$Y$92,7,FALSE)/100)*(1-VLOOKUP(D469,'DB technologies'!$N$224:$V$236,8,FALSE)/100)))</f>
        <v/>
      </c>
      <c r="M469" s="472" t="str">
        <f>IF(D469="","",((VLOOKUP(D469,'DB technologies'!$N$224:$Y$236,2,FALSE)*VLOOKUP($C$469,'DB animal categories'!$C$167:$AC$176,27,FALSE)*E469/1000)/VLOOKUP($C$469,'DB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'!$S$6/100)*(1-VLOOKUP(D469,'DB technologies'!$N$224:$Y$236,9,FALSE)/100))</f>
        <v/>
      </c>
      <c r="N469" s="472" t="str">
        <f>IF(D469="","",((VLOOKUP(D469,'DB technologies'!$N$224:$Y$236,3,FALSE)*VLOOKUP($C$469,'DB animal categories'!$C$167:$AC$176,27,FALSE)*E469/1000)/VLOOKUP($C$469,'DB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'!$S$7/100)*(1-VLOOKUP(D469,'DB technologies'!$N$224:$Y$236,9,FALSE)/100))</f>
        <v/>
      </c>
      <c r="O469" s="471" t="str">
        <f>IF(D469="","",((VLOOKUP(D469,'DB technologies'!$N$224:$Y$236,4,FALSE)*E469*(1-'DB additional information '!$S$8/100)*(1-VLOOKUP(D469,'DB technologies'!$N$224:$Y$236,8,FALSE)/100))/VLOOKUP($C$469,'DB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P469" s="443" t="str">
        <f>IF(G469=0,0,IF(E469="","",IF(F469="","",IF($C$469=0,"",IF(D469="","",SUM(H469:K469)/G469*100)))))</f>
        <v/>
      </c>
      <c r="Q469" s="473" t="str">
        <f>IF(D469="","",(VLOOKUP(D469,'DB technologies'!$N$224:$Y$236,2,FALSE)*'DB additional information '!$S$6/100*'DB additional information '!$T$6*VLOOKUP($C$469,'DB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R469" s="473" t="str">
        <f>IF(D469="","",(VLOOKUP(D469,'DB technologies'!$N$224:$Y$236,3,FALSE)*'DB additional information '!$S$7/100*'DB additional information '!$T$7*VLOOKUP($C$469,'DB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S469" s="490" t="str">
        <f>IF(D469="","",(VLOOKUP(D469,'DB technologies'!$N$224:$Y$236,4,FALSE)*('DB additional information '!$S$8/100*'DB additional information '!$T$8*E469/1000/1000)))</f>
        <v/>
      </c>
      <c r="T469" s="263" t="str">
        <f>IF($C$469=0,"",IF('Calc (ex-animal)'!$F$88=1,"",IF(D469="","",((VLOOKUP($C$469,'Calc (ex-animal)'!$D$88:$Y$92,10,FALSE)-VLOOKUP($C$469,'Calc (ex-animal)'!$D$88:$Y$92,18,FALSE))*F469/100+Q469+R469+S469)-AC469-AD469-AE469)))</f>
        <v/>
      </c>
      <c r="U469" s="474" t="str">
        <f>IF(D469="","",(VLOOKUP(D469,'DB technologies'!$N$224:$Y$236,2,FALSE)*'DB additional information '!$S$6/100*'DB additional information '!$U$6*VLOOKUP($C$469,'DB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V469" s="420" t="str">
        <f>IF(D469="","",(VLOOKUP(D469,'DB technologies'!$N$224:$Y$236,3,FALSE)*'DB additional information '!$S$7/100*'DB additional information '!$U$7*VLOOKUP($C$469,'DB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W469" s="415" t="str">
        <f>IF(D469="","",(VLOOKUP(D469,'DB technologies'!$N$224:$Y$236,4,FALSE)*('DB additional information '!$S$8/100*'DB additional information '!$U$8*E469/1000/1000)))</f>
        <v/>
      </c>
      <c r="X469" s="259" t="str">
        <f>IF($C$469=0,"",IF('Calc (ex-animal)'!$F$88=1,"",IF(D469="","",((VLOOKUP($C$469,'Calc (ex-animal)'!$D$88:$Y$92,13,FALSE)-VLOOKUP($C$469,'Calc (ex-animal)'!$D$88:$Y$92,19,FALSE))*F469/100+U469+V469+W469))))</f>
        <v/>
      </c>
      <c r="Y469" s="420" t="str">
        <f>IF(D469="","",(VLOOKUP(D469,'DB technologies'!$N$224:$Y$236,2,FALSE)*'DB additional information '!$S$6/100*'DB additional information '!$V$6*VLOOKUP($C$469,'DB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Z469" s="420" t="str">
        <f>IF(D469="","",(VLOOKUP(D469,'DB technologies'!$N$224:$Y$236,3,FALSE)*'DB additional information '!$S$7/100*'DB additional information '!$V$7*VLOOKUP($C$469,'DB animal categories'!$C$167:$AC$176,27,FALSE)*E469/1000/1000)/VLOOKUP($C$469,'DB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AA469" s="420" t="str">
        <f>IF(D469="","",(VLOOKUP(D469,'DB technologies'!$N$224:$Y$236,4,FALSE)*('DB additional information '!$S$8/100*'DB additional information '!$V$8*E469/1000/1000)))</f>
        <v/>
      </c>
      <c r="AB469" s="259" t="str">
        <f>IF($C$469=0,"",IF('Calc (ex-animal)'!$F$88=1,"",IF(D469="","",((VLOOKUP($C$469,'Calc (ex-animal)'!$D$88:$Y$92,16,FALSE)-VLOOKUP($C$469,'Calc (ex-animal)'!$D$88:$Y$92,20,FALSE))*F469/100+Y469+Z469+AA469))))</f>
        <v/>
      </c>
      <c r="AC469" s="259" t="str">
        <f>IF($C$469=0,"",IF('Calc (ex-animal)'!$F$88=1,"",IF(D469="","",VLOOKUP($C$469,'Calc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categories'!$C$167:$AC$176,26,FALSE)/24)*F469/100*VLOOKUP(D469,'DB technologies'!$N$224:$R$236,5,FALSE)/100)))</f>
        <v/>
      </c>
      <c r="AD469" s="259" t="str">
        <f>IF($C$469=0,"",IF('Calc (ex-animal)'!$F$88=1,"",IF(D469="","",VLOOKUP($C$469,'Calc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categories'!$C$167:$AC$176,26,FALSE)/24)*F469/100*VLOOKUP(D469,'DB technologies'!$N$224:$Y$236,6,FALSE)/100)))</f>
        <v/>
      </c>
      <c r="AE469" s="260" t="str">
        <f>IF($C$469=0,"",IF('Calc (ex-animal)'!$F$88=1,"",IF(D469="","",VLOOKUP($C$469,'Calc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categories'!$C$167:$AC$176,26,FALSE)/24)*F469/100*VLOOKUP(D469,'DB technologies'!$N$224:$Y$236,7,FALSE)/100)))</f>
        <v/>
      </c>
      <c r="AI469" s="179" t="str">
        <f>IF(D469="","",VLOOKUP(D469,'DB technologies'!$N$224:$Y$236,10,FALSE))</f>
        <v/>
      </c>
      <c r="AJ469" s="482" t="e">
        <f>VLOOKUP($C$469,'DB animal categories'!$C$167:$AN$176,27,FALSE)-VLOOKUP($C$469,'DB animal categories'!$C$167:$AN$176,26,FALSE)*VLOOKUP($C$469,'DB animal categories'!$C$167:$AN$176,25,FALSE)/24</f>
        <v>#N/A</v>
      </c>
      <c r="AK469" s="453" t="str">
        <f>IF(AI469="","",AL469+AM469)</f>
        <v/>
      </c>
      <c r="AL469" s="453" t="str">
        <f>IF(D469="","",IF(AI469=2,(('Calc (ex-animal)'!$G$90*'DB additional information '!$K$19/100*(1-VLOOKUP(D469,'DB technologies'!$N$224:$Y$236,9,FALSE)/100)*'Calc (ex-housing, ex-storage)'!F469/100+'Calc (ex-animal)'!$H$90*'DB additional information '!$L$19/100*(1-VLOOKUP(D469,'DB technologies'!$N$224:$Y$236,9,FALSE)/100)*'Calc (ex-housing, ex-storage)'!F469/100))/VLOOKUP($C$469,'DB animal categories'!$C$167:$AC$176,27,FALSE)*AJ469+I469+J469+K469,IF(AI469=1,('Calc (ex-animal)'!$H$90*'DB additional information '!$L$19/100*(1-VLOOKUP(D469,'DB technologies'!$N$224:$Y$236,9,FALSE)/100)*'Calc (ex-housing, ex-storage)'!F469/100)/VLOOKUP($C$469,'DB animal categories'!$C$167:$AC$176,27,FALSE)*AJ469,IF(AI469=4,('Calc (ex-animal)'!$G$90*'DB additional information '!$K$19/100+'Calc (ex-animal)'!$H$90*'DB additional information '!$L$19/100)*(1-VLOOKUP(D469,'DB technologies'!$N$224:$Y$236,9,FALSE)/100)*'Calc (ex-housing, ex-storage)'!F469/100*VLOOKUP(D469,'DB technologies'!$N$224:$Y$236,11,FALSE)/100/VLOOKUP($C$469,'DB animal categories'!$C$167:$AC$176,27,FALSE)*AJ469,0))))</f>
        <v/>
      </c>
      <c r="AM469" s="453" t="str">
        <f>IF(D469="","",IF(AI469=2,(('Calc (ex-animal)'!$G$90*(1-'DB additional information '!$K$19/100)*(1-VLOOKUP(D469,'DB technologies'!$N$224:$Y$236,8,FALSE)/100)*'Calc (ex-housing, ex-storage)'!F469/100+'Calc (ex-animal)'!$H$90*(1-'DB additional information '!$L$19/100)*(1-VLOOKUP(D469,'DB technologies'!$N$224:$Y$236,8,FALSE)/100)*'Calc (ex-housing, ex-storage)'!F469/100))/VLOOKUP($C$469,'DB animal categories'!$C$167:$AC$176,27,FALSE)*AJ469+M469+N469+O469,IF(AI469=1,('Calc (ex-animal)'!$H$90*(1-'DB additional information '!$L$19/100)*(1-VLOOKUP(D469,'DB technologies'!$N$224:$Y$236,8,FALSE)/100)*'Calc (ex-housing, ex-storage)'!F469/100)/VLOOKUP($C$469,'DB animal categories'!$C$167:$AC$176,27,FALSE)*AJ469,IF(AI469=4,('Calc (ex-animal)'!$G$90*(1-'DB additional information '!$K$19/100)+'Calc (ex-animal)'!$H$90*(1-'DB additional information '!$L$19/100))*(1-VLOOKUP(D469,'DB technologies'!$N$224:$Y$236,8,FALSE)/100)*'Calc (ex-housing, ex-storage)'!F469/100*VLOOKUP(D469,'DB technologies'!$N$224:$Y$236,11,FALSE)/100/VLOOKUP($C$469,'DB animal categories'!$C$167:$AC$176,27,FALSE)*AJ469,0))))</f>
        <v/>
      </c>
      <c r="AN469" s="453" t="str">
        <f>IF(AI469="","",IF(AL469=0,0,AL469/AK469*100))</f>
        <v/>
      </c>
      <c r="AO469" s="180" t="str">
        <f>IF(D469="","",IF(AI469=2,(('Calc (ex-animal)'!$L$90*'Calc (ex-housing, ex-storage)'!F469/100+'Calc (ex-animal)'!$K$90*'Calc (ex-housing, ex-storage)'!F469/100))/VLOOKUP($C$469,'DB animal categories'!$C$167:$AC$176,27,FALSE)*AJ469+Q469+R469+S469-AC469,IF(AI469=1,('Calc (ex-animal)'!$L$90*'Calc (ex-housing, ex-storage)'!F469/100)/VLOOKUP($C$469,'DB animal categories'!$C$167:$AC$176,27,FALSE)*AJ469-'Calc (ex-housing, ex-storage)'!AC469,IF(AI469=4,('Calc (ex-animal)'!$L$90+'Calc (ex-animal)'!$K$90)*'Calc (ex-housing, ex-storage)'!F469/100*VLOOKUP(D469,'DB technologies'!$N$224:$Y$236,11,FALSE)/100/VLOOKUP($C$469,'DB animal categories'!$C$167:$AC$176,27,FALSE)*AJ469-AC469*VLOOKUP(D469,'DB technologies'!$N$224:$Y$236,11,FALSE)/100,0))))</f>
        <v/>
      </c>
      <c r="AP469" s="180" t="str">
        <f>IF(D469="","",IF(AO469&lt;-0.01,0,IF(AI469=2,(('Calc (ex-animal)'!$L$90*'Calc (ex-housing, ex-storage)'!F469/100+'Calc (ex-animal)'!$K$90*'Calc (ex-housing, ex-storage)'!F469/100))/VLOOKUP($C$469,'DB animal categories'!$C$167:$AC$176,27,FALSE)*AJ469+Q469+R469+S469-AC469,IF(AI469=1,('Calc (ex-animal)'!$L$90*'Calc (ex-housing, ex-storage)'!F469/100)/VLOOKUP($C$469,'DB animal categories'!$C$167:$AC$176,27,FALSE)*AJ469-'Calc (ex-housing, ex-storage)'!AC469,IF(AI469=4,('Calc (ex-animal)'!$L$90+'Calc (ex-animal)'!$K$90)*'Calc (ex-housing, ex-storage)'!F469/100*VLOOKUP(D469,'DB technologies'!$N$224:$Y$236,11,FALSE)/100/VLOOKUP($C$469,'DB animal categories'!$C$167:$AC$176,27,FALSE)*AJ469-AC469*VLOOKUP(D469,'DB technologies'!$N$224:$Y$236,11,FALSE)/100,0)))))</f>
        <v/>
      </c>
      <c r="AQ469" s="180" t="str">
        <f>IF(D469="","",IF(AI469=2,('Calc (ex-animal)'!$O$90*'Calc (ex-housing, ex-storage)'!F469/100+'Calc (ex-animal)'!$N$90*'Calc (ex-housing, ex-storage)'!F469/100)/VLOOKUP($C$469,'DB animal categories'!$C$167:$AC$176,27,FALSE)*AJ469+U469+V469+W469,IF(AI469=1,'Calc (ex-animal)'!$O$90*'Calc (ex-housing, ex-storage)'!F469/100/VLOOKUP($C$469,'DB animal categories'!$C$167:$AC$176,27,FALSE)*AJ469,IF(AI469=4,('Calc (ex-animal)'!$O$90+'Calc (ex-animal)'!$N$90)*'Calc (ex-housing, ex-storage)'!F469/100*VLOOKUP(D469,'DB technologies'!$N$224:$Y$236,11,FALSE)/100/VLOOKUP($C$469,'DB animal categories'!$C$167:$AC$176,27,FALSE)*AJ469,0))))</f>
        <v/>
      </c>
      <c r="AR469" s="180" t="str">
        <f>IF(D469="","",IF(AI469=2,('Calc (ex-animal)'!$R$90*'Calc (ex-housing, ex-storage)'!F469/100+'Calc (ex-animal)'!$Q$90*'Calc (ex-housing, ex-storage)'!F469/100)/VLOOKUP($C$469,'DB animal categories'!$C$167:$AC$176,27,FALSE)*AJ469+Y469+Z469+AA469,IF(AI469=1,'Calc (ex-animal)'!$R$90*'Calc (ex-housing, ex-storage)'!F469/100/VLOOKUP($C$469,'DB animal categories'!$C$167:$AC$176,27,FALSE)*AJ469,IF(AI469=4,('Calc (ex-animal)'!$R$90+'Calc (ex-animal)'!$Q$90)*'Calc (ex-housing, ex-storage)'!F469/100*VLOOKUP(D469,'DB technologies'!$N$224:$Y$236,11,FALSE)/100/VLOOKUP($C$469,'DB animal categories'!$C$167:$AC$176,27,FALSE)*AJ469,0))))</f>
        <v/>
      </c>
      <c r="AS469" s="179" t="str">
        <f>IF(D469="","",VLOOKUP(D469,'DB technologies'!$N$224:$Y$236,10,FALSE))</f>
        <v/>
      </c>
      <c r="AT469" s="453" t="str">
        <f>IF(AS469="","",AU469+AV469)</f>
        <v/>
      </c>
      <c r="AU469" s="453" t="str">
        <f>IF(D469="","",IF(AS469=2,0,IF(AS469=1,'Calc (ex-animal)'!$G$90*'DB additional information '!$K$19/100*(1-VLOOKUP(D469,'DB technologies'!$N$224:$Y$236,8,FALSE)/100)*'Calc (ex-housing, ex-storage)'!F469/100/VLOOKUP($C$469,'DB animal categories'!$C$167:$AC$176,27,FALSE)*AJ469+I469+J469+K469,IF(AS469=5,(('Calc (ex-animal)'!$G$90*'DB additional information '!$K$19/100+'Calc (ex-animal)'!$H$90*'DB additional information '!$L$19/100))*(1-VLOOKUP(D469,'DB technologies'!$N$224:$Y$236,9,FALSE)/100)*'Calc (ex-housing, ex-storage)'!F469/100/VLOOKUP($C$469,'DB animal categories'!$C$167:$AC$176,27,FALSE)*AJ469+I469+J469+K469,IF(AS469=3,('Calc (ex-animal)'!$G$90*'DB additional information '!$K$19/100+'Calc (ex-animal)'!$H$90*'DB additional information '!$L$19/100)*(1-VLOOKUP(D469,'DB technologies'!$N$224:$Y$236,9,FALSE)/100)*'Calc (ex-housing, ex-storage)'!F469/100/VLOOKUP($C$469,'DB animal categories'!$C$167:$AC$176,27,FALSE)*AJ469+I469+J469+K469,IF(AS469=4,('Calc (ex-animal)'!$G$90*'DB additional information '!$K$19/100+'Calc (ex-animal)'!$H$90*'DB additional information '!$L$19/100)*(1-VLOOKUP(D469,'DB technologies'!$N$224:$Y$236,9,FALSE)/100)*'Calc (ex-housing, ex-storage)'!F469/100*VLOOKUP(D469,'DB technologies'!$N$224:$Y$236,12,FALSE)/100/VLOOKUP($C$469,'DB animal categories'!$C$167:$AC$176,27,FALSE)*AJ469+I469+J469+K469,0))))))</f>
        <v/>
      </c>
      <c r="AV469" s="453" t="str">
        <f>IF(D469="","",IF(AS469=2,0,IF(AS469=1,'Calc (ex-animal)'!$G$90*(1-'DB additional information '!$K$19/100)*(1-VLOOKUP(D469,'DB technologies'!$N$224:$Y$236,8,FALSE)/100)*'Calc (ex-housing, ex-storage)'!F469/100/VLOOKUP($C$469,'DB animal categories'!$C$167:$AC$176,27,FALSE)*AJ469+M469+N469+O469,IF(AS469=5,('Calc (ex-animal)'!$G$90*(1-'DB additional information '!$K$19/100)+'Calc (ex-animal)'!$H$90*(1-'DB additional information '!$L$19/100))*(1-VLOOKUP(D469,'DB technologies'!$N$224:$Y$236,8,FALSE)/100)*'Calc (ex-housing, ex-storage)'!F469/100/VLOOKUP($C$469,'DB animal categories'!$C$167:$AC$176,27,FALSE)*AJ469+M469+N469+O469,IF(AS469=3,('Calc (ex-animal)'!$G$90*(1-'DB additional information '!$K$19/100)+'Calc (ex-animal)'!$H$90*(1-'DB additional information '!$L$19/100))*(1-VLOOKUP(D469,'DB technologies'!$N$224:$Y$236,8,FALSE)/100)*'Calc (ex-housing, ex-storage)'!F469/100/VLOOKUP($C$469,'DB animal categories'!$C$167:$AC$176,27,FALSE)*AJ469+M469+N469+O469,IF(AS469=4,('Calc (ex-animal)'!$G$90*(1-'DB additional information '!$K$19/100)+'Calc (ex-animal)'!$H$90*(1-'DB additional information '!$L$19/100))*(1-VLOOKUP(D469,'DB technologies'!$N$224:$Y$236,8,FALSE)/100)*'Calc (ex-housing, ex-storage)'!F469/100*VLOOKUP(D469,'DB technologies'!$N$224:$Y$236,12,FALSE)/100/VLOOKUP($C$469,'DB animal categories'!$C$167:$AC$176,27,FALSE)*AJ469+M469+N469+O469,0))))))</f>
        <v/>
      </c>
      <c r="AW469" s="453" t="str">
        <f>IF(AS469="","",IF(AU469=0,0,AU469/AT469*100))</f>
        <v/>
      </c>
      <c r="AX469" s="180" t="str">
        <f>IF(D469="","",IF(AS469=2,0,IF(AS469=1,'Calc (ex-animal)'!$K$90*'Calc (ex-housing, ex-storage)'!F469/100/VLOOKUP($C$469,'DB animal categories'!$C$167:$AC$176,27,FALSE)*AJ469+Q469+R469+S469,IF(AS469=5,('Calc (ex-animal)'!$K$90+'Calc (ex-animal)'!$L$90)*'Calc (ex-housing, ex-storage)'!F469/100/VLOOKUP($C$469,'DB animal categories'!$C$167:$AC$176,27,FALSE)*AJ469+Q469+R469+S469-'Calc (ex-housing, ex-storage)'!AC469,IF(AS469=3,('Calc (ex-animal)'!$K$90+'Calc (ex-animal)'!$L$90)*'Calc (ex-housing, ex-storage)'!F469/100/VLOOKUP($C$469,'DB animal categories'!$C$167:$AC$176,27,FALSE)*AJ469+Q469+R469+S469-'Calc (ex-housing, ex-storage)'!AC469-AD469-AE469,IF(AI469=4,('Calc (ex-animal)'!$K$90+'Calc (ex-animal)'!$L$90)*'Calc (ex-housing, ex-storage)'!F469/100*VLOOKUP(D469,'DB technologies'!$N$224:$Y$236,12,FALSE)/100/VLOOKUP($C$469,'DB animal categories'!$C$167:$AC$176,27,FALSE)*AJ469+Q469+R469+S469-(VLOOKUP(D469,'DB technologies'!$N$224:$Y$236,12,FALSE)/100*AC469)-AD469-AE469,0))))))</f>
        <v/>
      </c>
      <c r="AY469" s="180" t="str">
        <f>IF(D469="","",IF(AS469=2,0,IF(AS469=1,'Calc (ex-animal)'!$N$90*'Calc (ex-housing, ex-storage)'!F469/100/VLOOKUP($C$469,'DB animal categories'!$C$167:$AC$176,27,FALSE)*AJ469+U469+V469+W469,IF(AS469=5,('Calc (ex-animal)'!$N$90+'Calc (ex-animal)'!$O$90)*'Calc (ex-housing, ex-storage)'!F469/100/VLOOKUP($C$469,'DB animal categories'!$C$167:$AC$176,27,FALSE)*AJ469+U469+V469+W469,IF(AS469=3,('Calc (ex-animal)'!$N$90+'Calc (ex-animal)'!$O$90)*'Calc (ex-housing, ex-storage)'!F469/100/VLOOKUP($C$469,'DB animal categories'!$C$167:$AC$176,27,FALSE)*AJ469+U469+V469+W469,IF(AS469=4,('Calc (ex-animal)'!$N$90+'Calc (ex-animal)'!$O$90)*'Calc (ex-housing, ex-storage)'!F469/100*VLOOKUP(D469,'DB technologies'!$N$224:$Y$236,12,FALSE)/100/VLOOKUP($C$469,'DB animal categories'!$C$167:$AC$176,27,FALSE)*AJ469+U469+V469+W469,0))))))</f>
        <v/>
      </c>
      <c r="AZ469" s="180" t="str">
        <f>IF(D469="","",IF(AS469=2,0,IF(AS469=1,'Calc (ex-animal)'!$Q$90*'Calc (ex-housing, ex-storage)'!F469/100/VLOOKUP($C$469,'DB animal categories'!$C$167:$AC$176,27,FALSE)*AJ469+Y469+Z469+AA469,IF(AS469=5,('Calc (ex-animal)'!$Q$90+'Calc (ex-animal)'!$R$90)*'Calc (ex-housing, ex-storage)'!F469/100/VLOOKUP($C$469,'DB animal categories'!$C$167:$AC$176,27,FALSE)*AJ469+Y469+Z469+AA469,IF(AS469=3,('Calc (ex-animal)'!$Q$90+'Calc (ex-animal)'!$R$90)*'Calc (ex-housing, ex-storage)'!F469/100/VLOOKUP($C$469,'DB animal categories'!$C$167:$AC$176,27,FALSE)*AJ469+Y469+Z469+AA469,IF(AS469=4,('Calc (ex-animal)'!$Q$90+'Calc (ex-animal)'!$R$90)*'Calc (ex-housing, ex-storage)'!F469/100*VLOOKUP(D469,'DB technologies'!$N$224:$Y$236,12,FALSE)/100/VLOOKUP($C$469,'DB animal categories'!$C$167:$AC$176,27,FALSE)*AJ469+Y469+Z469+AA469,0))))))</f>
        <v/>
      </c>
      <c r="BA469" s="506"/>
      <c r="BB469" s="506"/>
      <c r="BC469" s="506"/>
    </row>
    <row r="470" spans="1:55" x14ac:dyDescent="0.2">
      <c r="A470" s="695"/>
      <c r="B470" s="695"/>
      <c r="C470" s="251"/>
      <c r="D470" s="1357"/>
      <c r="E470" s="1358"/>
      <c r="F470" s="480" t="str">
        <f>IF('Calc (ex-animal)'!$F$88=1,"",IF($C$469=0,"",IF(D470="","",E470/'Calc (ex-animal)'!$E$90*100)))</f>
        <v/>
      </c>
      <c r="G470" s="485" t="str">
        <f>IF($C$469=0,"",IF('Calc (ex-animal)'!$F$88=1,"",IF(D470="","",SUM(H470:O470))))</f>
        <v/>
      </c>
      <c r="H470" s="423" t="str">
        <f>IF('Calc (ex-animal)'!$F$88=1,"",IF(D470="","",(((VLOOKUP($C$469,'Calc (ex-animal)'!$D$88:$Y$92,6,FALSE)-VLOOKUP($C$469,'Calc (ex-animal)'!$D$88:$Y$92,17,FALSE))*F470/100))*VLOOKUP($C$469,'Calc (ex-animal)'!$D$88:$Y$92,7,FALSE)/100*(1-VLOOKUP(D470,'DB technologies'!$N$224:$Y$236,9,FALSE)/100)))</f>
        <v/>
      </c>
      <c r="I470" s="423" t="str">
        <f>IF(D470="","",((VLOOKUP(D470,'DB technologies'!$N$224:$Y$236,2,FALSE)*VLOOKUP($C$469,'DB animal categories'!$C$167:$AC$176,27,FALSE)*E470/1000)/VLOOKUP($C$469,'DB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'!$S$6/100*(1-VLOOKUP(D470,'DB technologies'!$N$224:$Y$236,9,FALSE)/100)))</f>
        <v/>
      </c>
      <c r="J470" s="434" t="str">
        <f>IF(D470="","",((VLOOKUP(D470,'DB technologies'!$N$224:$Y$236,3,FALSE)*VLOOKUP($C$469,'DB animal categories'!$C$167:$AC$176,27,FALSE)*E470/1000)/VLOOKUP($C$469,'DB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'!$S$7/100*(1-VLOOKUP(D470,'DB technologies'!$N$224:$Y$236,9,FALSE)/100)))</f>
        <v/>
      </c>
      <c r="K470" s="434" t="str">
        <f>IF(D470="","",((VLOOKUP(D470,'DB technologies'!$N$224:$Y$236,4,FALSE)*E470*'DB additional information '!$S$8/100*(1-VLOOKUP(D470,'DB technologies'!$N$224:$Y$236,9,FALSE)/100))/VLOOKUP($C$469,'DB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L470" s="423" t="str">
        <f>IF('Calc (ex-animal)'!$F$88=1,"",IF(D470="","",(((VLOOKUP($C$469,'Calc (ex-animal)'!$D$88:$Y$92,6,FALSE)-VLOOKUP($C$469,'Calc (ex-animal)'!$D$88:$Y$92,17,FALSE))*F470/100))*(1-VLOOKUP($C$469,'Calc (ex-animal)'!$D$88:$Y$92,7,FALSE)/100)*(1-VLOOKUP(D470,'DB technologies'!$N$224:$V$236,8,FALSE)/100)))</f>
        <v/>
      </c>
      <c r="M470" s="434" t="str">
        <f>IF(D470="","",((VLOOKUP(D470,'DB technologies'!$N$224:$Y$236,2,FALSE)*VLOOKUP($C$469,'DB animal categories'!$C$167:$AC$176,27,FALSE)*E470/1000)/VLOOKUP($C$469,'DB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'!$S$6/100)*(1-VLOOKUP(D470,'DB technologies'!$N$224:$Y$236,9,FALSE)/100))</f>
        <v/>
      </c>
      <c r="N470" s="434" t="str">
        <f>IF(D470="","",((VLOOKUP(D470,'DB technologies'!$N$224:$Y$236,3,FALSE)*VLOOKUP($C$469,'DB animal categories'!$C$167:$AC$176,27,FALSE)*E470/1000)/VLOOKUP($C$469,'DB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'!$S$7/100)*(1-VLOOKUP(D470,'DB technologies'!$N$224:$Y$236,9,FALSE)/100))</f>
        <v/>
      </c>
      <c r="O470" s="423" t="str">
        <f>IF(D470="","",((VLOOKUP(D470,'DB technologies'!$N$224:$Y$236,4,FALSE)*E470*(1-'DB additional information '!$S$8/100)*(1-VLOOKUP(D470,'DB technologies'!$N$224:$Y$236,8,FALSE)/100))/VLOOKUP($C$469,'DB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P470" s="438" t="str">
        <f>IF(G470=0,0,IF(E470="","",IF(F470="","",IF($C$469=0,"",IF(D470="","",SUM(H470:K470)/G470*100)))))</f>
        <v/>
      </c>
      <c r="Q470" s="416" t="str">
        <f>IF(D470="","",(VLOOKUP(D470,'DB technologies'!$N$224:$Y$236,2,FALSE)*'DB additional information '!$S$6/100*'DB additional information '!$T$6*VLOOKUP($C$469,'DB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R470" s="416" t="str">
        <f>IF(D470="","",(VLOOKUP(D470,'DB technologies'!$N$224:$Y$236,3,FALSE)*'DB additional information '!$S$7/100*'DB additional information '!$T$7*VLOOKUP($C$469,'DB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S470" s="491" t="str">
        <f>IF(D470="","",(VLOOKUP(D470,'DB technologies'!$N$224:$Y$236,4,FALSE)*('DB additional information '!$S$8/100*'DB additional information '!$T$8*E470/1000/1000)))</f>
        <v/>
      </c>
      <c r="T470" s="264" t="str">
        <f>IF($C$469=0,"",IF('Calc (ex-animal)'!$F$88=1,"",IF(D470="","",((VLOOKUP($C$469,'Calc (ex-animal)'!$D$88:$Y$92,10,FALSE)-VLOOKUP($C$469,'Calc (ex-animal)'!$D$88:$Y$92,18,FALSE))*F470/100+Q470+R470+S470)-AC470-AD470-AE470)))</f>
        <v/>
      </c>
      <c r="U470" s="422" t="str">
        <f>IF(D470="","",(VLOOKUP(D470,'DB technologies'!$N$224:$Y$236,2,FALSE)*'DB additional information '!$S$6/100*'DB additional information '!$U$6*VLOOKUP($C$469,'DB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V470" s="418" t="str">
        <f>IF(D470="","",(VLOOKUP(D470,'DB technologies'!$N$224:$Y$236,3,FALSE)*'DB additional information '!$S$7/100*'DB additional information '!$U$7*VLOOKUP($C$469,'DB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W470" s="417" t="str">
        <f>IF(D470="","",(VLOOKUP(D470,'DB technologies'!$N$224:$Y$236,4,FALSE)*('DB additional information '!$S$8/100*'DB additional information '!$U$8*E470/1000/1000)))</f>
        <v/>
      </c>
      <c r="X470" s="261" t="str">
        <f>IF($C$469=0,"",IF('Calc (ex-animal)'!$F$88=1,"",IF(D470="","",((VLOOKUP($C$469,'Calc (ex-animal)'!$D$88:$Y$92,13,FALSE)-VLOOKUP($C$469,'Calc (ex-animal)'!$D$88:$Y$92,19,FALSE))*F470/100+U470+V470+W470))))</f>
        <v/>
      </c>
      <c r="Y470" s="418" t="str">
        <f>IF(D470="","",(VLOOKUP(D470,'DB technologies'!$N$224:$Y$236,2,FALSE)*'DB additional information '!$S$6/100*'DB additional information '!$V$6*VLOOKUP($C$469,'DB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Z470" s="418" t="str">
        <f>IF(D470="","",(VLOOKUP(D470,'DB technologies'!$N$224:$Y$236,3,FALSE)*'DB additional information '!$S$7/100*'DB additional information '!$V$7*VLOOKUP($C$469,'DB animal categories'!$C$167:$AC$176,27,FALSE)*E470/1000/1000)/VLOOKUP($C$469,'DB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AA470" s="418" t="str">
        <f>IF(D470="","",(VLOOKUP(D470,'DB technologies'!$N$224:$Y$236,4,FALSE)*('DB additional information '!$S$8/100*'DB additional information '!$V$8*E470/1000/1000)))</f>
        <v/>
      </c>
      <c r="AB470" s="261" t="str">
        <f>IF($C$469=0,"",IF('Calc (ex-animal)'!$F$88=1,"",IF(D470="","",((VLOOKUP($C$469,'Calc (ex-animal)'!$D$88:$Y$92,16,FALSE)-VLOOKUP($C$469,'Calc (ex-animal)'!$D$88:$Y$92,20,FALSE))*F470/100+Y470+Z470+AA470))))</f>
        <v/>
      </c>
      <c r="AC470" s="261" t="str">
        <f>IF($C$469=0,"",IF('Calc (ex-animal)'!$F$88=1,"",IF(D470="","",VLOOKUP($C$469,'Calc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categories'!$C$167:$AC$176,26,FALSE)/24)*F470/100*VLOOKUP(D470,'DB technologies'!$N$224:$R$236,5,FALSE)/100)))</f>
        <v/>
      </c>
      <c r="AD470" s="261" t="str">
        <f>IF($C$469=0,"",IF('Calc (ex-animal)'!$F$88=1,"",IF(D470="","",VLOOKUP($C$469,'Calc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categories'!$C$167:$AC$176,26,FALSE)/24)*F470/100*VLOOKUP(D470,'DB technologies'!$N$224:$Y$236,6,FALSE)/100)))</f>
        <v/>
      </c>
      <c r="AE470" s="262" t="str">
        <f>IF($C$469=0,"",IF('Calc (ex-animal)'!$F$88=1,"",IF(D470="","",VLOOKUP($C$469,'Calc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categories'!$C$167:$AC$176,26,FALSE)/24)*F470/100*VLOOKUP(D470,'DB technologies'!$N$224:$Y$236,7,FALSE)/100)))</f>
        <v/>
      </c>
      <c r="AI470" s="181" t="str">
        <f>IF(D470="","",VLOOKUP(D470,'DB technologies'!$N$224:$Y$236,10,FALSE))</f>
        <v/>
      </c>
      <c r="AJ470" s="449" t="e">
        <f>VLOOKUP($C$469,'DB animal categories'!$C$167:$AN$176,27,FALSE)-VLOOKUP($C$469,'DB animal categories'!$C$167:$AN$176,26,FALSE)*VLOOKUP($C$469,'DB animal categories'!$C$167:$AN$176,25,FALSE)/24</f>
        <v>#N/A</v>
      </c>
      <c r="AK470" s="442" t="str">
        <f>IF(AI470="","",AL470+AM470)</f>
        <v/>
      </c>
      <c r="AL470" s="442" t="str">
        <f>IF(D470="","",IF(AI470=2,(('Calc (ex-animal)'!$G$90*'DB additional information '!$K$19/100*(1-VLOOKUP(D470,'DB technologies'!$N$224:$Y$236,9,FALSE)/100)*'Calc (ex-housing, ex-storage)'!F470/100+'Calc (ex-animal)'!$H$90*'DB additional information '!$L$19/100*(1-VLOOKUP(D470,'DB technologies'!$N$224:$Y$236,9,FALSE)/100)*'Calc (ex-housing, ex-storage)'!F470/100))/VLOOKUP($C$469,'DB animal categories'!$C$167:$AC$176,27,FALSE)*AJ470+I470+J470+K470,IF(AI470=1,('Calc (ex-animal)'!$H$90*'DB additional information '!$L$19/100*(1-VLOOKUP(D470,'DB technologies'!$N$224:$Y$236,9,FALSE)/100)*'Calc (ex-housing, ex-storage)'!F470/100)/VLOOKUP($C$469,'DB animal categories'!$C$167:$AC$176,27,FALSE)*AJ470,IF(AI470=4,('Calc (ex-animal)'!$G$90*'DB additional information '!$K$19/100+'Calc (ex-animal)'!$H$90*'DB additional information '!$L$19/100)*(1-VLOOKUP(D470,'DB technologies'!$N$224:$Y$236,9,FALSE)/100)*'Calc (ex-housing, ex-storage)'!F470/100*VLOOKUP(D470,'DB technologies'!$N$224:$Y$236,11,FALSE)/100/VLOOKUP($C$469,'DB animal categories'!$C$167:$AC$176,27,FALSE)*AJ470,0))))</f>
        <v/>
      </c>
      <c r="AM470" s="442" t="str">
        <f>IF(D470="","",IF(AI470=2,(('Calc (ex-animal)'!$G$90*(1-'DB additional information '!$K$19/100)*(1-VLOOKUP(D470,'DB technologies'!$N$224:$Y$236,8,FALSE)/100)*'Calc (ex-housing, ex-storage)'!F470/100+'Calc (ex-animal)'!$H$90*(1-'DB additional information '!$L$19/100)*(1-VLOOKUP(D470,'DB technologies'!$N$224:$Y$236,8,FALSE)/100)*'Calc (ex-housing, ex-storage)'!F470/100))/VLOOKUP($C$469,'DB animal categories'!$C$167:$AC$176,27,FALSE)*AJ470+M470+N470+O470,IF(AI470=1,('Calc (ex-animal)'!$H$90*(1-'DB additional information '!$L$19/100)*(1-VLOOKUP(D470,'DB technologies'!$N$224:$Y$236,8,FALSE)/100)*'Calc (ex-housing, ex-storage)'!F470/100)/VLOOKUP($C$469,'DB animal categories'!$C$167:$AC$176,27,FALSE)*AJ470,IF(AI470=4,('Calc (ex-animal)'!$G$90*(1-'DB additional information '!$K$19/100)+'Calc (ex-animal)'!$H$90*(1-'DB additional information '!$L$19/100))*(1-VLOOKUP(D470,'DB technologies'!$N$224:$Y$236,8,FALSE)/100)*'Calc (ex-housing, ex-storage)'!F470/100*VLOOKUP(D470,'DB technologies'!$N$224:$Y$236,11,FALSE)/100/VLOOKUP($C$469,'DB animal categories'!$C$167:$AC$176,27,FALSE)*AJ470,0))))</f>
        <v/>
      </c>
      <c r="AN470" s="442" t="str">
        <f>IF(AI470="","",IF(AL470=0,0,AL470/AK470*100))</f>
        <v/>
      </c>
      <c r="AO470" s="182" t="str">
        <f>IF(D470="","",IF(AI470=2,(('Calc (ex-animal)'!$L$90*'Calc (ex-housing, ex-storage)'!F470/100+'Calc (ex-animal)'!$K$90*'Calc (ex-housing, ex-storage)'!F470/100))/VLOOKUP($C$469,'DB animal categories'!$C$167:$AC$176,27,FALSE)*AJ470+Q470+R470+S470-AC470,IF(AI470=1,('Calc (ex-animal)'!$L$90*'Calc (ex-housing, ex-storage)'!F470/100)/VLOOKUP($C$469,'DB animal categories'!$C$167:$AC$176,27,FALSE)*AJ470-'Calc (ex-housing, ex-storage)'!AC470,IF(AI470=4,('Calc (ex-animal)'!$L$90+'Calc (ex-animal)'!$K$90)*'Calc (ex-housing, ex-storage)'!F470/100*VLOOKUP(D470,'DB technologies'!$N$224:$Y$236,11,FALSE)/100/VLOOKUP($C$469,'DB animal categories'!$C$167:$AC$176,27,FALSE)*AJ470-AC470*VLOOKUP(D470,'DB technologies'!$N$224:$Y$236,11,FALSE)/100,0))))</f>
        <v/>
      </c>
      <c r="AP470" s="182" t="str">
        <f>IF(D470="","",IF(AO470&lt;-0.01,0,IF(AI470=2,(('Calc (ex-animal)'!$L$90*'Calc (ex-housing, ex-storage)'!F470/100+'Calc (ex-animal)'!$K$90*'Calc (ex-housing, ex-storage)'!F470/100))/VLOOKUP($C$469,'DB animal categories'!$C$167:$AC$176,27,FALSE)*AJ470+Q470+R470+S470-AC470,IF(AI470=1,('Calc (ex-animal)'!$L$90*'Calc (ex-housing, ex-storage)'!F470/100)/VLOOKUP($C$469,'DB animal categories'!$C$167:$AC$176,27,FALSE)*AJ470-'Calc (ex-housing, ex-storage)'!AC470,IF(AI470=4,('Calc (ex-animal)'!$L$90+'Calc (ex-animal)'!$K$90)*'Calc (ex-housing, ex-storage)'!F470/100*VLOOKUP(D470,'DB technologies'!$N$224:$Y$236,11,FALSE)/100/VLOOKUP($C$469,'DB animal categories'!$C$167:$AC$176,27,FALSE)*AJ470-AC470*VLOOKUP(D470,'DB technologies'!$N$224:$Y$236,11,FALSE)/100,0)))))</f>
        <v/>
      </c>
      <c r="AQ470" s="182" t="str">
        <f>IF(D470="","",IF(AI470=2,('Calc (ex-animal)'!$O$90*'Calc (ex-housing, ex-storage)'!F470/100+'Calc (ex-animal)'!$N$90*'Calc (ex-housing, ex-storage)'!F470/100)/VLOOKUP($C$469,'DB animal categories'!$C$167:$AC$176,27,FALSE)*AJ470+U470+V470+W470,IF(AI470=1,'Calc (ex-animal)'!$O$90*'Calc (ex-housing, ex-storage)'!F470/100/VLOOKUP($C$469,'DB animal categories'!$C$167:$AC$176,27,FALSE)*AJ470,IF(AI470=4,('Calc (ex-animal)'!$O$90+'Calc (ex-animal)'!$N$90)*'Calc (ex-housing, ex-storage)'!F470/100*VLOOKUP(D470,'DB technologies'!$N$224:$Y$236,11,FALSE)/100/VLOOKUP($C$469,'DB animal categories'!$C$167:$AC$176,27,FALSE)*AJ470,0))))</f>
        <v/>
      </c>
      <c r="AR470" s="182" t="str">
        <f>IF(D470="","",IF(AI470=2,('Calc (ex-animal)'!$R$90*'Calc (ex-housing, ex-storage)'!F470/100+'Calc (ex-animal)'!$Q$90*'Calc (ex-housing, ex-storage)'!F470/100)/VLOOKUP($C$469,'DB animal categories'!$C$167:$AC$176,27,FALSE)*AJ470+Y470+Z470+AA470,IF(AI470=1,'Calc (ex-animal)'!$R$90*'Calc (ex-housing, ex-storage)'!F470/100/VLOOKUP($C$469,'DB animal categories'!$C$167:$AC$176,27,FALSE)*AJ470,IF(AI470=4,('Calc (ex-animal)'!$R$90+'Calc (ex-animal)'!$Q$90)*'Calc (ex-housing, ex-storage)'!F470/100*VLOOKUP(D470,'DB technologies'!$N$224:$Y$236,11,FALSE)/100/VLOOKUP($C$469,'DB animal categories'!$C$167:$AC$176,27,FALSE)*AJ470,0))))</f>
        <v/>
      </c>
      <c r="AS470" s="181" t="str">
        <f>IF(D470="","",VLOOKUP(D470,'DB technologies'!$N$224:$Y$236,10,FALSE))</f>
        <v/>
      </c>
      <c r="AT470" s="442" t="str">
        <f>IF(AS470="","",AU470+AV470)</f>
        <v/>
      </c>
      <c r="AU470" s="442" t="str">
        <f>IF(D470="","",IF(AS470=2,0,IF(AS470=1,'Calc (ex-animal)'!$G$90*'DB additional information '!$K$19/100*(1-VLOOKUP(D470,'DB technologies'!$N$224:$Y$236,8,FALSE)/100)*'Calc (ex-housing, ex-storage)'!F470/100/VLOOKUP($C$469,'DB animal categories'!$C$167:$AC$176,27,FALSE)*AJ470+I470+J470+K470,IF(AS470=5,(('Calc (ex-animal)'!$G$90*'DB additional information '!$K$19/100+'Calc (ex-animal)'!$H$90*'DB additional information '!$L$19/100))*(1-VLOOKUP(D470,'DB technologies'!$N$224:$Y$236,9,FALSE)/100)*'Calc (ex-housing, ex-storage)'!F470/100/VLOOKUP($C$469,'DB animal categories'!$C$167:$AC$176,27,FALSE)*AJ470+I470+J470+K470,IF(AS470=3,('Calc (ex-animal)'!$G$90*'DB additional information '!$K$19/100+'Calc (ex-animal)'!$H$90*'DB additional information '!$L$19/100)*(1-VLOOKUP(D470,'DB technologies'!$N$224:$Y$236,9,FALSE)/100)*'Calc (ex-housing, ex-storage)'!F470/100/VLOOKUP($C$469,'DB animal categories'!$C$167:$AC$176,27,FALSE)*AJ470+I470+J470+K470,IF(AS470=4,('Calc (ex-animal)'!$G$90*'DB additional information '!$K$19/100+'Calc (ex-animal)'!$H$90*'DB additional information '!$L$19/100)*(1-VLOOKUP(D470,'DB technologies'!$N$224:$Y$236,9,FALSE)/100)*'Calc (ex-housing, ex-storage)'!F470/100*VLOOKUP(D470,'DB technologies'!$N$224:$Y$236,12,FALSE)/100/VLOOKUP($C$469,'DB animal categories'!$C$167:$AC$176,27,FALSE)*AJ470+I470+J470+K470,0))))))</f>
        <v/>
      </c>
      <c r="AV470" s="442" t="str">
        <f>IF(D470="","",IF(AS470=2,0,IF(AS470=1,'Calc (ex-animal)'!$G$90*(1-'DB additional information '!$K$19/100)*(1-VLOOKUP(D470,'DB technologies'!$N$224:$Y$236,8,FALSE)/100)*'Calc (ex-housing, ex-storage)'!F470/100/VLOOKUP($C$469,'DB animal categories'!$C$167:$AC$176,27,FALSE)*AJ470+M470+N470+O470,IF(AS470=5,('Calc (ex-animal)'!$G$90*(1-'DB additional information '!$K$19/100)+'Calc (ex-animal)'!$H$90*(1-'DB additional information '!$L$19/100))*(1-VLOOKUP(D470,'DB technologies'!$N$224:$Y$236,8,FALSE)/100)*'Calc (ex-housing, ex-storage)'!F470/100/VLOOKUP($C$469,'DB animal categories'!$C$167:$AC$176,27,FALSE)*AJ470+M470+N470+O470,IF(AS470=3,('Calc (ex-animal)'!$G$90*(1-'DB additional information '!$K$19/100)+'Calc (ex-animal)'!$H$90*(1-'DB additional information '!$L$19/100))*(1-VLOOKUP(D470,'DB technologies'!$N$224:$Y$236,8,FALSE)/100)*'Calc (ex-housing, ex-storage)'!F470/100/VLOOKUP($C$469,'DB animal categories'!$C$167:$AC$176,27,FALSE)*AJ470+M470+N470+O470,IF(AS470=4,('Calc (ex-animal)'!$G$90*(1-'DB additional information '!$K$19/100)+'Calc (ex-animal)'!$H$90*(1-'DB additional information '!$L$19/100))*(1-VLOOKUP(D470,'DB technologies'!$N$224:$Y$236,8,FALSE)/100)*'Calc (ex-housing, ex-storage)'!F470/100*VLOOKUP(D470,'DB technologies'!$N$224:$Y$236,12,FALSE)/100/VLOOKUP($C$469,'DB animal categories'!$C$167:$AC$176,27,FALSE)*AJ470+M470+N470+O470,0))))))</f>
        <v/>
      </c>
      <c r="AW470" s="442" t="str">
        <f>IF(AS470="","",IF(AU470=0,0,AU470/AT470*100))</f>
        <v/>
      </c>
      <c r="AX470" s="182" t="str">
        <f>IF(D470="","",IF(AS470=2,0,IF(AS470=1,'Calc (ex-animal)'!$K$90*'Calc (ex-housing, ex-storage)'!F470/100/VLOOKUP($C$469,'DB animal categories'!$C$167:$AC$176,27,FALSE)*AJ470+Q470+R470+S470,IF(AS470=5,('Calc (ex-animal)'!$K$90+'Calc (ex-animal)'!$L$90)*'Calc (ex-housing, ex-storage)'!F470/100/VLOOKUP($C$469,'DB animal categories'!$C$167:$AC$176,27,FALSE)*AJ470+Q470+R470+S470-'Calc (ex-housing, ex-storage)'!AC470,IF(AS470=3,('Calc (ex-animal)'!$K$90+'Calc (ex-animal)'!$L$90)*'Calc (ex-housing, ex-storage)'!F470/100/VLOOKUP($C$469,'DB animal categories'!$C$167:$AC$176,27,FALSE)*AJ470+Q470+R470+S470-'Calc (ex-housing, ex-storage)'!AC470-AD470-AE470,IF(AI470=4,('Calc (ex-animal)'!$K$90+'Calc (ex-animal)'!$L$90)*'Calc (ex-housing, ex-storage)'!F470/100*VLOOKUP(D470,'DB technologies'!$N$224:$Y$236,12,FALSE)/100/VLOOKUP($C$469,'DB animal categories'!$C$167:$AC$176,27,FALSE)*AJ470+Q470+R470+S470-(VLOOKUP(D470,'DB technologies'!$N$224:$Y$236,12,FALSE)/100*AC470)-AD470-AE470,0))))))</f>
        <v/>
      </c>
      <c r="AY470" s="182" t="str">
        <f>IF(D470="","",IF(AS470=2,0,IF(AS470=1,'Calc (ex-animal)'!$N$90*'Calc (ex-housing, ex-storage)'!F470/100/VLOOKUP($C$469,'DB animal categories'!$C$167:$AC$176,27,FALSE)*AJ470+U470+V470+W470,IF(AS470=5,('Calc (ex-animal)'!$N$90+'Calc (ex-animal)'!$O$90)*'Calc (ex-housing, ex-storage)'!F470/100/VLOOKUP($C$469,'DB animal categories'!$C$167:$AC$176,27,FALSE)*AJ470+U470+V470+W470,IF(AS470=3,('Calc (ex-animal)'!$N$90+'Calc (ex-animal)'!$O$90)*'Calc (ex-housing, ex-storage)'!F470/100/VLOOKUP($C$469,'DB animal categories'!$C$167:$AC$176,27,FALSE)*AJ470+U470+V470+W470,IF(AS470=4,('Calc (ex-animal)'!$N$90+'Calc (ex-animal)'!$O$90)*'Calc (ex-housing, ex-storage)'!F470/100*VLOOKUP(D470,'DB technologies'!$N$224:$Y$236,12,FALSE)/100/VLOOKUP($C$469,'DB animal categories'!$C$167:$AC$176,27,FALSE)*AJ470+U470+V470+W470,0))))))</f>
        <v/>
      </c>
      <c r="AZ470" s="182" t="str">
        <f>IF(D470="","",IF(AS470=2,0,IF(AS470=1,'Calc (ex-animal)'!$Q$90*'Calc (ex-housing, ex-storage)'!F470/100/VLOOKUP($C$469,'DB animal categories'!$C$167:$AC$176,27,FALSE)*AJ470+Y470+Z470+AA470,IF(AS470=5,('Calc (ex-animal)'!$Q$90+'Calc (ex-animal)'!$R$90)*'Calc (ex-housing, ex-storage)'!F470/100/VLOOKUP($C$469,'DB animal categories'!$C$167:$AC$176,27,FALSE)*AJ470+Y470+Z470+AA470,IF(AS470=3,('Calc (ex-animal)'!$Q$90+'Calc (ex-animal)'!$R$90)*'Calc (ex-housing, ex-storage)'!F470/100/VLOOKUP($C$469,'DB animal categories'!$C$167:$AC$176,27,FALSE)*AJ470+Y470+Z470+AA470,IF(AS470=4,('Calc (ex-animal)'!$Q$90+'Calc (ex-animal)'!$R$90)*'Calc (ex-housing, ex-storage)'!F470/100*VLOOKUP(D470,'DB technologies'!$N$224:$Y$236,12,FALSE)/100/VLOOKUP($C$469,'DB animal categories'!$C$167:$AC$176,27,FALSE)*AJ470+Y470+Z470+AA470,0))))))</f>
        <v/>
      </c>
      <c r="BA470" s="506"/>
      <c r="BB470" s="506"/>
      <c r="BC470" s="506"/>
    </row>
    <row r="471" spans="1:55" x14ac:dyDescent="0.2">
      <c r="A471" s="695"/>
      <c r="B471" s="695"/>
      <c r="C471" s="251"/>
      <c r="D471" s="1357"/>
      <c r="E471" s="1358"/>
      <c r="F471" s="480" t="str">
        <f>IF('Calc (ex-animal)'!$F$88=1,"",IF($C$469=0,"",IF(D471="","",E471/'Calc (ex-animal)'!$E$90*100)))</f>
        <v/>
      </c>
      <c r="G471" s="485" t="str">
        <f>IF($C$469=0,"",IF('Calc (ex-animal)'!$F$88=1,"",IF(D471="","",SUM(H471:O471))))</f>
        <v/>
      </c>
      <c r="H471" s="423" t="str">
        <f>IF('Calc (ex-animal)'!$F$88=1,"",IF(D471="","",(((VLOOKUP($C$469,'Calc (ex-animal)'!$D$88:$Y$92,6,FALSE)-VLOOKUP($C$469,'Calc (ex-animal)'!$D$88:$Y$92,17,FALSE))*F471/100))*VLOOKUP($C$469,'Calc (ex-animal)'!$D$88:$Y$92,7,FALSE)/100*(1-VLOOKUP(D471,'DB technologies'!$N$224:$Y$236,9,FALSE)/100)))</f>
        <v/>
      </c>
      <c r="I471" s="423" t="str">
        <f>IF(D471="","",((VLOOKUP(D471,'DB technologies'!$N$224:$Y$236,2,FALSE)*VLOOKUP($C$469,'DB animal categories'!$C$167:$AC$176,27,FALSE)*E471/1000)/VLOOKUP($C$469,'DB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'!$S$6/100*(1-VLOOKUP(D471,'DB technologies'!$N$224:$Y$236,9,FALSE)/100)))</f>
        <v/>
      </c>
      <c r="J471" s="434" t="str">
        <f>IF(D471="","",((VLOOKUP(D471,'DB technologies'!$N$224:$Y$236,3,FALSE)*VLOOKUP($C$469,'DB animal categories'!$C$167:$AC$176,27,FALSE)*E471/1000)/VLOOKUP($C$469,'DB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'!$S$7/100*(1-VLOOKUP(D471,'DB technologies'!$N$224:$Y$236,9,FALSE)/100)))</f>
        <v/>
      </c>
      <c r="K471" s="434" t="str">
        <f>IF(D471="","",((VLOOKUP(D471,'DB technologies'!$N$224:$Y$236,4,FALSE)*E471*'DB additional information '!$S$8/100*(1-VLOOKUP(D471,'DB technologies'!$N$224:$Y$236,9,FALSE)/100))/VLOOKUP($C$469,'DB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L471" s="423" t="str">
        <f>IF('Calc (ex-animal)'!$F$88=1,"",IF(D471="","",(((VLOOKUP($C$469,'Calc (ex-animal)'!$D$88:$Y$92,6,FALSE)-VLOOKUP($C$469,'Calc (ex-animal)'!$D$88:$Y$92,17,FALSE))*F471/100))*(1-VLOOKUP($C$469,'Calc (ex-animal)'!$D$88:$Y$92,7,FALSE)/100)*(1-VLOOKUP(D471,'DB technologies'!$N$224:$V$236,8,FALSE)/100)))</f>
        <v/>
      </c>
      <c r="M471" s="434" t="str">
        <f>IF(D471="","",((VLOOKUP(D471,'DB technologies'!$N$224:$Y$236,2,FALSE)*VLOOKUP($C$469,'DB animal categories'!$C$167:$AC$176,27,FALSE)*E471/1000)/VLOOKUP($C$469,'DB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'!$S$6/100)*(1-VLOOKUP(D471,'DB technologies'!$N$224:$Y$236,9,FALSE)/100))</f>
        <v/>
      </c>
      <c r="N471" s="434" t="str">
        <f>IF(D471="","",((VLOOKUP(D471,'DB technologies'!$N$224:$Y$236,3,FALSE)*VLOOKUP($C$469,'DB animal categories'!$C$167:$AC$176,27,FALSE)*E471/1000)/VLOOKUP($C$469,'DB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'!$S$7/100)*(1-VLOOKUP(D471,'DB technologies'!$N$224:$Y$236,9,FALSE)/100))</f>
        <v/>
      </c>
      <c r="O471" s="423" t="str">
        <f>IF(D471="","",((VLOOKUP(D471,'DB technologies'!$N$224:$Y$236,4,FALSE)*E471*(1-'DB additional information '!$S$8/100)*(1-VLOOKUP(D471,'DB technologies'!$N$224:$Y$236,8,FALSE)/100))/VLOOKUP($C$469,'DB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P471" s="438" t="str">
        <f>IF(G471=0,0,IF(E471="","",IF(F471="","",IF($C$469=0,"",IF(D471="","",SUM(H471:K471)/G471*100)))))</f>
        <v/>
      </c>
      <c r="Q471" s="416" t="str">
        <f>IF(D471="","",(VLOOKUP(D471,'DB technologies'!$N$224:$Y$236,2,FALSE)*'DB additional information '!$S$6/100*'DB additional information '!$T$6*VLOOKUP($C$469,'DB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R471" s="416" t="str">
        <f>IF(D471="","",(VLOOKUP(D471,'DB technologies'!$N$224:$Y$236,3,FALSE)*'DB additional information '!$S$7/100*'DB additional information '!$T$7*VLOOKUP($C$469,'DB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S471" s="491" t="str">
        <f>IF(D471="","",(VLOOKUP(D471,'DB technologies'!$N$224:$Y$236,4,FALSE)*('DB additional information '!$S$8/100*'DB additional information '!$T$8*E471/1000/1000)))</f>
        <v/>
      </c>
      <c r="T471" s="264" t="str">
        <f>IF($C$469=0,"",IF('Calc (ex-animal)'!$F$88=1,"",IF(D471="","",((VLOOKUP($C$469,'Calc (ex-animal)'!$D$88:$Y$92,10,FALSE)-VLOOKUP($C$469,'Calc (ex-animal)'!$D$88:$Y$92,18,FALSE))*F471/100+Q471+R471+S471)-AC471-AD471-AE471)))</f>
        <v/>
      </c>
      <c r="U471" s="422" t="str">
        <f>IF(D471="","",(VLOOKUP(D471,'DB technologies'!$N$224:$Y$236,2,FALSE)*'DB additional information '!$S$6/100*'DB additional information '!$U$6*VLOOKUP($C$469,'DB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V471" s="418" t="str">
        <f>IF(D471="","",(VLOOKUP(D471,'DB technologies'!$N$224:$Y$236,3,FALSE)*'DB additional information '!$S$7/100*'DB additional information '!$U$7*VLOOKUP($C$469,'DB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W471" s="417" t="str">
        <f>IF(D471="","",(VLOOKUP(D471,'DB technologies'!$N$224:$Y$236,4,FALSE)*('DB additional information '!$S$8/100*'DB additional information '!$U$8*E471/1000/1000)))</f>
        <v/>
      </c>
      <c r="X471" s="261" t="str">
        <f>IF($C$469=0,"",IF('Calc (ex-animal)'!$F$88=1,"",IF(D471="","",((VLOOKUP($C$469,'Calc (ex-animal)'!$D$88:$Y$92,13,FALSE)-VLOOKUP($C$469,'Calc (ex-animal)'!$D$88:$Y$92,19,FALSE))*F471/100+U471+V471+W471))))</f>
        <v/>
      </c>
      <c r="Y471" s="418" t="str">
        <f>IF(D471="","",(VLOOKUP(D471,'DB technologies'!$N$224:$Y$236,2,FALSE)*'DB additional information '!$S$6/100*'DB additional information '!$V$6*VLOOKUP($C$469,'DB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Z471" s="418" t="str">
        <f>IF(D471="","",(VLOOKUP(D471,'DB technologies'!$N$224:$Y$236,3,FALSE)*'DB additional information '!$S$7/100*'DB additional information '!$V$7*VLOOKUP($C$469,'DB animal categories'!$C$167:$AC$176,27,FALSE)*E471/1000/1000)/VLOOKUP($C$469,'DB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AA471" s="418" t="str">
        <f>IF(D471="","",(VLOOKUP(D471,'DB technologies'!$N$224:$Y$236,4,FALSE)*('DB additional information '!$S$8/100*'DB additional information '!$V$8*E471/1000/1000)))</f>
        <v/>
      </c>
      <c r="AB471" s="261" t="str">
        <f>IF($C$469=0,"",IF('Calc (ex-animal)'!$F$88=1,"",IF(D471="","",((VLOOKUP($C$469,'Calc (ex-animal)'!$D$88:$Y$92,16,FALSE)-VLOOKUP($C$469,'Calc (ex-animal)'!$D$88:$Y$92,20,FALSE))*F471/100+Y471+Z471+AA471))))</f>
        <v/>
      </c>
      <c r="AC471" s="261" t="str">
        <f>IF($C$469=0,"",IF('Calc (ex-animal)'!$F$88=1,"",IF(D471="","",VLOOKUP($C$469,'Calc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categories'!$C$167:$AC$176,26,FALSE)/24)*F471/100*VLOOKUP(D471,'DB technologies'!$N$224:$R$236,5,FALSE)/100)))</f>
        <v/>
      </c>
      <c r="AD471" s="261" t="str">
        <f>IF($C$469=0,"",IF('Calc (ex-animal)'!$F$88=1,"",IF(D471="","",VLOOKUP($C$469,'Calc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categories'!$C$167:$AC$176,26,FALSE)/24)*F471/100*VLOOKUP(D471,'DB technologies'!$N$224:$Y$236,6,FALSE)/100)))</f>
        <v/>
      </c>
      <c r="AE471" s="262" t="str">
        <f>IF($C$469=0,"",IF('Calc (ex-animal)'!$F$88=1,"",IF(D471="","",VLOOKUP($C$469,'Calc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categories'!$C$167:$AC$176,26,FALSE)/24)*F471/100*VLOOKUP(D471,'DB technologies'!$N$224:$Y$236,7,FALSE)/100)))</f>
        <v/>
      </c>
      <c r="AI471" s="181" t="str">
        <f>IF(D471="","",VLOOKUP(D471,'DB technologies'!$N$224:$Y$236,10,FALSE))</f>
        <v/>
      </c>
      <c r="AJ471" s="449" t="e">
        <f>VLOOKUP($C$469,'DB animal categories'!$C$167:$AN$176,27,FALSE)-VLOOKUP($C$469,'DB animal categories'!$C$167:$AN$176,26,FALSE)*VLOOKUP($C$469,'DB animal categories'!$C$167:$AN$176,25,FALSE)/24</f>
        <v>#N/A</v>
      </c>
      <c r="AK471" s="442" t="str">
        <f>IF(AI471="","",AL471+AM471)</f>
        <v/>
      </c>
      <c r="AL471" s="442" t="str">
        <f>IF(D471="","",IF(AI471=2,(('Calc (ex-animal)'!$G$90*'DB additional information '!$K$19/100*(1-VLOOKUP(D471,'DB technologies'!$N$224:$Y$236,9,FALSE)/100)*'Calc (ex-housing, ex-storage)'!F471/100+'Calc (ex-animal)'!$H$90*'DB additional information '!$L$19/100*(1-VLOOKUP(D471,'DB technologies'!$N$224:$Y$236,9,FALSE)/100)*'Calc (ex-housing, ex-storage)'!F471/100))/VLOOKUP($C$469,'DB animal categories'!$C$167:$AC$176,27,FALSE)*AJ471+I471+J471+K471,IF(AI471=1,('Calc (ex-animal)'!$H$90*'DB additional information '!$L$19/100*(1-VLOOKUP(D471,'DB technologies'!$N$224:$Y$236,9,FALSE)/100)*'Calc (ex-housing, ex-storage)'!F471/100)/VLOOKUP($C$469,'DB animal categories'!$C$167:$AC$176,27,FALSE)*AJ471,IF(AI471=4,('Calc (ex-animal)'!$G$90*'DB additional information '!$K$19/100+'Calc (ex-animal)'!$H$90*'DB additional information '!$L$19/100)*(1-VLOOKUP(D471,'DB technologies'!$N$224:$Y$236,9,FALSE)/100)*'Calc (ex-housing, ex-storage)'!F471/100*VLOOKUP(D471,'DB technologies'!$N$224:$Y$236,11,FALSE)/100/VLOOKUP($C$469,'DB animal categories'!$C$167:$AC$176,27,FALSE)*AJ471,0))))</f>
        <v/>
      </c>
      <c r="AM471" s="442" t="str">
        <f>IF(D471="","",IF(AI471=2,(('Calc (ex-animal)'!$G$90*(1-'DB additional information '!$K$19/100)*(1-VLOOKUP(D471,'DB technologies'!$N$224:$Y$236,8,FALSE)/100)*'Calc (ex-housing, ex-storage)'!F471/100+'Calc (ex-animal)'!$H$90*(1-'DB additional information '!$L$19/100)*(1-VLOOKUP(D471,'DB technologies'!$N$224:$Y$236,8,FALSE)/100)*'Calc (ex-housing, ex-storage)'!F471/100))/VLOOKUP($C$469,'DB animal categories'!$C$167:$AC$176,27,FALSE)*AJ471+M471+N471+O471,IF(AI471=1,('Calc (ex-animal)'!$H$90*(1-'DB additional information '!$L$19/100)*(1-VLOOKUP(D471,'DB technologies'!$N$224:$Y$236,8,FALSE)/100)*'Calc (ex-housing, ex-storage)'!F471/100)/VLOOKUP($C$469,'DB animal categories'!$C$167:$AC$176,27,FALSE)*AJ471,IF(AI471=4,('Calc (ex-animal)'!$G$90*(1-'DB additional information '!$K$19/100)+'Calc (ex-animal)'!$H$90*(1-'DB additional information '!$L$19/100))*(1-VLOOKUP(D471,'DB technologies'!$N$224:$Y$236,8,FALSE)/100)*'Calc (ex-housing, ex-storage)'!F471/100*VLOOKUP(D471,'DB technologies'!$N$224:$Y$236,11,FALSE)/100/VLOOKUP($C$469,'DB animal categories'!$C$167:$AC$176,27,FALSE)*AJ471,0))))</f>
        <v/>
      </c>
      <c r="AN471" s="442" t="str">
        <f>IF(AI471="","",IF(AL471=0,0,AL471/AK471*100))</f>
        <v/>
      </c>
      <c r="AO471" s="182" t="str">
        <f>IF(D471="","",IF(AI471=2,(('Calc (ex-animal)'!$L$90*'Calc (ex-housing, ex-storage)'!F471/100+'Calc (ex-animal)'!$K$90*'Calc (ex-housing, ex-storage)'!F471/100))/VLOOKUP($C$469,'DB animal categories'!$C$167:$AC$176,27,FALSE)*AJ471+Q471+R471+S471-AC471,IF(AI471=1,('Calc (ex-animal)'!$L$90*'Calc (ex-housing, ex-storage)'!F471/100)/VLOOKUP($C$469,'DB animal categories'!$C$167:$AC$176,27,FALSE)*AJ471-'Calc (ex-housing, ex-storage)'!AC471,IF(AI471=4,('Calc (ex-animal)'!$L$90+'Calc (ex-animal)'!$K$90)*'Calc (ex-housing, ex-storage)'!F471/100*VLOOKUP(D471,'DB technologies'!$N$224:$Y$236,11,FALSE)/100/VLOOKUP($C$469,'DB animal categories'!$C$167:$AC$176,27,FALSE)*AJ471-AC471*VLOOKUP(D471,'DB technologies'!$N$224:$Y$236,11,FALSE)/100,0))))</f>
        <v/>
      </c>
      <c r="AP471" s="182" t="str">
        <f>IF(D471="","",IF(AO471&lt;-0.01,0,IF(AI471=2,(('Calc (ex-animal)'!$L$90*'Calc (ex-housing, ex-storage)'!F471/100+'Calc (ex-animal)'!$K$90*'Calc (ex-housing, ex-storage)'!F471/100))/VLOOKUP($C$469,'DB animal categories'!$C$167:$AC$176,27,FALSE)*AJ471+Q471+R471+S471-AC471,IF(AI471=1,('Calc (ex-animal)'!$L$90*'Calc (ex-housing, ex-storage)'!F471/100)/VLOOKUP($C$469,'DB animal categories'!$C$167:$AC$176,27,FALSE)*AJ471-'Calc (ex-housing, ex-storage)'!AC471,IF(AI471=4,('Calc (ex-animal)'!$L$90+'Calc (ex-animal)'!$K$90)*'Calc (ex-housing, ex-storage)'!F471/100*VLOOKUP(D471,'DB technologies'!$N$224:$Y$236,11,FALSE)/100/VLOOKUP($C$469,'DB animal categories'!$C$167:$AC$176,27,FALSE)*AJ471-AC471*VLOOKUP(D471,'DB technologies'!$N$224:$Y$236,11,FALSE)/100,0)))))</f>
        <v/>
      </c>
      <c r="AQ471" s="182" t="str">
        <f>IF(D471="","",IF(AI471=2,('Calc (ex-animal)'!$O$90*'Calc (ex-housing, ex-storage)'!F471/100+'Calc (ex-animal)'!$N$90*'Calc (ex-housing, ex-storage)'!F471/100)/VLOOKUP($C$469,'DB animal categories'!$C$167:$AC$176,27,FALSE)*AJ471+U471+V471+W471,IF(AI471=1,'Calc (ex-animal)'!$O$90*'Calc (ex-housing, ex-storage)'!F471/100/VLOOKUP($C$469,'DB animal categories'!$C$167:$AC$176,27,FALSE)*AJ471,IF(AI471=4,('Calc (ex-animal)'!$O$90+'Calc (ex-animal)'!$N$90)*'Calc (ex-housing, ex-storage)'!F471/100*VLOOKUP(D471,'DB technologies'!$N$224:$Y$236,11,FALSE)/100/VLOOKUP($C$469,'DB animal categories'!$C$167:$AC$176,27,FALSE)*AJ471,0))))</f>
        <v/>
      </c>
      <c r="AR471" s="182" t="str">
        <f>IF(D471="","",IF(AI471=2,('Calc (ex-animal)'!$R$90*'Calc (ex-housing, ex-storage)'!F471/100+'Calc (ex-animal)'!$Q$90*'Calc (ex-housing, ex-storage)'!F471/100)/VLOOKUP($C$469,'DB animal categories'!$C$167:$AC$176,27,FALSE)*AJ471+Y471+Z471+AA471,IF(AI471=1,'Calc (ex-animal)'!$R$90*'Calc (ex-housing, ex-storage)'!F471/100/VLOOKUP($C$469,'DB animal categories'!$C$167:$AC$176,27,FALSE)*AJ471,IF(AI471=4,('Calc (ex-animal)'!$R$90+'Calc (ex-animal)'!$Q$90)*'Calc (ex-housing, ex-storage)'!F471/100*VLOOKUP(D471,'DB technologies'!$N$224:$Y$236,11,FALSE)/100/VLOOKUP($C$469,'DB animal categories'!$C$167:$AC$176,27,FALSE)*AJ471,0))))</f>
        <v/>
      </c>
      <c r="AS471" s="181" t="str">
        <f>IF(D471="","",VLOOKUP(D471,'DB technologies'!$N$224:$Y$236,10,FALSE))</f>
        <v/>
      </c>
      <c r="AT471" s="442" t="str">
        <f>IF(AS471="","",AU471+AV471)</f>
        <v/>
      </c>
      <c r="AU471" s="442" t="str">
        <f>IF(D471="","",IF(AS471=2,0,IF(AS471=1,'Calc (ex-animal)'!$G$90*'DB additional information '!$K$19/100*(1-VLOOKUP(D471,'DB technologies'!$N$224:$Y$236,8,FALSE)/100)*'Calc (ex-housing, ex-storage)'!F471/100/VLOOKUP($C$469,'DB animal categories'!$C$167:$AC$176,27,FALSE)*AJ471+I471+J471+K471,IF(AS471=5,(('Calc (ex-animal)'!$G$90*'DB additional information '!$K$19/100+'Calc (ex-animal)'!$H$90*'DB additional information '!$L$19/100))*(1-VLOOKUP(D471,'DB technologies'!$N$224:$Y$236,9,FALSE)/100)*'Calc (ex-housing, ex-storage)'!F471/100/VLOOKUP($C$469,'DB animal categories'!$C$167:$AC$176,27,FALSE)*AJ471+I471+J471+K471,IF(AS471=3,('Calc (ex-animal)'!$G$90*'DB additional information '!$K$19/100+'Calc (ex-animal)'!$H$90*'DB additional information '!$L$19/100)*(1-VLOOKUP(D471,'DB technologies'!$N$224:$Y$236,9,FALSE)/100)*'Calc (ex-housing, ex-storage)'!F471/100/VLOOKUP($C$469,'DB animal categories'!$C$167:$AC$176,27,FALSE)*AJ471+I471+J471+K471,IF(AS471=4,('Calc (ex-animal)'!$G$90*'DB additional information '!$K$19/100+'Calc (ex-animal)'!$H$90*'DB additional information '!$L$19/100)*(1-VLOOKUP(D471,'DB technologies'!$N$224:$Y$236,9,FALSE)/100)*'Calc (ex-housing, ex-storage)'!F471/100*VLOOKUP(D471,'DB technologies'!$N$224:$Y$236,12,FALSE)/100/VLOOKUP($C$469,'DB animal categories'!$C$167:$AC$176,27,FALSE)*AJ471+I471+J471+K471,0))))))</f>
        <v/>
      </c>
      <c r="AV471" s="442" t="str">
        <f>IF(D471="","",IF(AS471=2,0,IF(AS471=1,'Calc (ex-animal)'!$G$90*(1-'DB additional information '!$K$19/100)*(1-VLOOKUP(D471,'DB technologies'!$N$224:$Y$236,8,FALSE)/100)*'Calc (ex-housing, ex-storage)'!F471/100/VLOOKUP($C$469,'DB animal categories'!$C$167:$AC$176,27,FALSE)*AJ471+M471+N471+O471,IF(AS471=5,('Calc (ex-animal)'!$G$90*(1-'DB additional information '!$K$19/100)+'Calc (ex-animal)'!$H$90*(1-'DB additional information '!$L$19/100))*(1-VLOOKUP(D471,'DB technologies'!$N$224:$Y$236,8,FALSE)/100)*'Calc (ex-housing, ex-storage)'!F471/100/VLOOKUP($C$469,'DB animal categories'!$C$167:$AC$176,27,FALSE)*AJ471+M471+N471+O471,IF(AS471=3,('Calc (ex-animal)'!$G$90*(1-'DB additional information '!$K$19/100)+'Calc (ex-animal)'!$H$90*(1-'DB additional information '!$L$19/100))*(1-VLOOKUP(D471,'DB technologies'!$N$224:$Y$236,8,FALSE)/100)*'Calc (ex-housing, ex-storage)'!F471/100/VLOOKUP($C$469,'DB animal categories'!$C$167:$AC$176,27,FALSE)*AJ471+M471+N471+O471,IF(AS471=4,('Calc (ex-animal)'!$G$90*(1-'DB additional information '!$K$19/100)+'Calc (ex-animal)'!$H$90*(1-'DB additional information '!$L$19/100))*(1-VLOOKUP(D471,'DB technologies'!$N$224:$Y$236,8,FALSE)/100)*'Calc (ex-housing, ex-storage)'!F471/100*VLOOKUP(D471,'DB technologies'!$N$224:$Y$236,12,FALSE)/100/VLOOKUP($C$469,'DB animal categories'!$C$167:$AC$176,27,FALSE)*AJ471+M471+N471+O471,0))))))</f>
        <v/>
      </c>
      <c r="AW471" s="442" t="str">
        <f>IF(AS471="","",IF(AU471=0,0,AU471/AT471*100))</f>
        <v/>
      </c>
      <c r="AX471" s="182" t="str">
        <f>IF(D471="","",IF(AS471=2,0,IF(AS471=1,'Calc (ex-animal)'!$K$90*'Calc (ex-housing, ex-storage)'!F471/100/VLOOKUP($C$469,'DB animal categories'!$C$167:$AC$176,27,FALSE)*AJ471+Q471+R471+S471,IF(AS471=5,('Calc (ex-animal)'!$K$90+'Calc (ex-animal)'!$L$90)*'Calc (ex-housing, ex-storage)'!F471/100/VLOOKUP($C$469,'DB animal categories'!$C$167:$AC$176,27,FALSE)*AJ471+Q471+R471+S471-'Calc (ex-housing, ex-storage)'!AC471,IF(AS471=3,('Calc (ex-animal)'!$K$90+'Calc (ex-animal)'!$L$90)*'Calc (ex-housing, ex-storage)'!F471/100/VLOOKUP($C$469,'DB animal categories'!$C$167:$AC$176,27,FALSE)*AJ471+Q471+R471+S471-'Calc (ex-housing, ex-storage)'!AC471-AD471-AE471,IF(AI471=4,('Calc (ex-animal)'!$K$90+'Calc (ex-animal)'!$L$90)*'Calc (ex-housing, ex-storage)'!F471/100*VLOOKUP(D471,'DB technologies'!$N$224:$Y$236,12,FALSE)/100/VLOOKUP($C$469,'DB animal categories'!$C$167:$AC$176,27,FALSE)*AJ471+Q471+R471+S471-(VLOOKUP(D471,'DB technologies'!$N$224:$Y$236,12,FALSE)/100*AC471)-AD471-AE471,0))))))</f>
        <v/>
      </c>
      <c r="AY471" s="182" t="str">
        <f>IF(D471="","",IF(AS471=2,0,IF(AS471=1,'Calc (ex-animal)'!$N$90*'Calc (ex-housing, ex-storage)'!F471/100/VLOOKUP($C$469,'DB animal categories'!$C$167:$AC$176,27,FALSE)*AJ471+U471+V471+W471,IF(AS471=5,('Calc (ex-animal)'!$N$90+'Calc (ex-animal)'!$O$90)*'Calc (ex-housing, ex-storage)'!F471/100/VLOOKUP($C$469,'DB animal categories'!$C$167:$AC$176,27,FALSE)*AJ471+U471+V471+W471,IF(AS471=3,('Calc (ex-animal)'!$N$90+'Calc (ex-animal)'!$O$90)*'Calc (ex-housing, ex-storage)'!F471/100/VLOOKUP($C$469,'DB animal categories'!$C$167:$AC$176,27,FALSE)*AJ471+U471+V471+W471,IF(AS471=4,('Calc (ex-animal)'!$N$90+'Calc (ex-animal)'!$O$90)*'Calc (ex-housing, ex-storage)'!F471/100*VLOOKUP(D471,'DB technologies'!$N$224:$Y$236,12,FALSE)/100/VLOOKUP($C$469,'DB animal categories'!$C$167:$AC$176,27,FALSE)*AJ471+U471+V471+W471,0))))))</f>
        <v/>
      </c>
      <c r="AZ471" s="182" t="str">
        <f>IF(D471="","",IF(AS471=2,0,IF(AS471=1,'Calc (ex-animal)'!$Q$90*'Calc (ex-housing, ex-storage)'!F471/100/VLOOKUP($C$469,'DB animal categories'!$C$167:$AC$176,27,FALSE)*AJ471+Y471+Z471+AA471,IF(AS471=5,('Calc (ex-animal)'!$Q$90+'Calc (ex-animal)'!$R$90)*'Calc (ex-housing, ex-storage)'!F471/100/VLOOKUP($C$469,'DB animal categories'!$C$167:$AC$176,27,FALSE)*AJ471+Y471+Z471+AA471,IF(AS471=3,('Calc (ex-animal)'!$Q$90+'Calc (ex-animal)'!$R$90)*'Calc (ex-housing, ex-storage)'!F471/100/VLOOKUP($C$469,'DB animal categories'!$C$167:$AC$176,27,FALSE)*AJ471+Y471+Z471+AA471,IF(AS471=4,('Calc (ex-animal)'!$Q$90+'Calc (ex-animal)'!$R$90)*'Calc (ex-housing, ex-storage)'!F471/100*VLOOKUP(D471,'DB technologies'!$N$224:$Y$236,12,FALSE)/100/VLOOKUP($C$469,'DB animal categories'!$C$167:$AC$176,27,FALSE)*AJ471+Y471+Z471+AA471,0))))))</f>
        <v/>
      </c>
      <c r="BA471" s="506"/>
      <c r="BB471" s="506"/>
      <c r="BC471" s="506"/>
    </row>
    <row r="472" spans="1:55" x14ac:dyDescent="0.2">
      <c r="A472" s="695"/>
      <c r="B472" s="695"/>
      <c r="C472" s="251"/>
      <c r="D472" s="1357"/>
      <c r="E472" s="1358"/>
      <c r="F472" s="480" t="str">
        <f>IF('Calc (ex-animal)'!$F$88=1,"",IF($C$469=0,"",IF(D472="","",E472/'Calc (ex-animal)'!$E$90*100)))</f>
        <v/>
      </c>
      <c r="G472" s="485" t="str">
        <f>IF($C$469=0,"",IF('Calc (ex-animal)'!$F$88=1,"",IF(D472="","",SUM(H472:O472))))</f>
        <v/>
      </c>
      <c r="H472" s="423" t="str">
        <f>IF('Calc (ex-animal)'!$F$88=1,"",IF(D472="","",(((VLOOKUP($C$469,'Calc (ex-animal)'!$D$88:$Y$92,6,FALSE)-VLOOKUP($C$469,'Calc (ex-animal)'!$D$88:$Y$92,17,FALSE))*F472/100))*VLOOKUP($C$469,'Calc (ex-animal)'!$D$88:$Y$92,7,FALSE)/100*(1-VLOOKUP(D472,'DB technologies'!$N$224:$Y$236,9,FALSE)/100)))</f>
        <v/>
      </c>
      <c r="I472" s="423" t="str">
        <f>IF(D472="","",((VLOOKUP(D472,'DB technologies'!$N$224:$Y$236,2,FALSE)*VLOOKUP($C$469,'DB animal categories'!$C$167:$AC$176,27,FALSE)*E472/1000)/VLOOKUP($C$469,'DB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'!$S$6/100*(1-VLOOKUP(D472,'DB technologies'!$N$224:$Y$236,9,FALSE)/100)))</f>
        <v/>
      </c>
      <c r="J472" s="434" t="str">
        <f>IF(D472="","",((VLOOKUP(D472,'DB technologies'!$N$224:$Y$236,3,FALSE)*VLOOKUP($C$469,'DB animal categories'!$C$167:$AC$176,27,FALSE)*E472/1000)/VLOOKUP($C$469,'DB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'!$S$7/100*(1-VLOOKUP(D472,'DB technologies'!$N$224:$Y$236,9,FALSE)/100)))</f>
        <v/>
      </c>
      <c r="K472" s="434" t="str">
        <f>IF(D472="","",((VLOOKUP(D472,'DB technologies'!$N$224:$Y$236,4,FALSE)*E472*'DB additional information '!$S$8/100*(1-VLOOKUP(D472,'DB technologies'!$N$224:$Y$236,9,FALSE)/100))/VLOOKUP($C$469,'DB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L472" s="423" t="str">
        <f>IF('Calc (ex-animal)'!$F$88=1,"",IF(D472="","",(((VLOOKUP($C$469,'Calc (ex-animal)'!$D$88:$Y$92,6,FALSE)-VLOOKUP($C$469,'Calc (ex-animal)'!$D$88:$Y$92,17,FALSE))*F472/100))*(1-VLOOKUP($C$469,'Calc (ex-animal)'!$D$88:$Y$92,7,FALSE)/100)*(1-VLOOKUP(D472,'DB technologies'!$N$224:$V$236,8,FALSE)/100)))</f>
        <v/>
      </c>
      <c r="M472" s="434" t="str">
        <f>IF(D472="","",((VLOOKUP(D472,'DB technologies'!$N$224:$Y$236,2,FALSE)*VLOOKUP($C$469,'DB animal categories'!$C$167:$AC$176,27,FALSE)*E472/1000)/VLOOKUP($C$469,'DB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'!$S$6/100)*(1-VLOOKUP(D472,'DB technologies'!$N$224:$Y$236,9,FALSE)/100))</f>
        <v/>
      </c>
      <c r="N472" s="434" t="str">
        <f>IF(D472="","",((VLOOKUP(D472,'DB technologies'!$N$224:$Y$236,3,FALSE)*VLOOKUP($C$469,'DB animal categories'!$C$167:$AC$176,27,FALSE)*E472/1000)/VLOOKUP($C$469,'DB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'!$S$7/100)*(1-VLOOKUP(D472,'DB technologies'!$N$224:$Y$236,9,FALSE)/100))</f>
        <v/>
      </c>
      <c r="O472" s="423" t="str">
        <f>IF(D472="","",((VLOOKUP(D472,'DB technologies'!$N$224:$Y$236,4,FALSE)*E472*(1-'DB additional information '!$S$8/100)*(1-VLOOKUP(D472,'DB technologies'!$N$224:$Y$236,8,FALSE)/100))/VLOOKUP($C$469,'DB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P472" s="438" t="str">
        <f>IF(G472=0,0,IF(E472="","",IF(F472="","",IF($C$469=0,"",IF(D472="","",SUM(H472:K472)/G472*100)))))</f>
        <v/>
      </c>
      <c r="Q472" s="416" t="str">
        <f>IF(D472="","",(VLOOKUP(D472,'DB technologies'!$N$224:$Y$236,2,FALSE)*'DB additional information '!$S$6/100*'DB additional information '!$T$6*VLOOKUP($C$469,'DB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R472" s="416" t="str">
        <f>IF(D472="","",(VLOOKUP(D472,'DB technologies'!$N$224:$Y$236,3,FALSE)*'DB additional information '!$S$7/100*'DB additional information '!$T$7*VLOOKUP($C$469,'DB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S472" s="491" t="str">
        <f>IF(D472="","",(VLOOKUP(D472,'DB technologies'!$N$224:$Y$236,4,FALSE)*('DB additional information '!$S$8/100*'DB additional information '!$T$8*E472/1000/1000)))</f>
        <v/>
      </c>
      <c r="T472" s="264" t="str">
        <f>IF($C$469=0,"",IF('Calc (ex-animal)'!$F$88=1,"",IF(D472="","",((VLOOKUP($C$469,'Calc (ex-animal)'!$D$88:$Y$92,10,FALSE)-VLOOKUP($C$469,'Calc (ex-animal)'!$D$88:$Y$92,18,FALSE))*F472/100+Q472+R472+S472)-AC472-AD472-AE472)))</f>
        <v/>
      </c>
      <c r="U472" s="422" t="str">
        <f>IF(D472="","",(VLOOKUP(D472,'DB technologies'!$N$224:$Y$236,2,FALSE)*'DB additional information '!$S$6/100*'DB additional information '!$U$6*VLOOKUP($C$469,'DB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V472" s="418" t="str">
        <f>IF(D472="","",(VLOOKUP(D472,'DB technologies'!$N$224:$Y$236,3,FALSE)*'DB additional information '!$S$7/100*'DB additional information '!$U$7*VLOOKUP($C$469,'DB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W472" s="417" t="str">
        <f>IF(D472="","",(VLOOKUP(D472,'DB technologies'!$N$224:$Y$236,4,FALSE)*('DB additional information '!$S$8/100*'DB additional information '!$U$8*E472/1000/1000)))</f>
        <v/>
      </c>
      <c r="X472" s="261" t="str">
        <f>IF($C$469=0,"",IF('Calc (ex-animal)'!$F$88=1,"",IF(D472="","",((VLOOKUP($C$469,'Calc (ex-animal)'!$D$88:$Y$92,13,FALSE)-VLOOKUP($C$469,'Calc (ex-animal)'!$D$88:$Y$92,19,FALSE))*F472/100+U472+V472+W472))))</f>
        <v/>
      </c>
      <c r="Y472" s="418" t="str">
        <f>IF(D472="","",(VLOOKUP(D472,'DB technologies'!$N$224:$Y$236,2,FALSE)*'DB additional information '!$S$6/100*'DB additional information '!$V$6*VLOOKUP($C$469,'DB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Z472" s="418" t="str">
        <f>IF(D472="","",(VLOOKUP(D472,'DB technologies'!$N$224:$Y$236,3,FALSE)*'DB additional information '!$S$7/100*'DB additional information '!$V$7*VLOOKUP($C$469,'DB animal categories'!$C$167:$AC$176,27,FALSE)*E472/1000/1000)/VLOOKUP($C$469,'DB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AA472" s="418" t="str">
        <f>IF(D472="","",(VLOOKUP(D472,'DB technologies'!$N$224:$Y$236,4,FALSE)*('DB additional information '!$S$8/100*'DB additional information '!$V$8*E472/1000/1000)))</f>
        <v/>
      </c>
      <c r="AB472" s="261" t="str">
        <f>IF($C$469=0,"",IF('Calc (ex-animal)'!$F$88=1,"",IF(D472="","",((VLOOKUP($C$469,'Calc (ex-animal)'!$D$88:$Y$92,16,FALSE)-VLOOKUP($C$469,'Calc (ex-animal)'!$D$88:$Y$92,20,FALSE))*F472/100+Y472+Z472+AA472))))</f>
        <v/>
      </c>
      <c r="AC472" s="261" t="str">
        <f>IF($C$469=0,"",IF('Calc (ex-animal)'!$F$88=1,"",IF(D472="","",VLOOKUP($C$469,'Calc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categories'!$C$167:$AC$176,26,FALSE)/24)*F472/100*VLOOKUP(D472,'DB technologies'!$N$224:$R$236,5,FALSE)/100)))</f>
        <v/>
      </c>
      <c r="AD472" s="261" t="str">
        <f>IF($C$469=0,"",IF('Calc (ex-animal)'!$F$88=1,"",IF(D472="","",VLOOKUP($C$469,'Calc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categories'!$C$167:$AC$176,26,FALSE)/24)*F472/100*VLOOKUP(D472,'DB technologies'!$N$224:$Y$236,6,FALSE)/100)))</f>
        <v/>
      </c>
      <c r="AE472" s="262" t="str">
        <f>IF($C$469=0,"",IF('Calc (ex-animal)'!$F$88=1,"",IF(D472="","",VLOOKUP($C$469,'Calc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categories'!$C$167:$AC$176,26,FALSE)/24)*F472/100*VLOOKUP(D472,'DB technologies'!$N$224:$Y$236,7,FALSE)/100)))</f>
        <v/>
      </c>
      <c r="AI472" s="181" t="str">
        <f>IF(D472="","",VLOOKUP(D472,'DB technologies'!$N$224:$Y$236,10,FALSE))</f>
        <v/>
      </c>
      <c r="AJ472" s="449" t="e">
        <f>VLOOKUP($C$469,'DB animal categories'!$C$167:$AN$176,27,FALSE)-VLOOKUP($C$469,'DB animal categories'!$C$167:$AN$176,26,FALSE)*VLOOKUP($C$469,'DB animal categories'!$C$167:$AN$176,25,FALSE)/24</f>
        <v>#N/A</v>
      </c>
      <c r="AK472" s="442" t="str">
        <f>IF(AI472="","",AL472+AM472)</f>
        <v/>
      </c>
      <c r="AL472" s="442" t="str">
        <f>IF(D472="","",IF(AI472=2,(('Calc (ex-animal)'!$G$90*'DB additional information '!$K$19/100*(1-VLOOKUP(D472,'DB technologies'!$N$224:$Y$236,9,FALSE)/100)*'Calc (ex-housing, ex-storage)'!F472/100+'Calc (ex-animal)'!$H$90*'DB additional information '!$L$19/100*(1-VLOOKUP(D472,'DB technologies'!$N$224:$Y$236,9,FALSE)/100)*'Calc (ex-housing, ex-storage)'!F472/100))/VLOOKUP($C$469,'DB animal categories'!$C$167:$AC$176,27,FALSE)*AJ472+I472+J472+K472,IF(AI472=1,('Calc (ex-animal)'!$H$90*'DB additional information '!$L$19/100*(1-VLOOKUP(D472,'DB technologies'!$N$224:$Y$236,9,FALSE)/100)*'Calc (ex-housing, ex-storage)'!F472/100)/VLOOKUP($C$469,'DB animal categories'!$C$167:$AC$176,27,FALSE)*AJ472,IF(AI472=4,('Calc (ex-animal)'!$G$90*'DB additional information '!$K$19/100+'Calc (ex-animal)'!$H$90*'DB additional information '!$L$19/100)*(1-VLOOKUP(D472,'DB technologies'!$N$224:$Y$236,9,FALSE)/100)*'Calc (ex-housing, ex-storage)'!F472/100*VLOOKUP(D472,'DB technologies'!$N$224:$Y$236,11,FALSE)/100/VLOOKUP($C$469,'DB animal categories'!$C$167:$AC$176,27,FALSE)*AJ472,0))))</f>
        <v/>
      </c>
      <c r="AM472" s="442" t="str">
        <f>IF(D472="","",IF(AI472=2,(('Calc (ex-animal)'!$G$90*(1-'DB additional information '!$K$19/100)*(1-VLOOKUP(D472,'DB technologies'!$N$224:$Y$236,8,FALSE)/100)*'Calc (ex-housing, ex-storage)'!F472/100+'Calc (ex-animal)'!$H$90*(1-'DB additional information '!$L$19/100)*(1-VLOOKUP(D472,'DB technologies'!$N$224:$Y$236,8,FALSE)/100)*'Calc (ex-housing, ex-storage)'!F472/100))/VLOOKUP($C$469,'DB animal categories'!$C$167:$AC$176,27,FALSE)*AJ472+M472+N472+O472,IF(AI472=1,('Calc (ex-animal)'!$H$90*(1-'DB additional information '!$L$19/100)*(1-VLOOKUP(D472,'DB technologies'!$N$224:$Y$236,8,FALSE)/100)*'Calc (ex-housing, ex-storage)'!F472/100)/VLOOKUP($C$469,'DB animal categories'!$C$167:$AC$176,27,FALSE)*AJ472,IF(AI472=4,('Calc (ex-animal)'!$G$90*(1-'DB additional information '!$K$19/100)+'Calc (ex-animal)'!$H$90*(1-'DB additional information '!$L$19/100))*(1-VLOOKUP(D472,'DB technologies'!$N$224:$Y$236,8,FALSE)/100)*'Calc (ex-housing, ex-storage)'!F472/100*VLOOKUP(D472,'DB technologies'!$N$224:$Y$236,11,FALSE)/100/VLOOKUP($C$469,'DB animal categories'!$C$167:$AC$176,27,FALSE)*AJ472,0))))</f>
        <v/>
      </c>
      <c r="AN472" s="442" t="str">
        <f>IF(AI472="","",IF(AL472=0,0,AL472/AK472*100))</f>
        <v/>
      </c>
      <c r="AO472" s="182" t="str">
        <f>IF(D472="","",IF(AI472=2,(('Calc (ex-animal)'!$L$90*'Calc (ex-housing, ex-storage)'!F472/100+'Calc (ex-animal)'!$K$90*'Calc (ex-housing, ex-storage)'!F472/100))/VLOOKUP($C$469,'DB animal categories'!$C$167:$AC$176,27,FALSE)*AJ472+Q472+R472+S472-AC472,IF(AI472=1,('Calc (ex-animal)'!$L$90*'Calc (ex-housing, ex-storage)'!F472/100)/VLOOKUP($C$469,'DB animal categories'!$C$167:$AC$176,27,FALSE)*AJ472-'Calc (ex-housing, ex-storage)'!AC472,IF(AI472=4,('Calc (ex-animal)'!$L$90+'Calc (ex-animal)'!$K$90)*'Calc (ex-housing, ex-storage)'!F472/100*VLOOKUP(D472,'DB technologies'!$N$224:$Y$236,11,FALSE)/100/VLOOKUP($C$469,'DB animal categories'!$C$167:$AC$176,27,FALSE)*AJ472-AC472*VLOOKUP(D472,'DB technologies'!$N$224:$Y$236,11,FALSE)/100,0))))</f>
        <v/>
      </c>
      <c r="AP472" s="182" t="str">
        <f>IF(D472="","",IF(AO472&lt;-0.01,0,IF(AI472=2,(('Calc (ex-animal)'!$L$90*'Calc (ex-housing, ex-storage)'!F472/100+'Calc (ex-animal)'!$K$90*'Calc (ex-housing, ex-storage)'!F472/100))/VLOOKUP($C$469,'DB animal categories'!$C$167:$AC$176,27,FALSE)*AJ472+Q472+R472+S472-AC472,IF(AI472=1,('Calc (ex-animal)'!$L$90*'Calc (ex-housing, ex-storage)'!F472/100)/VLOOKUP($C$469,'DB animal categories'!$C$167:$AC$176,27,FALSE)*AJ472-'Calc (ex-housing, ex-storage)'!AC472,IF(AI472=4,('Calc (ex-animal)'!$L$90+'Calc (ex-animal)'!$K$90)*'Calc (ex-housing, ex-storage)'!F472/100*VLOOKUP(D472,'DB technologies'!$N$224:$Y$236,11,FALSE)/100/VLOOKUP($C$469,'DB animal categories'!$C$167:$AC$176,27,FALSE)*AJ472-AC472*VLOOKUP(D472,'DB technologies'!$N$224:$Y$236,11,FALSE)/100,0)))))</f>
        <v/>
      </c>
      <c r="AQ472" s="182" t="str">
        <f>IF(D472="","",IF(AI472=2,('Calc (ex-animal)'!$O$90*'Calc (ex-housing, ex-storage)'!F472/100+'Calc (ex-animal)'!$N$90*'Calc (ex-housing, ex-storage)'!F472/100)/VLOOKUP($C$469,'DB animal categories'!$C$167:$AC$176,27,FALSE)*AJ472+U472+V472+W472,IF(AI472=1,'Calc (ex-animal)'!$O$90*'Calc (ex-housing, ex-storage)'!F472/100/VLOOKUP($C$469,'DB animal categories'!$C$167:$AC$176,27,FALSE)*AJ472,IF(AI472=4,('Calc (ex-animal)'!$O$90+'Calc (ex-animal)'!$N$90)*'Calc (ex-housing, ex-storage)'!F472/100*VLOOKUP(D472,'DB technologies'!$N$224:$Y$236,11,FALSE)/100/VLOOKUP($C$469,'DB animal categories'!$C$167:$AC$176,27,FALSE)*AJ472,0))))</f>
        <v/>
      </c>
      <c r="AR472" s="182" t="str">
        <f>IF(D472="","",IF(AI472=2,('Calc (ex-animal)'!$R$90*'Calc (ex-housing, ex-storage)'!F472/100+'Calc (ex-animal)'!$Q$90*'Calc (ex-housing, ex-storage)'!F472/100)/VLOOKUP($C$469,'DB animal categories'!$C$167:$AC$176,27,FALSE)*AJ472+Y472+Z472+AA472,IF(AI472=1,'Calc (ex-animal)'!$R$90*'Calc (ex-housing, ex-storage)'!F472/100/VLOOKUP($C$469,'DB animal categories'!$C$167:$AC$176,27,FALSE)*AJ472,IF(AI472=4,('Calc (ex-animal)'!$R$90+'Calc (ex-animal)'!$Q$90)*'Calc (ex-housing, ex-storage)'!F472/100*VLOOKUP(D472,'DB technologies'!$N$224:$Y$236,11,FALSE)/100/VLOOKUP($C$469,'DB animal categories'!$C$167:$AC$176,27,FALSE)*AJ472,0))))</f>
        <v/>
      </c>
      <c r="AS472" s="181" t="str">
        <f>IF(D472="","",VLOOKUP(D472,'DB technologies'!$N$224:$Y$236,10,FALSE))</f>
        <v/>
      </c>
      <c r="AT472" s="442" t="str">
        <f>IF(AS472="","",AU472+AV472)</f>
        <v/>
      </c>
      <c r="AU472" s="442" t="str">
        <f>IF(D472="","",IF(AS472=2,0,IF(AS472=1,'Calc (ex-animal)'!$G$90*'DB additional information '!$K$19/100*(1-VLOOKUP(D472,'DB technologies'!$N$224:$Y$236,8,FALSE)/100)*'Calc (ex-housing, ex-storage)'!F472/100/VLOOKUP($C$469,'DB animal categories'!$C$167:$AC$176,27,FALSE)*AJ472+I472+J472+K472,IF(AS472=5,(('Calc (ex-animal)'!$G$90*'DB additional information '!$K$19/100+'Calc (ex-animal)'!$H$90*'DB additional information '!$L$19/100))*(1-VLOOKUP(D472,'DB technologies'!$N$224:$Y$236,9,FALSE)/100)*'Calc (ex-housing, ex-storage)'!F472/100/VLOOKUP($C$469,'DB animal categories'!$C$167:$AC$176,27,FALSE)*AJ472+I472+J472+K472,IF(AS472=3,('Calc (ex-animal)'!$G$90*'DB additional information '!$K$19/100+'Calc (ex-animal)'!$H$90*'DB additional information '!$L$19/100)*(1-VLOOKUP(D472,'DB technologies'!$N$224:$Y$236,9,FALSE)/100)*'Calc (ex-housing, ex-storage)'!F472/100/VLOOKUP($C$469,'DB animal categories'!$C$167:$AC$176,27,FALSE)*AJ472+I472+J472+K472,IF(AS472=4,('Calc (ex-animal)'!$G$90*'DB additional information '!$K$19/100+'Calc (ex-animal)'!$H$90*'DB additional information '!$L$19/100)*(1-VLOOKUP(D472,'DB technologies'!$N$224:$Y$236,9,FALSE)/100)*'Calc (ex-housing, ex-storage)'!F472/100*VLOOKUP(D472,'DB technologies'!$N$224:$Y$236,12,FALSE)/100/VLOOKUP($C$469,'DB animal categories'!$C$167:$AC$176,27,FALSE)*AJ472+I472+J472+K472,0))))))</f>
        <v/>
      </c>
      <c r="AV472" s="442" t="str">
        <f>IF(D472="","",IF(AS472=2,0,IF(AS472=1,'Calc (ex-animal)'!$G$90*(1-'DB additional information '!$K$19/100)*(1-VLOOKUP(D472,'DB technologies'!$N$224:$Y$236,8,FALSE)/100)*'Calc (ex-housing, ex-storage)'!F472/100/VLOOKUP($C$469,'DB animal categories'!$C$167:$AC$176,27,FALSE)*AJ472+M472+N472+O472,IF(AS472=5,('Calc (ex-animal)'!$G$90*(1-'DB additional information '!$K$19/100)+'Calc (ex-animal)'!$H$90*(1-'DB additional information '!$L$19/100))*(1-VLOOKUP(D472,'DB technologies'!$N$224:$Y$236,8,FALSE)/100)*'Calc (ex-housing, ex-storage)'!F472/100/VLOOKUP($C$469,'DB animal categories'!$C$167:$AC$176,27,FALSE)*AJ472+M472+N472+O472,IF(AS472=3,('Calc (ex-animal)'!$G$90*(1-'DB additional information '!$K$19/100)+'Calc (ex-animal)'!$H$90*(1-'DB additional information '!$L$19/100))*(1-VLOOKUP(D472,'DB technologies'!$N$224:$Y$236,8,FALSE)/100)*'Calc (ex-housing, ex-storage)'!F472/100/VLOOKUP($C$469,'DB animal categories'!$C$167:$AC$176,27,FALSE)*AJ472+M472+N472+O472,IF(AS472=4,('Calc (ex-animal)'!$G$90*(1-'DB additional information '!$K$19/100)+'Calc (ex-animal)'!$H$90*(1-'DB additional information '!$L$19/100))*(1-VLOOKUP(D472,'DB technologies'!$N$224:$Y$236,8,FALSE)/100)*'Calc (ex-housing, ex-storage)'!F472/100*VLOOKUP(D472,'DB technologies'!$N$224:$Y$236,12,FALSE)/100/VLOOKUP($C$469,'DB animal categories'!$C$167:$AC$176,27,FALSE)*AJ472+M472+N472+O472,0))))))</f>
        <v/>
      </c>
      <c r="AW472" s="442" t="str">
        <f>IF(AS472="","",IF(AU472=0,0,AU472/AT472*100))</f>
        <v/>
      </c>
      <c r="AX472" s="182" t="str">
        <f>IF(D472="","",IF(AS472=2,0,IF(AS472=1,'Calc (ex-animal)'!$K$90*'Calc (ex-housing, ex-storage)'!F472/100/VLOOKUP($C$469,'DB animal categories'!$C$167:$AC$176,27,FALSE)*AJ472+Q472+R472+S472,IF(AS472=5,('Calc (ex-animal)'!$K$90+'Calc (ex-animal)'!$L$90)*'Calc (ex-housing, ex-storage)'!F472/100/VLOOKUP($C$469,'DB animal categories'!$C$167:$AC$176,27,FALSE)*AJ472+Q472+R472+S472-'Calc (ex-housing, ex-storage)'!AC472,IF(AS472=3,('Calc (ex-animal)'!$K$90+'Calc (ex-animal)'!$L$90)*'Calc (ex-housing, ex-storage)'!F472/100/VLOOKUP($C$469,'DB animal categories'!$C$167:$AC$176,27,FALSE)*AJ472+Q472+R472+S472-'Calc (ex-housing, ex-storage)'!AC472-AD472-AE472,IF(AI472=4,('Calc (ex-animal)'!$K$90+'Calc (ex-animal)'!$L$90)*'Calc (ex-housing, ex-storage)'!F472/100*VLOOKUP(D472,'DB technologies'!$N$224:$Y$236,12,FALSE)/100/VLOOKUP($C$469,'DB animal categories'!$C$167:$AC$176,27,FALSE)*AJ472+Q472+R472+S472-(VLOOKUP(D472,'DB technologies'!$N$224:$Y$236,12,FALSE)/100*AC472)-AD472-AE472,0))))))</f>
        <v/>
      </c>
      <c r="AY472" s="182" t="str">
        <f>IF(D472="","",IF(AS472=2,0,IF(AS472=1,'Calc (ex-animal)'!$N$90*'Calc (ex-housing, ex-storage)'!F472/100/VLOOKUP($C$469,'DB animal categories'!$C$167:$AC$176,27,FALSE)*AJ472+U472+V472+W472,IF(AS472=5,('Calc (ex-animal)'!$N$90+'Calc (ex-animal)'!$O$90)*'Calc (ex-housing, ex-storage)'!F472/100/VLOOKUP($C$469,'DB animal categories'!$C$167:$AC$176,27,FALSE)*AJ472+U472+V472+W472,IF(AS472=3,('Calc (ex-animal)'!$N$90+'Calc (ex-animal)'!$O$90)*'Calc (ex-housing, ex-storage)'!F472/100/VLOOKUP($C$469,'DB animal categories'!$C$167:$AC$176,27,FALSE)*AJ472+U472+V472+W472,IF(AS472=4,('Calc (ex-animal)'!$N$90+'Calc (ex-animal)'!$O$90)*'Calc (ex-housing, ex-storage)'!F472/100*VLOOKUP(D472,'DB technologies'!$N$224:$Y$236,12,FALSE)/100/VLOOKUP($C$469,'DB animal categories'!$C$167:$AC$176,27,FALSE)*AJ472+U472+V472+W472,0))))))</f>
        <v/>
      </c>
      <c r="AZ472" s="182" t="str">
        <f>IF(D472="","",IF(AS472=2,0,IF(AS472=1,'Calc (ex-animal)'!$Q$90*'Calc (ex-housing, ex-storage)'!F472/100/VLOOKUP($C$469,'DB animal categories'!$C$167:$AC$176,27,FALSE)*AJ472+Y472+Z472+AA472,IF(AS472=5,('Calc (ex-animal)'!$Q$90+'Calc (ex-animal)'!$R$90)*'Calc (ex-housing, ex-storage)'!F472/100/VLOOKUP($C$469,'DB animal categories'!$C$167:$AC$176,27,FALSE)*AJ472+Y472+Z472+AA472,IF(AS472=3,('Calc (ex-animal)'!$Q$90+'Calc (ex-animal)'!$R$90)*'Calc (ex-housing, ex-storage)'!F472/100/VLOOKUP($C$469,'DB animal categories'!$C$167:$AC$176,27,FALSE)*AJ472+Y472+Z472+AA472,IF(AS472=4,('Calc (ex-animal)'!$Q$90+'Calc (ex-animal)'!$R$90)*'Calc (ex-housing, ex-storage)'!F472/100*VLOOKUP(D472,'DB technologies'!$N$224:$Y$236,12,FALSE)/100/VLOOKUP($C$469,'DB animal categories'!$C$167:$AC$176,27,FALSE)*AJ472+Y472+Z472+AA472,0))))))</f>
        <v/>
      </c>
      <c r="BA472" s="506"/>
      <c r="BB472" s="506"/>
      <c r="BC472" s="506"/>
    </row>
    <row r="473" spans="1:55" ht="12" thickBot="1" x14ac:dyDescent="0.25">
      <c r="A473" s="695"/>
      <c r="B473" s="695"/>
      <c r="C473" s="251"/>
      <c r="D473" s="1359"/>
      <c r="E473" s="1360"/>
      <c r="F473" s="481" t="str">
        <f>IF('Calc (ex-animal)'!$F$88=1,"",IF($C$469=0,"",IF(D473="","",E473/'Calc (ex-animal)'!$E$90*100)))</f>
        <v/>
      </c>
      <c r="G473" s="483" t="str">
        <f>IF($C$469=0,"",IF('Calc (ex-animal)'!$F$88=1,"",IF(D473="","",SUM(H473:O473))))</f>
        <v/>
      </c>
      <c r="H473" s="445" t="str">
        <f>IF('Calc (ex-animal)'!$F$88=1,"",IF(D473="","",(((VLOOKUP($C$469,'Calc (ex-animal)'!$D$88:$Y$92,6,FALSE)-VLOOKUP($C$469,'Calc (ex-animal)'!$D$88:$Y$92,17,FALSE))*F473/100))*VLOOKUP($C$469,'Calc (ex-animal)'!$D$88:$Y$92,7,FALSE)/100*(1-VLOOKUP(D473,'DB technologies'!$N$224:$Y$236,9,FALSE)/100)))</f>
        <v/>
      </c>
      <c r="I473" s="445" t="str">
        <f>IF(D473="","",((VLOOKUP(D473,'DB technologies'!$N$224:$Y$236,2,FALSE)*VLOOKUP($C$469,'DB animal categories'!$C$167:$AC$176,27,FALSE)*E473/1000)/VLOOKUP($C$469,'DB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'!$S$6/100*(1-VLOOKUP(D473,'DB technologies'!$N$224:$Y$236,9,FALSE)/100)))</f>
        <v/>
      </c>
      <c r="J473" s="446" t="str">
        <f>IF(D473="","",((VLOOKUP(D473,'DB technologies'!$N$224:$Y$236,3,FALSE)*VLOOKUP($C$469,'DB animal categories'!$C$167:$AC$176,27,FALSE)*E473/1000)/VLOOKUP($C$469,'DB animal categories'!$C$167:$AC$176,27,FALSE)*(VLOOKUP($C$469,'DB animal categories'!$C$167:$AC$176,27,FALSE)-(VLOOKUP($C$469,'DB animal categories'!$C$167:$AC$176,25,FALSE)*VLOOKUP($C$469,'DB animal categories'!$C$167:$AC$176,26,FALSE)/24))*'DB additional information '!$S$7/100*(1-VLOOKUP(D473,'DB technologies'!$N$224:$Y$236,9,FALSE)/100)))</f>
        <v/>
      </c>
      <c r="K473" s="446" t="str">
        <f>IF(D473="","",((VLOOKUP(D473,'DB technologies'!$N$224:$Y$236,4,FALSE)*E473*'DB additional information '!$S$8/100*(1-VLOOKUP(D473,'DB technologies'!$N$224:$Y$236,9,FALSE)/100))/VLOOKUP($C$469,'DB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L473" s="445" t="str">
        <f>IF('Calc (ex-animal)'!$F$88=1,"",IF(D473="","",(((VLOOKUP($C$469,'Calc (ex-animal)'!$D$88:$Y$92,6,FALSE)-VLOOKUP($C$469,'Calc (ex-animal)'!$D$88:$Y$92,17,FALSE))*F473/100))*(1-VLOOKUP($C$469,'Calc (ex-animal)'!$D$88:$Y$92,7,FALSE)/100)*(1-VLOOKUP(D473,'DB technologies'!$N$224:$V$236,8,FALSE)/100)))</f>
        <v/>
      </c>
      <c r="M473" s="446" t="str">
        <f>IF(D473="","",((VLOOKUP(D473,'DB technologies'!$N$224:$Y$236,2,FALSE)*VLOOKUP($C$469,'DB animal categories'!$C$167:$AC$176,27,FALSE)*E473/1000)/VLOOKUP($C$469,'DB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'!$S$6/100)*(1-VLOOKUP(D473,'DB technologies'!$N$224:$Y$236,9,FALSE)/100))</f>
        <v/>
      </c>
      <c r="N473" s="446" t="str">
        <f>IF(D473="","",((VLOOKUP(D473,'DB technologies'!$N$224:$Y$236,3,FALSE)*VLOOKUP($C$469,'DB animal categories'!$C$167:$AC$176,27,FALSE)*E473/1000)/VLOOKUP($C$469,'DB animal categories'!$C$167:$AC$176,27,FALSE)*(VLOOKUP($C$469,'DB animal categories'!$C$167:$AC$176,27,FALSE)-VLOOKUP($C$469,'DB animal categories'!$C$167:$AC$176,25,FALSE)*VLOOKUP($C$469,'DB animal categories'!$C$167:$AC$176,26,FALSE)/24))*(1-'DB additional information '!$S$7/100)*(1-VLOOKUP(D473,'DB technologies'!$N$224:$Y$236,9,FALSE)/100))</f>
        <v/>
      </c>
      <c r="O473" s="445" t="str">
        <f>IF(D473="","",((VLOOKUP(D473,'DB technologies'!$N$224:$Y$236,4,FALSE)*E473*(1-'DB additional information '!$S$8/100)*(1-VLOOKUP(D473,'DB technologies'!$N$224:$Y$236,8,FALSE)/100))/VLOOKUP($C$469,'DB animal categories'!$C$167:$AC$176,27,FALSE)*(VLOOKUP($C$469,'DB animal categories'!$C$167:$AC$176,27,FALSE)-VLOOKUP($C$469,'DB animal categories'!$C$167:$AC$176,25,FALSE)*VLOOKUP($C$469,'DB animal categories'!$C$167:$AC$176,26,FALSE)/24)))</f>
        <v/>
      </c>
      <c r="P473" s="444" t="str">
        <f>IF(G473=0,0,IF(E473="","",IF(F473="","",IF($C$469=0,"",IF(D473="","",SUM(H473:K473)/G473*100)))))</f>
        <v/>
      </c>
      <c r="Q473" s="476" t="str">
        <f>IF(D473="","",(VLOOKUP(D473,'DB technologies'!$N$224:$Y$236,2,FALSE)*'DB additional information '!$S$6/100*'DB additional information '!$T$6*VLOOKUP($C$469,'DB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R473" s="476" t="str">
        <f>IF(D473="","",(VLOOKUP(D473,'DB technologies'!$N$224:$Y$236,3,FALSE)*'DB additional information '!$S$7/100*'DB additional information '!$T$7*VLOOKUP($C$469,'DB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S473" s="494" t="str">
        <f>IF(D473="","",(VLOOKUP(D473,'DB technologies'!$N$224:$Y$236,4,FALSE)*('DB additional information '!$S$8/100*'DB additional information '!$T$8*E473/1000/1000)))</f>
        <v/>
      </c>
      <c r="T473" s="266" t="str">
        <f>IF($C$469=0,"",IF('Calc (ex-animal)'!$F$88=1,"",IF(D473="","",((VLOOKUP($C$469,'Calc (ex-animal)'!$D$88:$Y$92,10,FALSE)-VLOOKUP($C$469,'Calc (ex-animal)'!$D$88:$Y$92,18,FALSE))*F473/100+Q473+R473+S473)-AC473-AD473-AE473)))</f>
        <v/>
      </c>
      <c r="U473" s="477" t="str">
        <f>IF(D473="","",(VLOOKUP(D473,'DB technologies'!$N$224:$Y$236,2,FALSE)*'DB additional information '!$S$6/100*'DB additional information '!$U$6*VLOOKUP($C$469,'DB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V473" s="433" t="str">
        <f>IF(D473="","",(VLOOKUP(D473,'DB technologies'!$N$224:$Y$236,3,FALSE)*'DB additional information '!$S$7/100*'DB additional information '!$U$7*VLOOKUP($C$469,'DB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W473" s="475" t="str">
        <f>IF(D473="","",(VLOOKUP(D473,'DB technologies'!$N$224:$Y$236,4,FALSE)*('DB additional information '!$S$8/100*'DB additional information '!$U$8*E473/1000/1000)))</f>
        <v/>
      </c>
      <c r="X473" s="267" t="str">
        <f>IF($C$469=0,"",IF('Calc (ex-animal)'!$F$88=1,"",IF(D473="","",((VLOOKUP($C$469,'Calc (ex-animal)'!$D$88:$Y$92,13,FALSE)-VLOOKUP($C$469,'Calc (ex-animal)'!$D$88:$Y$92,19,FALSE))*F473/100+U473+V473+W473))))</f>
        <v/>
      </c>
      <c r="Y473" s="433" t="str">
        <f>IF(D473="","",(VLOOKUP(D473,'DB technologies'!$N$224:$Y$236,2,FALSE)*'DB additional information '!$S$6/100*'DB additional information '!$V$6*VLOOKUP($C$469,'DB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Z473" s="433" t="str">
        <f>IF(D473="","",(VLOOKUP(D473,'DB technologies'!$N$224:$Y$236,3,FALSE)*'DB additional information '!$S$7/100*'DB additional information '!$V$7*VLOOKUP($C$469,'DB animal categories'!$C$167:$AC$176,27,FALSE)*E473/1000/1000)/VLOOKUP($C$469,'DB animal categories'!$C$167:$AC$176,27,FALSE)*(VLOOKUP($C$469,'DB animal categories'!$C$167:$AC$176,27,FALSE)-VLOOKUP($C$469,'DB animal categories'!$C$167:$AC$176,25,FALSE)*VLOOKUP($C$469,'DB animal categories'!$C$167:$AC$176,26,FALSE)/24))</f>
        <v/>
      </c>
      <c r="AA473" s="433" t="str">
        <f>IF(D473="","",(VLOOKUP(D473,'DB technologies'!$N$224:$Y$236,4,FALSE)*('DB additional information '!$S$8/100*'DB additional information '!$V$8*E473/1000/1000)))</f>
        <v/>
      </c>
      <c r="AB473" s="267" t="str">
        <f>IF($C$469=0,"",IF('Calc (ex-animal)'!$F$88=1,"",IF(D473="","",((VLOOKUP($C$469,'Calc (ex-animal)'!$D$88:$Y$92,16,FALSE)-VLOOKUP($C$469,'Calc (ex-animal)'!$D$88:$Y$92,20,FALSE))*F473/100+Y473+Z473+AA473))))</f>
        <v/>
      </c>
      <c r="AC473" s="267" t="str">
        <f>IF($C$469=0,"",IF('Calc (ex-animal)'!$F$88=1,"",IF(D473="","",VLOOKUP($C$469,'Calc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categories'!$C$167:$AC$176,26,FALSE)/24)*F473/100*VLOOKUP(D473,'DB technologies'!$N$224:$R$236,5,FALSE)/100)))</f>
        <v/>
      </c>
      <c r="AD473" s="267" t="str">
        <f>IF($C$469=0,"",IF('Calc (ex-animal)'!$F$88=1,"",IF(D473="","",VLOOKUP($C$469,'Calc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categories'!$C$167:$AC$176,26,FALSE)/24)*F473/100*VLOOKUP(D473,'DB technologies'!$N$224:$Y$236,6,FALSE)/100)))</f>
        <v/>
      </c>
      <c r="AE473" s="268" t="str">
        <f>IF($C$469=0,"",IF('Calc (ex-animal)'!$F$88=1,"",IF(D473="","",VLOOKUP($C$469,'Calc (ex-animal)'!$D$88:$Y$92,10,FALSE)/VLOOKUP($C$469,'DB animal categories'!$C$167:$AC$176,27,FALSE)*(VLOOKUP($C$469,'DB animal categories'!$C$167:$AC$176,27,FALSE)-VLOOKUP($C$469,'DB animal categories'!$C$167:$AC$176,25,FALSE)*VLOOKUP($C$469,'DB animal categories'!$C$167:$AC$176,26,FALSE)/24)*F473/100*VLOOKUP(D473,'DB technologies'!$N$224:$Y$236,7,FALSE)/100)))</f>
        <v/>
      </c>
      <c r="AI473" s="183" t="str">
        <f>IF(D473="","",VLOOKUP(D473,'DB technologies'!$N$224:$Y$236,10,FALSE))</f>
        <v/>
      </c>
      <c r="AJ473" s="451" t="e">
        <f>VLOOKUP($C$469,'DB animal categories'!$C$167:$AN$176,27,FALSE)-VLOOKUP($C$469,'DB animal categories'!$C$167:$AN$176,26,FALSE)*VLOOKUP($C$469,'DB animal categories'!$C$167:$AN$176,25,FALSE)/24</f>
        <v>#N/A</v>
      </c>
      <c r="AK473" s="452" t="str">
        <f>IF(AI473="","",AL473+AM473)</f>
        <v/>
      </c>
      <c r="AL473" s="452" t="str">
        <f>IF(D473="","",IF(AI473=2,(('Calc (ex-animal)'!$G$90*'DB additional information '!$K$19/100*(1-VLOOKUP(D473,'DB technologies'!$N$224:$Y$236,9,FALSE)/100)*'Calc (ex-housing, ex-storage)'!F473/100+'Calc (ex-animal)'!$H$90*'DB additional information '!$L$19/100*(1-VLOOKUP(D473,'DB technologies'!$N$224:$Y$236,9,FALSE)/100)*'Calc (ex-housing, ex-storage)'!F473/100))/VLOOKUP($C$469,'DB animal categories'!$C$167:$AC$176,27,FALSE)*AJ473+I473+J473+K473,IF(AI473=1,('Calc (ex-animal)'!$H$90*'DB additional information '!$L$19/100*(1-VLOOKUP(D473,'DB technologies'!$N$224:$Y$236,9,FALSE)/100)*'Calc (ex-housing, ex-storage)'!F473/100)/VLOOKUP($C$469,'DB animal categories'!$C$167:$AC$176,27,FALSE)*AJ473,IF(AI473=4,('Calc (ex-animal)'!$G$90*'DB additional information '!$K$19/100+'Calc (ex-animal)'!$H$90*'DB additional information '!$L$19/100)*(1-VLOOKUP(D473,'DB technologies'!$N$224:$Y$236,9,FALSE)/100)*'Calc (ex-housing, ex-storage)'!F473/100*VLOOKUP(D473,'DB technologies'!$N$224:$Y$236,11,FALSE)/100/VLOOKUP($C$469,'DB animal categories'!$C$167:$AC$176,27,FALSE)*AJ473,0))))</f>
        <v/>
      </c>
      <c r="AM473" s="452" t="str">
        <f>IF(D473="","",IF(AI473=2,(('Calc (ex-animal)'!$G$90*(1-'DB additional information '!$K$19/100)*(1-VLOOKUP(D473,'DB technologies'!$N$224:$Y$236,8,FALSE)/100)*'Calc (ex-housing, ex-storage)'!F473/100+'Calc (ex-animal)'!$H$90*(1-'DB additional information '!$L$19/100)*(1-VLOOKUP(D473,'DB technologies'!$N$224:$Y$236,8,FALSE)/100)*'Calc (ex-housing, ex-storage)'!F473/100))/VLOOKUP($C$469,'DB animal categories'!$C$167:$AC$176,27,FALSE)*AJ473+M473+N473+O473,IF(AI473=1,('Calc (ex-animal)'!$H$90*(1-'DB additional information '!$L$19/100)*(1-VLOOKUP(D473,'DB technologies'!$N$224:$Y$236,8,FALSE)/100)*'Calc (ex-housing, ex-storage)'!F473/100)/VLOOKUP($C$469,'DB animal categories'!$C$167:$AC$176,27,FALSE)*AJ473,IF(AI473=4,('Calc (ex-animal)'!$G$90*(1-'DB additional information '!$K$19/100)+'Calc (ex-animal)'!$H$90*(1-'DB additional information '!$L$19/100))*(1-VLOOKUP(D473,'DB technologies'!$N$224:$Y$236,8,FALSE)/100)*'Calc (ex-housing, ex-storage)'!F473/100*VLOOKUP(D473,'DB technologies'!$N$224:$Y$236,11,FALSE)/100/VLOOKUP($C$469,'DB animal categories'!$C$167:$AC$176,27,FALSE)*AJ473,0))))</f>
        <v/>
      </c>
      <c r="AN473" s="452" t="str">
        <f>IF(AI473="","",IF(AL473=0,0,AL473/AK473*100))</f>
        <v/>
      </c>
      <c r="AO473" s="184" t="str">
        <f>IF(D473="","",IF(AI473=2,(('Calc (ex-animal)'!$L$90*'Calc (ex-housing, ex-storage)'!F473/100+'Calc (ex-animal)'!$K$90*'Calc (ex-housing, ex-storage)'!F473/100))/VLOOKUP($C$469,'DB animal categories'!$C$167:$AC$176,27,FALSE)*AJ473+Q473+R473+S473-AC473,IF(AI473=1,('Calc (ex-animal)'!$L$90*'Calc (ex-housing, ex-storage)'!F473/100)/VLOOKUP($C$469,'DB animal categories'!$C$167:$AC$176,27,FALSE)*AJ473-'Calc (ex-housing, ex-storage)'!AC473,IF(AI473=4,('Calc (ex-animal)'!$L$90+'Calc (ex-animal)'!$K$90)*'Calc (ex-housing, ex-storage)'!F473/100*VLOOKUP(D473,'DB technologies'!$N$224:$Y$236,11,FALSE)/100/VLOOKUP($C$469,'DB animal categories'!$C$167:$AC$176,27,FALSE)*AJ473-AC473*VLOOKUP(D473,'DB technologies'!$N$224:$Y$236,11,FALSE)/100,0))))</f>
        <v/>
      </c>
      <c r="AP473" s="184" t="str">
        <f>IF(D473="","",IF(AO473&lt;-0.01,0,IF(AI473=2,(('Calc (ex-animal)'!$L$90*'Calc (ex-housing, ex-storage)'!F473/100+'Calc (ex-animal)'!$K$90*'Calc (ex-housing, ex-storage)'!F473/100))/VLOOKUP($C$469,'DB animal categories'!$C$167:$AC$176,27,FALSE)*AJ473+Q473+R473+S473-AC473,IF(AI473=1,('Calc (ex-animal)'!$L$90*'Calc (ex-housing, ex-storage)'!F473/100)/VLOOKUP($C$469,'DB animal categories'!$C$167:$AC$176,27,FALSE)*AJ473-'Calc (ex-housing, ex-storage)'!AC473,IF(AI473=4,('Calc (ex-animal)'!$L$90+'Calc (ex-animal)'!$K$90)*'Calc (ex-housing, ex-storage)'!F473/100*VLOOKUP(D473,'DB technologies'!$N$224:$Y$236,11,FALSE)/100/VLOOKUP($C$469,'DB animal categories'!$C$167:$AC$176,27,FALSE)*AJ473-AC473*VLOOKUP(D473,'DB technologies'!$N$224:$Y$236,11,FALSE)/100,0)))))</f>
        <v/>
      </c>
      <c r="AQ473" s="184" t="str">
        <f>IF(D473="","",IF(AI473=2,('Calc (ex-animal)'!$O$90*'Calc (ex-housing, ex-storage)'!F473/100+'Calc (ex-animal)'!$N$90*'Calc (ex-housing, ex-storage)'!F473/100)/VLOOKUP($C$469,'DB animal categories'!$C$167:$AC$176,27,FALSE)*AJ473+U473+V473+W473,IF(AI473=1,'Calc (ex-animal)'!$O$90*'Calc (ex-housing, ex-storage)'!F473/100/VLOOKUP($C$469,'DB animal categories'!$C$167:$AC$176,27,FALSE)*AJ473,IF(AI473=4,('Calc (ex-animal)'!$O$90+'Calc (ex-animal)'!$N$90)*'Calc (ex-housing, ex-storage)'!F473/100*VLOOKUP(D473,'DB technologies'!$N$224:$Y$236,11,FALSE)/100/VLOOKUP($C$469,'DB animal categories'!$C$167:$AC$176,27,FALSE)*AJ473,0))))</f>
        <v/>
      </c>
      <c r="AR473" s="184" t="str">
        <f>IF(D473="","",IF(AI473=2,('Calc (ex-animal)'!$R$90*'Calc (ex-housing, ex-storage)'!F473/100+'Calc (ex-animal)'!$Q$90*'Calc (ex-housing, ex-storage)'!F473/100)/VLOOKUP($C$469,'DB animal categories'!$C$167:$AC$176,27,FALSE)*AJ473+Y473+Z473+AA473,IF(AI473=1,'Calc (ex-animal)'!$R$90*'Calc (ex-housing, ex-storage)'!F473/100/VLOOKUP($C$469,'DB animal categories'!$C$167:$AC$176,27,FALSE)*AJ473,IF(AI473=4,('Calc (ex-animal)'!$R$90+'Calc (ex-animal)'!$Q$90)*'Calc (ex-housing, ex-storage)'!F473/100*VLOOKUP(D473,'DB technologies'!$N$224:$Y$236,11,FALSE)/100/VLOOKUP($C$469,'DB animal categories'!$C$167:$AC$176,27,FALSE)*AJ473,0))))</f>
        <v/>
      </c>
      <c r="AS473" s="183" t="str">
        <f>IF(D473="","",VLOOKUP(D473,'DB technologies'!$N$224:$Y$236,10,FALSE))</f>
        <v/>
      </c>
      <c r="AT473" s="452" t="str">
        <f>IF(AS473="","",AU473+AV473)</f>
        <v/>
      </c>
      <c r="AU473" s="452" t="str">
        <f>IF(D473="","",IF(AS473=2,0,IF(AS473=1,'Calc (ex-animal)'!$G$90*'DB additional information '!$K$19/100*(1-VLOOKUP(D473,'DB technologies'!$N$224:$Y$236,8,FALSE)/100)*'Calc (ex-housing, ex-storage)'!F473/100/VLOOKUP($C$469,'DB animal categories'!$C$167:$AC$176,27,FALSE)*AJ473+I473+J473+K473,IF(AS473=5,(('Calc (ex-animal)'!$G$90*'DB additional information '!$K$19/100+'Calc (ex-animal)'!$H$90*'DB additional information '!$L$19/100))*(1-VLOOKUP(D473,'DB technologies'!$N$224:$Y$236,9,FALSE)/100)*'Calc (ex-housing, ex-storage)'!F473/100/VLOOKUP($C$469,'DB animal categories'!$C$167:$AC$176,27,FALSE)*AJ473+I473+J473+K473,IF(AS473=3,('Calc (ex-animal)'!$G$90*'DB additional information '!$K$19/100+'Calc (ex-animal)'!$H$90*'DB additional information '!$L$19/100)*(1-VLOOKUP(D473,'DB technologies'!$N$224:$Y$236,9,FALSE)/100)*'Calc (ex-housing, ex-storage)'!F473/100/VLOOKUP($C$469,'DB animal categories'!$C$167:$AC$176,27,FALSE)*AJ473+I473+J473+K473,IF(AS473=4,('Calc (ex-animal)'!$G$90*'DB additional information '!$K$19/100+'Calc (ex-animal)'!$H$90*'DB additional information '!$L$19/100)*(1-VLOOKUP(D473,'DB technologies'!$N$224:$Y$236,9,FALSE)/100)*'Calc (ex-housing, ex-storage)'!F473/100*VLOOKUP(D473,'DB technologies'!$N$224:$Y$236,12,FALSE)/100/VLOOKUP($C$469,'DB animal categories'!$C$167:$AC$176,27,FALSE)*AJ473+I473+J473+K473,0))))))</f>
        <v/>
      </c>
      <c r="AV473" s="452" t="str">
        <f>IF(D473="","",IF(AS473=2,0,IF(AS473=1,'Calc (ex-animal)'!$G$90*(1-'DB additional information '!$K$19/100)*(1-VLOOKUP(D473,'DB technologies'!$N$224:$Y$236,8,FALSE)/100)*'Calc (ex-housing, ex-storage)'!F473/100/VLOOKUP($C$469,'DB animal categories'!$C$167:$AC$176,27,FALSE)*AJ473+M473+N473+O473,IF(AS473=5,('Calc (ex-animal)'!$G$90*(1-'DB additional information '!$K$19/100)+'Calc (ex-animal)'!$H$90*(1-'DB additional information '!$L$19/100))*(1-VLOOKUP(D473,'DB technologies'!$N$224:$Y$236,8,FALSE)/100)*'Calc (ex-housing, ex-storage)'!F473/100/VLOOKUP($C$469,'DB animal categories'!$C$167:$AC$176,27,FALSE)*AJ473+M473+N473+O473,IF(AS473=3,('Calc (ex-animal)'!$G$90*(1-'DB additional information '!$K$19/100)+'Calc (ex-animal)'!$H$90*(1-'DB additional information '!$L$19/100))*(1-VLOOKUP(D473,'DB technologies'!$N$224:$Y$236,8,FALSE)/100)*'Calc (ex-housing, ex-storage)'!F473/100/VLOOKUP($C$469,'DB animal categories'!$C$167:$AC$176,27,FALSE)*AJ473+M473+N473+O473,IF(AS473=4,('Calc (ex-animal)'!$G$90*(1-'DB additional information '!$K$19/100)+'Calc (ex-animal)'!$H$90*(1-'DB additional information '!$L$19/100))*(1-VLOOKUP(D473,'DB technologies'!$N$224:$Y$236,8,FALSE)/100)*'Calc (ex-housing, ex-storage)'!F473/100*VLOOKUP(D473,'DB technologies'!$N$224:$Y$236,12,FALSE)/100/VLOOKUP($C$469,'DB animal categories'!$C$167:$AC$176,27,FALSE)*AJ473+M473+N473+O473,0))))))</f>
        <v/>
      </c>
      <c r="AW473" s="452" t="str">
        <f>IF(AS473="","",IF(AU473=0,0,AU473/AT473*100))</f>
        <v/>
      </c>
      <c r="AX473" s="184" t="str">
        <f>IF(D473="","",IF(AS473=2,0,IF(AS473=1,'Calc (ex-animal)'!$K$90*'Calc (ex-housing, ex-storage)'!F473/100/VLOOKUP($C$469,'DB animal categories'!$C$167:$AC$176,27,FALSE)*AJ473+Q473+R473+S473,IF(AS473=5,('Calc (ex-animal)'!$K$90+'Calc (ex-animal)'!$L$90)*'Calc (ex-housing, ex-storage)'!F473/100/VLOOKUP($C$469,'DB animal categories'!$C$167:$AC$176,27,FALSE)*AJ473+Q473+R473+S473-'Calc (ex-housing, ex-storage)'!AC473,IF(AS473=3,('Calc (ex-animal)'!$K$90+'Calc (ex-animal)'!$L$90)*'Calc (ex-housing, ex-storage)'!F473/100/VLOOKUP($C$469,'DB animal categories'!$C$167:$AC$176,27,FALSE)*AJ473+Q473+R473+S473-'Calc (ex-housing, ex-storage)'!AC473-AD473-AE473,IF(AI473=4,('Calc (ex-animal)'!$K$90+'Calc (ex-animal)'!$L$90)*'Calc (ex-housing, ex-storage)'!F473/100*VLOOKUP(D473,'DB technologies'!$N$224:$Y$236,12,FALSE)/100/VLOOKUP($C$469,'DB animal categories'!$C$167:$AC$176,27,FALSE)*AJ473+Q473+R473+S473-(VLOOKUP(D473,'DB technologies'!$N$224:$Y$236,12,FALSE)/100*AC473)-AD473-AE473,0))))))</f>
        <v/>
      </c>
      <c r="AY473" s="184" t="str">
        <f>IF(D473="","",IF(AS473=2,0,IF(AS473=1,'Calc (ex-animal)'!$N$90*'Calc (ex-housing, ex-storage)'!F473/100/VLOOKUP($C$469,'DB animal categories'!$C$167:$AC$176,27,FALSE)*AJ473+U473+V473+W473,IF(AS473=5,('Calc (ex-animal)'!$N$90+'Calc (ex-animal)'!$O$90)*'Calc (ex-housing, ex-storage)'!F473/100/VLOOKUP($C$469,'DB animal categories'!$C$167:$AC$176,27,FALSE)*AJ473+U473+V473+W473,IF(AS473=3,('Calc (ex-animal)'!$N$90+'Calc (ex-animal)'!$O$90)*'Calc (ex-housing, ex-storage)'!F473/100/VLOOKUP($C$469,'DB animal categories'!$C$167:$AC$176,27,FALSE)*AJ473+U473+V473+W473,IF(AS473=4,('Calc (ex-animal)'!$N$90+'Calc (ex-animal)'!$O$90)*'Calc (ex-housing, ex-storage)'!F473/100*VLOOKUP(D473,'DB technologies'!$N$224:$Y$236,12,FALSE)/100/VLOOKUP($C$469,'DB animal categories'!$C$167:$AC$176,27,FALSE)*AJ473+U473+V473+W473,0))))))</f>
        <v/>
      </c>
      <c r="AZ473" s="184" t="str">
        <f>IF(D473="","",IF(AS473=2,0,IF(AS473=1,'Calc (ex-animal)'!$Q$90*'Calc (ex-housing, ex-storage)'!F473/100/VLOOKUP($C$469,'DB animal categories'!$C$167:$AC$176,27,FALSE)*AJ473+Y473+Z473+AA473,IF(AS473=5,('Calc (ex-animal)'!$Q$90+'Calc (ex-animal)'!$R$90)*'Calc (ex-housing, ex-storage)'!F473/100/VLOOKUP($C$469,'DB animal categories'!$C$167:$AC$176,27,FALSE)*AJ473+Y473+Z473+AA473,IF(AS473=3,('Calc (ex-animal)'!$Q$90+'Calc (ex-animal)'!$R$90)*'Calc (ex-housing, ex-storage)'!F473/100/VLOOKUP($C$469,'DB animal categories'!$C$167:$AC$176,27,FALSE)*AJ473+Y473+Z473+AA473,IF(AS473=4,('Calc (ex-animal)'!$Q$90+'Calc (ex-animal)'!$R$90)*'Calc (ex-housing, ex-storage)'!F473/100*VLOOKUP(D473,'DB technologies'!$N$224:$Y$236,12,FALSE)/100/VLOOKUP($C$469,'DB animal categories'!$C$167:$AC$176,27,FALSE)*AJ473+Y473+Z473+AA473,0))))))</f>
        <v/>
      </c>
      <c r="BA473" s="506"/>
      <c r="BB473" s="506"/>
      <c r="BC473" s="506"/>
    </row>
    <row r="474" spans="1:55" ht="12" thickBot="1" x14ac:dyDescent="0.25">
      <c r="A474" s="695"/>
      <c r="B474" s="695"/>
      <c r="C474" s="252"/>
      <c r="D474" s="269" t="s">
        <v>58</v>
      </c>
      <c r="E474" s="270">
        <f>IF('Calc (ex-animal)'!F90=1,'Calc (ex-animal)'!E90,IF(F474&lt;=100,SUM(E469:E473),"ERROR"))</f>
        <v>0</v>
      </c>
      <c r="F474" s="284">
        <f>IF('Calc (ex-animal)'!F90=1,100,IF(SUM(F469:F473) &lt;=100,SUM(F469:F473),"ERROR, SUM&gt;100%"))</f>
        <v>0</v>
      </c>
      <c r="G474" s="550">
        <f>IF('Calc (ex-animal)'!$F$88=1,"",SUM(G469:G473))</f>
        <v>0</v>
      </c>
      <c r="H474" s="418">
        <f>IF('Calc (ex-animal)'!$F$8=1,"",SUM(H469:H473))</f>
        <v>0</v>
      </c>
      <c r="I474" s="418">
        <f>IF('Calc (ex-animal)'!$F$8=1,"",SUM(I469:I473))</f>
        <v>0</v>
      </c>
      <c r="J474" s="418">
        <f>IF('Calc (ex-animal)'!$F$8=1,"",SUM(J469:J473))</f>
        <v>0</v>
      </c>
      <c r="K474" s="418">
        <f>IF('Calc (ex-animal)'!$F$8=1,"",SUM(K469:K473))</f>
        <v>0</v>
      </c>
      <c r="L474" s="418">
        <f>IF('Calc (ex-animal)'!$F$8=1,"",SUM(L469:L473))</f>
        <v>0</v>
      </c>
      <c r="M474" s="551"/>
      <c r="N474" s="551"/>
      <c r="O474" s="551"/>
      <c r="P474" s="552">
        <f>IF(G474=0,0,IF('Calc (ex-animal)'!$F$88=1,"",IF(D474="","",SUM(H474:K474)/G474*100)))</f>
        <v>0</v>
      </c>
      <c r="Q474" s="394"/>
      <c r="R474" s="394"/>
      <c r="S474" s="394"/>
      <c r="T474" s="285">
        <f>IF('Calc (ex-animal)'!$F$90=1,"",SUM(T469:T473))</f>
        <v>0</v>
      </c>
      <c r="U474" s="286"/>
      <c r="V474" s="286"/>
      <c r="W474" s="286"/>
      <c r="X474" s="286">
        <f>IF('Calc (ex-animal)'!$F$90=1,"",SUM(X469:X473))</f>
        <v>0</v>
      </c>
      <c r="Y474" s="286"/>
      <c r="Z474" s="286"/>
      <c r="AA474" s="286"/>
      <c r="AB474" s="286">
        <f>IF('Calc (ex-animal)'!$F$90=1,"",SUM(AB469:AB473))</f>
        <v>0</v>
      </c>
      <c r="AC474" s="286">
        <f>IF('Calc (ex-animal)'!$F$90=1,"",SUM(AC469:AC473))</f>
        <v>0</v>
      </c>
      <c r="AD474" s="286">
        <f>IF('Calc (ex-animal)'!$F$90=1,"",SUM(AD469:AD473))</f>
        <v>0</v>
      </c>
      <c r="AE474" s="287">
        <f>IF('Calc (ex-animal)'!$F$90=1,"",SUM(AE469:AE473))</f>
        <v>0</v>
      </c>
    </row>
    <row r="475" spans="1:55" x14ac:dyDescent="0.2">
      <c r="A475" s="695"/>
      <c r="B475" s="695"/>
      <c r="C475" s="250">
        <f>'Calc (ex-animal)'!D91</f>
        <v>0</v>
      </c>
      <c r="D475" s="1355"/>
      <c r="E475" s="1356"/>
      <c r="F475" s="479" t="str">
        <f>IF('Calc (ex-animal)'!$F$88=1,"",IF($C$475=0,"",IF(D475="","",E475/'Calc (ex-animal)'!$E$91*100)))</f>
        <v/>
      </c>
      <c r="G475" s="484" t="str">
        <f>IF($C$475=0,"",IF('Calc (ex-animal)'!$F$88=1,"",IF(D475="","",SUM(H475:O475))))</f>
        <v/>
      </c>
      <c r="H475" s="471" t="str">
        <f>IF('Calc (ex-animal)'!$F$88=1,"",IF(D475="","",(((VLOOKUP($C$475,'Calc (ex-animal)'!$D$88:$Y$92,6,FALSE)-VLOOKUP($C$475,'Calc (ex-animal)'!$D$88:$Y$92,17,FALSE))*F475/100))*VLOOKUP($C$475,'Calc (ex-animal)'!$D$88:$Y$92,7,FALSE)/100*(1-VLOOKUP(D475,'DB technologies'!$N$224:$Y$236,9,FALSE)/100)))</f>
        <v/>
      </c>
      <c r="I475" s="471" t="str">
        <f>IF(D475="","",((VLOOKUP(D475,'DB technologies'!$N$224:$Y$236,2,FALSE)*VLOOKUP($C$475,'DB animal categories'!$C$167:$AC$176,27,FALSE)*E475/1000)/VLOOKUP($C$475,'DB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'!$S$6/100*(1-VLOOKUP(D475,'DB technologies'!$N$224:$Y$236,9,FALSE)/100)))</f>
        <v/>
      </c>
      <c r="J475" s="472" t="str">
        <f>IF(D475="","",((VLOOKUP(D475,'DB technologies'!$N$224:$Y$236,3,FALSE)*VLOOKUP($C$475,'DB animal categories'!$C$167:$AC$176,27,FALSE)*E475/1000)/VLOOKUP($C$475,'DB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'!$S$7/100*(1-VLOOKUP(D475,'DB technologies'!$N$224:$Y$236,9,FALSE)/100)))</f>
        <v/>
      </c>
      <c r="K475" s="472" t="str">
        <f>IF(D475="","",((VLOOKUP(D475,'DB technologies'!$N$224:$Y$236,4,FALSE)*E475*'DB additional information '!$S$8/100*(1-VLOOKUP(D475,'DB technologies'!$N$224:$Y$236,9,FALSE)/100))/VLOOKUP($C$475,'DB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L475" s="471" t="str">
        <f>IF('Calc (ex-animal)'!$F$88=1,"",IF(D475="","",(((VLOOKUP($C$475,'Calc (ex-animal)'!$D$88:$Y$92,6,FALSE)-VLOOKUP($C$475,'Calc (ex-animal)'!$D$88:$Y$92,17,FALSE))*F475/100))*(1-VLOOKUP($C$475,'Calc (ex-animal)'!$D$88:$Y$92,7,FALSE)/100)*(1-VLOOKUP(D475,'DB technologies'!$N$224:$V$236,8,FALSE)/100)))</f>
        <v/>
      </c>
      <c r="M475" s="472" t="str">
        <f>IF(D475="","",((VLOOKUP(D475,'DB technologies'!$N$224:$Y$236,2,FALSE)*VLOOKUP($C$475,'DB animal categories'!$C$167:$AC$176,27,FALSE)*E475/1000)/VLOOKUP($C$475,'DB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'!$S$6/100)*(1-VLOOKUP(D475,'DB technologies'!$N$224:$Y$236,9,FALSE)/100))</f>
        <v/>
      </c>
      <c r="N475" s="472" t="str">
        <f>IF(D475="","",((VLOOKUP(D475,'DB technologies'!$N$224:$Y$236,3,FALSE)*VLOOKUP($C$475,'DB animal categories'!$C$167:$AC$176,27,FALSE)*E475/1000)/VLOOKUP($C$475,'DB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'!$S$7/100)*(1-VLOOKUP(D475,'DB technologies'!$N$224:$Y$236,9,FALSE)/100))</f>
        <v/>
      </c>
      <c r="O475" s="471" t="str">
        <f>IF(D475="","",((VLOOKUP(D475,'DB technologies'!$N$224:$Y$236,4,FALSE)*E475*(1-'DB additional information '!$S$8/100)*(1-VLOOKUP(D475,'DB technologies'!$N$224:$Y$236,8,FALSE)/100))/VLOOKUP($C$475,'DB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P475" s="443" t="str">
        <f>IF(G475=0,0,IF(E475="","",IF(F475="","",IF($C$475=0,"",IF(D475="","",SUM(H475:K475)/G475*100)))))</f>
        <v/>
      </c>
      <c r="Q475" s="473" t="str">
        <f>IF(D475="","",(VLOOKUP(D475,'DB technologies'!$N$224:$Y$236,2,FALSE)*'DB additional information '!$S$6/100*'DB additional information '!$T$6*VLOOKUP($C$475,'DB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R475" s="473" t="str">
        <f>IF(D475="","",(VLOOKUP(D475,'DB technologies'!$N$224:$Y$236,3,FALSE)*'DB additional information '!$S$7/100*'DB additional information '!$T$7*VLOOKUP($C$475,'DB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S475" s="490" t="str">
        <f>IF(D475="","",(VLOOKUP(D475,'DB technologies'!$N$224:$Y$236,4,FALSE)*('DB additional information '!$S$8/100*'DB additional information '!$T$8*E475/1000/1000)))</f>
        <v/>
      </c>
      <c r="T475" s="263" t="str">
        <f>IF($C$475=0,"",IF('Calc (ex-animal)'!$F$88=1,"",IF(D475="","",((VLOOKUP($C$475,'Calc (ex-animal)'!$D$88:$Y$92,10,FALSE)-VLOOKUP($C$475,'Calc (ex-animal)'!$D$88:$Y$92,18,FALSE))*F475/100+Q475+R475+S475)-AC475-AD475-AE475)))</f>
        <v/>
      </c>
      <c r="U475" s="474" t="str">
        <f>IF(D475="","",(VLOOKUP(D475,'DB technologies'!$N$224:$Y$236,2,FALSE)*'DB additional information '!$S$6/100*'DB additional information '!$U$6*VLOOKUP($C$475,'DB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V475" s="420" t="str">
        <f>IF(D475="","",(VLOOKUP(D475,'DB technologies'!$N$224:$Y$236,3,FALSE)*'DB additional information '!$S$7/100*'DB additional information '!$U$7*VLOOKUP($C$475,'DB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W475" s="415" t="str">
        <f>IF(D475="","",(VLOOKUP(D475,'DB technologies'!$N$224:$Y$236,4,FALSE)*('DB additional information '!$S$8/100*'DB additional information '!$U$8*E475/1000/1000)))</f>
        <v/>
      </c>
      <c r="X475" s="259" t="str">
        <f>IF($C$475=0,"",IF('Calc (ex-animal)'!$F$88=1,"",IF(D475="","",((VLOOKUP($C$475,'Calc (ex-animal)'!$D$88:$Y$92,13,FALSE)-VLOOKUP($C$475,'Calc (ex-animal)'!$D$88:$Y$92,19,FALSE))*F475/100+U475+V475+W475))))</f>
        <v/>
      </c>
      <c r="Y475" s="420" t="str">
        <f>IF(D475="","",(VLOOKUP(D475,'DB technologies'!$N$224:$Y$236,2,FALSE)*'DB additional information '!$S$6/100*'DB additional information '!$V$6*VLOOKUP($C$475,'DB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Z475" s="420" t="str">
        <f>IF(D475="","",(VLOOKUP(D475,'DB technologies'!$N$224:$Y$236,3,FALSE)*'DB additional information '!$S$7/100*'DB additional information '!$V$7*VLOOKUP($C$475,'DB animal categories'!$C$167:$AC$176,27,FALSE)*E475/1000/1000)/VLOOKUP($C$475,'DB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AA475" s="420" t="str">
        <f>IF(D475="","",(VLOOKUP(D475,'DB technologies'!$N$224:$Y$236,4,FALSE)*('DB additional information '!$S$8/100*'DB additional information '!$V$8*E475/1000/1000)))</f>
        <v/>
      </c>
      <c r="AB475" s="259" t="str">
        <f>IF($C$475=0,"",IF('Calc (ex-animal)'!$F$88=1,"",IF(D475="","",((VLOOKUP($C$475,'Calc (ex-animal)'!$D$88:$Y$92,16,FALSE)-VLOOKUP($C$475,'Calc (ex-animal)'!$D$88:$Y$92,20,FALSE))*F475/100+Y475+Z475+AA475))))</f>
        <v/>
      </c>
      <c r="AC475" s="259" t="str">
        <f>IF($C$475=0,"",IF('Calc (ex-animal)'!$F$88=1,"",IF(D475="","",VLOOKUP($C$475,'Calc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categories'!$C$167:$AC$176,26,FALSE)/24)*F475/100*VLOOKUP(D475,'DB technologies'!$N$224:$R$236,5,FALSE)/100)))</f>
        <v/>
      </c>
      <c r="AD475" s="259" t="str">
        <f>IF($C$475=0,"",IF('Calc (ex-animal)'!$F$88=1,"",IF(D475="","",VLOOKUP($C$475,'Calc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categories'!$C$167:$AC$176,26,FALSE)/24)*F475/100*VLOOKUP(D475,'DB technologies'!$N$224:$Y$236,6,FALSE)/100)))</f>
        <v/>
      </c>
      <c r="AE475" s="260" t="str">
        <f>IF($C$475=0,"",IF('Calc (ex-animal)'!$F$88=1,"",IF(D475="","",VLOOKUP($C$475,'Calc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categories'!$C$167:$AC$176,26,FALSE)/24)*F475/100*VLOOKUP(D475,'DB technologies'!$N$224:$Y$236,7,FALSE)/100)))</f>
        <v/>
      </c>
      <c r="AI475" s="179" t="str">
        <f>IF(D475="","",VLOOKUP(D475,'DB technologies'!$N$224:$Y$236,10,FALSE))</f>
        <v/>
      </c>
      <c r="AJ475" s="482" t="e">
        <f>VLOOKUP($C$475,'DB animal categories'!$C$167:$AN$176,27,FALSE)-VLOOKUP($C$475,'DB animal categories'!$C$167:$AN$176,26,FALSE)*VLOOKUP($C$475,'DB animal categories'!$C$167:$AN$176,25,FALSE)/24</f>
        <v>#N/A</v>
      </c>
      <c r="AK475" s="453" t="str">
        <f>IF(AI475="","",AL475+AM475)</f>
        <v/>
      </c>
      <c r="AL475" s="453" t="str">
        <f>IF(D475="","",IF(AI475=2,(('Calc (ex-animal)'!$G$91*'DB additional information '!$K$19/100*(1-VLOOKUP(D475,'DB technologies'!$N$224:$Y$236,9,FALSE)/100)*'Calc (ex-housing, ex-storage)'!F475/100+'Calc (ex-animal)'!$H$91*'DB additional information '!$L$19/100*(1-VLOOKUP(D475,'DB technologies'!$N$224:$Y$236,9,FALSE)/100)*'Calc (ex-housing, ex-storage)'!F475/100))/VLOOKUP($C$475,'DB animal categories'!$C$167:$AC$176,27,FALSE)*AJ475+I475+J475+K475,IF(AI475=1,('Calc (ex-animal)'!$H$91*'DB additional information '!$L$19/100*(1-VLOOKUP(D475,'DB technologies'!$N$224:$Y$236,9,FALSE)/100)*'Calc (ex-housing, ex-storage)'!F475/100)/VLOOKUP($C$475,'DB animal categories'!$C$167:$AC$176,27,FALSE)*AJ475,IF(AI475=4,('Calc (ex-animal)'!$G$91*'DB additional information '!$K$19/100+'Calc (ex-animal)'!$H$91*'DB additional information '!$L$19/100)*(1-VLOOKUP(D475,'DB technologies'!$N$224:$Y$236,9,FALSE)/100)*'Calc (ex-housing, ex-storage)'!F475/100*VLOOKUP(D475,'DB technologies'!$N$224:$Y$236,11,FALSE)/100/VLOOKUP($C$475,'DB animal categories'!$C$167:$AC$176,27,FALSE)*AJ475,0))))</f>
        <v/>
      </c>
      <c r="AM475" s="453" t="str">
        <f>IF(D475="","",IF(AI475=2,(('Calc (ex-animal)'!$G$91*(1-'DB additional information '!$K$19/100)*(1-VLOOKUP(D475,'DB technologies'!$N$224:$Y$236,8,FALSE)/100)*'Calc (ex-housing, ex-storage)'!F475/100+'Calc (ex-animal)'!$H$91*(1-'DB additional information '!$L$19/100)*(1-VLOOKUP(D475,'DB technologies'!$N$224:$Y$236,8,FALSE)/100)*'Calc (ex-housing, ex-storage)'!F475/100))/VLOOKUP($C$475,'DB animal categories'!$C$167:$AC$176,27,FALSE)*AJ475+M475+N475+O475,IF(AI475=1,('Calc (ex-animal)'!$H$91*(1-'DB additional information '!$L$19/100)*(1-VLOOKUP(D475,'DB technologies'!$N$224:$Y$236,8,FALSE)/100)*'Calc (ex-housing, ex-storage)'!F475/100)/VLOOKUP($C$475,'DB animal categories'!$C$167:$AC$176,27,FALSE)*AJ475,IF(AI475=4,('Calc (ex-animal)'!$G$91*(1-'DB additional information '!$K$19/100)+'Calc (ex-animal)'!$H$91*(1-'DB additional information '!$L$19/100))*(1-VLOOKUP(D475,'DB technologies'!$N$224:$Y$236,8,FALSE)/100)*'Calc (ex-housing, ex-storage)'!F475/100*VLOOKUP(D475,'DB technologies'!$N$224:$Y$236,11,FALSE)/100/VLOOKUP($C$475,'DB animal categories'!$C$167:$AC$176,27,FALSE)*AJ475,0))))</f>
        <v/>
      </c>
      <c r="AN475" s="453" t="str">
        <f>IF(AI475="","",IF(AL475=0,0,AL475/AK475*100))</f>
        <v/>
      </c>
      <c r="AO475" s="180" t="str">
        <f>IF(D475="","",IF(AI475=2,(('Calc (ex-animal)'!$L$91*'Calc (ex-housing, ex-storage)'!F475/100+'Calc (ex-animal)'!$K$91*'Calc (ex-housing, ex-storage)'!F475/100))/VLOOKUP($C$475,'DB animal categories'!$C$167:$AC$176,27,FALSE)*AJ475+Q475+R475+S475-AC475,IF(AI475=1,('Calc (ex-animal)'!$L$91*'Calc (ex-housing, ex-storage)'!F475/100)/VLOOKUP($C$475,'DB animal categories'!$C$167:$AC$176,27,FALSE)*AJ475-'Calc (ex-housing, ex-storage)'!AC475,IF(AI475=4,('Calc (ex-animal)'!$L$91+'Calc (ex-animal)'!$K$91)*'Calc (ex-housing, ex-storage)'!F475/100*VLOOKUP(D475,'DB technologies'!$N$224:$Y$236,11,FALSE)/100/VLOOKUP($C$475,'DB animal categories'!$C$167:$AC$176,27,FALSE)*AJ475-AC475*VLOOKUP(D475,'DB technologies'!$N$224:$Y$236,11,FALSE)/100,0))))</f>
        <v/>
      </c>
      <c r="AP475" s="180" t="str">
        <f>IF(D475="","",IF(AO475&lt;-0.01,0,IF(AI475=2,(('Calc (ex-animal)'!$L$91*'Calc (ex-housing, ex-storage)'!F475/100+'Calc (ex-animal)'!$K$91*'Calc (ex-housing, ex-storage)'!F475/100))/VLOOKUP($C$475,'DB animal categories'!$C$167:$AC$176,27,FALSE)*AJ475+Q475+R475+S475-AC475,IF(AI475=1,('Calc (ex-animal)'!$L$91*'Calc (ex-housing, ex-storage)'!F475/100)/VLOOKUP($C$475,'DB animal categories'!$C$167:$AC$176,27,FALSE)*AJ475-'Calc (ex-housing, ex-storage)'!AC475,IF(AI475=4,('Calc (ex-animal)'!$L$91+'Calc (ex-animal)'!$K$91)*'Calc (ex-housing, ex-storage)'!F475/100*VLOOKUP(D475,'DB technologies'!$N$224:$Y$236,11,FALSE)/100/VLOOKUP($C$475,'DB animal categories'!$C$167:$AC$176,27,FALSE)*AJ475-AC475*VLOOKUP(D475,'DB technologies'!$N$224:$Y$236,11,FALSE)/100,0)))))</f>
        <v/>
      </c>
      <c r="AQ475" s="180" t="str">
        <f>IF(D475="","",IF(AI475=2,('Calc (ex-animal)'!$O$91*'Calc (ex-housing, ex-storage)'!F475/100+'Calc (ex-animal)'!$N$91*'Calc (ex-housing, ex-storage)'!F475/100)/VLOOKUP($C$475,'DB animal categories'!$C$167:$AC$176,27,FALSE)*AJ475+U475+V475+W475,IF(AI475=1,'Calc (ex-animal)'!$O$91*'Calc (ex-housing, ex-storage)'!F475/100/VLOOKUP($C$475,'DB animal categories'!$C$167:$AC$176,27,FALSE)*AJ475,IF(AI475=4,('Calc (ex-animal)'!$O$91+'Calc (ex-animal)'!$N$91)*'Calc (ex-housing, ex-storage)'!F475/100*VLOOKUP(D475,'DB technologies'!$N$224:$Y$236,11,FALSE)/100/VLOOKUP($C$475,'DB animal categories'!$C$167:$AC$176,27,FALSE)*AJ475,0))))</f>
        <v/>
      </c>
      <c r="AR475" s="180" t="str">
        <f>IF(D475="","",IF(AI475=2,('Calc (ex-animal)'!$R$91*'Calc (ex-housing, ex-storage)'!F475/100+'Calc (ex-animal)'!$Q$91*'Calc (ex-housing, ex-storage)'!F475/100)/VLOOKUP($C$475,'DB animal categories'!$C$167:$AC$176,27,FALSE)*AJ475+Y475+Z475+AA475,IF(AI475=1,'Calc (ex-animal)'!$R$91*'Calc (ex-housing, ex-storage)'!F475/100/VLOOKUP($C$475,'DB animal categories'!$C$167:$AC$176,27,FALSE)*AJ475,IF(AI475=4,('Calc (ex-animal)'!$R$91+'Calc (ex-animal)'!$Q$91)*'Calc (ex-housing, ex-storage)'!F475/100*VLOOKUP(D475,'DB technologies'!$N$224:$Y$236,11,FALSE)/100/VLOOKUP($C$475,'DB animal categories'!$C$167:$AC$176,27,FALSE)*AJ475,0))))</f>
        <v/>
      </c>
      <c r="AS475" s="179" t="str">
        <f>IF(D475="","",VLOOKUP(D475,'DB technologies'!$N$224:$Y$236,10,FALSE))</f>
        <v/>
      </c>
      <c r="AT475" s="453" t="str">
        <f>IF(AS475="","",AU475+AV475)</f>
        <v/>
      </c>
      <c r="AU475" s="453" t="str">
        <f>IF(D475="","",IF(AS475=2,0,IF(AS475=1,'Calc (ex-animal)'!$G$91*'DB additional information '!$K$19/100*(1-VLOOKUP(D475,'DB technologies'!$N$224:$Y$236,8,FALSE)/100)*'Calc (ex-housing, ex-storage)'!F475/100/VLOOKUP($C$475,'DB animal categories'!$C$167:$AC$176,27,FALSE)*AJ475+I475+J475+K475,IF(AS475=5,(('Calc (ex-animal)'!$G$91*'DB additional information '!$K$19/100+'Calc (ex-animal)'!$H$91*'DB additional information '!$L$19/100))*(1-VLOOKUP(D475,'DB technologies'!$N$224:$Y$236,9,FALSE)/100)*'Calc (ex-housing, ex-storage)'!F475/100/VLOOKUP($C$475,'DB animal categories'!$C$167:$AC$176,27,FALSE)*AJ475+I475+J475+K475,IF(AS475=3,('Calc (ex-animal)'!$G$91*'DB additional information '!$K$19/100+'Calc (ex-animal)'!$H$91*'DB additional information '!$L$19/100)*(1-VLOOKUP(D475,'DB technologies'!$N$224:$Y$236,9,FALSE)/100)*'Calc (ex-housing, ex-storage)'!F475/100/VLOOKUP($C$475,'DB animal categories'!$C$167:$AC$176,27,FALSE)*AJ475+I475+J475+K475,IF(AS475=4,('Calc (ex-animal)'!$G$91*'DB additional information '!$K$19/100+'Calc (ex-animal)'!$H$91*'DB additional information '!$L$19/100)*(1-VLOOKUP(D475,'DB technologies'!$N$224:$Y$236,9,FALSE)/100)*'Calc (ex-housing, ex-storage)'!F475/100*VLOOKUP(D475,'DB technologies'!$N$224:$Y$236,12,FALSE)/100/VLOOKUP($C$475,'DB animal categories'!$C$167:$AC$176,27,FALSE)*AJ475+I475+J475+K475,0))))))</f>
        <v/>
      </c>
      <c r="AV475" s="453" t="str">
        <f>IF(D475="","",IF(AS475=2,0,IF(AS475=1,'Calc (ex-animal)'!$G$91*(1-'DB additional information '!$K$19/100)*(1-VLOOKUP(D475,'DB technologies'!$N$224:$Y$236,8,FALSE)/100)*'Calc (ex-housing, ex-storage)'!F475/100/VLOOKUP($C$475,'DB animal categories'!$C$167:$AC$176,27,FALSE)*AJ475+M475+N475+O475,IF(AS475=5,('Calc (ex-animal)'!$G$91*(1-'DB additional information '!$K$19/100)+'Calc (ex-animal)'!$H$91*(1-'DB additional information '!$L$19/100))*(1-VLOOKUP(D475,'DB technologies'!$N$224:$Y$236,8,FALSE)/100)*'Calc (ex-housing, ex-storage)'!F475/100/VLOOKUP($C$475,'DB animal categories'!$C$167:$AC$176,27,FALSE)*AJ475+M475+N475+O475,IF(AS475=3,('Calc (ex-animal)'!$G$91*(1-'DB additional information '!$K$19/100)+'Calc (ex-animal)'!$H$91*(1-'DB additional information '!$L$19/100))*(1-VLOOKUP(D475,'DB technologies'!$N$224:$Y$236,8,FALSE)/100)*'Calc (ex-housing, ex-storage)'!F475/100/VLOOKUP($C$475,'DB animal categories'!$C$167:$AC$176,27,FALSE)*AJ475+M475+N475+O475,IF(AS475=4,('Calc (ex-animal)'!$G$91*(1-'DB additional information '!$K$19/100)+'Calc (ex-animal)'!$H$91*(1-'DB additional information '!$L$19/100))*(1-VLOOKUP(D475,'DB technologies'!$N$224:$Y$236,8,FALSE)/100)*'Calc (ex-housing, ex-storage)'!F475/100*VLOOKUP(D475,'DB technologies'!$N$224:$Y$236,12,FALSE)/100/VLOOKUP($C$475,'DB animal categories'!$C$167:$AC$176,27,FALSE)*AJ475+M475+N475+O475,0))))))</f>
        <v/>
      </c>
      <c r="AW475" s="453" t="str">
        <f>IF(AS475="","",IF(AU475=0,0,AU475/AT475*100))</f>
        <v/>
      </c>
      <c r="AX475" s="180" t="str">
        <f>IF(D475="","",IF(AS475=2,0,IF(AS475=1,'Calc (ex-animal)'!$K$91*'Calc (ex-housing, ex-storage)'!F475/100/VLOOKUP($C$475,'DB animal categories'!$C$167:$AC$176,27,FALSE)*AJ475+Q475+R475+S475,IF(AS475=5,('Calc (ex-animal)'!$K$91+'Calc (ex-animal)'!$L$91)*'Calc (ex-housing, ex-storage)'!F475/100/VLOOKUP($C$475,'DB animal categories'!$C$167:$AC$176,27,FALSE)*AJ475+Q475+R475+S475-'Calc (ex-housing, ex-storage)'!AC475,IF(AS475=3,('Calc (ex-animal)'!$K$91+'Calc (ex-animal)'!$L$91)*'Calc (ex-housing, ex-storage)'!F475/100/VLOOKUP($C$475,'DB animal categories'!$C$167:$AC$176,27,FALSE)*AJ475+Q475+R475+S475-'Calc (ex-housing, ex-storage)'!AC475-AD475-AE475,IF(AI475=4,('Calc (ex-animal)'!$K$91+'Calc (ex-animal)'!$L$91)*'Calc (ex-housing, ex-storage)'!F475/100*VLOOKUP(D475,'DB technologies'!$N$224:$Y$236,12,FALSE)/100/VLOOKUP($C$475,'DB animal categories'!$C$167:$AC$176,27,FALSE)*AJ475+Q475+R475+S475-(VLOOKUP(D475,'DB technologies'!$N$224:$Y$236,12,FALSE)/100*AC475)-AD475-AE475,0))))))</f>
        <v/>
      </c>
      <c r="AY475" s="180" t="str">
        <f>IF(D475="","",IF(AS475=2,0,IF(AS475=1,'Calc (ex-animal)'!$N$91*'Calc (ex-housing, ex-storage)'!F475/100/VLOOKUP($C$475,'DB animal categories'!$C$167:$AC$176,27,FALSE)*AJ475+U475+V475+W475,IF(AS475=5,('Calc (ex-animal)'!$N$91+'Calc (ex-animal)'!$O$91)*'Calc (ex-housing, ex-storage)'!F475/100/VLOOKUP($C$475,'DB animal categories'!$C$167:$AC$176,27,FALSE)*AJ475+U475+V475+W475,IF(AS475=3,('Calc (ex-animal)'!$N$91+'Calc (ex-animal)'!$O$91)*'Calc (ex-housing, ex-storage)'!F475/100/VLOOKUP($C$475,'DB animal categories'!$C$167:$AC$176,27,FALSE)*AJ475+U475+V475+W475,IF(AS475=4,('Calc (ex-animal)'!$N$91+'Calc (ex-animal)'!$O$91)*'Calc (ex-housing, ex-storage)'!F475/100*VLOOKUP(D475,'DB technologies'!$N$224:$Y$236,12,FALSE)/100/VLOOKUP($C$475,'DB animal categories'!$C$167:$AC$176,27,FALSE)*AJ475+U475+V475+W475,0))))))</f>
        <v/>
      </c>
      <c r="AZ475" s="180" t="str">
        <f>IF(D475="","",IF(AS475=2,0,IF(AS475=1,'Calc (ex-animal)'!$Q$91*'Calc (ex-housing, ex-storage)'!F475/100/VLOOKUP($C$475,'DB animal categories'!$C$167:$AC$176,27,FALSE)*AJ475+Y475+Z475+AA475,IF(AS475=5,('Calc (ex-animal)'!$Q$91+'Calc (ex-animal)'!$R$91)*'Calc (ex-housing, ex-storage)'!F475/100/VLOOKUP($C$475,'DB animal categories'!$C$167:$AC$176,27,FALSE)*AJ475+Y475+Z475+AA475,IF(AS475=3,('Calc (ex-animal)'!$Q$91+'Calc (ex-animal)'!$R$91)*'Calc (ex-housing, ex-storage)'!F475/100/VLOOKUP($C$475,'DB animal categories'!$C$167:$AC$176,27,FALSE)*AJ475+Y475+Z475+AA475,IF(AS475=4,('Calc (ex-animal)'!$Q$91+'Calc (ex-animal)'!$R$91)*'Calc (ex-housing, ex-storage)'!F475/100*VLOOKUP(D475,'DB technologies'!$N$224:$Y$236,12,FALSE)/100/VLOOKUP($C$475,'DB animal categories'!$C$167:$AC$176,27,FALSE)*AJ475+Y475+Z475+AA475,0))))))</f>
        <v/>
      </c>
      <c r="BA475" s="506"/>
      <c r="BB475" s="506"/>
      <c r="BC475" s="506"/>
    </row>
    <row r="476" spans="1:55" x14ac:dyDescent="0.2">
      <c r="A476" s="695"/>
      <c r="B476" s="695"/>
      <c r="C476" s="251"/>
      <c r="D476" s="1357"/>
      <c r="E476" s="1358"/>
      <c r="F476" s="480" t="str">
        <f>IF('Calc (ex-animal)'!$F$88=1,"",IF($C$475=0,"",IF(D476="","",E476/'Calc (ex-animal)'!$E$91*100)))</f>
        <v/>
      </c>
      <c r="G476" s="485" t="str">
        <f>IF($C$475=0,"",IF('Calc (ex-animal)'!$F$88=1,"",IF(D476="","",SUM(H476:O476))))</f>
        <v/>
      </c>
      <c r="H476" s="423" t="str">
        <f>IF('Calc (ex-animal)'!$F$88=1,"",IF(D476="","",(((VLOOKUP($C$475,'Calc (ex-animal)'!$D$88:$Y$92,6,FALSE)-VLOOKUP($C$475,'Calc (ex-animal)'!$D$88:$Y$92,17,FALSE))*F476/100))*VLOOKUP($C$475,'Calc (ex-animal)'!$D$88:$Y$92,7,FALSE)/100*(1-VLOOKUP(D476,'DB technologies'!$N$224:$Y$236,9,FALSE)/100)))</f>
        <v/>
      </c>
      <c r="I476" s="423" t="str">
        <f>IF(D476="","",((VLOOKUP(D476,'DB technologies'!$N$224:$Y$236,2,FALSE)*VLOOKUP($C$475,'DB animal categories'!$C$167:$AC$176,27,FALSE)*E476/1000)/VLOOKUP($C$475,'DB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'!$S$6/100*(1-VLOOKUP(D476,'DB technologies'!$N$224:$Y$236,9,FALSE)/100)))</f>
        <v/>
      </c>
      <c r="J476" s="434" t="str">
        <f>IF(D476="","",((VLOOKUP(D476,'DB technologies'!$N$224:$Y$236,3,FALSE)*VLOOKUP($C$475,'DB animal categories'!$C$167:$AC$176,27,FALSE)*E476/1000)/VLOOKUP($C$475,'DB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'!$S$7/100*(1-VLOOKUP(D476,'DB technologies'!$N$224:$Y$236,9,FALSE)/100)))</f>
        <v/>
      </c>
      <c r="K476" s="434" t="str">
        <f>IF(D476="","",((VLOOKUP(D476,'DB technologies'!$N$224:$Y$236,4,FALSE)*E476*'DB additional information '!$S$8/100*(1-VLOOKUP(D476,'DB technologies'!$N$224:$Y$236,9,FALSE)/100))/VLOOKUP($C$475,'DB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L476" s="423" t="str">
        <f>IF('Calc (ex-animal)'!$F$88=1,"",IF(D476="","",(((VLOOKUP($C$475,'Calc (ex-animal)'!$D$88:$Y$92,6,FALSE)-VLOOKUP($C$475,'Calc (ex-animal)'!$D$88:$Y$92,17,FALSE))*F476/100))*(1-VLOOKUP($C$475,'Calc (ex-animal)'!$D$88:$Y$92,7,FALSE)/100)*(1-VLOOKUP(D476,'DB technologies'!$N$224:$V$236,8,FALSE)/100)))</f>
        <v/>
      </c>
      <c r="M476" s="434" t="str">
        <f>IF(D476="","",((VLOOKUP(D476,'DB technologies'!$N$224:$Y$236,2,FALSE)*VLOOKUP($C$475,'DB animal categories'!$C$167:$AC$176,27,FALSE)*E476/1000)/VLOOKUP($C$475,'DB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'!$S$6/100)*(1-VLOOKUP(D476,'DB technologies'!$N$224:$Y$236,9,FALSE)/100))</f>
        <v/>
      </c>
      <c r="N476" s="434" t="str">
        <f>IF(D476="","",((VLOOKUP(D476,'DB technologies'!$N$224:$Y$236,3,FALSE)*VLOOKUP($C$475,'DB animal categories'!$C$167:$AC$176,27,FALSE)*E476/1000)/VLOOKUP($C$475,'DB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'!$S$7/100)*(1-VLOOKUP(D476,'DB technologies'!$N$224:$Y$236,9,FALSE)/100))</f>
        <v/>
      </c>
      <c r="O476" s="423" t="str">
        <f>IF(D476="","",((VLOOKUP(D476,'DB technologies'!$N$224:$Y$236,4,FALSE)*E476*(1-'DB additional information '!$S$8/100)*(1-VLOOKUP(D476,'DB technologies'!$N$224:$Y$236,8,FALSE)/100))/VLOOKUP($C$475,'DB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P476" s="438" t="str">
        <f>IF(G476=0,0,IF(E476="","",IF(F476="","",IF($C$475=0,"",IF(D476="","",SUM(H476:K476)/G476*100)))))</f>
        <v/>
      </c>
      <c r="Q476" s="416" t="str">
        <f>IF(D476="","",(VLOOKUP(D476,'DB technologies'!$N$224:$Y$236,2,FALSE)*'DB additional information '!$S$6/100*'DB additional information '!$T$6*VLOOKUP($C$475,'DB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R476" s="416" t="str">
        <f>IF(D476="","",(VLOOKUP(D476,'DB technologies'!$N$224:$Y$236,3,FALSE)*'DB additional information '!$S$7/100*'DB additional information '!$T$7*VLOOKUP($C$475,'DB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S476" s="491" t="str">
        <f>IF(D476="","",(VLOOKUP(D476,'DB technologies'!$N$224:$Y$236,4,FALSE)*('DB additional information '!$S$8/100*'DB additional information '!$T$8*E476/1000/1000)))</f>
        <v/>
      </c>
      <c r="T476" s="264" t="str">
        <f>IF($C$475=0,"",IF('Calc (ex-animal)'!$F$88=1,"",IF(D476="","",((VLOOKUP($C$475,'Calc (ex-animal)'!$D$88:$Y$92,10,FALSE)-VLOOKUP($C$475,'Calc (ex-animal)'!$D$88:$Y$92,18,FALSE))*F476/100+Q476+R476+S476)-AC476-AD476-AE476)))</f>
        <v/>
      </c>
      <c r="U476" s="422" t="str">
        <f>IF(D476="","",(VLOOKUP(D476,'DB technologies'!$N$224:$Y$236,2,FALSE)*'DB additional information '!$S$6/100*'DB additional information '!$U$6*VLOOKUP($C$475,'DB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V476" s="418" t="str">
        <f>IF(D476="","",(VLOOKUP(D476,'DB technologies'!$N$224:$Y$236,3,FALSE)*'DB additional information '!$S$7/100*'DB additional information '!$U$7*VLOOKUP($C$475,'DB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W476" s="417" t="str">
        <f>IF(D476="","",(VLOOKUP(D476,'DB technologies'!$N$224:$Y$236,4,FALSE)*('DB additional information '!$S$8/100*'DB additional information '!$U$8*E476/1000/1000)))</f>
        <v/>
      </c>
      <c r="X476" s="261" t="str">
        <f>IF($C$475=0,"",IF('Calc (ex-animal)'!$F$88=1,"",IF(D476="","",((VLOOKUP($C$475,'Calc (ex-animal)'!$D$88:$Y$92,13,FALSE)-VLOOKUP($C$475,'Calc (ex-animal)'!$D$88:$Y$92,19,FALSE))*F476/100+U476+V476+W476))))</f>
        <v/>
      </c>
      <c r="Y476" s="418" t="str">
        <f>IF(D476="","",(VLOOKUP(D476,'DB technologies'!$N$224:$Y$236,2,FALSE)*'DB additional information '!$S$6/100*'DB additional information '!$V$6*VLOOKUP($C$475,'DB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Z476" s="418" t="str">
        <f>IF(D476="","",(VLOOKUP(D476,'DB technologies'!$N$224:$Y$236,3,FALSE)*'DB additional information '!$S$7/100*'DB additional information '!$V$7*VLOOKUP($C$475,'DB animal categories'!$C$167:$AC$176,27,FALSE)*E476/1000/1000)/VLOOKUP($C$475,'DB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AA476" s="418" t="str">
        <f>IF(D476="","",(VLOOKUP(D476,'DB technologies'!$N$224:$Y$236,4,FALSE)*('DB additional information '!$S$8/100*'DB additional information '!$V$8*E476/1000/1000)))</f>
        <v/>
      </c>
      <c r="AB476" s="261" t="str">
        <f>IF($C$475=0,"",IF('Calc (ex-animal)'!$F$88=1,"",IF(D476="","",((VLOOKUP($C$475,'Calc (ex-animal)'!$D$88:$Y$92,16,FALSE)-VLOOKUP($C$475,'Calc (ex-animal)'!$D$88:$Y$92,20,FALSE))*F476/100+Y476+Z476+AA476))))</f>
        <v/>
      </c>
      <c r="AC476" s="261" t="str">
        <f>IF($C$475=0,"",IF('Calc (ex-animal)'!$F$88=1,"",IF(D476="","",VLOOKUP($C$475,'Calc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categories'!$C$167:$AC$176,26,FALSE)/24)*F476/100*VLOOKUP(D476,'DB technologies'!$N$224:$R$236,5,FALSE)/100)))</f>
        <v/>
      </c>
      <c r="AD476" s="261" t="str">
        <f>IF($C$475=0,"",IF('Calc (ex-animal)'!$F$88=1,"",IF(D476="","",VLOOKUP($C$475,'Calc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categories'!$C$167:$AC$176,26,FALSE)/24)*F476/100*VLOOKUP(D476,'DB technologies'!$N$224:$Y$236,6,FALSE)/100)))</f>
        <v/>
      </c>
      <c r="AE476" s="262" t="str">
        <f>IF($C$475=0,"",IF('Calc (ex-animal)'!$F$88=1,"",IF(D476="","",VLOOKUP($C$475,'Calc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categories'!$C$167:$AC$176,26,FALSE)/24)*F476/100*VLOOKUP(D476,'DB technologies'!$N$224:$Y$236,7,FALSE)/100)))</f>
        <v/>
      </c>
      <c r="AI476" s="181" t="str">
        <f>IF(D476="","",VLOOKUP(D476,'DB technologies'!$N$224:$Y$236,10,FALSE))</f>
        <v/>
      </c>
      <c r="AJ476" s="449" t="e">
        <f>VLOOKUP($C$475,'DB animal categories'!$C$167:$AN$176,27,FALSE)-VLOOKUP($C$475,'DB animal categories'!$C$167:$AN$176,26,FALSE)*VLOOKUP($C$475,'DB animal categories'!$C$167:$AN$176,25,FALSE)/24</f>
        <v>#N/A</v>
      </c>
      <c r="AK476" s="442" t="str">
        <f>IF(AI476="","",AL476+AM476)</f>
        <v/>
      </c>
      <c r="AL476" s="442" t="str">
        <f>IF(D476="","",IF(AI476=2,(('Calc (ex-animal)'!$G$91*'DB additional information '!$K$19/100*(1-VLOOKUP(D476,'DB technologies'!$N$224:$Y$236,9,FALSE)/100)*'Calc (ex-housing, ex-storage)'!F476/100+'Calc (ex-animal)'!$H$91*'DB additional information '!$L$19/100*(1-VLOOKUP(D476,'DB technologies'!$N$224:$Y$236,9,FALSE)/100)*'Calc (ex-housing, ex-storage)'!F476/100))/VLOOKUP($C$475,'DB animal categories'!$C$167:$AC$176,27,FALSE)*AJ476+I476+J476+K476,IF(AI476=1,('Calc (ex-animal)'!$H$91*'DB additional information '!$L$19/100*(1-VLOOKUP(D476,'DB technologies'!$N$224:$Y$236,9,FALSE)/100)*'Calc (ex-housing, ex-storage)'!F476/100)/VLOOKUP($C$475,'DB animal categories'!$C$167:$AC$176,27,FALSE)*AJ476,IF(AI476=4,('Calc (ex-animal)'!$G$91*'DB additional information '!$K$19/100+'Calc (ex-animal)'!$H$91*'DB additional information '!$L$19/100)*(1-VLOOKUP(D476,'DB technologies'!$N$224:$Y$236,9,FALSE)/100)*'Calc (ex-housing, ex-storage)'!F476/100*VLOOKUP(D476,'DB technologies'!$N$224:$Y$236,11,FALSE)/100/VLOOKUP($C$475,'DB animal categories'!$C$167:$AC$176,27,FALSE)*AJ476,0))))</f>
        <v/>
      </c>
      <c r="AM476" s="442" t="str">
        <f>IF(D476="","",IF(AI476=2,(('Calc (ex-animal)'!$G$91*(1-'DB additional information '!$K$19/100)*(1-VLOOKUP(D476,'DB technologies'!$N$224:$Y$236,8,FALSE)/100)*'Calc (ex-housing, ex-storage)'!F476/100+'Calc (ex-animal)'!$H$91*(1-'DB additional information '!$L$19/100)*(1-VLOOKUP(D476,'DB technologies'!$N$224:$Y$236,8,FALSE)/100)*'Calc (ex-housing, ex-storage)'!F476/100))/VLOOKUP($C$475,'DB animal categories'!$C$167:$AC$176,27,FALSE)*AJ476+M476+N476+O476,IF(AI476=1,('Calc (ex-animal)'!$H$91*(1-'DB additional information '!$L$19/100)*(1-VLOOKUP(D476,'DB technologies'!$N$224:$Y$236,8,FALSE)/100)*'Calc (ex-housing, ex-storage)'!F476/100)/VLOOKUP($C$475,'DB animal categories'!$C$167:$AC$176,27,FALSE)*AJ476,IF(AI476=4,('Calc (ex-animal)'!$G$91*(1-'DB additional information '!$K$19/100)+'Calc (ex-animal)'!$H$91*(1-'DB additional information '!$L$19/100))*(1-VLOOKUP(D476,'DB technologies'!$N$224:$Y$236,8,FALSE)/100)*'Calc (ex-housing, ex-storage)'!F476/100*VLOOKUP(D476,'DB technologies'!$N$224:$Y$236,11,FALSE)/100/VLOOKUP($C$475,'DB animal categories'!$C$167:$AC$176,27,FALSE)*AJ476,0))))</f>
        <v/>
      </c>
      <c r="AN476" s="442" t="str">
        <f>IF(AI476="","",IF(AL476=0,0,AL476/AK476*100))</f>
        <v/>
      </c>
      <c r="AO476" s="182" t="str">
        <f>IF(D476="","",IF(AI476=2,(('Calc (ex-animal)'!$L$91*'Calc (ex-housing, ex-storage)'!F476/100+'Calc (ex-animal)'!$K$91*'Calc (ex-housing, ex-storage)'!F476/100))/VLOOKUP($C$475,'DB animal categories'!$C$167:$AC$176,27,FALSE)*AJ476+Q476+R476+S476-AC476,IF(AI476=1,('Calc (ex-animal)'!$L$91*'Calc (ex-housing, ex-storage)'!F476/100)/VLOOKUP($C$475,'DB animal categories'!$C$167:$AC$176,27,FALSE)*AJ476-'Calc (ex-housing, ex-storage)'!AC476,IF(AI476=4,('Calc (ex-animal)'!$L$91+'Calc (ex-animal)'!$K$91)*'Calc (ex-housing, ex-storage)'!F476/100*VLOOKUP(D476,'DB technologies'!$N$224:$Y$236,11,FALSE)/100/VLOOKUP($C$475,'DB animal categories'!$C$167:$AC$176,27,FALSE)*AJ476-AC476*VLOOKUP(D476,'DB technologies'!$N$224:$Y$236,11,FALSE)/100,0))))</f>
        <v/>
      </c>
      <c r="AP476" s="182" t="str">
        <f>IF(D476="","",IF(AO476&lt;-0.01,0,IF(AI476=2,(('Calc (ex-animal)'!$L$91*'Calc (ex-housing, ex-storage)'!F476/100+'Calc (ex-animal)'!$K$91*'Calc (ex-housing, ex-storage)'!F476/100))/VLOOKUP($C$475,'DB animal categories'!$C$167:$AC$176,27,FALSE)*AJ476+Q476+R476+S476-AC476,IF(AI476=1,('Calc (ex-animal)'!$L$91*'Calc (ex-housing, ex-storage)'!F476/100)/VLOOKUP($C$475,'DB animal categories'!$C$167:$AC$176,27,FALSE)*AJ476-'Calc (ex-housing, ex-storage)'!AC476,IF(AI476=4,('Calc (ex-animal)'!$L$91+'Calc (ex-animal)'!$K$91)*'Calc (ex-housing, ex-storage)'!F476/100*VLOOKUP(D476,'DB technologies'!$N$224:$Y$236,11,FALSE)/100/VLOOKUP($C$475,'DB animal categories'!$C$167:$AC$176,27,FALSE)*AJ476-AC476*VLOOKUP(D476,'DB technologies'!$N$224:$Y$236,11,FALSE)/100,0)))))</f>
        <v/>
      </c>
      <c r="AQ476" s="182" t="str">
        <f>IF(D476="","",IF(AI476=2,('Calc (ex-animal)'!$O$91*'Calc (ex-housing, ex-storage)'!F476/100+'Calc (ex-animal)'!$N$91*'Calc (ex-housing, ex-storage)'!F476/100)/VLOOKUP($C$475,'DB animal categories'!$C$167:$AC$176,27,FALSE)*AJ476+U476+V476+W476,IF(AI476=1,'Calc (ex-animal)'!$O$91*'Calc (ex-housing, ex-storage)'!F476/100/VLOOKUP($C$475,'DB animal categories'!$C$167:$AC$176,27,FALSE)*AJ476,IF(AI476=4,('Calc (ex-animal)'!$O$91+'Calc (ex-animal)'!$N$91)*'Calc (ex-housing, ex-storage)'!F476/100*VLOOKUP(D476,'DB technologies'!$N$224:$Y$236,11,FALSE)/100/VLOOKUP($C$475,'DB animal categories'!$C$167:$AC$176,27,FALSE)*AJ476,0))))</f>
        <v/>
      </c>
      <c r="AR476" s="182" t="str">
        <f>IF(D476="","",IF(AI476=2,('Calc (ex-animal)'!$R$91*'Calc (ex-housing, ex-storage)'!F476/100+'Calc (ex-animal)'!$Q$91*'Calc (ex-housing, ex-storage)'!F476/100)/VLOOKUP($C$475,'DB animal categories'!$C$167:$AC$176,27,FALSE)*AJ476+Y476+Z476+AA476,IF(AI476=1,'Calc (ex-animal)'!$R$91*'Calc (ex-housing, ex-storage)'!F476/100/VLOOKUP($C$475,'DB animal categories'!$C$167:$AC$176,27,FALSE)*AJ476,IF(AI476=4,('Calc (ex-animal)'!$R$91+'Calc (ex-animal)'!$Q$91)*'Calc (ex-housing, ex-storage)'!F476/100*VLOOKUP(D476,'DB technologies'!$N$224:$Y$236,11,FALSE)/100/VLOOKUP($C$475,'DB animal categories'!$C$167:$AC$176,27,FALSE)*AJ476,0))))</f>
        <v/>
      </c>
      <c r="AS476" s="181" t="str">
        <f>IF(D476="","",VLOOKUP(D476,'DB technologies'!$N$224:$Y$236,10,FALSE))</f>
        <v/>
      </c>
      <c r="AT476" s="442" t="str">
        <f>IF(AS476="","",AU476+AV476)</f>
        <v/>
      </c>
      <c r="AU476" s="442" t="str">
        <f>IF(D476="","",IF(AS476=2,0,IF(AS476=1,'Calc (ex-animal)'!$G$91*'DB additional information '!$K$19/100*(1-VLOOKUP(D476,'DB technologies'!$N$224:$Y$236,8,FALSE)/100)*'Calc (ex-housing, ex-storage)'!F476/100/VLOOKUP($C$475,'DB animal categories'!$C$167:$AC$176,27,FALSE)*AJ476+I476+J476+K476,IF(AS476=5,(('Calc (ex-animal)'!$G$91*'DB additional information '!$K$19/100+'Calc (ex-animal)'!$H$91*'DB additional information '!$L$19/100))*(1-VLOOKUP(D476,'DB technologies'!$N$224:$Y$236,9,FALSE)/100)*'Calc (ex-housing, ex-storage)'!F476/100/VLOOKUP($C$475,'DB animal categories'!$C$167:$AC$176,27,FALSE)*AJ476+I476+J476+K476,IF(AS476=3,('Calc (ex-animal)'!$G$91*'DB additional information '!$K$19/100+'Calc (ex-animal)'!$H$91*'DB additional information '!$L$19/100)*(1-VLOOKUP(D476,'DB technologies'!$N$224:$Y$236,9,FALSE)/100)*'Calc (ex-housing, ex-storage)'!F476/100/VLOOKUP($C$475,'DB animal categories'!$C$167:$AC$176,27,FALSE)*AJ476+I476+J476+K476,IF(AS476=4,('Calc (ex-animal)'!$G$91*'DB additional information '!$K$19/100+'Calc (ex-animal)'!$H$91*'DB additional information '!$L$19/100)*(1-VLOOKUP(D476,'DB technologies'!$N$224:$Y$236,9,FALSE)/100)*'Calc (ex-housing, ex-storage)'!F476/100*VLOOKUP(D476,'DB technologies'!$N$224:$Y$236,12,FALSE)/100/VLOOKUP($C$475,'DB animal categories'!$C$167:$AC$176,27,FALSE)*AJ476+I476+J476+K476,0))))))</f>
        <v/>
      </c>
      <c r="AV476" s="442" t="str">
        <f>IF(D476="","",IF(AS476=2,0,IF(AS476=1,'Calc (ex-animal)'!$G$91*(1-'DB additional information '!$K$19/100)*(1-VLOOKUP(D476,'DB technologies'!$N$224:$Y$236,8,FALSE)/100)*'Calc (ex-housing, ex-storage)'!F476/100/VLOOKUP($C$475,'DB animal categories'!$C$167:$AC$176,27,FALSE)*AJ476+M476+N476+O476,IF(AS476=5,('Calc (ex-animal)'!$G$91*(1-'DB additional information '!$K$19/100)+'Calc (ex-animal)'!$H$91*(1-'DB additional information '!$L$19/100))*(1-VLOOKUP(D476,'DB technologies'!$N$224:$Y$236,8,FALSE)/100)*'Calc (ex-housing, ex-storage)'!F476/100/VLOOKUP($C$475,'DB animal categories'!$C$167:$AC$176,27,FALSE)*AJ476+M476+N476+O476,IF(AS476=3,('Calc (ex-animal)'!$G$91*(1-'DB additional information '!$K$19/100)+'Calc (ex-animal)'!$H$91*(1-'DB additional information '!$L$19/100))*(1-VLOOKUP(D476,'DB technologies'!$N$224:$Y$236,8,FALSE)/100)*'Calc (ex-housing, ex-storage)'!F476/100/VLOOKUP($C$475,'DB animal categories'!$C$167:$AC$176,27,FALSE)*AJ476+M476+N476+O476,IF(AS476=4,('Calc (ex-animal)'!$G$91*(1-'DB additional information '!$K$19/100)+'Calc (ex-animal)'!$H$91*(1-'DB additional information '!$L$19/100))*(1-VLOOKUP(D476,'DB technologies'!$N$224:$Y$236,8,FALSE)/100)*'Calc (ex-housing, ex-storage)'!F476/100*VLOOKUP(D476,'DB technologies'!$N$224:$Y$236,12,FALSE)/100/VLOOKUP($C$475,'DB animal categories'!$C$167:$AC$176,27,FALSE)*AJ476+M476+N476+O476,0))))))</f>
        <v/>
      </c>
      <c r="AW476" s="442" t="str">
        <f>IF(AS476="","",IF(AU476=0,0,AU476/AT476*100))</f>
        <v/>
      </c>
      <c r="AX476" s="182" t="str">
        <f>IF(D476="","",IF(AS476=2,0,IF(AS476=1,'Calc (ex-animal)'!$K$91*'Calc (ex-housing, ex-storage)'!F476/100/VLOOKUP($C$475,'DB animal categories'!$C$167:$AC$176,27,FALSE)*AJ476+Q476+R476+S476,IF(AS476=5,('Calc (ex-animal)'!$K$91+'Calc (ex-animal)'!$L$91)*'Calc (ex-housing, ex-storage)'!F476/100/VLOOKUP($C$475,'DB animal categories'!$C$167:$AC$176,27,FALSE)*AJ476+Q476+R476+S476-'Calc (ex-housing, ex-storage)'!AC476,IF(AS476=3,('Calc (ex-animal)'!$K$91+'Calc (ex-animal)'!$L$91)*'Calc (ex-housing, ex-storage)'!F476/100/VLOOKUP($C$475,'DB animal categories'!$C$167:$AC$176,27,FALSE)*AJ476+Q476+R476+S476-'Calc (ex-housing, ex-storage)'!AC476-AD476-AE476,IF(AI476=4,('Calc (ex-animal)'!$K$91+'Calc (ex-animal)'!$L$91)*'Calc (ex-housing, ex-storage)'!F476/100*VLOOKUP(D476,'DB technologies'!$N$224:$Y$236,12,FALSE)/100/VLOOKUP($C$475,'DB animal categories'!$C$167:$AC$176,27,FALSE)*AJ476+Q476+R476+S476-(VLOOKUP(D476,'DB technologies'!$N$224:$Y$236,12,FALSE)/100*AC476)-AD476-AE476,0))))))</f>
        <v/>
      </c>
      <c r="AY476" s="182" t="str">
        <f>IF(D476="","",IF(AS476=2,0,IF(AS476=1,'Calc (ex-animal)'!$N$91*'Calc (ex-housing, ex-storage)'!F476/100/VLOOKUP($C$475,'DB animal categories'!$C$167:$AC$176,27,FALSE)*AJ476+U476+V476+W476,IF(AS476=5,('Calc (ex-animal)'!$N$91+'Calc (ex-animal)'!$O$91)*'Calc (ex-housing, ex-storage)'!F476/100/VLOOKUP($C$475,'DB animal categories'!$C$167:$AC$176,27,FALSE)*AJ476+U476+V476+W476,IF(AS476=3,('Calc (ex-animal)'!$N$91+'Calc (ex-animal)'!$O$91)*'Calc (ex-housing, ex-storage)'!F476/100/VLOOKUP($C$475,'DB animal categories'!$C$167:$AC$176,27,FALSE)*AJ476+U476+V476+W476,IF(AS476=4,('Calc (ex-animal)'!$N$91+'Calc (ex-animal)'!$O$91)*'Calc (ex-housing, ex-storage)'!F476/100*VLOOKUP(D476,'DB technologies'!$N$224:$Y$236,12,FALSE)/100/VLOOKUP($C$475,'DB animal categories'!$C$167:$AC$176,27,FALSE)*AJ476+U476+V476+W476,0))))))</f>
        <v/>
      </c>
      <c r="AZ476" s="182" t="str">
        <f>IF(D476="","",IF(AS476=2,0,IF(AS476=1,'Calc (ex-animal)'!$Q$91*'Calc (ex-housing, ex-storage)'!F476/100/VLOOKUP($C$475,'DB animal categories'!$C$167:$AC$176,27,FALSE)*AJ476+Y476+Z476+AA476,IF(AS476=5,('Calc (ex-animal)'!$Q$91+'Calc (ex-animal)'!$R$91)*'Calc (ex-housing, ex-storage)'!F476/100/VLOOKUP($C$475,'DB animal categories'!$C$167:$AC$176,27,FALSE)*AJ476+Y476+Z476+AA476,IF(AS476=3,('Calc (ex-animal)'!$Q$91+'Calc (ex-animal)'!$R$91)*'Calc (ex-housing, ex-storage)'!F476/100/VLOOKUP($C$475,'DB animal categories'!$C$167:$AC$176,27,FALSE)*AJ476+Y476+Z476+AA476,IF(AS476=4,('Calc (ex-animal)'!$Q$91+'Calc (ex-animal)'!$R$91)*'Calc (ex-housing, ex-storage)'!F476/100*VLOOKUP(D476,'DB technologies'!$N$224:$Y$236,12,FALSE)/100/VLOOKUP($C$475,'DB animal categories'!$C$167:$AC$176,27,FALSE)*AJ476+Y476+Z476+AA476,0))))))</f>
        <v/>
      </c>
      <c r="BA476" s="506"/>
      <c r="BB476" s="506"/>
      <c r="BC476" s="506"/>
    </row>
    <row r="477" spans="1:55" x14ac:dyDescent="0.2">
      <c r="A477" s="695"/>
      <c r="B477" s="695"/>
      <c r="C477" s="251"/>
      <c r="D477" s="1357"/>
      <c r="E477" s="1358"/>
      <c r="F477" s="480" t="str">
        <f>IF('Calc (ex-animal)'!$F$88=1,"",IF($C$475=0,"",IF(D477="","",E477/'Calc (ex-animal)'!$E$91*100)))</f>
        <v/>
      </c>
      <c r="G477" s="485" t="str">
        <f>IF($C$475=0,"",IF('Calc (ex-animal)'!$F$88=1,"",IF(D477="","",SUM(H477:O477))))</f>
        <v/>
      </c>
      <c r="H477" s="423" t="str">
        <f>IF('Calc (ex-animal)'!$F$88=1,"",IF(D477="","",(((VLOOKUP($C$475,'Calc (ex-animal)'!$D$88:$Y$92,6,FALSE)-VLOOKUP($C$475,'Calc (ex-animal)'!$D$88:$Y$92,17,FALSE))*F477/100))*VLOOKUP($C$475,'Calc (ex-animal)'!$D$88:$Y$92,7,FALSE)/100*(1-VLOOKUP(D477,'DB technologies'!$N$224:$Y$236,9,FALSE)/100)))</f>
        <v/>
      </c>
      <c r="I477" s="423" t="str">
        <f>IF(D477="","",((VLOOKUP(D477,'DB technologies'!$N$224:$Y$236,2,FALSE)*VLOOKUP($C$475,'DB animal categories'!$C$167:$AC$176,27,FALSE)*E477/1000)/VLOOKUP($C$475,'DB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'!$S$6/100*(1-VLOOKUP(D477,'DB technologies'!$N$224:$Y$236,9,FALSE)/100)))</f>
        <v/>
      </c>
      <c r="J477" s="434" t="str">
        <f>IF(D477="","",((VLOOKUP(D477,'DB technologies'!$N$224:$Y$236,3,FALSE)*VLOOKUP($C$475,'DB animal categories'!$C$167:$AC$176,27,FALSE)*E477/1000)/VLOOKUP($C$475,'DB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'!$S$7/100*(1-VLOOKUP(D477,'DB technologies'!$N$224:$Y$236,9,FALSE)/100)))</f>
        <v/>
      </c>
      <c r="K477" s="434" t="str">
        <f>IF(D477="","",((VLOOKUP(D477,'DB technologies'!$N$224:$Y$236,4,FALSE)*E477*'DB additional information '!$S$8/100*(1-VLOOKUP(D477,'DB technologies'!$N$224:$Y$236,9,FALSE)/100))/VLOOKUP($C$475,'DB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L477" s="423" t="str">
        <f>IF('Calc (ex-animal)'!$F$88=1,"",IF(D477="","",(((VLOOKUP($C$475,'Calc (ex-animal)'!$D$88:$Y$92,6,FALSE)-VLOOKUP($C$475,'Calc (ex-animal)'!$D$88:$Y$92,17,FALSE))*F477/100))*(1-VLOOKUP($C$475,'Calc (ex-animal)'!$D$88:$Y$92,7,FALSE)/100)*(1-VLOOKUP(D477,'DB technologies'!$N$224:$V$236,8,FALSE)/100)))</f>
        <v/>
      </c>
      <c r="M477" s="434" t="str">
        <f>IF(D477="","",((VLOOKUP(D477,'DB technologies'!$N$224:$Y$236,2,FALSE)*VLOOKUP($C$475,'DB animal categories'!$C$167:$AC$176,27,FALSE)*E477/1000)/VLOOKUP($C$475,'DB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'!$S$6/100)*(1-VLOOKUP(D477,'DB technologies'!$N$224:$Y$236,9,FALSE)/100))</f>
        <v/>
      </c>
      <c r="N477" s="434" t="str">
        <f>IF(D477="","",((VLOOKUP(D477,'DB technologies'!$N$224:$Y$236,3,FALSE)*VLOOKUP($C$475,'DB animal categories'!$C$167:$AC$176,27,FALSE)*E477/1000)/VLOOKUP($C$475,'DB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'!$S$7/100)*(1-VLOOKUP(D477,'DB technologies'!$N$224:$Y$236,9,FALSE)/100))</f>
        <v/>
      </c>
      <c r="O477" s="423" t="str">
        <f>IF(D477="","",((VLOOKUP(D477,'DB technologies'!$N$224:$Y$236,4,FALSE)*E477*(1-'DB additional information '!$S$8/100)*(1-VLOOKUP(D477,'DB technologies'!$N$224:$Y$236,8,FALSE)/100))/VLOOKUP($C$475,'DB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P477" s="438" t="str">
        <f>IF(G477=0,0,IF(E477="","",IF(F477="","",IF($C$475=0,"",IF(D477="","",SUM(H477:K477)/G477*100)))))</f>
        <v/>
      </c>
      <c r="Q477" s="416" t="str">
        <f>IF(D477="","",(VLOOKUP(D477,'DB technologies'!$N$224:$Y$236,2,FALSE)*'DB additional information '!$S$6/100*'DB additional information '!$T$6*VLOOKUP($C$475,'DB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R477" s="416" t="str">
        <f>IF(D477="","",(VLOOKUP(D477,'DB technologies'!$N$224:$Y$236,3,FALSE)*'DB additional information '!$S$7/100*'DB additional information '!$T$7*VLOOKUP($C$475,'DB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S477" s="491" t="str">
        <f>IF(D477="","",(VLOOKUP(D477,'DB technologies'!$N$224:$Y$236,4,FALSE)*('DB additional information '!$S$8/100*'DB additional information '!$T$8*E477/1000/1000)))</f>
        <v/>
      </c>
      <c r="T477" s="264" t="str">
        <f>IF($C$475=0,"",IF('Calc (ex-animal)'!$F$88=1,"",IF(D477="","",((VLOOKUP($C$475,'Calc (ex-animal)'!$D$88:$Y$92,10,FALSE)-VLOOKUP($C$475,'Calc (ex-animal)'!$D$88:$Y$92,18,FALSE))*F477/100+Q477+R477+S477)-AC477-AD477-AE477)))</f>
        <v/>
      </c>
      <c r="U477" s="422" t="str">
        <f>IF(D477="","",(VLOOKUP(D477,'DB technologies'!$N$224:$Y$236,2,FALSE)*'DB additional information '!$S$6/100*'DB additional information '!$U$6*VLOOKUP($C$475,'DB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V477" s="418" t="str">
        <f>IF(D477="","",(VLOOKUP(D477,'DB technologies'!$N$224:$Y$236,3,FALSE)*'DB additional information '!$S$7/100*'DB additional information '!$U$7*VLOOKUP($C$475,'DB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W477" s="417" t="str">
        <f>IF(D477="","",(VLOOKUP(D477,'DB technologies'!$N$224:$Y$236,4,FALSE)*('DB additional information '!$S$8/100*'DB additional information '!$U$8*E477/1000/1000)))</f>
        <v/>
      </c>
      <c r="X477" s="261" t="str">
        <f>IF($C$475=0,"",IF('Calc (ex-animal)'!$F$88=1,"",IF(D477="","",((VLOOKUP($C$475,'Calc (ex-animal)'!$D$88:$Y$92,13,FALSE)-VLOOKUP($C$475,'Calc (ex-animal)'!$D$88:$Y$92,19,FALSE))*F477/100+U477+V477+W477))))</f>
        <v/>
      </c>
      <c r="Y477" s="418" t="str">
        <f>IF(D477="","",(VLOOKUP(D477,'DB technologies'!$N$224:$Y$236,2,FALSE)*'DB additional information '!$S$6/100*'DB additional information '!$V$6*VLOOKUP($C$475,'DB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Z477" s="418" t="str">
        <f>IF(D477="","",(VLOOKUP(D477,'DB technologies'!$N$224:$Y$236,3,FALSE)*'DB additional information '!$S$7/100*'DB additional information '!$V$7*VLOOKUP($C$475,'DB animal categories'!$C$167:$AC$176,27,FALSE)*E477/1000/1000)/VLOOKUP($C$475,'DB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AA477" s="418" t="str">
        <f>IF(D477="","",(VLOOKUP(D477,'DB technologies'!$N$224:$Y$236,4,FALSE)*('DB additional information '!$S$8/100*'DB additional information '!$V$8*E477/1000/1000)))</f>
        <v/>
      </c>
      <c r="AB477" s="261" t="str">
        <f>IF($C$475=0,"",IF('Calc (ex-animal)'!$F$88=1,"",IF(D477="","",((VLOOKUP($C$475,'Calc (ex-animal)'!$D$88:$Y$92,16,FALSE)-VLOOKUP($C$475,'Calc (ex-animal)'!$D$88:$Y$92,20,FALSE))*F477/100+Y477+Z477+AA477))))</f>
        <v/>
      </c>
      <c r="AC477" s="261" t="str">
        <f>IF($C$475=0,"",IF('Calc (ex-animal)'!$F$88=1,"",IF(D477="","",VLOOKUP($C$475,'Calc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categories'!$C$167:$AC$176,26,FALSE)/24)*F477/100*VLOOKUP(D477,'DB technologies'!$N$224:$R$236,5,FALSE)/100)))</f>
        <v/>
      </c>
      <c r="AD477" s="261" t="str">
        <f>IF($C$475=0,"",IF('Calc (ex-animal)'!$F$88=1,"",IF(D477="","",VLOOKUP($C$475,'Calc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categories'!$C$167:$AC$176,26,FALSE)/24)*F477/100*VLOOKUP(D477,'DB technologies'!$N$224:$Y$236,6,FALSE)/100)))</f>
        <v/>
      </c>
      <c r="AE477" s="262" t="str">
        <f>IF($C$475=0,"",IF('Calc (ex-animal)'!$F$88=1,"",IF(D477="","",VLOOKUP($C$475,'Calc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categories'!$C$167:$AC$176,26,FALSE)/24)*F477/100*VLOOKUP(D477,'DB technologies'!$N$224:$Y$236,7,FALSE)/100)))</f>
        <v/>
      </c>
      <c r="AI477" s="181" t="str">
        <f>IF(D477="","",VLOOKUP(D477,'DB technologies'!$N$224:$Y$236,10,FALSE))</f>
        <v/>
      </c>
      <c r="AJ477" s="449" t="e">
        <f>VLOOKUP($C$475,'DB animal categories'!$C$167:$AN$176,27,FALSE)-VLOOKUP($C$475,'DB animal categories'!$C$167:$AN$176,26,FALSE)*VLOOKUP($C$475,'DB animal categories'!$C$167:$AN$176,25,FALSE)/24</f>
        <v>#N/A</v>
      </c>
      <c r="AK477" s="442" t="str">
        <f>IF(AI477="","",AL477+AM477)</f>
        <v/>
      </c>
      <c r="AL477" s="442" t="str">
        <f>IF(D477="","",IF(AI477=2,(('Calc (ex-animal)'!$G$91*'DB additional information '!$K$19/100*(1-VLOOKUP(D477,'DB technologies'!$N$224:$Y$236,9,FALSE)/100)*'Calc (ex-housing, ex-storage)'!F477/100+'Calc (ex-animal)'!$H$91*'DB additional information '!$L$19/100*(1-VLOOKUP(D477,'DB technologies'!$N$224:$Y$236,9,FALSE)/100)*'Calc (ex-housing, ex-storage)'!F477/100))/VLOOKUP($C$475,'DB animal categories'!$C$167:$AC$176,27,FALSE)*AJ477+I477+J477+K477,IF(AI477=1,('Calc (ex-animal)'!$H$91*'DB additional information '!$L$19/100*(1-VLOOKUP(D477,'DB technologies'!$N$224:$Y$236,9,FALSE)/100)*'Calc (ex-housing, ex-storage)'!F477/100)/VLOOKUP($C$475,'DB animal categories'!$C$167:$AC$176,27,FALSE)*AJ477,IF(AI477=4,('Calc (ex-animal)'!$G$91*'DB additional information '!$K$19/100+'Calc (ex-animal)'!$H$91*'DB additional information '!$L$19/100)*(1-VLOOKUP(D477,'DB technologies'!$N$224:$Y$236,9,FALSE)/100)*'Calc (ex-housing, ex-storage)'!F477/100*VLOOKUP(D477,'DB technologies'!$N$224:$Y$236,11,FALSE)/100/VLOOKUP($C$475,'DB animal categories'!$C$167:$AC$176,27,FALSE)*AJ477,0))))</f>
        <v/>
      </c>
      <c r="AM477" s="442" t="str">
        <f>IF(D477="","",IF(AI477=2,(('Calc (ex-animal)'!$G$91*(1-'DB additional information '!$K$19/100)*(1-VLOOKUP(D477,'DB technologies'!$N$224:$Y$236,8,FALSE)/100)*'Calc (ex-housing, ex-storage)'!F477/100+'Calc (ex-animal)'!$H$91*(1-'DB additional information '!$L$19/100)*(1-VLOOKUP(D477,'DB technologies'!$N$224:$Y$236,8,FALSE)/100)*'Calc (ex-housing, ex-storage)'!F477/100))/VLOOKUP($C$475,'DB animal categories'!$C$167:$AC$176,27,FALSE)*AJ477+M477+N477+O477,IF(AI477=1,('Calc (ex-animal)'!$H$91*(1-'DB additional information '!$L$19/100)*(1-VLOOKUP(D477,'DB technologies'!$N$224:$Y$236,8,FALSE)/100)*'Calc (ex-housing, ex-storage)'!F477/100)/VLOOKUP($C$475,'DB animal categories'!$C$167:$AC$176,27,FALSE)*AJ477,IF(AI477=4,('Calc (ex-animal)'!$G$91*(1-'DB additional information '!$K$19/100)+'Calc (ex-animal)'!$H$91*(1-'DB additional information '!$L$19/100))*(1-VLOOKUP(D477,'DB technologies'!$N$224:$Y$236,8,FALSE)/100)*'Calc (ex-housing, ex-storage)'!F477/100*VLOOKUP(D477,'DB technologies'!$N$224:$Y$236,11,FALSE)/100/VLOOKUP($C$475,'DB animal categories'!$C$167:$AC$176,27,FALSE)*AJ477,0))))</f>
        <v/>
      </c>
      <c r="AN477" s="442" t="str">
        <f>IF(AI477="","",IF(AL477=0,0,AL477/AK477*100))</f>
        <v/>
      </c>
      <c r="AO477" s="182" t="str">
        <f>IF(D477="","",IF(AI477=2,(('Calc (ex-animal)'!$L$91*'Calc (ex-housing, ex-storage)'!F477/100+'Calc (ex-animal)'!$K$91*'Calc (ex-housing, ex-storage)'!F477/100))/VLOOKUP($C$475,'DB animal categories'!$C$167:$AC$176,27,FALSE)*AJ477+Q477+R477+S477-AC477,IF(AI477=1,('Calc (ex-animal)'!$L$91*'Calc (ex-housing, ex-storage)'!F477/100)/VLOOKUP($C$475,'DB animal categories'!$C$167:$AC$176,27,FALSE)*AJ477-'Calc (ex-housing, ex-storage)'!AC477,IF(AI477=4,('Calc (ex-animal)'!$L$91+'Calc (ex-animal)'!$K$91)*'Calc (ex-housing, ex-storage)'!F477/100*VLOOKUP(D477,'DB technologies'!$N$224:$Y$236,11,FALSE)/100/VLOOKUP($C$475,'DB animal categories'!$C$167:$AC$176,27,FALSE)*AJ477-AC477*VLOOKUP(D477,'DB technologies'!$N$224:$Y$236,11,FALSE)/100,0))))</f>
        <v/>
      </c>
      <c r="AP477" s="182" t="str">
        <f>IF(D477="","",IF(AO477&lt;-0.01,0,IF(AI477=2,(('Calc (ex-animal)'!$L$91*'Calc (ex-housing, ex-storage)'!F477/100+'Calc (ex-animal)'!$K$91*'Calc (ex-housing, ex-storage)'!F477/100))/VLOOKUP($C$475,'DB animal categories'!$C$167:$AC$176,27,FALSE)*AJ477+Q477+R477+S477-AC477,IF(AI477=1,('Calc (ex-animal)'!$L$91*'Calc (ex-housing, ex-storage)'!F477/100)/VLOOKUP($C$475,'DB animal categories'!$C$167:$AC$176,27,FALSE)*AJ477-'Calc (ex-housing, ex-storage)'!AC477,IF(AI477=4,('Calc (ex-animal)'!$L$91+'Calc (ex-animal)'!$K$91)*'Calc (ex-housing, ex-storage)'!F477/100*VLOOKUP(D477,'DB technologies'!$N$224:$Y$236,11,FALSE)/100/VLOOKUP($C$475,'DB animal categories'!$C$167:$AC$176,27,FALSE)*AJ477-AC477*VLOOKUP(D477,'DB technologies'!$N$224:$Y$236,11,FALSE)/100,0)))))</f>
        <v/>
      </c>
      <c r="AQ477" s="182" t="str">
        <f>IF(D477="","",IF(AI477=2,('Calc (ex-animal)'!$O$91*'Calc (ex-housing, ex-storage)'!F477/100+'Calc (ex-animal)'!$N$91*'Calc (ex-housing, ex-storage)'!F477/100)/VLOOKUP($C$475,'DB animal categories'!$C$167:$AC$176,27,FALSE)*AJ477+U477+V477+W477,IF(AI477=1,'Calc (ex-animal)'!$O$91*'Calc (ex-housing, ex-storage)'!F477/100/VLOOKUP($C$475,'DB animal categories'!$C$167:$AC$176,27,FALSE)*AJ477,IF(AI477=4,('Calc (ex-animal)'!$O$91+'Calc (ex-animal)'!$N$91)*'Calc (ex-housing, ex-storage)'!F477/100*VLOOKUP(D477,'DB technologies'!$N$224:$Y$236,11,FALSE)/100/VLOOKUP($C$475,'DB animal categories'!$C$167:$AC$176,27,FALSE)*AJ477,0))))</f>
        <v/>
      </c>
      <c r="AR477" s="182" t="str">
        <f>IF(D477="","",IF(AI477=2,('Calc (ex-animal)'!$R$91*'Calc (ex-housing, ex-storage)'!F477/100+'Calc (ex-animal)'!$Q$91*'Calc (ex-housing, ex-storage)'!F477/100)/VLOOKUP($C$475,'DB animal categories'!$C$167:$AC$176,27,FALSE)*AJ477+Y477+Z477+AA477,IF(AI477=1,'Calc (ex-animal)'!$R$91*'Calc (ex-housing, ex-storage)'!F477/100/VLOOKUP($C$475,'DB animal categories'!$C$167:$AC$176,27,FALSE)*AJ477,IF(AI477=4,('Calc (ex-animal)'!$R$91+'Calc (ex-animal)'!$Q$91)*'Calc (ex-housing, ex-storage)'!F477/100*VLOOKUP(D477,'DB technologies'!$N$224:$Y$236,11,FALSE)/100/VLOOKUP($C$475,'DB animal categories'!$C$167:$AC$176,27,FALSE)*AJ477,0))))</f>
        <v/>
      </c>
      <c r="AS477" s="181" t="str">
        <f>IF(D477="","",VLOOKUP(D477,'DB technologies'!$N$224:$Y$236,10,FALSE))</f>
        <v/>
      </c>
      <c r="AT477" s="442" t="str">
        <f>IF(AS477="","",AU477+AV477)</f>
        <v/>
      </c>
      <c r="AU477" s="442" t="str">
        <f>IF(D477="","",IF(AS477=2,0,IF(AS477=1,'Calc (ex-animal)'!$G$91*'DB additional information '!$K$19/100*(1-VLOOKUP(D477,'DB technologies'!$N$224:$Y$236,8,FALSE)/100)*'Calc (ex-housing, ex-storage)'!F477/100/VLOOKUP($C$475,'DB animal categories'!$C$167:$AC$176,27,FALSE)*AJ477+I477+J477+K477,IF(AS477=5,(('Calc (ex-animal)'!$G$91*'DB additional information '!$K$19/100+'Calc (ex-animal)'!$H$91*'DB additional information '!$L$19/100))*(1-VLOOKUP(D477,'DB technologies'!$N$224:$Y$236,9,FALSE)/100)*'Calc (ex-housing, ex-storage)'!F477/100/VLOOKUP($C$475,'DB animal categories'!$C$167:$AC$176,27,FALSE)*AJ477+I477+J477+K477,IF(AS477=3,('Calc (ex-animal)'!$G$91*'DB additional information '!$K$19/100+'Calc (ex-animal)'!$H$91*'DB additional information '!$L$19/100)*(1-VLOOKUP(D477,'DB technologies'!$N$224:$Y$236,9,FALSE)/100)*'Calc (ex-housing, ex-storage)'!F477/100/VLOOKUP($C$475,'DB animal categories'!$C$167:$AC$176,27,FALSE)*AJ477+I477+J477+K477,IF(AS477=4,('Calc (ex-animal)'!$G$91*'DB additional information '!$K$19/100+'Calc (ex-animal)'!$H$91*'DB additional information '!$L$19/100)*(1-VLOOKUP(D477,'DB technologies'!$N$224:$Y$236,9,FALSE)/100)*'Calc (ex-housing, ex-storage)'!F477/100*VLOOKUP(D477,'DB technologies'!$N$224:$Y$236,12,FALSE)/100/VLOOKUP($C$475,'DB animal categories'!$C$167:$AC$176,27,FALSE)*AJ477+I477+J477+K477,0))))))</f>
        <v/>
      </c>
      <c r="AV477" s="442" t="str">
        <f>IF(D477="","",IF(AS477=2,0,IF(AS477=1,'Calc (ex-animal)'!$G$91*(1-'DB additional information '!$K$19/100)*(1-VLOOKUP(D477,'DB technologies'!$N$224:$Y$236,8,FALSE)/100)*'Calc (ex-housing, ex-storage)'!F477/100/VLOOKUP($C$475,'DB animal categories'!$C$167:$AC$176,27,FALSE)*AJ477+M477+N477+O477,IF(AS477=5,('Calc (ex-animal)'!$G$91*(1-'DB additional information '!$K$19/100)+'Calc (ex-animal)'!$H$91*(1-'DB additional information '!$L$19/100))*(1-VLOOKUP(D477,'DB technologies'!$N$224:$Y$236,8,FALSE)/100)*'Calc (ex-housing, ex-storage)'!F477/100/VLOOKUP($C$475,'DB animal categories'!$C$167:$AC$176,27,FALSE)*AJ477+M477+N477+O477,IF(AS477=3,('Calc (ex-animal)'!$G$91*(1-'DB additional information '!$K$19/100)+'Calc (ex-animal)'!$H$91*(1-'DB additional information '!$L$19/100))*(1-VLOOKUP(D477,'DB technologies'!$N$224:$Y$236,8,FALSE)/100)*'Calc (ex-housing, ex-storage)'!F477/100/VLOOKUP($C$475,'DB animal categories'!$C$167:$AC$176,27,FALSE)*AJ477+M477+N477+O477,IF(AS477=4,('Calc (ex-animal)'!$G$91*(1-'DB additional information '!$K$19/100)+'Calc (ex-animal)'!$H$91*(1-'DB additional information '!$L$19/100))*(1-VLOOKUP(D477,'DB technologies'!$N$224:$Y$236,8,FALSE)/100)*'Calc (ex-housing, ex-storage)'!F477/100*VLOOKUP(D477,'DB technologies'!$N$224:$Y$236,12,FALSE)/100/VLOOKUP($C$475,'DB animal categories'!$C$167:$AC$176,27,FALSE)*AJ477+M477+N477+O477,0))))))</f>
        <v/>
      </c>
      <c r="AW477" s="442" t="str">
        <f>IF(AS477="","",IF(AU477=0,0,AU477/AT477*100))</f>
        <v/>
      </c>
      <c r="AX477" s="182" t="str">
        <f>IF(D477="","",IF(AS477=2,0,IF(AS477=1,'Calc (ex-animal)'!$K$91*'Calc (ex-housing, ex-storage)'!F477/100/VLOOKUP($C$475,'DB animal categories'!$C$167:$AC$176,27,FALSE)*AJ477+Q477+R477+S477,IF(AS477=5,('Calc (ex-animal)'!$K$91+'Calc (ex-animal)'!$L$91)*'Calc (ex-housing, ex-storage)'!F477/100/VLOOKUP($C$475,'DB animal categories'!$C$167:$AC$176,27,FALSE)*AJ477+Q477+R477+S477-'Calc (ex-housing, ex-storage)'!AC477,IF(AS477=3,('Calc (ex-animal)'!$K$91+'Calc (ex-animal)'!$L$91)*'Calc (ex-housing, ex-storage)'!F477/100/VLOOKUP($C$475,'DB animal categories'!$C$167:$AC$176,27,FALSE)*AJ477+Q477+R477+S477-'Calc (ex-housing, ex-storage)'!AC477-AD477-AE477,IF(AI477=4,('Calc (ex-animal)'!$K$91+'Calc (ex-animal)'!$L$91)*'Calc (ex-housing, ex-storage)'!F477/100*VLOOKUP(D477,'DB technologies'!$N$224:$Y$236,12,FALSE)/100/VLOOKUP($C$475,'DB animal categories'!$C$167:$AC$176,27,FALSE)*AJ477+Q477+R477+S477-(VLOOKUP(D477,'DB technologies'!$N$224:$Y$236,12,FALSE)/100*AC477)-AD477-AE477,0))))))</f>
        <v/>
      </c>
      <c r="AY477" s="182" t="str">
        <f>IF(D477="","",IF(AS477=2,0,IF(AS477=1,'Calc (ex-animal)'!$N$91*'Calc (ex-housing, ex-storage)'!F477/100/VLOOKUP($C$475,'DB animal categories'!$C$167:$AC$176,27,FALSE)*AJ477+U477+V477+W477,IF(AS477=5,('Calc (ex-animal)'!$N$91+'Calc (ex-animal)'!$O$91)*'Calc (ex-housing, ex-storage)'!F477/100/VLOOKUP($C$475,'DB animal categories'!$C$167:$AC$176,27,FALSE)*AJ477+U477+V477+W477,IF(AS477=3,('Calc (ex-animal)'!$N$91+'Calc (ex-animal)'!$O$91)*'Calc (ex-housing, ex-storage)'!F477/100/VLOOKUP($C$475,'DB animal categories'!$C$167:$AC$176,27,FALSE)*AJ477+U477+V477+W477,IF(AS477=4,('Calc (ex-animal)'!$N$91+'Calc (ex-animal)'!$O$91)*'Calc (ex-housing, ex-storage)'!F477/100*VLOOKUP(D477,'DB technologies'!$N$224:$Y$236,12,FALSE)/100/VLOOKUP($C$475,'DB animal categories'!$C$167:$AC$176,27,FALSE)*AJ477+U477+V477+W477,0))))))</f>
        <v/>
      </c>
      <c r="AZ477" s="182" t="str">
        <f>IF(D477="","",IF(AS477=2,0,IF(AS477=1,'Calc (ex-animal)'!$Q$91*'Calc (ex-housing, ex-storage)'!F477/100/VLOOKUP($C$475,'DB animal categories'!$C$167:$AC$176,27,FALSE)*AJ477+Y477+Z477+AA477,IF(AS477=5,('Calc (ex-animal)'!$Q$91+'Calc (ex-animal)'!$R$91)*'Calc (ex-housing, ex-storage)'!F477/100/VLOOKUP($C$475,'DB animal categories'!$C$167:$AC$176,27,FALSE)*AJ477+Y477+Z477+AA477,IF(AS477=3,('Calc (ex-animal)'!$Q$91+'Calc (ex-animal)'!$R$91)*'Calc (ex-housing, ex-storage)'!F477/100/VLOOKUP($C$475,'DB animal categories'!$C$167:$AC$176,27,FALSE)*AJ477+Y477+Z477+AA477,IF(AS477=4,('Calc (ex-animal)'!$Q$91+'Calc (ex-animal)'!$R$91)*'Calc (ex-housing, ex-storage)'!F477/100*VLOOKUP(D477,'DB technologies'!$N$224:$Y$236,12,FALSE)/100/VLOOKUP($C$475,'DB animal categories'!$C$167:$AC$176,27,FALSE)*AJ477+Y477+Z477+AA477,0))))))</f>
        <v/>
      </c>
      <c r="BA477" s="506"/>
      <c r="BB477" s="506"/>
      <c r="BC477" s="506"/>
    </row>
    <row r="478" spans="1:55" x14ac:dyDescent="0.2">
      <c r="A478" s="695"/>
      <c r="B478" s="695"/>
      <c r="C478" s="251"/>
      <c r="D478" s="1357"/>
      <c r="E478" s="1358"/>
      <c r="F478" s="480" t="str">
        <f>IF('Calc (ex-animal)'!$F$88=1,"",IF($C$475=0,"",IF(D478="","",E478/'Calc (ex-animal)'!$E$91*100)))</f>
        <v/>
      </c>
      <c r="G478" s="485" t="str">
        <f>IF($C$475=0,"",IF('Calc (ex-animal)'!$F$88=1,"",IF(D478="","",SUM(H478:O478))))</f>
        <v/>
      </c>
      <c r="H478" s="423" t="str">
        <f>IF('Calc (ex-animal)'!$F$88=1,"",IF(D478="","",(((VLOOKUP($C$475,'Calc (ex-animal)'!$D$88:$Y$92,6,FALSE)-VLOOKUP($C$475,'Calc (ex-animal)'!$D$88:$Y$92,17,FALSE))*F478/100))*VLOOKUP($C$475,'Calc (ex-animal)'!$D$88:$Y$92,7,FALSE)/100*(1-VLOOKUP(D478,'DB technologies'!$N$224:$Y$236,9,FALSE)/100)))</f>
        <v/>
      </c>
      <c r="I478" s="423" t="str">
        <f>IF(D478="","",((VLOOKUP(D478,'DB technologies'!$N$224:$Y$236,2,FALSE)*VLOOKUP($C$475,'DB animal categories'!$C$167:$AC$176,27,FALSE)*E478/1000)/VLOOKUP($C$475,'DB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'!$S$6/100*(1-VLOOKUP(D478,'DB technologies'!$N$224:$Y$236,9,FALSE)/100)))</f>
        <v/>
      </c>
      <c r="J478" s="434" t="str">
        <f>IF(D478="","",((VLOOKUP(D478,'DB technologies'!$N$224:$Y$236,3,FALSE)*VLOOKUP($C$475,'DB animal categories'!$C$167:$AC$176,27,FALSE)*E478/1000)/VLOOKUP($C$475,'DB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'!$S$7/100*(1-VLOOKUP(D478,'DB technologies'!$N$224:$Y$236,9,FALSE)/100)))</f>
        <v/>
      </c>
      <c r="K478" s="434" t="str">
        <f>IF(D478="","",((VLOOKUP(D478,'DB technologies'!$N$224:$Y$236,4,FALSE)*E478*'DB additional information '!$S$8/100*(1-VLOOKUP(D478,'DB technologies'!$N$224:$Y$236,9,FALSE)/100))/VLOOKUP($C$475,'DB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L478" s="423" t="str">
        <f>IF('Calc (ex-animal)'!$F$88=1,"",IF(D478="","",(((VLOOKUP($C$475,'Calc (ex-animal)'!$D$88:$Y$92,6,FALSE)-VLOOKUP($C$475,'Calc (ex-animal)'!$D$88:$Y$92,17,FALSE))*F478/100))*(1-VLOOKUP($C$475,'Calc (ex-animal)'!$D$88:$Y$92,7,FALSE)/100)*(1-VLOOKUP(D478,'DB technologies'!$N$224:$V$236,8,FALSE)/100)))</f>
        <v/>
      </c>
      <c r="M478" s="434" t="str">
        <f>IF(D478="","",((VLOOKUP(D478,'DB technologies'!$N$224:$Y$236,2,FALSE)*VLOOKUP($C$475,'DB animal categories'!$C$167:$AC$176,27,FALSE)*E478/1000)/VLOOKUP($C$475,'DB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'!$S$6/100)*(1-VLOOKUP(D478,'DB technologies'!$N$224:$Y$236,9,FALSE)/100))</f>
        <v/>
      </c>
      <c r="N478" s="434" t="str">
        <f>IF(D478="","",((VLOOKUP(D478,'DB technologies'!$N$224:$Y$236,3,FALSE)*VLOOKUP($C$475,'DB animal categories'!$C$167:$AC$176,27,FALSE)*E478/1000)/VLOOKUP($C$475,'DB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'!$S$7/100)*(1-VLOOKUP(D478,'DB technologies'!$N$224:$Y$236,9,FALSE)/100))</f>
        <v/>
      </c>
      <c r="O478" s="423" t="str">
        <f>IF(D478="","",((VLOOKUP(D478,'DB technologies'!$N$224:$Y$236,4,FALSE)*E478*(1-'DB additional information '!$S$8/100)*(1-VLOOKUP(D478,'DB technologies'!$N$224:$Y$236,8,FALSE)/100))/VLOOKUP($C$475,'DB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P478" s="438" t="str">
        <f>IF(G478=0,0,IF(E478="","",IF(F478="","",IF($C$475=0,"",IF(D478="","",SUM(H478:K478)/G478*100)))))</f>
        <v/>
      </c>
      <c r="Q478" s="416" t="str">
        <f>IF(D478="","",(VLOOKUP(D478,'DB technologies'!$N$224:$Y$236,2,FALSE)*'DB additional information '!$S$6/100*'DB additional information '!$T$6*VLOOKUP($C$475,'DB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R478" s="416" t="str">
        <f>IF(D478="","",(VLOOKUP(D478,'DB technologies'!$N$224:$Y$236,3,FALSE)*'DB additional information '!$S$7/100*'DB additional information '!$T$7*VLOOKUP($C$475,'DB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S478" s="491" t="str">
        <f>IF(D478="","",(VLOOKUP(D478,'DB technologies'!$N$224:$Y$236,4,FALSE)*('DB additional information '!$S$8/100*'DB additional information '!$T$8*E478/1000/1000)))</f>
        <v/>
      </c>
      <c r="T478" s="264" t="str">
        <f>IF($C$475=0,"",IF('Calc (ex-animal)'!$F$88=1,"",IF(D478="","",((VLOOKUP($C$475,'Calc (ex-animal)'!$D$88:$Y$92,10,FALSE)-VLOOKUP($C$475,'Calc (ex-animal)'!$D$88:$Y$92,18,FALSE))*F478/100+Q478+R478+S478)-AC478-AD478-AE478)))</f>
        <v/>
      </c>
      <c r="U478" s="422" t="str">
        <f>IF(D478="","",(VLOOKUP(D478,'DB technologies'!$N$224:$Y$236,2,FALSE)*'DB additional information '!$S$6/100*'DB additional information '!$U$6*VLOOKUP($C$475,'DB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V478" s="418" t="str">
        <f>IF(D478="","",(VLOOKUP(D478,'DB technologies'!$N$224:$Y$236,3,FALSE)*'DB additional information '!$S$7/100*'DB additional information '!$U$7*VLOOKUP($C$475,'DB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W478" s="417" t="str">
        <f>IF(D478="","",(VLOOKUP(D478,'DB technologies'!$N$224:$Y$236,4,FALSE)*('DB additional information '!$S$8/100*'DB additional information '!$U$8*E478/1000/1000)))</f>
        <v/>
      </c>
      <c r="X478" s="261" t="str">
        <f>IF($C$475=0,"",IF('Calc (ex-animal)'!$F$88=1,"",IF(D478="","",((VLOOKUP($C$475,'Calc (ex-animal)'!$D$88:$Y$92,13,FALSE)-VLOOKUP($C$475,'Calc (ex-animal)'!$D$88:$Y$92,19,FALSE))*F478/100+U478+V478+W478))))</f>
        <v/>
      </c>
      <c r="Y478" s="418" t="str">
        <f>IF(D478="","",(VLOOKUP(D478,'DB technologies'!$N$224:$Y$236,2,FALSE)*'DB additional information '!$S$6/100*'DB additional information '!$V$6*VLOOKUP($C$475,'DB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Z478" s="418" t="str">
        <f>IF(D478="","",(VLOOKUP(D478,'DB technologies'!$N$224:$Y$236,3,FALSE)*'DB additional information '!$S$7/100*'DB additional information '!$V$7*VLOOKUP($C$475,'DB animal categories'!$C$167:$AC$176,27,FALSE)*E478/1000/1000)/VLOOKUP($C$475,'DB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AA478" s="418" t="str">
        <f>IF(D478="","",(VLOOKUP(D478,'DB technologies'!$N$224:$Y$236,4,FALSE)*('DB additional information '!$S$8/100*'DB additional information '!$V$8*E478/1000/1000)))</f>
        <v/>
      </c>
      <c r="AB478" s="261" t="str">
        <f>IF($C$475=0,"",IF('Calc (ex-animal)'!$F$88=1,"",IF(D478="","",((VLOOKUP($C$475,'Calc (ex-animal)'!$D$88:$Y$92,16,FALSE)-VLOOKUP($C$475,'Calc (ex-animal)'!$D$88:$Y$92,20,FALSE))*F478/100+Y478+Z478+AA478))))</f>
        <v/>
      </c>
      <c r="AC478" s="261" t="str">
        <f>IF($C$475=0,"",IF('Calc (ex-animal)'!$F$88=1,"",IF(D478="","",VLOOKUP($C$475,'Calc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categories'!$C$167:$AC$176,26,FALSE)/24)*F478/100*VLOOKUP(D478,'DB technologies'!$N$224:$R$236,5,FALSE)/100)))</f>
        <v/>
      </c>
      <c r="AD478" s="261" t="str">
        <f>IF($C$475=0,"",IF('Calc (ex-animal)'!$F$88=1,"",IF(D478="","",VLOOKUP($C$475,'Calc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categories'!$C$167:$AC$176,26,FALSE)/24)*F478/100*VLOOKUP(D478,'DB technologies'!$N$224:$Y$236,6,FALSE)/100)))</f>
        <v/>
      </c>
      <c r="AE478" s="262" t="str">
        <f>IF($C$475=0,"",IF('Calc (ex-animal)'!$F$88=1,"",IF(D478="","",VLOOKUP($C$475,'Calc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categories'!$C$167:$AC$176,26,FALSE)/24)*F478/100*VLOOKUP(D478,'DB technologies'!$N$224:$Y$236,7,FALSE)/100)))</f>
        <v/>
      </c>
      <c r="AI478" s="181" t="str">
        <f>IF(D478="","",VLOOKUP(D478,'DB technologies'!$N$224:$Y$236,10,FALSE))</f>
        <v/>
      </c>
      <c r="AJ478" s="449" t="e">
        <f>VLOOKUP($C$475,'DB animal categories'!$C$167:$AN$176,27,FALSE)-VLOOKUP($C$475,'DB animal categories'!$C$167:$AN$176,26,FALSE)*VLOOKUP($C$475,'DB animal categories'!$C$167:$AN$176,25,FALSE)/24</f>
        <v>#N/A</v>
      </c>
      <c r="AK478" s="442" t="str">
        <f>IF(AI478="","",AL478+AM478)</f>
        <v/>
      </c>
      <c r="AL478" s="442" t="str">
        <f>IF(D478="","",IF(AI478=2,(('Calc (ex-animal)'!$G$91*'DB additional information '!$K$19/100*(1-VLOOKUP(D478,'DB technologies'!$N$224:$Y$236,9,FALSE)/100)*'Calc (ex-housing, ex-storage)'!F478/100+'Calc (ex-animal)'!$H$91*'DB additional information '!$L$19/100*(1-VLOOKUP(D478,'DB technologies'!$N$224:$Y$236,9,FALSE)/100)*'Calc (ex-housing, ex-storage)'!F478/100))/VLOOKUP($C$475,'DB animal categories'!$C$167:$AC$176,27,FALSE)*AJ478+I478+J478+K478,IF(AI478=1,('Calc (ex-animal)'!$H$91*'DB additional information '!$L$19/100*(1-VLOOKUP(D478,'DB technologies'!$N$224:$Y$236,9,FALSE)/100)*'Calc (ex-housing, ex-storage)'!F478/100)/VLOOKUP($C$475,'DB animal categories'!$C$167:$AC$176,27,FALSE)*AJ478,IF(AI478=4,('Calc (ex-animal)'!$G$91*'DB additional information '!$K$19/100+'Calc (ex-animal)'!$H$91*'DB additional information '!$L$19/100)*(1-VLOOKUP(D478,'DB technologies'!$N$224:$Y$236,9,FALSE)/100)*'Calc (ex-housing, ex-storage)'!F478/100*VLOOKUP(D478,'DB technologies'!$N$224:$Y$236,11,FALSE)/100/VLOOKUP($C$475,'DB animal categories'!$C$167:$AC$176,27,FALSE)*AJ478,0))))</f>
        <v/>
      </c>
      <c r="AM478" s="442" t="str">
        <f>IF(D478="","",IF(AI478=2,(('Calc (ex-animal)'!$G$91*(1-'DB additional information '!$K$19/100)*(1-VLOOKUP(D478,'DB technologies'!$N$224:$Y$236,8,FALSE)/100)*'Calc (ex-housing, ex-storage)'!F478/100+'Calc (ex-animal)'!$H$91*(1-'DB additional information '!$L$19/100)*(1-VLOOKUP(D478,'DB technologies'!$N$224:$Y$236,8,FALSE)/100)*'Calc (ex-housing, ex-storage)'!F478/100))/VLOOKUP($C$475,'DB animal categories'!$C$167:$AC$176,27,FALSE)*AJ478+M478+N478+O478,IF(AI478=1,('Calc (ex-animal)'!$H$91*(1-'DB additional information '!$L$19/100)*(1-VLOOKUP(D478,'DB technologies'!$N$224:$Y$236,8,FALSE)/100)*'Calc (ex-housing, ex-storage)'!F478/100)/VLOOKUP($C$475,'DB animal categories'!$C$167:$AC$176,27,FALSE)*AJ478,IF(AI478=4,('Calc (ex-animal)'!$G$91*(1-'DB additional information '!$K$19/100)+'Calc (ex-animal)'!$H$91*(1-'DB additional information '!$L$19/100))*(1-VLOOKUP(D478,'DB technologies'!$N$224:$Y$236,8,FALSE)/100)*'Calc (ex-housing, ex-storage)'!F478/100*VLOOKUP(D478,'DB technologies'!$N$224:$Y$236,11,FALSE)/100/VLOOKUP($C$475,'DB animal categories'!$C$167:$AC$176,27,FALSE)*AJ478,0))))</f>
        <v/>
      </c>
      <c r="AN478" s="442" t="str">
        <f>IF(AI478="","",IF(AL478=0,0,AL478/AK478*100))</f>
        <v/>
      </c>
      <c r="AO478" s="182" t="str">
        <f>IF(D478="","",IF(AI478=2,(('Calc (ex-animal)'!$L$91*'Calc (ex-housing, ex-storage)'!F478/100+'Calc (ex-animal)'!$K$91*'Calc (ex-housing, ex-storage)'!F478/100))/VLOOKUP($C$475,'DB animal categories'!$C$167:$AC$176,27,FALSE)*AJ478+Q478+R478+S478-AC478,IF(AI478=1,('Calc (ex-animal)'!$L$91*'Calc (ex-housing, ex-storage)'!F478/100)/VLOOKUP($C$475,'DB animal categories'!$C$167:$AC$176,27,FALSE)*AJ478-'Calc (ex-housing, ex-storage)'!AC478,IF(AI478=4,('Calc (ex-animal)'!$L$91+'Calc (ex-animal)'!$K$91)*'Calc (ex-housing, ex-storage)'!F478/100*VLOOKUP(D478,'DB technologies'!$N$224:$Y$236,11,FALSE)/100/VLOOKUP($C$475,'DB animal categories'!$C$167:$AC$176,27,FALSE)*AJ478-AC478*VLOOKUP(D478,'DB technologies'!$N$224:$Y$236,11,FALSE)/100,0))))</f>
        <v/>
      </c>
      <c r="AP478" s="182" t="str">
        <f>IF(D478="","",IF(AO478&lt;-0.01,0,IF(AI478=2,(('Calc (ex-animal)'!$L$91*'Calc (ex-housing, ex-storage)'!F478/100+'Calc (ex-animal)'!$K$91*'Calc (ex-housing, ex-storage)'!F478/100))/VLOOKUP($C$475,'DB animal categories'!$C$167:$AC$176,27,FALSE)*AJ478+Q478+R478+S478-AC478,IF(AI478=1,('Calc (ex-animal)'!$L$91*'Calc (ex-housing, ex-storage)'!F478/100)/VLOOKUP($C$475,'DB animal categories'!$C$167:$AC$176,27,FALSE)*AJ478-'Calc (ex-housing, ex-storage)'!AC478,IF(AI478=4,('Calc (ex-animal)'!$L$91+'Calc (ex-animal)'!$K$91)*'Calc (ex-housing, ex-storage)'!F478/100*VLOOKUP(D478,'DB technologies'!$N$224:$Y$236,11,FALSE)/100/VLOOKUP($C$475,'DB animal categories'!$C$167:$AC$176,27,FALSE)*AJ478-AC478*VLOOKUP(D478,'DB technologies'!$N$224:$Y$236,11,FALSE)/100,0)))))</f>
        <v/>
      </c>
      <c r="AQ478" s="182" t="str">
        <f>IF(D478="","",IF(AI478=2,('Calc (ex-animal)'!$O$91*'Calc (ex-housing, ex-storage)'!F478/100+'Calc (ex-animal)'!$N$91*'Calc (ex-housing, ex-storage)'!F478/100)/VLOOKUP($C$475,'DB animal categories'!$C$167:$AC$176,27,FALSE)*AJ478+U478+V478+W478,IF(AI478=1,'Calc (ex-animal)'!$O$91*'Calc (ex-housing, ex-storage)'!F478/100/VLOOKUP($C$475,'DB animal categories'!$C$167:$AC$176,27,FALSE)*AJ478,IF(AI478=4,('Calc (ex-animal)'!$O$91+'Calc (ex-animal)'!$N$91)*'Calc (ex-housing, ex-storage)'!F478/100*VLOOKUP(D478,'DB technologies'!$N$224:$Y$236,11,FALSE)/100/VLOOKUP($C$475,'DB animal categories'!$C$167:$AC$176,27,FALSE)*AJ478,0))))</f>
        <v/>
      </c>
      <c r="AR478" s="182" t="str">
        <f>IF(D478="","",IF(AI478=2,('Calc (ex-animal)'!$R$91*'Calc (ex-housing, ex-storage)'!F478/100+'Calc (ex-animal)'!$Q$91*'Calc (ex-housing, ex-storage)'!F478/100)/VLOOKUP($C$475,'DB animal categories'!$C$167:$AC$176,27,FALSE)*AJ478+Y478+Z478+AA478,IF(AI478=1,'Calc (ex-animal)'!$R$91*'Calc (ex-housing, ex-storage)'!F478/100/VLOOKUP($C$475,'DB animal categories'!$C$167:$AC$176,27,FALSE)*AJ478,IF(AI478=4,('Calc (ex-animal)'!$R$91+'Calc (ex-animal)'!$Q$91)*'Calc (ex-housing, ex-storage)'!F478/100*VLOOKUP(D478,'DB technologies'!$N$224:$Y$236,11,FALSE)/100/VLOOKUP($C$475,'DB animal categories'!$C$167:$AC$176,27,FALSE)*AJ478,0))))</f>
        <v/>
      </c>
      <c r="AS478" s="181" t="str">
        <f>IF(D478="","",VLOOKUP(D478,'DB technologies'!$N$224:$Y$236,10,FALSE))</f>
        <v/>
      </c>
      <c r="AT478" s="442" t="str">
        <f>IF(AS478="","",AU478+AV478)</f>
        <v/>
      </c>
      <c r="AU478" s="442" t="str">
        <f>IF(D478="","",IF(AS478=2,0,IF(AS478=1,'Calc (ex-animal)'!$G$91*'DB additional information '!$K$19/100*(1-VLOOKUP(D478,'DB technologies'!$N$224:$Y$236,8,FALSE)/100)*'Calc (ex-housing, ex-storage)'!F478/100/VLOOKUP($C$475,'DB animal categories'!$C$167:$AC$176,27,FALSE)*AJ478+I478+J478+K478,IF(AS478=5,(('Calc (ex-animal)'!$G$91*'DB additional information '!$K$19/100+'Calc (ex-animal)'!$H$91*'DB additional information '!$L$19/100))*(1-VLOOKUP(D478,'DB technologies'!$N$224:$Y$236,9,FALSE)/100)*'Calc (ex-housing, ex-storage)'!F478/100/VLOOKUP($C$475,'DB animal categories'!$C$167:$AC$176,27,FALSE)*AJ478+I478+J478+K478,IF(AS478=3,('Calc (ex-animal)'!$G$91*'DB additional information '!$K$19/100+'Calc (ex-animal)'!$H$91*'DB additional information '!$L$19/100)*(1-VLOOKUP(D478,'DB technologies'!$N$224:$Y$236,9,FALSE)/100)*'Calc (ex-housing, ex-storage)'!F478/100/VLOOKUP($C$475,'DB animal categories'!$C$167:$AC$176,27,FALSE)*AJ478+I478+J478+K478,IF(AS478=4,('Calc (ex-animal)'!$G$91*'DB additional information '!$K$19/100+'Calc (ex-animal)'!$H$91*'DB additional information '!$L$19/100)*(1-VLOOKUP(D478,'DB technologies'!$N$224:$Y$236,9,FALSE)/100)*'Calc (ex-housing, ex-storage)'!F478/100*VLOOKUP(D478,'DB technologies'!$N$224:$Y$236,12,FALSE)/100/VLOOKUP($C$475,'DB animal categories'!$C$167:$AC$176,27,FALSE)*AJ478+I478+J478+K478,0))))))</f>
        <v/>
      </c>
      <c r="AV478" s="442" t="str">
        <f>IF(D478="","",IF(AS478=2,0,IF(AS478=1,'Calc (ex-animal)'!$G$91*(1-'DB additional information '!$K$19/100)*(1-VLOOKUP(D478,'DB technologies'!$N$224:$Y$236,8,FALSE)/100)*'Calc (ex-housing, ex-storage)'!F478/100/VLOOKUP($C$475,'DB animal categories'!$C$167:$AC$176,27,FALSE)*AJ478+M478+N478+O478,IF(AS478=5,('Calc (ex-animal)'!$G$91*(1-'DB additional information '!$K$19/100)+'Calc (ex-animal)'!$H$91*(1-'DB additional information '!$L$19/100))*(1-VLOOKUP(D478,'DB technologies'!$N$224:$Y$236,8,FALSE)/100)*'Calc (ex-housing, ex-storage)'!F478/100/VLOOKUP($C$475,'DB animal categories'!$C$167:$AC$176,27,FALSE)*AJ478+M478+N478+O478,IF(AS478=3,('Calc (ex-animal)'!$G$91*(1-'DB additional information '!$K$19/100)+'Calc (ex-animal)'!$H$91*(1-'DB additional information '!$L$19/100))*(1-VLOOKUP(D478,'DB technologies'!$N$224:$Y$236,8,FALSE)/100)*'Calc (ex-housing, ex-storage)'!F478/100/VLOOKUP($C$475,'DB animal categories'!$C$167:$AC$176,27,FALSE)*AJ478+M478+N478+O478,IF(AS478=4,('Calc (ex-animal)'!$G$91*(1-'DB additional information '!$K$19/100)+'Calc (ex-animal)'!$H$91*(1-'DB additional information '!$L$19/100))*(1-VLOOKUP(D478,'DB technologies'!$N$224:$Y$236,8,FALSE)/100)*'Calc (ex-housing, ex-storage)'!F478/100*VLOOKUP(D478,'DB technologies'!$N$224:$Y$236,12,FALSE)/100/VLOOKUP($C$475,'DB animal categories'!$C$167:$AC$176,27,FALSE)*AJ478+M478+N478+O478,0))))))</f>
        <v/>
      </c>
      <c r="AW478" s="442" t="str">
        <f>IF(AS478="","",IF(AU478=0,0,AU478/AT478*100))</f>
        <v/>
      </c>
      <c r="AX478" s="182" t="str">
        <f>IF(D478="","",IF(AS478=2,0,IF(AS478=1,'Calc (ex-animal)'!$K$91*'Calc (ex-housing, ex-storage)'!F478/100/VLOOKUP($C$475,'DB animal categories'!$C$167:$AC$176,27,FALSE)*AJ478+Q478+R478+S478,IF(AS478=5,('Calc (ex-animal)'!$K$91+'Calc (ex-animal)'!$L$91)*'Calc (ex-housing, ex-storage)'!F478/100/VLOOKUP($C$475,'DB animal categories'!$C$167:$AC$176,27,FALSE)*AJ478+Q478+R478+S478-'Calc (ex-housing, ex-storage)'!AC478,IF(AS478=3,('Calc (ex-animal)'!$K$91+'Calc (ex-animal)'!$L$91)*'Calc (ex-housing, ex-storage)'!F478/100/VLOOKUP($C$475,'DB animal categories'!$C$167:$AC$176,27,FALSE)*AJ478+Q478+R478+S478-'Calc (ex-housing, ex-storage)'!AC478-AD478-AE478,IF(AI478=4,('Calc (ex-animal)'!$K$91+'Calc (ex-animal)'!$L$91)*'Calc (ex-housing, ex-storage)'!F478/100*VLOOKUP(D478,'DB technologies'!$N$224:$Y$236,12,FALSE)/100/VLOOKUP($C$475,'DB animal categories'!$C$167:$AC$176,27,FALSE)*AJ478+Q478+R478+S478-(VLOOKUP(D478,'DB technologies'!$N$224:$Y$236,12,FALSE)/100*AC478)-AD478-AE478,0))))))</f>
        <v/>
      </c>
      <c r="AY478" s="182" t="str">
        <f>IF(D478="","",IF(AS478=2,0,IF(AS478=1,'Calc (ex-animal)'!$N$91*'Calc (ex-housing, ex-storage)'!F478/100/VLOOKUP($C$475,'DB animal categories'!$C$167:$AC$176,27,FALSE)*AJ478+U478+V478+W478,IF(AS478=5,('Calc (ex-animal)'!$N$91+'Calc (ex-animal)'!$O$91)*'Calc (ex-housing, ex-storage)'!F478/100/VLOOKUP($C$475,'DB animal categories'!$C$167:$AC$176,27,FALSE)*AJ478+U478+V478+W478,IF(AS478=3,('Calc (ex-animal)'!$N$91+'Calc (ex-animal)'!$O$91)*'Calc (ex-housing, ex-storage)'!F478/100/VLOOKUP($C$475,'DB animal categories'!$C$167:$AC$176,27,FALSE)*AJ478+U478+V478+W478,IF(AS478=4,('Calc (ex-animal)'!$N$91+'Calc (ex-animal)'!$O$91)*'Calc (ex-housing, ex-storage)'!F478/100*VLOOKUP(D478,'DB technologies'!$N$224:$Y$236,12,FALSE)/100/VLOOKUP($C$475,'DB animal categories'!$C$167:$AC$176,27,FALSE)*AJ478+U478+V478+W478,0))))))</f>
        <v/>
      </c>
      <c r="AZ478" s="182" t="str">
        <f>IF(D478="","",IF(AS478=2,0,IF(AS478=1,'Calc (ex-animal)'!$Q$91*'Calc (ex-housing, ex-storage)'!F478/100/VLOOKUP($C$475,'DB animal categories'!$C$167:$AC$176,27,FALSE)*AJ478+Y478+Z478+AA478,IF(AS478=5,('Calc (ex-animal)'!$Q$91+'Calc (ex-animal)'!$R$91)*'Calc (ex-housing, ex-storage)'!F478/100/VLOOKUP($C$475,'DB animal categories'!$C$167:$AC$176,27,FALSE)*AJ478+Y478+Z478+AA478,IF(AS478=3,('Calc (ex-animal)'!$Q$91+'Calc (ex-animal)'!$R$91)*'Calc (ex-housing, ex-storage)'!F478/100/VLOOKUP($C$475,'DB animal categories'!$C$167:$AC$176,27,FALSE)*AJ478+Y478+Z478+AA478,IF(AS478=4,('Calc (ex-animal)'!$Q$91+'Calc (ex-animal)'!$R$91)*'Calc (ex-housing, ex-storage)'!F478/100*VLOOKUP(D478,'DB technologies'!$N$224:$Y$236,12,FALSE)/100/VLOOKUP($C$475,'DB animal categories'!$C$167:$AC$176,27,FALSE)*AJ478+Y478+Z478+AA478,0))))))</f>
        <v/>
      </c>
      <c r="BA478" s="506"/>
      <c r="BB478" s="506"/>
      <c r="BC478" s="506"/>
    </row>
    <row r="479" spans="1:55" ht="12" thickBot="1" x14ac:dyDescent="0.25">
      <c r="A479" s="695"/>
      <c r="B479" s="695"/>
      <c r="C479" s="251"/>
      <c r="D479" s="1359"/>
      <c r="E479" s="1360"/>
      <c r="F479" s="481" t="str">
        <f>IF('Calc (ex-animal)'!$F$88=1,"",IF($C$475=0,"",IF(D479="","",E479/'Calc (ex-animal)'!$E$91*100)))</f>
        <v/>
      </c>
      <c r="G479" s="483" t="str">
        <f>IF($C$475=0,"",IF('Calc (ex-animal)'!$F$88=1,"",IF(D479="","",SUM(H479:O479))))</f>
        <v/>
      </c>
      <c r="H479" s="445" t="str">
        <f>IF('Calc (ex-animal)'!$F$88=1,"",IF(D479="","",(((VLOOKUP($C$475,'Calc (ex-animal)'!$D$88:$Y$92,6,FALSE)-VLOOKUP($C$475,'Calc (ex-animal)'!$D$88:$Y$92,17,FALSE))*F479/100))*VLOOKUP($C$475,'Calc (ex-animal)'!$D$88:$Y$92,7,FALSE)/100*(1-VLOOKUP(D479,'DB technologies'!$N$224:$Y$236,9,FALSE)/100)))</f>
        <v/>
      </c>
      <c r="I479" s="445" t="str">
        <f>IF(D479="","",((VLOOKUP(D479,'DB technologies'!$N$224:$Y$236,2,FALSE)*VLOOKUP($C$475,'DB animal categories'!$C$167:$AC$176,27,FALSE)*E479/1000)/VLOOKUP($C$475,'DB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'!$S$6/100*(1-VLOOKUP(D479,'DB technologies'!$N$224:$Y$236,9,FALSE)/100)))</f>
        <v/>
      </c>
      <c r="J479" s="446" t="str">
        <f>IF(D479="","",((VLOOKUP(D479,'DB technologies'!$N$224:$Y$236,3,FALSE)*VLOOKUP($C$475,'DB animal categories'!$C$167:$AC$176,27,FALSE)*E479/1000)/VLOOKUP($C$475,'DB animal categories'!$C$167:$AC$176,27,FALSE)*(VLOOKUP($C$475,'DB animal categories'!$C$167:$AC$176,27,FALSE)-(VLOOKUP($C$475,'DB animal categories'!$C$167:$AC$176,25,FALSE)*VLOOKUP($C$475,'DB animal categories'!$C$167:$AC$176,26,FALSE)/24))*'DB additional information '!$S$7/100*(1-VLOOKUP(D479,'DB technologies'!$N$224:$Y$236,9,FALSE)/100)))</f>
        <v/>
      </c>
      <c r="K479" s="446" t="str">
        <f>IF(D479="","",((VLOOKUP(D479,'DB technologies'!$N$224:$Y$236,4,FALSE)*E479*'DB additional information '!$S$8/100*(1-VLOOKUP(D479,'DB technologies'!$N$224:$Y$236,9,FALSE)/100))/VLOOKUP($C$475,'DB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L479" s="445" t="str">
        <f>IF('Calc (ex-animal)'!$F$88=1,"",IF(D479="","",(((VLOOKUP($C$475,'Calc (ex-animal)'!$D$88:$Y$92,6,FALSE)-VLOOKUP($C$475,'Calc (ex-animal)'!$D$88:$Y$92,17,FALSE))*F479/100))*(1-VLOOKUP($C$475,'Calc (ex-animal)'!$D$88:$Y$92,7,FALSE)/100)*(1-VLOOKUP(D479,'DB technologies'!$N$224:$V$236,8,FALSE)/100)))</f>
        <v/>
      </c>
      <c r="M479" s="446" t="str">
        <f>IF(D479="","",((VLOOKUP(D479,'DB technologies'!$N$224:$Y$236,2,FALSE)*VLOOKUP($C$475,'DB animal categories'!$C$167:$AC$176,27,FALSE)*E479/1000)/VLOOKUP($C$475,'DB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'!$S$6/100)*(1-VLOOKUP(D479,'DB technologies'!$N$224:$Y$236,9,FALSE)/100))</f>
        <v/>
      </c>
      <c r="N479" s="446" t="str">
        <f>IF(D479="","",((VLOOKUP(D479,'DB technologies'!$N$224:$Y$236,3,FALSE)*VLOOKUP($C$475,'DB animal categories'!$C$167:$AC$176,27,FALSE)*E479/1000)/VLOOKUP($C$475,'DB animal categories'!$C$167:$AC$176,27,FALSE)*(VLOOKUP($C$475,'DB animal categories'!$C$167:$AC$176,27,FALSE)-VLOOKUP($C$475,'DB animal categories'!$C$167:$AC$176,25,FALSE)*VLOOKUP($C$475,'DB animal categories'!$C$167:$AC$176,26,FALSE)/24))*(1-'DB additional information '!$S$7/100)*(1-VLOOKUP(D479,'DB technologies'!$N$224:$Y$236,9,FALSE)/100))</f>
        <v/>
      </c>
      <c r="O479" s="445" t="str">
        <f>IF(D479="","",((VLOOKUP(D479,'DB technologies'!$N$224:$Y$236,4,FALSE)*E479*(1-'DB additional information '!$S$8/100)*(1-VLOOKUP(D479,'DB technologies'!$N$224:$Y$236,8,FALSE)/100))/VLOOKUP($C$475,'DB animal categories'!$C$167:$AC$176,27,FALSE)*(VLOOKUP($C$475,'DB animal categories'!$C$167:$AC$176,27,FALSE)-VLOOKUP($C$475,'DB animal categories'!$C$167:$AC$176,25,FALSE)*VLOOKUP($C$475,'DB animal categories'!$C$167:$AC$176,26,FALSE)/24)))</f>
        <v/>
      </c>
      <c r="P479" s="444" t="str">
        <f>IF(G479=0,0,IF(E479="","",IF(F479="","",IF($C$475=0,"",IF(D479="","",SUM(H479:K479)/G479*100)))))</f>
        <v/>
      </c>
      <c r="Q479" s="476" t="str">
        <f>IF(D479="","",(VLOOKUP(D479,'DB technologies'!$N$224:$Y$236,2,FALSE)*'DB additional information '!$S$6/100*'DB additional information '!$T$6*VLOOKUP($C$475,'DB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R479" s="476" t="str">
        <f>IF(D479="","",(VLOOKUP(D479,'DB technologies'!$N$224:$Y$236,3,FALSE)*'DB additional information '!$S$7/100*'DB additional information '!$T$7*VLOOKUP($C$475,'DB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S479" s="494" t="str">
        <f>IF(D479="","",(VLOOKUP(D479,'DB technologies'!$N$224:$Y$236,4,FALSE)*('DB additional information '!$S$8/100*'DB additional information '!$T$8*E479/1000/1000)))</f>
        <v/>
      </c>
      <c r="T479" s="266" t="str">
        <f>IF($C$475=0,"",IF('Calc (ex-animal)'!$F$88=1,"",IF(D479="","",((VLOOKUP($C$475,'Calc (ex-animal)'!$D$88:$Y$92,10,FALSE)-VLOOKUP($C$475,'Calc (ex-animal)'!$D$88:$Y$92,18,FALSE))*F479/100+Q479+R479+S479)-AC479-AD479-AE479)))</f>
        <v/>
      </c>
      <c r="U479" s="477" t="str">
        <f>IF(D479="","",(VLOOKUP(D479,'DB technologies'!$N$224:$Y$236,2,FALSE)*'DB additional information '!$S$6/100*'DB additional information '!$U$6*VLOOKUP($C$475,'DB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V479" s="433" t="str">
        <f>IF(D479="","",(VLOOKUP(D479,'DB technologies'!$N$224:$Y$236,3,FALSE)*'DB additional information '!$S$7/100*'DB additional information '!$U$7*VLOOKUP($C$475,'DB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W479" s="475" t="str">
        <f>IF(D479="","",(VLOOKUP(D479,'DB technologies'!$N$224:$Y$236,4,FALSE)*('DB additional information '!$S$8/100*'DB additional information '!$U$8*E479/1000/1000)))</f>
        <v/>
      </c>
      <c r="X479" s="267" t="str">
        <f>IF($C$475=0,"",IF('Calc (ex-animal)'!$F$88=1,"",IF(D479="","",((VLOOKUP($C$475,'Calc (ex-animal)'!$D$88:$Y$92,13,FALSE)-VLOOKUP($C$475,'Calc (ex-animal)'!$D$88:$Y$92,19,FALSE))*F479/100+U479+V479+W479))))</f>
        <v/>
      </c>
      <c r="Y479" s="433" t="str">
        <f>IF(D479="","",(VLOOKUP(D479,'DB technologies'!$N$224:$Y$236,2,FALSE)*'DB additional information '!$S$6/100*'DB additional information '!$V$6*VLOOKUP($C$475,'DB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Z479" s="433" t="str">
        <f>IF(D479="","",(VLOOKUP(D479,'DB technologies'!$N$224:$Y$236,3,FALSE)*'DB additional information '!$S$7/100*'DB additional information '!$V$7*VLOOKUP($C$475,'DB animal categories'!$C$167:$AC$176,27,FALSE)*E479/1000/1000)/VLOOKUP($C$475,'DB animal categories'!$C$167:$AC$176,27,FALSE)*(VLOOKUP($C$475,'DB animal categories'!$C$167:$AC$176,27,FALSE)-VLOOKUP($C$475,'DB animal categories'!$C$167:$AC$176,25,FALSE)*VLOOKUP($C$475,'DB animal categories'!$C$167:$AC$176,26,FALSE)/24))</f>
        <v/>
      </c>
      <c r="AA479" s="433" t="str">
        <f>IF(D479="","",(VLOOKUP(D479,'DB technologies'!$N$224:$Y$236,4,FALSE)*('DB additional information '!$S$8/100*'DB additional information '!$V$8*E479/1000/1000)))</f>
        <v/>
      </c>
      <c r="AB479" s="267" t="str">
        <f>IF($C$475=0,"",IF('Calc (ex-animal)'!$F$88=1,"",IF(D479="","",((VLOOKUP($C$475,'Calc (ex-animal)'!$D$88:$Y$92,16,FALSE)-VLOOKUP($C$475,'Calc (ex-animal)'!$D$88:$Y$92,20,FALSE))*F479/100+Y479+Z479+AA479))))</f>
        <v/>
      </c>
      <c r="AC479" s="267" t="str">
        <f>IF($C$475=0,"",IF('Calc (ex-animal)'!$F$88=1,"",IF(D479="","",VLOOKUP($C$475,'Calc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categories'!$C$167:$AC$176,26,FALSE)/24)*F479/100*VLOOKUP(D479,'DB technologies'!$N$224:$R$236,5,FALSE)/100)))</f>
        <v/>
      </c>
      <c r="AD479" s="267" t="str">
        <f>IF($C$475=0,"",IF('Calc (ex-animal)'!$F$88=1,"",IF(D479="","",VLOOKUP($C$475,'Calc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categories'!$C$167:$AC$176,26,FALSE)/24)*F479/100*VLOOKUP(D479,'DB technologies'!$N$224:$Y$236,6,FALSE)/100)))</f>
        <v/>
      </c>
      <c r="AE479" s="268" t="str">
        <f>IF($C$475=0,"",IF('Calc (ex-animal)'!$F$88=1,"",IF(D479="","",VLOOKUP($C$475,'Calc (ex-animal)'!$D$88:$Y$92,10,FALSE)/VLOOKUP($C$475,'DB animal categories'!$C$167:$AC$176,27,FALSE)*(VLOOKUP($C$475,'DB animal categories'!$C$167:$AC$176,27,FALSE)-VLOOKUP($C$475,'DB animal categories'!$C$167:$AC$176,25,FALSE)*VLOOKUP($C$475,'DB animal categories'!$C$167:$AC$176,26,FALSE)/24)*F479/100*VLOOKUP(D479,'DB technologies'!$N$224:$Y$236,7,FALSE)/100)))</f>
        <v/>
      </c>
      <c r="AI479" s="183" t="str">
        <f>IF(D479="","",VLOOKUP(D479,'DB technologies'!$N$224:$Y$236,10,FALSE))</f>
        <v/>
      </c>
      <c r="AJ479" s="451" t="e">
        <f>VLOOKUP($C$475,'DB animal categories'!$C$167:$AN$176,27,FALSE)-VLOOKUP($C$475,'DB animal categories'!$C$167:$AN$176,26,FALSE)*VLOOKUP($C$475,'DB animal categories'!$C$167:$AN$176,25,FALSE)/24</f>
        <v>#N/A</v>
      </c>
      <c r="AK479" s="452" t="str">
        <f>IF(AI479="","",AL479+AM479)</f>
        <v/>
      </c>
      <c r="AL479" s="452" t="str">
        <f>IF(D479="","",IF(AI479=2,(('Calc (ex-animal)'!$G$91*'DB additional information '!$K$19/100*(1-VLOOKUP(D479,'DB technologies'!$N$224:$Y$236,9,FALSE)/100)*'Calc (ex-housing, ex-storage)'!F479/100+'Calc (ex-animal)'!$H$91*'DB additional information '!$L$19/100*(1-VLOOKUP(D479,'DB technologies'!$N$224:$Y$236,9,FALSE)/100)*'Calc (ex-housing, ex-storage)'!F479/100))/VLOOKUP($C$475,'DB animal categories'!$C$167:$AC$176,27,FALSE)*AJ479+I479+J479+K479,IF(AI479=1,('Calc (ex-animal)'!$H$91*'DB additional information '!$L$19/100*(1-VLOOKUP(D479,'DB technologies'!$N$224:$Y$236,9,FALSE)/100)*'Calc (ex-housing, ex-storage)'!F479/100)/VLOOKUP($C$475,'DB animal categories'!$C$167:$AC$176,27,FALSE)*AJ479,IF(AI479=4,('Calc (ex-animal)'!$G$91*'DB additional information '!$K$19/100+'Calc (ex-animal)'!$H$91*'DB additional information '!$L$19/100)*(1-VLOOKUP(D479,'DB technologies'!$N$224:$Y$236,9,FALSE)/100)*'Calc (ex-housing, ex-storage)'!F479/100*VLOOKUP(D479,'DB technologies'!$N$224:$Y$236,11,FALSE)/100/VLOOKUP($C$475,'DB animal categories'!$C$167:$AC$176,27,FALSE)*AJ479,0))))</f>
        <v/>
      </c>
      <c r="AM479" s="452" t="str">
        <f>IF(D479="","",IF(AI479=2,(('Calc (ex-animal)'!$G$91*(1-'DB additional information '!$K$19/100)*(1-VLOOKUP(D479,'DB technologies'!$N$224:$Y$236,8,FALSE)/100)*'Calc (ex-housing, ex-storage)'!F479/100+'Calc (ex-animal)'!$H$91*(1-'DB additional information '!$L$19/100)*(1-VLOOKUP(D479,'DB technologies'!$N$224:$Y$236,8,FALSE)/100)*'Calc (ex-housing, ex-storage)'!F479/100))/VLOOKUP($C$475,'DB animal categories'!$C$167:$AC$176,27,FALSE)*AJ479+M479+N479+O479,IF(AI479=1,('Calc (ex-animal)'!$H$91*(1-'DB additional information '!$L$19/100)*(1-VLOOKUP(D479,'DB technologies'!$N$224:$Y$236,8,FALSE)/100)*'Calc (ex-housing, ex-storage)'!F479/100)/VLOOKUP($C$475,'DB animal categories'!$C$167:$AC$176,27,FALSE)*AJ479,IF(AI479=4,('Calc (ex-animal)'!$G$91*(1-'DB additional information '!$K$19/100)+'Calc (ex-animal)'!$H$91*(1-'DB additional information '!$L$19/100))*(1-VLOOKUP(D479,'DB technologies'!$N$224:$Y$236,8,FALSE)/100)*'Calc (ex-housing, ex-storage)'!F479/100*VLOOKUP(D479,'DB technologies'!$N$224:$Y$236,11,FALSE)/100/VLOOKUP($C$475,'DB animal categories'!$C$167:$AC$176,27,FALSE)*AJ479,0))))</f>
        <v/>
      </c>
      <c r="AN479" s="452" t="str">
        <f>IF(AI479="","",IF(AL479=0,0,AL479/AK479*100))</f>
        <v/>
      </c>
      <c r="AO479" s="184" t="str">
        <f>IF(D479="","",IF(AI479=2,(('Calc (ex-animal)'!$L$91*'Calc (ex-housing, ex-storage)'!F479/100+'Calc (ex-animal)'!$K$91*'Calc (ex-housing, ex-storage)'!F479/100))/VLOOKUP($C$475,'DB animal categories'!$C$167:$AC$176,27,FALSE)*AJ479+Q479+R479+S479-AC479,IF(AI479=1,('Calc (ex-animal)'!$L$91*'Calc (ex-housing, ex-storage)'!F479/100)/VLOOKUP($C$475,'DB animal categories'!$C$167:$AC$176,27,FALSE)*AJ479-'Calc (ex-housing, ex-storage)'!AC479,IF(AI479=4,('Calc (ex-animal)'!$L$91+'Calc (ex-animal)'!$K$91)*'Calc (ex-housing, ex-storage)'!F479/100*VLOOKUP(D479,'DB technologies'!$N$224:$Y$236,11,FALSE)/100/VLOOKUP($C$475,'DB animal categories'!$C$167:$AC$176,27,FALSE)*AJ479-AC479*VLOOKUP(D479,'DB technologies'!$N$224:$Y$236,11,FALSE)/100,0))))</f>
        <v/>
      </c>
      <c r="AP479" s="184" t="str">
        <f>IF(D479="","",IF(AO479&lt;-0.01,0,IF(AI479=2,(('Calc (ex-animal)'!$L$91*'Calc (ex-housing, ex-storage)'!F479/100+'Calc (ex-animal)'!$K$91*'Calc (ex-housing, ex-storage)'!F479/100))/VLOOKUP($C$475,'DB animal categories'!$C$167:$AC$176,27,FALSE)*AJ479+Q479+R479+S479-AC479,IF(AI479=1,('Calc (ex-animal)'!$L$91*'Calc (ex-housing, ex-storage)'!F479/100)/VLOOKUP($C$475,'DB animal categories'!$C$167:$AC$176,27,FALSE)*AJ479-'Calc (ex-housing, ex-storage)'!AC479,IF(AI479=4,('Calc (ex-animal)'!$L$91+'Calc (ex-animal)'!$K$91)*'Calc (ex-housing, ex-storage)'!F479/100*VLOOKUP(D479,'DB technologies'!$N$224:$Y$236,11,FALSE)/100/VLOOKUP($C$475,'DB animal categories'!$C$167:$AC$176,27,FALSE)*AJ479-AC479*VLOOKUP(D479,'DB technologies'!$N$224:$Y$236,11,FALSE)/100,0)))))</f>
        <v/>
      </c>
      <c r="AQ479" s="184" t="str">
        <f>IF(D479="","",IF(AI479=2,('Calc (ex-animal)'!$O$91*'Calc (ex-housing, ex-storage)'!F479/100+'Calc (ex-animal)'!$N$91*'Calc (ex-housing, ex-storage)'!F479/100)/VLOOKUP($C$475,'DB animal categories'!$C$167:$AC$176,27,FALSE)*AJ479+U479+V479+W479,IF(AI479=1,'Calc (ex-animal)'!$O$91*'Calc (ex-housing, ex-storage)'!F479/100/VLOOKUP($C$475,'DB animal categories'!$C$167:$AC$176,27,FALSE)*AJ479,IF(AI479=4,('Calc (ex-animal)'!$O$91+'Calc (ex-animal)'!$N$91)*'Calc (ex-housing, ex-storage)'!F479/100*VLOOKUP(D479,'DB technologies'!$N$224:$Y$236,11,FALSE)/100/VLOOKUP($C$475,'DB animal categories'!$C$167:$AC$176,27,FALSE)*AJ479,0))))</f>
        <v/>
      </c>
      <c r="AR479" s="184" t="str">
        <f>IF(D479="","",IF(AI479=2,('Calc (ex-animal)'!$R$91*'Calc (ex-housing, ex-storage)'!F479/100+'Calc (ex-animal)'!$Q$91*'Calc (ex-housing, ex-storage)'!F479/100)/VLOOKUP($C$475,'DB animal categories'!$C$167:$AC$176,27,FALSE)*AJ479+Y479+Z479+AA479,IF(AI479=1,'Calc (ex-animal)'!$R$91*'Calc (ex-housing, ex-storage)'!F479/100/VLOOKUP($C$475,'DB animal categories'!$C$167:$AC$176,27,FALSE)*AJ479,IF(AI479=4,('Calc (ex-animal)'!$R$91+'Calc (ex-animal)'!$Q$91)*'Calc (ex-housing, ex-storage)'!F479/100*VLOOKUP(D479,'DB technologies'!$N$224:$Y$236,11,FALSE)/100/VLOOKUP($C$475,'DB animal categories'!$C$167:$AC$176,27,FALSE)*AJ479,0))))</f>
        <v/>
      </c>
      <c r="AS479" s="183" t="str">
        <f>IF(D479="","",VLOOKUP(D479,'DB technologies'!$N$224:$Y$236,10,FALSE))</f>
        <v/>
      </c>
      <c r="AT479" s="452" t="str">
        <f>IF(AS479="","",AU479+AV479)</f>
        <v/>
      </c>
      <c r="AU479" s="452" t="str">
        <f>IF(D479="","",IF(AS479=2,0,IF(AS479=1,'Calc (ex-animal)'!$G$91*'DB additional information '!$K$19/100*(1-VLOOKUP(D479,'DB technologies'!$N$224:$Y$236,8,FALSE)/100)*'Calc (ex-housing, ex-storage)'!F479/100/VLOOKUP($C$475,'DB animal categories'!$C$167:$AC$176,27,FALSE)*AJ479+I479+J479+K479,IF(AS479=5,(('Calc (ex-animal)'!$G$91*'DB additional information '!$K$19/100+'Calc (ex-animal)'!$H$91*'DB additional information '!$L$19/100))*(1-VLOOKUP(D479,'DB technologies'!$N$224:$Y$236,9,FALSE)/100)*'Calc (ex-housing, ex-storage)'!F479/100/VLOOKUP($C$475,'DB animal categories'!$C$167:$AC$176,27,FALSE)*AJ479+I479+J479+K479,IF(AS479=3,('Calc (ex-animal)'!$G$91*'DB additional information '!$K$19/100+'Calc (ex-animal)'!$H$91*'DB additional information '!$L$19/100)*(1-VLOOKUP(D479,'DB technologies'!$N$224:$Y$236,9,FALSE)/100)*'Calc (ex-housing, ex-storage)'!F479/100/VLOOKUP($C$475,'DB animal categories'!$C$167:$AC$176,27,FALSE)*AJ479+I479+J479+K479,IF(AS479=4,('Calc (ex-animal)'!$G$91*'DB additional information '!$K$19/100+'Calc (ex-animal)'!$H$91*'DB additional information '!$L$19/100)*(1-VLOOKUP(D479,'DB technologies'!$N$224:$Y$236,9,FALSE)/100)*'Calc (ex-housing, ex-storage)'!F479/100*VLOOKUP(D479,'DB technologies'!$N$224:$Y$236,12,FALSE)/100/VLOOKUP($C$475,'DB animal categories'!$C$167:$AC$176,27,FALSE)*AJ479+I479+J479+K479,0))))))</f>
        <v/>
      </c>
      <c r="AV479" s="452" t="str">
        <f>IF(D479="","",IF(AS479=2,0,IF(AS479=1,'Calc (ex-animal)'!$G$91*(1-'DB additional information '!$K$19/100)*(1-VLOOKUP(D479,'DB technologies'!$N$224:$Y$236,8,FALSE)/100)*'Calc (ex-housing, ex-storage)'!F479/100/VLOOKUP($C$475,'DB animal categories'!$C$167:$AC$176,27,FALSE)*AJ479+M479+N479+O479,IF(AS479=5,('Calc (ex-animal)'!$G$91*(1-'DB additional information '!$K$19/100)+'Calc (ex-animal)'!$H$91*(1-'DB additional information '!$L$19/100))*(1-VLOOKUP(D479,'DB technologies'!$N$224:$Y$236,8,FALSE)/100)*'Calc (ex-housing, ex-storage)'!F479/100/VLOOKUP($C$475,'DB animal categories'!$C$167:$AC$176,27,FALSE)*AJ479+M479+N479+O479,IF(AS479=3,('Calc (ex-animal)'!$G$91*(1-'DB additional information '!$K$19/100)+'Calc (ex-animal)'!$H$91*(1-'DB additional information '!$L$19/100))*(1-VLOOKUP(D479,'DB technologies'!$N$224:$Y$236,8,FALSE)/100)*'Calc (ex-housing, ex-storage)'!F479/100/VLOOKUP($C$475,'DB animal categories'!$C$167:$AC$176,27,FALSE)*AJ479+M479+N479+O479,IF(AS479=4,('Calc (ex-animal)'!$G$91*(1-'DB additional information '!$K$19/100)+'Calc (ex-animal)'!$H$91*(1-'DB additional information '!$L$19/100))*(1-VLOOKUP(D479,'DB technologies'!$N$224:$Y$236,8,FALSE)/100)*'Calc (ex-housing, ex-storage)'!F479/100*VLOOKUP(D479,'DB technologies'!$N$224:$Y$236,12,FALSE)/100/VLOOKUP($C$475,'DB animal categories'!$C$167:$AC$176,27,FALSE)*AJ479+M479+N479+O479,0))))))</f>
        <v/>
      </c>
      <c r="AW479" s="452" t="str">
        <f>IF(AS479="","",IF(AU479=0,0,AU479/AT479*100))</f>
        <v/>
      </c>
      <c r="AX479" s="184" t="str">
        <f>IF(D479="","",IF(AS479=2,0,IF(AS479=1,'Calc (ex-animal)'!$K$91*'Calc (ex-housing, ex-storage)'!F479/100/VLOOKUP($C$475,'DB animal categories'!$C$167:$AC$176,27,FALSE)*AJ479+Q479+R479+S479,IF(AS479=5,('Calc (ex-animal)'!$K$91+'Calc (ex-animal)'!$L$91)*'Calc (ex-housing, ex-storage)'!F479/100/VLOOKUP($C$475,'DB animal categories'!$C$167:$AC$176,27,FALSE)*AJ479+Q479+R479+S479-'Calc (ex-housing, ex-storage)'!AC479,IF(AS479=3,('Calc (ex-animal)'!$K$91+'Calc (ex-animal)'!$L$91)*'Calc (ex-housing, ex-storage)'!F479/100/VLOOKUP($C$475,'DB animal categories'!$C$167:$AC$176,27,FALSE)*AJ479+Q479+R479+S479-'Calc (ex-housing, ex-storage)'!AC479-AD479-AE479,IF(AI479=4,('Calc (ex-animal)'!$K$91+'Calc (ex-animal)'!$L$91)*'Calc (ex-housing, ex-storage)'!F479/100*VLOOKUP(D479,'DB technologies'!$N$224:$Y$236,12,FALSE)/100/VLOOKUP($C$475,'DB animal categories'!$C$167:$AC$176,27,FALSE)*AJ479+Q479+R479+S479-(VLOOKUP(D479,'DB technologies'!$N$224:$Y$236,12,FALSE)/100*AC479)-AD479-AE479,0))))))</f>
        <v/>
      </c>
      <c r="AY479" s="184" t="str">
        <f>IF(D479="","",IF(AS479=2,0,IF(AS479=1,'Calc (ex-animal)'!$N$91*'Calc (ex-housing, ex-storage)'!F479/100/VLOOKUP($C$475,'DB animal categories'!$C$167:$AC$176,27,FALSE)*AJ479+U479+V479+W479,IF(AS479=5,('Calc (ex-animal)'!$N$91+'Calc (ex-animal)'!$O$91)*'Calc (ex-housing, ex-storage)'!F479/100/VLOOKUP($C$475,'DB animal categories'!$C$167:$AC$176,27,FALSE)*AJ479+U479+V479+W479,IF(AS479=3,('Calc (ex-animal)'!$N$91+'Calc (ex-animal)'!$O$91)*'Calc (ex-housing, ex-storage)'!F479/100/VLOOKUP($C$475,'DB animal categories'!$C$167:$AC$176,27,FALSE)*AJ479+U479+V479+W479,IF(AS479=4,('Calc (ex-animal)'!$N$91+'Calc (ex-animal)'!$O$91)*'Calc (ex-housing, ex-storage)'!F479/100*VLOOKUP(D479,'DB technologies'!$N$224:$Y$236,12,FALSE)/100/VLOOKUP($C$475,'DB animal categories'!$C$167:$AC$176,27,FALSE)*AJ479+U479+V479+W479,0))))))</f>
        <v/>
      </c>
      <c r="AZ479" s="184" t="str">
        <f>IF(D479="","",IF(AS479=2,0,IF(AS479=1,'Calc (ex-animal)'!$Q$91*'Calc (ex-housing, ex-storage)'!F479/100/VLOOKUP($C$475,'DB animal categories'!$C$167:$AC$176,27,FALSE)*AJ479+Y479+Z479+AA479,IF(AS479=5,('Calc (ex-animal)'!$Q$91+'Calc (ex-animal)'!$R$91)*'Calc (ex-housing, ex-storage)'!F479/100/VLOOKUP($C$475,'DB animal categories'!$C$167:$AC$176,27,FALSE)*AJ479+Y479+Z479+AA479,IF(AS479=3,('Calc (ex-animal)'!$Q$91+'Calc (ex-animal)'!$R$91)*'Calc (ex-housing, ex-storage)'!F479/100/VLOOKUP($C$475,'DB animal categories'!$C$167:$AC$176,27,FALSE)*AJ479+Y479+Z479+AA479,IF(AS479=4,('Calc (ex-animal)'!$Q$91+'Calc (ex-animal)'!$R$91)*'Calc (ex-housing, ex-storage)'!F479/100*VLOOKUP(D479,'DB technologies'!$N$224:$Y$236,12,FALSE)/100/VLOOKUP($C$475,'DB animal categories'!$C$167:$AC$176,27,FALSE)*AJ479+Y479+Z479+AA479,0))))))</f>
        <v/>
      </c>
      <c r="BA479" s="506"/>
      <c r="BB479" s="506"/>
      <c r="BC479" s="506"/>
    </row>
    <row r="480" spans="1:55" ht="12" thickBot="1" x14ac:dyDescent="0.25">
      <c r="A480" s="695"/>
      <c r="B480" s="695"/>
      <c r="C480" s="252"/>
      <c r="D480" s="269" t="s">
        <v>58</v>
      </c>
      <c r="E480" s="270">
        <f>IF(F480&lt;=100,SUM(E475:E479),"ERROR")</f>
        <v>0</v>
      </c>
      <c r="F480" s="284">
        <f>IF(SUM(F475:F479) &lt;=100,SUM(F475:F479),"ERROR, SUM&gt;100%")</f>
        <v>0</v>
      </c>
      <c r="G480" s="550">
        <f>IF('Calc (ex-animal)'!$F$88=1,"",SUM(G475:G479))</f>
        <v>0</v>
      </c>
      <c r="H480" s="418">
        <f>IF('Calc (ex-animal)'!$F$8=1,"",SUM(H475:H479))</f>
        <v>0</v>
      </c>
      <c r="I480" s="418">
        <f>IF('Calc (ex-animal)'!$F$8=1,"",SUM(I475:I479))</f>
        <v>0</v>
      </c>
      <c r="J480" s="418">
        <f>IF('Calc (ex-animal)'!$F$8=1,"",SUM(J475:J479))</f>
        <v>0</v>
      </c>
      <c r="K480" s="418">
        <f>IF('Calc (ex-animal)'!$F$8=1,"",SUM(K475:K479))</f>
        <v>0</v>
      </c>
      <c r="L480" s="418">
        <f>IF('Calc (ex-animal)'!$F$8=1,"",SUM(L475:L479))</f>
        <v>0</v>
      </c>
      <c r="M480" s="551"/>
      <c r="N480" s="551"/>
      <c r="O480" s="551"/>
      <c r="P480" s="552">
        <f>IF(G480=0,0,IF('Calc (ex-animal)'!$F$88=1,"",IF(D480="","",SUM(H480:K480)/G480*100)))</f>
        <v>0</v>
      </c>
      <c r="Q480" s="394"/>
      <c r="R480" s="394"/>
      <c r="S480" s="394"/>
      <c r="T480" s="285">
        <f>IF('Calc (ex-animal)'!$F$91=1,"",SUM(T475:T479))</f>
        <v>0</v>
      </c>
      <c r="U480" s="286"/>
      <c r="V480" s="286"/>
      <c r="W480" s="286"/>
      <c r="X480" s="286">
        <f>IF('Calc (ex-animal)'!$F$91=1,"",SUM(X475:X479))</f>
        <v>0</v>
      </c>
      <c r="Y480" s="286"/>
      <c r="Z480" s="286"/>
      <c r="AA480" s="286"/>
      <c r="AB480" s="286">
        <f>IF('Calc (ex-animal)'!$F$91=1,"",SUM(AB475:AB479))</f>
        <v>0</v>
      </c>
      <c r="AC480" s="286">
        <f>IF('Calc (ex-animal)'!$F$91=1,"",SUM(AC475:AC479))</f>
        <v>0</v>
      </c>
      <c r="AD480" s="286">
        <f>IF('Calc (ex-animal)'!$F$91=1,"",SUM(AD475:AD479))</f>
        <v>0</v>
      </c>
      <c r="AE480" s="287">
        <f>IF('Calc (ex-animal)'!$F$91=1,"",SUM(AE475:AE479))</f>
        <v>0</v>
      </c>
    </row>
    <row r="481" spans="1:55" x14ac:dyDescent="0.2">
      <c r="A481" s="695"/>
      <c r="B481" s="695"/>
      <c r="C481" s="250">
        <f>'Calc (ex-animal)'!D92</f>
        <v>0</v>
      </c>
      <c r="D481" s="1355"/>
      <c r="E481" s="1356"/>
      <c r="F481" s="479" t="str">
        <f>IF('Calc (ex-animal)'!$F$88=1,"",IF($C$481=0,"",IF(D481="","",E481/'Calc (ex-animal)'!$E$92*100)))</f>
        <v/>
      </c>
      <c r="G481" s="484" t="str">
        <f>IF($C$481=0,"",IF('Calc (ex-animal)'!$F$88=1,"",IF(D481="","",SUM(H481:O481))))</f>
        <v/>
      </c>
      <c r="H481" s="471" t="str">
        <f>IF('Calc (ex-animal)'!$F$88=1,"",IF(D481="","",(((VLOOKUP($C$481,'Calc (ex-animal)'!$D$88:$Y$92,6,FALSE)-VLOOKUP($C$481,'Calc (ex-animal)'!$D$88:$Y$92,17,FALSE))*F481/100))*VLOOKUP($C$481,'Calc (ex-animal)'!$D$88:$Y$92,7,FALSE)/100*(1-VLOOKUP(D481,'DB technologies'!$N$224:$Y$236,9,FALSE)/100)))</f>
        <v/>
      </c>
      <c r="I481" s="471" t="str">
        <f>IF(D481="","",((VLOOKUP(D481,'DB technologies'!$N$224:$Y$236,2,FALSE)*VLOOKUP($C$481,'DB animal categories'!$C$167:$AC$176,27,FALSE)*E481/1000)/VLOOKUP($C$481,'DB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'!$S$6/100*(1-VLOOKUP(D481,'DB technologies'!$N$224:$Y$236,9,FALSE)/100)))</f>
        <v/>
      </c>
      <c r="J481" s="472" t="str">
        <f>IF(D481="","",((VLOOKUP(D481,'DB technologies'!$N$224:$Y$236,3,FALSE)*VLOOKUP($C$481,'DB animal categories'!$C$167:$AC$176,27,FALSE)*E481/1000)/VLOOKUP($C$481,'DB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'!$S$7/100*(1-VLOOKUP(D481,'DB technologies'!$N$224:$Y$236,9,FALSE)/100)))</f>
        <v/>
      </c>
      <c r="K481" s="472" t="str">
        <f>IF(D481="","",((VLOOKUP(D481,'DB technologies'!$N$224:$Y$236,4,FALSE)*E481*'DB additional information '!$S$8/100*(1-VLOOKUP(D481,'DB technologies'!$N$224:$Y$236,9,FALSE)/100))/VLOOKUP($C$481,'DB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L481" s="471" t="str">
        <f>IF('Calc (ex-animal)'!$F$88=1,"",IF(D481="","",(((VLOOKUP($C$481,'Calc (ex-animal)'!$D$88:$Y$92,6,FALSE)-VLOOKUP($C$481,'Calc (ex-animal)'!$D$88:$Y$92,17,FALSE))*F481/100))*(1-VLOOKUP($C$481,'Calc (ex-animal)'!$D$88:$Y$92,7,FALSE)/100)*(1-VLOOKUP(D481,'DB technologies'!$N$224:$V$236,8,FALSE)/100)))</f>
        <v/>
      </c>
      <c r="M481" s="472" t="str">
        <f>IF(D481="","",((VLOOKUP(D481,'DB technologies'!$N$224:$Y$236,2,FALSE)*VLOOKUP($C$481,'DB animal categories'!$C$167:$AC$176,27,FALSE)*E481/1000)/VLOOKUP($C$481,'DB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'!$S$6/100)*(1-VLOOKUP(D481,'DB technologies'!$N$224:$Y$236,9,FALSE)/100))</f>
        <v/>
      </c>
      <c r="N481" s="472" t="str">
        <f>IF(D481="","",((VLOOKUP(D481,'DB technologies'!$N$224:$Y$236,3,FALSE)*VLOOKUP($C$481,'DB animal categories'!$C$167:$AC$176,27,FALSE)*E481/1000)/VLOOKUP($C$481,'DB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'!$S$7/100)*(1-VLOOKUP(D481,'DB technologies'!$N$224:$Y$236,9,FALSE)/100))</f>
        <v/>
      </c>
      <c r="O481" s="471" t="str">
        <f>IF(D481="","",((VLOOKUP(D481,'DB technologies'!$N$224:$Y$236,4,FALSE)*E481*(1-'DB additional information '!$S$8/100)*(1-VLOOKUP(D481,'DB technologies'!$N$224:$Y$236,8,FALSE)/100))/VLOOKUP($C$481,'DB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P481" s="443" t="str">
        <f>IF(G481=0,0,IF(E481="","",IF(F481="","",IF($C$481=0,"",IF(D481="","",SUM(H481:K481)/G481*100)))))</f>
        <v/>
      </c>
      <c r="Q481" s="473" t="str">
        <f>IF(D481="","",(VLOOKUP(D481,'DB technologies'!$N$224:$Y$236,2,FALSE)*'DB additional information '!$S$6/100*'DB additional information '!$T$6*VLOOKUP($C$481,'DB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R481" s="473" t="str">
        <f>IF(D481="","",(VLOOKUP(D481,'DB technologies'!$N$224:$Y$236,3,FALSE)*'DB additional information '!$S$7/100*'DB additional information '!$T$7*VLOOKUP($C$481,'DB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S481" s="490" t="str">
        <f>IF(D481="","",(VLOOKUP(D481,'DB technologies'!$N$224:$Y$236,4,FALSE)*('DB additional information '!$S$8/100*'DB additional information '!$T$8*E481/1000/1000)))</f>
        <v/>
      </c>
      <c r="T481" s="263" t="str">
        <f>IF($C$481=0,"",IF('Calc (ex-animal)'!$F$88=1,"",IF(D481="","",((VLOOKUP($C$481,'Calc (ex-animal)'!$D$88:$Y$92,10,FALSE)-VLOOKUP($C$481,'Calc (ex-animal)'!$D$88:$Y$92,18,FALSE))*F481/100+Q481+R481+S481)-AC481-AD481-AE481)))</f>
        <v/>
      </c>
      <c r="U481" s="474" t="str">
        <f>IF(D481="","",(VLOOKUP(D481,'DB technologies'!$N$224:$Y$236,2,FALSE)*'DB additional information '!$S$6/100*'DB additional information '!$U$6*VLOOKUP($C$481,'DB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V481" s="420" t="str">
        <f>IF(D481="","",(VLOOKUP(D481,'DB technologies'!$N$224:$Y$236,3,FALSE)*'DB additional information '!$S$7/100*'DB additional information '!$U$7*VLOOKUP($C$481,'DB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W481" s="415" t="str">
        <f>IF(D481="","",(VLOOKUP(D481,'DB technologies'!$N$224:$Y$236,4,FALSE)*('DB additional information '!$S$8/100*'DB additional information '!$U$8*E481/1000/1000)))</f>
        <v/>
      </c>
      <c r="X481" s="259" t="str">
        <f>IF($C$481=0,"",IF('Calc (ex-animal)'!$F$88=1,"",IF(D481="","",((VLOOKUP($C$481,'Calc (ex-animal)'!$D$88:$Y$92,13,FALSE)-VLOOKUP($C$481,'Calc (ex-animal)'!$D$88:$Y$92,19,FALSE))*F481/100+U481+V481+W481))))</f>
        <v/>
      </c>
      <c r="Y481" s="420" t="str">
        <f>IF(D481="","",(VLOOKUP(D481,'DB technologies'!$N$224:$Y$236,2,FALSE)*'DB additional information '!$S$6/100*'DB additional information '!$V$6*VLOOKUP($C$481,'DB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Z481" s="420" t="str">
        <f>IF(D481="","",(VLOOKUP(D481,'DB technologies'!$N$224:$Y$236,3,FALSE)*'DB additional information '!$S$7/100*'DB additional information '!$V$7*VLOOKUP($C$481,'DB animal categories'!$C$167:$AC$176,27,FALSE)*E481/1000/1000)/VLOOKUP($C$481,'DB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AA481" s="420" t="str">
        <f>IF(D481="","",(VLOOKUP(D481,'DB technologies'!$N$224:$Y$236,4,FALSE)*('DB additional information '!$S$8/100*'DB additional information '!$V$8*E481/1000/1000)))</f>
        <v/>
      </c>
      <c r="AB481" s="259" t="str">
        <f>IF($C$481=0,"",IF('Calc (ex-animal)'!$F$88=1,"",IF(D481="","",((VLOOKUP($C$481,'Calc (ex-animal)'!$D$88:$Y$92,16,FALSE)-VLOOKUP($C$481,'Calc (ex-animal)'!$D$88:$Y$92,20,FALSE))*F481/100+Y481+Z481+AA481))))</f>
        <v/>
      </c>
      <c r="AC481" s="259" t="str">
        <f>IF($C$481=0,"",IF('Calc (ex-animal)'!$F$88=1,"",IF(D481="","",VLOOKUP($C$481,'Calc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categories'!$C$167:$AC$176,26,FALSE)/24)*F481/100*VLOOKUP(D481,'DB technologies'!$N$224:$R$236,5,FALSE)/100)))</f>
        <v/>
      </c>
      <c r="AD481" s="259" t="str">
        <f>IF($C$481=0,"",IF('Calc (ex-animal)'!$F$88=1,"",IF(D481="","",VLOOKUP($C$481,'Calc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categories'!$C$167:$AC$176,26,FALSE)/24)*F481/100*VLOOKUP(D481,'DB technologies'!$N$224:$Y$236,6,FALSE)/100)))</f>
        <v/>
      </c>
      <c r="AE481" s="260" t="str">
        <f>IF($C$481=0,"",IF('Calc (ex-animal)'!$F$88=1,"",IF(D481="","",VLOOKUP($C$481,'Calc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categories'!$C$167:$AC$176,26,FALSE)/24)*F481/100*VLOOKUP(D481,'DB technologies'!$N$224:$Y$236,7,FALSE)/100)))</f>
        <v/>
      </c>
      <c r="AI481" s="179" t="str">
        <f>IF(D481="","",VLOOKUP(D481,'DB technologies'!$N$224:$Y$236,10,FALSE))</f>
        <v/>
      </c>
      <c r="AJ481" s="482" t="e">
        <f>VLOOKUP($C$481,'DB animal categories'!$C$167:$AN$176,27,FALSE)-VLOOKUP($C$481,'DB animal categories'!$C$167:$AN$176,26,FALSE)*VLOOKUP($C$481,'DB animal categories'!$C$167:$AN$176,25,FALSE)/24</f>
        <v>#N/A</v>
      </c>
      <c r="AK481" s="453" t="str">
        <f>IF(AI481="","",AL481+AM481)</f>
        <v/>
      </c>
      <c r="AL481" s="453" t="str">
        <f>IF(D481="","",IF(AI481=2,(('Calc (ex-animal)'!$G$92*'DB additional information '!$K$19/100*(1-VLOOKUP(D481,'DB technologies'!$N$224:$Y$236,9,FALSE)/100)*'Calc (ex-housing, ex-storage)'!F481/100+'Calc (ex-animal)'!$H$92*'DB additional information '!$L$19/100*(1-VLOOKUP(D481,'DB technologies'!$N$224:$Y$236,9,FALSE)/100)*'Calc (ex-housing, ex-storage)'!F481/100))/VLOOKUP($C$481,'DB animal categories'!$C$167:$AC$176,27,FALSE)*AJ481+I481+J481+K481,IF(AI481=1,('Calc (ex-animal)'!$H$92*'DB additional information '!$L$19/100*(1-VLOOKUP(D481,'DB technologies'!$N$224:$Y$236,9,FALSE)/100)*'Calc (ex-housing, ex-storage)'!F481/100)/VLOOKUP($C$481,'DB animal categories'!$C$167:$AC$176,27,FALSE)*AJ481,IF(AI481=4,('Calc (ex-animal)'!$G$92*'DB additional information '!$K$19/100+'Calc (ex-animal)'!$H$92*'DB additional information '!$L$19/100)*(1-VLOOKUP(D481,'DB technologies'!$N$224:$Y$236,9,FALSE)/100)*'Calc (ex-housing, ex-storage)'!F481/100*VLOOKUP(D481,'DB technologies'!$N$224:$Y$236,11,FALSE)/100/VLOOKUP($C$481,'DB animal categories'!$C$167:$AC$176,27,FALSE)*AJ481,0))))</f>
        <v/>
      </c>
      <c r="AM481" s="453" t="str">
        <f>IF(D481="","",IF(AI481=2,(('Calc (ex-animal)'!$G$92*(1-'DB additional information '!$K$19/100)*(1-VLOOKUP(D481,'DB technologies'!$N$224:$Y$236,8,FALSE)/100)*'Calc (ex-housing, ex-storage)'!F481/100+'Calc (ex-animal)'!$H$92*(1-'DB additional information '!$L$19/100)*(1-VLOOKUP(D481,'DB technologies'!$N$224:$Y$236,8,FALSE)/100)*'Calc (ex-housing, ex-storage)'!F481/100))/VLOOKUP($C$481,'DB animal categories'!$C$167:$AC$176,27,FALSE)*AJ481+M481+N481+O481,IF(AI481=1,('Calc (ex-animal)'!$H$92*(1-'DB additional information '!$L$19/100)*(1-VLOOKUP(D481,'DB technologies'!$N$224:$Y$236,8,FALSE)/100)*'Calc (ex-housing, ex-storage)'!F481/100)/VLOOKUP($C$481,'DB animal categories'!$C$167:$AC$176,27,FALSE)*AJ481,IF(AI481=4,('Calc (ex-animal)'!$G$92*(1-'DB additional information '!$K$19/100)+'Calc (ex-animal)'!$H$92*(1-'DB additional information '!$L$19/100))*(1-VLOOKUP(D481,'DB technologies'!$N$224:$Y$236,8,FALSE)/100)*'Calc (ex-housing, ex-storage)'!F481/100*VLOOKUP(D481,'DB technologies'!$N$224:$Y$236,11,FALSE)/100/VLOOKUP($C$481,'DB animal categories'!$C$167:$AC$176,27,FALSE)*AJ481,0))))</f>
        <v/>
      </c>
      <c r="AN481" s="453" t="str">
        <f>IF(AI481="","",IF(AL481=0,0,AL481/AK481*100))</f>
        <v/>
      </c>
      <c r="AO481" s="180" t="str">
        <f>IF(D481="","",IF(AI481=2,(('Calc (ex-animal)'!$L$92*'Calc (ex-housing, ex-storage)'!F481/100+'Calc (ex-animal)'!$K$92*'Calc (ex-housing, ex-storage)'!F481/100))/VLOOKUP($C$481,'DB animal categories'!$C$167:$AC$176,27,FALSE)*AJ481+Q481+R481+S481-AC481,IF(AI481=1,('Calc (ex-animal)'!$L$92*'Calc (ex-housing, ex-storage)'!F481/100)/VLOOKUP($C$481,'DB animal categories'!$C$167:$AC$176,27,FALSE)*AJ481-'Calc (ex-housing, ex-storage)'!AC481,IF(AI481=4,('Calc (ex-animal)'!$L$92+'Calc (ex-animal)'!$K$92)*'Calc (ex-housing, ex-storage)'!F481/100*VLOOKUP(D481,'DB technologies'!$N$224:$Y$236,11,FALSE)/100/VLOOKUP($C$481,'DB animal categories'!$C$167:$AC$176,27,FALSE)*AJ481-AC481*VLOOKUP(D481,'DB technologies'!$N$224:$Y$236,11,FALSE)/100,0))))</f>
        <v/>
      </c>
      <c r="AP481" s="180" t="str">
        <f>IF(D481="","",IF(AO481&lt;-0.01,0,IF(AI481=2,(('Calc (ex-animal)'!$L$92*'Calc (ex-housing, ex-storage)'!F481/100+'Calc (ex-animal)'!$K$92*'Calc (ex-housing, ex-storage)'!F481/100))/VLOOKUP($C$481,'DB animal categories'!$C$167:$AC$176,27,FALSE)*AJ481+Q481+R481+S481-AC481,IF(AI481=1,('Calc (ex-animal)'!$L$92*'Calc (ex-housing, ex-storage)'!F481/100)/VLOOKUP($C$481,'DB animal categories'!$C$167:$AC$176,27,FALSE)*AJ481-'Calc (ex-housing, ex-storage)'!AC481,IF(AI481=4,('Calc (ex-animal)'!$L$92+'Calc (ex-animal)'!$K$92)*'Calc (ex-housing, ex-storage)'!F481/100*VLOOKUP(D481,'DB technologies'!$N$224:$Y$236,11,FALSE)/100/VLOOKUP($C$481,'DB animal categories'!$C$167:$AC$176,27,FALSE)*AJ481-AC481*VLOOKUP(D481,'DB technologies'!$N$224:$Y$236,11,FALSE)/100,0)))))</f>
        <v/>
      </c>
      <c r="AQ481" s="180" t="str">
        <f>IF(D481="","",IF(AI481=2,('Calc (ex-animal)'!$O$92*'Calc (ex-housing, ex-storage)'!F481/100+'Calc (ex-animal)'!$N$92*'Calc (ex-housing, ex-storage)'!F481/100)/VLOOKUP($C$481,'DB animal categories'!$C$167:$AC$176,27,FALSE)*AJ481+U481+V481+W481,IF(AI481=1,'Calc (ex-animal)'!$O$92*'Calc (ex-housing, ex-storage)'!F481/100/VLOOKUP($C$481,'DB animal categories'!$C$167:$AC$176,27,FALSE)*AJ481,IF(AI481=4,('Calc (ex-animal)'!$O$92+'Calc (ex-animal)'!$N$92)*'Calc (ex-housing, ex-storage)'!F481/100*VLOOKUP(D481,'DB technologies'!$N$224:$Y$236,11,FALSE)/100/VLOOKUP($C$481,'DB animal categories'!$C$167:$AC$176,27,FALSE)*AJ481,0))))</f>
        <v/>
      </c>
      <c r="AR481" s="180" t="str">
        <f>IF(D481="","",IF(AI481=2,('Calc (ex-animal)'!$R$92*'Calc (ex-housing, ex-storage)'!F481/100+'Calc (ex-animal)'!$Q$92*'Calc (ex-housing, ex-storage)'!F481/100)/VLOOKUP($C$481,'DB animal categories'!$C$167:$AC$176,27,FALSE)*AJ481+Y481+Z481+AA481,IF(AI481=1,'Calc (ex-animal)'!$R$92*'Calc (ex-housing, ex-storage)'!F481/100/VLOOKUP($C$481,'DB animal categories'!$C$167:$AC$176,27,FALSE)*AJ481,IF(AI481=4,('Calc (ex-animal)'!$R$92+'Calc (ex-animal)'!$Q$92)*'Calc (ex-housing, ex-storage)'!F481/100*VLOOKUP(D481,'DB technologies'!$N$224:$Y$236,11,FALSE)/100/VLOOKUP($C$481,'DB animal categories'!$C$167:$AC$176,27,FALSE)*AJ481,0))))</f>
        <v/>
      </c>
      <c r="AS481" s="179" t="str">
        <f>IF(D481="","",VLOOKUP(D481,'DB technologies'!$N$224:$Y$236,10,FALSE))</f>
        <v/>
      </c>
      <c r="AT481" s="453" t="str">
        <f>IF(AS481="","",AU481+AV481)</f>
        <v/>
      </c>
      <c r="AU481" s="453" t="str">
        <f>IF(D481="","",IF(AS481=2,0,IF(AS481=1,'Calc (ex-animal)'!$G$92*'DB additional information '!$K$19/100*(1-VLOOKUP(D481,'DB technologies'!$N$224:$Y$236,8,FALSE)/100)*'Calc (ex-housing, ex-storage)'!F481/100/VLOOKUP($C$481,'DB animal categories'!$C$167:$AC$176,27,FALSE)*AJ481+I481+J481+K481,IF(AS481=5,(('Calc (ex-animal)'!$G$92*'DB additional information '!$K$19/100+'Calc (ex-animal)'!$H$92*'DB additional information '!$L$19/100))*(1-VLOOKUP(D481,'DB technologies'!$N$224:$Y$236,9,FALSE)/100)*'Calc (ex-housing, ex-storage)'!F481/100/VLOOKUP($C$481,'DB animal categories'!$C$167:$AC$176,27,FALSE)*AJ481+I481+J481+K481,IF(AS481=3,('Calc (ex-animal)'!$G$92*'DB additional information '!$K$19/100+'Calc (ex-animal)'!$H$92*'DB additional information '!$L$19/100)*(1-VLOOKUP(D481,'DB technologies'!$N$224:$Y$236,9,FALSE)/100)*'Calc (ex-housing, ex-storage)'!F481/100/VLOOKUP($C$481,'DB animal categories'!$C$167:$AC$176,27,FALSE)*AJ481+I481+J481+K481,IF(AS481=4,('Calc (ex-animal)'!$G$92*'DB additional information '!$K$19/100+'Calc (ex-animal)'!$H$92*'DB additional information '!$L$19/100)*(1-VLOOKUP(D481,'DB technologies'!$N$224:$Y$236,9,FALSE)/100)*'Calc (ex-housing, ex-storage)'!F481/100*VLOOKUP(D481,'DB technologies'!$N$224:$Y$236,12,FALSE)/100/VLOOKUP($C$481,'DB animal categories'!$C$167:$AC$176,27,FALSE)*AJ481+I481+J481+K481,0))))))</f>
        <v/>
      </c>
      <c r="AV481" s="453" t="str">
        <f>IF(D481="","",IF(AS481=2,0,IF(AS481=1,'Calc (ex-animal)'!$G$92*(1-'DB additional information '!$K$19/100)*(1-VLOOKUP(D481,'DB technologies'!$N$224:$Y$236,8,FALSE)/100)*'Calc (ex-housing, ex-storage)'!F481/100/VLOOKUP($C$481,'DB animal categories'!$C$167:$AC$176,27,FALSE)*AJ481+M481+N481+O481,IF(AS481=5,('Calc (ex-animal)'!$G$92*(1-'DB additional information '!$K$19/100)+'Calc (ex-animal)'!$H$92*(1-'DB additional information '!$L$19/100))*(1-VLOOKUP(D481,'DB technologies'!$N$224:$Y$236,8,FALSE)/100)*'Calc (ex-housing, ex-storage)'!F481/100/VLOOKUP($C$481,'DB animal categories'!$C$167:$AC$176,27,FALSE)*AJ481+M481+N481+O481,IF(AS481=3,('Calc (ex-animal)'!$G$92*(1-'DB additional information '!$K$19/100)+'Calc (ex-animal)'!$H$92*(1-'DB additional information '!$L$19/100))*(1-VLOOKUP(D481,'DB technologies'!$N$224:$Y$236,8,FALSE)/100)*'Calc (ex-housing, ex-storage)'!F481/100/VLOOKUP($C$481,'DB animal categories'!$C$167:$AC$176,27,FALSE)*AJ481+M481+N481+O481,IF(AS481=4,('Calc (ex-animal)'!$G$92*(1-'DB additional information '!$K$19/100)+'Calc (ex-animal)'!$H$92*(1-'DB additional information '!$L$19/100))*(1-VLOOKUP(D481,'DB technologies'!$N$224:$Y$236,8,FALSE)/100)*'Calc (ex-housing, ex-storage)'!F481/100*VLOOKUP(D481,'DB technologies'!$N$224:$Y$236,12,FALSE)/100/VLOOKUP($C$481,'DB animal categories'!$C$167:$AC$176,27,FALSE)*AJ481+M481+N481+O481,0))))))</f>
        <v/>
      </c>
      <c r="AW481" s="453" t="str">
        <f>IF(AS481="","",IF(AU481=0,0,AU481/AT481*100))</f>
        <v/>
      </c>
      <c r="AX481" s="180" t="str">
        <f>IF(D481="","",IF(AS481=2,0,IF(AS481=1,'Calc (ex-animal)'!$K$92*'Calc (ex-housing, ex-storage)'!F481/100/VLOOKUP($C$481,'DB animal categories'!$C$167:$AC$176,27,FALSE)*AJ481+Q481+R481+S481,IF(AS481=5,('Calc (ex-animal)'!$K$92+'Calc (ex-animal)'!$L$92)*'Calc (ex-housing, ex-storage)'!F481/100/VLOOKUP($C$481,'DB animal categories'!$C$167:$AC$176,27,FALSE)*AJ481+Q481+R481+S481-'Calc (ex-housing, ex-storage)'!AC481,IF(AS481=3,('Calc (ex-animal)'!$K$92+'Calc (ex-animal)'!$L$92)*'Calc (ex-housing, ex-storage)'!F481/100/VLOOKUP($C$481,'DB animal categories'!$C$167:$AC$176,27,FALSE)*AJ481+Q481+R481+S481-'Calc (ex-housing, ex-storage)'!AC481-AD481-AE481,IF(AI481=4,('Calc (ex-animal)'!$K$92+'Calc (ex-animal)'!$L$92)*'Calc (ex-housing, ex-storage)'!F481/100*VLOOKUP(D481,'DB technologies'!$N$224:$Y$236,12,FALSE)/100/VLOOKUP($C$481,'DB animal categories'!$C$167:$AC$176,27,FALSE)*AJ481+Q481+R481+S481-(VLOOKUP(D481,'DB technologies'!$N$224:$Y$236,12,FALSE)/100*AC481)-AD481-AE481,0))))))</f>
        <v/>
      </c>
      <c r="AY481" s="180" t="str">
        <f>IF(D481="","",IF(AS481=2,0,IF(AS481=1,'Calc (ex-animal)'!$N$92*'Calc (ex-housing, ex-storage)'!F481/100/VLOOKUP($C$481,'DB animal categories'!$C$167:$AC$176,27,FALSE)*AJ481+U481+V481+W481,IF(AS481=5,('Calc (ex-animal)'!$N$92+'Calc (ex-animal)'!$O$92)*'Calc (ex-housing, ex-storage)'!F481/100/VLOOKUP($C$481,'DB animal categories'!$C$167:$AC$176,27,FALSE)*AJ481+U481+V481+W481,IF(AS481=3,('Calc (ex-animal)'!$N$92+'Calc (ex-animal)'!$O$92)*'Calc (ex-housing, ex-storage)'!F481/100/VLOOKUP($C$481,'DB animal categories'!$C$167:$AC$176,27,FALSE)*AJ481+U481+V481+W481,IF(AS481=4,('Calc (ex-animal)'!$N$92+'Calc (ex-animal)'!$O$92)*'Calc (ex-housing, ex-storage)'!F481/100*VLOOKUP(D481,'DB technologies'!$N$224:$Y$236,12,FALSE)/100/VLOOKUP($C$481,'DB animal categories'!$C$167:$AC$176,27,FALSE)*AJ481+U481+V481+W481,0))))))</f>
        <v/>
      </c>
      <c r="AZ481" s="180" t="str">
        <f>IF(D481="","",IF(AS481=2,0,IF(AS481=1,'Calc (ex-animal)'!$Q$92*'Calc (ex-housing, ex-storage)'!F481/100/VLOOKUP($C$481,'DB animal categories'!$C$167:$AC$176,27,FALSE)*AJ481+Y481+Z481+AA481,IF(AS481=5,('Calc (ex-animal)'!$Q$92+'Calc (ex-animal)'!$R$92)*'Calc (ex-housing, ex-storage)'!F481/100/VLOOKUP($C$481,'DB animal categories'!$C$167:$AC$176,27,FALSE)*AJ481+Y481+Z481+AA481,IF(AS481=3,('Calc (ex-animal)'!$Q$92+'Calc (ex-animal)'!$R$92)*'Calc (ex-housing, ex-storage)'!F481/100/VLOOKUP($C$481,'DB animal categories'!$C$167:$AC$176,27,FALSE)*AJ481+Y481+Z481+AA481,IF(AS481=4,('Calc (ex-animal)'!$Q$92+'Calc (ex-animal)'!$R$92)*'Calc (ex-housing, ex-storage)'!F481/100*VLOOKUP(D481,'DB technologies'!$N$224:$Y$236,12,FALSE)/100/VLOOKUP($C$481,'DB animal categories'!$C$167:$AC$176,27,FALSE)*AJ481+Y481+Z481+AA481,0))))))</f>
        <v/>
      </c>
      <c r="BA481" s="506"/>
      <c r="BB481" s="506"/>
      <c r="BC481" s="506"/>
    </row>
    <row r="482" spans="1:55" x14ac:dyDescent="0.2">
      <c r="A482" s="695"/>
      <c r="B482" s="695"/>
      <c r="C482" s="251"/>
      <c r="D482" s="1357"/>
      <c r="E482" s="1358"/>
      <c r="F482" s="480" t="str">
        <f>IF('Calc (ex-animal)'!$F$88=1,"",IF($C$481=0,"",IF(D482="","",E482/'Calc (ex-animal)'!$E$92*100)))</f>
        <v/>
      </c>
      <c r="G482" s="485" t="str">
        <f>IF($C$481=0,"",IF('Calc (ex-animal)'!$F$88=1,"",IF(D482="","",SUM(H482:O482))))</f>
        <v/>
      </c>
      <c r="H482" s="423" t="str">
        <f>IF('Calc (ex-animal)'!$F$88=1,"",IF(D482="","",(((VLOOKUP($C$481,'Calc (ex-animal)'!$D$88:$Y$92,6,FALSE)-VLOOKUP($C$481,'Calc (ex-animal)'!$D$88:$Y$92,17,FALSE))*F482/100))*VLOOKUP($C$481,'Calc (ex-animal)'!$D$88:$Y$92,7,FALSE)/100*(1-VLOOKUP(D482,'DB technologies'!$N$224:$Y$236,9,FALSE)/100)))</f>
        <v/>
      </c>
      <c r="I482" s="423" t="str">
        <f>IF(D482="","",((VLOOKUP(D482,'DB technologies'!$N$224:$Y$236,2,FALSE)*VLOOKUP($C$481,'DB animal categories'!$C$167:$AC$176,27,FALSE)*E482/1000)/VLOOKUP($C$481,'DB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'!$S$6/100*(1-VLOOKUP(D482,'DB technologies'!$N$224:$Y$236,9,FALSE)/100)))</f>
        <v/>
      </c>
      <c r="J482" s="434" t="str">
        <f>IF(D482="","",((VLOOKUP(D482,'DB technologies'!$N$224:$Y$236,3,FALSE)*VLOOKUP($C$481,'DB animal categories'!$C$167:$AC$176,27,FALSE)*E482/1000)/VLOOKUP($C$481,'DB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'!$S$7/100*(1-VLOOKUP(D482,'DB technologies'!$N$224:$Y$236,9,FALSE)/100)))</f>
        <v/>
      </c>
      <c r="K482" s="434" t="str">
        <f>IF(D482="","",((VLOOKUP(D482,'DB technologies'!$N$224:$Y$236,4,FALSE)*E482*'DB additional information '!$S$8/100*(1-VLOOKUP(D482,'DB technologies'!$N$224:$Y$236,9,FALSE)/100))/VLOOKUP($C$481,'DB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L482" s="423" t="str">
        <f>IF('Calc (ex-animal)'!$F$88=1,"",IF(D482="","",(((VLOOKUP($C$481,'Calc (ex-animal)'!$D$88:$Y$92,6,FALSE)-VLOOKUP($C$481,'Calc (ex-animal)'!$D$88:$Y$92,17,FALSE))*F482/100))*(1-VLOOKUP($C$481,'Calc (ex-animal)'!$D$88:$Y$92,7,FALSE)/100)*(1-VLOOKUP(D482,'DB technologies'!$N$224:$V$236,8,FALSE)/100)))</f>
        <v/>
      </c>
      <c r="M482" s="434" t="str">
        <f>IF(D482="","",((VLOOKUP(D482,'DB technologies'!$N$224:$Y$236,2,FALSE)*VLOOKUP($C$481,'DB animal categories'!$C$167:$AC$176,27,FALSE)*E482/1000)/VLOOKUP($C$481,'DB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'!$S$6/100)*(1-VLOOKUP(D482,'DB technologies'!$N$224:$Y$236,9,FALSE)/100))</f>
        <v/>
      </c>
      <c r="N482" s="434" t="str">
        <f>IF(D482="","",((VLOOKUP(D482,'DB technologies'!$N$224:$Y$236,3,FALSE)*VLOOKUP($C$481,'DB animal categories'!$C$167:$AC$176,27,FALSE)*E482/1000)/VLOOKUP($C$481,'DB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'!$S$7/100)*(1-VLOOKUP(D482,'DB technologies'!$N$224:$Y$236,9,FALSE)/100))</f>
        <v/>
      </c>
      <c r="O482" s="423" t="str">
        <f>IF(D482="","",((VLOOKUP(D482,'DB technologies'!$N$224:$Y$236,4,FALSE)*E482*(1-'DB additional information '!$S$8/100)*(1-VLOOKUP(D482,'DB technologies'!$N$224:$Y$236,8,FALSE)/100))/VLOOKUP($C$481,'DB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P482" s="438" t="str">
        <f>IF(G482=0,0,IF(E482="","",IF(F482="","",IF($C$481=0,"",IF(D482="","",SUM(H482:K482)/G482*100)))))</f>
        <v/>
      </c>
      <c r="Q482" s="416" t="str">
        <f>IF(D482="","",(VLOOKUP(D482,'DB technologies'!$N$224:$Y$236,2,FALSE)*'DB additional information '!$S$6/100*'DB additional information '!$T$6*VLOOKUP($C$481,'DB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R482" s="416" t="str">
        <f>IF(D482="","",(VLOOKUP(D482,'DB technologies'!$N$224:$Y$236,3,FALSE)*'DB additional information '!$S$7/100*'DB additional information '!$T$7*VLOOKUP($C$481,'DB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S482" s="491" t="str">
        <f>IF(D482="","",(VLOOKUP(D482,'DB technologies'!$N$224:$Y$236,4,FALSE)*('DB additional information '!$S$8/100*'DB additional information '!$T$8*E482/1000/1000)))</f>
        <v/>
      </c>
      <c r="T482" s="264" t="str">
        <f>IF($C$481=0,"",IF('Calc (ex-animal)'!$F$88=1,"",IF(D482="","",((VLOOKUP($C$481,'Calc (ex-animal)'!$D$88:$Y$92,10,FALSE)-VLOOKUP($C$481,'Calc (ex-animal)'!$D$88:$Y$92,18,FALSE))*F482/100+Q482+R482+S482)-AC482-AD482-AE482)))</f>
        <v/>
      </c>
      <c r="U482" s="422" t="str">
        <f>IF(D482="","",(VLOOKUP(D482,'DB technologies'!$N$224:$Y$236,2,FALSE)*'DB additional information '!$S$6/100*'DB additional information '!$U$6*VLOOKUP($C$481,'DB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V482" s="418" t="str">
        <f>IF(D482="","",(VLOOKUP(D482,'DB technologies'!$N$224:$Y$236,3,FALSE)*'DB additional information '!$S$7/100*'DB additional information '!$U$7*VLOOKUP($C$481,'DB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W482" s="417" t="str">
        <f>IF(D482="","",(VLOOKUP(D482,'DB technologies'!$N$224:$Y$236,4,FALSE)*('DB additional information '!$S$8/100*'DB additional information '!$U$8*E482/1000/1000)))</f>
        <v/>
      </c>
      <c r="X482" s="261" t="str">
        <f>IF($C$481=0,"",IF('Calc (ex-animal)'!$F$88=1,"",IF(D482="","",((VLOOKUP($C$481,'Calc (ex-animal)'!$D$88:$Y$92,13,FALSE)-VLOOKUP($C$481,'Calc (ex-animal)'!$D$88:$Y$92,19,FALSE))*F482/100+U482+V482+W482))))</f>
        <v/>
      </c>
      <c r="Y482" s="418" t="str">
        <f>IF(D482="","",(VLOOKUP(D482,'DB technologies'!$N$224:$Y$236,2,FALSE)*'DB additional information '!$S$6/100*'DB additional information '!$V$6*VLOOKUP($C$481,'DB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Z482" s="418" t="str">
        <f>IF(D482="","",(VLOOKUP(D482,'DB technologies'!$N$224:$Y$236,3,FALSE)*'DB additional information '!$S$7/100*'DB additional information '!$V$7*VLOOKUP($C$481,'DB animal categories'!$C$167:$AC$176,27,FALSE)*E482/1000/1000)/VLOOKUP($C$481,'DB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AA482" s="418" t="str">
        <f>IF(D482="","",(VLOOKUP(D482,'DB technologies'!$N$224:$Y$236,4,FALSE)*('DB additional information '!$S$8/100*'DB additional information '!$V$8*E482/1000/1000)))</f>
        <v/>
      </c>
      <c r="AB482" s="261" t="str">
        <f>IF($C$481=0,"",IF('Calc (ex-animal)'!$F$88=1,"",IF(D482="","",((VLOOKUP($C$481,'Calc (ex-animal)'!$D$88:$Y$92,16,FALSE)-VLOOKUP($C$481,'Calc (ex-animal)'!$D$88:$Y$92,20,FALSE))*F482/100+Y482+Z482+AA482))))</f>
        <v/>
      </c>
      <c r="AC482" s="261" t="str">
        <f>IF($C$481=0,"",IF('Calc (ex-animal)'!$F$88=1,"",IF(D482="","",VLOOKUP($C$481,'Calc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categories'!$C$167:$AC$176,26,FALSE)/24)*F482/100*VLOOKUP(D482,'DB technologies'!$N$224:$R$236,5,FALSE)/100)))</f>
        <v/>
      </c>
      <c r="AD482" s="261" t="str">
        <f>IF($C$481=0,"",IF('Calc (ex-animal)'!$F$88=1,"",IF(D482="","",VLOOKUP($C$481,'Calc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categories'!$C$167:$AC$176,26,FALSE)/24)*F482/100*VLOOKUP(D482,'DB technologies'!$N$224:$Y$236,6,FALSE)/100)))</f>
        <v/>
      </c>
      <c r="AE482" s="262" t="str">
        <f>IF($C$481=0,"",IF('Calc (ex-animal)'!$F$88=1,"",IF(D482="","",VLOOKUP($C$481,'Calc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categories'!$C$167:$AC$176,26,FALSE)/24)*F482/100*VLOOKUP(D482,'DB technologies'!$N$224:$Y$236,7,FALSE)/100)))</f>
        <v/>
      </c>
      <c r="AI482" s="181" t="str">
        <f>IF(D482="","",VLOOKUP(D482,'DB technologies'!$N$224:$Y$236,10,FALSE))</f>
        <v/>
      </c>
      <c r="AJ482" s="449" t="e">
        <f>VLOOKUP($C$481,'DB animal categories'!$C$167:$AN$176,27,FALSE)-VLOOKUP($C$481,'DB animal categories'!$C$167:$AN$176,26,FALSE)*VLOOKUP($C$481,'DB animal categories'!$C$167:$AN$176,25,FALSE)/24</f>
        <v>#N/A</v>
      </c>
      <c r="AK482" s="442" t="str">
        <f>IF(AI482="","",AL482+AM482)</f>
        <v/>
      </c>
      <c r="AL482" s="442" t="str">
        <f>IF(D482="","",IF(AI482=2,(('Calc (ex-animal)'!$G$92*'DB additional information '!$K$19/100*(1-VLOOKUP(D482,'DB technologies'!$N$224:$Y$236,9,FALSE)/100)*'Calc (ex-housing, ex-storage)'!F482/100+'Calc (ex-animal)'!$H$92*'DB additional information '!$L$19/100*(1-VLOOKUP(D482,'DB technologies'!$N$224:$Y$236,9,FALSE)/100)*'Calc (ex-housing, ex-storage)'!F482/100))/VLOOKUP($C$481,'DB animal categories'!$C$167:$AC$176,27,FALSE)*AJ482+I482+J482+K482,IF(AI482=1,('Calc (ex-animal)'!$H$92*'DB additional information '!$L$19/100*(1-VLOOKUP(D482,'DB technologies'!$N$224:$Y$236,9,FALSE)/100)*'Calc (ex-housing, ex-storage)'!F482/100)/VLOOKUP($C$481,'DB animal categories'!$C$167:$AC$176,27,FALSE)*AJ482,IF(AI482=4,('Calc (ex-animal)'!$G$92*'DB additional information '!$K$19/100+'Calc (ex-animal)'!$H$92*'DB additional information '!$L$19/100)*(1-VLOOKUP(D482,'DB technologies'!$N$224:$Y$236,9,FALSE)/100)*'Calc (ex-housing, ex-storage)'!F482/100*VLOOKUP(D482,'DB technologies'!$N$224:$Y$236,11,FALSE)/100/VLOOKUP($C$481,'DB animal categories'!$C$167:$AC$176,27,FALSE)*AJ482,0))))</f>
        <v/>
      </c>
      <c r="AM482" s="442" t="str">
        <f>IF(D482="","",IF(AI482=2,(('Calc (ex-animal)'!$G$92*(1-'DB additional information '!$K$19/100)*(1-VLOOKUP(D482,'DB technologies'!$N$224:$Y$236,8,FALSE)/100)*'Calc (ex-housing, ex-storage)'!F482/100+'Calc (ex-animal)'!$H$92*(1-'DB additional information '!$L$19/100)*(1-VLOOKUP(D482,'DB technologies'!$N$224:$Y$236,8,FALSE)/100)*'Calc (ex-housing, ex-storage)'!F482/100))/VLOOKUP($C$481,'DB animal categories'!$C$167:$AC$176,27,FALSE)*AJ482+M482+N482+O482,IF(AI482=1,('Calc (ex-animal)'!$H$92*(1-'DB additional information '!$L$19/100)*(1-VLOOKUP(D482,'DB technologies'!$N$224:$Y$236,8,FALSE)/100)*'Calc (ex-housing, ex-storage)'!F482/100)/VLOOKUP($C$481,'DB animal categories'!$C$167:$AC$176,27,FALSE)*AJ482,IF(AI482=4,('Calc (ex-animal)'!$G$92*(1-'DB additional information '!$K$19/100)+'Calc (ex-animal)'!$H$92*(1-'DB additional information '!$L$19/100))*(1-VLOOKUP(D482,'DB technologies'!$N$224:$Y$236,8,FALSE)/100)*'Calc (ex-housing, ex-storage)'!F482/100*VLOOKUP(D482,'DB technologies'!$N$224:$Y$236,11,FALSE)/100/VLOOKUP($C$481,'DB animal categories'!$C$167:$AC$176,27,FALSE)*AJ482,0))))</f>
        <v/>
      </c>
      <c r="AN482" s="442" t="str">
        <f>IF(AI482="","",IF(AL482=0,0,AL482/AK482*100))</f>
        <v/>
      </c>
      <c r="AO482" s="182" t="str">
        <f>IF(D482="","",IF(AI482=2,(('Calc (ex-animal)'!$L$92*'Calc (ex-housing, ex-storage)'!F482/100+'Calc (ex-animal)'!$K$92*'Calc (ex-housing, ex-storage)'!F482/100))/VLOOKUP($C$481,'DB animal categories'!$C$167:$AC$176,27,FALSE)*AJ482+Q482+R482+S482-AC482,IF(AI482=1,('Calc (ex-animal)'!$L$92*'Calc (ex-housing, ex-storage)'!F482/100)/VLOOKUP($C$481,'DB animal categories'!$C$167:$AC$176,27,FALSE)*AJ482-'Calc (ex-housing, ex-storage)'!AC482,IF(AI482=4,('Calc (ex-animal)'!$L$92+'Calc (ex-animal)'!$K$92)*'Calc (ex-housing, ex-storage)'!F482/100*VLOOKUP(D482,'DB technologies'!$N$224:$Y$236,11,FALSE)/100/VLOOKUP($C$481,'DB animal categories'!$C$167:$AC$176,27,FALSE)*AJ482-AC482*VLOOKUP(D482,'DB technologies'!$N$224:$Y$236,11,FALSE)/100,0))))</f>
        <v/>
      </c>
      <c r="AP482" s="182" t="str">
        <f>IF(D482="","",IF(AO482&lt;-0.01,0,IF(AI482=2,(('Calc (ex-animal)'!$L$92*'Calc (ex-housing, ex-storage)'!F482/100+'Calc (ex-animal)'!$K$92*'Calc (ex-housing, ex-storage)'!F482/100))/VLOOKUP($C$481,'DB animal categories'!$C$167:$AC$176,27,FALSE)*AJ482+Q482+R482+S482-AC482,IF(AI482=1,('Calc (ex-animal)'!$L$92*'Calc (ex-housing, ex-storage)'!F482/100)/VLOOKUP($C$481,'DB animal categories'!$C$167:$AC$176,27,FALSE)*AJ482-'Calc (ex-housing, ex-storage)'!AC482,IF(AI482=4,('Calc (ex-animal)'!$L$92+'Calc (ex-animal)'!$K$92)*'Calc (ex-housing, ex-storage)'!F482/100*VLOOKUP(D482,'DB technologies'!$N$224:$Y$236,11,FALSE)/100/VLOOKUP($C$481,'DB animal categories'!$C$167:$AC$176,27,FALSE)*AJ482-AC482*VLOOKUP(D482,'DB technologies'!$N$224:$Y$236,11,FALSE)/100,0)))))</f>
        <v/>
      </c>
      <c r="AQ482" s="182" t="str">
        <f>IF(D482="","",IF(AI482=2,('Calc (ex-animal)'!$O$92*'Calc (ex-housing, ex-storage)'!F482/100+'Calc (ex-animal)'!$N$92*'Calc (ex-housing, ex-storage)'!F482/100)/VLOOKUP($C$481,'DB animal categories'!$C$167:$AC$176,27,FALSE)*AJ482+U482+V482+W482,IF(AI482=1,'Calc (ex-animal)'!$O$92*'Calc (ex-housing, ex-storage)'!F482/100/VLOOKUP($C$481,'DB animal categories'!$C$167:$AC$176,27,FALSE)*AJ482,IF(AI482=4,('Calc (ex-animal)'!$O$92+'Calc (ex-animal)'!$N$92)*'Calc (ex-housing, ex-storage)'!F482/100*VLOOKUP(D482,'DB technologies'!$N$224:$Y$236,11,FALSE)/100/VLOOKUP($C$481,'DB animal categories'!$C$167:$AC$176,27,FALSE)*AJ482,0))))</f>
        <v/>
      </c>
      <c r="AR482" s="182" t="str">
        <f>IF(D482="","",IF(AI482=2,('Calc (ex-animal)'!$R$92*'Calc (ex-housing, ex-storage)'!F482/100+'Calc (ex-animal)'!$Q$92*'Calc (ex-housing, ex-storage)'!F482/100)/VLOOKUP($C$481,'DB animal categories'!$C$167:$AC$176,27,FALSE)*AJ482+Y482+Z482+AA482,IF(AI482=1,'Calc (ex-animal)'!$R$92*'Calc (ex-housing, ex-storage)'!F482/100/VLOOKUP($C$481,'DB animal categories'!$C$167:$AC$176,27,FALSE)*AJ482,IF(AI482=4,('Calc (ex-animal)'!$R$92+'Calc (ex-animal)'!$Q$92)*'Calc (ex-housing, ex-storage)'!F482/100*VLOOKUP(D482,'DB technologies'!$N$224:$Y$236,11,FALSE)/100/VLOOKUP($C$481,'DB animal categories'!$C$167:$AC$176,27,FALSE)*AJ482,0))))</f>
        <v/>
      </c>
      <c r="AS482" s="181" t="str">
        <f>IF(D482="","",VLOOKUP(D482,'DB technologies'!$N$224:$Y$236,10,FALSE))</f>
        <v/>
      </c>
      <c r="AT482" s="442" t="str">
        <f>IF(AS482="","",AU482+AV482)</f>
        <v/>
      </c>
      <c r="AU482" s="442" t="str">
        <f>IF(D482="","",IF(AS482=2,0,IF(AS482=1,'Calc (ex-animal)'!$G$92*'DB additional information '!$K$19/100*(1-VLOOKUP(D482,'DB technologies'!$N$224:$Y$236,8,FALSE)/100)*'Calc (ex-housing, ex-storage)'!F482/100/VLOOKUP($C$481,'DB animal categories'!$C$167:$AC$176,27,FALSE)*AJ482+I482+J482+K482,IF(AS482=5,(('Calc (ex-animal)'!$G$92*'DB additional information '!$K$19/100+'Calc (ex-animal)'!$H$92*'DB additional information '!$L$19/100))*(1-VLOOKUP(D482,'DB technologies'!$N$224:$Y$236,9,FALSE)/100)*'Calc (ex-housing, ex-storage)'!F482/100/VLOOKUP($C$481,'DB animal categories'!$C$167:$AC$176,27,FALSE)*AJ482+I482+J482+K482,IF(AS482=3,('Calc (ex-animal)'!$G$92*'DB additional information '!$K$19/100+'Calc (ex-animal)'!$H$92*'DB additional information '!$L$19/100)*(1-VLOOKUP(D482,'DB technologies'!$N$224:$Y$236,9,FALSE)/100)*'Calc (ex-housing, ex-storage)'!F482/100/VLOOKUP($C$481,'DB animal categories'!$C$167:$AC$176,27,FALSE)*AJ482+I482+J482+K482,IF(AS482=4,('Calc (ex-animal)'!$G$92*'DB additional information '!$K$19/100+'Calc (ex-animal)'!$H$92*'DB additional information '!$L$19/100)*(1-VLOOKUP(D482,'DB technologies'!$N$224:$Y$236,9,FALSE)/100)*'Calc (ex-housing, ex-storage)'!F482/100*VLOOKUP(D482,'DB technologies'!$N$224:$Y$236,12,FALSE)/100/VLOOKUP($C$481,'DB animal categories'!$C$167:$AC$176,27,FALSE)*AJ482+I482+J482+K482,0))))))</f>
        <v/>
      </c>
      <c r="AV482" s="442" t="str">
        <f>IF(D482="","",IF(AS482=2,0,IF(AS482=1,'Calc (ex-animal)'!$G$92*(1-'DB additional information '!$K$19/100)*(1-VLOOKUP(D482,'DB technologies'!$N$224:$Y$236,8,FALSE)/100)*'Calc (ex-housing, ex-storage)'!F482/100/VLOOKUP($C$481,'DB animal categories'!$C$167:$AC$176,27,FALSE)*AJ482+M482+N482+O482,IF(AS482=5,('Calc (ex-animal)'!$G$92*(1-'DB additional information '!$K$19/100)+'Calc (ex-animal)'!$H$92*(1-'DB additional information '!$L$19/100))*(1-VLOOKUP(D482,'DB technologies'!$N$224:$Y$236,8,FALSE)/100)*'Calc (ex-housing, ex-storage)'!F482/100/VLOOKUP($C$481,'DB animal categories'!$C$167:$AC$176,27,FALSE)*AJ482+M482+N482+O482,IF(AS482=3,('Calc (ex-animal)'!$G$92*(1-'DB additional information '!$K$19/100)+'Calc (ex-animal)'!$H$92*(1-'DB additional information '!$L$19/100))*(1-VLOOKUP(D482,'DB technologies'!$N$224:$Y$236,8,FALSE)/100)*'Calc (ex-housing, ex-storage)'!F482/100/VLOOKUP($C$481,'DB animal categories'!$C$167:$AC$176,27,FALSE)*AJ482+M482+N482+O482,IF(AS482=4,('Calc (ex-animal)'!$G$92*(1-'DB additional information '!$K$19/100)+'Calc (ex-animal)'!$H$92*(1-'DB additional information '!$L$19/100))*(1-VLOOKUP(D482,'DB technologies'!$N$224:$Y$236,8,FALSE)/100)*'Calc (ex-housing, ex-storage)'!F482/100*VLOOKUP(D482,'DB technologies'!$N$224:$Y$236,12,FALSE)/100/VLOOKUP($C$481,'DB animal categories'!$C$167:$AC$176,27,FALSE)*AJ482+M482+N482+O482,0))))))</f>
        <v/>
      </c>
      <c r="AW482" s="442" t="str">
        <f>IF(AS482="","",IF(AU482=0,0,AU482/AT482*100))</f>
        <v/>
      </c>
      <c r="AX482" s="182" t="str">
        <f>IF(D482="","",IF(AS482=2,0,IF(AS482=1,'Calc (ex-animal)'!$K$92*'Calc (ex-housing, ex-storage)'!F482/100/VLOOKUP($C$481,'DB animal categories'!$C$167:$AC$176,27,FALSE)*AJ482+Q482+R482+S482,IF(AS482=5,('Calc (ex-animal)'!$K$92+'Calc (ex-animal)'!$L$92)*'Calc (ex-housing, ex-storage)'!F482/100/VLOOKUP($C$481,'DB animal categories'!$C$167:$AC$176,27,FALSE)*AJ482+Q482+R482+S482-'Calc (ex-housing, ex-storage)'!AC482,IF(AS482=3,('Calc (ex-animal)'!$K$92+'Calc (ex-animal)'!$L$92)*'Calc (ex-housing, ex-storage)'!F482/100/VLOOKUP($C$481,'DB animal categories'!$C$167:$AC$176,27,FALSE)*AJ482+Q482+R482+S482-'Calc (ex-housing, ex-storage)'!AC482-AD482-AE482,IF(AI482=4,('Calc (ex-animal)'!$K$92+'Calc (ex-animal)'!$L$92)*'Calc (ex-housing, ex-storage)'!F482/100*VLOOKUP(D482,'DB technologies'!$N$224:$Y$236,12,FALSE)/100/VLOOKUP($C$481,'DB animal categories'!$C$167:$AC$176,27,FALSE)*AJ482+Q482+R482+S482-(VLOOKUP(D482,'DB technologies'!$N$224:$Y$236,12,FALSE)/100*AC482)-AD482-AE482,0))))))</f>
        <v/>
      </c>
      <c r="AY482" s="182" t="str">
        <f>IF(D482="","",IF(AS482=2,0,IF(AS482=1,'Calc (ex-animal)'!$N$92*'Calc (ex-housing, ex-storage)'!F482/100/VLOOKUP($C$481,'DB animal categories'!$C$167:$AC$176,27,FALSE)*AJ482+U482+V482+W482,IF(AS482=5,('Calc (ex-animal)'!$N$92+'Calc (ex-animal)'!$O$92)*'Calc (ex-housing, ex-storage)'!F482/100/VLOOKUP($C$481,'DB animal categories'!$C$167:$AC$176,27,FALSE)*AJ482+U482+V482+W482,IF(AS482=3,('Calc (ex-animal)'!$N$92+'Calc (ex-animal)'!$O$92)*'Calc (ex-housing, ex-storage)'!F482/100/VLOOKUP($C$481,'DB animal categories'!$C$167:$AC$176,27,FALSE)*AJ482+U482+V482+W482,IF(AS482=4,('Calc (ex-animal)'!$N$92+'Calc (ex-animal)'!$O$92)*'Calc (ex-housing, ex-storage)'!F482/100*VLOOKUP(D482,'DB technologies'!$N$224:$Y$236,12,FALSE)/100/VLOOKUP($C$481,'DB animal categories'!$C$167:$AC$176,27,FALSE)*AJ482+U482+V482+W482,0))))))</f>
        <v/>
      </c>
      <c r="AZ482" s="182" t="str">
        <f>IF(D482="","",IF(AS482=2,0,IF(AS482=1,'Calc (ex-animal)'!$Q$92*'Calc (ex-housing, ex-storage)'!F482/100/VLOOKUP($C$481,'DB animal categories'!$C$167:$AC$176,27,FALSE)*AJ482+Y482+Z482+AA482,IF(AS482=5,('Calc (ex-animal)'!$Q$92+'Calc (ex-animal)'!$R$92)*'Calc (ex-housing, ex-storage)'!F482/100/VLOOKUP($C$481,'DB animal categories'!$C$167:$AC$176,27,FALSE)*AJ482+Y482+Z482+AA482,IF(AS482=3,('Calc (ex-animal)'!$Q$92+'Calc (ex-animal)'!$R$92)*'Calc (ex-housing, ex-storage)'!F482/100/VLOOKUP($C$481,'DB animal categories'!$C$167:$AC$176,27,FALSE)*AJ482+Y482+Z482+AA482,IF(AS482=4,('Calc (ex-animal)'!$Q$92+'Calc (ex-animal)'!$R$92)*'Calc (ex-housing, ex-storage)'!F482/100*VLOOKUP(D482,'DB technologies'!$N$224:$Y$236,12,FALSE)/100/VLOOKUP($C$481,'DB animal categories'!$C$167:$AC$176,27,FALSE)*AJ482+Y482+Z482+AA482,0))))))</f>
        <v/>
      </c>
      <c r="BA482" s="506"/>
      <c r="BB482" s="506"/>
      <c r="BC482" s="506"/>
    </row>
    <row r="483" spans="1:55" x14ac:dyDescent="0.2">
      <c r="A483" s="695"/>
      <c r="B483" s="695"/>
      <c r="C483" s="251"/>
      <c r="D483" s="1357"/>
      <c r="E483" s="1358"/>
      <c r="F483" s="480" t="str">
        <f>IF('Calc (ex-animal)'!$F$88=1,"",IF($C$481=0,"",IF(D483="","",E483/'Calc (ex-animal)'!$E$92*100)))</f>
        <v/>
      </c>
      <c r="G483" s="485" t="str">
        <f>IF($C$481=0,"",IF('Calc (ex-animal)'!$F$88=1,"",IF(D483="","",SUM(H483:O483))))</f>
        <v/>
      </c>
      <c r="H483" s="423" t="str">
        <f>IF('Calc (ex-animal)'!$F$88=1,"",IF(D483="","",(((VLOOKUP($C$481,'Calc (ex-animal)'!$D$88:$Y$92,6,FALSE)-VLOOKUP($C$481,'Calc (ex-animal)'!$D$88:$Y$92,17,FALSE))*F483/100))*VLOOKUP($C$481,'Calc (ex-animal)'!$D$88:$Y$92,7,FALSE)/100*(1-VLOOKUP(D483,'DB technologies'!$N$224:$Y$236,9,FALSE)/100)))</f>
        <v/>
      </c>
      <c r="I483" s="423" t="str">
        <f>IF(D483="","",((VLOOKUP(D483,'DB technologies'!$N$224:$Y$236,2,FALSE)*VLOOKUP($C$481,'DB animal categories'!$C$167:$AC$176,27,FALSE)*E483/1000)/VLOOKUP($C$481,'DB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'!$S$6/100*(1-VLOOKUP(D483,'DB technologies'!$N$224:$Y$236,9,FALSE)/100)))</f>
        <v/>
      </c>
      <c r="J483" s="434" t="str">
        <f>IF(D483="","",((VLOOKUP(D483,'DB technologies'!$N$224:$Y$236,3,FALSE)*VLOOKUP($C$481,'DB animal categories'!$C$167:$AC$176,27,FALSE)*E483/1000)/VLOOKUP($C$481,'DB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'!$S$7/100*(1-VLOOKUP(D483,'DB technologies'!$N$224:$Y$236,9,FALSE)/100)))</f>
        <v/>
      </c>
      <c r="K483" s="434" t="str">
        <f>IF(D483="","",((VLOOKUP(D483,'DB technologies'!$N$224:$Y$236,4,FALSE)*E483*'DB additional information '!$S$8/100*(1-VLOOKUP(D483,'DB technologies'!$N$224:$Y$236,9,FALSE)/100))/VLOOKUP($C$481,'DB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L483" s="423" t="str">
        <f>IF('Calc (ex-animal)'!$F$88=1,"",IF(D483="","",(((VLOOKUP($C$481,'Calc (ex-animal)'!$D$88:$Y$92,6,FALSE)-VLOOKUP($C$481,'Calc (ex-animal)'!$D$88:$Y$92,17,FALSE))*F483/100))*(1-VLOOKUP($C$481,'Calc (ex-animal)'!$D$88:$Y$92,7,FALSE)/100)*(1-VLOOKUP(D483,'DB technologies'!$N$224:$V$236,8,FALSE)/100)))</f>
        <v/>
      </c>
      <c r="M483" s="434" t="str">
        <f>IF(D483="","",((VLOOKUP(D483,'DB technologies'!$N$224:$Y$236,2,FALSE)*VLOOKUP($C$481,'DB animal categories'!$C$167:$AC$176,27,FALSE)*E483/1000)/VLOOKUP($C$481,'DB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'!$S$6/100)*(1-VLOOKUP(D483,'DB technologies'!$N$224:$Y$236,9,FALSE)/100))</f>
        <v/>
      </c>
      <c r="N483" s="434" t="str">
        <f>IF(D483="","",((VLOOKUP(D483,'DB technologies'!$N$224:$Y$236,3,FALSE)*VLOOKUP($C$481,'DB animal categories'!$C$167:$AC$176,27,FALSE)*E483/1000)/VLOOKUP($C$481,'DB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'!$S$7/100)*(1-VLOOKUP(D483,'DB technologies'!$N$224:$Y$236,9,FALSE)/100))</f>
        <v/>
      </c>
      <c r="O483" s="423" t="str">
        <f>IF(D483="","",((VLOOKUP(D483,'DB technologies'!$N$224:$Y$236,4,FALSE)*E483*(1-'DB additional information '!$S$8/100)*(1-VLOOKUP(D483,'DB technologies'!$N$224:$Y$236,8,FALSE)/100))/VLOOKUP($C$481,'DB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P483" s="438" t="str">
        <f>IF(G483=0,0,IF(E483="","",IF(F483="","",IF($C$481=0,"",IF(D483="","",SUM(H483:K483)/G483*100)))))</f>
        <v/>
      </c>
      <c r="Q483" s="416" t="str">
        <f>IF(D483="","",(VLOOKUP(D483,'DB technologies'!$N$224:$Y$236,2,FALSE)*'DB additional information '!$S$6/100*'DB additional information '!$T$6*VLOOKUP($C$481,'DB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R483" s="416" t="str">
        <f>IF(D483="","",(VLOOKUP(D483,'DB technologies'!$N$224:$Y$236,3,FALSE)*'DB additional information '!$S$7/100*'DB additional information '!$T$7*VLOOKUP($C$481,'DB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S483" s="491" t="str">
        <f>IF(D483="","",(VLOOKUP(D483,'DB technologies'!$N$224:$Y$236,4,FALSE)*('DB additional information '!$S$8/100*'DB additional information '!$T$8*E483/1000/1000)))</f>
        <v/>
      </c>
      <c r="T483" s="264" t="str">
        <f>IF($C$481=0,"",IF('Calc (ex-animal)'!$F$88=1,"",IF(D483="","",((VLOOKUP($C$481,'Calc (ex-animal)'!$D$88:$Y$92,10,FALSE)-VLOOKUP($C$481,'Calc (ex-animal)'!$D$88:$Y$92,18,FALSE))*F483/100+Q483+R483+S483)-AC483-AD483-AE483)))</f>
        <v/>
      </c>
      <c r="U483" s="422" t="str">
        <f>IF(D483="","",(VLOOKUP(D483,'DB technologies'!$N$224:$Y$236,2,FALSE)*'DB additional information '!$S$6/100*'DB additional information '!$U$6*VLOOKUP($C$481,'DB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V483" s="418" t="str">
        <f>IF(D483="","",(VLOOKUP(D483,'DB technologies'!$N$224:$Y$236,3,FALSE)*'DB additional information '!$S$7/100*'DB additional information '!$U$7*VLOOKUP($C$481,'DB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W483" s="417" t="str">
        <f>IF(D483="","",(VLOOKUP(D483,'DB technologies'!$N$224:$Y$236,4,FALSE)*('DB additional information '!$S$8/100*'DB additional information '!$U$8*E483/1000/1000)))</f>
        <v/>
      </c>
      <c r="X483" s="261" t="str">
        <f>IF($C$481=0,"",IF('Calc (ex-animal)'!$F$88=1,"",IF(D483="","",((VLOOKUP($C$481,'Calc (ex-animal)'!$D$88:$Y$92,13,FALSE)-VLOOKUP($C$481,'Calc (ex-animal)'!$D$88:$Y$92,19,FALSE))*F483/100+U483+V483+W483))))</f>
        <v/>
      </c>
      <c r="Y483" s="418" t="str">
        <f>IF(D483="","",(VLOOKUP(D483,'DB technologies'!$N$224:$Y$236,2,FALSE)*'DB additional information '!$S$6/100*'DB additional information '!$V$6*VLOOKUP($C$481,'DB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Z483" s="418" t="str">
        <f>IF(D483="","",(VLOOKUP(D483,'DB technologies'!$N$224:$Y$236,3,FALSE)*'DB additional information '!$S$7/100*'DB additional information '!$V$7*VLOOKUP($C$481,'DB animal categories'!$C$167:$AC$176,27,FALSE)*E483/1000/1000)/VLOOKUP($C$481,'DB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AA483" s="418" t="str">
        <f>IF(D483="","",(VLOOKUP(D483,'DB technologies'!$N$224:$Y$236,4,FALSE)*('DB additional information '!$S$8/100*'DB additional information '!$V$8*E483/1000/1000)))</f>
        <v/>
      </c>
      <c r="AB483" s="261" t="str">
        <f>IF($C$481=0,"",IF('Calc (ex-animal)'!$F$88=1,"",IF(D483="","",((VLOOKUP($C$481,'Calc (ex-animal)'!$D$88:$Y$92,16,FALSE)-VLOOKUP($C$481,'Calc (ex-animal)'!$D$88:$Y$92,20,FALSE))*F483/100+Y483+Z483+AA483))))</f>
        <v/>
      </c>
      <c r="AC483" s="261" t="str">
        <f>IF($C$481=0,"",IF('Calc (ex-animal)'!$F$88=1,"",IF(D483="","",VLOOKUP($C$481,'Calc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categories'!$C$167:$AC$176,26,FALSE)/24)*F483/100*VLOOKUP(D483,'DB technologies'!$N$224:$R$236,5,FALSE)/100)))</f>
        <v/>
      </c>
      <c r="AD483" s="261" t="str">
        <f>IF($C$481=0,"",IF('Calc (ex-animal)'!$F$88=1,"",IF(D483="","",VLOOKUP($C$481,'Calc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categories'!$C$167:$AC$176,26,FALSE)/24)*F483/100*VLOOKUP(D483,'DB technologies'!$N$224:$Y$236,6,FALSE)/100)))</f>
        <v/>
      </c>
      <c r="AE483" s="262" t="str">
        <f>IF($C$481=0,"",IF('Calc (ex-animal)'!$F$88=1,"",IF(D483="","",VLOOKUP($C$481,'Calc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categories'!$C$167:$AC$176,26,FALSE)/24)*F483/100*VLOOKUP(D483,'DB technologies'!$N$224:$Y$236,7,FALSE)/100)))</f>
        <v/>
      </c>
      <c r="AI483" s="181" t="str">
        <f>IF(D483="","",VLOOKUP(D483,'DB technologies'!$N$224:$Y$236,10,FALSE))</f>
        <v/>
      </c>
      <c r="AJ483" s="449" t="e">
        <f>VLOOKUP($C$481,'DB animal categories'!$C$167:$AN$176,27,FALSE)-VLOOKUP($C$481,'DB animal categories'!$C$167:$AN$176,26,FALSE)*VLOOKUP($C$481,'DB animal categories'!$C$167:$AN$176,25,FALSE)/24</f>
        <v>#N/A</v>
      </c>
      <c r="AK483" s="442" t="str">
        <f>IF(AI483="","",AL483+AM483)</f>
        <v/>
      </c>
      <c r="AL483" s="442" t="str">
        <f>IF(D483="","",IF(AI483=2,(('Calc (ex-animal)'!$G$92*'DB additional information '!$K$19/100*(1-VLOOKUP(D483,'DB technologies'!$N$224:$Y$236,9,FALSE)/100)*'Calc (ex-housing, ex-storage)'!F483/100+'Calc (ex-animal)'!$H$92*'DB additional information '!$L$19/100*(1-VLOOKUP(D483,'DB technologies'!$N$224:$Y$236,9,FALSE)/100)*'Calc (ex-housing, ex-storage)'!F483/100))/VLOOKUP($C$481,'DB animal categories'!$C$167:$AC$176,27,FALSE)*AJ483+I483+J483+K483,IF(AI483=1,('Calc (ex-animal)'!$H$92*'DB additional information '!$L$19/100*(1-VLOOKUP(D483,'DB technologies'!$N$224:$Y$236,9,FALSE)/100)*'Calc (ex-housing, ex-storage)'!F483/100)/VLOOKUP($C$481,'DB animal categories'!$C$167:$AC$176,27,FALSE)*AJ483,IF(AI483=4,('Calc (ex-animal)'!$G$92*'DB additional information '!$K$19/100+'Calc (ex-animal)'!$H$92*'DB additional information '!$L$19/100)*(1-VLOOKUP(D483,'DB technologies'!$N$224:$Y$236,9,FALSE)/100)*'Calc (ex-housing, ex-storage)'!F483/100*VLOOKUP(D483,'DB technologies'!$N$224:$Y$236,11,FALSE)/100/VLOOKUP($C$481,'DB animal categories'!$C$167:$AC$176,27,FALSE)*AJ483,0))))</f>
        <v/>
      </c>
      <c r="AM483" s="442" t="str">
        <f>IF(D483="","",IF(AI483=2,(('Calc (ex-animal)'!$G$92*(1-'DB additional information '!$K$19/100)*(1-VLOOKUP(D483,'DB technologies'!$N$224:$Y$236,8,FALSE)/100)*'Calc (ex-housing, ex-storage)'!F483/100+'Calc (ex-animal)'!$H$92*(1-'DB additional information '!$L$19/100)*(1-VLOOKUP(D483,'DB technologies'!$N$224:$Y$236,8,FALSE)/100)*'Calc (ex-housing, ex-storage)'!F483/100))/VLOOKUP($C$481,'DB animal categories'!$C$167:$AC$176,27,FALSE)*AJ483+M483+N483+O483,IF(AI483=1,('Calc (ex-animal)'!$H$92*(1-'DB additional information '!$L$19/100)*(1-VLOOKUP(D483,'DB technologies'!$N$224:$Y$236,8,FALSE)/100)*'Calc (ex-housing, ex-storage)'!F483/100)/VLOOKUP($C$481,'DB animal categories'!$C$167:$AC$176,27,FALSE)*AJ483,IF(AI483=4,('Calc (ex-animal)'!$G$92*(1-'DB additional information '!$K$19/100)+'Calc (ex-animal)'!$H$92*(1-'DB additional information '!$L$19/100))*(1-VLOOKUP(D483,'DB technologies'!$N$224:$Y$236,8,FALSE)/100)*'Calc (ex-housing, ex-storage)'!F483/100*VLOOKUP(D483,'DB technologies'!$N$224:$Y$236,11,FALSE)/100/VLOOKUP($C$481,'DB animal categories'!$C$167:$AC$176,27,FALSE)*AJ483,0))))</f>
        <v/>
      </c>
      <c r="AN483" s="442" t="str">
        <f>IF(AI483="","",IF(AL483=0,0,AL483/AK483*100))</f>
        <v/>
      </c>
      <c r="AO483" s="182" t="str">
        <f>IF(D483="","",IF(AI483=2,(('Calc (ex-animal)'!$L$92*'Calc (ex-housing, ex-storage)'!F483/100+'Calc (ex-animal)'!$K$92*'Calc (ex-housing, ex-storage)'!F483/100))/VLOOKUP($C$481,'DB animal categories'!$C$167:$AC$176,27,FALSE)*AJ483+Q483+R483+S483-AC483,IF(AI483=1,('Calc (ex-animal)'!$L$92*'Calc (ex-housing, ex-storage)'!F483/100)/VLOOKUP($C$481,'DB animal categories'!$C$167:$AC$176,27,FALSE)*AJ483-'Calc (ex-housing, ex-storage)'!AC483,IF(AI483=4,('Calc (ex-animal)'!$L$92+'Calc (ex-animal)'!$K$92)*'Calc (ex-housing, ex-storage)'!F483/100*VLOOKUP(D483,'DB technologies'!$N$224:$Y$236,11,FALSE)/100/VLOOKUP($C$481,'DB animal categories'!$C$167:$AC$176,27,FALSE)*AJ483-AC483*VLOOKUP(D483,'DB technologies'!$N$224:$Y$236,11,FALSE)/100,0))))</f>
        <v/>
      </c>
      <c r="AP483" s="182" t="str">
        <f>IF(D483="","",IF(AO483&lt;-0.01,0,IF(AI483=2,(('Calc (ex-animal)'!$L$92*'Calc (ex-housing, ex-storage)'!F483/100+'Calc (ex-animal)'!$K$92*'Calc (ex-housing, ex-storage)'!F483/100))/VLOOKUP($C$481,'DB animal categories'!$C$167:$AC$176,27,FALSE)*AJ483+Q483+R483+S483-AC483,IF(AI483=1,('Calc (ex-animal)'!$L$92*'Calc (ex-housing, ex-storage)'!F483/100)/VLOOKUP($C$481,'DB animal categories'!$C$167:$AC$176,27,FALSE)*AJ483-'Calc (ex-housing, ex-storage)'!AC483,IF(AI483=4,('Calc (ex-animal)'!$L$92+'Calc (ex-animal)'!$K$92)*'Calc (ex-housing, ex-storage)'!F483/100*VLOOKUP(D483,'DB technologies'!$N$224:$Y$236,11,FALSE)/100/VLOOKUP($C$481,'DB animal categories'!$C$167:$AC$176,27,FALSE)*AJ483-AC483*VLOOKUP(D483,'DB technologies'!$N$224:$Y$236,11,FALSE)/100,0)))))</f>
        <v/>
      </c>
      <c r="AQ483" s="182" t="str">
        <f>IF(D483="","",IF(AI483=2,('Calc (ex-animal)'!$O$92*'Calc (ex-housing, ex-storage)'!F483/100+'Calc (ex-animal)'!$N$92*'Calc (ex-housing, ex-storage)'!F483/100)/VLOOKUP($C$481,'DB animal categories'!$C$167:$AC$176,27,FALSE)*AJ483+U483+V483+W483,IF(AI483=1,'Calc (ex-animal)'!$O$92*'Calc (ex-housing, ex-storage)'!F483/100/VLOOKUP($C$481,'DB animal categories'!$C$167:$AC$176,27,FALSE)*AJ483,IF(AI483=4,('Calc (ex-animal)'!$O$92+'Calc (ex-animal)'!$N$92)*'Calc (ex-housing, ex-storage)'!F483/100*VLOOKUP(D483,'DB technologies'!$N$224:$Y$236,11,FALSE)/100/VLOOKUP($C$481,'DB animal categories'!$C$167:$AC$176,27,FALSE)*AJ483,0))))</f>
        <v/>
      </c>
      <c r="AR483" s="182" t="str">
        <f>IF(D483="","",IF(AI483=2,('Calc (ex-animal)'!$R$92*'Calc (ex-housing, ex-storage)'!F483/100+'Calc (ex-animal)'!$Q$92*'Calc (ex-housing, ex-storage)'!F483/100)/VLOOKUP($C$481,'DB animal categories'!$C$167:$AC$176,27,FALSE)*AJ483+Y483+Z483+AA483,IF(AI483=1,'Calc (ex-animal)'!$R$92*'Calc (ex-housing, ex-storage)'!F483/100/VLOOKUP($C$481,'DB animal categories'!$C$167:$AC$176,27,FALSE)*AJ483,IF(AI483=4,('Calc (ex-animal)'!$R$92+'Calc (ex-animal)'!$Q$92)*'Calc (ex-housing, ex-storage)'!F483/100*VLOOKUP(D483,'DB technologies'!$N$224:$Y$236,11,FALSE)/100/VLOOKUP($C$481,'DB animal categories'!$C$167:$AC$176,27,FALSE)*AJ483,0))))</f>
        <v/>
      </c>
      <c r="AS483" s="181" t="str">
        <f>IF(D483="","",VLOOKUP(D483,'DB technologies'!$N$224:$Y$236,10,FALSE))</f>
        <v/>
      </c>
      <c r="AT483" s="442" t="str">
        <f>IF(AS483="","",AU483+AV483)</f>
        <v/>
      </c>
      <c r="AU483" s="442" t="str">
        <f>IF(D483="","",IF(AS483=2,0,IF(AS483=1,'Calc (ex-animal)'!$G$92*'DB additional information '!$K$19/100*(1-VLOOKUP(D483,'DB technologies'!$N$224:$Y$236,8,FALSE)/100)*'Calc (ex-housing, ex-storage)'!F483/100/VLOOKUP($C$481,'DB animal categories'!$C$167:$AC$176,27,FALSE)*AJ483+I483+J483+K483,IF(AS483=5,(('Calc (ex-animal)'!$G$92*'DB additional information '!$K$19/100+'Calc (ex-animal)'!$H$92*'DB additional information '!$L$19/100))*(1-VLOOKUP(D483,'DB technologies'!$N$224:$Y$236,9,FALSE)/100)*'Calc (ex-housing, ex-storage)'!F483/100/VLOOKUP($C$481,'DB animal categories'!$C$167:$AC$176,27,FALSE)*AJ483+I483+J483+K483,IF(AS483=3,('Calc (ex-animal)'!$G$92*'DB additional information '!$K$19/100+'Calc (ex-animal)'!$H$92*'DB additional information '!$L$19/100)*(1-VLOOKUP(D483,'DB technologies'!$N$224:$Y$236,9,FALSE)/100)*'Calc (ex-housing, ex-storage)'!F483/100/VLOOKUP($C$481,'DB animal categories'!$C$167:$AC$176,27,FALSE)*AJ483+I483+J483+K483,IF(AS483=4,('Calc (ex-animal)'!$G$92*'DB additional information '!$K$19/100+'Calc (ex-animal)'!$H$92*'DB additional information '!$L$19/100)*(1-VLOOKUP(D483,'DB technologies'!$N$224:$Y$236,9,FALSE)/100)*'Calc (ex-housing, ex-storage)'!F483/100*VLOOKUP(D483,'DB technologies'!$N$224:$Y$236,12,FALSE)/100/VLOOKUP($C$481,'DB animal categories'!$C$167:$AC$176,27,FALSE)*AJ483+I483+J483+K483,0))))))</f>
        <v/>
      </c>
      <c r="AV483" s="442" t="str">
        <f>IF(D483="","",IF(AS483=2,0,IF(AS483=1,'Calc (ex-animal)'!$G$92*(1-'DB additional information '!$K$19/100)*(1-VLOOKUP(D483,'DB technologies'!$N$224:$Y$236,8,FALSE)/100)*'Calc (ex-housing, ex-storage)'!F483/100/VLOOKUP($C$481,'DB animal categories'!$C$167:$AC$176,27,FALSE)*AJ483+M483+N483+O483,IF(AS483=5,('Calc (ex-animal)'!$G$92*(1-'DB additional information '!$K$19/100)+'Calc (ex-animal)'!$H$92*(1-'DB additional information '!$L$19/100))*(1-VLOOKUP(D483,'DB technologies'!$N$224:$Y$236,8,FALSE)/100)*'Calc (ex-housing, ex-storage)'!F483/100/VLOOKUP($C$481,'DB animal categories'!$C$167:$AC$176,27,FALSE)*AJ483+M483+N483+O483,IF(AS483=3,('Calc (ex-animal)'!$G$92*(1-'DB additional information '!$K$19/100)+'Calc (ex-animal)'!$H$92*(1-'DB additional information '!$L$19/100))*(1-VLOOKUP(D483,'DB technologies'!$N$224:$Y$236,8,FALSE)/100)*'Calc (ex-housing, ex-storage)'!F483/100/VLOOKUP($C$481,'DB animal categories'!$C$167:$AC$176,27,FALSE)*AJ483+M483+N483+O483,IF(AS483=4,('Calc (ex-animal)'!$G$92*(1-'DB additional information '!$K$19/100)+'Calc (ex-animal)'!$H$92*(1-'DB additional information '!$L$19/100))*(1-VLOOKUP(D483,'DB technologies'!$N$224:$Y$236,8,FALSE)/100)*'Calc (ex-housing, ex-storage)'!F483/100*VLOOKUP(D483,'DB technologies'!$N$224:$Y$236,12,FALSE)/100/VLOOKUP($C$481,'DB animal categories'!$C$167:$AC$176,27,FALSE)*AJ483+M483+N483+O483,0))))))</f>
        <v/>
      </c>
      <c r="AW483" s="442" t="str">
        <f>IF(AS483="","",IF(AU483=0,0,AU483/AT483*100))</f>
        <v/>
      </c>
      <c r="AX483" s="182" t="str">
        <f>IF(D483="","",IF(AS483=2,0,IF(AS483=1,'Calc (ex-animal)'!$K$92*'Calc (ex-housing, ex-storage)'!F483/100/VLOOKUP($C$481,'DB animal categories'!$C$167:$AC$176,27,FALSE)*AJ483+Q483+R483+S483,IF(AS483=5,('Calc (ex-animal)'!$K$92+'Calc (ex-animal)'!$L$92)*'Calc (ex-housing, ex-storage)'!F483/100/VLOOKUP($C$481,'DB animal categories'!$C$167:$AC$176,27,FALSE)*AJ483+Q483+R483+S483-'Calc (ex-housing, ex-storage)'!AC483,IF(AS483=3,('Calc (ex-animal)'!$K$92+'Calc (ex-animal)'!$L$92)*'Calc (ex-housing, ex-storage)'!F483/100/VLOOKUP($C$481,'DB animal categories'!$C$167:$AC$176,27,FALSE)*AJ483+Q483+R483+S483-'Calc (ex-housing, ex-storage)'!AC483-AD483-AE483,IF(AI483=4,('Calc (ex-animal)'!$K$92+'Calc (ex-animal)'!$L$92)*'Calc (ex-housing, ex-storage)'!F483/100*VLOOKUP(D483,'DB technologies'!$N$224:$Y$236,12,FALSE)/100/VLOOKUP($C$481,'DB animal categories'!$C$167:$AC$176,27,FALSE)*AJ483+Q483+R483+S483-(VLOOKUP(D483,'DB technologies'!$N$224:$Y$236,12,FALSE)/100*AC483)-AD483-AE483,0))))))</f>
        <v/>
      </c>
      <c r="AY483" s="182" t="str">
        <f>IF(D483="","",IF(AS483=2,0,IF(AS483=1,'Calc (ex-animal)'!$N$92*'Calc (ex-housing, ex-storage)'!F483/100/VLOOKUP($C$481,'DB animal categories'!$C$167:$AC$176,27,FALSE)*AJ483+U483+V483+W483,IF(AS483=5,('Calc (ex-animal)'!$N$92+'Calc (ex-animal)'!$O$92)*'Calc (ex-housing, ex-storage)'!F483/100/VLOOKUP($C$481,'DB animal categories'!$C$167:$AC$176,27,FALSE)*AJ483+U483+V483+W483,IF(AS483=3,('Calc (ex-animal)'!$N$92+'Calc (ex-animal)'!$O$92)*'Calc (ex-housing, ex-storage)'!F483/100/VLOOKUP($C$481,'DB animal categories'!$C$167:$AC$176,27,FALSE)*AJ483+U483+V483+W483,IF(AS483=4,('Calc (ex-animal)'!$N$92+'Calc (ex-animal)'!$O$92)*'Calc (ex-housing, ex-storage)'!F483/100*VLOOKUP(D483,'DB technologies'!$N$224:$Y$236,12,FALSE)/100/VLOOKUP($C$481,'DB animal categories'!$C$167:$AC$176,27,FALSE)*AJ483+U483+V483+W483,0))))))</f>
        <v/>
      </c>
      <c r="AZ483" s="182" t="str">
        <f>IF(D483="","",IF(AS483=2,0,IF(AS483=1,'Calc (ex-animal)'!$Q$92*'Calc (ex-housing, ex-storage)'!F483/100/VLOOKUP($C$481,'DB animal categories'!$C$167:$AC$176,27,FALSE)*AJ483+Y483+Z483+AA483,IF(AS483=5,('Calc (ex-animal)'!$Q$92+'Calc (ex-animal)'!$R$92)*'Calc (ex-housing, ex-storage)'!F483/100/VLOOKUP($C$481,'DB animal categories'!$C$167:$AC$176,27,FALSE)*AJ483+Y483+Z483+AA483,IF(AS483=3,('Calc (ex-animal)'!$Q$92+'Calc (ex-animal)'!$R$92)*'Calc (ex-housing, ex-storage)'!F483/100/VLOOKUP($C$481,'DB animal categories'!$C$167:$AC$176,27,FALSE)*AJ483+Y483+Z483+AA483,IF(AS483=4,('Calc (ex-animal)'!$Q$92+'Calc (ex-animal)'!$R$92)*'Calc (ex-housing, ex-storage)'!F483/100*VLOOKUP(D483,'DB technologies'!$N$224:$Y$236,12,FALSE)/100/VLOOKUP($C$481,'DB animal categories'!$C$167:$AC$176,27,FALSE)*AJ483+Y483+Z483+AA483,0))))))</f>
        <v/>
      </c>
      <c r="BA483" s="506"/>
      <c r="BB483" s="506"/>
      <c r="BC483" s="506"/>
    </row>
    <row r="484" spans="1:55" x14ac:dyDescent="0.2">
      <c r="A484" s="695"/>
      <c r="B484" s="695"/>
      <c r="C484" s="251"/>
      <c r="D484" s="1357"/>
      <c r="E484" s="1358"/>
      <c r="F484" s="480" t="str">
        <f>IF('Calc (ex-animal)'!$F$88=1,"",IF($C$481=0,"",IF(D484="","",E484/'Calc (ex-animal)'!$E$92*100)))</f>
        <v/>
      </c>
      <c r="G484" s="485" t="str">
        <f>IF($C$481=0,"",IF('Calc (ex-animal)'!$F$88=1,"",IF(D484="","",SUM(H484:O484))))</f>
        <v/>
      </c>
      <c r="H484" s="423" t="str">
        <f>IF('Calc (ex-animal)'!$F$88=1,"",IF(D484="","",(((VLOOKUP($C$481,'Calc (ex-animal)'!$D$88:$Y$92,6,FALSE)-VLOOKUP($C$481,'Calc (ex-animal)'!$D$88:$Y$92,17,FALSE))*F484/100))*VLOOKUP($C$481,'Calc (ex-animal)'!$D$88:$Y$92,7,FALSE)/100*(1-VLOOKUP(D484,'DB technologies'!$N$224:$Y$236,9,FALSE)/100)))</f>
        <v/>
      </c>
      <c r="I484" s="423" t="str">
        <f>IF(D484="","",((VLOOKUP(D484,'DB technologies'!$N$224:$Y$236,2,FALSE)*VLOOKUP($C$481,'DB animal categories'!$C$167:$AC$176,27,FALSE)*E484/1000)/VLOOKUP($C$481,'DB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'!$S$6/100*(1-VLOOKUP(D484,'DB technologies'!$N$224:$Y$236,9,FALSE)/100)))</f>
        <v/>
      </c>
      <c r="J484" s="434" t="str">
        <f>IF(D484="","",((VLOOKUP(D484,'DB technologies'!$N$224:$Y$236,3,FALSE)*VLOOKUP($C$481,'DB animal categories'!$C$167:$AC$176,27,FALSE)*E484/1000)/VLOOKUP($C$481,'DB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'!$S$7/100*(1-VLOOKUP(D484,'DB technologies'!$N$224:$Y$236,9,FALSE)/100)))</f>
        <v/>
      </c>
      <c r="K484" s="434" t="str">
        <f>IF(D484="","",((VLOOKUP(D484,'DB technologies'!$N$224:$Y$236,4,FALSE)*E484*'DB additional information '!$S$8/100*(1-VLOOKUP(D484,'DB technologies'!$N$224:$Y$236,9,FALSE)/100))/VLOOKUP($C$481,'DB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L484" s="423" t="str">
        <f>IF('Calc (ex-animal)'!$F$88=1,"",IF(D484="","",(((VLOOKUP($C$481,'Calc (ex-animal)'!$D$88:$Y$92,6,FALSE)-VLOOKUP($C$481,'Calc (ex-animal)'!$D$88:$Y$92,17,FALSE))*F484/100))*(1-VLOOKUP($C$481,'Calc (ex-animal)'!$D$88:$Y$92,7,FALSE)/100)*(1-VLOOKUP(D484,'DB technologies'!$N$224:$V$236,8,FALSE)/100)))</f>
        <v/>
      </c>
      <c r="M484" s="434" t="str">
        <f>IF(D484="","",((VLOOKUP(D484,'DB technologies'!$N$224:$Y$236,2,FALSE)*VLOOKUP($C$481,'DB animal categories'!$C$167:$AC$176,27,FALSE)*E484/1000)/VLOOKUP($C$481,'DB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'!$S$6/100)*(1-VLOOKUP(D484,'DB technologies'!$N$224:$Y$236,9,FALSE)/100))</f>
        <v/>
      </c>
      <c r="N484" s="434" t="str">
        <f>IF(D484="","",((VLOOKUP(D484,'DB technologies'!$N$224:$Y$236,3,FALSE)*VLOOKUP($C$481,'DB animal categories'!$C$167:$AC$176,27,FALSE)*E484/1000)/VLOOKUP($C$481,'DB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'!$S$7/100)*(1-VLOOKUP(D484,'DB technologies'!$N$224:$Y$236,9,FALSE)/100))</f>
        <v/>
      </c>
      <c r="O484" s="423" t="str">
        <f>IF(D484="","",((VLOOKUP(D484,'DB technologies'!$N$224:$Y$236,4,FALSE)*E484*(1-'DB additional information '!$S$8/100)*(1-VLOOKUP(D484,'DB technologies'!$N$224:$Y$236,8,FALSE)/100))/VLOOKUP($C$481,'DB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P484" s="438" t="str">
        <f>IF(G484=0,0,IF(E484="","",IF(F484="","",IF($C$481=0,"",IF(D484="","",SUM(H484:K484)/G484*100)))))</f>
        <v/>
      </c>
      <c r="Q484" s="416" t="str">
        <f>IF(D484="","",(VLOOKUP(D484,'DB technologies'!$N$224:$Y$236,2,FALSE)*'DB additional information '!$S$6/100*'DB additional information '!$T$6*VLOOKUP($C$481,'DB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R484" s="416" t="str">
        <f>IF(D484="","",(VLOOKUP(D484,'DB technologies'!$N$224:$Y$236,3,FALSE)*'DB additional information '!$S$7/100*'DB additional information '!$T$7*VLOOKUP($C$481,'DB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S484" s="491" t="str">
        <f>IF(D484="","",(VLOOKUP(D484,'DB technologies'!$N$224:$Y$236,4,FALSE)*('DB additional information '!$S$8/100*'DB additional information '!$T$8*E484/1000/1000)))</f>
        <v/>
      </c>
      <c r="T484" s="264" t="str">
        <f>IF($C$481=0,"",IF('Calc (ex-animal)'!$F$88=1,"",IF(D484="","",((VLOOKUP($C$481,'Calc (ex-animal)'!$D$88:$Y$92,10,FALSE)-VLOOKUP($C$481,'Calc (ex-animal)'!$D$88:$Y$92,18,FALSE))*F484/100+Q484+R484+S484)-AC484-AD484-AE484)))</f>
        <v/>
      </c>
      <c r="U484" s="422" t="str">
        <f>IF(D484="","",(VLOOKUP(D484,'DB technologies'!$N$224:$Y$236,2,FALSE)*'DB additional information '!$S$6/100*'DB additional information '!$U$6*VLOOKUP($C$481,'DB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V484" s="418" t="str">
        <f>IF(D484="","",(VLOOKUP(D484,'DB technologies'!$N$224:$Y$236,3,FALSE)*'DB additional information '!$S$7/100*'DB additional information '!$U$7*VLOOKUP($C$481,'DB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W484" s="417" t="str">
        <f>IF(D484="","",(VLOOKUP(D484,'DB technologies'!$N$224:$Y$236,4,FALSE)*('DB additional information '!$S$8/100*'DB additional information '!$U$8*E484/1000/1000)))</f>
        <v/>
      </c>
      <c r="X484" s="261" t="str">
        <f>IF($C$481=0,"",IF('Calc (ex-animal)'!$F$88=1,"",IF(D484="","",((VLOOKUP($C$481,'Calc (ex-animal)'!$D$88:$Y$92,13,FALSE)-VLOOKUP($C$481,'Calc (ex-animal)'!$D$88:$Y$92,19,FALSE))*F484/100+U484+V484+W484))))</f>
        <v/>
      </c>
      <c r="Y484" s="418" t="str">
        <f>IF(D484="","",(VLOOKUP(D484,'DB technologies'!$N$224:$Y$236,2,FALSE)*'DB additional information '!$S$6/100*'DB additional information '!$V$6*VLOOKUP($C$481,'DB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Z484" s="418" t="str">
        <f>IF(D484="","",(VLOOKUP(D484,'DB technologies'!$N$224:$Y$236,3,FALSE)*'DB additional information '!$S$7/100*'DB additional information '!$V$7*VLOOKUP($C$481,'DB animal categories'!$C$167:$AC$176,27,FALSE)*E484/1000/1000)/VLOOKUP($C$481,'DB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AA484" s="418" t="str">
        <f>IF(D484="","",(VLOOKUP(D484,'DB technologies'!$N$224:$Y$236,4,FALSE)*('DB additional information '!$S$8/100*'DB additional information '!$V$8*E484/1000/1000)))</f>
        <v/>
      </c>
      <c r="AB484" s="261" t="str">
        <f>IF($C$481=0,"",IF('Calc (ex-animal)'!$F$88=1,"",IF(D484="","",((VLOOKUP($C$481,'Calc (ex-animal)'!$D$88:$Y$92,16,FALSE)-VLOOKUP($C$481,'Calc (ex-animal)'!$D$88:$Y$92,20,FALSE))*F484/100+Y484+Z484+AA484))))</f>
        <v/>
      </c>
      <c r="AC484" s="261" t="str">
        <f>IF($C$481=0,"",IF('Calc (ex-animal)'!$F$88=1,"",IF(D484="","",VLOOKUP($C$481,'Calc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categories'!$C$167:$AC$176,26,FALSE)/24)*F484/100*VLOOKUP(D484,'DB technologies'!$N$224:$R$236,5,FALSE)/100)))</f>
        <v/>
      </c>
      <c r="AD484" s="261" t="str">
        <f>IF($C$481=0,"",IF('Calc (ex-animal)'!$F$88=1,"",IF(D484="","",VLOOKUP($C$481,'Calc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categories'!$C$167:$AC$176,26,FALSE)/24)*F484/100*VLOOKUP(D484,'DB technologies'!$N$224:$Y$236,6,FALSE)/100)))</f>
        <v/>
      </c>
      <c r="AE484" s="262" t="str">
        <f>IF($C$481=0,"",IF('Calc (ex-animal)'!$F$88=1,"",IF(D484="","",VLOOKUP($C$481,'Calc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categories'!$C$167:$AC$176,26,FALSE)/24)*F484/100*VLOOKUP(D484,'DB technologies'!$N$224:$Y$236,7,FALSE)/100)))</f>
        <v/>
      </c>
      <c r="AI484" s="181" t="str">
        <f>IF(D484="","",VLOOKUP(D484,'DB technologies'!$N$224:$Y$236,10,FALSE))</f>
        <v/>
      </c>
      <c r="AJ484" s="449" t="e">
        <f>VLOOKUP($C$481,'DB animal categories'!$C$167:$AN$176,27,FALSE)-VLOOKUP($C$481,'DB animal categories'!$C$167:$AN$176,26,FALSE)*VLOOKUP($C$481,'DB animal categories'!$C$167:$AN$176,25,FALSE)/24</f>
        <v>#N/A</v>
      </c>
      <c r="AK484" s="442" t="str">
        <f>IF(AI484="","",AL484+AM484)</f>
        <v/>
      </c>
      <c r="AL484" s="442" t="str">
        <f>IF(D484="","",IF(AI484=2,(('Calc (ex-animal)'!$G$92*'DB additional information '!$K$19/100*(1-VLOOKUP(D484,'DB technologies'!$N$224:$Y$236,9,FALSE)/100)*'Calc (ex-housing, ex-storage)'!F484/100+'Calc (ex-animal)'!$H$92*'DB additional information '!$L$19/100*(1-VLOOKUP(D484,'DB technologies'!$N$224:$Y$236,9,FALSE)/100)*'Calc (ex-housing, ex-storage)'!F484/100))/VLOOKUP($C$481,'DB animal categories'!$C$167:$AC$176,27,FALSE)*AJ484+I484+J484+K484,IF(AI484=1,('Calc (ex-animal)'!$H$92*'DB additional information '!$L$19/100*(1-VLOOKUP(D484,'DB technologies'!$N$224:$Y$236,9,FALSE)/100)*'Calc (ex-housing, ex-storage)'!F484/100)/VLOOKUP($C$481,'DB animal categories'!$C$167:$AC$176,27,FALSE)*AJ484,IF(AI484=4,('Calc (ex-animal)'!$G$92*'DB additional information '!$K$19/100+'Calc (ex-animal)'!$H$92*'DB additional information '!$L$19/100)*(1-VLOOKUP(D484,'DB technologies'!$N$224:$Y$236,9,FALSE)/100)*'Calc (ex-housing, ex-storage)'!F484/100*VLOOKUP(D484,'DB technologies'!$N$224:$Y$236,11,FALSE)/100/VLOOKUP($C$481,'DB animal categories'!$C$167:$AC$176,27,FALSE)*AJ484,0))))</f>
        <v/>
      </c>
      <c r="AM484" s="442" t="str">
        <f>IF(D484="","",IF(AI484=2,(('Calc (ex-animal)'!$G$92*(1-'DB additional information '!$K$19/100)*(1-VLOOKUP(D484,'DB technologies'!$N$224:$Y$236,8,FALSE)/100)*'Calc (ex-housing, ex-storage)'!F484/100+'Calc (ex-animal)'!$H$92*(1-'DB additional information '!$L$19/100)*(1-VLOOKUP(D484,'DB technologies'!$N$224:$Y$236,8,FALSE)/100)*'Calc (ex-housing, ex-storage)'!F484/100))/VLOOKUP($C$481,'DB animal categories'!$C$167:$AC$176,27,FALSE)*AJ484+M484+N484+O484,IF(AI484=1,('Calc (ex-animal)'!$H$92*(1-'DB additional information '!$L$19/100)*(1-VLOOKUP(D484,'DB technologies'!$N$224:$Y$236,8,FALSE)/100)*'Calc (ex-housing, ex-storage)'!F484/100)/VLOOKUP($C$481,'DB animal categories'!$C$167:$AC$176,27,FALSE)*AJ484,IF(AI484=4,('Calc (ex-animal)'!$G$92*(1-'DB additional information '!$K$19/100)+'Calc (ex-animal)'!$H$92*(1-'DB additional information '!$L$19/100))*(1-VLOOKUP(D484,'DB technologies'!$N$224:$Y$236,8,FALSE)/100)*'Calc (ex-housing, ex-storage)'!F484/100*VLOOKUP(D484,'DB technologies'!$N$224:$Y$236,11,FALSE)/100/VLOOKUP($C$481,'DB animal categories'!$C$167:$AC$176,27,FALSE)*AJ484,0))))</f>
        <v/>
      </c>
      <c r="AN484" s="442" t="str">
        <f>IF(AI484="","",IF(AL484=0,0,AL484/AK484*100))</f>
        <v/>
      </c>
      <c r="AO484" s="182" t="str">
        <f>IF(D484="","",IF(AI484=2,(('Calc (ex-animal)'!$L$92*'Calc (ex-housing, ex-storage)'!F484/100+'Calc (ex-animal)'!$K$92*'Calc (ex-housing, ex-storage)'!F484/100))/VLOOKUP($C$481,'DB animal categories'!$C$167:$AC$176,27,FALSE)*AJ484+Q484+R484+S484-AC484,IF(AI484=1,('Calc (ex-animal)'!$L$92*'Calc (ex-housing, ex-storage)'!F484/100)/VLOOKUP($C$481,'DB animal categories'!$C$167:$AC$176,27,FALSE)*AJ484-'Calc (ex-housing, ex-storage)'!AC484,IF(AI484=4,('Calc (ex-animal)'!$L$92+'Calc (ex-animal)'!$K$92)*'Calc (ex-housing, ex-storage)'!F484/100*VLOOKUP(D484,'DB technologies'!$N$224:$Y$236,11,FALSE)/100/VLOOKUP($C$481,'DB animal categories'!$C$167:$AC$176,27,FALSE)*AJ484-AC484*VLOOKUP(D484,'DB technologies'!$N$224:$Y$236,11,FALSE)/100,0))))</f>
        <v/>
      </c>
      <c r="AP484" s="182" t="str">
        <f>IF(D484="","",IF(AO484&lt;-0.01,0,IF(AI484=2,(('Calc (ex-animal)'!$L$92*'Calc (ex-housing, ex-storage)'!F484/100+'Calc (ex-animal)'!$K$92*'Calc (ex-housing, ex-storage)'!F484/100))/VLOOKUP($C$481,'DB animal categories'!$C$167:$AC$176,27,FALSE)*AJ484+Q484+R484+S484-AC484,IF(AI484=1,('Calc (ex-animal)'!$L$92*'Calc (ex-housing, ex-storage)'!F484/100)/VLOOKUP($C$481,'DB animal categories'!$C$167:$AC$176,27,FALSE)*AJ484-'Calc (ex-housing, ex-storage)'!AC484,IF(AI484=4,('Calc (ex-animal)'!$L$92+'Calc (ex-animal)'!$K$92)*'Calc (ex-housing, ex-storage)'!F484/100*VLOOKUP(D484,'DB technologies'!$N$224:$Y$236,11,FALSE)/100/VLOOKUP($C$481,'DB animal categories'!$C$167:$AC$176,27,FALSE)*AJ484-AC484*VLOOKUP(D484,'DB technologies'!$N$224:$Y$236,11,FALSE)/100,0)))))</f>
        <v/>
      </c>
      <c r="AQ484" s="182" t="str">
        <f>IF(D484="","",IF(AI484=2,('Calc (ex-animal)'!$O$92*'Calc (ex-housing, ex-storage)'!F484/100+'Calc (ex-animal)'!$N$92*'Calc (ex-housing, ex-storage)'!F484/100)/VLOOKUP($C$481,'DB animal categories'!$C$167:$AC$176,27,FALSE)*AJ484+U484+V484+W484,IF(AI484=1,'Calc (ex-animal)'!$O$92*'Calc (ex-housing, ex-storage)'!F484/100/VLOOKUP($C$481,'DB animal categories'!$C$167:$AC$176,27,FALSE)*AJ484,IF(AI484=4,('Calc (ex-animal)'!$O$92+'Calc (ex-animal)'!$N$92)*'Calc (ex-housing, ex-storage)'!F484/100*VLOOKUP(D484,'DB technologies'!$N$224:$Y$236,11,FALSE)/100/VLOOKUP($C$481,'DB animal categories'!$C$167:$AC$176,27,FALSE)*AJ484,0))))</f>
        <v/>
      </c>
      <c r="AR484" s="182" t="str">
        <f>IF(D484="","",IF(AI484=2,('Calc (ex-animal)'!$R$92*'Calc (ex-housing, ex-storage)'!F484/100+'Calc (ex-animal)'!$Q$92*'Calc (ex-housing, ex-storage)'!F484/100)/VLOOKUP($C$481,'DB animal categories'!$C$167:$AC$176,27,FALSE)*AJ484+Y484+Z484+AA484,IF(AI484=1,'Calc (ex-animal)'!$R$92*'Calc (ex-housing, ex-storage)'!F484/100/VLOOKUP($C$481,'DB animal categories'!$C$167:$AC$176,27,FALSE)*AJ484,IF(AI484=4,('Calc (ex-animal)'!$R$92+'Calc (ex-animal)'!$Q$92)*'Calc (ex-housing, ex-storage)'!F484/100*VLOOKUP(D484,'DB technologies'!$N$224:$Y$236,11,FALSE)/100/VLOOKUP($C$481,'DB animal categories'!$C$167:$AC$176,27,FALSE)*AJ484,0))))</f>
        <v/>
      </c>
      <c r="AS484" s="181" t="str">
        <f>IF(D484="","",VLOOKUP(D484,'DB technologies'!$N$224:$Y$236,10,FALSE))</f>
        <v/>
      </c>
      <c r="AT484" s="442" t="str">
        <f>IF(AS484="","",AU484+AV484)</f>
        <v/>
      </c>
      <c r="AU484" s="442" t="str">
        <f>IF(D484="","",IF(AS484=2,0,IF(AS484=1,'Calc (ex-animal)'!$G$92*'DB additional information '!$K$19/100*(1-VLOOKUP(D484,'DB technologies'!$N$224:$Y$236,8,FALSE)/100)*'Calc (ex-housing, ex-storage)'!F484/100/VLOOKUP($C$481,'DB animal categories'!$C$167:$AC$176,27,FALSE)*AJ484+I484+J484+K484,IF(AS484=5,(('Calc (ex-animal)'!$G$92*'DB additional information '!$K$19/100+'Calc (ex-animal)'!$H$92*'DB additional information '!$L$19/100))*(1-VLOOKUP(D484,'DB technologies'!$N$224:$Y$236,9,FALSE)/100)*'Calc (ex-housing, ex-storage)'!F484/100/VLOOKUP($C$481,'DB animal categories'!$C$167:$AC$176,27,FALSE)*AJ484+I484+J484+K484,IF(AS484=3,('Calc (ex-animal)'!$G$92*'DB additional information '!$K$19/100+'Calc (ex-animal)'!$H$92*'DB additional information '!$L$19/100)*(1-VLOOKUP(D484,'DB technologies'!$N$224:$Y$236,9,FALSE)/100)*'Calc (ex-housing, ex-storage)'!F484/100/VLOOKUP($C$481,'DB animal categories'!$C$167:$AC$176,27,FALSE)*AJ484+I484+J484+K484,IF(AS484=4,('Calc (ex-animal)'!$G$92*'DB additional information '!$K$19/100+'Calc (ex-animal)'!$H$92*'DB additional information '!$L$19/100)*(1-VLOOKUP(D484,'DB technologies'!$N$224:$Y$236,9,FALSE)/100)*'Calc (ex-housing, ex-storage)'!F484/100*VLOOKUP(D484,'DB technologies'!$N$224:$Y$236,12,FALSE)/100/VLOOKUP($C$481,'DB animal categories'!$C$167:$AC$176,27,FALSE)*AJ484+I484+J484+K484,0))))))</f>
        <v/>
      </c>
      <c r="AV484" s="442" t="str">
        <f>IF(D484="","",IF(AS484=2,0,IF(AS484=1,'Calc (ex-animal)'!$G$92*(1-'DB additional information '!$K$19/100)*(1-VLOOKUP(D484,'DB technologies'!$N$224:$Y$236,8,FALSE)/100)*'Calc (ex-housing, ex-storage)'!F484/100/VLOOKUP($C$481,'DB animal categories'!$C$167:$AC$176,27,FALSE)*AJ484+M484+N484+O484,IF(AS484=5,('Calc (ex-animal)'!$G$92*(1-'DB additional information '!$K$19/100)+'Calc (ex-animal)'!$H$92*(1-'DB additional information '!$L$19/100))*(1-VLOOKUP(D484,'DB technologies'!$N$224:$Y$236,8,FALSE)/100)*'Calc (ex-housing, ex-storage)'!F484/100/VLOOKUP($C$481,'DB animal categories'!$C$167:$AC$176,27,FALSE)*AJ484+M484+N484+O484,IF(AS484=3,('Calc (ex-animal)'!$G$92*(1-'DB additional information '!$K$19/100)+'Calc (ex-animal)'!$H$92*(1-'DB additional information '!$L$19/100))*(1-VLOOKUP(D484,'DB technologies'!$N$224:$Y$236,8,FALSE)/100)*'Calc (ex-housing, ex-storage)'!F484/100/VLOOKUP($C$481,'DB animal categories'!$C$167:$AC$176,27,FALSE)*AJ484+M484+N484+O484,IF(AS484=4,('Calc (ex-animal)'!$G$92*(1-'DB additional information '!$K$19/100)+'Calc (ex-animal)'!$H$92*(1-'DB additional information '!$L$19/100))*(1-VLOOKUP(D484,'DB technologies'!$N$224:$Y$236,8,FALSE)/100)*'Calc (ex-housing, ex-storage)'!F484/100*VLOOKUP(D484,'DB technologies'!$N$224:$Y$236,12,FALSE)/100/VLOOKUP($C$481,'DB animal categories'!$C$167:$AC$176,27,FALSE)*AJ484+M484+N484+O484,0))))))</f>
        <v/>
      </c>
      <c r="AW484" s="442" t="str">
        <f>IF(AS484="","",IF(AU484=0,0,AU484/AT484*100))</f>
        <v/>
      </c>
      <c r="AX484" s="182" t="str">
        <f>IF(D484="","",IF(AS484=2,0,IF(AS484=1,'Calc (ex-animal)'!$K$92*'Calc (ex-housing, ex-storage)'!F484/100/VLOOKUP($C$481,'DB animal categories'!$C$167:$AC$176,27,FALSE)*AJ484+Q484+R484+S484,IF(AS484=5,('Calc (ex-animal)'!$K$92+'Calc (ex-animal)'!$L$92)*'Calc (ex-housing, ex-storage)'!F484/100/VLOOKUP($C$481,'DB animal categories'!$C$167:$AC$176,27,FALSE)*AJ484+Q484+R484+S484-'Calc (ex-housing, ex-storage)'!AC484,IF(AS484=3,('Calc (ex-animal)'!$K$92+'Calc (ex-animal)'!$L$92)*'Calc (ex-housing, ex-storage)'!F484/100/VLOOKUP($C$481,'DB animal categories'!$C$167:$AC$176,27,FALSE)*AJ484+Q484+R484+S484-'Calc (ex-housing, ex-storage)'!AC484-AD484-AE484,IF(AI484=4,('Calc (ex-animal)'!$K$92+'Calc (ex-animal)'!$L$92)*'Calc (ex-housing, ex-storage)'!F484/100*VLOOKUP(D484,'DB technologies'!$N$224:$Y$236,12,FALSE)/100/VLOOKUP($C$481,'DB animal categories'!$C$167:$AC$176,27,FALSE)*AJ484+Q484+R484+S484-(VLOOKUP(D484,'DB technologies'!$N$224:$Y$236,12,FALSE)/100*AC484)-AD484-AE484,0))))))</f>
        <v/>
      </c>
      <c r="AY484" s="182" t="str">
        <f>IF(D484="","",IF(AS484=2,0,IF(AS484=1,'Calc (ex-animal)'!$N$92*'Calc (ex-housing, ex-storage)'!F484/100/VLOOKUP($C$481,'DB animal categories'!$C$167:$AC$176,27,FALSE)*AJ484+U484+V484+W484,IF(AS484=5,('Calc (ex-animal)'!$N$92+'Calc (ex-animal)'!$O$92)*'Calc (ex-housing, ex-storage)'!F484/100/VLOOKUP($C$481,'DB animal categories'!$C$167:$AC$176,27,FALSE)*AJ484+U484+V484+W484,IF(AS484=3,('Calc (ex-animal)'!$N$92+'Calc (ex-animal)'!$O$92)*'Calc (ex-housing, ex-storage)'!F484/100/VLOOKUP($C$481,'DB animal categories'!$C$167:$AC$176,27,FALSE)*AJ484+U484+V484+W484,IF(AS484=4,('Calc (ex-animal)'!$N$92+'Calc (ex-animal)'!$O$92)*'Calc (ex-housing, ex-storage)'!F484/100*VLOOKUP(D484,'DB technologies'!$N$224:$Y$236,12,FALSE)/100/VLOOKUP($C$481,'DB animal categories'!$C$167:$AC$176,27,FALSE)*AJ484+U484+V484+W484,0))))))</f>
        <v/>
      </c>
      <c r="AZ484" s="182" t="str">
        <f>IF(D484="","",IF(AS484=2,0,IF(AS484=1,'Calc (ex-animal)'!$Q$92*'Calc (ex-housing, ex-storage)'!F484/100/VLOOKUP($C$481,'DB animal categories'!$C$167:$AC$176,27,FALSE)*AJ484+Y484+Z484+AA484,IF(AS484=5,('Calc (ex-animal)'!$Q$92+'Calc (ex-animal)'!$R$92)*'Calc (ex-housing, ex-storage)'!F484/100/VLOOKUP($C$481,'DB animal categories'!$C$167:$AC$176,27,FALSE)*AJ484+Y484+Z484+AA484,IF(AS484=3,('Calc (ex-animal)'!$Q$92+'Calc (ex-animal)'!$R$92)*'Calc (ex-housing, ex-storage)'!F484/100/VLOOKUP($C$481,'DB animal categories'!$C$167:$AC$176,27,FALSE)*AJ484+Y484+Z484+AA484,IF(AS484=4,('Calc (ex-animal)'!$Q$92+'Calc (ex-animal)'!$R$92)*'Calc (ex-housing, ex-storage)'!F484/100*VLOOKUP(D484,'DB technologies'!$N$224:$Y$236,12,FALSE)/100/VLOOKUP($C$481,'DB animal categories'!$C$167:$AC$176,27,FALSE)*AJ484+Y484+Z484+AA484,0))))))</f>
        <v/>
      </c>
      <c r="BA484" s="506"/>
      <c r="BB484" s="506"/>
      <c r="BC484" s="506"/>
    </row>
    <row r="485" spans="1:55" ht="12" thickBot="1" x14ac:dyDescent="0.25">
      <c r="A485" s="695"/>
      <c r="B485" s="695"/>
      <c r="C485" s="251"/>
      <c r="D485" s="1359"/>
      <c r="E485" s="1360"/>
      <c r="F485" s="481" t="str">
        <f>IF('Calc (ex-animal)'!$F$88=1,"",IF($C$481=0,"",IF(D485="","",E485/'Calc (ex-animal)'!$E$92*100)))</f>
        <v/>
      </c>
      <c r="G485" s="483" t="str">
        <f>IF($C$481=0,"",IF('Calc (ex-animal)'!$F$88=1,"",IF(D485="","",SUM(H485:O485))))</f>
        <v/>
      </c>
      <c r="H485" s="445" t="str">
        <f>IF('Calc (ex-animal)'!$F$88=1,"",IF(D485="","",(((VLOOKUP($C$481,'Calc (ex-animal)'!$D$88:$Y$92,6,FALSE)-VLOOKUP($C$481,'Calc (ex-animal)'!$D$88:$Y$92,17,FALSE))*F485/100))*VLOOKUP($C$481,'Calc (ex-animal)'!$D$88:$Y$92,7,FALSE)/100*(1-VLOOKUP(D485,'DB technologies'!$N$224:$Y$236,9,FALSE)/100)))</f>
        <v/>
      </c>
      <c r="I485" s="445" t="str">
        <f>IF(D485="","",((VLOOKUP(D485,'DB technologies'!$N$224:$Y$236,2,FALSE)*VLOOKUP($C$481,'DB animal categories'!$C$167:$AC$176,27,FALSE)*E485/1000)/VLOOKUP($C$481,'DB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'!$S$6/100*(1-VLOOKUP(D485,'DB technologies'!$N$224:$Y$236,9,FALSE)/100)))</f>
        <v/>
      </c>
      <c r="J485" s="446" t="str">
        <f>IF(D485="","",((VLOOKUP(D485,'DB technologies'!$N$224:$Y$236,3,FALSE)*VLOOKUP($C$481,'DB animal categories'!$C$167:$AC$176,27,FALSE)*E485/1000)/VLOOKUP($C$481,'DB animal categories'!$C$167:$AC$176,27,FALSE)*(VLOOKUP($C$481,'DB animal categories'!$C$167:$AC$176,27,FALSE)-(VLOOKUP($C$481,'DB animal categories'!$C$167:$AC$176,25,FALSE)*VLOOKUP($C$481,'DB animal categories'!$C$167:$AC$176,26,FALSE)/24))*'DB additional information '!$S$7/100*(1-VLOOKUP(D485,'DB technologies'!$N$224:$Y$236,9,FALSE)/100)))</f>
        <v/>
      </c>
      <c r="K485" s="446" t="str">
        <f>IF(D485="","",((VLOOKUP(D485,'DB technologies'!$N$224:$Y$236,4,FALSE)*E485*'DB additional information '!$S$8/100*(1-VLOOKUP(D485,'DB technologies'!$N$224:$Y$236,9,FALSE)/100))/VLOOKUP($C$481,'DB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L485" s="445" t="str">
        <f>IF('Calc (ex-animal)'!$F$88=1,"",IF(D485="","",(((VLOOKUP($C$481,'Calc (ex-animal)'!$D$88:$Y$92,6,FALSE)-VLOOKUP($C$481,'Calc (ex-animal)'!$D$88:$Y$92,17,FALSE))*F485/100))*(1-VLOOKUP($C$481,'Calc (ex-animal)'!$D$88:$Y$92,7,FALSE)/100)*(1-VLOOKUP(D485,'DB technologies'!$N$224:$V$236,8,FALSE)/100)))</f>
        <v/>
      </c>
      <c r="M485" s="446" t="str">
        <f>IF(D485="","",((VLOOKUP(D485,'DB technologies'!$N$224:$Y$236,2,FALSE)*VLOOKUP($C$481,'DB animal categories'!$C$167:$AC$176,27,FALSE)*E485/1000)/VLOOKUP($C$481,'DB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'!$S$6/100)*(1-VLOOKUP(D485,'DB technologies'!$N$224:$Y$236,9,FALSE)/100))</f>
        <v/>
      </c>
      <c r="N485" s="446" t="str">
        <f>IF(D485="","",((VLOOKUP(D485,'DB technologies'!$N$224:$Y$236,3,FALSE)*VLOOKUP($C$481,'DB animal categories'!$C$167:$AC$176,27,FALSE)*E485/1000)/VLOOKUP($C$481,'DB animal categories'!$C$167:$AC$176,27,FALSE)*(VLOOKUP($C$481,'DB animal categories'!$C$167:$AC$176,27,FALSE)-VLOOKUP($C$481,'DB animal categories'!$C$167:$AC$176,25,FALSE)*VLOOKUP($C$481,'DB animal categories'!$C$167:$AC$176,26,FALSE)/24))*(1-'DB additional information '!$S$7/100)*(1-VLOOKUP(D485,'DB technologies'!$N$224:$Y$236,9,FALSE)/100))</f>
        <v/>
      </c>
      <c r="O485" s="445" t="str">
        <f>IF(D485="","",((VLOOKUP(D485,'DB technologies'!$N$224:$Y$236,4,FALSE)*E485*(1-'DB additional information '!$S$8/100)*(1-VLOOKUP(D485,'DB technologies'!$N$224:$Y$236,8,FALSE)/100))/VLOOKUP($C$481,'DB animal categories'!$C$167:$AC$176,27,FALSE)*(VLOOKUP($C$481,'DB animal categories'!$C$167:$AC$176,27,FALSE)-VLOOKUP($C$481,'DB animal categories'!$C$167:$AC$176,25,FALSE)*VLOOKUP($C$481,'DB animal categories'!$C$167:$AC$176,26,FALSE)/24)))</f>
        <v/>
      </c>
      <c r="P485" s="444" t="str">
        <f>IF(G485=0,0,IF(E485="","",IF(F485="","",IF($C$481=0,"",IF(D485="","",SUM(H485:K485)/G485*100)))))</f>
        <v/>
      </c>
      <c r="Q485" s="476" t="str">
        <f>IF(D485="","",(VLOOKUP(D485,'DB technologies'!$N$224:$Y$236,2,FALSE)*'DB additional information '!$S$6/100*'DB additional information '!$T$6*VLOOKUP($C$481,'DB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R485" s="476" t="str">
        <f>IF(D485="","",(VLOOKUP(D485,'DB technologies'!$N$224:$Y$236,3,FALSE)*'DB additional information '!$S$7/100*'DB additional information '!$T$7*VLOOKUP($C$481,'DB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S485" s="494" t="str">
        <f>IF(D485="","",(VLOOKUP(D485,'DB technologies'!$N$224:$Y$236,4,FALSE)*('DB additional information '!$S$8/100*'DB additional information '!$T$8*E485/1000/1000)))</f>
        <v/>
      </c>
      <c r="T485" s="266" t="str">
        <f>IF($C$481=0,"",IF('Calc (ex-animal)'!$F$88=1,"",IF(D485="","",((VLOOKUP($C$481,'Calc (ex-animal)'!$D$88:$Y$92,10,FALSE)-VLOOKUP($C$481,'Calc (ex-animal)'!$D$88:$Y$92,18,FALSE))*F485/100+Q485+R485+S485)-AC485-AD485-AE485)))</f>
        <v/>
      </c>
      <c r="U485" s="477" t="str">
        <f>IF(D485="","",(VLOOKUP(D485,'DB technologies'!$N$224:$Y$236,2,FALSE)*'DB additional information '!$S$6/100*'DB additional information '!$U$6*VLOOKUP($C$481,'DB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V485" s="433" t="str">
        <f>IF(D485="","",(VLOOKUP(D485,'DB technologies'!$N$224:$Y$236,3,FALSE)*'DB additional information '!$S$7/100*'DB additional information '!$U$7*VLOOKUP($C$481,'DB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W485" s="475" t="str">
        <f>IF(D485="","",(VLOOKUP(D485,'DB technologies'!$N$224:$Y$236,4,FALSE)*('DB additional information '!$S$8/100*'DB additional information '!$U$8*E485/1000/1000)))</f>
        <v/>
      </c>
      <c r="X485" s="267" t="str">
        <f>IF($C$481=0,"",IF('Calc (ex-animal)'!$F$88=1,"",IF(D485="","",((VLOOKUP($C$481,'Calc (ex-animal)'!$D$88:$Y$92,13,FALSE)-VLOOKUP($C$481,'Calc (ex-animal)'!$D$88:$Y$92,19,FALSE))*F485/100+U485+V485+W485))))</f>
        <v/>
      </c>
      <c r="Y485" s="433" t="str">
        <f>IF(D485="","",(VLOOKUP(D485,'DB technologies'!$N$224:$Y$236,2,FALSE)*'DB additional information '!$S$6/100*'DB additional information '!$V$6*VLOOKUP($C$481,'DB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Z485" s="433" t="str">
        <f>IF(D485="","",(VLOOKUP(D485,'DB technologies'!$N$224:$Y$236,3,FALSE)*'DB additional information '!$S$7/100*'DB additional information '!$V$7*VLOOKUP($C$481,'DB animal categories'!$C$167:$AC$176,27,FALSE)*E485/1000/1000)/VLOOKUP($C$481,'DB animal categories'!$C$167:$AC$176,27,FALSE)*(VLOOKUP($C$481,'DB animal categories'!$C$167:$AC$176,27,FALSE)-VLOOKUP($C$481,'DB animal categories'!$C$167:$AC$176,25,FALSE)*VLOOKUP($C$481,'DB animal categories'!$C$167:$AC$176,26,FALSE)/24))</f>
        <v/>
      </c>
      <c r="AA485" s="433" t="str">
        <f>IF(D485="","",(VLOOKUP(D485,'DB technologies'!$N$224:$Y$236,4,FALSE)*('DB additional information '!$S$8/100*'DB additional information '!$V$8*E485/1000/1000)))</f>
        <v/>
      </c>
      <c r="AB485" s="267" t="str">
        <f>IF($C$481=0,"",IF('Calc (ex-animal)'!$F$88=1,"",IF(D485="","",((VLOOKUP($C$481,'Calc (ex-animal)'!$D$88:$Y$92,16,FALSE)-VLOOKUP($C$481,'Calc (ex-animal)'!$D$88:$Y$92,20,FALSE))*F485/100+Y485+Z485+AA485))))</f>
        <v/>
      </c>
      <c r="AC485" s="267" t="str">
        <f>IF($C$481=0,"",IF('Calc (ex-animal)'!$F$88=1,"",IF(D485="","",VLOOKUP($C$481,'Calc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categories'!$C$167:$AC$176,26,FALSE)/24)*F485/100*VLOOKUP(D485,'DB technologies'!$N$224:$R$236,5,FALSE)/100)))</f>
        <v/>
      </c>
      <c r="AD485" s="267" t="str">
        <f>IF($C$481=0,"",IF('Calc (ex-animal)'!$F$88=1,"",IF(D485="","",VLOOKUP($C$481,'Calc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categories'!$C$167:$AC$176,26,FALSE)/24)*F485/100*VLOOKUP(D485,'DB technologies'!$N$224:$Y$236,6,FALSE)/100)))</f>
        <v/>
      </c>
      <c r="AE485" s="268" t="str">
        <f>IF($C$481=0,"",IF('Calc (ex-animal)'!$F$88=1,"",IF(D485="","",VLOOKUP($C$481,'Calc (ex-animal)'!$D$88:$Y$92,10,FALSE)/VLOOKUP($C$481,'DB animal categories'!$C$167:$AC$176,27,FALSE)*(VLOOKUP($C$481,'DB animal categories'!$C$167:$AC$176,27,FALSE)-VLOOKUP($C$481,'DB animal categories'!$C$167:$AC$176,25,FALSE)*VLOOKUP($C$481,'DB animal categories'!$C$167:$AC$176,26,FALSE)/24)*F485/100*VLOOKUP(D485,'DB technologies'!$N$224:$Y$236,7,FALSE)/100)))</f>
        <v/>
      </c>
      <c r="AI485" s="183" t="str">
        <f>IF(D485="","",VLOOKUP(D485,'DB technologies'!$N$224:$Y$236,10,FALSE))</f>
        <v/>
      </c>
      <c r="AJ485" s="451" t="e">
        <f>VLOOKUP($C$481,'DB animal categories'!$C$167:$AN$176,27,FALSE)-VLOOKUP($C$481,'DB animal categories'!$C$167:$AN$176,26,FALSE)*VLOOKUP($C$481,'DB animal categories'!$C$167:$AN$176,25,FALSE)/24</f>
        <v>#N/A</v>
      </c>
      <c r="AK485" s="452" t="str">
        <f>IF(AI485="","",AL485+AM485)</f>
        <v/>
      </c>
      <c r="AL485" s="452" t="str">
        <f>IF(D485="","",IF(AI485=2,(('Calc (ex-animal)'!$G$92*'DB additional information '!$K$19/100*(1-VLOOKUP(D485,'DB technologies'!$N$224:$Y$236,9,FALSE)/100)*'Calc (ex-housing, ex-storage)'!F485/100+'Calc (ex-animal)'!$H$92*'DB additional information '!$L$19/100*(1-VLOOKUP(D485,'DB technologies'!$N$224:$Y$236,9,FALSE)/100)*'Calc (ex-housing, ex-storage)'!F485/100))/VLOOKUP($C$481,'DB animal categories'!$C$167:$AC$176,27,FALSE)*AJ485+I485+J485+K485,IF(AI485=1,('Calc (ex-animal)'!$H$92*'DB additional information '!$L$19/100*(1-VLOOKUP(D485,'DB technologies'!$N$224:$Y$236,9,FALSE)/100)*'Calc (ex-housing, ex-storage)'!F485/100)/VLOOKUP($C$481,'DB animal categories'!$C$167:$AC$176,27,FALSE)*AJ485,IF(AI485=4,('Calc (ex-animal)'!$G$92*'DB additional information '!$K$19/100+'Calc (ex-animal)'!$H$92*'DB additional information '!$L$19/100)*(1-VLOOKUP(D485,'DB technologies'!$N$224:$Y$236,9,FALSE)/100)*'Calc (ex-housing, ex-storage)'!F485/100*VLOOKUP(D485,'DB technologies'!$N$224:$Y$236,11,FALSE)/100/VLOOKUP($C$481,'DB animal categories'!$C$167:$AC$176,27,FALSE)*AJ485,0))))</f>
        <v/>
      </c>
      <c r="AM485" s="452" t="str">
        <f>IF(D485="","",IF(AI485=2,(('Calc (ex-animal)'!$G$92*(1-'DB additional information '!$K$19/100)*(1-VLOOKUP(D485,'DB technologies'!$N$224:$Y$236,8,FALSE)/100)*'Calc (ex-housing, ex-storage)'!F485/100+'Calc (ex-animal)'!$H$92*(1-'DB additional information '!$L$19/100)*(1-VLOOKUP(D485,'DB technologies'!$N$224:$Y$236,8,FALSE)/100)*'Calc (ex-housing, ex-storage)'!F485/100))/VLOOKUP($C$481,'DB animal categories'!$C$167:$AC$176,27,FALSE)*AJ485+M485+N485+O485,IF(AI485=1,('Calc (ex-animal)'!$H$92*(1-'DB additional information '!$L$19/100)*(1-VLOOKUP(D485,'DB technologies'!$N$224:$Y$236,8,FALSE)/100)*'Calc (ex-housing, ex-storage)'!F485/100)/VLOOKUP($C$481,'DB animal categories'!$C$167:$AC$176,27,FALSE)*AJ485,IF(AI485=4,('Calc (ex-animal)'!$G$92*(1-'DB additional information '!$K$19/100)+'Calc (ex-animal)'!$H$92*(1-'DB additional information '!$L$19/100))*(1-VLOOKUP(D485,'DB technologies'!$N$224:$Y$236,8,FALSE)/100)*'Calc (ex-housing, ex-storage)'!F485/100*VLOOKUP(D485,'DB technologies'!$N$224:$Y$236,11,FALSE)/100/VLOOKUP($C$481,'DB animal categories'!$C$167:$AC$176,27,FALSE)*AJ485,0))))</f>
        <v/>
      </c>
      <c r="AN485" s="452" t="str">
        <f>IF(AI485="","",IF(AL485=0,0,AL485/AK485*100))</f>
        <v/>
      </c>
      <c r="AO485" s="184" t="str">
        <f>IF(D485="","",IF(AI485=2,(('Calc (ex-animal)'!$L$92*'Calc (ex-housing, ex-storage)'!F485/100+'Calc (ex-animal)'!$K$92*'Calc (ex-housing, ex-storage)'!F485/100))/VLOOKUP($C$481,'DB animal categories'!$C$167:$AC$176,27,FALSE)*AJ485+Q485+R485+S485-AC485,IF(AI485=1,('Calc (ex-animal)'!$L$92*'Calc (ex-housing, ex-storage)'!F485/100)/VLOOKUP($C$481,'DB animal categories'!$C$167:$AC$176,27,FALSE)*AJ485-'Calc (ex-housing, ex-storage)'!AC485,IF(AI485=4,('Calc (ex-animal)'!$L$92+'Calc (ex-animal)'!$K$92)*'Calc (ex-housing, ex-storage)'!F485/100*VLOOKUP(D485,'DB technologies'!$N$224:$Y$236,11,FALSE)/100/VLOOKUP($C$481,'DB animal categories'!$C$167:$AC$176,27,FALSE)*AJ485-AC485*VLOOKUP(D485,'DB technologies'!$N$224:$Y$236,11,FALSE)/100,0))))</f>
        <v/>
      </c>
      <c r="AP485" s="184" t="str">
        <f>IF(D485="","",IF(AO485&lt;-0.01,0,IF(AI485=2,(('Calc (ex-animal)'!$L$92*'Calc (ex-housing, ex-storage)'!F485/100+'Calc (ex-animal)'!$K$92*'Calc (ex-housing, ex-storage)'!F485/100))/VLOOKUP($C$481,'DB animal categories'!$C$167:$AC$176,27,FALSE)*AJ485+Q485+R485+S485-AC485,IF(AI485=1,('Calc (ex-animal)'!$L$92*'Calc (ex-housing, ex-storage)'!F485/100)/VLOOKUP($C$481,'DB animal categories'!$C$167:$AC$176,27,FALSE)*AJ485-'Calc (ex-housing, ex-storage)'!AC485,IF(AI485=4,('Calc (ex-animal)'!$L$92+'Calc (ex-animal)'!$K$92)*'Calc (ex-housing, ex-storage)'!F485/100*VLOOKUP(D485,'DB technologies'!$N$224:$Y$236,11,FALSE)/100/VLOOKUP($C$481,'DB animal categories'!$C$167:$AC$176,27,FALSE)*AJ485-AC485*VLOOKUP(D485,'DB technologies'!$N$224:$Y$236,11,FALSE)/100,0)))))</f>
        <v/>
      </c>
      <c r="AQ485" s="184" t="str">
        <f>IF(D485="","",IF(AI485=2,('Calc (ex-animal)'!$O$92*'Calc (ex-housing, ex-storage)'!F485/100+'Calc (ex-animal)'!$N$92*'Calc (ex-housing, ex-storage)'!F485/100)/VLOOKUP($C$481,'DB animal categories'!$C$167:$AC$176,27,FALSE)*AJ485+U485+V485+W485,IF(AI485=1,'Calc (ex-animal)'!$O$92*'Calc (ex-housing, ex-storage)'!F485/100/VLOOKUP($C$481,'DB animal categories'!$C$167:$AC$176,27,FALSE)*AJ485,IF(AI485=4,('Calc (ex-animal)'!$O$92+'Calc (ex-animal)'!$N$92)*'Calc (ex-housing, ex-storage)'!F485/100*VLOOKUP(D485,'DB technologies'!$N$224:$Y$236,11,FALSE)/100/VLOOKUP($C$481,'DB animal categories'!$C$167:$AC$176,27,FALSE)*AJ485,0))))</f>
        <v/>
      </c>
      <c r="AR485" s="184" t="str">
        <f>IF(D485="","",IF(AI485=2,('Calc (ex-animal)'!$R$92*'Calc (ex-housing, ex-storage)'!F485/100+'Calc (ex-animal)'!$Q$92*'Calc (ex-housing, ex-storage)'!F485/100)/VLOOKUP($C$481,'DB animal categories'!$C$167:$AC$176,27,FALSE)*AJ485+Y485+Z485+AA485,IF(AI485=1,'Calc (ex-animal)'!$R$92*'Calc (ex-housing, ex-storage)'!F485/100/VLOOKUP($C$481,'DB animal categories'!$C$167:$AC$176,27,FALSE)*AJ485,IF(AI485=4,('Calc (ex-animal)'!$R$92+'Calc (ex-animal)'!$Q$92)*'Calc (ex-housing, ex-storage)'!F485/100*VLOOKUP(D485,'DB technologies'!$N$224:$Y$236,11,FALSE)/100/VLOOKUP($C$481,'DB animal categories'!$C$167:$AC$176,27,FALSE)*AJ485,0))))</f>
        <v/>
      </c>
      <c r="AS485" s="183" t="str">
        <f>IF(D485="","",VLOOKUP(D485,'DB technologies'!$N$224:$Y$236,10,FALSE))</f>
        <v/>
      </c>
      <c r="AT485" s="452" t="str">
        <f>IF(AS485="","",AU485+AV485)</f>
        <v/>
      </c>
      <c r="AU485" s="452" t="str">
        <f>IF(D485="","",IF(AS485=2,0,IF(AS485=1,'Calc (ex-animal)'!$G$92*'DB additional information '!$K$19/100*(1-VLOOKUP(D485,'DB technologies'!$N$224:$Y$236,8,FALSE)/100)*'Calc (ex-housing, ex-storage)'!F485/100/VLOOKUP($C$481,'DB animal categories'!$C$167:$AC$176,27,FALSE)*AJ485+I485+J485+K485,IF(AS485=5,(('Calc (ex-animal)'!$G$92*'DB additional information '!$K$19/100+'Calc (ex-animal)'!$H$92*'DB additional information '!$L$19/100))*(1-VLOOKUP(D485,'DB technologies'!$N$224:$Y$236,9,FALSE)/100)*'Calc (ex-housing, ex-storage)'!F485/100/VLOOKUP($C$481,'DB animal categories'!$C$167:$AC$176,27,FALSE)*AJ485+I485+J485+K485,IF(AS485=3,('Calc (ex-animal)'!$G$92*'DB additional information '!$K$19/100+'Calc (ex-animal)'!$H$92*'DB additional information '!$L$19/100)*(1-VLOOKUP(D485,'DB technologies'!$N$224:$Y$236,9,FALSE)/100)*'Calc (ex-housing, ex-storage)'!F485/100/VLOOKUP($C$481,'DB animal categories'!$C$167:$AC$176,27,FALSE)*AJ485+I485+J485+K485,IF(AS485=4,('Calc (ex-animal)'!$G$92*'DB additional information '!$K$19/100+'Calc (ex-animal)'!$H$92*'DB additional information '!$L$19/100)*(1-VLOOKUP(D485,'DB technologies'!$N$224:$Y$236,9,FALSE)/100)*'Calc (ex-housing, ex-storage)'!F485/100*VLOOKUP(D485,'DB technologies'!$N$224:$Y$236,12,FALSE)/100/VLOOKUP($C$481,'DB animal categories'!$C$167:$AC$176,27,FALSE)*AJ485+I485+J485+K485,0))))))</f>
        <v/>
      </c>
      <c r="AV485" s="452" t="str">
        <f>IF(D485="","",IF(AS485=2,0,IF(AS485=1,'Calc (ex-animal)'!$G$92*(1-'DB additional information '!$K$19/100)*(1-VLOOKUP(D485,'DB technologies'!$N$224:$Y$236,8,FALSE)/100)*'Calc (ex-housing, ex-storage)'!F485/100/VLOOKUP($C$481,'DB animal categories'!$C$167:$AC$176,27,FALSE)*AJ485+M485+N485+O485,IF(AS485=5,('Calc (ex-animal)'!$G$92*(1-'DB additional information '!$K$19/100)+'Calc (ex-animal)'!$H$92*(1-'DB additional information '!$L$19/100))*(1-VLOOKUP(D485,'DB technologies'!$N$224:$Y$236,8,FALSE)/100)*'Calc (ex-housing, ex-storage)'!F485/100/VLOOKUP($C$481,'DB animal categories'!$C$167:$AC$176,27,FALSE)*AJ485+M485+N485+O485,IF(AS485=3,('Calc (ex-animal)'!$G$92*(1-'DB additional information '!$K$19/100)+'Calc (ex-animal)'!$H$92*(1-'DB additional information '!$L$19/100))*(1-VLOOKUP(D485,'DB technologies'!$N$224:$Y$236,8,FALSE)/100)*'Calc (ex-housing, ex-storage)'!F485/100/VLOOKUP($C$481,'DB animal categories'!$C$167:$AC$176,27,FALSE)*AJ485+M485+N485+O485,IF(AS485=4,('Calc (ex-animal)'!$G$92*(1-'DB additional information '!$K$19/100)+'Calc (ex-animal)'!$H$92*(1-'DB additional information '!$L$19/100))*(1-VLOOKUP(D485,'DB technologies'!$N$224:$Y$236,8,FALSE)/100)*'Calc (ex-housing, ex-storage)'!F485/100*VLOOKUP(D485,'DB technologies'!$N$224:$Y$236,12,FALSE)/100/VLOOKUP($C$481,'DB animal categories'!$C$167:$AC$176,27,FALSE)*AJ485+M485+N485+O485,0))))))</f>
        <v/>
      </c>
      <c r="AW485" s="452" t="str">
        <f>IF(AS485="","",IF(AU485=0,0,AU485/AT485*100))</f>
        <v/>
      </c>
      <c r="AX485" s="184" t="str">
        <f>IF(D485="","",IF(AS485=2,0,IF(AS485=1,'Calc (ex-animal)'!$K$92*'Calc (ex-housing, ex-storage)'!F485/100/VLOOKUP($C$481,'DB animal categories'!$C$167:$AC$176,27,FALSE)*AJ485+Q485+R485+S485,IF(AS485=5,('Calc (ex-animal)'!$K$92+'Calc (ex-animal)'!$L$92)*'Calc (ex-housing, ex-storage)'!F485/100/VLOOKUP($C$481,'DB animal categories'!$C$167:$AC$176,27,FALSE)*AJ485+Q485+R485+S485-'Calc (ex-housing, ex-storage)'!AC485,IF(AS485=3,('Calc (ex-animal)'!$K$92+'Calc (ex-animal)'!$L$92)*'Calc (ex-housing, ex-storage)'!F485/100/VLOOKUP($C$481,'DB animal categories'!$C$167:$AC$176,27,FALSE)*AJ485+Q485+R485+S485-'Calc (ex-housing, ex-storage)'!AC485-AD485-AE485,IF(AI485=4,('Calc (ex-animal)'!$K$92+'Calc (ex-animal)'!$L$92)*'Calc (ex-housing, ex-storage)'!F485/100*VLOOKUP(D485,'DB technologies'!$N$224:$Y$236,12,FALSE)/100/VLOOKUP($C$481,'DB animal categories'!$C$167:$AC$176,27,FALSE)*AJ485+Q485+R485+S485-(VLOOKUP(D485,'DB technologies'!$N$224:$Y$236,12,FALSE)/100*AC485)-AD485-AE485,0))))))</f>
        <v/>
      </c>
      <c r="AY485" s="184" t="str">
        <f>IF(D485="","",IF(AS485=2,0,IF(AS485=1,'Calc (ex-animal)'!$N$92*'Calc (ex-housing, ex-storage)'!F485/100/VLOOKUP($C$481,'DB animal categories'!$C$167:$AC$176,27,FALSE)*AJ485+U485+V485+W485,IF(AS485=5,('Calc (ex-animal)'!$N$92+'Calc (ex-animal)'!$O$92)*'Calc (ex-housing, ex-storage)'!F485/100/VLOOKUP($C$481,'DB animal categories'!$C$167:$AC$176,27,FALSE)*AJ485+U485+V485+W485,IF(AS485=3,('Calc (ex-animal)'!$N$92+'Calc (ex-animal)'!$O$92)*'Calc (ex-housing, ex-storage)'!F485/100/VLOOKUP($C$481,'DB animal categories'!$C$167:$AC$176,27,FALSE)*AJ485+U485+V485+W485,IF(AS485=4,('Calc (ex-animal)'!$N$92+'Calc (ex-animal)'!$O$92)*'Calc (ex-housing, ex-storage)'!F485/100*VLOOKUP(D485,'DB technologies'!$N$224:$Y$236,12,FALSE)/100/VLOOKUP($C$481,'DB animal categories'!$C$167:$AC$176,27,FALSE)*AJ485+U485+V485+W485,0))))))</f>
        <v/>
      </c>
      <c r="AZ485" s="184" t="str">
        <f>IF(D485="","",IF(AS485=2,0,IF(AS485=1,'Calc (ex-animal)'!$Q$92*'Calc (ex-housing, ex-storage)'!F485/100/VLOOKUP($C$481,'DB animal categories'!$C$167:$AC$176,27,FALSE)*AJ485+Y485+Z485+AA485,IF(AS485=5,('Calc (ex-animal)'!$Q$92+'Calc (ex-animal)'!$R$92)*'Calc (ex-housing, ex-storage)'!F485/100/VLOOKUP($C$481,'DB animal categories'!$C$167:$AC$176,27,FALSE)*AJ485+Y485+Z485+AA485,IF(AS485=3,('Calc (ex-animal)'!$Q$92+'Calc (ex-animal)'!$R$92)*'Calc (ex-housing, ex-storage)'!F485/100/VLOOKUP($C$481,'DB animal categories'!$C$167:$AC$176,27,FALSE)*AJ485+Y485+Z485+AA485,IF(AS485=4,('Calc (ex-animal)'!$Q$92+'Calc (ex-animal)'!$R$92)*'Calc (ex-housing, ex-storage)'!F485/100*VLOOKUP(D485,'DB technologies'!$N$224:$Y$236,12,FALSE)/100/VLOOKUP($C$481,'DB animal categories'!$C$167:$AC$176,27,FALSE)*AJ485+Y485+Z485+AA485,0))))))</f>
        <v/>
      </c>
      <c r="BA485" s="506"/>
      <c r="BB485" s="506"/>
      <c r="BC485" s="506"/>
    </row>
    <row r="486" spans="1:55" ht="12" thickBot="1" x14ac:dyDescent="0.25">
      <c r="A486" s="696"/>
      <c r="B486" s="696"/>
      <c r="C486" s="252"/>
      <c r="D486" s="281" t="s">
        <v>58</v>
      </c>
      <c r="E486" s="282">
        <f>IF(F486&lt;=100,SUM(E481:E485),"ERROR")</f>
        <v>0</v>
      </c>
      <c r="F486" s="283">
        <f>IF(SUM(F481:F485) &lt;=100,SUM(F481:F485),"ERROR, SUM&gt;100%")</f>
        <v>0</v>
      </c>
      <c r="G486" s="550">
        <f>IF('Calc (ex-animal)'!$F$88=1,"",SUM(G481:G485))</f>
        <v>0</v>
      </c>
      <c r="H486" s="418">
        <f>IF('Calc (ex-animal)'!$F$8=1,"",SUM(H481:H485))</f>
        <v>0</v>
      </c>
      <c r="I486" s="418">
        <f>IF('Calc (ex-animal)'!$F$8=1,"",SUM(I481:I485))</f>
        <v>0</v>
      </c>
      <c r="J486" s="418">
        <f>IF('Calc (ex-animal)'!$F$8=1,"",SUM(J481:J485))</f>
        <v>0</v>
      </c>
      <c r="K486" s="418">
        <f>IF('Calc (ex-animal)'!$F$8=1,"",SUM(K481:K485))</f>
        <v>0</v>
      </c>
      <c r="L486" s="418">
        <f>IF('Calc (ex-animal)'!$F$8=1,"",SUM(L481:L485))</f>
        <v>0</v>
      </c>
      <c r="M486" s="551"/>
      <c r="N486" s="551"/>
      <c r="O486" s="551"/>
      <c r="P486" s="552">
        <f>IF(G486=0,0,IF('Calc (ex-animal)'!$F$88=1,"",IF(D486="","",SUM(H486:K486)/G486*100)))</f>
        <v>0</v>
      </c>
      <c r="Q486" s="394"/>
      <c r="R486" s="394"/>
      <c r="S486" s="394"/>
      <c r="T486" s="278">
        <f>IF('Calc (ex-animal)'!$F$92=1,"",SUM(T481:T485))</f>
        <v>0</v>
      </c>
      <c r="U486" s="279"/>
      <c r="V486" s="279"/>
      <c r="W486" s="279"/>
      <c r="X486" s="279">
        <f>IF('Calc (ex-animal)'!$F$92=1,"",SUM(X481:X485))</f>
        <v>0</v>
      </c>
      <c r="Y486" s="279"/>
      <c r="Z486" s="279"/>
      <c r="AA486" s="279"/>
      <c r="AB486" s="279">
        <f>IF('Calc (ex-animal)'!$F$92=1,"",SUM(AB481:AB485))</f>
        <v>0</v>
      </c>
      <c r="AC486" s="279">
        <f>IF('Calc (ex-animal)'!$F$92=1,"",SUM(AC481:AC485))</f>
        <v>0</v>
      </c>
      <c r="AD486" s="279">
        <f>IF('Calc (ex-animal)'!$F$92=1,"",SUM(AD481:AD485))</f>
        <v>0</v>
      </c>
      <c r="AE486" s="280">
        <f>IF('Calc (ex-animal)'!$F$92=1,"",SUM(AE481:AE485))</f>
        <v>0</v>
      </c>
    </row>
    <row r="487" spans="1:55" x14ac:dyDescent="0.2">
      <c r="A487" s="747" t="s">
        <v>202</v>
      </c>
      <c r="B487" s="694" t="s">
        <v>201</v>
      </c>
      <c r="C487" s="254">
        <f>'Calc (ex-animal)'!D93</f>
        <v>0</v>
      </c>
      <c r="D487" s="1355"/>
      <c r="E487" s="1356"/>
      <c r="F487" s="479" t="str">
        <f>IF('Calc (ex-animal)'!$F$93=1,"",IF($C$487=0,"",IF(D487="","",E487/'Calc (ex-animal)'!$E$93*100)))</f>
        <v/>
      </c>
      <c r="G487" s="484" t="str">
        <f>IF($C$487=0,"",IF('Calc (ex-animal)'!$F$93=1,"",IF(D487="","",SUM(H487:O487))))</f>
        <v/>
      </c>
      <c r="H487" s="471" t="str">
        <f>IF('Calc (ex-animal)'!$F$93=1,"",IF(D487="","",(((VLOOKUP($C$487,'Calc (ex-animal)'!$D$93:$Y$97,6,FALSE)-VLOOKUP($C$487,'Calc (ex-animal)'!$D$93:$Y$97,17,FALSE))*F487/100))*VLOOKUP($C$487,'Calc (ex-animal)'!$D$93:$Y$97,7,FALSE)/100*(1-VLOOKUP(D487,'DB technologies'!$N$238:$Y$250,9,FALSE)/100)))</f>
        <v/>
      </c>
      <c r="I487" s="471" t="str">
        <f>IF(D487="","",((VLOOKUP(D487,'DB technologies'!$N$238:$Y$250,2,FALSE)*VLOOKUP($C$487,'DB animal categories'!$C$181:$AC$190,27,FALSE)*E487/1000)/VLOOKUP($C$487,'DB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'!$S$6/100*(1-VLOOKUP(D487,'DB technologies'!$N$238:$Y$250,9,FALSE)/100)))</f>
        <v/>
      </c>
      <c r="J487" s="472" t="str">
        <f>IF(D487="","",((VLOOKUP(D487,'DB technologies'!$N$238:$Y$250,3,FALSE)*VLOOKUP($C$487,'DB animal categories'!$C$181:$AC$190,27,FALSE)*E487/1000)/VLOOKUP($C$487,'DB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'!$S$7/100*(1-VLOOKUP(D487,'DB technologies'!$N$238:$Y$250,9,FALSE)/100)))</f>
        <v/>
      </c>
      <c r="K487" s="472" t="str">
        <f>IF(D487="","",((VLOOKUP(D487,'DB technologies'!$N$238:$Y$250,4,FALSE)*E487*'DB additional information '!$S$8/100*(1-VLOOKUP(D487,'DB technologies'!$N$238:$Y$250,9,FALSE)/100))/VLOOKUP($C$487,'DB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L487" s="471" t="str">
        <f>IF('Calc (ex-animal)'!$F$93=1,"",IF(D487="","",(((VLOOKUP($C$487,'Calc (ex-animal)'!$D$93:$Y$97,6,FALSE)-VLOOKUP($C$487,'Calc (ex-animal)'!$D$93:$Y$97,17,FALSE))*F487/100))*(1-VLOOKUP($C$487,'Calc (ex-animal)'!$D$93:$Y$97,7,FALSE)/100)*(1-VLOOKUP(D487,'DB technologies'!$N$238:$V$250,8,FALSE)/100)))</f>
        <v/>
      </c>
      <c r="M487" s="472" t="str">
        <f>IF(D487="","",((VLOOKUP(D487,'DB technologies'!$N$238:$Y$250,2,FALSE)*VLOOKUP($C$487,'DB animal categories'!$C$181:$AC$190,27,FALSE)*E487/1000)/VLOOKUP($C$487,'DB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'!$S$6/100)*(1-VLOOKUP(D487,'DB technologies'!$N$238:$Y$250,9,FALSE)/100))</f>
        <v/>
      </c>
      <c r="N487" s="472" t="str">
        <f>IF(D487="","",((VLOOKUP(D487,'DB technologies'!$N$238:$Y$250,3,FALSE)*VLOOKUP($C$487,'DB animal categories'!$C$181:$AC$190,27,FALSE)*E487/1000)/VLOOKUP($C$487,'DB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'!$S$7/100)*(1-VLOOKUP(D487,'DB technologies'!$N$238:$Y$250,9,FALSE)/100))</f>
        <v/>
      </c>
      <c r="O487" s="471" t="str">
        <f>IF(D487="","",((VLOOKUP(D487,'DB technologies'!$N$238:$Y$250,4,FALSE)*E487*(1-'DB additional information '!$S$8/100)*(1-VLOOKUP(D487,'DB technologies'!$N$238:$Y$250,8,FALSE)/100))/VLOOKUP($C$487,'DB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P487" s="443" t="str">
        <f>IF(G487=0,0,IF(E487="","",IF(F487="","",IF($C$487=0,"",IF(D487="","",SUM(H487:K487)/G487*100)))))</f>
        <v/>
      </c>
      <c r="Q487" s="473" t="str">
        <f>IF(D487="","",(VLOOKUP(D487,'DB technologies'!$N$238:$Y$250,2,FALSE)*'DB additional information '!$S$6/100*'DB additional information '!$T$6*VLOOKUP($C$487,'DB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R487" s="473" t="str">
        <f>IF(D487="","",(VLOOKUP(D487,'DB technologies'!$N$238:$Y$250,3,FALSE)*'DB additional information '!$S$7/100*'DB additional information '!$T$7*VLOOKUP($C$487,'DB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S487" s="490" t="str">
        <f>IF(D487="","",(VLOOKUP(D487,'DB technologies'!$N$238:$Y$250,4,FALSE)*('DB additional information '!$S$8/100*'DB additional information '!$T$8*E487/1000/1000)))</f>
        <v/>
      </c>
      <c r="T487" s="263" t="str">
        <f>IF($C$487=0,"",IF('Calc (ex-animal)'!$F$93=1,"",IF(D487="","",((VLOOKUP($C$487,'Calc (ex-animal)'!$D$93:$Y$97,10,FALSE)-VLOOKUP($C$487,'Calc (ex-animal)'!$D$93:$Y$97,18,FALSE))*F487/100+Q487+R487+S487)-AC487-AD487-AE487)))</f>
        <v/>
      </c>
      <c r="U487" s="474" t="str">
        <f>IF(D487="","",(VLOOKUP(D487,'DB technologies'!$N$238:$Y$250,2,FALSE)*'DB additional information '!$S$6/100*'DB additional information '!$U$6*VLOOKUP($C$487,'DB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V487" s="420" t="str">
        <f>IF(D487="","",(VLOOKUP(D487,'DB technologies'!$N$238:$Y$250,3,FALSE)*'DB additional information '!$S$7/100*'DB additional information '!$U$7*VLOOKUP($C$487,'DB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W487" s="415" t="str">
        <f>IF(D487="","",(VLOOKUP(D487,'DB technologies'!$N$238:$Y$250,4,FALSE)*('DB additional information '!$S$8/100*'DB additional information '!$U$8*E487/1000/1000)))</f>
        <v/>
      </c>
      <c r="X487" s="259" t="str">
        <f>IF($C$487=0,"",IF('Calc (ex-animal)'!$F$93=1,"",IF(D487="","",((VLOOKUP($C$487,'Calc (ex-animal)'!$D$93:$Y$97,13,FALSE)-VLOOKUP($C$487,'Calc (ex-animal)'!$D$93:$Y$97,19,FALSE))*F487/100+U487+V487+W487))))</f>
        <v/>
      </c>
      <c r="Y487" s="420" t="str">
        <f>IF(D487="","",(VLOOKUP(D487,'DB technologies'!$N$238:$Y$250,2,FALSE)*'DB additional information '!$S$6/100*'DB additional information '!$V$6*VLOOKUP($C$487,'DB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Z487" s="420" t="str">
        <f>IF(D487="","",(VLOOKUP(D487,'DB technologies'!$N$238:$Y$250,3,FALSE)*'DB additional information '!$S$7/100*'DB additional information '!$V$7*VLOOKUP($C$487,'DB animal categories'!$C$181:$AC$190,27,FALSE)*E487/1000/1000)/VLOOKUP($C$487,'DB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AA487" s="420" t="str">
        <f>IF(D487="","",(VLOOKUP(D487,'DB technologies'!$N$238:$Y$250,4,FALSE)*('DB additional information '!$S$8/100*'DB additional information '!$V$8*E487/1000/1000)))</f>
        <v/>
      </c>
      <c r="AB487" s="259" t="str">
        <f>IF($C$487=0,"",IF('Calc (ex-animal)'!$F$93=1,"",IF(D487="","",((VLOOKUP($C$487,'Calc (ex-animal)'!$D$93:$Y$97,16,FALSE)-VLOOKUP($C$487,'Calc (ex-animal)'!$D$93:$Y$97,20,FALSE))*F487/100+Y487+Z487+AA487))))</f>
        <v/>
      </c>
      <c r="AC487" s="259" t="str">
        <f>IF($C$487=0,"",IF('Calc (ex-animal)'!$F$93=1,"",IF(D487="","",VLOOKUP($C$487,'Calc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categories'!$C$181:$AC$190,26,FALSE)/24)*F487/100*VLOOKUP(D487,'DB technologies'!$N$238:$R$250,5,FALSE)/100)))</f>
        <v/>
      </c>
      <c r="AD487" s="259" t="str">
        <f>IF($C$487=0,"",IF('Calc (ex-animal)'!$F$93=1,"",IF(D487="","",VLOOKUP($C$487,'Calc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categories'!$C$181:$AC$190,26,FALSE)/24)*F487/100*VLOOKUP(D487,'DB technologies'!$N$238:$Y$250,6,FALSE)/100)))</f>
        <v/>
      </c>
      <c r="AE487" s="260" t="str">
        <f>IF($C$487=0,"",IF('Calc (ex-animal)'!$F$93=1,"",IF(D487="","",VLOOKUP($C$487,'Calc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categories'!$C$181:$AC$190,26,FALSE)/24)*F487/100*VLOOKUP(D487,'DB technologies'!$N$238:$Y$250,7,FALSE)/100)))</f>
        <v/>
      </c>
      <c r="AI487" s="179" t="str">
        <f>IF(D487="","",VLOOKUP(D487,'DB technologies'!$N$238:$Y$250,10,FALSE))</f>
        <v/>
      </c>
      <c r="AJ487" s="482" t="e">
        <f>VLOOKUP($C$487,'DB animal categories'!$C$181:$AN$190,27,FALSE)-VLOOKUP($C$487,'DB animal categories'!$C$181:$AN$190,26,FALSE)*VLOOKUP($C$487,'DB animal categories'!$C$181:$AN$190,25,FALSE)/24</f>
        <v>#N/A</v>
      </c>
      <c r="AK487" s="453" t="str">
        <f>IF(AI487="","",AL487+AM487)</f>
        <v/>
      </c>
      <c r="AL487" s="453" t="str">
        <f>IF(D487="","",IF(AI487=2,(('Calc (ex-animal)'!$G$93*'DB additional information '!$K$20/100*(1-VLOOKUP(D487,'DB technologies'!$N$238:$Y$250,9,FALSE)/100)*'Calc (ex-housing, ex-storage)'!F487/100+'Calc (ex-animal)'!$H$93*'DB additional information '!$L$20/100*(1-VLOOKUP(D487,'DB technologies'!$N$238:$Y$250,9,FALSE)/100)*'Calc (ex-housing, ex-storage)'!F487/100))/VLOOKUP($C$487,'DB animal categories'!$C$181:$AC$190,27,FALSE)*AJ487+I487+J487+K487,IF(AI487=1,('Calc (ex-animal)'!$H$93*'DB additional information '!$L$20/100*(1-VLOOKUP(D487,'DB technologies'!$N$238:$Y$250,9,FALSE)/100)*'Calc (ex-housing, ex-storage)'!F487/100)/VLOOKUP($C$487,'DB animal categories'!$C$181:$AC$190,27,FALSE)*AJ487,IF(AI487=4,('Calc (ex-animal)'!$G$93*'DB additional information '!$K$20/100+'Calc (ex-animal)'!$H$93*'DB additional information '!$L$20/100)*(1-VLOOKUP(D487,'DB technologies'!$N$238:$Y$250,9,FALSE)/100)*'Calc (ex-housing, ex-storage)'!F487/100*VLOOKUP(D487,'DB technologies'!$N$238:$Y$250,11,FALSE)/100/VLOOKUP($C$487,'DB animal categories'!$C$181:$AC$190,27,FALSE)*AJ487,0))))</f>
        <v/>
      </c>
      <c r="AM487" s="453" t="str">
        <f>IF(D487="","",IF(AI487=2,(('Calc (ex-animal)'!$G$93*(1-'DB additional information '!$K$20/100)*(1-VLOOKUP(D487,'DB technologies'!$N$238:$Y$250,8,FALSE)/100)*'Calc (ex-housing, ex-storage)'!F487/100+'Calc (ex-animal)'!$H$93*(1-'DB additional information '!$L$20/100)*(1-VLOOKUP(D487,'DB technologies'!$N$238:$Y$250,8,FALSE)/100)*'Calc (ex-housing, ex-storage)'!F487/100))/VLOOKUP($C$487,'DB animal categories'!$C$181:$AC$190,27,FALSE)*AJ487+M487+N487+O487,IF(AI487=1,('Calc (ex-animal)'!$H$93*(1-'DB additional information '!$L$20/100)*(1-VLOOKUP(D487,'DB technologies'!$N$238:$Y$250,8,FALSE)/100)*'Calc (ex-housing, ex-storage)'!F487/100)/VLOOKUP($C$487,'DB animal categories'!$C$181:$AC$190,27,FALSE)*AJ487,IF(AI487=4,('Calc (ex-animal)'!$G$93*(1-'DB additional information '!$K$20/100)+'Calc (ex-animal)'!$H$93*(1-'DB additional information '!$L$20/100))*(1-VLOOKUP(D487,'DB technologies'!$N$238:$Y$250,8,FALSE)/100)*'Calc (ex-housing, ex-storage)'!F487/100*VLOOKUP(D487,'DB technologies'!$N$238:$Y$250,11,FALSE)/100/VLOOKUP($C$487,'DB animal categories'!$C$181:$AC$190,27,FALSE)*AJ487,0))))</f>
        <v/>
      </c>
      <c r="AN487" s="453" t="str">
        <f>IF(AI487="","",IF(AL487=0,0,AL487/AK487*100))</f>
        <v/>
      </c>
      <c r="AO487" s="180" t="str">
        <f>IF(D487="","",IF(AI487=2,(('Calc (ex-animal)'!$L$93*'Calc (ex-housing, ex-storage)'!F487/100+'Calc (ex-animal)'!$K$93*'Calc (ex-housing, ex-storage)'!F487/100))/VLOOKUP($C$487,'DB animal categories'!$C$181:$AC$190,27,FALSE)*AJ487+Q487+R487+S487-AC487,IF(AI487=1,('Calc (ex-animal)'!$L$93*'Calc (ex-housing, ex-storage)'!F487/100)/VLOOKUP($C$487,'DB animal categories'!$C$181:$AC$190,27,FALSE)*AJ487-'Calc (ex-housing, ex-storage)'!AC487,IF(AI487=4,('Calc (ex-animal)'!$L$93+'Calc (ex-animal)'!$K$93)*'Calc (ex-housing, ex-storage)'!F487/100*VLOOKUP(D487,'DB technologies'!$N$238:$Y$250,11,FALSE)/100/VLOOKUP($C$487,'DB animal categories'!$C$181:$AC$190,27,FALSE)*AJ487-AC487*VLOOKUP(D487,'DB technologies'!$N$238:$Y$250,11,FALSE)/100,0))))</f>
        <v/>
      </c>
      <c r="AP487" s="180" t="str">
        <f>IF(D487="","",IF(AO487&lt;-0.01,0,IF(AI487=2,(('Calc (ex-animal)'!$L$93*'Calc (ex-housing, ex-storage)'!F487/100+'Calc (ex-animal)'!$K$93*'Calc (ex-housing, ex-storage)'!F487/100))/VLOOKUP($C$487,'DB animal categories'!$C$181:$AC$190,27,FALSE)*AJ487+Q487+R487+S487-AC487,IF(AI487=1,('Calc (ex-animal)'!$L$93*'Calc (ex-housing, ex-storage)'!F487/100)/VLOOKUP($C$487,'DB animal categories'!$C$181:$AC$190,27,FALSE)*AJ487-'Calc (ex-housing, ex-storage)'!AC487,IF(AI487=4,('Calc (ex-animal)'!$L$93+'Calc (ex-animal)'!$K$93)*'Calc (ex-housing, ex-storage)'!F487/100*VLOOKUP(D487,'DB technologies'!$N$238:$Y$250,11,FALSE)/100/VLOOKUP($C$487,'DB animal categories'!$C$181:$AC$190,27,FALSE)*AJ487-AC487*VLOOKUP(D487,'DB technologies'!$N$238:$Y$250,11,FALSE)/100,0)))))</f>
        <v/>
      </c>
      <c r="AQ487" s="180" t="str">
        <f>IF(D487="","",IF(AI487=2,('Calc (ex-animal)'!$O$93*'Calc (ex-housing, ex-storage)'!F487/100+'Calc (ex-animal)'!$N$93*'Calc (ex-housing, ex-storage)'!F487/100)/VLOOKUP($C$487,'DB animal categories'!$C$181:$AC$190,27,FALSE)*AJ487+U487+V487+W487,IF(AI487=1,'Calc (ex-animal)'!$O$93*'Calc (ex-housing, ex-storage)'!F487/100/VLOOKUP($C$487,'DB animal categories'!$C$181:$AC$190,27,FALSE)*AJ487,IF(AI487=4,('Calc (ex-animal)'!$O$93+'Calc (ex-animal)'!$N$93)*'Calc (ex-housing, ex-storage)'!F487/100*VLOOKUP(D487,'DB technologies'!$N$238:$Y$250,11,FALSE)/100/VLOOKUP($C$487,'DB animal categories'!$C$181:$AC$190,27,FALSE)*AJ487,0))))</f>
        <v/>
      </c>
      <c r="AR487" s="180" t="str">
        <f>IF(D487="","",IF(AI487=2,('Calc (ex-animal)'!$R$93*'Calc (ex-housing, ex-storage)'!F487/100+'Calc (ex-animal)'!$Q$93*'Calc (ex-housing, ex-storage)'!F487/100)/VLOOKUP($C$487,'DB animal categories'!$C$181:$AC$190,27,FALSE)*AJ487+Y487+Z487+AA487,IF(AI487=1,'Calc (ex-animal)'!$R$93*'Calc (ex-housing, ex-storage)'!F487/100/VLOOKUP($C$487,'DB animal categories'!$C$181:$AC$190,27,FALSE)*AJ487,IF(AI487=4,('Calc (ex-animal)'!$R$93+'Calc (ex-animal)'!$Q$93)*'Calc (ex-housing, ex-storage)'!F487/100*VLOOKUP(D487,'DB technologies'!$N$238:$Y$250,11,FALSE)/100/VLOOKUP($C$487,'DB animal categories'!$C$181:$AC$190,27,FALSE)*AJ487,0))))</f>
        <v/>
      </c>
      <c r="AS487" s="179" t="str">
        <f>IF(D487="","",VLOOKUP(D487,'DB technologies'!$N$238:$Y$250,10,FALSE))</f>
        <v/>
      </c>
      <c r="AT487" s="453" t="str">
        <f>IF(AS487="","",AU487+AV487)</f>
        <v/>
      </c>
      <c r="AU487" s="453" t="str">
        <f>IF(D487="","",IF(AS487=2,0,IF(AS487=1,'Calc (ex-animal)'!$G$93*'DB additional information '!$K$20/100*(1-VLOOKUP(D487,'DB technologies'!$N$238:$Y$250,8,FALSE)/100)*'Calc (ex-housing, ex-storage)'!F487/100/VLOOKUP($C$487,'DB animal categories'!$C$181:$AC$190,27,FALSE)*AJ487+I487+J487+K487,IF(AS487=5,(('Calc (ex-animal)'!$G$93*'DB additional information '!$K$20/100+'Calc (ex-animal)'!$H$93*'DB additional information '!$L$20/100))*(1-VLOOKUP(D487,'DB technologies'!$N$238:$Y$250,9,FALSE)/100)*'Calc (ex-housing, ex-storage)'!F487/100/VLOOKUP($C$487,'DB animal categories'!$C$181:$AC$190,27,FALSE)*AJ487+I487+J487+K487,IF(AS487=3,('Calc (ex-animal)'!$G$93*'DB additional information '!$K$20/100+'Calc (ex-animal)'!$H$93*'DB additional information '!$L$20/100)*(1-VLOOKUP(D487,'DB technologies'!$N$238:$Y$250,9,FALSE)/100)*'Calc (ex-housing, ex-storage)'!F487/100/VLOOKUP($C$487,'DB animal categories'!$C$181:$AC$190,27,FALSE)*AJ487+I487+J487+K487,IF(AS487=4,('Calc (ex-animal)'!$G$93*'DB additional information '!$K$20/100+'Calc (ex-animal)'!$H$93*'DB additional information '!$L$20/100)*(1-VLOOKUP(D487,'DB technologies'!$N$238:$Y$250,9,FALSE)/100)*'Calc (ex-housing, ex-storage)'!F487/100*VLOOKUP(D487,'DB technologies'!$N$238:$Y$250,12,FALSE)/100/VLOOKUP($C$487,'DB animal categories'!$C$181:$AC$190,27,FALSE)*AJ487+I487+J487+K487,0))))))</f>
        <v/>
      </c>
      <c r="AV487" s="453" t="str">
        <f>IF(D487="","",IF(AS487=2,0,IF(AS487=1,'Calc (ex-animal)'!$G$93*(1-'DB additional information '!$K$20/100)*(1-VLOOKUP(D487,'DB technologies'!$N$238:$Y$250,8,FALSE)/100)*'Calc (ex-housing, ex-storage)'!F487/100/VLOOKUP($C$487,'DB animal categories'!$C$181:$AC$190,27,FALSE)*AJ487+M487+N487+O487,IF(AS487=5,('Calc (ex-animal)'!$G$93*(1-'DB additional information '!$K$20/100)+'Calc (ex-animal)'!$H$93*(1-'DB additional information '!$L$20/100))*(1-VLOOKUP(D487,'DB technologies'!$N$238:$Y$250,8,FALSE)/100)*'Calc (ex-housing, ex-storage)'!F487/100/VLOOKUP($C$487,'DB animal categories'!$C$181:$AC$190,27,FALSE)*AJ487+M487+N487+O487,IF(AS487=3,('Calc (ex-animal)'!$G$93*(1-'DB additional information '!$K$20/100)+'Calc (ex-animal)'!$H$93*(1-'DB additional information '!$L$20/100))*(1-VLOOKUP(D487,'DB technologies'!$N$238:$Y$250,8,FALSE)/100)*'Calc (ex-housing, ex-storage)'!F487/100/VLOOKUP($C$487,'DB animal categories'!$C$181:$AC$190,27,FALSE)*AJ487+M487+N487+O487,IF(AS487=4,('Calc (ex-animal)'!$G$93*(1-'DB additional information '!$K$20/100)+'Calc (ex-animal)'!$H$93*(1-'DB additional information '!$L$20/100))*(1-VLOOKUP(D487,'DB technologies'!$N$238:$Y$250,8,FALSE)/100)*'Calc (ex-housing, ex-storage)'!F487/100*VLOOKUP(D487,'DB technologies'!$N$238:$Y$250,12,FALSE)/100/VLOOKUP($C$487,'DB animal categories'!$C$181:$AC$190,27,FALSE)*AJ487+M487+N487+O487,0))))))</f>
        <v/>
      </c>
      <c r="AW487" s="453" t="str">
        <f>IF(AS487="","",IF(AU487=0,0,AU487/AT487*100))</f>
        <v/>
      </c>
      <c r="AX487" s="180" t="str">
        <f>IF(D487="","",IF(AS487=2,0,IF(AS487=1,'Calc (ex-animal)'!$K$93*'Calc (ex-housing, ex-storage)'!F487/100/VLOOKUP($C$487,'DB animal categories'!$C$181:$AC$190,27,FALSE)*AJ487+Q487+R487+S487,IF(AS487=5,('Calc (ex-animal)'!$K$93+'Calc (ex-animal)'!$L$93)*'Calc (ex-housing, ex-storage)'!F487/100/VLOOKUP($C$487,'DB animal categories'!$C$181:$AC$190,27,FALSE)*AJ487+Q487+R487+S487-'Calc (ex-housing, ex-storage)'!AC487,IF(AS487=3,('Calc (ex-animal)'!$K$93+'Calc (ex-animal)'!$L$93)*'Calc (ex-housing, ex-storage)'!F487/100/VLOOKUP($C$487,'DB animal categories'!$C$181:$AC$190,27,FALSE)*AJ487+Q487+R487+S487-'Calc (ex-housing, ex-storage)'!AC487-AD487-AE487,IF(AI487=4,('Calc (ex-animal)'!$K$93+'Calc (ex-animal)'!$L$93)*'Calc (ex-housing, ex-storage)'!F487/100*VLOOKUP(D487,'DB technologies'!$N$238:$Y$250,12,FALSE)/100/VLOOKUP($C$487,'DB animal categories'!$C$181:$AC$190,27,FALSE)*AJ487+Q487+R487+S487-(VLOOKUP(D487,'DB technologies'!$N$238:$Y$250,12,FALSE)/100*AC487)-AD487-AE487,0))))))</f>
        <v/>
      </c>
      <c r="AY487" s="180" t="str">
        <f>IF(D487="","",IF(AS487=2,0,IF(AS487=1,'Calc (ex-animal)'!$N$93*'Calc (ex-housing, ex-storage)'!F487/100/VLOOKUP($C$487,'DB animal categories'!$C$181:$AC$190,27,FALSE)*AJ487+U487+V487+W487,IF(AS487=5,('Calc (ex-animal)'!$N$93+'Calc (ex-animal)'!$O$93)*'Calc (ex-housing, ex-storage)'!F487/100/VLOOKUP($C$487,'DB animal categories'!$C$181:$AC$190,27,FALSE)*AJ487+U487+V487+W487,IF(AS487=3,('Calc (ex-animal)'!$N$93+'Calc (ex-animal)'!$O$93)*'Calc (ex-housing, ex-storage)'!F487/100/VLOOKUP($C$487,'DB animal categories'!$C$181:$AC$190,27,FALSE)*AJ487+U487+V487+W487,IF(AS487=4,('Calc (ex-animal)'!$N$93+'Calc (ex-animal)'!$O$93)*'Calc (ex-housing, ex-storage)'!F487/100*VLOOKUP(D487,'DB technologies'!$N$238:$Y$250,12,FALSE)/100/VLOOKUP($C$487,'DB animal categories'!$C$181:$AC$190,27,FALSE)*AJ487+U487+V487+W487,0))))))</f>
        <v/>
      </c>
      <c r="AZ487" s="180" t="str">
        <f>IF(D487="","",IF(AS487=2,0,IF(AS487=1,'Calc (ex-animal)'!$Q$93*'Calc (ex-housing, ex-storage)'!F487/100/VLOOKUP($C$487,'DB animal categories'!$C$181:$AC$190,27,FALSE)*AJ487+Y487+Z487+AA487,IF(AS487=5,('Calc (ex-animal)'!$Q$93+'Calc (ex-animal)'!$R$93)*'Calc (ex-housing, ex-storage)'!F487/100/VLOOKUP($C$487,'DB animal categories'!$C$181:$AC$190,27,FALSE)*AJ487+Y487+Z487+AA487,IF(AS487=3,('Calc (ex-animal)'!$Q$93+'Calc (ex-animal)'!$R$93)*'Calc (ex-housing, ex-storage)'!F487/100/VLOOKUP($C$487,'DB animal categories'!$C$181:$AC$190,27,FALSE)*AJ487+Y487+Z487+AA487,IF(AS487=4,('Calc (ex-animal)'!$Q$93+'Calc (ex-animal)'!$R$93)*'Calc (ex-housing, ex-storage)'!F487/100*VLOOKUP(D487,'DB technologies'!$N$238:$Y$250,12,FALSE)/100/VLOOKUP($C$487,'DB animal categories'!$C$181:$AC$190,27,FALSE)*AJ487+Y487+Z487+AA487,0))))))</f>
        <v/>
      </c>
      <c r="BA487" s="506"/>
      <c r="BB487" s="506"/>
      <c r="BC487" s="506"/>
    </row>
    <row r="488" spans="1:55" x14ac:dyDescent="0.2">
      <c r="A488" s="748"/>
      <c r="B488" s="695"/>
      <c r="C488" s="255"/>
      <c r="D488" s="1357"/>
      <c r="E488" s="1358"/>
      <c r="F488" s="480" t="str">
        <f>IF('Calc (ex-animal)'!$F$93=1,"",IF($C$487=0,"",IF(D488="","",E488/'Calc (ex-animal)'!$E$93*100)))</f>
        <v/>
      </c>
      <c r="G488" s="485" t="str">
        <f>IF($C$487=0,"",IF('Calc (ex-animal)'!$F$93=1,"",IF(D488="","",SUM(H488:O488))))</f>
        <v/>
      </c>
      <c r="H488" s="423" t="str">
        <f>IF('Calc (ex-animal)'!$F$93=1,"",IF(D488="","",(((VLOOKUP($C$487,'Calc (ex-animal)'!$D$93:$Y$97,6,FALSE)-VLOOKUP($C$487,'Calc (ex-animal)'!$D$93:$Y$97,17,FALSE))*F488/100))*VLOOKUP($C$487,'Calc (ex-animal)'!$D$93:$Y$97,7,FALSE)/100*(1-VLOOKUP(D488,'DB technologies'!$N$238:$Y$250,9,FALSE)/100)))</f>
        <v/>
      </c>
      <c r="I488" s="423" t="str">
        <f>IF(D488="","",((VLOOKUP(D488,'DB technologies'!$N$238:$Y$250,2,FALSE)*VLOOKUP($C$487,'DB animal categories'!$C$181:$AC$190,27,FALSE)*E488/1000)/VLOOKUP($C$487,'DB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'!$S$6/100*(1-VLOOKUP(D488,'DB technologies'!$N$238:$Y$250,9,FALSE)/100)))</f>
        <v/>
      </c>
      <c r="J488" s="434" t="str">
        <f>IF(D488="","",((VLOOKUP(D488,'DB technologies'!$N$238:$Y$250,3,FALSE)*VLOOKUP($C$487,'DB animal categories'!$C$181:$AC$190,27,FALSE)*E488/1000)/VLOOKUP($C$487,'DB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'!$S$7/100*(1-VLOOKUP(D488,'DB technologies'!$N$238:$Y$250,9,FALSE)/100)))</f>
        <v/>
      </c>
      <c r="K488" s="434" t="str">
        <f>IF(D488="","",((VLOOKUP(D488,'DB technologies'!$N$238:$Y$250,4,FALSE)*E488*'DB additional information '!$S$8/100*(1-VLOOKUP(D488,'DB technologies'!$N$238:$Y$250,9,FALSE)/100))/VLOOKUP($C$487,'DB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L488" s="423" t="str">
        <f>IF('Calc (ex-animal)'!$F$93=1,"",IF(D488="","",(((VLOOKUP($C$487,'Calc (ex-animal)'!$D$93:$Y$97,6,FALSE)-VLOOKUP($C$487,'Calc (ex-animal)'!$D$93:$Y$97,17,FALSE))*F488/100))*(1-VLOOKUP($C$487,'Calc (ex-animal)'!$D$93:$Y$97,7,FALSE)/100)*(1-VLOOKUP(D488,'DB technologies'!$N$238:$V$250,8,FALSE)/100)))</f>
        <v/>
      </c>
      <c r="M488" s="434" t="str">
        <f>IF(D488="","",((VLOOKUP(D488,'DB technologies'!$N$238:$Y$250,2,FALSE)*VLOOKUP($C$487,'DB animal categories'!$C$181:$AC$190,27,FALSE)*E488/1000)/VLOOKUP($C$487,'DB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'!$S$6/100)*(1-VLOOKUP(D488,'DB technologies'!$N$238:$Y$250,9,FALSE)/100))</f>
        <v/>
      </c>
      <c r="N488" s="434" t="str">
        <f>IF(D488="","",((VLOOKUP(D488,'DB technologies'!$N$238:$Y$250,3,FALSE)*VLOOKUP($C$487,'DB animal categories'!$C$181:$AC$190,27,FALSE)*E488/1000)/VLOOKUP($C$487,'DB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'!$S$7/100)*(1-VLOOKUP(D488,'DB technologies'!$N$238:$Y$250,9,FALSE)/100))</f>
        <v/>
      </c>
      <c r="O488" s="423" t="str">
        <f>IF(D488="","",((VLOOKUP(D488,'DB technologies'!$N$238:$Y$250,4,FALSE)*E488*(1-'DB additional information '!$S$8/100)*(1-VLOOKUP(D488,'DB technologies'!$N$238:$Y$250,8,FALSE)/100))/VLOOKUP($C$487,'DB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P488" s="438" t="str">
        <f>IF(G488=0,0,IF(E488="","",IF(F488="","",IF($C$487=0,"",IF(D488="","",SUM(H488:K488)/G488*100)))))</f>
        <v/>
      </c>
      <c r="Q488" s="416" t="str">
        <f>IF(D488="","",(VLOOKUP(D488,'DB technologies'!$N$238:$Y$250,2,FALSE)*'DB additional information '!$S$6/100*'DB additional information '!$T$6*VLOOKUP($C$487,'DB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R488" s="416" t="str">
        <f>IF(D488="","",(VLOOKUP(D488,'DB technologies'!$N$238:$Y$250,3,FALSE)*'DB additional information '!$S$7/100*'DB additional information '!$T$7*VLOOKUP($C$487,'DB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S488" s="491" t="str">
        <f>IF(D488="","",(VLOOKUP(D488,'DB technologies'!$N$238:$Y$250,4,FALSE)*('DB additional information '!$S$8/100*'DB additional information '!$T$8*E488/1000/1000)))</f>
        <v/>
      </c>
      <c r="T488" s="264" t="str">
        <f>IF($C$487=0,"",IF('Calc (ex-animal)'!$F$93=1,"",IF(D488="","",((VLOOKUP($C$487,'Calc (ex-animal)'!$D$93:$Y$97,10,FALSE)-VLOOKUP($C$487,'Calc (ex-animal)'!$D$93:$Y$97,18,FALSE))*F488/100+Q488+R488+S488)-AC488-AD488-AE488)))</f>
        <v/>
      </c>
      <c r="U488" s="422" t="str">
        <f>IF(D488="","",(VLOOKUP(D488,'DB technologies'!$N$238:$Y$250,2,FALSE)*'DB additional information '!$S$6/100*'DB additional information '!$U$6*VLOOKUP($C$487,'DB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V488" s="418" t="str">
        <f>IF(D488="","",(VLOOKUP(D488,'DB technologies'!$N$238:$Y$250,3,FALSE)*'DB additional information '!$S$7/100*'DB additional information '!$U$7*VLOOKUP($C$487,'DB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W488" s="417" t="str">
        <f>IF(D488="","",(VLOOKUP(D488,'DB technologies'!$N$238:$Y$250,4,FALSE)*('DB additional information '!$S$8/100*'DB additional information '!$U$8*E488/1000/1000)))</f>
        <v/>
      </c>
      <c r="X488" s="261" t="str">
        <f>IF($C$487=0,"",IF('Calc (ex-animal)'!$F$93=1,"",IF(D488="","",((VLOOKUP($C$487,'Calc (ex-animal)'!$D$93:$Y$97,13,FALSE)-VLOOKUP($C$487,'Calc (ex-animal)'!$D$93:$Y$97,19,FALSE))*F488/100+U488+V488+W488))))</f>
        <v/>
      </c>
      <c r="Y488" s="418" t="str">
        <f>IF(D488="","",(VLOOKUP(D488,'DB technologies'!$N$238:$Y$250,2,FALSE)*'DB additional information '!$S$6/100*'DB additional information '!$V$6*VLOOKUP($C$487,'DB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Z488" s="418" t="str">
        <f>IF(D488="","",(VLOOKUP(D488,'DB technologies'!$N$238:$Y$250,3,FALSE)*'DB additional information '!$S$7/100*'DB additional information '!$V$7*VLOOKUP($C$487,'DB animal categories'!$C$181:$AC$190,27,FALSE)*E488/1000/1000)/VLOOKUP($C$487,'DB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AA488" s="418" t="str">
        <f>IF(D488="","",(VLOOKUP(D488,'DB technologies'!$N$238:$Y$250,4,FALSE)*('DB additional information '!$S$8/100*'DB additional information '!$V$8*E488/1000/1000)))</f>
        <v/>
      </c>
      <c r="AB488" s="261" t="str">
        <f>IF($C$487=0,"",IF('Calc (ex-animal)'!$F$93=1,"",IF(D488="","",((VLOOKUP($C$487,'Calc (ex-animal)'!$D$93:$Y$97,16,FALSE)-VLOOKUP($C$487,'Calc (ex-animal)'!$D$93:$Y$97,20,FALSE))*F488/100+Y488+Z488+AA488))))</f>
        <v/>
      </c>
      <c r="AC488" s="261" t="str">
        <f>IF($C$487=0,"",IF('Calc (ex-animal)'!$F$93=1,"",IF(D488="","",VLOOKUP($C$487,'Calc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categories'!$C$181:$AC$190,26,FALSE)/24)*F488/100*VLOOKUP(D488,'DB technologies'!$N$238:$R$250,5,FALSE)/100)))</f>
        <v/>
      </c>
      <c r="AD488" s="261" t="str">
        <f>IF($C$487=0,"",IF('Calc (ex-animal)'!$F$93=1,"",IF(D488="","",VLOOKUP($C$487,'Calc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categories'!$C$181:$AC$190,26,FALSE)/24)*F488/100*VLOOKUP(D488,'DB technologies'!$N$238:$Y$250,6,FALSE)/100)))</f>
        <v/>
      </c>
      <c r="AE488" s="262" t="str">
        <f>IF($C$487=0,"",IF('Calc (ex-animal)'!$F$93=1,"",IF(D488="","",VLOOKUP($C$487,'Calc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categories'!$C$181:$AC$190,26,FALSE)/24)*F488/100*VLOOKUP(D488,'DB technologies'!$N$238:$Y$250,7,FALSE)/100)))</f>
        <v/>
      </c>
      <c r="AI488" s="181" t="str">
        <f>IF(D488="","",VLOOKUP(D488,'DB technologies'!$N$238:$Y$250,10,FALSE))</f>
        <v/>
      </c>
      <c r="AJ488" s="449" t="e">
        <f>VLOOKUP($C$487,'DB animal categories'!$C$181:$AN$190,27,FALSE)-VLOOKUP($C$487,'DB animal categories'!$C$181:$AN$190,26,FALSE)*VLOOKUP($C$487,'DB animal categories'!$C$181:$AN$190,25,FALSE)/24</f>
        <v>#N/A</v>
      </c>
      <c r="AK488" s="442" t="str">
        <f>IF(AI488="","",AL488+AM488)</f>
        <v/>
      </c>
      <c r="AL488" s="442" t="str">
        <f>IF(D488="","",IF(AI488=2,(('Calc (ex-animal)'!$G$93*'DB additional information '!$K$20/100*(1-VLOOKUP(D488,'DB technologies'!$N$238:$Y$250,9,FALSE)/100)*'Calc (ex-housing, ex-storage)'!F488/100+'Calc (ex-animal)'!$H$93*'DB additional information '!$L$20/100*(1-VLOOKUP(D488,'DB technologies'!$N$238:$Y$250,9,FALSE)/100)*'Calc (ex-housing, ex-storage)'!F488/100))/VLOOKUP($C$487,'DB animal categories'!$C$181:$AC$190,27,FALSE)*AJ488+I488+J488+K488,IF(AI488=1,('Calc (ex-animal)'!$H$93*'DB additional information '!$L$20/100*(1-VLOOKUP(D488,'DB technologies'!$N$238:$Y$250,9,FALSE)/100)*'Calc (ex-housing, ex-storage)'!F488/100)/VLOOKUP($C$487,'DB animal categories'!$C$181:$AC$190,27,FALSE)*AJ488,IF(AI488=4,('Calc (ex-animal)'!$G$93*'DB additional information '!$K$20/100+'Calc (ex-animal)'!$H$93*'DB additional information '!$L$20/100)*(1-VLOOKUP(D488,'DB technologies'!$N$238:$Y$250,9,FALSE)/100)*'Calc (ex-housing, ex-storage)'!F488/100*VLOOKUP(D488,'DB technologies'!$N$238:$Y$250,11,FALSE)/100/VLOOKUP($C$487,'DB animal categories'!$C$181:$AC$190,27,FALSE)*AJ488,0))))</f>
        <v/>
      </c>
      <c r="AM488" s="442" t="str">
        <f>IF(D488="","",IF(AI488=2,(('Calc (ex-animal)'!$G$93*(1-'DB additional information '!$K$20/100)*(1-VLOOKUP(D488,'DB technologies'!$N$238:$Y$250,8,FALSE)/100)*'Calc (ex-housing, ex-storage)'!F488/100+'Calc (ex-animal)'!$H$93*(1-'DB additional information '!$L$20/100)*(1-VLOOKUP(D488,'DB technologies'!$N$238:$Y$250,8,FALSE)/100)*'Calc (ex-housing, ex-storage)'!F488/100))/VLOOKUP($C$487,'DB animal categories'!$C$181:$AC$190,27,FALSE)*AJ488+M488+N488+O488,IF(AI488=1,('Calc (ex-animal)'!$H$93*(1-'DB additional information '!$L$20/100)*(1-VLOOKUP(D488,'DB technologies'!$N$238:$Y$250,8,FALSE)/100)*'Calc (ex-housing, ex-storage)'!F488/100)/VLOOKUP($C$487,'DB animal categories'!$C$181:$AC$190,27,FALSE)*AJ488,IF(AI488=4,('Calc (ex-animal)'!$G$93*(1-'DB additional information '!$K$20/100)+'Calc (ex-animal)'!$H$93*(1-'DB additional information '!$L$20/100))*(1-VLOOKUP(D488,'DB technologies'!$N$238:$Y$250,8,FALSE)/100)*'Calc (ex-housing, ex-storage)'!F488/100*VLOOKUP(D488,'DB technologies'!$N$238:$Y$250,11,FALSE)/100/VLOOKUP($C$487,'DB animal categories'!$C$181:$AC$190,27,FALSE)*AJ488,0))))</f>
        <v/>
      </c>
      <c r="AN488" s="442" t="str">
        <f>IF(AI488="","",IF(AL488=0,0,AL488/AK488*100))</f>
        <v/>
      </c>
      <c r="AO488" s="182" t="str">
        <f>IF(D488="","",IF(AI488=2,(('Calc (ex-animal)'!$L$93*'Calc (ex-housing, ex-storage)'!F488/100+'Calc (ex-animal)'!$K$93*'Calc (ex-housing, ex-storage)'!F488/100))/VLOOKUP($C$487,'DB animal categories'!$C$181:$AC$190,27,FALSE)*AJ488+Q488+R488+S488-AC488,IF(AI488=1,('Calc (ex-animal)'!$L$93*'Calc (ex-housing, ex-storage)'!F488/100)/VLOOKUP($C$487,'DB animal categories'!$C$181:$AC$190,27,FALSE)*AJ488-'Calc (ex-housing, ex-storage)'!AC488,IF(AI488=4,('Calc (ex-animal)'!$L$93+'Calc (ex-animal)'!$K$93)*'Calc (ex-housing, ex-storage)'!F488/100*VLOOKUP(D488,'DB technologies'!$N$238:$Y$250,11,FALSE)/100/VLOOKUP($C$487,'DB animal categories'!$C$181:$AC$190,27,FALSE)*AJ488-AC488*VLOOKUP(D488,'DB technologies'!$N$238:$Y$250,11,FALSE)/100,0))))</f>
        <v/>
      </c>
      <c r="AP488" s="182" t="str">
        <f>IF(D488="","",IF(AO488&lt;-0.01,0,IF(AI488=2,(('Calc (ex-animal)'!$L$93*'Calc (ex-housing, ex-storage)'!F488/100+'Calc (ex-animal)'!$K$93*'Calc (ex-housing, ex-storage)'!F488/100))/VLOOKUP($C$487,'DB animal categories'!$C$181:$AC$190,27,FALSE)*AJ488+Q488+R488+S488-AC488,IF(AI488=1,('Calc (ex-animal)'!$L$93*'Calc (ex-housing, ex-storage)'!F488/100)/VLOOKUP($C$487,'DB animal categories'!$C$181:$AC$190,27,FALSE)*AJ488-'Calc (ex-housing, ex-storage)'!AC488,IF(AI488=4,('Calc (ex-animal)'!$L$93+'Calc (ex-animal)'!$K$93)*'Calc (ex-housing, ex-storage)'!F488/100*VLOOKUP(D488,'DB technologies'!$N$238:$Y$250,11,FALSE)/100/VLOOKUP($C$487,'DB animal categories'!$C$181:$AC$190,27,FALSE)*AJ488-AC488*VLOOKUP(D488,'DB technologies'!$N$238:$Y$250,11,FALSE)/100,0)))))</f>
        <v/>
      </c>
      <c r="AQ488" s="182" t="str">
        <f>IF(D488="","",IF(AI488=2,('Calc (ex-animal)'!$O$93*'Calc (ex-housing, ex-storage)'!F488/100+'Calc (ex-animal)'!$N$93*'Calc (ex-housing, ex-storage)'!F488/100)/VLOOKUP($C$487,'DB animal categories'!$C$181:$AC$190,27,FALSE)*AJ488+U488+V488+W488,IF(AI488=1,'Calc (ex-animal)'!$O$93*'Calc (ex-housing, ex-storage)'!F488/100/VLOOKUP($C$487,'DB animal categories'!$C$181:$AC$190,27,FALSE)*AJ488,IF(AI488=4,('Calc (ex-animal)'!$O$93+'Calc (ex-animal)'!$N$93)*'Calc (ex-housing, ex-storage)'!F488/100*VLOOKUP(D488,'DB technologies'!$N$238:$Y$250,11,FALSE)/100/VLOOKUP($C$487,'DB animal categories'!$C$181:$AC$190,27,FALSE)*AJ488,0))))</f>
        <v/>
      </c>
      <c r="AR488" s="182" t="str">
        <f>IF(D488="","",IF(AI488=2,('Calc (ex-animal)'!$R$93*'Calc (ex-housing, ex-storage)'!F488/100+'Calc (ex-animal)'!$Q$93*'Calc (ex-housing, ex-storage)'!F488/100)/VLOOKUP($C$487,'DB animal categories'!$C$181:$AC$190,27,FALSE)*AJ488+Y488+Z488+AA488,IF(AI488=1,'Calc (ex-animal)'!$R$93*'Calc (ex-housing, ex-storage)'!F488/100/VLOOKUP($C$487,'DB animal categories'!$C$181:$AC$190,27,FALSE)*AJ488,IF(AI488=4,('Calc (ex-animal)'!$R$93+'Calc (ex-animal)'!$Q$93)*'Calc (ex-housing, ex-storage)'!F488/100*VLOOKUP(D488,'DB technologies'!$N$238:$Y$250,11,FALSE)/100/VLOOKUP($C$487,'DB animal categories'!$C$181:$AC$190,27,FALSE)*AJ488,0))))</f>
        <v/>
      </c>
      <c r="AS488" s="181" t="str">
        <f>IF(D488="","",VLOOKUP(D488,'DB technologies'!$N$238:$Y$250,10,FALSE))</f>
        <v/>
      </c>
      <c r="AT488" s="442" t="str">
        <f>IF(AS488="","",AU488+AV488)</f>
        <v/>
      </c>
      <c r="AU488" s="442" t="str">
        <f>IF(D488="","",IF(AS488=2,0,IF(AS488=1,'Calc (ex-animal)'!$G$93*'DB additional information '!$K$20/100*(1-VLOOKUP(D488,'DB technologies'!$N$238:$Y$250,8,FALSE)/100)*'Calc (ex-housing, ex-storage)'!F488/100/VLOOKUP($C$487,'DB animal categories'!$C$181:$AC$190,27,FALSE)*AJ488+I488+J488+K488,IF(AS488=5,(('Calc (ex-animal)'!$G$93*'DB additional information '!$K$20/100+'Calc (ex-animal)'!$H$93*'DB additional information '!$L$20/100))*(1-VLOOKUP(D488,'DB technologies'!$N$238:$Y$250,9,FALSE)/100)*'Calc (ex-housing, ex-storage)'!F488/100/VLOOKUP($C$487,'DB animal categories'!$C$181:$AC$190,27,FALSE)*AJ488+I488+J488+K488,IF(AS488=3,('Calc (ex-animal)'!$G$93*'DB additional information '!$K$20/100+'Calc (ex-animal)'!$H$93*'DB additional information '!$L$20/100)*(1-VLOOKUP(D488,'DB technologies'!$N$238:$Y$250,9,FALSE)/100)*'Calc (ex-housing, ex-storage)'!F488/100/VLOOKUP($C$487,'DB animal categories'!$C$181:$AC$190,27,FALSE)*AJ488+I488+J488+K488,IF(AS488=4,('Calc (ex-animal)'!$G$93*'DB additional information '!$K$20/100+'Calc (ex-animal)'!$H$93*'DB additional information '!$L$20/100)*(1-VLOOKUP(D488,'DB technologies'!$N$238:$Y$250,9,FALSE)/100)*'Calc (ex-housing, ex-storage)'!F488/100*VLOOKUP(D488,'DB technologies'!$N$238:$Y$250,12,FALSE)/100/VLOOKUP($C$487,'DB animal categories'!$C$181:$AC$190,27,FALSE)*AJ488+I488+J488+K488,0))))))</f>
        <v/>
      </c>
      <c r="AV488" s="442" t="str">
        <f>IF(D488="","",IF(AS488=2,0,IF(AS488=1,'Calc (ex-animal)'!$G$93*(1-'DB additional information '!$K$20/100)*(1-VLOOKUP(D488,'DB technologies'!$N$238:$Y$250,8,FALSE)/100)*'Calc (ex-housing, ex-storage)'!F488/100/VLOOKUP($C$487,'DB animal categories'!$C$181:$AC$190,27,FALSE)*AJ488+M488+N488+O488,IF(AS488=5,('Calc (ex-animal)'!$G$93*(1-'DB additional information '!$K$20/100)+'Calc (ex-animal)'!$H$93*(1-'DB additional information '!$L$20/100))*(1-VLOOKUP(D488,'DB technologies'!$N$238:$Y$250,8,FALSE)/100)*'Calc (ex-housing, ex-storage)'!F488/100/VLOOKUP($C$487,'DB animal categories'!$C$181:$AC$190,27,FALSE)*AJ488+M488+N488+O488,IF(AS488=3,('Calc (ex-animal)'!$G$93*(1-'DB additional information '!$K$20/100)+'Calc (ex-animal)'!$H$93*(1-'DB additional information '!$L$20/100))*(1-VLOOKUP(D488,'DB technologies'!$N$238:$Y$250,8,FALSE)/100)*'Calc (ex-housing, ex-storage)'!F488/100/VLOOKUP($C$487,'DB animal categories'!$C$181:$AC$190,27,FALSE)*AJ488+M488+N488+O488,IF(AS488=4,('Calc (ex-animal)'!$G$93*(1-'DB additional information '!$K$20/100)+'Calc (ex-animal)'!$H$93*(1-'DB additional information '!$L$20/100))*(1-VLOOKUP(D488,'DB technologies'!$N$238:$Y$250,8,FALSE)/100)*'Calc (ex-housing, ex-storage)'!F488/100*VLOOKUP(D488,'DB technologies'!$N$238:$Y$250,12,FALSE)/100/VLOOKUP($C$487,'DB animal categories'!$C$181:$AC$190,27,FALSE)*AJ488+M488+N488+O488,0))))))</f>
        <v/>
      </c>
      <c r="AW488" s="442" t="str">
        <f>IF(AS488="","",IF(AU488=0,0,AU488/AT488*100))</f>
        <v/>
      </c>
      <c r="AX488" s="182" t="str">
        <f>IF(D488="","",IF(AS488=2,0,IF(AS488=1,'Calc (ex-animal)'!$K$93*'Calc (ex-housing, ex-storage)'!F488/100/VLOOKUP($C$487,'DB animal categories'!$C$181:$AC$190,27,FALSE)*AJ488+Q488+R488+S488,IF(AS488=5,('Calc (ex-animal)'!$K$93+'Calc (ex-animal)'!$L$93)*'Calc (ex-housing, ex-storage)'!F488/100/VLOOKUP($C$487,'DB animal categories'!$C$181:$AC$190,27,FALSE)*AJ488+Q488+R488+S488-'Calc (ex-housing, ex-storage)'!AC488,IF(AS488=3,('Calc (ex-animal)'!$K$93+'Calc (ex-animal)'!$L$93)*'Calc (ex-housing, ex-storage)'!F488/100/VLOOKUP($C$487,'DB animal categories'!$C$181:$AC$190,27,FALSE)*AJ488+Q488+R488+S488-'Calc (ex-housing, ex-storage)'!AC488-AD488-AE488,IF(AI488=4,('Calc (ex-animal)'!$K$93+'Calc (ex-animal)'!$L$93)*'Calc (ex-housing, ex-storage)'!F488/100*VLOOKUP(D488,'DB technologies'!$N$238:$Y$250,12,FALSE)/100/VLOOKUP($C$487,'DB animal categories'!$C$181:$AC$190,27,FALSE)*AJ488+Q488+R488+S488-(VLOOKUP(D488,'DB technologies'!$N$238:$Y$250,12,FALSE)/100*AC488)-AD488-AE488,0))))))</f>
        <v/>
      </c>
      <c r="AY488" s="182" t="str">
        <f>IF(D488="","",IF(AS488=2,0,IF(AS488=1,'Calc (ex-animal)'!$N$93*'Calc (ex-housing, ex-storage)'!F488/100/VLOOKUP($C$487,'DB animal categories'!$C$181:$AC$190,27,FALSE)*AJ488+U488+V488+W488,IF(AS488=5,('Calc (ex-animal)'!$N$93+'Calc (ex-animal)'!$O$93)*'Calc (ex-housing, ex-storage)'!F488/100/VLOOKUP($C$487,'DB animal categories'!$C$181:$AC$190,27,FALSE)*AJ488+U488+V488+W488,IF(AS488=3,('Calc (ex-animal)'!$N$93+'Calc (ex-animal)'!$O$93)*'Calc (ex-housing, ex-storage)'!F488/100/VLOOKUP($C$487,'DB animal categories'!$C$181:$AC$190,27,FALSE)*AJ488+U488+V488+W488,IF(AS488=4,('Calc (ex-animal)'!$N$93+'Calc (ex-animal)'!$O$93)*'Calc (ex-housing, ex-storage)'!F488/100*VLOOKUP(D488,'DB technologies'!$N$238:$Y$250,12,FALSE)/100/VLOOKUP($C$487,'DB animal categories'!$C$181:$AC$190,27,FALSE)*AJ488+U488+V488+W488,0))))))</f>
        <v/>
      </c>
      <c r="AZ488" s="182" t="str">
        <f>IF(D488="","",IF(AS488=2,0,IF(AS488=1,'Calc (ex-animal)'!$Q$93*'Calc (ex-housing, ex-storage)'!F488/100/VLOOKUP($C$487,'DB animal categories'!$C$181:$AC$190,27,FALSE)*AJ488+Y488+Z488+AA488,IF(AS488=5,('Calc (ex-animal)'!$Q$93+'Calc (ex-animal)'!$R$93)*'Calc (ex-housing, ex-storage)'!F488/100/VLOOKUP($C$487,'DB animal categories'!$C$181:$AC$190,27,FALSE)*AJ488+Y488+Z488+AA488,IF(AS488=3,('Calc (ex-animal)'!$Q$93+'Calc (ex-animal)'!$R$93)*'Calc (ex-housing, ex-storage)'!F488/100/VLOOKUP($C$487,'DB animal categories'!$C$181:$AC$190,27,FALSE)*AJ488+Y488+Z488+AA488,IF(AS488=4,('Calc (ex-animal)'!$Q$93+'Calc (ex-animal)'!$R$93)*'Calc (ex-housing, ex-storage)'!F488/100*VLOOKUP(D488,'DB technologies'!$N$238:$Y$250,12,FALSE)/100/VLOOKUP($C$487,'DB animal categories'!$C$181:$AC$190,27,FALSE)*AJ488+Y488+Z488+AA488,0))))))</f>
        <v/>
      </c>
      <c r="BA488" s="506"/>
      <c r="BB488" s="506"/>
      <c r="BC488" s="506"/>
    </row>
    <row r="489" spans="1:55" x14ac:dyDescent="0.2">
      <c r="A489" s="748"/>
      <c r="B489" s="695"/>
      <c r="C489" s="255"/>
      <c r="D489" s="1357"/>
      <c r="E489" s="1358"/>
      <c r="F489" s="480" t="str">
        <f>IF('Calc (ex-animal)'!$F$93=1,"",IF($C$487=0,"",IF(D489="","",E489/'Calc (ex-animal)'!$E$93*100)))</f>
        <v/>
      </c>
      <c r="G489" s="485" t="str">
        <f>IF($C$487=0,"",IF('Calc (ex-animal)'!$F$93=1,"",IF(D489="","",SUM(H489:O489))))</f>
        <v/>
      </c>
      <c r="H489" s="423" t="str">
        <f>IF('Calc (ex-animal)'!$F$93=1,"",IF(D489="","",(((VLOOKUP($C$487,'Calc (ex-animal)'!$D$93:$Y$97,6,FALSE)-VLOOKUP($C$487,'Calc (ex-animal)'!$D$93:$Y$97,17,FALSE))*F489/100))*VLOOKUP($C$487,'Calc (ex-animal)'!$D$93:$Y$97,7,FALSE)/100*(1-VLOOKUP(D489,'DB technologies'!$N$238:$Y$250,9,FALSE)/100)))</f>
        <v/>
      </c>
      <c r="I489" s="423" t="str">
        <f>IF(D489="","",((VLOOKUP(D489,'DB technologies'!$N$238:$Y$250,2,FALSE)*VLOOKUP($C$487,'DB animal categories'!$C$181:$AC$190,27,FALSE)*E489/1000)/VLOOKUP($C$487,'DB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'!$S$6/100*(1-VLOOKUP(D489,'DB technologies'!$N$238:$Y$250,9,FALSE)/100)))</f>
        <v/>
      </c>
      <c r="J489" s="434" t="str">
        <f>IF(D489="","",((VLOOKUP(D489,'DB technologies'!$N$238:$Y$250,3,FALSE)*VLOOKUP($C$487,'DB animal categories'!$C$181:$AC$190,27,FALSE)*E489/1000)/VLOOKUP($C$487,'DB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'!$S$7/100*(1-VLOOKUP(D489,'DB technologies'!$N$238:$Y$250,9,FALSE)/100)))</f>
        <v/>
      </c>
      <c r="K489" s="434" t="str">
        <f>IF(D489="","",((VLOOKUP(D489,'DB technologies'!$N$238:$Y$250,4,FALSE)*E489*'DB additional information '!$S$8/100*(1-VLOOKUP(D489,'DB technologies'!$N$238:$Y$250,9,FALSE)/100))/VLOOKUP($C$487,'DB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L489" s="423" t="str">
        <f>IF('Calc (ex-animal)'!$F$93=1,"",IF(D489="","",(((VLOOKUP($C$487,'Calc (ex-animal)'!$D$93:$Y$97,6,FALSE)-VLOOKUP($C$487,'Calc (ex-animal)'!$D$93:$Y$97,17,FALSE))*F489/100))*(1-VLOOKUP($C$487,'Calc (ex-animal)'!$D$93:$Y$97,7,FALSE)/100)*(1-VLOOKUP(D489,'DB technologies'!$N$238:$V$250,8,FALSE)/100)))</f>
        <v/>
      </c>
      <c r="M489" s="434" t="str">
        <f>IF(D489="","",((VLOOKUP(D489,'DB technologies'!$N$238:$Y$250,2,FALSE)*VLOOKUP($C$487,'DB animal categories'!$C$181:$AC$190,27,FALSE)*E489/1000)/VLOOKUP($C$487,'DB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'!$S$6/100)*(1-VLOOKUP(D489,'DB technologies'!$N$238:$Y$250,9,FALSE)/100))</f>
        <v/>
      </c>
      <c r="N489" s="434" t="str">
        <f>IF(D489="","",((VLOOKUP(D489,'DB technologies'!$N$238:$Y$250,3,FALSE)*VLOOKUP($C$487,'DB animal categories'!$C$181:$AC$190,27,FALSE)*E489/1000)/VLOOKUP($C$487,'DB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'!$S$7/100)*(1-VLOOKUP(D489,'DB technologies'!$N$238:$Y$250,9,FALSE)/100))</f>
        <v/>
      </c>
      <c r="O489" s="423" t="str">
        <f>IF(D489="","",((VLOOKUP(D489,'DB technologies'!$N$238:$Y$250,4,FALSE)*E489*(1-'DB additional information '!$S$8/100)*(1-VLOOKUP(D489,'DB technologies'!$N$238:$Y$250,8,FALSE)/100))/VLOOKUP($C$487,'DB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P489" s="438" t="str">
        <f>IF(G489=0,0,IF(E489="","",IF(F489="","",IF($C$487=0,"",IF(D489="","",SUM(H489:K489)/G489*100)))))</f>
        <v/>
      </c>
      <c r="Q489" s="416" t="str">
        <f>IF(D489="","",(VLOOKUP(D489,'DB technologies'!$N$238:$Y$250,2,FALSE)*'DB additional information '!$S$6/100*'DB additional information '!$T$6*VLOOKUP($C$487,'DB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R489" s="416" t="str">
        <f>IF(D489="","",(VLOOKUP(D489,'DB technologies'!$N$238:$Y$250,3,FALSE)*'DB additional information '!$S$7/100*'DB additional information '!$T$7*VLOOKUP($C$487,'DB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S489" s="491" t="str">
        <f>IF(D489="","",(VLOOKUP(D489,'DB technologies'!$N$238:$Y$250,4,FALSE)*('DB additional information '!$S$8/100*'DB additional information '!$T$8*E489/1000/1000)))</f>
        <v/>
      </c>
      <c r="T489" s="264" t="str">
        <f>IF($C$487=0,"",IF('Calc (ex-animal)'!$F$93=1,"",IF(D489="","",((VLOOKUP($C$487,'Calc (ex-animal)'!$D$93:$Y$97,10,FALSE)-VLOOKUP($C$487,'Calc (ex-animal)'!$D$93:$Y$97,18,FALSE))*F489/100+Q489+R489+S489)-AC489-AD489-AE489)))</f>
        <v/>
      </c>
      <c r="U489" s="422" t="str">
        <f>IF(D489="","",(VLOOKUP(D489,'DB technologies'!$N$238:$Y$250,2,FALSE)*'DB additional information '!$S$6/100*'DB additional information '!$U$6*VLOOKUP($C$487,'DB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V489" s="418" t="str">
        <f>IF(D489="","",(VLOOKUP(D489,'DB technologies'!$N$238:$Y$250,3,FALSE)*'DB additional information '!$S$7/100*'DB additional information '!$U$7*VLOOKUP($C$487,'DB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W489" s="417" t="str">
        <f>IF(D489="","",(VLOOKUP(D489,'DB technologies'!$N$238:$Y$250,4,FALSE)*('DB additional information '!$S$8/100*'DB additional information '!$U$8*E489/1000/1000)))</f>
        <v/>
      </c>
      <c r="X489" s="261" t="str">
        <f>IF($C$487=0,"",IF('Calc (ex-animal)'!$F$93=1,"",IF(D489="","",((VLOOKUP($C$487,'Calc (ex-animal)'!$D$93:$Y$97,13,FALSE)-VLOOKUP($C$487,'Calc (ex-animal)'!$D$93:$Y$97,19,FALSE))*F489/100+U489+V489+W489))))</f>
        <v/>
      </c>
      <c r="Y489" s="418" t="str">
        <f>IF(D489="","",(VLOOKUP(D489,'DB technologies'!$N$238:$Y$250,2,FALSE)*'DB additional information '!$S$6/100*'DB additional information '!$V$6*VLOOKUP($C$487,'DB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Z489" s="418" t="str">
        <f>IF(D489="","",(VLOOKUP(D489,'DB technologies'!$N$238:$Y$250,3,FALSE)*'DB additional information '!$S$7/100*'DB additional information '!$V$7*VLOOKUP($C$487,'DB animal categories'!$C$181:$AC$190,27,FALSE)*E489/1000/1000)/VLOOKUP($C$487,'DB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AA489" s="418" t="str">
        <f>IF(D489="","",(VLOOKUP(D489,'DB technologies'!$N$238:$Y$250,4,FALSE)*('DB additional information '!$S$8/100*'DB additional information '!$V$8*E489/1000/1000)))</f>
        <v/>
      </c>
      <c r="AB489" s="261" t="str">
        <f>IF($C$487=0,"",IF('Calc (ex-animal)'!$F$93=1,"",IF(D489="","",((VLOOKUP($C$487,'Calc (ex-animal)'!$D$93:$Y$97,16,FALSE)-VLOOKUP($C$487,'Calc (ex-animal)'!$D$93:$Y$97,20,FALSE))*F489/100+Y489+Z489+AA489))))</f>
        <v/>
      </c>
      <c r="AC489" s="261" t="str">
        <f>IF($C$487=0,"",IF('Calc (ex-animal)'!$F$93=1,"",IF(D489="","",VLOOKUP($C$487,'Calc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categories'!$C$181:$AC$190,26,FALSE)/24)*F489/100*VLOOKUP(D489,'DB technologies'!$N$238:$R$250,5,FALSE)/100)))</f>
        <v/>
      </c>
      <c r="AD489" s="261" t="str">
        <f>IF($C$487=0,"",IF('Calc (ex-animal)'!$F$93=1,"",IF(D489="","",VLOOKUP($C$487,'Calc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categories'!$C$181:$AC$190,26,FALSE)/24)*F489/100*VLOOKUP(D489,'DB technologies'!$N$238:$Y$250,6,FALSE)/100)))</f>
        <v/>
      </c>
      <c r="AE489" s="262" t="str">
        <f>IF($C$487=0,"",IF('Calc (ex-animal)'!$F$93=1,"",IF(D489="","",VLOOKUP($C$487,'Calc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categories'!$C$181:$AC$190,26,FALSE)/24)*F489/100*VLOOKUP(D489,'DB technologies'!$N$238:$Y$250,7,FALSE)/100)))</f>
        <v/>
      </c>
      <c r="AI489" s="181" t="str">
        <f>IF(D489="","",VLOOKUP(D489,'DB technologies'!$N$238:$Y$250,10,FALSE))</f>
        <v/>
      </c>
      <c r="AJ489" s="449" t="e">
        <f>VLOOKUP($C$487,'DB animal categories'!$C$181:$AN$190,27,FALSE)-VLOOKUP($C$487,'DB animal categories'!$C$181:$AN$190,26,FALSE)*VLOOKUP($C$487,'DB animal categories'!$C$181:$AN$190,25,FALSE)/24</f>
        <v>#N/A</v>
      </c>
      <c r="AK489" s="442" t="str">
        <f>IF(AI489="","",AL489+AM489)</f>
        <v/>
      </c>
      <c r="AL489" s="442" t="str">
        <f>IF(D489="","",IF(AI489=2,(('Calc (ex-animal)'!$G$93*'DB additional information '!$K$20/100*(1-VLOOKUP(D489,'DB technologies'!$N$238:$Y$250,9,FALSE)/100)*'Calc (ex-housing, ex-storage)'!F489/100+'Calc (ex-animal)'!$H$93*'DB additional information '!$L$20/100*(1-VLOOKUP(D489,'DB technologies'!$N$238:$Y$250,9,FALSE)/100)*'Calc (ex-housing, ex-storage)'!F489/100))/VLOOKUP($C$487,'DB animal categories'!$C$181:$AC$190,27,FALSE)*AJ489+I489+J489+K489,IF(AI489=1,('Calc (ex-animal)'!$H$93*'DB additional information '!$L$20/100*(1-VLOOKUP(D489,'DB technologies'!$N$238:$Y$250,9,FALSE)/100)*'Calc (ex-housing, ex-storage)'!F489/100)/VLOOKUP($C$487,'DB animal categories'!$C$181:$AC$190,27,FALSE)*AJ489,IF(AI489=4,('Calc (ex-animal)'!$G$93*'DB additional information '!$K$20/100+'Calc (ex-animal)'!$H$93*'DB additional information '!$L$20/100)*(1-VLOOKUP(D489,'DB technologies'!$N$238:$Y$250,9,FALSE)/100)*'Calc (ex-housing, ex-storage)'!F489/100*VLOOKUP(D489,'DB technologies'!$N$238:$Y$250,11,FALSE)/100/VLOOKUP($C$487,'DB animal categories'!$C$181:$AC$190,27,FALSE)*AJ489,0))))</f>
        <v/>
      </c>
      <c r="AM489" s="442" t="str">
        <f>IF(D489="","",IF(AI489=2,(('Calc (ex-animal)'!$G$93*(1-'DB additional information '!$K$20/100)*(1-VLOOKUP(D489,'DB technologies'!$N$238:$Y$250,8,FALSE)/100)*'Calc (ex-housing, ex-storage)'!F489/100+'Calc (ex-animal)'!$H$93*(1-'DB additional information '!$L$20/100)*(1-VLOOKUP(D489,'DB technologies'!$N$238:$Y$250,8,FALSE)/100)*'Calc (ex-housing, ex-storage)'!F489/100))/VLOOKUP($C$487,'DB animal categories'!$C$181:$AC$190,27,FALSE)*AJ489+M489+N489+O489,IF(AI489=1,('Calc (ex-animal)'!$H$93*(1-'DB additional information '!$L$20/100)*(1-VLOOKUP(D489,'DB technologies'!$N$238:$Y$250,8,FALSE)/100)*'Calc (ex-housing, ex-storage)'!F489/100)/VLOOKUP($C$487,'DB animal categories'!$C$181:$AC$190,27,FALSE)*AJ489,IF(AI489=4,('Calc (ex-animal)'!$G$93*(1-'DB additional information '!$K$20/100)+'Calc (ex-animal)'!$H$93*(1-'DB additional information '!$L$20/100))*(1-VLOOKUP(D489,'DB technologies'!$N$238:$Y$250,8,FALSE)/100)*'Calc (ex-housing, ex-storage)'!F489/100*VLOOKUP(D489,'DB technologies'!$N$238:$Y$250,11,FALSE)/100/VLOOKUP($C$487,'DB animal categories'!$C$181:$AC$190,27,FALSE)*AJ489,0))))</f>
        <v/>
      </c>
      <c r="AN489" s="442" t="str">
        <f>IF(AI489="","",IF(AL489=0,0,AL489/AK489*100))</f>
        <v/>
      </c>
      <c r="AO489" s="182" t="str">
        <f>IF(D489="","",IF(AI489=2,(('Calc (ex-animal)'!$L$93*'Calc (ex-housing, ex-storage)'!F489/100+'Calc (ex-animal)'!$K$93*'Calc (ex-housing, ex-storage)'!F489/100))/VLOOKUP($C$487,'DB animal categories'!$C$181:$AC$190,27,FALSE)*AJ489+Q489+R489+S489-AC489,IF(AI489=1,('Calc (ex-animal)'!$L$93*'Calc (ex-housing, ex-storage)'!F489/100)/VLOOKUP($C$487,'DB animal categories'!$C$181:$AC$190,27,FALSE)*AJ489-'Calc (ex-housing, ex-storage)'!AC489,IF(AI489=4,('Calc (ex-animal)'!$L$93+'Calc (ex-animal)'!$K$93)*'Calc (ex-housing, ex-storage)'!F489/100*VLOOKUP(D489,'DB technologies'!$N$238:$Y$250,11,FALSE)/100/VLOOKUP($C$487,'DB animal categories'!$C$181:$AC$190,27,FALSE)*AJ489-AC489*VLOOKUP(D489,'DB technologies'!$N$238:$Y$250,11,FALSE)/100,0))))</f>
        <v/>
      </c>
      <c r="AP489" s="182" t="str">
        <f>IF(D489="","",IF(AO489&lt;-0.01,0,IF(AI489=2,(('Calc (ex-animal)'!$L$93*'Calc (ex-housing, ex-storage)'!F489/100+'Calc (ex-animal)'!$K$93*'Calc (ex-housing, ex-storage)'!F489/100))/VLOOKUP($C$487,'DB animal categories'!$C$181:$AC$190,27,FALSE)*AJ489+Q489+R489+S489-AC489,IF(AI489=1,('Calc (ex-animal)'!$L$93*'Calc (ex-housing, ex-storage)'!F489/100)/VLOOKUP($C$487,'DB animal categories'!$C$181:$AC$190,27,FALSE)*AJ489-'Calc (ex-housing, ex-storage)'!AC489,IF(AI489=4,('Calc (ex-animal)'!$L$93+'Calc (ex-animal)'!$K$93)*'Calc (ex-housing, ex-storage)'!F489/100*VLOOKUP(D489,'DB technologies'!$N$238:$Y$250,11,FALSE)/100/VLOOKUP($C$487,'DB animal categories'!$C$181:$AC$190,27,FALSE)*AJ489-AC489*VLOOKUP(D489,'DB technologies'!$N$238:$Y$250,11,FALSE)/100,0)))))</f>
        <v/>
      </c>
      <c r="AQ489" s="182" t="str">
        <f>IF(D489="","",IF(AI489=2,('Calc (ex-animal)'!$O$93*'Calc (ex-housing, ex-storage)'!F489/100+'Calc (ex-animal)'!$N$93*'Calc (ex-housing, ex-storage)'!F489/100)/VLOOKUP($C$487,'DB animal categories'!$C$181:$AC$190,27,FALSE)*AJ489+U489+V489+W489,IF(AI489=1,'Calc (ex-animal)'!$O$93*'Calc (ex-housing, ex-storage)'!F489/100/VLOOKUP($C$487,'DB animal categories'!$C$181:$AC$190,27,FALSE)*AJ489,IF(AI489=4,('Calc (ex-animal)'!$O$93+'Calc (ex-animal)'!$N$93)*'Calc (ex-housing, ex-storage)'!F489/100*VLOOKUP(D489,'DB technologies'!$N$238:$Y$250,11,FALSE)/100/VLOOKUP($C$487,'DB animal categories'!$C$181:$AC$190,27,FALSE)*AJ489,0))))</f>
        <v/>
      </c>
      <c r="AR489" s="182" t="str">
        <f>IF(D489="","",IF(AI489=2,('Calc (ex-animal)'!$R$93*'Calc (ex-housing, ex-storage)'!F489/100+'Calc (ex-animal)'!$Q$93*'Calc (ex-housing, ex-storage)'!F489/100)/VLOOKUP($C$487,'DB animal categories'!$C$181:$AC$190,27,FALSE)*AJ489+Y489+Z489+AA489,IF(AI489=1,'Calc (ex-animal)'!$R$93*'Calc (ex-housing, ex-storage)'!F489/100/VLOOKUP($C$487,'DB animal categories'!$C$181:$AC$190,27,FALSE)*AJ489,IF(AI489=4,('Calc (ex-animal)'!$R$93+'Calc (ex-animal)'!$Q$93)*'Calc (ex-housing, ex-storage)'!F489/100*VLOOKUP(D489,'DB technologies'!$N$238:$Y$250,11,FALSE)/100/VLOOKUP($C$487,'DB animal categories'!$C$181:$AC$190,27,FALSE)*AJ489,0))))</f>
        <v/>
      </c>
      <c r="AS489" s="181" t="str">
        <f>IF(D489="","",VLOOKUP(D489,'DB technologies'!$N$238:$Y$250,10,FALSE))</f>
        <v/>
      </c>
      <c r="AT489" s="442" t="str">
        <f>IF(AS489="","",AU489+AV489)</f>
        <v/>
      </c>
      <c r="AU489" s="442" t="str">
        <f>IF(D489="","",IF(AS489=2,0,IF(AS489=1,'Calc (ex-animal)'!$G$93*'DB additional information '!$K$20/100*(1-VLOOKUP(D489,'DB technologies'!$N$238:$Y$250,8,FALSE)/100)*'Calc (ex-housing, ex-storage)'!F489/100/VLOOKUP($C$487,'DB animal categories'!$C$181:$AC$190,27,FALSE)*AJ489+I489+J489+K489,IF(AS489=5,(('Calc (ex-animal)'!$G$93*'DB additional information '!$K$20/100+'Calc (ex-animal)'!$H$93*'DB additional information '!$L$20/100))*(1-VLOOKUP(D489,'DB technologies'!$N$238:$Y$250,9,FALSE)/100)*'Calc (ex-housing, ex-storage)'!F489/100/VLOOKUP($C$487,'DB animal categories'!$C$181:$AC$190,27,FALSE)*AJ489+I489+J489+K489,IF(AS489=3,('Calc (ex-animal)'!$G$93*'DB additional information '!$K$20/100+'Calc (ex-animal)'!$H$93*'DB additional information '!$L$20/100)*(1-VLOOKUP(D489,'DB technologies'!$N$238:$Y$250,9,FALSE)/100)*'Calc (ex-housing, ex-storage)'!F489/100/VLOOKUP($C$487,'DB animal categories'!$C$181:$AC$190,27,FALSE)*AJ489+I489+J489+K489,IF(AS489=4,('Calc (ex-animal)'!$G$93*'DB additional information '!$K$20/100+'Calc (ex-animal)'!$H$93*'DB additional information '!$L$20/100)*(1-VLOOKUP(D489,'DB technologies'!$N$238:$Y$250,9,FALSE)/100)*'Calc (ex-housing, ex-storage)'!F489/100*VLOOKUP(D489,'DB technologies'!$N$238:$Y$250,12,FALSE)/100/VLOOKUP($C$487,'DB animal categories'!$C$181:$AC$190,27,FALSE)*AJ489+I489+J489+K489,0))))))</f>
        <v/>
      </c>
      <c r="AV489" s="442" t="str">
        <f>IF(D489="","",IF(AS489=2,0,IF(AS489=1,'Calc (ex-animal)'!$G$93*(1-'DB additional information '!$K$20/100)*(1-VLOOKUP(D489,'DB technologies'!$N$238:$Y$250,8,FALSE)/100)*'Calc (ex-housing, ex-storage)'!F489/100/VLOOKUP($C$487,'DB animal categories'!$C$181:$AC$190,27,FALSE)*AJ489+M489+N489+O489,IF(AS489=5,('Calc (ex-animal)'!$G$93*(1-'DB additional information '!$K$20/100)+'Calc (ex-animal)'!$H$93*(1-'DB additional information '!$L$20/100))*(1-VLOOKUP(D489,'DB technologies'!$N$238:$Y$250,8,FALSE)/100)*'Calc (ex-housing, ex-storage)'!F489/100/VLOOKUP($C$487,'DB animal categories'!$C$181:$AC$190,27,FALSE)*AJ489+M489+N489+O489,IF(AS489=3,('Calc (ex-animal)'!$G$93*(1-'DB additional information '!$K$20/100)+'Calc (ex-animal)'!$H$93*(1-'DB additional information '!$L$20/100))*(1-VLOOKUP(D489,'DB technologies'!$N$238:$Y$250,8,FALSE)/100)*'Calc (ex-housing, ex-storage)'!F489/100/VLOOKUP($C$487,'DB animal categories'!$C$181:$AC$190,27,FALSE)*AJ489+M489+N489+O489,IF(AS489=4,('Calc (ex-animal)'!$G$93*(1-'DB additional information '!$K$20/100)+'Calc (ex-animal)'!$H$93*(1-'DB additional information '!$L$20/100))*(1-VLOOKUP(D489,'DB technologies'!$N$238:$Y$250,8,FALSE)/100)*'Calc (ex-housing, ex-storage)'!F489/100*VLOOKUP(D489,'DB technologies'!$N$238:$Y$250,12,FALSE)/100/VLOOKUP($C$487,'DB animal categories'!$C$181:$AC$190,27,FALSE)*AJ489+M489+N489+O489,0))))))</f>
        <v/>
      </c>
      <c r="AW489" s="442" t="str">
        <f>IF(AS489="","",IF(AU489=0,0,AU489/AT489*100))</f>
        <v/>
      </c>
      <c r="AX489" s="182" t="str">
        <f>IF(D489="","",IF(AS489=2,0,IF(AS489=1,'Calc (ex-animal)'!$K$93*'Calc (ex-housing, ex-storage)'!F489/100/VLOOKUP($C$487,'DB animal categories'!$C$181:$AC$190,27,FALSE)*AJ489+Q489+R489+S489,IF(AS489=5,('Calc (ex-animal)'!$K$93+'Calc (ex-animal)'!$L$93)*'Calc (ex-housing, ex-storage)'!F489/100/VLOOKUP($C$487,'DB animal categories'!$C$181:$AC$190,27,FALSE)*AJ489+Q489+R489+S489-'Calc (ex-housing, ex-storage)'!AC489,IF(AS489=3,('Calc (ex-animal)'!$K$93+'Calc (ex-animal)'!$L$93)*'Calc (ex-housing, ex-storage)'!F489/100/VLOOKUP($C$487,'DB animal categories'!$C$181:$AC$190,27,FALSE)*AJ489+Q489+R489+S489-'Calc (ex-housing, ex-storage)'!AC489-AD489-AE489,IF(AI489=4,('Calc (ex-animal)'!$K$93+'Calc (ex-animal)'!$L$93)*'Calc (ex-housing, ex-storage)'!F489/100*VLOOKUP(D489,'DB technologies'!$N$238:$Y$250,12,FALSE)/100/VLOOKUP($C$487,'DB animal categories'!$C$181:$AC$190,27,FALSE)*AJ489+Q489+R489+S489-(VLOOKUP(D489,'DB technologies'!$N$238:$Y$250,12,FALSE)/100*AC489)-AD489-AE489,0))))))</f>
        <v/>
      </c>
      <c r="AY489" s="182" t="str">
        <f>IF(D489="","",IF(AS489=2,0,IF(AS489=1,'Calc (ex-animal)'!$N$93*'Calc (ex-housing, ex-storage)'!F489/100/VLOOKUP($C$487,'DB animal categories'!$C$181:$AC$190,27,FALSE)*AJ489+U489+V489+W489,IF(AS489=5,('Calc (ex-animal)'!$N$93+'Calc (ex-animal)'!$O$93)*'Calc (ex-housing, ex-storage)'!F489/100/VLOOKUP($C$487,'DB animal categories'!$C$181:$AC$190,27,FALSE)*AJ489+U489+V489+W489,IF(AS489=3,('Calc (ex-animal)'!$N$93+'Calc (ex-animal)'!$O$93)*'Calc (ex-housing, ex-storage)'!F489/100/VLOOKUP($C$487,'DB animal categories'!$C$181:$AC$190,27,FALSE)*AJ489+U489+V489+W489,IF(AS489=4,('Calc (ex-animal)'!$N$93+'Calc (ex-animal)'!$O$93)*'Calc (ex-housing, ex-storage)'!F489/100*VLOOKUP(D489,'DB technologies'!$N$238:$Y$250,12,FALSE)/100/VLOOKUP($C$487,'DB animal categories'!$C$181:$AC$190,27,FALSE)*AJ489+U489+V489+W489,0))))))</f>
        <v/>
      </c>
      <c r="AZ489" s="182" t="str">
        <f>IF(D489="","",IF(AS489=2,0,IF(AS489=1,'Calc (ex-animal)'!$Q$93*'Calc (ex-housing, ex-storage)'!F489/100/VLOOKUP($C$487,'DB animal categories'!$C$181:$AC$190,27,FALSE)*AJ489+Y489+Z489+AA489,IF(AS489=5,('Calc (ex-animal)'!$Q$93+'Calc (ex-animal)'!$R$93)*'Calc (ex-housing, ex-storage)'!F489/100/VLOOKUP($C$487,'DB animal categories'!$C$181:$AC$190,27,FALSE)*AJ489+Y489+Z489+AA489,IF(AS489=3,('Calc (ex-animal)'!$Q$93+'Calc (ex-animal)'!$R$93)*'Calc (ex-housing, ex-storage)'!F489/100/VLOOKUP($C$487,'DB animal categories'!$C$181:$AC$190,27,FALSE)*AJ489+Y489+Z489+AA489,IF(AS489=4,('Calc (ex-animal)'!$Q$93+'Calc (ex-animal)'!$R$93)*'Calc (ex-housing, ex-storage)'!F489/100*VLOOKUP(D489,'DB technologies'!$N$238:$Y$250,12,FALSE)/100/VLOOKUP($C$487,'DB animal categories'!$C$181:$AC$190,27,FALSE)*AJ489+Y489+Z489+AA489,0))))))</f>
        <v/>
      </c>
      <c r="BA489" s="506"/>
      <c r="BB489" s="506"/>
      <c r="BC489" s="506"/>
    </row>
    <row r="490" spans="1:55" x14ac:dyDescent="0.2">
      <c r="A490" s="748"/>
      <c r="B490" s="695"/>
      <c r="C490" s="255"/>
      <c r="D490" s="1357"/>
      <c r="E490" s="1358"/>
      <c r="F490" s="480" t="str">
        <f>IF('Calc (ex-animal)'!$F$93=1,"",IF($C$487=0,"",IF(D490="","",E490/'Calc (ex-animal)'!$E$93*100)))</f>
        <v/>
      </c>
      <c r="G490" s="485" t="str">
        <f>IF($C$487=0,"",IF('Calc (ex-animal)'!$F$93=1,"",IF(D490="","",SUM(H490:O490))))</f>
        <v/>
      </c>
      <c r="H490" s="423" t="str">
        <f>IF('Calc (ex-animal)'!$F$93=1,"",IF(D490="","",(((VLOOKUP($C$487,'Calc (ex-animal)'!$D$93:$Y$97,6,FALSE)-VLOOKUP($C$487,'Calc (ex-animal)'!$D$93:$Y$97,17,FALSE))*F490/100))*VLOOKUP($C$487,'Calc (ex-animal)'!$D$93:$Y$97,7,FALSE)/100*(1-VLOOKUP(D490,'DB technologies'!$N$238:$Y$250,9,FALSE)/100)))</f>
        <v/>
      </c>
      <c r="I490" s="423" t="str">
        <f>IF(D490="","",((VLOOKUP(D490,'DB technologies'!$N$238:$Y$250,2,FALSE)*VLOOKUP($C$487,'DB animal categories'!$C$181:$AC$190,27,FALSE)*E490/1000)/VLOOKUP($C$487,'DB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'!$S$6/100*(1-VLOOKUP(D490,'DB technologies'!$N$238:$Y$250,9,FALSE)/100)))</f>
        <v/>
      </c>
      <c r="J490" s="434" t="str">
        <f>IF(D490="","",((VLOOKUP(D490,'DB technologies'!$N$238:$Y$250,3,FALSE)*VLOOKUP($C$487,'DB animal categories'!$C$181:$AC$190,27,FALSE)*E490/1000)/VLOOKUP($C$487,'DB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'!$S$7/100*(1-VLOOKUP(D490,'DB technologies'!$N$238:$Y$250,9,FALSE)/100)))</f>
        <v/>
      </c>
      <c r="K490" s="434" t="str">
        <f>IF(D490="","",((VLOOKUP(D490,'DB technologies'!$N$238:$Y$250,4,FALSE)*E490*'DB additional information '!$S$8/100*(1-VLOOKUP(D490,'DB technologies'!$N$238:$Y$250,9,FALSE)/100))/VLOOKUP($C$487,'DB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L490" s="423" t="str">
        <f>IF('Calc (ex-animal)'!$F$93=1,"",IF(D490="","",(((VLOOKUP($C$487,'Calc (ex-animal)'!$D$93:$Y$97,6,FALSE)-VLOOKUP($C$487,'Calc (ex-animal)'!$D$93:$Y$97,17,FALSE))*F490/100))*(1-VLOOKUP($C$487,'Calc (ex-animal)'!$D$93:$Y$97,7,FALSE)/100)*(1-VLOOKUP(D490,'DB technologies'!$N$238:$V$250,8,FALSE)/100)))</f>
        <v/>
      </c>
      <c r="M490" s="434" t="str">
        <f>IF(D490="","",((VLOOKUP(D490,'DB technologies'!$N$238:$Y$250,2,FALSE)*VLOOKUP($C$487,'DB animal categories'!$C$181:$AC$190,27,FALSE)*E490/1000)/VLOOKUP($C$487,'DB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'!$S$6/100)*(1-VLOOKUP(D490,'DB technologies'!$N$238:$Y$250,9,FALSE)/100))</f>
        <v/>
      </c>
      <c r="N490" s="434" t="str">
        <f>IF(D490="","",((VLOOKUP(D490,'DB technologies'!$N$238:$Y$250,3,FALSE)*VLOOKUP($C$487,'DB animal categories'!$C$181:$AC$190,27,FALSE)*E490/1000)/VLOOKUP($C$487,'DB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'!$S$7/100)*(1-VLOOKUP(D490,'DB technologies'!$N$238:$Y$250,9,FALSE)/100))</f>
        <v/>
      </c>
      <c r="O490" s="423" t="str">
        <f>IF(D490="","",((VLOOKUP(D490,'DB technologies'!$N$238:$Y$250,4,FALSE)*E490*(1-'DB additional information '!$S$8/100)*(1-VLOOKUP(D490,'DB technologies'!$N$238:$Y$250,8,FALSE)/100))/VLOOKUP($C$487,'DB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P490" s="438" t="str">
        <f>IF(G490=0,0,IF(E490="","",IF(F490="","",IF($C$487=0,"",IF(D490="","",SUM(H490:K490)/G490*100)))))</f>
        <v/>
      </c>
      <c r="Q490" s="416" t="str">
        <f>IF(D490="","",(VLOOKUP(D490,'DB technologies'!$N$238:$Y$250,2,FALSE)*'DB additional information '!$S$6/100*'DB additional information '!$T$6*VLOOKUP($C$487,'DB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R490" s="416" t="str">
        <f>IF(D490="","",(VLOOKUP(D490,'DB technologies'!$N$238:$Y$250,3,FALSE)*'DB additional information '!$S$7/100*'DB additional information '!$T$7*VLOOKUP($C$487,'DB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S490" s="491" t="str">
        <f>IF(D490="","",(VLOOKUP(D490,'DB technologies'!$N$238:$Y$250,4,FALSE)*('DB additional information '!$S$8/100*'DB additional information '!$T$8*E490/1000/1000)))</f>
        <v/>
      </c>
      <c r="T490" s="264" t="str">
        <f>IF($C$487=0,"",IF('Calc (ex-animal)'!$F$93=1,"",IF(D490="","",((VLOOKUP($C$487,'Calc (ex-animal)'!$D$93:$Y$97,10,FALSE)-VLOOKUP($C$487,'Calc (ex-animal)'!$D$93:$Y$97,18,FALSE))*F490/100+Q490+R490+S490)-AC490-AD490-AE490)))</f>
        <v/>
      </c>
      <c r="U490" s="422" t="str">
        <f>IF(D490="","",(VLOOKUP(D490,'DB technologies'!$N$238:$Y$250,2,FALSE)*'DB additional information '!$S$6/100*'DB additional information '!$U$6*VLOOKUP($C$487,'DB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V490" s="418" t="str">
        <f>IF(D490="","",(VLOOKUP(D490,'DB technologies'!$N$238:$Y$250,3,FALSE)*'DB additional information '!$S$7/100*'DB additional information '!$U$7*VLOOKUP($C$487,'DB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W490" s="417" t="str">
        <f>IF(D490="","",(VLOOKUP(D490,'DB technologies'!$N$238:$Y$250,4,FALSE)*('DB additional information '!$S$8/100*'DB additional information '!$U$8*E490/1000/1000)))</f>
        <v/>
      </c>
      <c r="X490" s="261" t="str">
        <f>IF($C$487=0,"",IF('Calc (ex-animal)'!$F$93=1,"",IF(D490="","",((VLOOKUP($C$487,'Calc (ex-animal)'!$D$93:$Y$97,13,FALSE)-VLOOKUP($C$487,'Calc (ex-animal)'!$D$93:$Y$97,19,FALSE))*F490/100+U490+V490+W490))))</f>
        <v/>
      </c>
      <c r="Y490" s="418" t="str">
        <f>IF(D490="","",(VLOOKUP(D490,'DB technologies'!$N$238:$Y$250,2,FALSE)*'DB additional information '!$S$6/100*'DB additional information '!$V$6*VLOOKUP($C$487,'DB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Z490" s="418" t="str">
        <f>IF(D490="","",(VLOOKUP(D490,'DB technologies'!$N$238:$Y$250,3,FALSE)*'DB additional information '!$S$7/100*'DB additional information '!$V$7*VLOOKUP($C$487,'DB animal categories'!$C$181:$AC$190,27,FALSE)*E490/1000/1000)/VLOOKUP($C$487,'DB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AA490" s="418" t="str">
        <f>IF(D490="","",(VLOOKUP(D490,'DB technologies'!$N$238:$Y$250,4,FALSE)*('DB additional information '!$S$8/100*'DB additional information '!$V$8*E490/1000/1000)))</f>
        <v/>
      </c>
      <c r="AB490" s="261" t="str">
        <f>IF($C$487=0,"",IF('Calc (ex-animal)'!$F$93=1,"",IF(D490="","",((VLOOKUP($C$487,'Calc (ex-animal)'!$D$93:$Y$97,16,FALSE)-VLOOKUP($C$487,'Calc (ex-animal)'!$D$93:$Y$97,20,FALSE))*F490/100+Y490+Z490+AA490))))</f>
        <v/>
      </c>
      <c r="AC490" s="261" t="str">
        <f>IF($C$487=0,"",IF('Calc (ex-animal)'!$F$93=1,"",IF(D490="","",VLOOKUP($C$487,'Calc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categories'!$C$181:$AC$190,26,FALSE)/24)*F490/100*VLOOKUP(D490,'DB technologies'!$N$238:$R$250,5,FALSE)/100)))</f>
        <v/>
      </c>
      <c r="AD490" s="261" t="str">
        <f>IF($C$487=0,"",IF('Calc (ex-animal)'!$F$93=1,"",IF(D490="","",VLOOKUP($C$487,'Calc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categories'!$C$181:$AC$190,26,FALSE)/24)*F490/100*VLOOKUP(D490,'DB technologies'!$N$238:$Y$250,6,FALSE)/100)))</f>
        <v/>
      </c>
      <c r="AE490" s="262" t="str">
        <f>IF($C$487=0,"",IF('Calc (ex-animal)'!$F$93=1,"",IF(D490="","",VLOOKUP($C$487,'Calc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categories'!$C$181:$AC$190,26,FALSE)/24)*F490/100*VLOOKUP(D490,'DB technologies'!$N$238:$Y$250,7,FALSE)/100)))</f>
        <v/>
      </c>
      <c r="AI490" s="181" t="str">
        <f>IF(D490="","",VLOOKUP(D490,'DB technologies'!$N$238:$Y$250,10,FALSE))</f>
        <v/>
      </c>
      <c r="AJ490" s="449" t="e">
        <f>VLOOKUP($C$487,'DB animal categories'!$C$181:$AN$190,27,FALSE)-VLOOKUP($C$487,'DB animal categories'!$C$181:$AN$190,26,FALSE)*VLOOKUP($C$487,'DB animal categories'!$C$181:$AN$190,25,FALSE)/24</f>
        <v>#N/A</v>
      </c>
      <c r="AK490" s="442" t="str">
        <f>IF(AI490="","",AL490+AM490)</f>
        <v/>
      </c>
      <c r="AL490" s="442" t="str">
        <f>IF(D490="","",IF(AI490=2,(('Calc (ex-animal)'!$G$93*'DB additional information '!$K$20/100*(1-VLOOKUP(D490,'DB technologies'!$N$238:$Y$250,9,FALSE)/100)*'Calc (ex-housing, ex-storage)'!F490/100+'Calc (ex-animal)'!$H$93*'DB additional information '!$L$20/100*(1-VLOOKUP(D490,'DB technologies'!$N$238:$Y$250,9,FALSE)/100)*'Calc (ex-housing, ex-storage)'!F490/100))/VLOOKUP($C$487,'DB animal categories'!$C$181:$AC$190,27,FALSE)*AJ490+I490+J490+K490,IF(AI490=1,('Calc (ex-animal)'!$H$93*'DB additional information '!$L$20/100*(1-VLOOKUP(D490,'DB technologies'!$N$238:$Y$250,9,FALSE)/100)*'Calc (ex-housing, ex-storage)'!F490/100)/VLOOKUP($C$487,'DB animal categories'!$C$181:$AC$190,27,FALSE)*AJ490,IF(AI490=4,('Calc (ex-animal)'!$G$93*'DB additional information '!$K$20/100+'Calc (ex-animal)'!$H$93*'DB additional information '!$L$20/100)*(1-VLOOKUP(D490,'DB technologies'!$N$238:$Y$250,9,FALSE)/100)*'Calc (ex-housing, ex-storage)'!F490/100*VLOOKUP(D490,'DB technologies'!$N$238:$Y$250,11,FALSE)/100/VLOOKUP($C$487,'DB animal categories'!$C$181:$AC$190,27,FALSE)*AJ490,0))))</f>
        <v/>
      </c>
      <c r="AM490" s="442" t="str">
        <f>IF(D490="","",IF(AI490=2,(('Calc (ex-animal)'!$G$93*(1-'DB additional information '!$K$20/100)*(1-VLOOKUP(D490,'DB technologies'!$N$238:$Y$250,8,FALSE)/100)*'Calc (ex-housing, ex-storage)'!F490/100+'Calc (ex-animal)'!$H$93*(1-'DB additional information '!$L$20/100)*(1-VLOOKUP(D490,'DB technologies'!$N$238:$Y$250,8,FALSE)/100)*'Calc (ex-housing, ex-storage)'!F490/100))/VLOOKUP($C$487,'DB animal categories'!$C$181:$AC$190,27,FALSE)*AJ490+M490+N490+O490,IF(AI490=1,('Calc (ex-animal)'!$H$93*(1-'DB additional information '!$L$20/100)*(1-VLOOKUP(D490,'DB technologies'!$N$238:$Y$250,8,FALSE)/100)*'Calc (ex-housing, ex-storage)'!F490/100)/VLOOKUP($C$487,'DB animal categories'!$C$181:$AC$190,27,FALSE)*AJ490,IF(AI490=4,('Calc (ex-animal)'!$G$93*(1-'DB additional information '!$K$20/100)+'Calc (ex-animal)'!$H$93*(1-'DB additional information '!$L$20/100))*(1-VLOOKUP(D490,'DB technologies'!$N$238:$Y$250,8,FALSE)/100)*'Calc (ex-housing, ex-storage)'!F490/100*VLOOKUP(D490,'DB technologies'!$N$238:$Y$250,11,FALSE)/100/VLOOKUP($C$487,'DB animal categories'!$C$181:$AC$190,27,FALSE)*AJ490,0))))</f>
        <v/>
      </c>
      <c r="AN490" s="442" t="str">
        <f>IF(AI490="","",IF(AL490=0,0,AL490/AK490*100))</f>
        <v/>
      </c>
      <c r="AO490" s="182" t="str">
        <f>IF(D490="","",IF(AI490=2,(('Calc (ex-animal)'!$L$93*'Calc (ex-housing, ex-storage)'!F490/100+'Calc (ex-animal)'!$K$93*'Calc (ex-housing, ex-storage)'!F490/100))/VLOOKUP($C$487,'DB animal categories'!$C$181:$AC$190,27,FALSE)*AJ490+Q490+R490+S490-AC490,IF(AI490=1,('Calc (ex-animal)'!$L$93*'Calc (ex-housing, ex-storage)'!F490/100)/VLOOKUP($C$487,'DB animal categories'!$C$181:$AC$190,27,FALSE)*AJ490-'Calc (ex-housing, ex-storage)'!AC490,IF(AI490=4,('Calc (ex-animal)'!$L$93+'Calc (ex-animal)'!$K$93)*'Calc (ex-housing, ex-storage)'!F490/100*VLOOKUP(D490,'DB technologies'!$N$238:$Y$250,11,FALSE)/100/VLOOKUP($C$487,'DB animal categories'!$C$181:$AC$190,27,FALSE)*AJ490-AC490*VLOOKUP(D490,'DB technologies'!$N$238:$Y$250,11,FALSE)/100,0))))</f>
        <v/>
      </c>
      <c r="AP490" s="182" t="str">
        <f>IF(D490="","",IF(AO490&lt;-0.01,0,IF(AI490=2,(('Calc (ex-animal)'!$L$93*'Calc (ex-housing, ex-storage)'!F490/100+'Calc (ex-animal)'!$K$93*'Calc (ex-housing, ex-storage)'!F490/100))/VLOOKUP($C$487,'DB animal categories'!$C$181:$AC$190,27,FALSE)*AJ490+Q490+R490+S490-AC490,IF(AI490=1,('Calc (ex-animal)'!$L$93*'Calc (ex-housing, ex-storage)'!F490/100)/VLOOKUP($C$487,'DB animal categories'!$C$181:$AC$190,27,FALSE)*AJ490-'Calc (ex-housing, ex-storage)'!AC490,IF(AI490=4,('Calc (ex-animal)'!$L$93+'Calc (ex-animal)'!$K$93)*'Calc (ex-housing, ex-storage)'!F490/100*VLOOKUP(D490,'DB technologies'!$N$238:$Y$250,11,FALSE)/100/VLOOKUP($C$487,'DB animal categories'!$C$181:$AC$190,27,FALSE)*AJ490-AC490*VLOOKUP(D490,'DB technologies'!$N$238:$Y$250,11,FALSE)/100,0)))))</f>
        <v/>
      </c>
      <c r="AQ490" s="182" t="str">
        <f>IF(D490="","",IF(AI490=2,('Calc (ex-animal)'!$O$93*'Calc (ex-housing, ex-storage)'!F490/100+'Calc (ex-animal)'!$N$93*'Calc (ex-housing, ex-storage)'!F490/100)/VLOOKUP($C$487,'DB animal categories'!$C$181:$AC$190,27,FALSE)*AJ490+U490+V490+W490,IF(AI490=1,'Calc (ex-animal)'!$O$93*'Calc (ex-housing, ex-storage)'!F490/100/VLOOKUP($C$487,'DB animal categories'!$C$181:$AC$190,27,FALSE)*AJ490,IF(AI490=4,('Calc (ex-animal)'!$O$93+'Calc (ex-animal)'!$N$93)*'Calc (ex-housing, ex-storage)'!F490/100*VLOOKUP(D490,'DB technologies'!$N$238:$Y$250,11,FALSE)/100/VLOOKUP($C$487,'DB animal categories'!$C$181:$AC$190,27,FALSE)*AJ490,0))))</f>
        <v/>
      </c>
      <c r="AR490" s="182" t="str">
        <f>IF(D490="","",IF(AI490=2,('Calc (ex-animal)'!$R$93*'Calc (ex-housing, ex-storage)'!F490/100+'Calc (ex-animal)'!$Q$93*'Calc (ex-housing, ex-storage)'!F490/100)/VLOOKUP($C$487,'DB animal categories'!$C$181:$AC$190,27,FALSE)*AJ490+Y490+Z490+AA490,IF(AI490=1,'Calc (ex-animal)'!$R$93*'Calc (ex-housing, ex-storage)'!F490/100/VLOOKUP($C$487,'DB animal categories'!$C$181:$AC$190,27,FALSE)*AJ490,IF(AI490=4,('Calc (ex-animal)'!$R$93+'Calc (ex-animal)'!$Q$93)*'Calc (ex-housing, ex-storage)'!F490/100*VLOOKUP(D490,'DB technologies'!$N$238:$Y$250,11,FALSE)/100/VLOOKUP($C$487,'DB animal categories'!$C$181:$AC$190,27,FALSE)*AJ490,0))))</f>
        <v/>
      </c>
      <c r="AS490" s="181" t="str">
        <f>IF(D490="","",VLOOKUP(D490,'DB technologies'!$N$238:$Y$250,10,FALSE))</f>
        <v/>
      </c>
      <c r="AT490" s="442" t="str">
        <f>IF(AS490="","",AU490+AV490)</f>
        <v/>
      </c>
      <c r="AU490" s="442" t="str">
        <f>IF(D490="","",IF(AS490=2,0,IF(AS490=1,'Calc (ex-animal)'!$G$93*'DB additional information '!$K$20/100*(1-VLOOKUP(D490,'DB technologies'!$N$238:$Y$250,8,FALSE)/100)*'Calc (ex-housing, ex-storage)'!F490/100/VLOOKUP($C$487,'DB animal categories'!$C$181:$AC$190,27,FALSE)*AJ490+I490+J490+K490,IF(AS490=5,(('Calc (ex-animal)'!$G$93*'DB additional information '!$K$20/100+'Calc (ex-animal)'!$H$93*'DB additional information '!$L$20/100))*(1-VLOOKUP(D490,'DB technologies'!$N$238:$Y$250,9,FALSE)/100)*'Calc (ex-housing, ex-storage)'!F490/100/VLOOKUP($C$487,'DB animal categories'!$C$181:$AC$190,27,FALSE)*AJ490+I490+J490+K490,IF(AS490=3,('Calc (ex-animal)'!$G$93*'DB additional information '!$K$20/100+'Calc (ex-animal)'!$H$93*'DB additional information '!$L$20/100)*(1-VLOOKUP(D490,'DB technologies'!$N$238:$Y$250,9,FALSE)/100)*'Calc (ex-housing, ex-storage)'!F490/100/VLOOKUP($C$487,'DB animal categories'!$C$181:$AC$190,27,FALSE)*AJ490+I490+J490+K490,IF(AS490=4,('Calc (ex-animal)'!$G$93*'DB additional information '!$K$20/100+'Calc (ex-animal)'!$H$93*'DB additional information '!$L$20/100)*(1-VLOOKUP(D490,'DB technologies'!$N$238:$Y$250,9,FALSE)/100)*'Calc (ex-housing, ex-storage)'!F490/100*VLOOKUP(D490,'DB technologies'!$N$238:$Y$250,12,FALSE)/100/VLOOKUP($C$487,'DB animal categories'!$C$181:$AC$190,27,FALSE)*AJ490+I490+J490+K490,0))))))</f>
        <v/>
      </c>
      <c r="AV490" s="442" t="str">
        <f>IF(D490="","",IF(AS490=2,0,IF(AS490=1,'Calc (ex-animal)'!$G$93*(1-'DB additional information '!$K$20/100)*(1-VLOOKUP(D490,'DB technologies'!$N$238:$Y$250,8,FALSE)/100)*'Calc (ex-housing, ex-storage)'!F490/100/VLOOKUP($C$487,'DB animal categories'!$C$181:$AC$190,27,FALSE)*AJ490+M490+N490+O490,IF(AS490=5,('Calc (ex-animal)'!$G$93*(1-'DB additional information '!$K$20/100)+'Calc (ex-animal)'!$H$93*(1-'DB additional information '!$L$20/100))*(1-VLOOKUP(D490,'DB technologies'!$N$238:$Y$250,8,FALSE)/100)*'Calc (ex-housing, ex-storage)'!F490/100/VLOOKUP($C$487,'DB animal categories'!$C$181:$AC$190,27,FALSE)*AJ490+M490+N490+O490,IF(AS490=3,('Calc (ex-animal)'!$G$93*(1-'DB additional information '!$K$20/100)+'Calc (ex-animal)'!$H$93*(1-'DB additional information '!$L$20/100))*(1-VLOOKUP(D490,'DB technologies'!$N$238:$Y$250,8,FALSE)/100)*'Calc (ex-housing, ex-storage)'!F490/100/VLOOKUP($C$487,'DB animal categories'!$C$181:$AC$190,27,FALSE)*AJ490+M490+N490+O490,IF(AS490=4,('Calc (ex-animal)'!$G$93*(1-'DB additional information '!$K$20/100)+'Calc (ex-animal)'!$H$93*(1-'DB additional information '!$L$20/100))*(1-VLOOKUP(D490,'DB technologies'!$N$238:$Y$250,8,FALSE)/100)*'Calc (ex-housing, ex-storage)'!F490/100*VLOOKUP(D490,'DB technologies'!$N$238:$Y$250,12,FALSE)/100/VLOOKUP($C$487,'DB animal categories'!$C$181:$AC$190,27,FALSE)*AJ490+M490+N490+O490,0))))))</f>
        <v/>
      </c>
      <c r="AW490" s="442" t="str">
        <f>IF(AS490="","",IF(AU490=0,0,AU490/AT490*100))</f>
        <v/>
      </c>
      <c r="AX490" s="182" t="str">
        <f>IF(D490="","",IF(AS490=2,0,IF(AS490=1,'Calc (ex-animal)'!$K$93*'Calc (ex-housing, ex-storage)'!F490/100/VLOOKUP($C$487,'DB animal categories'!$C$181:$AC$190,27,FALSE)*AJ490+Q490+R490+S490,IF(AS490=5,('Calc (ex-animal)'!$K$93+'Calc (ex-animal)'!$L$93)*'Calc (ex-housing, ex-storage)'!F490/100/VLOOKUP($C$487,'DB animal categories'!$C$181:$AC$190,27,FALSE)*AJ490+Q490+R490+S490-'Calc (ex-housing, ex-storage)'!AC490,IF(AS490=3,('Calc (ex-animal)'!$K$93+'Calc (ex-animal)'!$L$93)*'Calc (ex-housing, ex-storage)'!F490/100/VLOOKUP($C$487,'DB animal categories'!$C$181:$AC$190,27,FALSE)*AJ490+Q490+R490+S490-'Calc (ex-housing, ex-storage)'!AC490-AD490-AE490,IF(AI490=4,('Calc (ex-animal)'!$K$93+'Calc (ex-animal)'!$L$93)*'Calc (ex-housing, ex-storage)'!F490/100*VLOOKUP(D490,'DB technologies'!$N$238:$Y$250,12,FALSE)/100/VLOOKUP($C$487,'DB animal categories'!$C$181:$AC$190,27,FALSE)*AJ490+Q490+R490+S490-(VLOOKUP(D490,'DB technologies'!$N$238:$Y$250,12,FALSE)/100*AC490)-AD490-AE490,0))))))</f>
        <v/>
      </c>
      <c r="AY490" s="182" t="str">
        <f>IF(D490="","",IF(AS490=2,0,IF(AS490=1,'Calc (ex-animal)'!$N$93*'Calc (ex-housing, ex-storage)'!F490/100/VLOOKUP($C$487,'DB animal categories'!$C$181:$AC$190,27,FALSE)*AJ490+U490+V490+W490,IF(AS490=5,('Calc (ex-animal)'!$N$93+'Calc (ex-animal)'!$O$93)*'Calc (ex-housing, ex-storage)'!F490/100/VLOOKUP($C$487,'DB animal categories'!$C$181:$AC$190,27,FALSE)*AJ490+U490+V490+W490,IF(AS490=3,('Calc (ex-animal)'!$N$93+'Calc (ex-animal)'!$O$93)*'Calc (ex-housing, ex-storage)'!F490/100/VLOOKUP($C$487,'DB animal categories'!$C$181:$AC$190,27,FALSE)*AJ490+U490+V490+W490,IF(AS490=4,('Calc (ex-animal)'!$N$93+'Calc (ex-animal)'!$O$93)*'Calc (ex-housing, ex-storage)'!F490/100*VLOOKUP(D490,'DB technologies'!$N$238:$Y$250,12,FALSE)/100/VLOOKUP($C$487,'DB animal categories'!$C$181:$AC$190,27,FALSE)*AJ490+U490+V490+W490,0))))))</f>
        <v/>
      </c>
      <c r="AZ490" s="182" t="str">
        <f>IF(D490="","",IF(AS490=2,0,IF(AS490=1,'Calc (ex-animal)'!$Q$93*'Calc (ex-housing, ex-storage)'!F490/100/VLOOKUP($C$487,'DB animal categories'!$C$181:$AC$190,27,FALSE)*AJ490+Y490+Z490+AA490,IF(AS490=5,('Calc (ex-animal)'!$Q$93+'Calc (ex-animal)'!$R$93)*'Calc (ex-housing, ex-storage)'!F490/100/VLOOKUP($C$487,'DB animal categories'!$C$181:$AC$190,27,FALSE)*AJ490+Y490+Z490+AA490,IF(AS490=3,('Calc (ex-animal)'!$Q$93+'Calc (ex-animal)'!$R$93)*'Calc (ex-housing, ex-storage)'!F490/100/VLOOKUP($C$487,'DB animal categories'!$C$181:$AC$190,27,FALSE)*AJ490+Y490+Z490+AA490,IF(AS490=4,('Calc (ex-animal)'!$Q$93+'Calc (ex-animal)'!$R$93)*'Calc (ex-housing, ex-storage)'!F490/100*VLOOKUP(D490,'DB technologies'!$N$238:$Y$250,12,FALSE)/100/VLOOKUP($C$487,'DB animal categories'!$C$181:$AC$190,27,FALSE)*AJ490+Y490+Z490+AA490,0))))))</f>
        <v/>
      </c>
      <c r="BA490" s="506"/>
      <c r="BB490" s="506"/>
      <c r="BC490" s="506"/>
    </row>
    <row r="491" spans="1:55" ht="12" thickBot="1" x14ac:dyDescent="0.25">
      <c r="A491" s="748"/>
      <c r="B491" s="695"/>
      <c r="C491" s="255"/>
      <c r="D491" s="1359"/>
      <c r="E491" s="1360"/>
      <c r="F491" s="481" t="str">
        <f>IF('Calc (ex-animal)'!$F$93=1,"",IF($C$487=0,"",IF(D491="","",E491/'Calc (ex-animal)'!$E$93*100)))</f>
        <v/>
      </c>
      <c r="G491" s="483" t="str">
        <f>IF($C$487=0,"",IF('Calc (ex-animal)'!$F$93=1,"",IF(D491="","",SUM(H491:O491))))</f>
        <v/>
      </c>
      <c r="H491" s="445" t="str">
        <f>IF('Calc (ex-animal)'!$F$93=1,"",IF(D491="","",(((VLOOKUP($C$487,'Calc (ex-animal)'!$D$93:$Y$97,6,FALSE)-VLOOKUP($C$487,'Calc (ex-animal)'!$D$93:$Y$97,17,FALSE))*F491/100))*VLOOKUP($C$487,'Calc (ex-animal)'!$D$93:$Y$97,7,FALSE)/100*(1-VLOOKUP(D491,'DB technologies'!$N$238:$Y$250,9,FALSE)/100)))</f>
        <v/>
      </c>
      <c r="I491" s="445" t="str">
        <f>IF(D491="","",((VLOOKUP(D491,'DB technologies'!$N$238:$Y$250,2,FALSE)*VLOOKUP($C$487,'DB animal categories'!$C$181:$AC$190,27,FALSE)*E491/1000)/VLOOKUP($C$487,'DB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'!$S$6/100*(1-VLOOKUP(D491,'DB technologies'!$N$238:$Y$250,9,FALSE)/100)))</f>
        <v/>
      </c>
      <c r="J491" s="446" t="str">
        <f>IF(D491="","",((VLOOKUP(D491,'DB technologies'!$N$238:$Y$250,3,FALSE)*VLOOKUP($C$487,'DB animal categories'!$C$181:$AC$190,27,FALSE)*E491/1000)/VLOOKUP($C$487,'DB animal categories'!$C$181:$AC$190,27,FALSE)*(VLOOKUP($C$487,'DB animal categories'!$C$181:$AC$190,27,FALSE)-(VLOOKUP($C$487,'DB animal categories'!$C$181:$AC$190,25,FALSE)*VLOOKUP($C$487,'DB animal categories'!$C$181:$AC$190,26,FALSE)/24))*'DB additional information '!$S$7/100*(1-VLOOKUP(D491,'DB technologies'!$N$238:$Y$250,9,FALSE)/100)))</f>
        <v/>
      </c>
      <c r="K491" s="446" t="str">
        <f>IF(D491="","",((VLOOKUP(D491,'DB technologies'!$N$238:$Y$250,4,FALSE)*E491*'DB additional information '!$S$8/100*(1-VLOOKUP(D491,'DB technologies'!$N$238:$Y$250,9,FALSE)/100))/VLOOKUP($C$487,'DB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L491" s="445" t="str">
        <f>IF('Calc (ex-animal)'!$F$93=1,"",IF(D491="","",(((VLOOKUP($C$487,'Calc (ex-animal)'!$D$93:$Y$97,6,FALSE)-VLOOKUP($C$487,'Calc (ex-animal)'!$D$93:$Y$97,17,FALSE))*F491/100))*(1-VLOOKUP($C$487,'Calc (ex-animal)'!$D$93:$Y$97,7,FALSE)/100)*(1-VLOOKUP(D491,'DB technologies'!$N$238:$V$250,8,FALSE)/100)))</f>
        <v/>
      </c>
      <c r="M491" s="446" t="str">
        <f>IF(D491="","",((VLOOKUP(D491,'DB technologies'!$N$238:$Y$250,2,FALSE)*VLOOKUP($C$487,'DB animal categories'!$C$181:$AC$190,27,FALSE)*E491/1000)/VLOOKUP($C$487,'DB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'!$S$6/100)*(1-VLOOKUP(D491,'DB technologies'!$N$238:$Y$250,9,FALSE)/100))</f>
        <v/>
      </c>
      <c r="N491" s="446" t="str">
        <f>IF(D491="","",((VLOOKUP(D491,'DB technologies'!$N$238:$Y$250,3,FALSE)*VLOOKUP($C$487,'DB animal categories'!$C$181:$AC$190,27,FALSE)*E491/1000)/VLOOKUP($C$487,'DB animal categories'!$C$181:$AC$190,27,FALSE)*(VLOOKUP($C$487,'DB animal categories'!$C$181:$AC$190,27,FALSE)-VLOOKUP($C$487,'DB animal categories'!$C$181:$AC$190,25,FALSE)*VLOOKUP($C$487,'DB animal categories'!$C$181:$AC$190,26,FALSE)/24))*(1-'DB additional information '!$S$7/100)*(1-VLOOKUP(D491,'DB technologies'!$N$238:$Y$250,9,FALSE)/100))</f>
        <v/>
      </c>
      <c r="O491" s="445" t="str">
        <f>IF(D491="","",((VLOOKUP(D491,'DB technologies'!$N$238:$Y$250,4,FALSE)*E491*(1-'DB additional information '!$S$8/100)*(1-VLOOKUP(D491,'DB technologies'!$N$238:$Y$250,8,FALSE)/100))/VLOOKUP($C$487,'DB animal categories'!$C$181:$AC$190,27,FALSE)*(VLOOKUP($C$487,'DB animal categories'!$C$181:$AC$190,27,FALSE)-VLOOKUP($C$487,'DB animal categories'!$C$181:$AC$190,25,FALSE)*VLOOKUP($C$487,'DB animal categories'!$C$181:$AC$190,26,FALSE)/24)))</f>
        <v/>
      </c>
      <c r="P491" s="444" t="str">
        <f>IF(G491=0,0,IF(E491="","",IF(F491="","",IF($C$487=0,"",IF(D491="","",SUM(H491:K491)/G491*100)))))</f>
        <v/>
      </c>
      <c r="Q491" s="476" t="str">
        <f>IF(D491="","",(VLOOKUP(D491,'DB technologies'!$N$238:$Y$250,2,FALSE)*'DB additional information '!$S$6/100*'DB additional information '!$T$6*VLOOKUP($C$487,'DB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R491" s="476" t="str">
        <f>IF(D491="","",(VLOOKUP(D491,'DB technologies'!$N$238:$Y$250,3,FALSE)*'DB additional information '!$S$7/100*'DB additional information '!$T$7*VLOOKUP($C$487,'DB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S491" s="494" t="str">
        <f>IF(D491="","",(VLOOKUP(D491,'DB technologies'!$N$238:$Y$250,4,FALSE)*('DB additional information '!$S$8/100*'DB additional information '!$T$8*E491/1000/1000)))</f>
        <v/>
      </c>
      <c r="T491" s="266" t="str">
        <f>IF($C$487=0,"",IF('Calc (ex-animal)'!$F$93=1,"",IF(D491="","",((VLOOKUP($C$487,'Calc (ex-animal)'!$D$93:$Y$97,10,FALSE)-VLOOKUP($C$487,'Calc (ex-animal)'!$D$93:$Y$97,18,FALSE))*F491/100+Q491+R491+S491)-AC491-AD491-AE491)))</f>
        <v/>
      </c>
      <c r="U491" s="477" t="str">
        <f>IF(D491="","",(VLOOKUP(D491,'DB technologies'!$N$238:$Y$250,2,FALSE)*'DB additional information '!$S$6/100*'DB additional information '!$U$6*VLOOKUP($C$487,'DB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V491" s="433" t="str">
        <f>IF(D491="","",(VLOOKUP(D491,'DB technologies'!$N$238:$Y$250,3,FALSE)*'DB additional information '!$S$7/100*'DB additional information '!$U$7*VLOOKUP($C$487,'DB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W491" s="475" t="str">
        <f>IF(D491="","",(VLOOKUP(D491,'DB technologies'!$N$238:$Y$250,4,FALSE)*('DB additional information '!$S$8/100*'DB additional information '!$U$8*E491/1000/1000)))</f>
        <v/>
      </c>
      <c r="X491" s="267" t="str">
        <f>IF($C$487=0,"",IF('Calc (ex-animal)'!$F$93=1,"",IF(D491="","",((VLOOKUP($C$487,'Calc (ex-animal)'!$D$93:$Y$97,13,FALSE)-VLOOKUP($C$487,'Calc (ex-animal)'!$D$93:$Y$97,19,FALSE))*F491/100+U491+V491+W491))))</f>
        <v/>
      </c>
      <c r="Y491" s="433" t="str">
        <f>IF(D491="","",(VLOOKUP(D491,'DB technologies'!$N$238:$Y$250,2,FALSE)*'DB additional information '!$S$6/100*'DB additional information '!$V$6*VLOOKUP($C$487,'DB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Z491" s="433" t="str">
        <f>IF(D491="","",(VLOOKUP(D491,'DB technologies'!$N$238:$Y$250,3,FALSE)*'DB additional information '!$S$7/100*'DB additional information '!$V$7*VLOOKUP($C$487,'DB animal categories'!$C$181:$AC$190,27,FALSE)*E491/1000/1000)/VLOOKUP($C$487,'DB animal categories'!$C$181:$AC$190,27,FALSE)*(VLOOKUP($C$487,'DB animal categories'!$C$181:$AC$190,27,FALSE)-VLOOKUP($C$487,'DB animal categories'!$C$181:$AC$190,25,FALSE)*VLOOKUP($C$487,'DB animal categories'!$C$181:$AC$190,26,FALSE)/24))</f>
        <v/>
      </c>
      <c r="AA491" s="433" t="str">
        <f>IF(D491="","",(VLOOKUP(D491,'DB technologies'!$N$238:$Y$250,4,FALSE)*('DB additional information '!$S$8/100*'DB additional information '!$V$8*E491/1000/1000)))</f>
        <v/>
      </c>
      <c r="AB491" s="267" t="str">
        <f>IF($C$487=0,"",IF('Calc (ex-animal)'!$F$93=1,"",IF(D491="","",((VLOOKUP($C$487,'Calc (ex-animal)'!$D$93:$Y$97,16,FALSE)-VLOOKUP($C$487,'Calc (ex-animal)'!$D$93:$Y$97,20,FALSE))*F491/100+Y491+Z491+AA491))))</f>
        <v/>
      </c>
      <c r="AC491" s="267" t="str">
        <f>IF($C$487=0,"",IF('Calc (ex-animal)'!$F$93=1,"",IF(D491="","",VLOOKUP($C$487,'Calc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categories'!$C$181:$AC$190,26,FALSE)/24)*F491/100*VLOOKUP(D491,'DB technologies'!$N$238:$R$250,5,FALSE)/100)))</f>
        <v/>
      </c>
      <c r="AD491" s="267" t="str">
        <f>IF($C$487=0,"",IF('Calc (ex-animal)'!$F$93=1,"",IF(D491="","",VLOOKUP($C$487,'Calc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categories'!$C$181:$AC$190,26,FALSE)/24)*F491/100*VLOOKUP(D491,'DB technologies'!$N$238:$Y$250,6,FALSE)/100)))</f>
        <v/>
      </c>
      <c r="AE491" s="268" t="str">
        <f>IF($C$487=0,"",IF('Calc (ex-animal)'!$F$93=1,"",IF(D491="","",VLOOKUP($C$487,'Calc (ex-animal)'!$D$93:$Y$97,10,FALSE)/VLOOKUP($C$487,'DB animal categories'!$C$181:$AC$190,27,FALSE)*(VLOOKUP($C$487,'DB animal categories'!$C$181:$AC$190,27,FALSE)-VLOOKUP($C$487,'DB animal categories'!$C$181:$AC$190,25,FALSE)*VLOOKUP($C$487,'DB animal categories'!$C$181:$AC$190,26,FALSE)/24)*F491/100*VLOOKUP(D491,'DB technologies'!$N$238:$Y$250,7,FALSE)/100)))</f>
        <v/>
      </c>
      <c r="AI491" s="183" t="str">
        <f>IF(D491="","",VLOOKUP(D491,'DB technologies'!$N$238:$Y$250,10,FALSE))</f>
        <v/>
      </c>
      <c r="AJ491" s="451" t="e">
        <f>VLOOKUP($C$487,'DB animal categories'!$C$181:$AN$190,27,FALSE)-VLOOKUP($C$487,'DB animal categories'!$C$181:$AN$190,26,FALSE)*VLOOKUP($C$487,'DB animal categories'!$C$181:$AN$190,25,FALSE)/24</f>
        <v>#N/A</v>
      </c>
      <c r="AK491" s="452" t="str">
        <f>IF(AI491="","",AL491+AM491)</f>
        <v/>
      </c>
      <c r="AL491" s="452" t="str">
        <f>IF(D491="","",IF(AI491=2,(('Calc (ex-animal)'!$G$93*'DB additional information '!$K$20/100*(1-VLOOKUP(D491,'DB technologies'!$N$238:$Y$250,9,FALSE)/100)*'Calc (ex-housing, ex-storage)'!F491/100+'Calc (ex-animal)'!$H$93*'DB additional information '!$L$20/100*(1-VLOOKUP(D491,'DB technologies'!$N$238:$Y$250,9,FALSE)/100)*'Calc (ex-housing, ex-storage)'!F491/100))/VLOOKUP($C$487,'DB animal categories'!$C$181:$AC$190,27,FALSE)*AJ491+I491+J491+K491,IF(AI491=1,('Calc (ex-animal)'!$H$93*'DB additional information '!$L$20/100*(1-VLOOKUP(D491,'DB technologies'!$N$238:$Y$250,9,FALSE)/100)*'Calc (ex-housing, ex-storage)'!F491/100)/VLOOKUP($C$487,'DB animal categories'!$C$181:$AC$190,27,FALSE)*AJ491,IF(AI491=4,('Calc (ex-animal)'!$G$93*'DB additional information '!$K$20/100+'Calc (ex-animal)'!$H$93*'DB additional information '!$L$20/100)*(1-VLOOKUP(D491,'DB technologies'!$N$238:$Y$250,9,FALSE)/100)*'Calc (ex-housing, ex-storage)'!F491/100*VLOOKUP(D491,'DB technologies'!$N$238:$Y$250,11,FALSE)/100/VLOOKUP($C$487,'DB animal categories'!$C$181:$AC$190,27,FALSE)*AJ491,0))))</f>
        <v/>
      </c>
      <c r="AM491" s="452" t="str">
        <f>IF(D491="","",IF(AI491=2,(('Calc (ex-animal)'!$G$93*(1-'DB additional information '!$K$20/100)*(1-VLOOKUP(D491,'DB technologies'!$N$238:$Y$250,8,FALSE)/100)*'Calc (ex-housing, ex-storage)'!F491/100+'Calc (ex-animal)'!$H$93*(1-'DB additional information '!$L$20/100)*(1-VLOOKUP(D491,'DB technologies'!$N$238:$Y$250,8,FALSE)/100)*'Calc (ex-housing, ex-storage)'!F491/100))/VLOOKUP($C$487,'DB animal categories'!$C$181:$AC$190,27,FALSE)*AJ491+M491+N491+O491,IF(AI491=1,('Calc (ex-animal)'!$H$93*(1-'DB additional information '!$L$20/100)*(1-VLOOKUP(D491,'DB technologies'!$N$238:$Y$250,8,FALSE)/100)*'Calc (ex-housing, ex-storage)'!F491/100)/VLOOKUP($C$487,'DB animal categories'!$C$181:$AC$190,27,FALSE)*AJ491,IF(AI491=4,('Calc (ex-animal)'!$G$93*(1-'DB additional information '!$K$20/100)+'Calc (ex-animal)'!$H$93*(1-'DB additional information '!$L$20/100))*(1-VLOOKUP(D491,'DB technologies'!$N$238:$Y$250,8,FALSE)/100)*'Calc (ex-housing, ex-storage)'!F491/100*VLOOKUP(D491,'DB technologies'!$N$238:$Y$250,11,FALSE)/100/VLOOKUP($C$487,'DB animal categories'!$C$181:$AC$190,27,FALSE)*AJ491,0))))</f>
        <v/>
      </c>
      <c r="AN491" s="452" t="str">
        <f>IF(AI491="","",IF(AL491=0,0,AL491/AK491*100))</f>
        <v/>
      </c>
      <c r="AO491" s="184" t="str">
        <f>IF(D491="","",IF(AI491=2,(('Calc (ex-animal)'!$L$93*'Calc (ex-housing, ex-storage)'!F491/100+'Calc (ex-animal)'!$K$93*'Calc (ex-housing, ex-storage)'!F491/100))/VLOOKUP($C$487,'DB animal categories'!$C$181:$AC$190,27,FALSE)*AJ491+Q491+R491+S491-AC491,IF(AI491=1,('Calc (ex-animal)'!$L$93*'Calc (ex-housing, ex-storage)'!F491/100)/VLOOKUP($C$487,'DB animal categories'!$C$181:$AC$190,27,FALSE)*AJ491-'Calc (ex-housing, ex-storage)'!AC491,IF(AI491=4,('Calc (ex-animal)'!$L$93+'Calc (ex-animal)'!$K$93)*'Calc (ex-housing, ex-storage)'!F491/100*VLOOKUP(D491,'DB technologies'!$N$238:$Y$250,11,FALSE)/100/VLOOKUP($C$487,'DB animal categories'!$C$181:$AC$190,27,FALSE)*AJ491-AC491*VLOOKUP(D491,'DB technologies'!$N$238:$Y$250,11,FALSE)/100,0))))</f>
        <v/>
      </c>
      <c r="AP491" s="184" t="str">
        <f>IF(D491="","",IF(AO491&lt;-0.01,0,IF(AI491=2,(('Calc (ex-animal)'!$L$93*'Calc (ex-housing, ex-storage)'!F491/100+'Calc (ex-animal)'!$K$93*'Calc (ex-housing, ex-storage)'!F491/100))/VLOOKUP($C$487,'DB animal categories'!$C$181:$AC$190,27,FALSE)*AJ491+Q491+R491+S491-AC491,IF(AI491=1,('Calc (ex-animal)'!$L$93*'Calc (ex-housing, ex-storage)'!F491/100)/VLOOKUP($C$487,'DB animal categories'!$C$181:$AC$190,27,FALSE)*AJ491-'Calc (ex-housing, ex-storage)'!AC491,IF(AI491=4,('Calc (ex-animal)'!$L$93+'Calc (ex-animal)'!$K$93)*'Calc (ex-housing, ex-storage)'!F491/100*VLOOKUP(D491,'DB technologies'!$N$238:$Y$250,11,FALSE)/100/VLOOKUP($C$487,'DB animal categories'!$C$181:$AC$190,27,FALSE)*AJ491-AC491*VLOOKUP(D491,'DB technologies'!$N$238:$Y$250,11,FALSE)/100,0)))))</f>
        <v/>
      </c>
      <c r="AQ491" s="184" t="str">
        <f>IF(D491="","",IF(AI491=2,('Calc (ex-animal)'!$O$93*'Calc (ex-housing, ex-storage)'!F491/100+'Calc (ex-animal)'!$N$93*'Calc (ex-housing, ex-storage)'!F491/100)/VLOOKUP($C$487,'DB animal categories'!$C$181:$AC$190,27,FALSE)*AJ491+U491+V491+W491,IF(AI491=1,'Calc (ex-animal)'!$O$93*'Calc (ex-housing, ex-storage)'!F491/100/VLOOKUP($C$487,'DB animal categories'!$C$181:$AC$190,27,FALSE)*AJ491,IF(AI491=4,('Calc (ex-animal)'!$O$93+'Calc (ex-animal)'!$N$93)*'Calc (ex-housing, ex-storage)'!F491/100*VLOOKUP(D491,'DB technologies'!$N$238:$Y$250,11,FALSE)/100/VLOOKUP($C$487,'DB animal categories'!$C$181:$AC$190,27,FALSE)*AJ491,0))))</f>
        <v/>
      </c>
      <c r="AR491" s="184" t="str">
        <f>IF(D491="","",IF(AI491=2,('Calc (ex-animal)'!$R$93*'Calc (ex-housing, ex-storage)'!F491/100+'Calc (ex-animal)'!$Q$93*'Calc (ex-housing, ex-storage)'!F491/100)/VLOOKUP($C$487,'DB animal categories'!$C$181:$AC$190,27,FALSE)*AJ491+Y491+Z491+AA491,IF(AI491=1,'Calc (ex-animal)'!$R$93*'Calc (ex-housing, ex-storage)'!F491/100/VLOOKUP($C$487,'DB animal categories'!$C$181:$AC$190,27,FALSE)*AJ491,IF(AI491=4,('Calc (ex-animal)'!$R$93+'Calc (ex-animal)'!$Q$93)*'Calc (ex-housing, ex-storage)'!F491/100*VLOOKUP(D491,'DB technologies'!$N$238:$Y$250,11,FALSE)/100/VLOOKUP($C$487,'DB animal categories'!$C$181:$AC$190,27,FALSE)*AJ491,0))))</f>
        <v/>
      </c>
      <c r="AS491" s="183" t="str">
        <f>IF(D491="","",VLOOKUP(D491,'DB technologies'!$N$238:$Y$250,10,FALSE))</f>
        <v/>
      </c>
      <c r="AT491" s="452" t="str">
        <f>IF(AS491="","",AU491+AV491)</f>
        <v/>
      </c>
      <c r="AU491" s="452" t="str">
        <f>IF(D491="","",IF(AS491=2,0,IF(AS491=1,'Calc (ex-animal)'!$G$93*'DB additional information '!$K$20/100*(1-VLOOKUP(D491,'DB technologies'!$N$238:$Y$250,8,FALSE)/100)*'Calc (ex-housing, ex-storage)'!F491/100/VLOOKUP($C$487,'DB animal categories'!$C$181:$AC$190,27,FALSE)*AJ491+I491+J491+K491,IF(AS491=5,(('Calc (ex-animal)'!$G$93*'DB additional information '!$K$20/100+'Calc (ex-animal)'!$H$93*'DB additional information '!$L$20/100))*(1-VLOOKUP(D491,'DB technologies'!$N$238:$Y$250,9,FALSE)/100)*'Calc (ex-housing, ex-storage)'!F491/100/VLOOKUP($C$487,'DB animal categories'!$C$181:$AC$190,27,FALSE)*AJ491+I491+J491+K491,IF(AS491=3,('Calc (ex-animal)'!$G$93*'DB additional information '!$K$20/100+'Calc (ex-animal)'!$H$93*'DB additional information '!$L$20/100)*(1-VLOOKUP(D491,'DB technologies'!$N$238:$Y$250,9,FALSE)/100)*'Calc (ex-housing, ex-storage)'!F491/100/VLOOKUP($C$487,'DB animal categories'!$C$181:$AC$190,27,FALSE)*AJ491+I491+J491+K491,IF(AS491=4,('Calc (ex-animal)'!$G$93*'DB additional information '!$K$20/100+'Calc (ex-animal)'!$H$93*'DB additional information '!$L$20/100)*(1-VLOOKUP(D491,'DB technologies'!$N$238:$Y$250,9,FALSE)/100)*'Calc (ex-housing, ex-storage)'!F491/100*VLOOKUP(D491,'DB technologies'!$N$238:$Y$250,12,FALSE)/100/VLOOKUP($C$487,'DB animal categories'!$C$181:$AC$190,27,FALSE)*AJ491+I491+J491+K491,0))))))</f>
        <v/>
      </c>
      <c r="AV491" s="452" t="str">
        <f>IF(D491="","",IF(AS491=2,0,IF(AS491=1,'Calc (ex-animal)'!$G$93*(1-'DB additional information '!$K$20/100)*(1-VLOOKUP(D491,'DB technologies'!$N$238:$Y$250,8,FALSE)/100)*'Calc (ex-housing, ex-storage)'!F491/100/VLOOKUP($C$487,'DB animal categories'!$C$181:$AC$190,27,FALSE)*AJ491+M491+N491+O491,IF(AS491=5,('Calc (ex-animal)'!$G$93*(1-'DB additional information '!$K$20/100)+'Calc (ex-animal)'!$H$93*(1-'DB additional information '!$L$20/100))*(1-VLOOKUP(D491,'DB technologies'!$N$238:$Y$250,8,FALSE)/100)*'Calc (ex-housing, ex-storage)'!F491/100/VLOOKUP($C$487,'DB animal categories'!$C$181:$AC$190,27,FALSE)*AJ491+M491+N491+O491,IF(AS491=3,('Calc (ex-animal)'!$G$93*(1-'DB additional information '!$K$20/100)+'Calc (ex-animal)'!$H$93*(1-'DB additional information '!$L$20/100))*(1-VLOOKUP(D491,'DB technologies'!$N$238:$Y$250,8,FALSE)/100)*'Calc (ex-housing, ex-storage)'!F491/100/VLOOKUP($C$487,'DB animal categories'!$C$181:$AC$190,27,FALSE)*AJ491+M491+N491+O491,IF(AS491=4,('Calc (ex-animal)'!$G$93*(1-'DB additional information '!$K$20/100)+'Calc (ex-animal)'!$H$93*(1-'DB additional information '!$L$20/100))*(1-VLOOKUP(D491,'DB technologies'!$N$238:$Y$250,8,FALSE)/100)*'Calc (ex-housing, ex-storage)'!F491/100*VLOOKUP(D491,'DB technologies'!$N$238:$Y$250,12,FALSE)/100/VLOOKUP($C$487,'DB animal categories'!$C$181:$AC$190,27,FALSE)*AJ491+M491+N491+O491,0))))))</f>
        <v/>
      </c>
      <c r="AW491" s="452" t="str">
        <f>IF(AS491="","",IF(AU491=0,0,AU491/AT491*100))</f>
        <v/>
      </c>
      <c r="AX491" s="184" t="str">
        <f>IF(D491="","",IF(AS491=2,0,IF(AS491=1,'Calc (ex-animal)'!$K$93*'Calc (ex-housing, ex-storage)'!F491/100/VLOOKUP($C$487,'DB animal categories'!$C$181:$AC$190,27,FALSE)*AJ491+Q491+R491+S491,IF(AS491=5,('Calc (ex-animal)'!$K$93+'Calc (ex-animal)'!$L$93)*'Calc (ex-housing, ex-storage)'!F491/100/VLOOKUP($C$487,'DB animal categories'!$C$181:$AC$190,27,FALSE)*AJ491+Q491+R491+S491-'Calc (ex-housing, ex-storage)'!AC491,IF(AS491=3,('Calc (ex-animal)'!$K$93+'Calc (ex-animal)'!$L$93)*'Calc (ex-housing, ex-storage)'!F491/100/VLOOKUP($C$487,'DB animal categories'!$C$181:$AC$190,27,FALSE)*AJ491+Q491+R491+S491-'Calc (ex-housing, ex-storage)'!AC491-AD491-AE491,IF(AI491=4,('Calc (ex-animal)'!$K$93+'Calc (ex-animal)'!$L$93)*'Calc (ex-housing, ex-storage)'!F491/100*VLOOKUP(D491,'DB technologies'!$N$238:$Y$250,12,FALSE)/100/VLOOKUP($C$487,'DB animal categories'!$C$181:$AC$190,27,FALSE)*AJ491+Q491+R491+S491-(VLOOKUP(D491,'DB technologies'!$N$238:$Y$250,12,FALSE)/100*AC491)-AD491-AE491,0))))))</f>
        <v/>
      </c>
      <c r="AY491" s="184" t="str">
        <f>IF(D491="","",IF(AS491=2,0,IF(AS491=1,'Calc (ex-animal)'!$N$93*'Calc (ex-housing, ex-storage)'!F491/100/VLOOKUP($C$487,'DB animal categories'!$C$181:$AC$190,27,FALSE)*AJ491+U491+V491+W491,IF(AS491=5,('Calc (ex-animal)'!$N$93+'Calc (ex-animal)'!$O$93)*'Calc (ex-housing, ex-storage)'!F491/100/VLOOKUP($C$487,'DB animal categories'!$C$181:$AC$190,27,FALSE)*AJ491+U491+V491+W491,IF(AS491=3,('Calc (ex-animal)'!$N$93+'Calc (ex-animal)'!$O$93)*'Calc (ex-housing, ex-storage)'!F491/100/VLOOKUP($C$487,'DB animal categories'!$C$181:$AC$190,27,FALSE)*AJ491+U491+V491+W491,IF(AS491=4,('Calc (ex-animal)'!$N$93+'Calc (ex-animal)'!$O$93)*'Calc (ex-housing, ex-storage)'!F491/100*VLOOKUP(D491,'DB technologies'!$N$238:$Y$250,12,FALSE)/100/VLOOKUP($C$487,'DB animal categories'!$C$181:$AC$190,27,FALSE)*AJ491+U491+V491+W491,0))))))</f>
        <v/>
      </c>
      <c r="AZ491" s="184" t="str">
        <f>IF(D491="","",IF(AS491=2,0,IF(AS491=1,'Calc (ex-animal)'!$Q$93*'Calc (ex-housing, ex-storage)'!F491/100/VLOOKUP($C$487,'DB animal categories'!$C$181:$AC$190,27,FALSE)*AJ491+Y491+Z491+AA491,IF(AS491=5,('Calc (ex-animal)'!$Q$93+'Calc (ex-animal)'!$R$93)*'Calc (ex-housing, ex-storage)'!F491/100/VLOOKUP($C$487,'DB animal categories'!$C$181:$AC$190,27,FALSE)*AJ491+Y491+Z491+AA491,IF(AS491=3,('Calc (ex-animal)'!$Q$93+'Calc (ex-animal)'!$R$93)*'Calc (ex-housing, ex-storage)'!F491/100/VLOOKUP($C$487,'DB animal categories'!$C$181:$AC$190,27,FALSE)*AJ491+Y491+Z491+AA491,IF(AS491=4,('Calc (ex-animal)'!$Q$93+'Calc (ex-animal)'!$R$93)*'Calc (ex-housing, ex-storage)'!F491/100*VLOOKUP(D491,'DB technologies'!$N$238:$Y$250,12,FALSE)/100/VLOOKUP($C$487,'DB animal categories'!$C$181:$AC$190,27,FALSE)*AJ491+Y491+Z491+AA491,0))))))</f>
        <v/>
      </c>
      <c r="BA491" s="506"/>
      <c r="BB491" s="506"/>
      <c r="BC491" s="506"/>
    </row>
    <row r="492" spans="1:55" ht="12" thickBot="1" x14ac:dyDescent="0.25">
      <c r="A492" s="748"/>
      <c r="B492" s="695"/>
      <c r="C492" s="252"/>
      <c r="D492" s="269" t="s">
        <v>58</v>
      </c>
      <c r="E492" s="270">
        <f>IF('Calc (ex-animal)'!F93=1,'Calc (ex-animal)'!E93,IF(F492&lt;=100,SUM(E487:E491),"ERROR"))</f>
        <v>0</v>
      </c>
      <c r="F492" s="284">
        <f>IF('Calc (ex-animal)'!F93=1,100,IF(SUM(F487:F491) &lt;=100,SUM(F487:F491),"ERROR, SUM&gt;100%"))</f>
        <v>0</v>
      </c>
      <c r="G492" s="550">
        <f>IF('Calc (ex-animal)'!$F$93=1,"",SUM(G487:G491))</f>
        <v>0</v>
      </c>
      <c r="H492" s="418">
        <f>IF('Calc (ex-animal)'!$F$8=1,"",SUM(H487:H491))</f>
        <v>0</v>
      </c>
      <c r="I492" s="418">
        <f>IF('Calc (ex-animal)'!$F$8=1,"",SUM(I487:I491))</f>
        <v>0</v>
      </c>
      <c r="J492" s="418">
        <f>IF('Calc (ex-animal)'!$F$8=1,"",SUM(J487:J491))</f>
        <v>0</v>
      </c>
      <c r="K492" s="418">
        <f>IF('Calc (ex-animal)'!$F$8=1,"",SUM(K487:K491))</f>
        <v>0</v>
      </c>
      <c r="L492" s="418">
        <f>IF('Calc (ex-animal)'!$F$8=1,"",SUM(L487:L491))</f>
        <v>0</v>
      </c>
      <c r="M492" s="551"/>
      <c r="N492" s="551"/>
      <c r="O492" s="551"/>
      <c r="P492" s="552">
        <f>IF(G492=0,0,IF('Calc (ex-animal)'!$F$93=1,"",IF(D492="","",SUM(H492:K492)/G492*100)))</f>
        <v>0</v>
      </c>
      <c r="Q492" s="394"/>
      <c r="R492" s="394"/>
      <c r="S492" s="394"/>
      <c r="T492" s="278">
        <f>IF('Calc (ex-animal)'!$F$93=1,"",SUM(T487:T491))</f>
        <v>0</v>
      </c>
      <c r="U492" s="279"/>
      <c r="V492" s="279"/>
      <c r="W492" s="279"/>
      <c r="X492" s="279">
        <f>IF('Calc (ex-animal)'!$F$93=1,"",SUM(X487:X491))</f>
        <v>0</v>
      </c>
      <c r="Y492" s="279"/>
      <c r="Z492" s="279"/>
      <c r="AA492" s="279"/>
      <c r="AB492" s="279">
        <f>IF('Calc (ex-animal)'!$F$93=1,"",SUM(AB487:AB491))</f>
        <v>0</v>
      </c>
      <c r="AC492" s="279">
        <f>IF('Calc (ex-animal)'!$F$93=1,"",SUM(AC487:AC491))</f>
        <v>0</v>
      </c>
      <c r="AD492" s="279">
        <f>IF('Calc (ex-animal)'!$F$93=1,"",SUM(AD487:AD491))</f>
        <v>0</v>
      </c>
      <c r="AE492" s="280">
        <f>IF('Calc (ex-animal)'!$F$93=1,"",SUM(AE487:AE491))</f>
        <v>0</v>
      </c>
    </row>
    <row r="493" spans="1:55" x14ac:dyDescent="0.2">
      <c r="A493" s="748"/>
      <c r="B493" s="695"/>
      <c r="C493" s="250">
        <f>'Calc (ex-animal)'!D94</f>
        <v>0</v>
      </c>
      <c r="D493" s="1355"/>
      <c r="E493" s="1356"/>
      <c r="F493" s="479" t="str">
        <f>IF('Calc (ex-animal)'!$F$93=1,"",IF($C$493=0,"",IF(D493="","",E493/'Calc (ex-animal)'!$E$94*100)))</f>
        <v/>
      </c>
      <c r="G493" s="484" t="str">
        <f>IF($C$493=0,"",IF('Calc (ex-animal)'!$F$93=1,"",IF(D493="","",SUM(H493:O493))))</f>
        <v/>
      </c>
      <c r="H493" s="471" t="str">
        <f>IF('Calc (ex-animal)'!$F$93=1,"",IF(D493="","",(((VLOOKUP($C$493,'Calc (ex-animal)'!$D$93:$Y$97,6,FALSE)-VLOOKUP($C$493,'Calc (ex-animal)'!$D$93:$Y$97,17,FALSE))*F493/100))*VLOOKUP($C$493,'Calc (ex-animal)'!$D$93:$Y$97,7,FALSE)/100*(1-VLOOKUP(D493,'DB technologies'!$N$238:$Y$250,9,FALSE)/100)))</f>
        <v/>
      </c>
      <c r="I493" s="471" t="str">
        <f>IF(D493="","",((VLOOKUP(D493,'DB technologies'!$N$238:$Y$250,2,FALSE)*VLOOKUP($C$493,'DB animal categories'!$C$181:$AC$190,27,FALSE)*E493/1000)/VLOOKUP($C$493,'DB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'!$S$6/100*(1-VLOOKUP(D493,'DB technologies'!$N$238:$Y$250,9,FALSE)/100)))</f>
        <v/>
      </c>
      <c r="J493" s="472" t="str">
        <f>IF(D493="","",((VLOOKUP(D493,'DB technologies'!$N$238:$Y$250,3,FALSE)*VLOOKUP($C$493,'DB animal categories'!$C$181:$AC$190,27,FALSE)*E493/1000)/VLOOKUP($C$493,'DB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'!$S$7/100*(1-VLOOKUP(D493,'DB technologies'!$N$238:$Y$250,9,FALSE)/100)))</f>
        <v/>
      </c>
      <c r="K493" s="472" t="str">
        <f>IF(D493="","",((VLOOKUP(D493,'DB technologies'!$N$238:$Y$250,4,FALSE)*E493*'DB additional information '!$S$8/100*(1-VLOOKUP(D493,'DB technologies'!$N$238:$Y$250,9,FALSE)/100))/VLOOKUP($C$493,'DB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L493" s="471" t="str">
        <f>IF('Calc (ex-animal)'!$F$93=1,"",IF(D493="","",(((VLOOKUP($C$493,'Calc (ex-animal)'!$D$93:$Y$97,6,FALSE)-VLOOKUP($C$493,'Calc (ex-animal)'!$D$93:$Y$97,17,FALSE))*F493/100))*(1-VLOOKUP($C$493,'Calc (ex-animal)'!$D$93:$Y$97,7,FALSE)/100)*(1-VLOOKUP(D493,'DB technologies'!$N$238:$V$250,8,FALSE)/100)))</f>
        <v/>
      </c>
      <c r="M493" s="472" t="str">
        <f>IF(D493="","",((VLOOKUP(D493,'DB technologies'!$N$238:$Y$250,2,FALSE)*VLOOKUP($C$493,'DB animal categories'!$C$181:$AC$190,27,FALSE)*E493/1000)/VLOOKUP($C$493,'DB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'!$S$6/100)*(1-VLOOKUP(D493,'DB technologies'!$N$238:$Y$250,9,FALSE)/100))</f>
        <v/>
      </c>
      <c r="N493" s="472" t="str">
        <f>IF(D493="","",((VLOOKUP(D493,'DB technologies'!$N$238:$Y$250,3,FALSE)*VLOOKUP($C$493,'DB animal categories'!$C$181:$AC$190,27,FALSE)*E493/1000)/VLOOKUP($C$493,'DB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'!$S$7/100)*(1-VLOOKUP(D493,'DB technologies'!$N$238:$Y$250,9,FALSE)/100))</f>
        <v/>
      </c>
      <c r="O493" s="471" t="str">
        <f>IF(D493="","",((VLOOKUP(D493,'DB technologies'!$N$238:$Y$250,4,FALSE)*E493*(1-'DB additional information '!$S$8/100)*(1-VLOOKUP(D493,'DB technologies'!$N$238:$Y$250,8,FALSE)/100))/VLOOKUP($C$493,'DB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P493" s="443" t="str">
        <f>IF(G493=0,0,IF(E493="","",IF(F493="","",IF($C$493=0,"",IF(D493="","",SUM(H493:K493)/G493*100)))))</f>
        <v/>
      </c>
      <c r="Q493" s="473" t="str">
        <f>IF(D493="","",(VLOOKUP(D493,'DB technologies'!$N$238:$Y$250,2,FALSE)*'DB additional information '!$S$6/100*'DB additional information '!$T$6*VLOOKUP($C$493,'DB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R493" s="473" t="str">
        <f>IF(D493="","",(VLOOKUP(D493,'DB technologies'!$N$238:$Y$250,3,FALSE)*'DB additional information '!$S$7/100*'DB additional information '!$T$7*VLOOKUP($C$493,'DB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S493" s="490" t="str">
        <f>IF(D493="","",(VLOOKUP(D493,'DB technologies'!$N$238:$Y$250,4,FALSE)*('DB additional information '!$S$8/100*'DB additional information '!$T$8*E493/1000/1000)))</f>
        <v/>
      </c>
      <c r="T493" s="263" t="str">
        <f>IF($C$493=0,"",IF('Calc (ex-animal)'!$F$93=1,"",IF(D493="","",((VLOOKUP($C$493,'Calc (ex-animal)'!$D$93:$Y$97,10,FALSE)-VLOOKUP($C$493,'Calc (ex-animal)'!$D$93:$Y$97,18,FALSE))*F493/100+Q493+R493+S493)-AC493-AD493-AE493)))</f>
        <v/>
      </c>
      <c r="U493" s="474" t="str">
        <f>IF(D493="","",(VLOOKUP(D493,'DB technologies'!$N$238:$Y$250,2,FALSE)*'DB additional information '!$S$6/100*'DB additional information '!$U$6*VLOOKUP($C$493,'DB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V493" s="420" t="str">
        <f>IF(D493="","",(VLOOKUP(D493,'DB technologies'!$N$238:$Y$250,3,FALSE)*'DB additional information '!$S$7/100*'DB additional information '!$U$7*VLOOKUP($C$493,'DB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W493" s="415" t="str">
        <f>IF(D493="","",(VLOOKUP(D493,'DB technologies'!$N$238:$Y$250,4,FALSE)*('DB additional information '!$S$8/100*'DB additional information '!$U$8*E493/1000/1000)))</f>
        <v/>
      </c>
      <c r="X493" s="259" t="str">
        <f>IF($C$493=0,"",IF('Calc (ex-animal)'!$F$93=1,"",IF(D493="","",((VLOOKUP($C$493,'Calc (ex-animal)'!$D$93:$Y$97,13,FALSE)-VLOOKUP($C$493,'Calc (ex-animal)'!$D$93:$Y$97,19,FALSE))*F493/100+U493+V493+W493))))</f>
        <v/>
      </c>
      <c r="Y493" s="420" t="str">
        <f>IF(D493="","",(VLOOKUP(D493,'DB technologies'!$N$238:$Y$250,2,FALSE)*'DB additional information '!$S$6/100*'DB additional information '!$V$6*VLOOKUP($C$493,'DB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Z493" s="420" t="str">
        <f>IF(D493="","",(VLOOKUP(D493,'DB technologies'!$N$238:$Y$250,3,FALSE)*'DB additional information '!$S$7/100*'DB additional information '!$V$7*VLOOKUP($C$493,'DB animal categories'!$C$181:$AC$190,27,FALSE)*E493/1000/1000)/VLOOKUP($C$493,'DB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AA493" s="420" t="str">
        <f>IF(D493="","",(VLOOKUP(D493,'DB technologies'!$N$238:$Y$250,4,FALSE)*('DB additional information '!$S$8/100*'DB additional information '!$V$8*E493/1000/1000)))</f>
        <v/>
      </c>
      <c r="AB493" s="259" t="str">
        <f>IF($C$493=0,"",IF('Calc (ex-animal)'!$F$93=1,"",IF(D493="","",((VLOOKUP($C$493,'Calc (ex-animal)'!$D$93:$Y$97,16,FALSE)-VLOOKUP($C$493,'Calc (ex-animal)'!$D$93:$Y$97,20,FALSE))*F493/100+Y493+Z493+AA493))))</f>
        <v/>
      </c>
      <c r="AC493" s="259" t="str">
        <f>IF($C$493=0,"",IF('Calc (ex-animal)'!$F$93=1,"",IF(D493="","",VLOOKUP($C$493,'Calc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categories'!$C$181:$AC$190,26,FALSE)/24)*F493/100*VLOOKUP(D493,'DB technologies'!$N$238:$R$250,5,FALSE)/100)))</f>
        <v/>
      </c>
      <c r="AD493" s="259" t="str">
        <f>IF($C$493=0,"",IF('Calc (ex-animal)'!$F$93=1,"",IF(D493="","",VLOOKUP($C$493,'Calc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categories'!$C$181:$AC$190,26,FALSE)/24)*F493/100*VLOOKUP(D493,'DB technologies'!$N$238:$Y$250,6,FALSE)/100)))</f>
        <v/>
      </c>
      <c r="AE493" s="260" t="str">
        <f>IF($C$493=0,"",IF('Calc (ex-animal)'!$F$93=1,"",IF(D493="","",VLOOKUP($C$493,'Calc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categories'!$C$181:$AC$190,26,FALSE)/24)*F493/100*VLOOKUP(D493,'DB technologies'!$N$238:$Y$250,7,FALSE)/100)))</f>
        <v/>
      </c>
      <c r="AI493" s="179" t="str">
        <f>IF(D493="","",VLOOKUP(D493,'DB technologies'!$N$238:$Y$250,10,FALSE))</f>
        <v/>
      </c>
      <c r="AJ493" s="482" t="e">
        <f>VLOOKUP($C$493,'DB animal categories'!$C$181:$AN$190,27,FALSE)-VLOOKUP($C$493,'DB animal categories'!$C$181:$AN$190,26,FALSE)*VLOOKUP($C$493,'DB animal categories'!$C$181:$AN$190,25,FALSE)/24</f>
        <v>#N/A</v>
      </c>
      <c r="AK493" s="453" t="str">
        <f>IF(AI493="","",AL493+AM493)</f>
        <v/>
      </c>
      <c r="AL493" s="453" t="str">
        <f>IF(D493="","",IF(AI493=2,(('Calc (ex-animal)'!$G$94*'DB additional information '!$K$20/100*(1-VLOOKUP(D493,'DB technologies'!$N$238:$Y$250,9,FALSE)/100)*'Calc (ex-housing, ex-storage)'!F493/100+'Calc (ex-animal)'!$H$94*'DB additional information '!$L$20/100*(1-VLOOKUP(D493,'DB technologies'!$N$238:$Y$250,9,FALSE)/100)*'Calc (ex-housing, ex-storage)'!F493/100))/VLOOKUP($C$493,'DB animal categories'!$C$181:$AC$190,27,FALSE)*AJ493+I493+J493+K493,IF(AI493=1,('Calc (ex-animal)'!$H$94*'DB additional information '!$L$20/100*(1-VLOOKUP(D493,'DB technologies'!$N$238:$Y$250,9,FALSE)/100)*'Calc (ex-housing, ex-storage)'!F493/100)/VLOOKUP($C$493,'DB animal categories'!$C$181:$AC$190,27,FALSE)*AJ493,IF(AI493=4,('Calc (ex-animal)'!$G$94*'DB additional information '!$K$20/100+'Calc (ex-animal)'!$H$94*'DB additional information '!$L$20/100)*(1-VLOOKUP(D493,'DB technologies'!$N$238:$Y$250,9,FALSE)/100)*'Calc (ex-housing, ex-storage)'!F493/100*VLOOKUP(D493,'DB technologies'!$N$238:$Y$250,11,FALSE)/100/VLOOKUP($C$493,'DB animal categories'!$C$181:$AC$190,27,FALSE)*AJ493,0))))</f>
        <v/>
      </c>
      <c r="AM493" s="453" t="str">
        <f>IF(D493="","",IF(AI493=2,(('Calc (ex-animal)'!$G$94*(1-'DB additional information '!$K$20/100)*(1-VLOOKUP(D493,'DB technologies'!$N$238:$Y$250,8,FALSE)/100)*'Calc (ex-housing, ex-storage)'!F493/100+'Calc (ex-animal)'!$H$94*(1-'DB additional information '!$L$20/100)*(1-VLOOKUP(D493,'DB technologies'!$N$238:$Y$250,8,FALSE)/100)*'Calc (ex-housing, ex-storage)'!F493/100))/VLOOKUP($C$493,'DB animal categories'!$C$181:$AC$190,27,FALSE)*AJ493+M493+N493+O493,IF(AI493=1,('Calc (ex-animal)'!$H$94*(1-'DB additional information '!$L$20/100)*(1-VLOOKUP(D493,'DB technologies'!$N$238:$Y$250,8,FALSE)/100)*'Calc (ex-housing, ex-storage)'!F493/100)/VLOOKUP($C$493,'DB animal categories'!$C$181:$AC$190,27,FALSE)*AJ493,IF(AI493=4,('Calc (ex-animal)'!$G$94*(1-'DB additional information '!$K$20/100)+'Calc (ex-animal)'!$H$94*(1-'DB additional information '!$L$20/100))*(1-VLOOKUP(D493,'DB technologies'!$N$238:$Y$250,8,FALSE)/100)*'Calc (ex-housing, ex-storage)'!F493/100*VLOOKUP(D493,'DB technologies'!$N$238:$Y$250,11,FALSE)/100/VLOOKUP($C$493,'DB animal categories'!$C$181:$AC$190,27,FALSE)*AJ493,0))))</f>
        <v/>
      </c>
      <c r="AN493" s="453" t="str">
        <f>IF(AI493="","",IF(AL493=0,0,AL493/AK493*100))</f>
        <v/>
      </c>
      <c r="AO493" s="180" t="str">
        <f>IF(D493="","",IF(AI493=2,(('Calc (ex-animal)'!$L$94*'Calc (ex-housing, ex-storage)'!F493/100+'Calc (ex-animal)'!$K$94*'Calc (ex-housing, ex-storage)'!F493/100))/VLOOKUP($C$493,'DB animal categories'!$C$181:$AC$190,27,FALSE)*AJ493+Q493+R493+S493-AC493,IF(AI493=1,('Calc (ex-animal)'!$L$94*'Calc (ex-housing, ex-storage)'!F493/100)/VLOOKUP($C$493,'DB animal categories'!$C$181:$AC$190,27,FALSE)*AJ493-'Calc (ex-housing, ex-storage)'!AC493,IF(AI493=4,('Calc (ex-animal)'!$L$94+'Calc (ex-animal)'!$K$94)*'Calc (ex-housing, ex-storage)'!F493/100*VLOOKUP(D493,'DB technologies'!$N$238:$Y$250,11,FALSE)/100/VLOOKUP($C$493,'DB animal categories'!$C$181:$AC$190,27,FALSE)*AJ493-AC493*VLOOKUP(D493,'DB technologies'!$N$238:$Y$250,11,FALSE)/100,0))))</f>
        <v/>
      </c>
      <c r="AP493" s="180" t="str">
        <f>IF(D493="","",IF(AO493&lt;-0.01,0,IF(AI493=2,(('Calc (ex-animal)'!$L$94*'Calc (ex-housing, ex-storage)'!F493/100+'Calc (ex-animal)'!$K$94*'Calc (ex-housing, ex-storage)'!F493/100))/VLOOKUP($C$493,'DB animal categories'!$C$181:$AC$190,27,FALSE)*AJ493+Q493+R493+S493-AC493,IF(AI493=1,('Calc (ex-animal)'!$L$94*'Calc (ex-housing, ex-storage)'!F493/100)/VLOOKUP($C$493,'DB animal categories'!$C$181:$AC$190,27,FALSE)*AJ493-'Calc (ex-housing, ex-storage)'!AC493,IF(AI493=4,('Calc (ex-animal)'!$L$94+'Calc (ex-animal)'!$K$94)*'Calc (ex-housing, ex-storage)'!F493/100*VLOOKUP(D493,'DB technologies'!$N$238:$Y$250,11,FALSE)/100/VLOOKUP($C$493,'DB animal categories'!$C$181:$AC$190,27,FALSE)*AJ493-AC493*VLOOKUP(D493,'DB technologies'!$N$238:$Y$250,11,FALSE)/100,0)))))</f>
        <v/>
      </c>
      <c r="AQ493" s="180" t="str">
        <f>IF(D493="","",IF(AI493=2,('Calc (ex-animal)'!$O$94*'Calc (ex-housing, ex-storage)'!F493/100+'Calc (ex-animal)'!$N$94*'Calc (ex-housing, ex-storage)'!F493/100)/VLOOKUP($C$493,'DB animal categories'!$C$181:$AC$190,27,FALSE)*AJ493+U493+V493+W493,IF(AI493=1,'Calc (ex-animal)'!$O$94*'Calc (ex-housing, ex-storage)'!F493/100/VLOOKUP($C$493,'DB animal categories'!$C$181:$AC$190,27,FALSE)*AJ493,IF(AI493=4,('Calc (ex-animal)'!$O$94+'Calc (ex-animal)'!$N$94)*'Calc (ex-housing, ex-storage)'!F493/100*VLOOKUP(D493,'DB technologies'!$N$238:$Y$250,11,FALSE)/100/VLOOKUP($C$493,'DB animal categories'!$C$181:$AC$190,27,FALSE)*AJ493,0))))</f>
        <v/>
      </c>
      <c r="AR493" s="180" t="str">
        <f>IF(D493="","",IF(AI493=2,('Calc (ex-animal)'!$R$94*'Calc (ex-housing, ex-storage)'!F493/100+'Calc (ex-animal)'!$Q$94*'Calc (ex-housing, ex-storage)'!F493/100)/VLOOKUP($C$493,'DB animal categories'!$C$181:$AC$190,27,FALSE)*AJ493+Y493+Z493+AA493,IF(AI493=1,'Calc (ex-animal)'!$R$94*'Calc (ex-housing, ex-storage)'!F493/100/VLOOKUP($C$493,'DB animal categories'!$C$181:$AC$190,27,FALSE)*AJ493,IF(AI493=4,('Calc (ex-animal)'!$R$94+'Calc (ex-animal)'!$Q$94)*'Calc (ex-housing, ex-storage)'!F493/100*VLOOKUP(D493,'DB technologies'!$N$238:$Y$250,11,FALSE)/100/VLOOKUP($C$493,'DB animal categories'!$C$181:$AC$190,27,FALSE)*AJ493,0))))</f>
        <v/>
      </c>
      <c r="AS493" s="179" t="str">
        <f>IF(D493="","",VLOOKUP(D493,'DB technologies'!$N$238:$Y$250,10,FALSE))</f>
        <v/>
      </c>
      <c r="AT493" s="453" t="str">
        <f>IF(AS493="","",AU493+AV493)</f>
        <v/>
      </c>
      <c r="AU493" s="453" t="str">
        <f>IF(D493="","",IF(AS493=2,0,IF(AS493=1,'Calc (ex-animal)'!$G$94*'DB additional information '!$K$20/100*(1-VLOOKUP(D493,'DB technologies'!$N$238:$Y$250,8,FALSE)/100)*'Calc (ex-housing, ex-storage)'!F493/100/VLOOKUP($C$493,'DB animal categories'!$C$181:$AC$190,27,FALSE)*AJ493+I493+J493+K493,IF(AS493=5,(('Calc (ex-animal)'!$G$94*'DB additional information '!$K$20/100+'Calc (ex-animal)'!$H$94*'DB additional information '!$L$20/100))*(1-VLOOKUP(D493,'DB technologies'!$N$238:$Y$250,9,FALSE)/100)*'Calc (ex-housing, ex-storage)'!F493/100/VLOOKUP($C$493,'DB animal categories'!$C$181:$AC$190,27,FALSE)*AJ493+I493+J493+K493,IF(AS493=3,('Calc (ex-animal)'!$G$94*'DB additional information '!$K$20/100+'Calc (ex-animal)'!$H$94*'DB additional information '!$L$20/100)*(1-VLOOKUP(D493,'DB technologies'!$N$238:$Y$250,9,FALSE)/100)*'Calc (ex-housing, ex-storage)'!F493/100/VLOOKUP($C$493,'DB animal categories'!$C$181:$AC$190,27,FALSE)*AJ493+I493+J493+K493,IF(AS493=4,('Calc (ex-animal)'!$G$94*'DB additional information '!$K$20/100+'Calc (ex-animal)'!$H$94*'DB additional information '!$L$20/100)*(1-VLOOKUP(D493,'DB technologies'!$N$238:$Y$250,9,FALSE)/100)*'Calc (ex-housing, ex-storage)'!F493/100*VLOOKUP(D493,'DB technologies'!$N$238:$Y$250,12,FALSE)/100/VLOOKUP($C$493,'DB animal categories'!$C$181:$AC$190,27,FALSE)*AJ493+I493+J493+K493,0))))))</f>
        <v/>
      </c>
      <c r="AV493" s="453" t="str">
        <f>IF(D493="","",IF(AS493=2,0,IF(AS493=1,'Calc (ex-animal)'!$G$94*(1-'DB additional information '!$K$20/100)*(1-VLOOKUP(D493,'DB technologies'!$N$238:$Y$250,8,FALSE)/100)*'Calc (ex-housing, ex-storage)'!F493/100/VLOOKUP($C$493,'DB animal categories'!$C$181:$AC$190,27,FALSE)*AJ493+M493+N493+O493,IF(AS493=5,('Calc (ex-animal)'!$G$94*(1-'DB additional information '!$K$20/100)+'Calc (ex-animal)'!$H$94*(1-'DB additional information '!$L$20/100))*(1-VLOOKUP(D493,'DB technologies'!$N$238:$Y$250,8,FALSE)/100)*'Calc (ex-housing, ex-storage)'!F493/100/VLOOKUP($C$493,'DB animal categories'!$C$181:$AC$190,27,FALSE)*AJ493+M493+N493+O493,IF(AS493=3,('Calc (ex-animal)'!$G$94*(1-'DB additional information '!$K$20/100)+'Calc (ex-animal)'!$H$94*(1-'DB additional information '!$L$20/100))*(1-VLOOKUP(D493,'DB technologies'!$N$238:$Y$250,8,FALSE)/100)*'Calc (ex-housing, ex-storage)'!F493/100/VLOOKUP($C$493,'DB animal categories'!$C$181:$AC$190,27,FALSE)*AJ493+M493+N493+O493,IF(AS493=4,('Calc (ex-animal)'!$G$94*(1-'DB additional information '!$K$20/100)+'Calc (ex-animal)'!$H$94*(1-'DB additional information '!$L$20/100))*(1-VLOOKUP(D493,'DB technologies'!$N$238:$Y$250,8,FALSE)/100)*'Calc (ex-housing, ex-storage)'!F493/100*VLOOKUP(D493,'DB technologies'!$N$238:$Y$250,12,FALSE)/100/VLOOKUP($C$493,'DB animal categories'!$C$181:$AC$190,27,FALSE)*AJ493+M493+N493+O493,0))))))</f>
        <v/>
      </c>
      <c r="AW493" s="453" t="str">
        <f>IF(AS493="","",IF(AU493=0,0,AU493/AT493*100))</f>
        <v/>
      </c>
      <c r="AX493" s="180" t="str">
        <f>IF(D493="","",IF(AS493=2,0,IF(AS493=1,'Calc (ex-animal)'!$K$94*'Calc (ex-housing, ex-storage)'!F493/100/VLOOKUP($C$493,'DB animal categories'!$C$181:$AC$190,27,FALSE)*AJ493+Q493+R493+S493,IF(AS493=5,('Calc (ex-animal)'!$K$94+'Calc (ex-animal)'!$L$94)*'Calc (ex-housing, ex-storage)'!F493/100/VLOOKUP($C$493,'DB animal categories'!$C$181:$AC$190,27,FALSE)*AJ493+Q493+R493+S493-'Calc (ex-housing, ex-storage)'!AC493,IF(AS493=3,('Calc (ex-animal)'!$K$94+'Calc (ex-animal)'!$L$94)*'Calc (ex-housing, ex-storage)'!F493/100/VLOOKUP($C$493,'DB animal categories'!$C$181:$AC$190,27,FALSE)*AJ493+Q493+R493+S493-'Calc (ex-housing, ex-storage)'!AC493-AD493-AE493,IF(AI493=4,('Calc (ex-animal)'!$K$94+'Calc (ex-animal)'!$L$94)*'Calc (ex-housing, ex-storage)'!F493/100*VLOOKUP(D493,'DB technologies'!$N$238:$Y$250,12,FALSE)/100/VLOOKUP($C$493,'DB animal categories'!$C$181:$AC$190,27,FALSE)*AJ493+Q493+R493+S493-(VLOOKUP(D493,'DB technologies'!$N$238:$Y$250,12,FALSE)/100*AC493)-AD493-AE493,0))))))</f>
        <v/>
      </c>
      <c r="AY493" s="180" t="str">
        <f>IF(D493="","",IF(AS493=2,0,IF(AS493=1,'Calc (ex-animal)'!$N$94*'Calc (ex-housing, ex-storage)'!F493/100/VLOOKUP($C$493,'DB animal categories'!$C$181:$AC$190,27,FALSE)*AJ493+U493+V493+W493,IF(AS493=5,('Calc (ex-animal)'!$N$94+'Calc (ex-animal)'!$O$94)*'Calc (ex-housing, ex-storage)'!F493/100/VLOOKUP($C$493,'DB animal categories'!$C$181:$AC$190,27,FALSE)*AJ493+U493+V493+W493,IF(AS493=3,('Calc (ex-animal)'!$N$94+'Calc (ex-animal)'!$O$94)*'Calc (ex-housing, ex-storage)'!F493/100/VLOOKUP($C$493,'DB animal categories'!$C$181:$AC$190,27,FALSE)*AJ493+U493+V493+W493,IF(AS493=4,('Calc (ex-animal)'!$N$94+'Calc (ex-animal)'!$O$94)*'Calc (ex-housing, ex-storage)'!F493/100*VLOOKUP(D493,'DB technologies'!$N$238:$Y$250,12,FALSE)/100/VLOOKUP($C$493,'DB animal categories'!$C$181:$AC$190,27,FALSE)*AJ493+U493+V493+W493,0))))))</f>
        <v/>
      </c>
      <c r="AZ493" s="180" t="str">
        <f>IF(D493="","",IF(AS493=2,0,IF(AS493=1,'Calc (ex-animal)'!$Q$94*'Calc (ex-housing, ex-storage)'!F493/100/VLOOKUP($C$493,'DB animal categories'!$C$181:$AC$190,27,FALSE)*AJ493+Y493+Z493+AA493,IF(AS493=5,('Calc (ex-animal)'!$Q$94+'Calc (ex-animal)'!$R$94)*'Calc (ex-housing, ex-storage)'!F493/100/VLOOKUP($C$493,'DB animal categories'!$C$181:$AC$190,27,FALSE)*AJ493+Y493+Z493+AA493,IF(AS493=3,('Calc (ex-animal)'!$Q$94+'Calc (ex-animal)'!$R$94)*'Calc (ex-housing, ex-storage)'!F493/100/VLOOKUP($C$493,'DB animal categories'!$C$181:$AC$190,27,FALSE)*AJ493+Y493+Z493+AA493,IF(AS493=4,('Calc (ex-animal)'!$Q$94+'Calc (ex-animal)'!$R$94)*'Calc (ex-housing, ex-storage)'!F493/100*VLOOKUP(D493,'DB technologies'!$N$238:$Y$250,12,FALSE)/100/VLOOKUP($C$493,'DB animal categories'!$C$181:$AC$190,27,FALSE)*AJ493+Y493+Z493+AA493,0))))))</f>
        <v/>
      </c>
      <c r="BA493" s="506"/>
      <c r="BB493" s="506"/>
      <c r="BC493" s="506"/>
    </row>
    <row r="494" spans="1:55" x14ac:dyDescent="0.2">
      <c r="A494" s="748"/>
      <c r="B494" s="695"/>
      <c r="C494" s="251"/>
      <c r="D494" s="1357"/>
      <c r="E494" s="1358"/>
      <c r="F494" s="480" t="str">
        <f>IF('Calc (ex-animal)'!$F$93=1,"",IF($C$493=0,"",IF(D494="","",E494/'Calc (ex-animal)'!$E$94*100)))</f>
        <v/>
      </c>
      <c r="G494" s="485" t="str">
        <f>IF($C$493=0,"",IF('Calc (ex-animal)'!$F$93=1,"",IF(D494="","",SUM(H494:O494))))</f>
        <v/>
      </c>
      <c r="H494" s="423" t="str">
        <f>IF('Calc (ex-animal)'!$F$93=1,"",IF(D494="","",(((VLOOKUP($C$493,'Calc (ex-animal)'!$D$93:$Y$97,6,FALSE)-VLOOKUP($C$493,'Calc (ex-animal)'!$D$93:$Y$97,17,FALSE))*F494/100))*VLOOKUP($C$493,'Calc (ex-animal)'!$D$93:$Y$97,7,FALSE)/100*(1-VLOOKUP(D494,'DB technologies'!$N$238:$Y$250,9,FALSE)/100)))</f>
        <v/>
      </c>
      <c r="I494" s="423" t="str">
        <f>IF(D494="","",((VLOOKUP(D494,'DB technologies'!$N$238:$Y$250,2,FALSE)*VLOOKUP($C$493,'DB animal categories'!$C$181:$AC$190,27,FALSE)*E494/1000)/VLOOKUP($C$493,'DB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'!$S$6/100*(1-VLOOKUP(D494,'DB technologies'!$N$238:$Y$250,9,FALSE)/100)))</f>
        <v/>
      </c>
      <c r="J494" s="434" t="str">
        <f>IF(D494="","",((VLOOKUP(D494,'DB technologies'!$N$238:$Y$250,3,FALSE)*VLOOKUP($C$493,'DB animal categories'!$C$181:$AC$190,27,FALSE)*E494/1000)/VLOOKUP($C$493,'DB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'!$S$7/100*(1-VLOOKUP(D494,'DB technologies'!$N$238:$Y$250,9,FALSE)/100)))</f>
        <v/>
      </c>
      <c r="K494" s="434" t="str">
        <f>IF(D494="","",((VLOOKUP(D494,'DB technologies'!$N$238:$Y$250,4,FALSE)*E494*'DB additional information '!$S$8/100*(1-VLOOKUP(D494,'DB technologies'!$N$238:$Y$250,9,FALSE)/100))/VLOOKUP($C$493,'DB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L494" s="423" t="str">
        <f>IF('Calc (ex-animal)'!$F$93=1,"",IF(D494="","",(((VLOOKUP($C$493,'Calc (ex-animal)'!$D$93:$Y$97,6,FALSE)-VLOOKUP($C$493,'Calc (ex-animal)'!$D$93:$Y$97,17,FALSE))*F494/100))*(1-VLOOKUP($C$493,'Calc (ex-animal)'!$D$93:$Y$97,7,FALSE)/100)*(1-VLOOKUP(D494,'DB technologies'!$N$238:$V$250,8,FALSE)/100)))</f>
        <v/>
      </c>
      <c r="M494" s="434" t="str">
        <f>IF(D494="","",((VLOOKUP(D494,'DB technologies'!$N$238:$Y$250,2,FALSE)*VLOOKUP($C$493,'DB animal categories'!$C$181:$AC$190,27,FALSE)*E494/1000)/VLOOKUP($C$493,'DB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'!$S$6/100)*(1-VLOOKUP(D494,'DB technologies'!$N$238:$Y$250,9,FALSE)/100))</f>
        <v/>
      </c>
      <c r="N494" s="434" t="str">
        <f>IF(D494="","",((VLOOKUP(D494,'DB technologies'!$N$238:$Y$250,3,FALSE)*VLOOKUP($C$493,'DB animal categories'!$C$181:$AC$190,27,FALSE)*E494/1000)/VLOOKUP($C$493,'DB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'!$S$7/100)*(1-VLOOKUP(D494,'DB technologies'!$N$238:$Y$250,9,FALSE)/100))</f>
        <v/>
      </c>
      <c r="O494" s="423" t="str">
        <f>IF(D494="","",((VLOOKUP(D494,'DB technologies'!$N$238:$Y$250,4,FALSE)*E494*(1-'DB additional information '!$S$8/100)*(1-VLOOKUP(D494,'DB technologies'!$N$238:$Y$250,8,FALSE)/100))/VLOOKUP($C$493,'DB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P494" s="438" t="str">
        <f>IF(G494=0,0,IF(E494="","",IF(F494="","",IF($C$493=0,"",IF(D494="","",SUM(H494:K494)/G494*100)))))</f>
        <v/>
      </c>
      <c r="Q494" s="416" t="str">
        <f>IF(D494="","",(VLOOKUP(D494,'DB technologies'!$N$238:$Y$250,2,FALSE)*'DB additional information '!$S$6/100*'DB additional information '!$T$6*VLOOKUP($C$493,'DB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R494" s="416" t="str">
        <f>IF(D494="","",(VLOOKUP(D494,'DB technologies'!$N$238:$Y$250,3,FALSE)*'DB additional information '!$S$7/100*'DB additional information '!$T$7*VLOOKUP($C$493,'DB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S494" s="491" t="str">
        <f>IF(D494="","",(VLOOKUP(D494,'DB technologies'!$N$238:$Y$250,4,FALSE)*('DB additional information '!$S$8/100*'DB additional information '!$T$8*E494/1000/1000)))</f>
        <v/>
      </c>
      <c r="T494" s="264" t="str">
        <f>IF($C$493=0,"",IF('Calc (ex-animal)'!$F$93=1,"",IF(D494="","",((VLOOKUP($C$493,'Calc (ex-animal)'!$D$93:$Y$97,10,FALSE)-VLOOKUP($C$493,'Calc (ex-animal)'!$D$93:$Y$97,18,FALSE))*F494/100+Q494+R494+S494)-AC494-AD494-AE494)))</f>
        <v/>
      </c>
      <c r="U494" s="422" t="str">
        <f>IF(D494="","",(VLOOKUP(D494,'DB technologies'!$N$238:$Y$250,2,FALSE)*'DB additional information '!$S$6/100*'DB additional information '!$U$6*VLOOKUP($C$493,'DB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V494" s="418" t="str">
        <f>IF(D494="","",(VLOOKUP(D494,'DB technologies'!$N$238:$Y$250,3,FALSE)*'DB additional information '!$S$7/100*'DB additional information '!$U$7*VLOOKUP($C$493,'DB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W494" s="417" t="str">
        <f>IF(D494="","",(VLOOKUP(D494,'DB technologies'!$N$238:$Y$250,4,FALSE)*('DB additional information '!$S$8/100*'DB additional information '!$U$8*E494/1000/1000)))</f>
        <v/>
      </c>
      <c r="X494" s="261" t="str">
        <f>IF($C$493=0,"",IF('Calc (ex-animal)'!$F$93=1,"",IF(D494="","",((VLOOKUP($C$493,'Calc (ex-animal)'!$D$93:$Y$97,13,FALSE)-VLOOKUP($C$493,'Calc (ex-animal)'!$D$93:$Y$97,19,FALSE))*F494/100+U494+V494+W494))))</f>
        <v/>
      </c>
      <c r="Y494" s="418" t="str">
        <f>IF(D494="","",(VLOOKUP(D494,'DB technologies'!$N$238:$Y$250,2,FALSE)*'DB additional information '!$S$6/100*'DB additional information '!$V$6*VLOOKUP($C$493,'DB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Z494" s="418" t="str">
        <f>IF(D494="","",(VLOOKUP(D494,'DB technologies'!$N$238:$Y$250,3,FALSE)*'DB additional information '!$S$7/100*'DB additional information '!$V$7*VLOOKUP($C$493,'DB animal categories'!$C$181:$AC$190,27,FALSE)*E494/1000/1000)/VLOOKUP($C$493,'DB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AA494" s="418" t="str">
        <f>IF(D494="","",(VLOOKUP(D494,'DB technologies'!$N$238:$Y$250,4,FALSE)*('DB additional information '!$S$8/100*'DB additional information '!$V$8*E494/1000/1000)))</f>
        <v/>
      </c>
      <c r="AB494" s="261" t="str">
        <f>IF($C$493=0,"",IF('Calc (ex-animal)'!$F$93=1,"",IF(D494="","",((VLOOKUP($C$493,'Calc (ex-animal)'!$D$93:$Y$97,16,FALSE)-VLOOKUP($C$493,'Calc (ex-animal)'!$D$93:$Y$97,20,FALSE))*F494/100+Y494+Z494+AA494))))</f>
        <v/>
      </c>
      <c r="AC494" s="261" t="str">
        <f>IF($C$493=0,"",IF('Calc (ex-animal)'!$F$93=1,"",IF(D494="","",VLOOKUP($C$493,'Calc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categories'!$C$181:$AC$190,26,FALSE)/24)*F494/100*VLOOKUP(D494,'DB technologies'!$N$238:$R$250,5,FALSE)/100)))</f>
        <v/>
      </c>
      <c r="AD494" s="261" t="str">
        <f>IF($C$493=0,"",IF('Calc (ex-animal)'!$F$93=1,"",IF(D494="","",VLOOKUP($C$493,'Calc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categories'!$C$181:$AC$190,26,FALSE)/24)*F494/100*VLOOKUP(D494,'DB technologies'!$N$238:$Y$250,6,FALSE)/100)))</f>
        <v/>
      </c>
      <c r="AE494" s="262" t="str">
        <f>IF($C$493=0,"",IF('Calc (ex-animal)'!$F$93=1,"",IF(D494="","",VLOOKUP($C$493,'Calc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categories'!$C$181:$AC$190,26,FALSE)/24)*F494/100*VLOOKUP(D494,'DB technologies'!$N$238:$Y$250,7,FALSE)/100)))</f>
        <v/>
      </c>
      <c r="AG494" s="159"/>
      <c r="AI494" s="181" t="str">
        <f>IF(D494="","",VLOOKUP(D494,'DB technologies'!$N$238:$Y$250,10,FALSE))</f>
        <v/>
      </c>
      <c r="AJ494" s="449" t="e">
        <f>VLOOKUP($C$493,'DB animal categories'!$C$181:$AN$190,27,FALSE)-VLOOKUP($C$493,'DB animal categories'!$C$181:$AN$190,26,FALSE)*VLOOKUP($C$493,'DB animal categories'!$C$181:$AN$190,25,FALSE)/24</f>
        <v>#N/A</v>
      </c>
      <c r="AK494" s="442" t="str">
        <f>IF(AI494="","",AL494+AM494)</f>
        <v/>
      </c>
      <c r="AL494" s="442" t="str">
        <f>IF(D494="","",IF(AI494=2,(('Calc (ex-animal)'!$G$94*'DB additional information '!$K$20/100*(1-VLOOKUP(D494,'DB technologies'!$N$238:$Y$250,9,FALSE)/100)*'Calc (ex-housing, ex-storage)'!F494/100+'Calc (ex-animal)'!$H$94*'DB additional information '!$L$20/100*(1-VLOOKUP(D494,'DB technologies'!$N$238:$Y$250,9,FALSE)/100)*'Calc (ex-housing, ex-storage)'!F494/100))/VLOOKUP($C$493,'DB animal categories'!$C$181:$AC$190,27,FALSE)*AJ494+I494+J494+K494,IF(AI494=1,('Calc (ex-animal)'!$H$94*'DB additional information '!$L$20/100*(1-VLOOKUP(D494,'DB technologies'!$N$238:$Y$250,9,FALSE)/100)*'Calc (ex-housing, ex-storage)'!F494/100)/VLOOKUP($C$493,'DB animal categories'!$C$181:$AC$190,27,FALSE)*AJ494,IF(AI494=4,('Calc (ex-animal)'!$G$94*'DB additional information '!$K$20/100+'Calc (ex-animal)'!$H$94*'DB additional information '!$L$20/100)*(1-VLOOKUP(D494,'DB technologies'!$N$238:$Y$250,9,FALSE)/100)*'Calc (ex-housing, ex-storage)'!F494/100*VLOOKUP(D494,'DB technologies'!$N$238:$Y$250,11,FALSE)/100/VLOOKUP($C$493,'DB animal categories'!$C$181:$AC$190,27,FALSE)*AJ494,0))))</f>
        <v/>
      </c>
      <c r="AM494" s="442" t="str">
        <f>IF(D494="","",IF(AI494=2,(('Calc (ex-animal)'!$G$94*(1-'DB additional information '!$K$20/100)*(1-VLOOKUP(D494,'DB technologies'!$N$238:$Y$250,8,FALSE)/100)*'Calc (ex-housing, ex-storage)'!F494/100+'Calc (ex-animal)'!$H$94*(1-'DB additional information '!$L$20/100)*(1-VLOOKUP(D494,'DB technologies'!$N$238:$Y$250,8,FALSE)/100)*'Calc (ex-housing, ex-storage)'!F494/100))/VLOOKUP($C$493,'DB animal categories'!$C$181:$AC$190,27,FALSE)*AJ494+M494+N494+O494,IF(AI494=1,('Calc (ex-animal)'!$H$94*(1-'DB additional information '!$L$20/100)*(1-VLOOKUP(D494,'DB technologies'!$N$238:$Y$250,8,FALSE)/100)*'Calc (ex-housing, ex-storage)'!F494/100)/VLOOKUP($C$493,'DB animal categories'!$C$181:$AC$190,27,FALSE)*AJ494,IF(AI494=4,('Calc (ex-animal)'!$G$94*(1-'DB additional information '!$K$20/100)+'Calc (ex-animal)'!$H$94*(1-'DB additional information '!$L$20/100))*(1-VLOOKUP(D494,'DB technologies'!$N$238:$Y$250,8,FALSE)/100)*'Calc (ex-housing, ex-storage)'!F494/100*VLOOKUP(D494,'DB technologies'!$N$238:$Y$250,11,FALSE)/100/VLOOKUP($C$493,'DB animal categories'!$C$181:$AC$190,27,FALSE)*AJ494,0))))</f>
        <v/>
      </c>
      <c r="AN494" s="442" t="str">
        <f>IF(AI494="","",IF(AL494=0,0,AL494/AK494*100))</f>
        <v/>
      </c>
      <c r="AO494" s="182" t="str">
        <f>IF(D494="","",IF(AI494=2,(('Calc (ex-animal)'!$L$94*'Calc (ex-housing, ex-storage)'!F494/100+'Calc (ex-animal)'!$K$94*'Calc (ex-housing, ex-storage)'!F494/100))/VLOOKUP($C$493,'DB animal categories'!$C$181:$AC$190,27,FALSE)*AJ494+Q494+R494+S494-AC494,IF(AI494=1,('Calc (ex-animal)'!$L$94*'Calc (ex-housing, ex-storage)'!F494/100)/VLOOKUP($C$493,'DB animal categories'!$C$181:$AC$190,27,FALSE)*AJ494-'Calc (ex-housing, ex-storage)'!AC494,IF(AI494=4,('Calc (ex-animal)'!$L$94+'Calc (ex-animal)'!$K$94)*'Calc (ex-housing, ex-storage)'!F494/100*VLOOKUP(D494,'DB technologies'!$N$238:$Y$250,11,FALSE)/100/VLOOKUP($C$493,'DB animal categories'!$C$181:$AC$190,27,FALSE)*AJ494-AC494*VLOOKUP(D494,'DB technologies'!$N$238:$Y$250,11,FALSE)/100,0))))</f>
        <v/>
      </c>
      <c r="AP494" s="182" t="str">
        <f>IF(D494="","",IF(AO494&lt;-0.01,0,IF(AI494=2,(('Calc (ex-animal)'!$L$94*'Calc (ex-housing, ex-storage)'!F494/100+'Calc (ex-animal)'!$K$94*'Calc (ex-housing, ex-storage)'!F494/100))/VLOOKUP($C$493,'DB animal categories'!$C$181:$AC$190,27,FALSE)*AJ494+Q494+R494+S494-AC494,IF(AI494=1,('Calc (ex-animal)'!$L$94*'Calc (ex-housing, ex-storage)'!F494/100)/VLOOKUP($C$493,'DB animal categories'!$C$181:$AC$190,27,FALSE)*AJ494-'Calc (ex-housing, ex-storage)'!AC494,IF(AI494=4,('Calc (ex-animal)'!$L$94+'Calc (ex-animal)'!$K$94)*'Calc (ex-housing, ex-storage)'!F494/100*VLOOKUP(D494,'DB technologies'!$N$238:$Y$250,11,FALSE)/100/VLOOKUP($C$493,'DB animal categories'!$C$181:$AC$190,27,FALSE)*AJ494-AC494*VLOOKUP(D494,'DB technologies'!$N$238:$Y$250,11,FALSE)/100,0)))))</f>
        <v/>
      </c>
      <c r="AQ494" s="182" t="str">
        <f>IF(D494="","",IF(AI494=2,('Calc (ex-animal)'!$O$94*'Calc (ex-housing, ex-storage)'!F494/100+'Calc (ex-animal)'!$N$94*'Calc (ex-housing, ex-storage)'!F494/100)/VLOOKUP($C$493,'DB animal categories'!$C$181:$AC$190,27,FALSE)*AJ494+U494+V494+W494,IF(AI494=1,'Calc (ex-animal)'!$O$94*'Calc (ex-housing, ex-storage)'!F494/100/VLOOKUP($C$493,'DB animal categories'!$C$181:$AC$190,27,FALSE)*AJ494,IF(AI494=4,('Calc (ex-animal)'!$O$94+'Calc (ex-animal)'!$N$94)*'Calc (ex-housing, ex-storage)'!F494/100*VLOOKUP(D494,'DB technologies'!$N$238:$Y$250,11,FALSE)/100/VLOOKUP($C$493,'DB animal categories'!$C$181:$AC$190,27,FALSE)*AJ494,0))))</f>
        <v/>
      </c>
      <c r="AR494" s="182" t="str">
        <f>IF(D494="","",IF(AI494=2,('Calc (ex-animal)'!$R$94*'Calc (ex-housing, ex-storage)'!F494/100+'Calc (ex-animal)'!$Q$94*'Calc (ex-housing, ex-storage)'!F494/100)/VLOOKUP($C$493,'DB animal categories'!$C$181:$AC$190,27,FALSE)*AJ494+Y494+Z494+AA494,IF(AI494=1,'Calc (ex-animal)'!$R$94*'Calc (ex-housing, ex-storage)'!F494/100/VLOOKUP($C$493,'DB animal categories'!$C$181:$AC$190,27,FALSE)*AJ494,IF(AI494=4,('Calc (ex-animal)'!$R$94+'Calc (ex-animal)'!$Q$94)*'Calc (ex-housing, ex-storage)'!F494/100*VLOOKUP(D494,'DB technologies'!$N$238:$Y$250,11,FALSE)/100/VLOOKUP($C$493,'DB animal categories'!$C$181:$AC$190,27,FALSE)*AJ494,0))))</f>
        <v/>
      </c>
      <c r="AS494" s="181" t="str">
        <f>IF(D494="","",VLOOKUP(D494,'DB technologies'!$N$238:$Y$250,10,FALSE))</f>
        <v/>
      </c>
      <c r="AT494" s="442" t="str">
        <f>IF(AS494="","",AU494+AV494)</f>
        <v/>
      </c>
      <c r="AU494" s="442" t="str">
        <f>IF(D494="","",IF(AS494=2,0,IF(AS494=1,'Calc (ex-animal)'!$G$94*'DB additional information '!$K$20/100*(1-VLOOKUP(D494,'DB technologies'!$N$238:$Y$250,8,FALSE)/100)*'Calc (ex-housing, ex-storage)'!F494/100/VLOOKUP($C$493,'DB animal categories'!$C$181:$AC$190,27,FALSE)*AJ494+I494+J494+K494,IF(AS494=5,(('Calc (ex-animal)'!$G$94*'DB additional information '!$K$20/100+'Calc (ex-animal)'!$H$94*'DB additional information '!$L$20/100))*(1-VLOOKUP(D494,'DB technologies'!$N$238:$Y$250,9,FALSE)/100)*'Calc (ex-housing, ex-storage)'!F494/100/VLOOKUP($C$493,'DB animal categories'!$C$181:$AC$190,27,FALSE)*AJ494+I494+J494+K494,IF(AS494=3,('Calc (ex-animal)'!$G$94*'DB additional information '!$K$20/100+'Calc (ex-animal)'!$H$94*'DB additional information '!$L$20/100)*(1-VLOOKUP(D494,'DB technologies'!$N$238:$Y$250,9,FALSE)/100)*'Calc (ex-housing, ex-storage)'!F494/100/VLOOKUP($C$493,'DB animal categories'!$C$181:$AC$190,27,FALSE)*AJ494+I494+J494+K494,IF(AS494=4,('Calc (ex-animal)'!$G$94*'DB additional information '!$K$20/100+'Calc (ex-animal)'!$H$94*'DB additional information '!$L$20/100)*(1-VLOOKUP(D494,'DB technologies'!$N$238:$Y$250,9,FALSE)/100)*'Calc (ex-housing, ex-storage)'!F494/100*VLOOKUP(D494,'DB technologies'!$N$238:$Y$250,12,FALSE)/100/VLOOKUP($C$493,'DB animal categories'!$C$181:$AC$190,27,FALSE)*AJ494+I494+J494+K494,0))))))</f>
        <v/>
      </c>
      <c r="AV494" s="442" t="str">
        <f>IF(D494="","",IF(AS494=2,0,IF(AS494=1,'Calc (ex-animal)'!$G$94*(1-'DB additional information '!$K$20/100)*(1-VLOOKUP(D494,'DB technologies'!$N$238:$Y$250,8,FALSE)/100)*'Calc (ex-housing, ex-storage)'!F494/100/VLOOKUP($C$493,'DB animal categories'!$C$181:$AC$190,27,FALSE)*AJ494+M494+N494+O494,IF(AS494=5,('Calc (ex-animal)'!$G$94*(1-'DB additional information '!$K$20/100)+'Calc (ex-animal)'!$H$94*(1-'DB additional information '!$L$20/100))*(1-VLOOKUP(D494,'DB technologies'!$N$238:$Y$250,8,FALSE)/100)*'Calc (ex-housing, ex-storage)'!F494/100/VLOOKUP($C$493,'DB animal categories'!$C$181:$AC$190,27,FALSE)*AJ494+M494+N494+O494,IF(AS494=3,('Calc (ex-animal)'!$G$94*(1-'DB additional information '!$K$20/100)+'Calc (ex-animal)'!$H$94*(1-'DB additional information '!$L$20/100))*(1-VLOOKUP(D494,'DB technologies'!$N$238:$Y$250,8,FALSE)/100)*'Calc (ex-housing, ex-storage)'!F494/100/VLOOKUP($C$493,'DB animal categories'!$C$181:$AC$190,27,FALSE)*AJ494+M494+N494+O494,IF(AS494=4,('Calc (ex-animal)'!$G$94*(1-'DB additional information '!$K$20/100)+'Calc (ex-animal)'!$H$94*(1-'DB additional information '!$L$20/100))*(1-VLOOKUP(D494,'DB technologies'!$N$238:$Y$250,8,FALSE)/100)*'Calc (ex-housing, ex-storage)'!F494/100*VLOOKUP(D494,'DB technologies'!$N$238:$Y$250,12,FALSE)/100/VLOOKUP($C$493,'DB animal categories'!$C$181:$AC$190,27,FALSE)*AJ494+M494+N494+O494,0))))))</f>
        <v/>
      </c>
      <c r="AW494" s="442" t="str">
        <f>IF(AS494="","",IF(AU494=0,0,AU494/AT494*100))</f>
        <v/>
      </c>
      <c r="AX494" s="182" t="str">
        <f>IF(D494="","",IF(AS494=2,0,IF(AS494=1,'Calc (ex-animal)'!$K$94*'Calc (ex-housing, ex-storage)'!F494/100/VLOOKUP($C$493,'DB animal categories'!$C$181:$AC$190,27,FALSE)*AJ494+Q494+R494+S494,IF(AS494=5,('Calc (ex-animal)'!$K$94+'Calc (ex-animal)'!$L$94)*'Calc (ex-housing, ex-storage)'!F494/100/VLOOKUP($C$493,'DB animal categories'!$C$181:$AC$190,27,FALSE)*AJ494+Q494+R494+S494-'Calc (ex-housing, ex-storage)'!AC494,IF(AS494=3,('Calc (ex-animal)'!$K$94+'Calc (ex-animal)'!$L$94)*'Calc (ex-housing, ex-storage)'!F494/100/VLOOKUP($C$493,'DB animal categories'!$C$181:$AC$190,27,FALSE)*AJ494+Q494+R494+S494-'Calc (ex-housing, ex-storage)'!AC494-AD494-AE494,IF(AI494=4,('Calc (ex-animal)'!$K$94+'Calc (ex-animal)'!$L$94)*'Calc (ex-housing, ex-storage)'!F494/100*VLOOKUP(D494,'DB technologies'!$N$238:$Y$250,12,FALSE)/100/VLOOKUP($C$493,'DB animal categories'!$C$181:$AC$190,27,FALSE)*AJ494+Q494+R494+S494-(VLOOKUP(D494,'DB technologies'!$N$238:$Y$250,12,FALSE)/100*AC494)-AD494-AE494,0))))))</f>
        <v/>
      </c>
      <c r="AY494" s="182" t="str">
        <f>IF(D494="","",IF(AS494=2,0,IF(AS494=1,'Calc (ex-animal)'!$N$94*'Calc (ex-housing, ex-storage)'!F494/100/VLOOKUP($C$493,'DB animal categories'!$C$181:$AC$190,27,FALSE)*AJ494+U494+V494+W494,IF(AS494=5,('Calc (ex-animal)'!$N$94+'Calc (ex-animal)'!$O$94)*'Calc (ex-housing, ex-storage)'!F494/100/VLOOKUP($C$493,'DB animal categories'!$C$181:$AC$190,27,FALSE)*AJ494+U494+V494+W494,IF(AS494=3,('Calc (ex-animal)'!$N$94+'Calc (ex-animal)'!$O$94)*'Calc (ex-housing, ex-storage)'!F494/100/VLOOKUP($C$493,'DB animal categories'!$C$181:$AC$190,27,FALSE)*AJ494+U494+V494+W494,IF(AS494=4,('Calc (ex-animal)'!$N$94+'Calc (ex-animal)'!$O$94)*'Calc (ex-housing, ex-storage)'!F494/100*VLOOKUP(D494,'DB technologies'!$N$238:$Y$250,12,FALSE)/100/VLOOKUP($C$493,'DB animal categories'!$C$181:$AC$190,27,FALSE)*AJ494+U494+V494+W494,0))))))</f>
        <v/>
      </c>
      <c r="AZ494" s="182" t="str">
        <f>IF(D494="","",IF(AS494=2,0,IF(AS494=1,'Calc (ex-animal)'!$Q$94*'Calc (ex-housing, ex-storage)'!F494/100/VLOOKUP($C$493,'DB animal categories'!$C$181:$AC$190,27,FALSE)*AJ494+Y494+Z494+AA494,IF(AS494=5,('Calc (ex-animal)'!$Q$94+'Calc (ex-animal)'!$R$94)*'Calc (ex-housing, ex-storage)'!F494/100/VLOOKUP($C$493,'DB animal categories'!$C$181:$AC$190,27,FALSE)*AJ494+Y494+Z494+AA494,IF(AS494=3,('Calc (ex-animal)'!$Q$94+'Calc (ex-animal)'!$R$94)*'Calc (ex-housing, ex-storage)'!F494/100/VLOOKUP($C$493,'DB animal categories'!$C$181:$AC$190,27,FALSE)*AJ494+Y494+Z494+AA494,IF(AS494=4,('Calc (ex-animal)'!$Q$94+'Calc (ex-animal)'!$R$94)*'Calc (ex-housing, ex-storage)'!F494/100*VLOOKUP(D494,'DB technologies'!$N$238:$Y$250,12,FALSE)/100/VLOOKUP($C$493,'DB animal categories'!$C$181:$AC$190,27,FALSE)*AJ494+Y494+Z494+AA494,0))))))</f>
        <v/>
      </c>
      <c r="BA494" s="506"/>
      <c r="BB494" s="506"/>
      <c r="BC494" s="506"/>
    </row>
    <row r="495" spans="1:55" x14ac:dyDescent="0.2">
      <c r="A495" s="748"/>
      <c r="B495" s="695"/>
      <c r="C495" s="251"/>
      <c r="D495" s="1357"/>
      <c r="E495" s="1358"/>
      <c r="F495" s="480" t="str">
        <f>IF('Calc (ex-animal)'!$F$93=1,"",IF($C$493=0,"",IF(D495="","",E495/'Calc (ex-animal)'!$E$94*100)))</f>
        <v/>
      </c>
      <c r="G495" s="485" t="str">
        <f>IF($C$493=0,"",IF('Calc (ex-animal)'!$F$93=1,"",IF(D495="","",SUM(H495:O495))))</f>
        <v/>
      </c>
      <c r="H495" s="423" t="str">
        <f>IF('Calc (ex-animal)'!$F$93=1,"",IF(D495="","",(((VLOOKUP($C$493,'Calc (ex-animal)'!$D$93:$Y$97,6,FALSE)-VLOOKUP($C$493,'Calc (ex-animal)'!$D$93:$Y$97,17,FALSE))*F495/100))*VLOOKUP($C$493,'Calc (ex-animal)'!$D$93:$Y$97,7,FALSE)/100*(1-VLOOKUP(D495,'DB technologies'!$N$238:$Y$250,9,FALSE)/100)))</f>
        <v/>
      </c>
      <c r="I495" s="423" t="str">
        <f>IF(D495="","",((VLOOKUP(D495,'DB technologies'!$N$238:$Y$250,2,FALSE)*VLOOKUP($C$493,'DB animal categories'!$C$181:$AC$190,27,FALSE)*E495/1000)/VLOOKUP($C$493,'DB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'!$S$6/100*(1-VLOOKUP(D495,'DB technologies'!$N$238:$Y$250,9,FALSE)/100)))</f>
        <v/>
      </c>
      <c r="J495" s="434" t="str">
        <f>IF(D495="","",((VLOOKUP(D495,'DB technologies'!$N$238:$Y$250,3,FALSE)*VLOOKUP($C$493,'DB animal categories'!$C$181:$AC$190,27,FALSE)*E495/1000)/VLOOKUP($C$493,'DB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'!$S$7/100*(1-VLOOKUP(D495,'DB technologies'!$N$238:$Y$250,9,FALSE)/100)))</f>
        <v/>
      </c>
      <c r="K495" s="434" t="str">
        <f>IF(D495="","",((VLOOKUP(D495,'DB technologies'!$N$238:$Y$250,4,FALSE)*E495*'DB additional information '!$S$8/100*(1-VLOOKUP(D495,'DB technologies'!$N$238:$Y$250,9,FALSE)/100))/VLOOKUP($C$493,'DB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L495" s="423" t="str">
        <f>IF('Calc (ex-animal)'!$F$93=1,"",IF(D495="","",(((VLOOKUP($C$493,'Calc (ex-animal)'!$D$93:$Y$97,6,FALSE)-VLOOKUP($C$493,'Calc (ex-animal)'!$D$93:$Y$97,17,FALSE))*F495/100))*(1-VLOOKUP($C$493,'Calc (ex-animal)'!$D$93:$Y$97,7,FALSE)/100)*(1-VLOOKUP(D495,'DB technologies'!$N$238:$V$250,8,FALSE)/100)))</f>
        <v/>
      </c>
      <c r="M495" s="434" t="str">
        <f>IF(D495="","",((VLOOKUP(D495,'DB technologies'!$N$238:$Y$250,2,FALSE)*VLOOKUP($C$493,'DB animal categories'!$C$181:$AC$190,27,FALSE)*E495/1000)/VLOOKUP($C$493,'DB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'!$S$6/100)*(1-VLOOKUP(D495,'DB technologies'!$N$238:$Y$250,9,FALSE)/100))</f>
        <v/>
      </c>
      <c r="N495" s="434" t="str">
        <f>IF(D495="","",((VLOOKUP(D495,'DB technologies'!$N$238:$Y$250,3,FALSE)*VLOOKUP($C$493,'DB animal categories'!$C$181:$AC$190,27,FALSE)*E495/1000)/VLOOKUP($C$493,'DB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'!$S$7/100)*(1-VLOOKUP(D495,'DB technologies'!$N$238:$Y$250,9,FALSE)/100))</f>
        <v/>
      </c>
      <c r="O495" s="423" t="str">
        <f>IF(D495="","",((VLOOKUP(D495,'DB technologies'!$N$238:$Y$250,4,FALSE)*E495*(1-'DB additional information '!$S$8/100)*(1-VLOOKUP(D495,'DB technologies'!$N$238:$Y$250,8,FALSE)/100))/VLOOKUP($C$493,'DB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P495" s="438" t="str">
        <f>IF(G495=0,0,IF(E495="","",IF(F495="","",IF($C$493=0,"",IF(D495="","",SUM(H495:K495)/G495*100)))))</f>
        <v/>
      </c>
      <c r="Q495" s="416" t="str">
        <f>IF(D495="","",(VLOOKUP(D495,'DB technologies'!$N$238:$Y$250,2,FALSE)*'DB additional information '!$S$6/100*'DB additional information '!$T$6*VLOOKUP($C$493,'DB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R495" s="416" t="str">
        <f>IF(D495="","",(VLOOKUP(D495,'DB technologies'!$N$238:$Y$250,3,FALSE)*'DB additional information '!$S$7/100*'DB additional information '!$T$7*VLOOKUP($C$493,'DB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S495" s="491" t="str">
        <f>IF(D495="","",(VLOOKUP(D495,'DB technologies'!$N$238:$Y$250,4,FALSE)*('DB additional information '!$S$8/100*'DB additional information '!$T$8*E495/1000/1000)))</f>
        <v/>
      </c>
      <c r="T495" s="264" t="str">
        <f>IF($C$493=0,"",IF('Calc (ex-animal)'!$F$93=1,"",IF(D495="","",((VLOOKUP($C$493,'Calc (ex-animal)'!$D$93:$Y$97,10,FALSE)-VLOOKUP($C$493,'Calc (ex-animal)'!$D$93:$Y$97,18,FALSE))*F495/100+Q495+R495+S495)-AC495-AD495-AE495)))</f>
        <v/>
      </c>
      <c r="U495" s="422" t="str">
        <f>IF(D495="","",(VLOOKUP(D495,'DB technologies'!$N$238:$Y$250,2,FALSE)*'DB additional information '!$S$6/100*'DB additional information '!$U$6*VLOOKUP($C$493,'DB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V495" s="418" t="str">
        <f>IF(D495="","",(VLOOKUP(D495,'DB technologies'!$N$238:$Y$250,3,FALSE)*'DB additional information '!$S$7/100*'DB additional information '!$U$7*VLOOKUP($C$493,'DB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W495" s="417" t="str">
        <f>IF(D495="","",(VLOOKUP(D495,'DB technologies'!$N$238:$Y$250,4,FALSE)*('DB additional information '!$S$8/100*'DB additional information '!$U$8*E495/1000/1000)))</f>
        <v/>
      </c>
      <c r="X495" s="261" t="str">
        <f>IF($C$493=0,"",IF('Calc (ex-animal)'!$F$93=1,"",IF(D495="","",((VLOOKUP($C$493,'Calc (ex-animal)'!$D$93:$Y$97,13,FALSE)-VLOOKUP($C$493,'Calc (ex-animal)'!$D$93:$Y$97,19,FALSE))*F495/100+U495+V495+W495))))</f>
        <v/>
      </c>
      <c r="Y495" s="418" t="str">
        <f>IF(D495="","",(VLOOKUP(D495,'DB technologies'!$N$238:$Y$250,2,FALSE)*'DB additional information '!$S$6/100*'DB additional information '!$V$6*VLOOKUP($C$493,'DB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Z495" s="418" t="str">
        <f>IF(D495="","",(VLOOKUP(D495,'DB technologies'!$N$238:$Y$250,3,FALSE)*'DB additional information '!$S$7/100*'DB additional information '!$V$7*VLOOKUP($C$493,'DB animal categories'!$C$181:$AC$190,27,FALSE)*E495/1000/1000)/VLOOKUP($C$493,'DB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AA495" s="418" t="str">
        <f>IF(D495="","",(VLOOKUP(D495,'DB technologies'!$N$238:$Y$250,4,FALSE)*('DB additional information '!$S$8/100*'DB additional information '!$V$8*E495/1000/1000)))</f>
        <v/>
      </c>
      <c r="AB495" s="261" t="str">
        <f>IF($C$493=0,"",IF('Calc (ex-animal)'!$F$93=1,"",IF(D495="","",((VLOOKUP($C$493,'Calc (ex-animal)'!$D$93:$Y$97,16,FALSE)-VLOOKUP($C$493,'Calc (ex-animal)'!$D$93:$Y$97,20,FALSE))*F495/100+Y495+Z495+AA495))))</f>
        <v/>
      </c>
      <c r="AC495" s="261" t="str">
        <f>IF($C$493=0,"",IF('Calc (ex-animal)'!$F$93=1,"",IF(D495="","",VLOOKUP($C$493,'Calc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categories'!$C$181:$AC$190,26,FALSE)/24)*F495/100*VLOOKUP(D495,'DB technologies'!$N$238:$R$250,5,FALSE)/100)))</f>
        <v/>
      </c>
      <c r="AD495" s="261" t="str">
        <f>IF($C$493=0,"",IF('Calc (ex-animal)'!$F$93=1,"",IF(D495="","",VLOOKUP($C$493,'Calc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categories'!$C$181:$AC$190,26,FALSE)/24)*F495/100*VLOOKUP(D495,'DB technologies'!$N$238:$Y$250,6,FALSE)/100)))</f>
        <v/>
      </c>
      <c r="AE495" s="262" t="str">
        <f>IF($C$493=0,"",IF('Calc (ex-animal)'!$F$93=1,"",IF(D495="","",VLOOKUP($C$493,'Calc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categories'!$C$181:$AC$190,26,FALSE)/24)*F495/100*VLOOKUP(D495,'DB technologies'!$N$238:$Y$250,7,FALSE)/100)))</f>
        <v/>
      </c>
      <c r="AI495" s="181" t="str">
        <f>IF(D495="","",VLOOKUP(D495,'DB technologies'!$N$238:$Y$250,10,FALSE))</f>
        <v/>
      </c>
      <c r="AJ495" s="449" t="e">
        <f>VLOOKUP($C$493,'DB animal categories'!$C$181:$AN$190,27,FALSE)-VLOOKUP($C$493,'DB animal categories'!$C$181:$AN$190,26,FALSE)*VLOOKUP($C$493,'DB animal categories'!$C$181:$AN$190,25,FALSE)/24</f>
        <v>#N/A</v>
      </c>
      <c r="AK495" s="442" t="str">
        <f>IF(AI495="","",AL495+AM495)</f>
        <v/>
      </c>
      <c r="AL495" s="442" t="str">
        <f>IF(D495="","",IF(AI495=2,(('Calc (ex-animal)'!$G$94*'DB additional information '!$K$20/100*(1-VLOOKUP(D495,'DB technologies'!$N$238:$Y$250,9,FALSE)/100)*'Calc (ex-housing, ex-storage)'!F495/100+'Calc (ex-animal)'!$H$94*'DB additional information '!$L$20/100*(1-VLOOKUP(D495,'DB technologies'!$N$238:$Y$250,9,FALSE)/100)*'Calc (ex-housing, ex-storage)'!F495/100))/VLOOKUP($C$493,'DB animal categories'!$C$181:$AC$190,27,FALSE)*AJ495+I495+J495+K495,IF(AI495=1,('Calc (ex-animal)'!$H$94*'DB additional information '!$L$20/100*(1-VLOOKUP(D495,'DB technologies'!$N$238:$Y$250,9,FALSE)/100)*'Calc (ex-housing, ex-storage)'!F495/100)/VLOOKUP($C$493,'DB animal categories'!$C$181:$AC$190,27,FALSE)*AJ495,IF(AI495=4,('Calc (ex-animal)'!$G$94*'DB additional information '!$K$20/100+'Calc (ex-animal)'!$H$94*'DB additional information '!$L$20/100)*(1-VLOOKUP(D495,'DB technologies'!$N$238:$Y$250,9,FALSE)/100)*'Calc (ex-housing, ex-storage)'!F495/100*VLOOKUP(D495,'DB technologies'!$N$238:$Y$250,11,FALSE)/100/VLOOKUP($C$493,'DB animal categories'!$C$181:$AC$190,27,FALSE)*AJ495,0))))</f>
        <v/>
      </c>
      <c r="AM495" s="442" t="str">
        <f>IF(D495="","",IF(AI495=2,(('Calc (ex-animal)'!$G$94*(1-'DB additional information '!$K$20/100)*(1-VLOOKUP(D495,'DB technologies'!$N$238:$Y$250,8,FALSE)/100)*'Calc (ex-housing, ex-storage)'!F495/100+'Calc (ex-animal)'!$H$94*(1-'DB additional information '!$L$20/100)*(1-VLOOKUP(D495,'DB technologies'!$N$238:$Y$250,8,FALSE)/100)*'Calc (ex-housing, ex-storage)'!F495/100))/VLOOKUP($C$493,'DB animal categories'!$C$181:$AC$190,27,FALSE)*AJ495+M495+N495+O495,IF(AI495=1,('Calc (ex-animal)'!$H$94*(1-'DB additional information '!$L$20/100)*(1-VLOOKUP(D495,'DB technologies'!$N$238:$Y$250,8,FALSE)/100)*'Calc (ex-housing, ex-storage)'!F495/100)/VLOOKUP($C$493,'DB animal categories'!$C$181:$AC$190,27,FALSE)*AJ495,IF(AI495=4,('Calc (ex-animal)'!$G$94*(1-'DB additional information '!$K$20/100)+'Calc (ex-animal)'!$H$94*(1-'DB additional information '!$L$20/100))*(1-VLOOKUP(D495,'DB technologies'!$N$238:$Y$250,8,FALSE)/100)*'Calc (ex-housing, ex-storage)'!F495/100*VLOOKUP(D495,'DB technologies'!$N$238:$Y$250,11,FALSE)/100/VLOOKUP($C$493,'DB animal categories'!$C$181:$AC$190,27,FALSE)*AJ495,0))))</f>
        <v/>
      </c>
      <c r="AN495" s="442" t="str">
        <f>IF(AI495="","",IF(AL495=0,0,AL495/AK495*100))</f>
        <v/>
      </c>
      <c r="AO495" s="182" t="str">
        <f>IF(D495="","",IF(AI495=2,(('Calc (ex-animal)'!$L$94*'Calc (ex-housing, ex-storage)'!F495/100+'Calc (ex-animal)'!$K$94*'Calc (ex-housing, ex-storage)'!F495/100))/VLOOKUP($C$493,'DB animal categories'!$C$181:$AC$190,27,FALSE)*AJ495+Q495+R495+S495-AC495,IF(AI495=1,('Calc (ex-animal)'!$L$94*'Calc (ex-housing, ex-storage)'!F495/100)/VLOOKUP($C$493,'DB animal categories'!$C$181:$AC$190,27,FALSE)*AJ495-'Calc (ex-housing, ex-storage)'!AC495,IF(AI495=4,('Calc (ex-animal)'!$L$94+'Calc (ex-animal)'!$K$94)*'Calc (ex-housing, ex-storage)'!F495/100*VLOOKUP(D495,'DB technologies'!$N$238:$Y$250,11,FALSE)/100/VLOOKUP($C$493,'DB animal categories'!$C$181:$AC$190,27,FALSE)*AJ495-AC495*VLOOKUP(D495,'DB technologies'!$N$238:$Y$250,11,FALSE)/100,0))))</f>
        <v/>
      </c>
      <c r="AP495" s="182" t="str">
        <f>IF(D495="","",IF(AO495&lt;-0.01,0,IF(AI495=2,(('Calc (ex-animal)'!$L$94*'Calc (ex-housing, ex-storage)'!F495/100+'Calc (ex-animal)'!$K$94*'Calc (ex-housing, ex-storage)'!F495/100))/VLOOKUP($C$493,'DB animal categories'!$C$181:$AC$190,27,FALSE)*AJ495+Q495+R495+S495-AC495,IF(AI495=1,('Calc (ex-animal)'!$L$94*'Calc (ex-housing, ex-storage)'!F495/100)/VLOOKUP($C$493,'DB animal categories'!$C$181:$AC$190,27,FALSE)*AJ495-'Calc (ex-housing, ex-storage)'!AC495,IF(AI495=4,('Calc (ex-animal)'!$L$94+'Calc (ex-animal)'!$K$94)*'Calc (ex-housing, ex-storage)'!F495/100*VLOOKUP(D495,'DB technologies'!$N$238:$Y$250,11,FALSE)/100/VLOOKUP($C$493,'DB animal categories'!$C$181:$AC$190,27,FALSE)*AJ495-AC495*VLOOKUP(D495,'DB technologies'!$N$238:$Y$250,11,FALSE)/100,0)))))</f>
        <v/>
      </c>
      <c r="AQ495" s="182" t="str">
        <f>IF(D495="","",IF(AI495=2,('Calc (ex-animal)'!$O$94*'Calc (ex-housing, ex-storage)'!F495/100+'Calc (ex-animal)'!$N$94*'Calc (ex-housing, ex-storage)'!F495/100)/VLOOKUP($C$493,'DB animal categories'!$C$181:$AC$190,27,FALSE)*AJ495+U495+V495+W495,IF(AI495=1,'Calc (ex-animal)'!$O$94*'Calc (ex-housing, ex-storage)'!F495/100/VLOOKUP($C$493,'DB animal categories'!$C$181:$AC$190,27,FALSE)*AJ495,IF(AI495=4,('Calc (ex-animal)'!$O$94+'Calc (ex-animal)'!$N$94)*'Calc (ex-housing, ex-storage)'!F495/100*VLOOKUP(D495,'DB technologies'!$N$238:$Y$250,11,FALSE)/100/VLOOKUP($C$493,'DB animal categories'!$C$181:$AC$190,27,FALSE)*AJ495,0))))</f>
        <v/>
      </c>
      <c r="AR495" s="182" t="str">
        <f>IF(D495="","",IF(AI495=2,('Calc (ex-animal)'!$R$94*'Calc (ex-housing, ex-storage)'!F495/100+'Calc (ex-animal)'!$Q$94*'Calc (ex-housing, ex-storage)'!F495/100)/VLOOKUP($C$493,'DB animal categories'!$C$181:$AC$190,27,FALSE)*AJ495+Y495+Z495+AA495,IF(AI495=1,'Calc (ex-animal)'!$R$94*'Calc (ex-housing, ex-storage)'!F495/100/VLOOKUP($C$493,'DB animal categories'!$C$181:$AC$190,27,FALSE)*AJ495,IF(AI495=4,('Calc (ex-animal)'!$R$94+'Calc (ex-animal)'!$Q$94)*'Calc (ex-housing, ex-storage)'!F495/100*VLOOKUP(D495,'DB technologies'!$N$238:$Y$250,11,FALSE)/100/VLOOKUP($C$493,'DB animal categories'!$C$181:$AC$190,27,FALSE)*AJ495,0))))</f>
        <v/>
      </c>
      <c r="AS495" s="181" t="str">
        <f>IF(D495="","",VLOOKUP(D495,'DB technologies'!$N$238:$Y$250,10,FALSE))</f>
        <v/>
      </c>
      <c r="AT495" s="442" t="str">
        <f>IF(AS495="","",AU495+AV495)</f>
        <v/>
      </c>
      <c r="AU495" s="442" t="str">
        <f>IF(D495="","",IF(AS495=2,0,IF(AS495=1,'Calc (ex-animal)'!$G$94*'DB additional information '!$K$20/100*(1-VLOOKUP(D495,'DB technologies'!$N$238:$Y$250,8,FALSE)/100)*'Calc (ex-housing, ex-storage)'!F495/100/VLOOKUP($C$493,'DB animal categories'!$C$181:$AC$190,27,FALSE)*AJ495+I495+J495+K495,IF(AS495=5,(('Calc (ex-animal)'!$G$94*'DB additional information '!$K$20/100+'Calc (ex-animal)'!$H$94*'DB additional information '!$L$20/100))*(1-VLOOKUP(D495,'DB technologies'!$N$238:$Y$250,9,FALSE)/100)*'Calc (ex-housing, ex-storage)'!F495/100/VLOOKUP($C$493,'DB animal categories'!$C$181:$AC$190,27,FALSE)*AJ495+I495+J495+K495,IF(AS495=3,('Calc (ex-animal)'!$G$94*'DB additional information '!$K$20/100+'Calc (ex-animal)'!$H$94*'DB additional information '!$L$20/100)*(1-VLOOKUP(D495,'DB technologies'!$N$238:$Y$250,9,FALSE)/100)*'Calc (ex-housing, ex-storage)'!F495/100/VLOOKUP($C$493,'DB animal categories'!$C$181:$AC$190,27,FALSE)*AJ495+I495+J495+K495,IF(AS495=4,('Calc (ex-animal)'!$G$94*'DB additional information '!$K$20/100+'Calc (ex-animal)'!$H$94*'DB additional information '!$L$20/100)*(1-VLOOKUP(D495,'DB technologies'!$N$238:$Y$250,9,FALSE)/100)*'Calc (ex-housing, ex-storage)'!F495/100*VLOOKUP(D495,'DB technologies'!$N$238:$Y$250,12,FALSE)/100/VLOOKUP($C$493,'DB animal categories'!$C$181:$AC$190,27,FALSE)*AJ495+I495+J495+K495,0))))))</f>
        <v/>
      </c>
      <c r="AV495" s="442" t="str">
        <f>IF(D495="","",IF(AS495=2,0,IF(AS495=1,'Calc (ex-animal)'!$G$94*(1-'DB additional information '!$K$20/100)*(1-VLOOKUP(D495,'DB technologies'!$N$238:$Y$250,8,FALSE)/100)*'Calc (ex-housing, ex-storage)'!F495/100/VLOOKUP($C$493,'DB animal categories'!$C$181:$AC$190,27,FALSE)*AJ495+M495+N495+O495,IF(AS495=5,('Calc (ex-animal)'!$G$94*(1-'DB additional information '!$K$20/100)+'Calc (ex-animal)'!$H$94*(1-'DB additional information '!$L$20/100))*(1-VLOOKUP(D495,'DB technologies'!$N$238:$Y$250,8,FALSE)/100)*'Calc (ex-housing, ex-storage)'!F495/100/VLOOKUP($C$493,'DB animal categories'!$C$181:$AC$190,27,FALSE)*AJ495+M495+N495+O495,IF(AS495=3,('Calc (ex-animal)'!$G$94*(1-'DB additional information '!$K$20/100)+'Calc (ex-animal)'!$H$94*(1-'DB additional information '!$L$20/100))*(1-VLOOKUP(D495,'DB technologies'!$N$238:$Y$250,8,FALSE)/100)*'Calc (ex-housing, ex-storage)'!F495/100/VLOOKUP($C$493,'DB animal categories'!$C$181:$AC$190,27,FALSE)*AJ495+M495+N495+O495,IF(AS495=4,('Calc (ex-animal)'!$G$94*(1-'DB additional information '!$K$20/100)+'Calc (ex-animal)'!$H$94*(1-'DB additional information '!$L$20/100))*(1-VLOOKUP(D495,'DB technologies'!$N$238:$Y$250,8,FALSE)/100)*'Calc (ex-housing, ex-storage)'!F495/100*VLOOKUP(D495,'DB technologies'!$N$238:$Y$250,12,FALSE)/100/VLOOKUP($C$493,'DB animal categories'!$C$181:$AC$190,27,FALSE)*AJ495+M495+N495+O495,0))))))</f>
        <v/>
      </c>
      <c r="AW495" s="442" t="str">
        <f>IF(AS495="","",IF(AU495=0,0,AU495/AT495*100))</f>
        <v/>
      </c>
      <c r="AX495" s="182" t="str">
        <f>IF(D495="","",IF(AS495=2,0,IF(AS495=1,'Calc (ex-animal)'!$K$94*'Calc (ex-housing, ex-storage)'!F495/100/VLOOKUP($C$493,'DB animal categories'!$C$181:$AC$190,27,FALSE)*AJ495+Q495+R495+S495,IF(AS495=5,('Calc (ex-animal)'!$K$94+'Calc (ex-animal)'!$L$94)*'Calc (ex-housing, ex-storage)'!F495/100/VLOOKUP($C$493,'DB animal categories'!$C$181:$AC$190,27,FALSE)*AJ495+Q495+R495+S495-'Calc (ex-housing, ex-storage)'!AC495,IF(AS495=3,('Calc (ex-animal)'!$K$94+'Calc (ex-animal)'!$L$94)*'Calc (ex-housing, ex-storage)'!F495/100/VLOOKUP($C$493,'DB animal categories'!$C$181:$AC$190,27,FALSE)*AJ495+Q495+R495+S495-'Calc (ex-housing, ex-storage)'!AC495-AD495-AE495,IF(AI495=4,('Calc (ex-animal)'!$K$94+'Calc (ex-animal)'!$L$94)*'Calc (ex-housing, ex-storage)'!F495/100*VLOOKUP(D495,'DB technologies'!$N$238:$Y$250,12,FALSE)/100/VLOOKUP($C$493,'DB animal categories'!$C$181:$AC$190,27,FALSE)*AJ495+Q495+R495+S495-(VLOOKUP(D495,'DB technologies'!$N$238:$Y$250,12,FALSE)/100*AC495)-AD495-AE495,0))))))</f>
        <v/>
      </c>
      <c r="AY495" s="182" t="str">
        <f>IF(D495="","",IF(AS495=2,0,IF(AS495=1,'Calc (ex-animal)'!$N$94*'Calc (ex-housing, ex-storage)'!F495/100/VLOOKUP($C$493,'DB animal categories'!$C$181:$AC$190,27,FALSE)*AJ495+U495+V495+W495,IF(AS495=5,('Calc (ex-animal)'!$N$94+'Calc (ex-animal)'!$O$94)*'Calc (ex-housing, ex-storage)'!F495/100/VLOOKUP($C$493,'DB animal categories'!$C$181:$AC$190,27,FALSE)*AJ495+U495+V495+W495,IF(AS495=3,('Calc (ex-animal)'!$N$94+'Calc (ex-animal)'!$O$94)*'Calc (ex-housing, ex-storage)'!F495/100/VLOOKUP($C$493,'DB animal categories'!$C$181:$AC$190,27,FALSE)*AJ495+U495+V495+W495,IF(AS495=4,('Calc (ex-animal)'!$N$94+'Calc (ex-animal)'!$O$94)*'Calc (ex-housing, ex-storage)'!F495/100*VLOOKUP(D495,'DB technologies'!$N$238:$Y$250,12,FALSE)/100/VLOOKUP($C$493,'DB animal categories'!$C$181:$AC$190,27,FALSE)*AJ495+U495+V495+W495,0))))))</f>
        <v/>
      </c>
      <c r="AZ495" s="182" t="str">
        <f>IF(D495="","",IF(AS495=2,0,IF(AS495=1,'Calc (ex-animal)'!$Q$94*'Calc (ex-housing, ex-storage)'!F495/100/VLOOKUP($C$493,'DB animal categories'!$C$181:$AC$190,27,FALSE)*AJ495+Y495+Z495+AA495,IF(AS495=5,('Calc (ex-animal)'!$Q$94+'Calc (ex-animal)'!$R$94)*'Calc (ex-housing, ex-storage)'!F495/100/VLOOKUP($C$493,'DB animal categories'!$C$181:$AC$190,27,FALSE)*AJ495+Y495+Z495+AA495,IF(AS495=3,('Calc (ex-animal)'!$Q$94+'Calc (ex-animal)'!$R$94)*'Calc (ex-housing, ex-storage)'!F495/100/VLOOKUP($C$493,'DB animal categories'!$C$181:$AC$190,27,FALSE)*AJ495+Y495+Z495+AA495,IF(AS495=4,('Calc (ex-animal)'!$Q$94+'Calc (ex-animal)'!$R$94)*'Calc (ex-housing, ex-storage)'!F495/100*VLOOKUP(D495,'DB technologies'!$N$238:$Y$250,12,FALSE)/100/VLOOKUP($C$493,'DB animal categories'!$C$181:$AC$190,27,FALSE)*AJ495+Y495+Z495+AA495,0))))))</f>
        <v/>
      </c>
      <c r="BA495" s="506"/>
      <c r="BB495" s="506"/>
      <c r="BC495" s="506"/>
    </row>
    <row r="496" spans="1:55" x14ac:dyDescent="0.2">
      <c r="A496" s="748"/>
      <c r="B496" s="695"/>
      <c r="C496" s="251"/>
      <c r="D496" s="1357"/>
      <c r="E496" s="1358"/>
      <c r="F496" s="480" t="str">
        <f>IF('Calc (ex-animal)'!$F$93=1,"",IF($C$493=0,"",IF(D496="","",E496/'Calc (ex-animal)'!$E$94*100)))</f>
        <v/>
      </c>
      <c r="G496" s="485" t="str">
        <f>IF($C$493=0,"",IF('Calc (ex-animal)'!$F$93=1,"",IF(D496="","",SUM(H496:O496))))</f>
        <v/>
      </c>
      <c r="H496" s="423" t="str">
        <f>IF('Calc (ex-animal)'!$F$93=1,"",IF(D496="","",(((VLOOKUP($C$493,'Calc (ex-animal)'!$D$93:$Y$97,6,FALSE)-VLOOKUP($C$493,'Calc (ex-animal)'!$D$93:$Y$97,17,FALSE))*F496/100))*VLOOKUP($C$493,'Calc (ex-animal)'!$D$93:$Y$97,7,FALSE)/100*(1-VLOOKUP(D496,'DB technologies'!$N$238:$Y$250,9,FALSE)/100)))</f>
        <v/>
      </c>
      <c r="I496" s="423" t="str">
        <f>IF(D496="","",((VLOOKUP(D496,'DB technologies'!$N$238:$Y$250,2,FALSE)*VLOOKUP($C$493,'DB animal categories'!$C$181:$AC$190,27,FALSE)*E496/1000)/VLOOKUP($C$493,'DB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'!$S$6/100*(1-VLOOKUP(D496,'DB technologies'!$N$238:$Y$250,9,FALSE)/100)))</f>
        <v/>
      </c>
      <c r="J496" s="434" t="str">
        <f>IF(D496="","",((VLOOKUP(D496,'DB technologies'!$N$238:$Y$250,3,FALSE)*VLOOKUP($C$493,'DB animal categories'!$C$181:$AC$190,27,FALSE)*E496/1000)/VLOOKUP($C$493,'DB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'!$S$7/100*(1-VLOOKUP(D496,'DB technologies'!$N$238:$Y$250,9,FALSE)/100)))</f>
        <v/>
      </c>
      <c r="K496" s="434" t="str">
        <f>IF(D496="","",((VLOOKUP(D496,'DB technologies'!$N$238:$Y$250,4,FALSE)*E496*'DB additional information '!$S$8/100*(1-VLOOKUP(D496,'DB technologies'!$N$238:$Y$250,9,FALSE)/100))/VLOOKUP($C$493,'DB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L496" s="423" t="str">
        <f>IF('Calc (ex-animal)'!$F$93=1,"",IF(D496="","",(((VLOOKUP($C$493,'Calc (ex-animal)'!$D$93:$Y$97,6,FALSE)-VLOOKUP($C$493,'Calc (ex-animal)'!$D$93:$Y$97,17,FALSE))*F496/100))*(1-VLOOKUP($C$493,'Calc (ex-animal)'!$D$93:$Y$97,7,FALSE)/100)*(1-VLOOKUP(D496,'DB technologies'!$N$238:$V$250,8,FALSE)/100)))</f>
        <v/>
      </c>
      <c r="M496" s="434" t="str">
        <f>IF(D496="","",((VLOOKUP(D496,'DB technologies'!$N$238:$Y$250,2,FALSE)*VLOOKUP($C$493,'DB animal categories'!$C$181:$AC$190,27,FALSE)*E496/1000)/VLOOKUP($C$493,'DB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'!$S$6/100)*(1-VLOOKUP(D496,'DB technologies'!$N$238:$Y$250,9,FALSE)/100))</f>
        <v/>
      </c>
      <c r="N496" s="434" t="str">
        <f>IF(D496="","",((VLOOKUP(D496,'DB technologies'!$N$238:$Y$250,3,FALSE)*VLOOKUP($C$493,'DB animal categories'!$C$181:$AC$190,27,FALSE)*E496/1000)/VLOOKUP($C$493,'DB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'!$S$7/100)*(1-VLOOKUP(D496,'DB technologies'!$N$238:$Y$250,9,FALSE)/100))</f>
        <v/>
      </c>
      <c r="O496" s="423" t="str">
        <f>IF(D496="","",((VLOOKUP(D496,'DB technologies'!$N$238:$Y$250,4,FALSE)*E496*(1-'DB additional information '!$S$8/100)*(1-VLOOKUP(D496,'DB technologies'!$N$238:$Y$250,8,FALSE)/100))/VLOOKUP($C$493,'DB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P496" s="438" t="str">
        <f>IF(G496=0,0,IF(E496="","",IF(F496="","",IF($C$493=0,"",IF(D496="","",SUM(H496:K496)/G496*100)))))</f>
        <v/>
      </c>
      <c r="Q496" s="416" t="str">
        <f>IF(D496="","",(VLOOKUP(D496,'DB technologies'!$N$238:$Y$250,2,FALSE)*'DB additional information '!$S$6/100*'DB additional information '!$T$6*VLOOKUP($C$493,'DB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R496" s="416" t="str">
        <f>IF(D496="","",(VLOOKUP(D496,'DB technologies'!$N$238:$Y$250,3,FALSE)*'DB additional information '!$S$7/100*'DB additional information '!$T$7*VLOOKUP($C$493,'DB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S496" s="491" t="str">
        <f>IF(D496="","",(VLOOKUP(D496,'DB technologies'!$N$238:$Y$250,4,FALSE)*('DB additional information '!$S$8/100*'DB additional information '!$T$8*E496/1000/1000)))</f>
        <v/>
      </c>
      <c r="T496" s="264" t="str">
        <f>IF($C$493=0,"",IF('Calc (ex-animal)'!$F$93=1,"",IF(D496="","",((VLOOKUP($C$493,'Calc (ex-animal)'!$D$93:$Y$97,10,FALSE)-VLOOKUP($C$493,'Calc (ex-animal)'!$D$93:$Y$97,18,FALSE))*F496/100+Q496+R496+S496)-AC496-AD496-AE496)))</f>
        <v/>
      </c>
      <c r="U496" s="422" t="str">
        <f>IF(D496="","",(VLOOKUP(D496,'DB technologies'!$N$238:$Y$250,2,FALSE)*'DB additional information '!$S$6/100*'DB additional information '!$U$6*VLOOKUP($C$493,'DB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V496" s="418" t="str">
        <f>IF(D496="","",(VLOOKUP(D496,'DB technologies'!$N$238:$Y$250,3,FALSE)*'DB additional information '!$S$7/100*'DB additional information '!$U$7*VLOOKUP($C$493,'DB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W496" s="417" t="str">
        <f>IF(D496="","",(VLOOKUP(D496,'DB technologies'!$N$238:$Y$250,4,FALSE)*('DB additional information '!$S$8/100*'DB additional information '!$U$8*E496/1000/1000)))</f>
        <v/>
      </c>
      <c r="X496" s="261" t="str">
        <f>IF($C$493=0,"",IF('Calc (ex-animal)'!$F$93=1,"",IF(D496="","",((VLOOKUP($C$493,'Calc (ex-animal)'!$D$93:$Y$97,13,FALSE)-VLOOKUP($C$493,'Calc (ex-animal)'!$D$93:$Y$97,19,FALSE))*F496/100+U496+V496+W496))))</f>
        <v/>
      </c>
      <c r="Y496" s="418" t="str">
        <f>IF(D496="","",(VLOOKUP(D496,'DB technologies'!$N$238:$Y$250,2,FALSE)*'DB additional information '!$S$6/100*'DB additional information '!$V$6*VLOOKUP($C$493,'DB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Z496" s="418" t="str">
        <f>IF(D496="","",(VLOOKUP(D496,'DB technologies'!$N$238:$Y$250,3,FALSE)*'DB additional information '!$S$7/100*'DB additional information '!$V$7*VLOOKUP($C$493,'DB animal categories'!$C$181:$AC$190,27,FALSE)*E496/1000/1000)/VLOOKUP($C$493,'DB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AA496" s="418" t="str">
        <f>IF(D496="","",(VLOOKUP(D496,'DB technologies'!$N$238:$Y$250,4,FALSE)*('DB additional information '!$S$8/100*'DB additional information '!$V$8*E496/1000/1000)))</f>
        <v/>
      </c>
      <c r="AB496" s="261" t="str">
        <f>IF($C$493=0,"",IF('Calc (ex-animal)'!$F$93=1,"",IF(D496="","",((VLOOKUP($C$493,'Calc (ex-animal)'!$D$93:$Y$97,16,FALSE)-VLOOKUP($C$493,'Calc (ex-animal)'!$D$93:$Y$97,20,FALSE))*F496/100+Y496+Z496+AA496))))</f>
        <v/>
      </c>
      <c r="AC496" s="261" t="str">
        <f>IF($C$493=0,"",IF('Calc (ex-animal)'!$F$93=1,"",IF(D496="","",VLOOKUP($C$493,'Calc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categories'!$C$181:$AC$190,26,FALSE)/24)*F496/100*VLOOKUP(D496,'DB technologies'!$N$238:$R$250,5,FALSE)/100)))</f>
        <v/>
      </c>
      <c r="AD496" s="261" t="str">
        <f>IF($C$493=0,"",IF('Calc (ex-animal)'!$F$93=1,"",IF(D496="","",VLOOKUP($C$493,'Calc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categories'!$C$181:$AC$190,26,FALSE)/24)*F496/100*VLOOKUP(D496,'DB technologies'!$N$238:$Y$250,6,FALSE)/100)))</f>
        <v/>
      </c>
      <c r="AE496" s="262" t="str">
        <f>IF($C$493=0,"",IF('Calc (ex-animal)'!$F$93=1,"",IF(D496="","",VLOOKUP($C$493,'Calc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categories'!$C$181:$AC$190,26,FALSE)/24)*F496/100*VLOOKUP(D496,'DB technologies'!$N$238:$Y$250,7,FALSE)/100)))</f>
        <v/>
      </c>
      <c r="AI496" s="181" t="str">
        <f>IF(D496="","",VLOOKUP(D496,'DB technologies'!$N$238:$Y$250,10,FALSE))</f>
        <v/>
      </c>
      <c r="AJ496" s="449" t="e">
        <f>VLOOKUP($C$493,'DB animal categories'!$C$181:$AN$190,27,FALSE)-VLOOKUP($C$493,'DB animal categories'!$C$181:$AN$190,26,FALSE)*VLOOKUP($C$493,'DB animal categories'!$C$181:$AN$190,25,FALSE)/24</f>
        <v>#N/A</v>
      </c>
      <c r="AK496" s="442" t="str">
        <f>IF(AI496="","",AL496+AM496)</f>
        <v/>
      </c>
      <c r="AL496" s="442" t="str">
        <f>IF(D496="","",IF(AI496=2,(('Calc (ex-animal)'!$G$94*'DB additional information '!$K$20/100*(1-VLOOKUP(D496,'DB technologies'!$N$238:$Y$250,9,FALSE)/100)*'Calc (ex-housing, ex-storage)'!F496/100+'Calc (ex-animal)'!$H$94*'DB additional information '!$L$20/100*(1-VLOOKUP(D496,'DB technologies'!$N$238:$Y$250,9,FALSE)/100)*'Calc (ex-housing, ex-storage)'!F496/100))/VLOOKUP($C$493,'DB animal categories'!$C$181:$AC$190,27,FALSE)*AJ496+I496+J496+K496,IF(AI496=1,('Calc (ex-animal)'!$H$94*'DB additional information '!$L$20/100*(1-VLOOKUP(D496,'DB technologies'!$N$238:$Y$250,9,FALSE)/100)*'Calc (ex-housing, ex-storage)'!F496/100)/VLOOKUP($C$493,'DB animal categories'!$C$181:$AC$190,27,FALSE)*AJ496,IF(AI496=4,('Calc (ex-animal)'!$G$94*'DB additional information '!$K$20/100+'Calc (ex-animal)'!$H$94*'DB additional information '!$L$20/100)*(1-VLOOKUP(D496,'DB technologies'!$N$238:$Y$250,9,FALSE)/100)*'Calc (ex-housing, ex-storage)'!F496/100*VLOOKUP(D496,'DB technologies'!$N$238:$Y$250,11,FALSE)/100/VLOOKUP($C$493,'DB animal categories'!$C$181:$AC$190,27,FALSE)*AJ496,0))))</f>
        <v/>
      </c>
      <c r="AM496" s="442" t="str">
        <f>IF(D496="","",IF(AI496=2,(('Calc (ex-animal)'!$G$94*(1-'DB additional information '!$K$20/100)*(1-VLOOKUP(D496,'DB technologies'!$N$238:$Y$250,8,FALSE)/100)*'Calc (ex-housing, ex-storage)'!F496/100+'Calc (ex-animal)'!$H$94*(1-'DB additional information '!$L$20/100)*(1-VLOOKUP(D496,'DB technologies'!$N$238:$Y$250,8,FALSE)/100)*'Calc (ex-housing, ex-storage)'!F496/100))/VLOOKUP($C$493,'DB animal categories'!$C$181:$AC$190,27,FALSE)*AJ496+M496+N496+O496,IF(AI496=1,('Calc (ex-animal)'!$H$94*(1-'DB additional information '!$L$20/100)*(1-VLOOKUP(D496,'DB technologies'!$N$238:$Y$250,8,FALSE)/100)*'Calc (ex-housing, ex-storage)'!F496/100)/VLOOKUP($C$493,'DB animal categories'!$C$181:$AC$190,27,FALSE)*AJ496,IF(AI496=4,('Calc (ex-animal)'!$G$94*(1-'DB additional information '!$K$20/100)+'Calc (ex-animal)'!$H$94*(1-'DB additional information '!$L$20/100))*(1-VLOOKUP(D496,'DB technologies'!$N$238:$Y$250,8,FALSE)/100)*'Calc (ex-housing, ex-storage)'!F496/100*VLOOKUP(D496,'DB technologies'!$N$238:$Y$250,11,FALSE)/100/VLOOKUP($C$493,'DB animal categories'!$C$181:$AC$190,27,FALSE)*AJ496,0))))</f>
        <v/>
      </c>
      <c r="AN496" s="442" t="str">
        <f>IF(AI496="","",IF(AL496=0,0,AL496/AK496*100))</f>
        <v/>
      </c>
      <c r="AO496" s="182" t="str">
        <f>IF(D496="","",IF(AI496=2,(('Calc (ex-animal)'!$L$94*'Calc (ex-housing, ex-storage)'!F496/100+'Calc (ex-animal)'!$K$94*'Calc (ex-housing, ex-storage)'!F496/100))/VLOOKUP($C$493,'DB animal categories'!$C$181:$AC$190,27,FALSE)*AJ496+Q496+R496+S496-AC496,IF(AI496=1,('Calc (ex-animal)'!$L$94*'Calc (ex-housing, ex-storage)'!F496/100)/VLOOKUP($C$493,'DB animal categories'!$C$181:$AC$190,27,FALSE)*AJ496-'Calc (ex-housing, ex-storage)'!AC496,IF(AI496=4,('Calc (ex-animal)'!$L$94+'Calc (ex-animal)'!$K$94)*'Calc (ex-housing, ex-storage)'!F496/100*VLOOKUP(D496,'DB technologies'!$N$238:$Y$250,11,FALSE)/100/VLOOKUP($C$493,'DB animal categories'!$C$181:$AC$190,27,FALSE)*AJ496-AC496*VLOOKUP(D496,'DB technologies'!$N$238:$Y$250,11,FALSE)/100,0))))</f>
        <v/>
      </c>
      <c r="AP496" s="182" t="str">
        <f>IF(D496="","",IF(AO496&lt;-0.01,0,IF(AI496=2,(('Calc (ex-animal)'!$L$94*'Calc (ex-housing, ex-storage)'!F496/100+'Calc (ex-animal)'!$K$94*'Calc (ex-housing, ex-storage)'!F496/100))/VLOOKUP($C$493,'DB animal categories'!$C$181:$AC$190,27,FALSE)*AJ496+Q496+R496+S496-AC496,IF(AI496=1,('Calc (ex-animal)'!$L$94*'Calc (ex-housing, ex-storage)'!F496/100)/VLOOKUP($C$493,'DB animal categories'!$C$181:$AC$190,27,FALSE)*AJ496-'Calc (ex-housing, ex-storage)'!AC496,IF(AI496=4,('Calc (ex-animal)'!$L$94+'Calc (ex-animal)'!$K$94)*'Calc (ex-housing, ex-storage)'!F496/100*VLOOKUP(D496,'DB technologies'!$N$238:$Y$250,11,FALSE)/100/VLOOKUP($C$493,'DB animal categories'!$C$181:$AC$190,27,FALSE)*AJ496-AC496*VLOOKUP(D496,'DB technologies'!$N$238:$Y$250,11,FALSE)/100,0)))))</f>
        <v/>
      </c>
      <c r="AQ496" s="182" t="str">
        <f>IF(D496="","",IF(AI496=2,('Calc (ex-animal)'!$O$94*'Calc (ex-housing, ex-storage)'!F496/100+'Calc (ex-animal)'!$N$94*'Calc (ex-housing, ex-storage)'!F496/100)/VLOOKUP($C$493,'DB animal categories'!$C$181:$AC$190,27,FALSE)*AJ496+U496+V496+W496,IF(AI496=1,'Calc (ex-animal)'!$O$94*'Calc (ex-housing, ex-storage)'!F496/100/VLOOKUP($C$493,'DB animal categories'!$C$181:$AC$190,27,FALSE)*AJ496,IF(AI496=4,('Calc (ex-animal)'!$O$94+'Calc (ex-animal)'!$N$94)*'Calc (ex-housing, ex-storage)'!F496/100*VLOOKUP(D496,'DB technologies'!$N$238:$Y$250,11,FALSE)/100/VLOOKUP($C$493,'DB animal categories'!$C$181:$AC$190,27,FALSE)*AJ496,0))))</f>
        <v/>
      </c>
      <c r="AR496" s="182" t="str">
        <f>IF(D496="","",IF(AI496=2,('Calc (ex-animal)'!$R$94*'Calc (ex-housing, ex-storage)'!F496/100+'Calc (ex-animal)'!$Q$94*'Calc (ex-housing, ex-storage)'!F496/100)/VLOOKUP($C$493,'DB animal categories'!$C$181:$AC$190,27,FALSE)*AJ496+Y496+Z496+AA496,IF(AI496=1,'Calc (ex-animal)'!$R$94*'Calc (ex-housing, ex-storage)'!F496/100/VLOOKUP($C$493,'DB animal categories'!$C$181:$AC$190,27,FALSE)*AJ496,IF(AI496=4,('Calc (ex-animal)'!$R$94+'Calc (ex-animal)'!$Q$94)*'Calc (ex-housing, ex-storage)'!F496/100*VLOOKUP(D496,'DB technologies'!$N$238:$Y$250,11,FALSE)/100/VLOOKUP($C$493,'DB animal categories'!$C$181:$AC$190,27,FALSE)*AJ496,0))))</f>
        <v/>
      </c>
      <c r="AS496" s="181" t="str">
        <f>IF(D496="","",VLOOKUP(D496,'DB technologies'!$N$238:$Y$250,10,FALSE))</f>
        <v/>
      </c>
      <c r="AT496" s="442" t="str">
        <f>IF(AS496="","",AU496+AV496)</f>
        <v/>
      </c>
      <c r="AU496" s="442" t="str">
        <f>IF(D496="","",IF(AS496=2,0,IF(AS496=1,'Calc (ex-animal)'!$G$94*'DB additional information '!$K$20/100*(1-VLOOKUP(D496,'DB technologies'!$N$238:$Y$250,8,FALSE)/100)*'Calc (ex-housing, ex-storage)'!F496/100/VLOOKUP($C$493,'DB animal categories'!$C$181:$AC$190,27,FALSE)*AJ496+I496+J496+K496,IF(AS496=5,(('Calc (ex-animal)'!$G$94*'DB additional information '!$K$20/100+'Calc (ex-animal)'!$H$94*'DB additional information '!$L$20/100))*(1-VLOOKUP(D496,'DB technologies'!$N$238:$Y$250,9,FALSE)/100)*'Calc (ex-housing, ex-storage)'!F496/100/VLOOKUP($C$493,'DB animal categories'!$C$181:$AC$190,27,FALSE)*AJ496+I496+J496+K496,IF(AS496=3,('Calc (ex-animal)'!$G$94*'DB additional information '!$K$20/100+'Calc (ex-animal)'!$H$94*'DB additional information '!$L$20/100)*(1-VLOOKUP(D496,'DB technologies'!$N$238:$Y$250,9,FALSE)/100)*'Calc (ex-housing, ex-storage)'!F496/100/VLOOKUP($C$493,'DB animal categories'!$C$181:$AC$190,27,FALSE)*AJ496+I496+J496+K496,IF(AS496=4,('Calc (ex-animal)'!$G$94*'DB additional information '!$K$20/100+'Calc (ex-animal)'!$H$94*'DB additional information '!$L$20/100)*(1-VLOOKUP(D496,'DB technologies'!$N$238:$Y$250,9,FALSE)/100)*'Calc (ex-housing, ex-storage)'!F496/100*VLOOKUP(D496,'DB technologies'!$N$238:$Y$250,12,FALSE)/100/VLOOKUP($C$493,'DB animal categories'!$C$181:$AC$190,27,FALSE)*AJ496+I496+J496+K496,0))))))</f>
        <v/>
      </c>
      <c r="AV496" s="442" t="str">
        <f>IF(D496="","",IF(AS496=2,0,IF(AS496=1,'Calc (ex-animal)'!$G$94*(1-'DB additional information '!$K$20/100)*(1-VLOOKUP(D496,'DB technologies'!$N$238:$Y$250,8,FALSE)/100)*'Calc (ex-housing, ex-storage)'!F496/100/VLOOKUP($C$493,'DB animal categories'!$C$181:$AC$190,27,FALSE)*AJ496+M496+N496+O496,IF(AS496=5,('Calc (ex-animal)'!$G$94*(1-'DB additional information '!$K$20/100)+'Calc (ex-animal)'!$H$94*(1-'DB additional information '!$L$20/100))*(1-VLOOKUP(D496,'DB technologies'!$N$238:$Y$250,8,FALSE)/100)*'Calc (ex-housing, ex-storage)'!F496/100/VLOOKUP($C$493,'DB animal categories'!$C$181:$AC$190,27,FALSE)*AJ496+M496+N496+O496,IF(AS496=3,('Calc (ex-animal)'!$G$94*(1-'DB additional information '!$K$20/100)+'Calc (ex-animal)'!$H$94*(1-'DB additional information '!$L$20/100))*(1-VLOOKUP(D496,'DB technologies'!$N$238:$Y$250,8,FALSE)/100)*'Calc (ex-housing, ex-storage)'!F496/100/VLOOKUP($C$493,'DB animal categories'!$C$181:$AC$190,27,FALSE)*AJ496+M496+N496+O496,IF(AS496=4,('Calc (ex-animal)'!$G$94*(1-'DB additional information '!$K$20/100)+'Calc (ex-animal)'!$H$94*(1-'DB additional information '!$L$20/100))*(1-VLOOKUP(D496,'DB technologies'!$N$238:$Y$250,8,FALSE)/100)*'Calc (ex-housing, ex-storage)'!F496/100*VLOOKUP(D496,'DB technologies'!$N$238:$Y$250,12,FALSE)/100/VLOOKUP($C$493,'DB animal categories'!$C$181:$AC$190,27,FALSE)*AJ496+M496+N496+O496,0))))))</f>
        <v/>
      </c>
      <c r="AW496" s="442" t="str">
        <f>IF(AS496="","",IF(AU496=0,0,AU496/AT496*100))</f>
        <v/>
      </c>
      <c r="AX496" s="182" t="str">
        <f>IF(D496="","",IF(AS496=2,0,IF(AS496=1,'Calc (ex-animal)'!$K$94*'Calc (ex-housing, ex-storage)'!F496/100/VLOOKUP($C$493,'DB animal categories'!$C$181:$AC$190,27,FALSE)*AJ496+Q496+R496+S496,IF(AS496=5,('Calc (ex-animal)'!$K$94+'Calc (ex-animal)'!$L$94)*'Calc (ex-housing, ex-storage)'!F496/100/VLOOKUP($C$493,'DB animal categories'!$C$181:$AC$190,27,FALSE)*AJ496+Q496+R496+S496-'Calc (ex-housing, ex-storage)'!AC496,IF(AS496=3,('Calc (ex-animal)'!$K$94+'Calc (ex-animal)'!$L$94)*'Calc (ex-housing, ex-storage)'!F496/100/VLOOKUP($C$493,'DB animal categories'!$C$181:$AC$190,27,FALSE)*AJ496+Q496+R496+S496-'Calc (ex-housing, ex-storage)'!AC496-AD496-AE496,IF(AI496=4,('Calc (ex-animal)'!$K$94+'Calc (ex-animal)'!$L$94)*'Calc (ex-housing, ex-storage)'!F496/100*VLOOKUP(D496,'DB technologies'!$N$238:$Y$250,12,FALSE)/100/VLOOKUP($C$493,'DB animal categories'!$C$181:$AC$190,27,FALSE)*AJ496+Q496+R496+S496-(VLOOKUP(D496,'DB technologies'!$N$238:$Y$250,12,FALSE)/100*AC496)-AD496-AE496,0))))))</f>
        <v/>
      </c>
      <c r="AY496" s="182" t="str">
        <f>IF(D496="","",IF(AS496=2,0,IF(AS496=1,'Calc (ex-animal)'!$N$94*'Calc (ex-housing, ex-storage)'!F496/100/VLOOKUP($C$493,'DB animal categories'!$C$181:$AC$190,27,FALSE)*AJ496+U496+V496+W496,IF(AS496=5,('Calc (ex-animal)'!$N$94+'Calc (ex-animal)'!$O$94)*'Calc (ex-housing, ex-storage)'!F496/100/VLOOKUP($C$493,'DB animal categories'!$C$181:$AC$190,27,FALSE)*AJ496+U496+V496+W496,IF(AS496=3,('Calc (ex-animal)'!$N$94+'Calc (ex-animal)'!$O$94)*'Calc (ex-housing, ex-storage)'!F496/100/VLOOKUP($C$493,'DB animal categories'!$C$181:$AC$190,27,FALSE)*AJ496+U496+V496+W496,IF(AS496=4,('Calc (ex-animal)'!$N$94+'Calc (ex-animal)'!$O$94)*'Calc (ex-housing, ex-storage)'!F496/100*VLOOKUP(D496,'DB technologies'!$N$238:$Y$250,12,FALSE)/100/VLOOKUP($C$493,'DB animal categories'!$C$181:$AC$190,27,FALSE)*AJ496+U496+V496+W496,0))))))</f>
        <v/>
      </c>
      <c r="AZ496" s="182" t="str">
        <f>IF(D496="","",IF(AS496=2,0,IF(AS496=1,'Calc (ex-animal)'!$Q$94*'Calc (ex-housing, ex-storage)'!F496/100/VLOOKUP($C$493,'DB animal categories'!$C$181:$AC$190,27,FALSE)*AJ496+Y496+Z496+AA496,IF(AS496=5,('Calc (ex-animal)'!$Q$94+'Calc (ex-animal)'!$R$94)*'Calc (ex-housing, ex-storage)'!F496/100/VLOOKUP($C$493,'DB animal categories'!$C$181:$AC$190,27,FALSE)*AJ496+Y496+Z496+AA496,IF(AS496=3,('Calc (ex-animal)'!$Q$94+'Calc (ex-animal)'!$R$94)*'Calc (ex-housing, ex-storage)'!F496/100/VLOOKUP($C$493,'DB animal categories'!$C$181:$AC$190,27,FALSE)*AJ496+Y496+Z496+AA496,IF(AS496=4,('Calc (ex-animal)'!$Q$94+'Calc (ex-animal)'!$R$94)*'Calc (ex-housing, ex-storage)'!F496/100*VLOOKUP(D496,'DB technologies'!$N$238:$Y$250,12,FALSE)/100/VLOOKUP($C$493,'DB animal categories'!$C$181:$AC$190,27,FALSE)*AJ496+Y496+Z496+AA496,0))))))</f>
        <v/>
      </c>
      <c r="BA496" s="506"/>
      <c r="BB496" s="506"/>
      <c r="BC496" s="506"/>
    </row>
    <row r="497" spans="1:55" ht="12" thickBot="1" x14ac:dyDescent="0.25">
      <c r="A497" s="748"/>
      <c r="B497" s="695"/>
      <c r="C497" s="251"/>
      <c r="D497" s="1359"/>
      <c r="E497" s="1360"/>
      <c r="F497" s="481" t="str">
        <f>IF('Calc (ex-animal)'!$F$93=1,"",IF($C$493=0,"",IF(D497="","",E497/'Calc (ex-animal)'!$E$94*100)))</f>
        <v/>
      </c>
      <c r="G497" s="483" t="str">
        <f>IF($C$493=0,"",IF('Calc (ex-animal)'!$F$93=1,"",IF(D497="","",SUM(H497:O497))))</f>
        <v/>
      </c>
      <c r="H497" s="445" t="str">
        <f>IF('Calc (ex-animal)'!$F$93=1,"",IF(D497="","",(((VLOOKUP($C$493,'Calc (ex-animal)'!$D$93:$Y$97,6,FALSE)-VLOOKUP($C$493,'Calc (ex-animal)'!$D$93:$Y$97,17,FALSE))*F497/100))*VLOOKUP($C$493,'Calc (ex-animal)'!$D$93:$Y$97,7,FALSE)/100*(1-VLOOKUP(D497,'DB technologies'!$N$238:$Y$250,9,FALSE)/100)))</f>
        <v/>
      </c>
      <c r="I497" s="445" t="str">
        <f>IF(D497="","",((VLOOKUP(D497,'DB technologies'!$N$238:$Y$250,2,FALSE)*VLOOKUP($C$493,'DB animal categories'!$C$181:$AC$190,27,FALSE)*E497/1000)/VLOOKUP($C$493,'DB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'!$S$6/100*(1-VLOOKUP(D497,'DB technologies'!$N$238:$Y$250,9,FALSE)/100)))</f>
        <v/>
      </c>
      <c r="J497" s="446" t="str">
        <f>IF(D497="","",((VLOOKUP(D497,'DB technologies'!$N$238:$Y$250,3,FALSE)*VLOOKUP($C$493,'DB animal categories'!$C$181:$AC$190,27,FALSE)*E497/1000)/VLOOKUP($C$493,'DB animal categories'!$C$181:$AC$190,27,FALSE)*(VLOOKUP($C$493,'DB animal categories'!$C$181:$AC$190,27,FALSE)-(VLOOKUP($C$493,'DB animal categories'!$C$181:$AC$190,25,FALSE)*VLOOKUP($C$493,'DB animal categories'!$C$181:$AC$190,26,FALSE)/24))*'DB additional information '!$S$7/100*(1-VLOOKUP(D497,'DB technologies'!$N$238:$Y$250,9,FALSE)/100)))</f>
        <v/>
      </c>
      <c r="K497" s="446" t="str">
        <f>IF(D497="","",((VLOOKUP(D497,'DB technologies'!$N$238:$Y$250,4,FALSE)*E497*'DB additional information '!$S$8/100*(1-VLOOKUP(D497,'DB technologies'!$N$238:$Y$250,9,FALSE)/100))/VLOOKUP($C$493,'DB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L497" s="445" t="str">
        <f>IF('Calc (ex-animal)'!$F$93=1,"",IF(D497="","",(((VLOOKUP($C$493,'Calc (ex-animal)'!$D$93:$Y$97,6,FALSE)-VLOOKUP($C$493,'Calc (ex-animal)'!$D$93:$Y$97,17,FALSE))*F497/100))*(1-VLOOKUP($C$493,'Calc (ex-animal)'!$D$93:$Y$97,7,FALSE)/100)*(1-VLOOKUP(D497,'DB technologies'!$N$238:$V$250,8,FALSE)/100)))</f>
        <v/>
      </c>
      <c r="M497" s="446" t="str">
        <f>IF(D497="","",((VLOOKUP(D497,'DB technologies'!$N$238:$Y$250,2,FALSE)*VLOOKUP($C$493,'DB animal categories'!$C$181:$AC$190,27,FALSE)*E497/1000)/VLOOKUP($C$493,'DB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'!$S$6/100)*(1-VLOOKUP(D497,'DB technologies'!$N$238:$Y$250,9,FALSE)/100))</f>
        <v/>
      </c>
      <c r="N497" s="446" t="str">
        <f>IF(D497="","",((VLOOKUP(D497,'DB technologies'!$N$238:$Y$250,3,FALSE)*VLOOKUP($C$493,'DB animal categories'!$C$181:$AC$190,27,FALSE)*E497/1000)/VLOOKUP($C$493,'DB animal categories'!$C$181:$AC$190,27,FALSE)*(VLOOKUP($C$493,'DB animal categories'!$C$181:$AC$190,27,FALSE)-VLOOKUP($C$493,'DB animal categories'!$C$181:$AC$190,25,FALSE)*VLOOKUP($C$493,'DB animal categories'!$C$181:$AC$190,26,FALSE)/24))*(1-'DB additional information '!$S$7/100)*(1-VLOOKUP(D497,'DB technologies'!$N$238:$Y$250,9,FALSE)/100))</f>
        <v/>
      </c>
      <c r="O497" s="445" t="str">
        <f>IF(D497="","",((VLOOKUP(D497,'DB technologies'!$N$238:$Y$250,4,FALSE)*E497*(1-'DB additional information '!$S$8/100)*(1-VLOOKUP(D497,'DB technologies'!$N$238:$Y$250,8,FALSE)/100))/VLOOKUP($C$493,'DB animal categories'!$C$181:$AC$190,27,FALSE)*(VLOOKUP($C$493,'DB animal categories'!$C$181:$AC$190,27,FALSE)-VLOOKUP($C$493,'DB animal categories'!$C$181:$AC$190,25,FALSE)*VLOOKUP($C$493,'DB animal categories'!$C$181:$AC$190,26,FALSE)/24)))</f>
        <v/>
      </c>
      <c r="P497" s="444" t="str">
        <f>IF(G497=0,0,IF(E497="","",IF(F497="","",IF($C$493=0,"",IF(D497="","",SUM(H497:K497)/G497*100)))))</f>
        <v/>
      </c>
      <c r="Q497" s="476" t="str">
        <f>IF(D497="","",(VLOOKUP(D497,'DB technologies'!$N$238:$Y$250,2,FALSE)*'DB additional information '!$S$6/100*'DB additional information '!$T$6*VLOOKUP($C$493,'DB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R497" s="476" t="str">
        <f>IF(D497="","",(VLOOKUP(D497,'DB technologies'!$N$238:$Y$250,3,FALSE)*'DB additional information '!$S$7/100*'DB additional information '!$T$7*VLOOKUP($C$493,'DB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S497" s="494" t="str">
        <f>IF(D497="","",(VLOOKUP(D497,'DB technologies'!$N$238:$Y$250,4,FALSE)*('DB additional information '!$S$8/100*'DB additional information '!$T$8*E497/1000/1000)))</f>
        <v/>
      </c>
      <c r="T497" s="266" t="str">
        <f>IF($C$493=0,"",IF('Calc (ex-animal)'!$F$93=1,"",IF(D497="","",((VLOOKUP($C$493,'Calc (ex-animal)'!$D$93:$Y$97,10,FALSE)-VLOOKUP($C$493,'Calc (ex-animal)'!$D$93:$Y$97,18,FALSE))*F497/100+Q497+R497+S497)-AC497-AD497-AE497)))</f>
        <v/>
      </c>
      <c r="U497" s="477" t="str">
        <f>IF(D497="","",(VLOOKUP(D497,'DB technologies'!$N$238:$Y$250,2,FALSE)*'DB additional information '!$S$6/100*'DB additional information '!$U$6*VLOOKUP($C$493,'DB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V497" s="433" t="str">
        <f>IF(D497="","",(VLOOKUP(D497,'DB technologies'!$N$238:$Y$250,3,FALSE)*'DB additional information '!$S$7/100*'DB additional information '!$U$7*VLOOKUP($C$493,'DB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W497" s="475" t="str">
        <f>IF(D497="","",(VLOOKUP(D497,'DB technologies'!$N$238:$Y$250,4,FALSE)*('DB additional information '!$S$8/100*'DB additional information '!$U$8*E497/1000/1000)))</f>
        <v/>
      </c>
      <c r="X497" s="267" t="str">
        <f>IF($C$493=0,"",IF('Calc (ex-animal)'!$F$93=1,"",IF(D497="","",((VLOOKUP($C$493,'Calc (ex-animal)'!$D$93:$Y$97,13,FALSE)-VLOOKUP($C$493,'Calc (ex-animal)'!$D$93:$Y$97,19,FALSE))*F497/100+U497+V497+W497))))</f>
        <v/>
      </c>
      <c r="Y497" s="433" t="str">
        <f>IF(D497="","",(VLOOKUP(D497,'DB technologies'!$N$238:$Y$250,2,FALSE)*'DB additional information '!$S$6/100*'DB additional information '!$V$6*VLOOKUP($C$493,'DB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Z497" s="433" t="str">
        <f>IF(D497="","",(VLOOKUP(D497,'DB technologies'!$N$238:$Y$250,3,FALSE)*'DB additional information '!$S$7/100*'DB additional information '!$V$7*VLOOKUP($C$493,'DB animal categories'!$C$181:$AC$190,27,FALSE)*E497/1000/1000)/VLOOKUP($C$493,'DB animal categories'!$C$181:$AC$190,27,FALSE)*(VLOOKUP($C$493,'DB animal categories'!$C$181:$AC$190,27,FALSE)-VLOOKUP($C$493,'DB animal categories'!$C$181:$AC$190,25,FALSE)*VLOOKUP($C$493,'DB animal categories'!$C$181:$AC$190,26,FALSE)/24))</f>
        <v/>
      </c>
      <c r="AA497" s="433" t="str">
        <f>IF(D497="","",(VLOOKUP(D497,'DB technologies'!$N$238:$Y$250,4,FALSE)*('DB additional information '!$S$8/100*'DB additional information '!$V$8*E497/1000/1000)))</f>
        <v/>
      </c>
      <c r="AB497" s="267" t="str">
        <f>IF($C$493=0,"",IF('Calc (ex-animal)'!$F$93=1,"",IF(D497="","",((VLOOKUP($C$493,'Calc (ex-animal)'!$D$93:$Y$97,16,FALSE)-VLOOKUP($C$493,'Calc (ex-animal)'!$D$93:$Y$97,20,FALSE))*F497/100+Y497+Z497+AA497))))</f>
        <v/>
      </c>
      <c r="AC497" s="267" t="str">
        <f>IF($C$493=0,"",IF('Calc (ex-animal)'!$F$93=1,"",IF(D497="","",VLOOKUP($C$493,'Calc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categories'!$C$181:$AC$190,26,FALSE)/24)*F497/100*VLOOKUP(D497,'DB technologies'!$N$238:$R$250,5,FALSE)/100)))</f>
        <v/>
      </c>
      <c r="AD497" s="267" t="str">
        <f>IF($C$493=0,"",IF('Calc (ex-animal)'!$F$93=1,"",IF(D497="","",VLOOKUP($C$493,'Calc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categories'!$C$181:$AC$190,26,FALSE)/24)*F497/100*VLOOKUP(D497,'DB technologies'!$N$238:$Y$250,6,FALSE)/100)))</f>
        <v/>
      </c>
      <c r="AE497" s="268" t="str">
        <f>IF($C$493=0,"",IF('Calc (ex-animal)'!$F$93=1,"",IF(D497="","",VLOOKUP($C$493,'Calc (ex-animal)'!$D$93:$Y$97,10,FALSE)/VLOOKUP($C$493,'DB animal categories'!$C$181:$AC$190,27,FALSE)*(VLOOKUP($C$493,'DB animal categories'!$C$181:$AC$190,27,FALSE)-VLOOKUP($C$493,'DB animal categories'!$C$181:$AC$190,25,FALSE)*VLOOKUP($C$493,'DB animal categories'!$C$181:$AC$190,26,FALSE)/24)*F497/100*VLOOKUP(D497,'DB technologies'!$N$238:$Y$250,7,FALSE)/100)))</f>
        <v/>
      </c>
      <c r="AI497" s="183" t="str">
        <f>IF(D497="","",VLOOKUP(D497,'DB technologies'!$N$238:$Y$250,10,FALSE))</f>
        <v/>
      </c>
      <c r="AJ497" s="451" t="e">
        <f>VLOOKUP($C$493,'DB animal categories'!$C$181:$AN$190,27,FALSE)-VLOOKUP($C$493,'DB animal categories'!$C$181:$AN$190,26,FALSE)*VLOOKUP($C$493,'DB animal categories'!$C$181:$AN$190,25,FALSE)/24</f>
        <v>#N/A</v>
      </c>
      <c r="AK497" s="452" t="str">
        <f>IF(AI497="","",AL497+AM497)</f>
        <v/>
      </c>
      <c r="AL497" s="452" t="str">
        <f>IF(D497="","",IF(AI497=2,(('Calc (ex-animal)'!$G$94*'DB additional information '!$K$20/100*(1-VLOOKUP(D497,'DB technologies'!$N$238:$Y$250,9,FALSE)/100)*'Calc (ex-housing, ex-storage)'!F497/100+'Calc (ex-animal)'!$H$94*'DB additional information '!$L$20/100*(1-VLOOKUP(D497,'DB technologies'!$N$238:$Y$250,9,FALSE)/100)*'Calc (ex-housing, ex-storage)'!F497/100))/VLOOKUP($C$493,'DB animal categories'!$C$181:$AC$190,27,FALSE)*AJ497+I497+J497+K497,IF(AI497=1,('Calc (ex-animal)'!$H$94*'DB additional information '!$L$20/100*(1-VLOOKUP(D497,'DB technologies'!$N$238:$Y$250,9,FALSE)/100)*'Calc (ex-housing, ex-storage)'!F497/100)/VLOOKUP($C$493,'DB animal categories'!$C$181:$AC$190,27,FALSE)*AJ497,IF(AI497=4,('Calc (ex-animal)'!$G$94*'DB additional information '!$K$20/100+'Calc (ex-animal)'!$H$94*'DB additional information '!$L$20/100)*(1-VLOOKUP(D497,'DB technologies'!$N$238:$Y$250,9,FALSE)/100)*'Calc (ex-housing, ex-storage)'!F497/100*VLOOKUP(D497,'DB technologies'!$N$238:$Y$250,11,FALSE)/100/VLOOKUP($C$493,'DB animal categories'!$C$181:$AC$190,27,FALSE)*AJ497,0))))</f>
        <v/>
      </c>
      <c r="AM497" s="452" t="str">
        <f>IF(D497="","",IF(AI497=2,(('Calc (ex-animal)'!$G$94*(1-'DB additional information '!$K$20/100)*(1-VLOOKUP(D497,'DB technologies'!$N$238:$Y$250,8,FALSE)/100)*'Calc (ex-housing, ex-storage)'!F497/100+'Calc (ex-animal)'!$H$94*(1-'DB additional information '!$L$20/100)*(1-VLOOKUP(D497,'DB technologies'!$N$238:$Y$250,8,FALSE)/100)*'Calc (ex-housing, ex-storage)'!F497/100))/VLOOKUP($C$493,'DB animal categories'!$C$181:$AC$190,27,FALSE)*AJ497+M497+N497+O497,IF(AI497=1,('Calc (ex-animal)'!$H$94*(1-'DB additional information '!$L$20/100)*(1-VLOOKUP(D497,'DB technologies'!$N$238:$Y$250,8,FALSE)/100)*'Calc (ex-housing, ex-storage)'!F497/100)/VLOOKUP($C$493,'DB animal categories'!$C$181:$AC$190,27,FALSE)*AJ497,IF(AI497=4,('Calc (ex-animal)'!$G$94*(1-'DB additional information '!$K$20/100)+'Calc (ex-animal)'!$H$94*(1-'DB additional information '!$L$20/100))*(1-VLOOKUP(D497,'DB technologies'!$N$238:$Y$250,8,FALSE)/100)*'Calc (ex-housing, ex-storage)'!F497/100*VLOOKUP(D497,'DB technologies'!$N$238:$Y$250,11,FALSE)/100/VLOOKUP($C$493,'DB animal categories'!$C$181:$AC$190,27,FALSE)*AJ497,0))))</f>
        <v/>
      </c>
      <c r="AN497" s="452" t="str">
        <f>IF(AI497="","",IF(AL497=0,0,AL497/AK497*100))</f>
        <v/>
      </c>
      <c r="AO497" s="184" t="str">
        <f>IF(D497="","",IF(AI497=2,(('Calc (ex-animal)'!$L$94*'Calc (ex-housing, ex-storage)'!F497/100+'Calc (ex-animal)'!$K$94*'Calc (ex-housing, ex-storage)'!F497/100))/VLOOKUP($C$493,'DB animal categories'!$C$181:$AC$190,27,FALSE)*AJ497+Q497+R497+S497-AC497,IF(AI497=1,('Calc (ex-animal)'!$L$94*'Calc (ex-housing, ex-storage)'!F497/100)/VLOOKUP($C$493,'DB animal categories'!$C$181:$AC$190,27,FALSE)*AJ497-'Calc (ex-housing, ex-storage)'!AC497,IF(AI497=4,('Calc (ex-animal)'!$L$94+'Calc (ex-animal)'!$K$94)*'Calc (ex-housing, ex-storage)'!F497/100*VLOOKUP(D497,'DB technologies'!$N$238:$Y$250,11,FALSE)/100/VLOOKUP($C$493,'DB animal categories'!$C$181:$AC$190,27,FALSE)*AJ497-AC497*VLOOKUP(D497,'DB technologies'!$N$238:$Y$250,11,FALSE)/100,0))))</f>
        <v/>
      </c>
      <c r="AP497" s="184" t="str">
        <f>IF(D497="","",IF(AO497&lt;-0.01,0,IF(AI497=2,(('Calc (ex-animal)'!$L$94*'Calc (ex-housing, ex-storage)'!F497/100+'Calc (ex-animal)'!$K$94*'Calc (ex-housing, ex-storage)'!F497/100))/VLOOKUP($C$493,'DB animal categories'!$C$181:$AC$190,27,FALSE)*AJ497+Q497+R497+S497-AC497,IF(AI497=1,('Calc (ex-animal)'!$L$94*'Calc (ex-housing, ex-storage)'!F497/100)/VLOOKUP($C$493,'DB animal categories'!$C$181:$AC$190,27,FALSE)*AJ497-'Calc (ex-housing, ex-storage)'!AC497,IF(AI497=4,('Calc (ex-animal)'!$L$94+'Calc (ex-animal)'!$K$94)*'Calc (ex-housing, ex-storage)'!F497/100*VLOOKUP(D497,'DB technologies'!$N$238:$Y$250,11,FALSE)/100/VLOOKUP($C$493,'DB animal categories'!$C$181:$AC$190,27,FALSE)*AJ497-AC497*VLOOKUP(D497,'DB technologies'!$N$238:$Y$250,11,FALSE)/100,0)))))</f>
        <v/>
      </c>
      <c r="AQ497" s="184" t="str">
        <f>IF(D497="","",IF(AI497=2,('Calc (ex-animal)'!$O$94*'Calc (ex-housing, ex-storage)'!F497/100+'Calc (ex-animal)'!$N$94*'Calc (ex-housing, ex-storage)'!F497/100)/VLOOKUP($C$493,'DB animal categories'!$C$181:$AC$190,27,FALSE)*AJ497+U497+V497+W497,IF(AI497=1,'Calc (ex-animal)'!$O$94*'Calc (ex-housing, ex-storage)'!F497/100/VLOOKUP($C$493,'DB animal categories'!$C$181:$AC$190,27,FALSE)*AJ497,IF(AI497=4,('Calc (ex-animal)'!$O$94+'Calc (ex-animal)'!$N$94)*'Calc (ex-housing, ex-storage)'!F497/100*VLOOKUP(D497,'DB technologies'!$N$238:$Y$250,11,FALSE)/100/VLOOKUP($C$493,'DB animal categories'!$C$181:$AC$190,27,FALSE)*AJ497,0))))</f>
        <v/>
      </c>
      <c r="AR497" s="184" t="str">
        <f>IF(D497="","",IF(AI497=2,('Calc (ex-animal)'!$R$94*'Calc (ex-housing, ex-storage)'!F497/100+'Calc (ex-animal)'!$Q$94*'Calc (ex-housing, ex-storage)'!F497/100)/VLOOKUP($C$493,'DB animal categories'!$C$181:$AC$190,27,FALSE)*AJ497+Y497+Z497+AA497,IF(AI497=1,'Calc (ex-animal)'!$R$94*'Calc (ex-housing, ex-storage)'!F497/100/VLOOKUP($C$493,'DB animal categories'!$C$181:$AC$190,27,FALSE)*AJ497,IF(AI497=4,('Calc (ex-animal)'!$R$94+'Calc (ex-animal)'!$Q$94)*'Calc (ex-housing, ex-storage)'!F497/100*VLOOKUP(D497,'DB technologies'!$N$238:$Y$250,11,FALSE)/100/VLOOKUP($C$493,'DB animal categories'!$C$181:$AC$190,27,FALSE)*AJ497,0))))</f>
        <v/>
      </c>
      <c r="AS497" s="183" t="str">
        <f>IF(D497="","",VLOOKUP(D497,'DB technologies'!$N$238:$Y$250,10,FALSE))</f>
        <v/>
      </c>
      <c r="AT497" s="452" t="str">
        <f>IF(AS497="","",AU497+AV497)</f>
        <v/>
      </c>
      <c r="AU497" s="452" t="str">
        <f>IF(D497="","",IF(AS497=2,0,IF(AS497=1,'Calc (ex-animal)'!$G$94*'DB additional information '!$K$20/100*(1-VLOOKUP(D497,'DB technologies'!$N$238:$Y$250,8,FALSE)/100)*'Calc (ex-housing, ex-storage)'!F497/100/VLOOKUP($C$493,'DB animal categories'!$C$181:$AC$190,27,FALSE)*AJ497+I497+J497+K497,IF(AS497=5,(('Calc (ex-animal)'!$G$94*'DB additional information '!$K$20/100+'Calc (ex-animal)'!$H$94*'DB additional information '!$L$20/100))*(1-VLOOKUP(D497,'DB technologies'!$N$238:$Y$250,9,FALSE)/100)*'Calc (ex-housing, ex-storage)'!F497/100/VLOOKUP($C$493,'DB animal categories'!$C$181:$AC$190,27,FALSE)*AJ497+I497+J497+K497,IF(AS497=3,('Calc (ex-animal)'!$G$94*'DB additional information '!$K$20/100+'Calc (ex-animal)'!$H$94*'DB additional information '!$L$20/100)*(1-VLOOKUP(D497,'DB technologies'!$N$238:$Y$250,9,FALSE)/100)*'Calc (ex-housing, ex-storage)'!F497/100/VLOOKUP($C$493,'DB animal categories'!$C$181:$AC$190,27,FALSE)*AJ497+I497+J497+K497,IF(AS497=4,('Calc (ex-animal)'!$G$94*'DB additional information '!$K$20/100+'Calc (ex-animal)'!$H$94*'DB additional information '!$L$20/100)*(1-VLOOKUP(D497,'DB technologies'!$N$238:$Y$250,9,FALSE)/100)*'Calc (ex-housing, ex-storage)'!F497/100*VLOOKUP(D497,'DB technologies'!$N$238:$Y$250,12,FALSE)/100/VLOOKUP($C$493,'DB animal categories'!$C$181:$AC$190,27,FALSE)*AJ497+I497+J497+K497,0))))))</f>
        <v/>
      </c>
      <c r="AV497" s="452" t="str">
        <f>IF(D497="","",IF(AS497=2,0,IF(AS497=1,'Calc (ex-animal)'!$G$94*(1-'DB additional information '!$K$20/100)*(1-VLOOKUP(D497,'DB technologies'!$N$238:$Y$250,8,FALSE)/100)*'Calc (ex-housing, ex-storage)'!F497/100/VLOOKUP($C$493,'DB animal categories'!$C$181:$AC$190,27,FALSE)*AJ497+M497+N497+O497,IF(AS497=5,('Calc (ex-animal)'!$G$94*(1-'DB additional information '!$K$20/100)+'Calc (ex-animal)'!$H$94*(1-'DB additional information '!$L$20/100))*(1-VLOOKUP(D497,'DB technologies'!$N$238:$Y$250,8,FALSE)/100)*'Calc (ex-housing, ex-storage)'!F497/100/VLOOKUP($C$493,'DB animal categories'!$C$181:$AC$190,27,FALSE)*AJ497+M497+N497+O497,IF(AS497=3,('Calc (ex-animal)'!$G$94*(1-'DB additional information '!$K$20/100)+'Calc (ex-animal)'!$H$94*(1-'DB additional information '!$L$20/100))*(1-VLOOKUP(D497,'DB technologies'!$N$238:$Y$250,8,FALSE)/100)*'Calc (ex-housing, ex-storage)'!F497/100/VLOOKUP($C$493,'DB animal categories'!$C$181:$AC$190,27,FALSE)*AJ497+M497+N497+O497,IF(AS497=4,('Calc (ex-animal)'!$G$94*(1-'DB additional information '!$K$20/100)+'Calc (ex-animal)'!$H$94*(1-'DB additional information '!$L$20/100))*(1-VLOOKUP(D497,'DB technologies'!$N$238:$Y$250,8,FALSE)/100)*'Calc (ex-housing, ex-storage)'!F497/100*VLOOKUP(D497,'DB technologies'!$N$238:$Y$250,12,FALSE)/100/VLOOKUP($C$493,'DB animal categories'!$C$181:$AC$190,27,FALSE)*AJ497+M497+N497+O497,0))))))</f>
        <v/>
      </c>
      <c r="AW497" s="452" t="str">
        <f>IF(AS497="","",IF(AU497=0,0,AU497/AT497*100))</f>
        <v/>
      </c>
      <c r="AX497" s="184" t="str">
        <f>IF(D497="","",IF(AS497=2,0,IF(AS497=1,'Calc (ex-animal)'!$K$94*'Calc (ex-housing, ex-storage)'!F497/100/VLOOKUP($C$493,'DB animal categories'!$C$181:$AC$190,27,FALSE)*AJ497+Q497+R497+S497,IF(AS497=5,('Calc (ex-animal)'!$K$94+'Calc (ex-animal)'!$L$94)*'Calc (ex-housing, ex-storage)'!F497/100/VLOOKUP($C$493,'DB animal categories'!$C$181:$AC$190,27,FALSE)*AJ497+Q497+R497+S497-'Calc (ex-housing, ex-storage)'!AC497,IF(AS497=3,('Calc (ex-animal)'!$K$94+'Calc (ex-animal)'!$L$94)*'Calc (ex-housing, ex-storage)'!F497/100/VLOOKUP($C$493,'DB animal categories'!$C$181:$AC$190,27,FALSE)*AJ497+Q497+R497+S497-'Calc (ex-housing, ex-storage)'!AC497-AD497-AE497,IF(AI497=4,('Calc (ex-animal)'!$K$94+'Calc (ex-animal)'!$L$94)*'Calc (ex-housing, ex-storage)'!F497/100*VLOOKUP(D497,'DB technologies'!$N$238:$Y$250,12,FALSE)/100/VLOOKUP($C$493,'DB animal categories'!$C$181:$AC$190,27,FALSE)*AJ497+Q497+R497+S497-(VLOOKUP(D497,'DB technologies'!$N$238:$Y$250,12,FALSE)/100*AC497)-AD497-AE497,0))))))</f>
        <v/>
      </c>
      <c r="AY497" s="184" t="str">
        <f>IF(D497="","",IF(AS497=2,0,IF(AS497=1,'Calc (ex-animal)'!$N$94*'Calc (ex-housing, ex-storage)'!F497/100/VLOOKUP($C$493,'DB animal categories'!$C$181:$AC$190,27,FALSE)*AJ497+U497+V497+W497,IF(AS497=5,('Calc (ex-animal)'!$N$94+'Calc (ex-animal)'!$O$94)*'Calc (ex-housing, ex-storage)'!F497/100/VLOOKUP($C$493,'DB animal categories'!$C$181:$AC$190,27,FALSE)*AJ497+U497+V497+W497,IF(AS497=3,('Calc (ex-animal)'!$N$94+'Calc (ex-animal)'!$O$94)*'Calc (ex-housing, ex-storage)'!F497/100/VLOOKUP($C$493,'DB animal categories'!$C$181:$AC$190,27,FALSE)*AJ497+U497+V497+W497,IF(AS497=4,('Calc (ex-animal)'!$N$94+'Calc (ex-animal)'!$O$94)*'Calc (ex-housing, ex-storage)'!F497/100*VLOOKUP(D497,'DB technologies'!$N$238:$Y$250,12,FALSE)/100/VLOOKUP($C$493,'DB animal categories'!$C$181:$AC$190,27,FALSE)*AJ497+U497+V497+W497,0))))))</f>
        <v/>
      </c>
      <c r="AZ497" s="184" t="str">
        <f>IF(D497="","",IF(AS497=2,0,IF(AS497=1,'Calc (ex-animal)'!$Q$94*'Calc (ex-housing, ex-storage)'!F497/100/VLOOKUP($C$493,'DB animal categories'!$C$181:$AC$190,27,FALSE)*AJ497+Y497+Z497+AA497,IF(AS497=5,('Calc (ex-animal)'!$Q$94+'Calc (ex-animal)'!$R$94)*'Calc (ex-housing, ex-storage)'!F497/100/VLOOKUP($C$493,'DB animal categories'!$C$181:$AC$190,27,FALSE)*AJ497+Y497+Z497+AA497,IF(AS497=3,('Calc (ex-animal)'!$Q$94+'Calc (ex-animal)'!$R$94)*'Calc (ex-housing, ex-storage)'!F497/100/VLOOKUP($C$493,'DB animal categories'!$C$181:$AC$190,27,FALSE)*AJ497+Y497+Z497+AA497,IF(AS497=4,('Calc (ex-animal)'!$Q$94+'Calc (ex-animal)'!$R$94)*'Calc (ex-housing, ex-storage)'!F497/100*VLOOKUP(D497,'DB technologies'!$N$238:$Y$250,12,FALSE)/100/VLOOKUP($C$493,'DB animal categories'!$C$181:$AC$190,27,FALSE)*AJ497+Y497+Z497+AA497,0))))))</f>
        <v/>
      </c>
      <c r="BA497" s="506"/>
      <c r="BB497" s="506"/>
      <c r="BC497" s="506"/>
    </row>
    <row r="498" spans="1:55" ht="12" thickBot="1" x14ac:dyDescent="0.25">
      <c r="A498" s="748"/>
      <c r="B498" s="695"/>
      <c r="C498" s="252"/>
      <c r="D498" s="269" t="s">
        <v>58</v>
      </c>
      <c r="E498" s="270">
        <f>IF(F498&lt;=100,SUM(E493:E497),"ERROR")</f>
        <v>0</v>
      </c>
      <c r="F498" s="284">
        <f>IF(SUM(F493:F497) &lt;=100,SUM(F493:F497),"ERROR, SUM&gt;100%")</f>
        <v>0</v>
      </c>
      <c r="G498" s="550">
        <f>IF('Calc (ex-animal)'!$F$93=1,"",SUM(G493:G497))</f>
        <v>0</v>
      </c>
      <c r="H498" s="418">
        <f>IF('Calc (ex-animal)'!$F$8=1,"",SUM(H493:H497))</f>
        <v>0</v>
      </c>
      <c r="I498" s="418">
        <f>IF('Calc (ex-animal)'!$F$8=1,"",SUM(I493:I497))</f>
        <v>0</v>
      </c>
      <c r="J498" s="418">
        <f>IF('Calc (ex-animal)'!$F$8=1,"",SUM(J493:J497))</f>
        <v>0</v>
      </c>
      <c r="K498" s="418">
        <f>IF('Calc (ex-animal)'!$F$8=1,"",SUM(K493:K497))</f>
        <v>0</v>
      </c>
      <c r="L498" s="418">
        <f>IF('Calc (ex-animal)'!$F$8=1,"",SUM(L493:L497))</f>
        <v>0</v>
      </c>
      <c r="M498" s="551"/>
      <c r="N498" s="551"/>
      <c r="O498" s="551"/>
      <c r="P498" s="552">
        <f>IF(G498=0,0,IF('Calc (ex-animal)'!$F$93=1,"",IF(D498="","",SUM(H498:K498)/G498*100)))</f>
        <v>0</v>
      </c>
      <c r="Q498" s="271"/>
      <c r="R498" s="271"/>
      <c r="S498" s="271"/>
      <c r="T498" s="278">
        <f>IF('Calc (ex-animal)'!$F$94=1,"",SUM(T493:T497))</f>
        <v>0</v>
      </c>
      <c r="U498" s="279"/>
      <c r="V498" s="279"/>
      <c r="W498" s="279"/>
      <c r="X498" s="279">
        <f>IF('Calc (ex-animal)'!$F$94=1,"",SUM(X493:X497))</f>
        <v>0</v>
      </c>
      <c r="Y498" s="279"/>
      <c r="Z498" s="279"/>
      <c r="AA498" s="279"/>
      <c r="AB498" s="279">
        <f>IF('Calc (ex-animal)'!$F$94=1,"",SUM(AB493:AB497))</f>
        <v>0</v>
      </c>
      <c r="AC498" s="279">
        <f>IF('Calc (ex-animal)'!$F$94=1,"",SUM(AC493:AC497))</f>
        <v>0</v>
      </c>
      <c r="AD498" s="279">
        <f>IF('Calc (ex-animal)'!$F$94=1,"",SUM(AD493:AD497))</f>
        <v>0</v>
      </c>
      <c r="AE498" s="280">
        <f>IF('Calc (ex-animal)'!$F$94=1,"",SUM(AE493:AE497))</f>
        <v>0</v>
      </c>
    </row>
    <row r="499" spans="1:55" x14ac:dyDescent="0.2">
      <c r="A499" s="748"/>
      <c r="B499" s="695"/>
      <c r="C499" s="250">
        <f>'Calc (ex-animal)'!D95</f>
        <v>0</v>
      </c>
      <c r="D499" s="1355"/>
      <c r="E499" s="1356"/>
      <c r="F499" s="479" t="str">
        <f>IF('Calc (ex-animal)'!$F$93=1,"",IF($C$499=0,"",IF(D499="","",E499/'Calc (ex-animal)'!$E$95*100)))</f>
        <v/>
      </c>
      <c r="G499" s="484" t="str">
        <f>IF($C$499=0,"",IF('Calc (ex-animal)'!$F$93=1,"",IF(D499="","",SUM(H499:O499))))</f>
        <v/>
      </c>
      <c r="H499" s="471" t="str">
        <f>IF('Calc (ex-animal)'!$F$93=1,"",IF(D499="","",(((VLOOKUP($C$499,'Calc (ex-animal)'!$D$93:$Y$97,6,FALSE)-VLOOKUP($C$499,'Calc (ex-animal)'!$D$93:$Y$97,17,FALSE))*F499/100))*VLOOKUP($C$499,'Calc (ex-animal)'!$D$93:$Y$97,7,FALSE)/100*(1-VLOOKUP(D499,'DB technologies'!$N$238:$Y$250,9,FALSE)/100)))</f>
        <v/>
      </c>
      <c r="I499" s="471" t="str">
        <f>IF(D499="","",((VLOOKUP(D499,'DB technologies'!$N$238:$Y$250,2,FALSE)*VLOOKUP($C$499,'DB animal categories'!$C$181:$AC$190,27,FALSE)*E499/1000)/VLOOKUP($C$499,'DB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'!$S$6/100*(1-VLOOKUP(D499,'DB technologies'!$N$238:$Y$250,9,FALSE)/100)))</f>
        <v/>
      </c>
      <c r="J499" s="472" t="str">
        <f>IF(D499="","",((VLOOKUP(D499,'DB technologies'!$N$238:$Y$250,3,FALSE)*VLOOKUP($C$499,'DB animal categories'!$C$181:$AC$190,27,FALSE)*E499/1000)/VLOOKUP($C$499,'DB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'!$S$7/100*(1-VLOOKUP(D499,'DB technologies'!$N$238:$Y$250,9,FALSE)/100)))</f>
        <v/>
      </c>
      <c r="K499" s="472" t="str">
        <f>IF(D499="","",((VLOOKUP(D499,'DB technologies'!$N$238:$Y$250,4,FALSE)*E499*'DB additional information '!$S$8/100*(1-VLOOKUP(D499,'DB technologies'!$N$238:$Y$250,9,FALSE)/100))/VLOOKUP($C$499,'DB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L499" s="471" t="str">
        <f>IF('Calc (ex-animal)'!$F$93=1,"",IF(D499="","",(((VLOOKUP($C$499,'Calc (ex-animal)'!$D$93:$Y$97,6,FALSE)-VLOOKUP($C$499,'Calc (ex-animal)'!$D$93:$Y$97,17,FALSE))*F499/100))*(1-VLOOKUP($C$499,'Calc (ex-animal)'!$D$93:$Y$97,7,FALSE)/100)*(1-VLOOKUP(D499,'DB technologies'!$N$238:$V$250,8,FALSE)/100)))</f>
        <v/>
      </c>
      <c r="M499" s="472" t="str">
        <f>IF(D499="","",((VLOOKUP(D499,'DB technologies'!$N$238:$Y$250,2,FALSE)*VLOOKUP($C$499,'DB animal categories'!$C$181:$AC$190,27,FALSE)*E499/1000)/VLOOKUP($C$499,'DB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'!$S$6/100)*(1-VLOOKUP(D499,'DB technologies'!$N$238:$Y$250,9,FALSE)/100))</f>
        <v/>
      </c>
      <c r="N499" s="472" t="str">
        <f>IF(D499="","",((VLOOKUP(D499,'DB technologies'!$N$238:$Y$250,3,FALSE)*VLOOKUP($C$499,'DB animal categories'!$C$181:$AC$190,27,FALSE)*E499/1000)/VLOOKUP($C$499,'DB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'!$S$7/100)*(1-VLOOKUP(D499,'DB technologies'!$N$238:$Y$250,9,FALSE)/100))</f>
        <v/>
      </c>
      <c r="O499" s="471" t="str">
        <f>IF(D499="","",((VLOOKUP(D499,'DB technologies'!$N$238:$Y$250,4,FALSE)*E499*(1-'DB additional information '!$S$8/100)*(1-VLOOKUP(D499,'DB technologies'!$N$238:$Y$250,8,FALSE)/100))/VLOOKUP($C$499,'DB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P499" s="443" t="str">
        <f>IF(G499=0,0,IF(E499="","",IF(F499="","",IF($C$499=0,"",IF(D499="","",SUM(H499:K499)/G499*100)))))</f>
        <v/>
      </c>
      <c r="Q499" s="473" t="str">
        <f>IF(D499="","",(VLOOKUP(D499,'DB technologies'!$N$238:$Y$250,2,FALSE)*'DB additional information '!$S$6/100*'DB additional information '!$T$6*VLOOKUP($C$499,'DB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R499" s="473" t="str">
        <f>IF(D499="","",(VLOOKUP(D499,'DB technologies'!$N$238:$Y$250,3,FALSE)*'DB additional information '!$S$7/100*'DB additional information '!$T$7*VLOOKUP($C$499,'DB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S499" s="490" t="str">
        <f>IF(D499="","",(VLOOKUP(D499,'DB technologies'!$N$238:$Y$250,4,FALSE)*('DB additional information '!$S$8/100*'DB additional information '!$T$8*E499/1000/1000)))</f>
        <v/>
      </c>
      <c r="T499" s="263" t="str">
        <f>IF($C$499=0,"",IF('Calc (ex-animal)'!$F$93=1,"",IF(D499="","",((VLOOKUP($C$499,'Calc (ex-animal)'!$D$93:$Y$97,10,FALSE)-VLOOKUP($C$499,'Calc (ex-animal)'!$D$93:$Y$97,18,FALSE))*F499/100+Q499+R499+S499)-AC499-AD499-AE499)))</f>
        <v/>
      </c>
      <c r="U499" s="474" t="str">
        <f>IF(D499="","",(VLOOKUP(D499,'DB technologies'!$N$238:$Y$250,2,FALSE)*'DB additional information '!$S$6/100*'DB additional information '!$U$6*VLOOKUP($C$499,'DB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V499" s="420" t="str">
        <f>IF(D499="","",(VLOOKUP(D499,'DB technologies'!$N$238:$Y$250,3,FALSE)*'DB additional information '!$S$7/100*'DB additional information '!$U$7*VLOOKUP($C$499,'DB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W499" s="415" t="str">
        <f>IF(D499="","",(VLOOKUP(D499,'DB technologies'!$N$238:$Y$250,4,FALSE)*('DB additional information '!$S$8/100*'DB additional information '!$U$8*E499/1000/1000)))</f>
        <v/>
      </c>
      <c r="X499" s="259" t="str">
        <f>IF($C$499=0,"",IF('Calc (ex-animal)'!$F$93=1,"",IF(D499="","",((VLOOKUP($C$499,'Calc (ex-animal)'!$D$93:$Y$97,13,FALSE)-VLOOKUP($C$499,'Calc (ex-animal)'!$D$93:$Y$97,19,FALSE))*F499/100+U499+V499+W499))))</f>
        <v/>
      </c>
      <c r="Y499" s="420" t="str">
        <f>IF(D499="","",(VLOOKUP(D499,'DB technologies'!$N$238:$Y$250,2,FALSE)*'DB additional information '!$S$6/100*'DB additional information '!$V$6*VLOOKUP($C$499,'DB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Z499" s="420" t="str">
        <f>IF(D499="","",(VLOOKUP(D499,'DB technologies'!$N$238:$Y$250,3,FALSE)*'DB additional information '!$S$7/100*'DB additional information '!$V$7*VLOOKUP($C$499,'DB animal categories'!$C$181:$AC$190,27,FALSE)*E499/1000/1000)/VLOOKUP($C$499,'DB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AA499" s="420" t="str">
        <f>IF(D499="","",(VLOOKUP(D499,'DB technologies'!$N$238:$Y$250,4,FALSE)*('DB additional information '!$S$8/100*'DB additional information '!$V$8*E499/1000/1000)))</f>
        <v/>
      </c>
      <c r="AB499" s="259" t="str">
        <f>IF($C$499=0,"",IF('Calc (ex-animal)'!$F$93=1,"",IF(D499="","",((VLOOKUP($C$499,'Calc (ex-animal)'!$D$93:$Y$97,16,FALSE)-VLOOKUP($C$499,'Calc (ex-animal)'!$D$93:$Y$97,20,FALSE))*F499/100+Y499+Z499+AA499))))</f>
        <v/>
      </c>
      <c r="AC499" s="259" t="str">
        <f>IF($C$499=0,"",IF('Calc (ex-animal)'!$F$93=1,"",IF(D499="","",VLOOKUP($C$499,'Calc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categories'!$C$181:$AC$190,26,FALSE)/24)*F499/100*VLOOKUP(D499,'DB technologies'!$N$238:$R$250,5,FALSE)/100)))</f>
        <v/>
      </c>
      <c r="AD499" s="259" t="str">
        <f>IF($C$499=0,"",IF('Calc (ex-animal)'!$F$93=1,"",IF(D499="","",VLOOKUP($C$499,'Calc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categories'!$C$181:$AC$190,26,FALSE)/24)*F499/100*VLOOKUP(D499,'DB technologies'!$N$238:$Y$250,6,FALSE)/100)))</f>
        <v/>
      </c>
      <c r="AE499" s="260" t="str">
        <f>IF($C$499=0,"",IF('Calc (ex-animal)'!$F$93=1,"",IF(D499="","",VLOOKUP($C$499,'Calc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categories'!$C$181:$AC$190,26,FALSE)/24)*F499/100*VLOOKUP(D499,'DB technologies'!$N$238:$Y$250,7,FALSE)/100)))</f>
        <v/>
      </c>
      <c r="AI499" s="179" t="str">
        <f>IF(D499="","",VLOOKUP(D499,'DB technologies'!$N$238:$Y$250,10,FALSE))</f>
        <v/>
      </c>
      <c r="AJ499" s="482" t="e">
        <f>VLOOKUP($C$499,'DB animal categories'!$C$181:$AN$190,27,FALSE)-VLOOKUP($C$499,'DB animal categories'!$C$181:$AN$190,26,FALSE)*VLOOKUP($C$499,'DB animal categories'!$C$181:$AN$190,25,FALSE)/24</f>
        <v>#N/A</v>
      </c>
      <c r="AK499" s="453" t="str">
        <f>IF(AI499="","",AL499+AM499)</f>
        <v/>
      </c>
      <c r="AL499" s="453" t="str">
        <f>IF(D499="","",IF(AI499=2,(('Calc (ex-animal)'!$G$95*'DB additional information '!$K$20/100*(1-VLOOKUP(D499,'DB technologies'!$N$238:$Y$250,9,FALSE)/100)*'Calc (ex-housing, ex-storage)'!F499/100+'Calc (ex-animal)'!$H$95*'DB additional information '!$L$20/100*(1-VLOOKUP(D499,'DB technologies'!$N$238:$Y$250,9,FALSE)/100)*'Calc (ex-housing, ex-storage)'!F499/100))/VLOOKUP($C$499,'DB animal categories'!$C$181:$AC$190,27,FALSE)*AJ499+I499+J499+K499,IF(AI499=1,('Calc (ex-animal)'!$H$95*'DB additional information '!$L$20/100*(1-VLOOKUP(D499,'DB technologies'!$N$238:$Y$250,9,FALSE)/100)*'Calc (ex-housing, ex-storage)'!F499/100)/VLOOKUP($C$499,'DB animal categories'!$C$181:$AC$190,27,FALSE)*AJ499,IF(AI499=4,('Calc (ex-animal)'!$G$95*'DB additional information '!$K$20/100+'Calc (ex-animal)'!$H$95*'DB additional information '!$L$20/100)*(1-VLOOKUP(D499,'DB technologies'!$N$238:$Y$250,9,FALSE)/100)*'Calc (ex-housing, ex-storage)'!F499/100*VLOOKUP(D499,'DB technologies'!$N$238:$Y$250,11,FALSE)/100/VLOOKUP($C$499,'DB animal categories'!$C$181:$AC$190,27,FALSE)*AJ499,0))))</f>
        <v/>
      </c>
      <c r="AM499" s="453" t="str">
        <f>IF(D499="","",IF(AI499=2,(('Calc (ex-animal)'!$G$95*(1-'DB additional information '!$K$20/100)*(1-VLOOKUP(D499,'DB technologies'!$N$238:$Y$250,8,FALSE)/100)*'Calc (ex-housing, ex-storage)'!F499/100+'Calc (ex-animal)'!$H$95*(1-'DB additional information '!$L$20/100)*(1-VLOOKUP(D499,'DB technologies'!$N$238:$Y$250,8,FALSE)/100)*'Calc (ex-housing, ex-storage)'!F499/100))/VLOOKUP($C$499,'DB animal categories'!$C$181:$AC$190,27,FALSE)*AJ499+M499+N499+O499,IF(AI499=1,('Calc (ex-animal)'!$H$95*(1-'DB additional information '!$L$20/100)*(1-VLOOKUP(D499,'DB technologies'!$N$238:$Y$250,8,FALSE)/100)*'Calc (ex-housing, ex-storage)'!F499/100)/VLOOKUP($C$499,'DB animal categories'!$C$181:$AC$190,27,FALSE)*AJ499,IF(AI499=4,('Calc (ex-animal)'!$G$95*(1-'DB additional information '!$K$20/100)+'Calc (ex-animal)'!$H$95*(1-'DB additional information '!$L$20/100))*(1-VLOOKUP(D499,'DB technologies'!$N$238:$Y$250,8,FALSE)/100)*'Calc (ex-housing, ex-storage)'!F499/100*VLOOKUP(D499,'DB technologies'!$N$238:$Y$250,11,FALSE)/100/VLOOKUP($C$499,'DB animal categories'!$C$181:$AC$190,27,FALSE)*AJ499,0))))</f>
        <v/>
      </c>
      <c r="AN499" s="453" t="str">
        <f>IF(AI499="","",IF(AL499=0,0,AL499/AK499*100))</f>
        <v/>
      </c>
      <c r="AO499" s="180" t="str">
        <f>IF(D499="","",IF(AI499=2,(('Calc (ex-animal)'!$L$95*'Calc (ex-housing, ex-storage)'!F499/100+'Calc (ex-animal)'!$K$95*'Calc (ex-housing, ex-storage)'!F499/100))/VLOOKUP($C$499,'DB animal categories'!$C$181:$AC$190,27,FALSE)*AJ499+Q499+R499+S499-AC499,IF(AI499=1,('Calc (ex-animal)'!$L$95*'Calc (ex-housing, ex-storage)'!F499/100)/VLOOKUP($C$499,'DB animal categories'!$C$181:$AC$190,27,FALSE)*AJ499-'Calc (ex-housing, ex-storage)'!AC499,IF(AI499=4,('Calc (ex-animal)'!$L$95+'Calc (ex-animal)'!$K$95)*'Calc (ex-housing, ex-storage)'!F499/100*VLOOKUP(D499,'DB technologies'!$N$238:$Y$250,11,FALSE)/100/VLOOKUP($C$499,'DB animal categories'!$C$181:$AC$190,27,FALSE)*AJ499-AC499*VLOOKUP(D499,'DB technologies'!$N$238:$Y$250,11,FALSE)/100,0))))</f>
        <v/>
      </c>
      <c r="AP499" s="180" t="str">
        <f>IF(D499="","",IF(AO499&lt;-0.01,0,IF(AI499=2,(('Calc (ex-animal)'!$L$95*'Calc (ex-housing, ex-storage)'!F499/100+'Calc (ex-animal)'!$K$95*'Calc (ex-housing, ex-storage)'!F499/100))/VLOOKUP($C$499,'DB animal categories'!$C$181:$AC$190,27,FALSE)*AJ499+Q499+R499+S499-AC499,IF(AI499=1,('Calc (ex-animal)'!$L$95*'Calc (ex-housing, ex-storage)'!F499/100)/VLOOKUP($C$499,'DB animal categories'!$C$181:$AC$190,27,FALSE)*AJ499-'Calc (ex-housing, ex-storage)'!AC499,IF(AI499=4,('Calc (ex-animal)'!$L$95+'Calc (ex-animal)'!$K$95)*'Calc (ex-housing, ex-storage)'!F499/100*VLOOKUP(D499,'DB technologies'!$N$238:$Y$250,11,FALSE)/100/VLOOKUP($C$499,'DB animal categories'!$C$181:$AC$190,27,FALSE)*AJ499-AC499*VLOOKUP(D499,'DB technologies'!$N$238:$Y$250,11,FALSE)/100,0)))))</f>
        <v/>
      </c>
      <c r="AQ499" s="180" t="str">
        <f>IF(D499="","",IF(AI499=2,('Calc (ex-animal)'!$O$95*'Calc (ex-housing, ex-storage)'!F499/100+'Calc (ex-animal)'!$N$95*'Calc (ex-housing, ex-storage)'!F499/100)/VLOOKUP($C$499,'DB animal categories'!$C$181:$AC$190,27,FALSE)*AJ499+U499+V499+W499,IF(AI499=1,'Calc (ex-animal)'!$O$95*'Calc (ex-housing, ex-storage)'!F499/100/VLOOKUP($C$499,'DB animal categories'!$C$181:$AC$190,27,FALSE)*AJ499,IF(AI499=4,('Calc (ex-animal)'!$O$95+'Calc (ex-animal)'!$N$95)*'Calc (ex-housing, ex-storage)'!F499/100*VLOOKUP(D499,'DB technologies'!$N$238:$Y$250,11,FALSE)/100/VLOOKUP($C$499,'DB animal categories'!$C$181:$AC$190,27,FALSE)*AJ499,0))))</f>
        <v/>
      </c>
      <c r="AR499" s="180" t="str">
        <f>IF(D499="","",IF(AI499=2,('Calc (ex-animal)'!$R$95*'Calc (ex-housing, ex-storage)'!F499/100+'Calc (ex-animal)'!$Q$95*'Calc (ex-housing, ex-storage)'!F499/100)/VLOOKUP($C$499,'DB animal categories'!$C$181:$AC$190,27,FALSE)*AJ499+Y499+Z499+AA499,IF(AI499=1,'Calc (ex-animal)'!$R$95*'Calc (ex-housing, ex-storage)'!F499/100/VLOOKUP($C$499,'DB animal categories'!$C$181:$AC$190,27,FALSE)*AJ499,IF(AI499=4,('Calc (ex-animal)'!$R$95+'Calc (ex-animal)'!$Q$95)*'Calc (ex-housing, ex-storage)'!F499/100*VLOOKUP(D499,'DB technologies'!$N$238:$Y$250,11,FALSE)/100/VLOOKUP($C$499,'DB animal categories'!$C$181:$AC$190,27,FALSE)*AJ499,0))))</f>
        <v/>
      </c>
      <c r="AS499" s="179" t="str">
        <f>IF(D499="","",VLOOKUP(D499,'DB technologies'!$N$238:$Y$250,10,FALSE))</f>
        <v/>
      </c>
      <c r="AT499" s="453" t="str">
        <f>IF(AS499="","",AU499+AV499)</f>
        <v/>
      </c>
      <c r="AU499" s="453" t="str">
        <f>IF(D499="","",IF(AS499=2,0,IF(AS499=1,'Calc (ex-animal)'!$G$95*'DB additional information '!$K$20/100*(1-VLOOKUP(D499,'DB technologies'!$N$238:$Y$250,8,FALSE)/100)*'Calc (ex-housing, ex-storage)'!F499/100/VLOOKUP($C$499,'DB animal categories'!$C$181:$AC$190,27,FALSE)*AJ499+I499+J499+K499,IF(AS499=5,(('Calc (ex-animal)'!$G$95*'DB additional information '!$K$20/100+'Calc (ex-animal)'!$H$95*'DB additional information '!$L$20/100))*(1-VLOOKUP(D499,'DB technologies'!$N$238:$Y$250,9,FALSE)/100)*'Calc (ex-housing, ex-storage)'!F499/100/VLOOKUP($C$499,'DB animal categories'!$C$181:$AC$190,27,FALSE)*AJ499+I499+J499+K499,IF(AS499=3,('Calc (ex-animal)'!$G$95*'DB additional information '!$K$20/100+'Calc (ex-animal)'!$H$95*'DB additional information '!$L$20/100)*(1-VLOOKUP(D499,'DB technologies'!$N$238:$Y$250,9,FALSE)/100)*'Calc (ex-housing, ex-storage)'!F499/100/VLOOKUP($C$499,'DB animal categories'!$C$181:$AC$190,27,FALSE)*AJ499+I499+J499+K499,IF(AS499=4,('Calc (ex-animal)'!$G$95*'DB additional information '!$K$20/100+'Calc (ex-animal)'!$H$95*'DB additional information '!$L$20/100)*(1-VLOOKUP(D499,'DB technologies'!$N$238:$Y$250,9,FALSE)/100)*'Calc (ex-housing, ex-storage)'!F499/100*VLOOKUP(D499,'DB technologies'!$N$238:$Y$250,12,FALSE)/100/VLOOKUP($C$499,'DB animal categories'!$C$181:$AC$190,27,FALSE)*AJ499+I499+J499+K499,0))))))</f>
        <v/>
      </c>
      <c r="AV499" s="453" t="str">
        <f>IF(D499="","",IF(AS499=2,0,IF(AS499=1,'Calc (ex-animal)'!$G$95*(1-'DB additional information '!$K$20/100)*(1-VLOOKUP(D499,'DB technologies'!$N$238:$Y$250,8,FALSE)/100)*'Calc (ex-housing, ex-storage)'!F499/100/VLOOKUP($C$499,'DB animal categories'!$C$181:$AC$190,27,FALSE)*AJ499+M499+N499+O499,IF(AS499=5,('Calc (ex-animal)'!$G$95*(1-'DB additional information '!$K$20/100)+'Calc (ex-animal)'!$H$95*(1-'DB additional information '!$L$20/100))*(1-VLOOKUP(D499,'DB technologies'!$N$238:$Y$250,8,FALSE)/100)*'Calc (ex-housing, ex-storage)'!F499/100/VLOOKUP($C$499,'DB animal categories'!$C$181:$AC$190,27,FALSE)*AJ499+M499+N499+O499,IF(AS499=3,('Calc (ex-animal)'!$G$95*(1-'DB additional information '!$K$20/100)+'Calc (ex-animal)'!$H$95*(1-'DB additional information '!$L$20/100))*(1-VLOOKUP(D499,'DB technologies'!$N$238:$Y$250,8,FALSE)/100)*'Calc (ex-housing, ex-storage)'!F499/100/VLOOKUP($C$499,'DB animal categories'!$C$181:$AC$190,27,FALSE)*AJ499+M499+N499+O499,IF(AS499=4,('Calc (ex-animal)'!$G$95*(1-'DB additional information '!$K$20/100)+'Calc (ex-animal)'!$H$95*(1-'DB additional information '!$L$20/100))*(1-VLOOKUP(D499,'DB technologies'!$N$238:$Y$250,8,FALSE)/100)*'Calc (ex-housing, ex-storage)'!F499/100*VLOOKUP(D499,'DB technologies'!$N$238:$Y$250,12,FALSE)/100/VLOOKUP($C$499,'DB animal categories'!$C$181:$AC$190,27,FALSE)*AJ499+M499+N499+O499,0))))))</f>
        <v/>
      </c>
      <c r="AW499" s="453" t="str">
        <f>IF(AS499="","",IF(AU499=0,0,AU499/AT499*100))</f>
        <v/>
      </c>
      <c r="AX499" s="180" t="str">
        <f>IF(D499="","",IF(AS499=2,0,IF(AS499=1,'Calc (ex-animal)'!$K$95*'Calc (ex-housing, ex-storage)'!F499/100/VLOOKUP($C$499,'DB animal categories'!$C$181:$AC$190,27,FALSE)*AJ499+Q499+R499+S499,IF(AS499=5,('Calc (ex-animal)'!$K$95+'Calc (ex-animal)'!$L$95)*'Calc (ex-housing, ex-storage)'!F499/100/VLOOKUP($C$499,'DB animal categories'!$C$181:$AC$190,27,FALSE)*AJ499+Q499+R499+S499-'Calc (ex-housing, ex-storage)'!AC499,IF(AS499=3,('Calc (ex-animal)'!$K$95+'Calc (ex-animal)'!$L$95)*'Calc (ex-housing, ex-storage)'!F499/100/VLOOKUP($C$499,'DB animal categories'!$C$181:$AC$190,27,FALSE)*AJ499+Q499+R499+S499-'Calc (ex-housing, ex-storage)'!AC499-AD499-AE499,IF(AI499=4,('Calc (ex-animal)'!$K$95+'Calc (ex-animal)'!$L$95)*'Calc (ex-housing, ex-storage)'!F499/100*VLOOKUP(D499,'DB technologies'!$N$238:$Y$250,12,FALSE)/100/VLOOKUP($C$499,'DB animal categories'!$C$181:$AC$190,27,FALSE)*AJ499+Q499+R499+S499-(VLOOKUP(D499,'DB technologies'!$N$238:$Y$250,12,FALSE)/100*AC499)-AD499-AE499,0))))))</f>
        <v/>
      </c>
      <c r="AY499" s="180" t="str">
        <f>IF(D499="","",IF(AS499=2,0,IF(AS499=1,'Calc (ex-animal)'!$N$95*'Calc (ex-housing, ex-storage)'!F499/100/VLOOKUP($C$499,'DB animal categories'!$C$181:$AC$190,27,FALSE)*AJ499+U499+V499+W499,IF(AS499=5,('Calc (ex-animal)'!$N$95+'Calc (ex-animal)'!$O$95)*'Calc (ex-housing, ex-storage)'!F499/100/VLOOKUP($C$499,'DB animal categories'!$C$181:$AC$190,27,FALSE)*AJ499+U499+V499+W499,IF(AS499=3,('Calc (ex-animal)'!$N$95+'Calc (ex-animal)'!$O$95)*'Calc (ex-housing, ex-storage)'!F499/100/VLOOKUP($C$499,'DB animal categories'!$C$181:$AC$190,27,FALSE)*AJ499+U499+V499+W499,IF(AS499=4,('Calc (ex-animal)'!$N$95+'Calc (ex-animal)'!$O$95)*'Calc (ex-housing, ex-storage)'!F499/100*VLOOKUP(D499,'DB technologies'!$N$238:$Y$250,12,FALSE)/100/VLOOKUP($C$499,'DB animal categories'!$C$181:$AC$190,27,FALSE)*AJ499+U499+V499+W499,0))))))</f>
        <v/>
      </c>
      <c r="AZ499" s="180" t="str">
        <f>IF(D499="","",IF(AS499=2,0,IF(AS499=1,'Calc (ex-animal)'!$Q$95*'Calc (ex-housing, ex-storage)'!F499/100/VLOOKUP($C$499,'DB animal categories'!$C$181:$AC$190,27,FALSE)*AJ499+Y499+Z499+AA499,IF(AS499=5,('Calc (ex-animal)'!$Q$95+'Calc (ex-animal)'!$R$95)*'Calc (ex-housing, ex-storage)'!F499/100/VLOOKUP($C$499,'DB animal categories'!$C$181:$AC$190,27,FALSE)*AJ499+Y499+Z499+AA499,IF(AS499=3,('Calc (ex-animal)'!$Q$95+'Calc (ex-animal)'!$R$95)*'Calc (ex-housing, ex-storage)'!F499/100/VLOOKUP($C$499,'DB animal categories'!$C$181:$AC$190,27,FALSE)*AJ499+Y499+Z499+AA499,IF(AS499=4,('Calc (ex-animal)'!$Q$95+'Calc (ex-animal)'!$R$95)*'Calc (ex-housing, ex-storage)'!F499/100*VLOOKUP(D499,'DB technologies'!$N$238:$Y$250,12,FALSE)/100/VLOOKUP($C$499,'DB animal categories'!$C$181:$AC$190,27,FALSE)*AJ499+Y499+Z499+AA499,0))))))</f>
        <v/>
      </c>
      <c r="BA499" s="506"/>
      <c r="BB499" s="506"/>
      <c r="BC499" s="506"/>
    </row>
    <row r="500" spans="1:55" x14ac:dyDescent="0.2">
      <c r="A500" s="748"/>
      <c r="B500" s="695"/>
      <c r="C500" s="251"/>
      <c r="D500" s="1357"/>
      <c r="E500" s="1358"/>
      <c r="F500" s="480" t="str">
        <f>IF('Calc (ex-animal)'!$F$93=1,"",IF($C$499=0,"",IF(D500="","",E500/'Calc (ex-animal)'!$E$95*100)))</f>
        <v/>
      </c>
      <c r="G500" s="485" t="str">
        <f>IF($C$499=0,"",IF('Calc (ex-animal)'!$F$93=1,"",IF(D500="","",SUM(H500:O500))))</f>
        <v/>
      </c>
      <c r="H500" s="423" t="str">
        <f>IF('Calc (ex-animal)'!$F$93=1,"",IF(D500="","",(((VLOOKUP($C$499,'Calc (ex-animal)'!$D$93:$Y$97,6,FALSE)-VLOOKUP($C$499,'Calc (ex-animal)'!$D$93:$Y$97,17,FALSE))*F500/100))*VLOOKUP($C$499,'Calc (ex-animal)'!$D$93:$Y$97,7,FALSE)/100*(1-VLOOKUP(D500,'DB technologies'!$N$238:$Y$250,9,FALSE)/100)))</f>
        <v/>
      </c>
      <c r="I500" s="423" t="str">
        <f>IF(D500="","",((VLOOKUP(D500,'DB technologies'!$N$238:$Y$250,2,FALSE)*VLOOKUP($C$499,'DB animal categories'!$C$181:$AC$190,27,FALSE)*E500/1000)/VLOOKUP($C$499,'DB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'!$S$6/100*(1-VLOOKUP(D500,'DB technologies'!$N$238:$Y$250,9,FALSE)/100)))</f>
        <v/>
      </c>
      <c r="J500" s="434" t="str">
        <f>IF(D500="","",((VLOOKUP(D500,'DB technologies'!$N$238:$Y$250,3,FALSE)*VLOOKUP($C$499,'DB animal categories'!$C$181:$AC$190,27,FALSE)*E500/1000)/VLOOKUP($C$499,'DB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'!$S$7/100*(1-VLOOKUP(D500,'DB technologies'!$N$238:$Y$250,9,FALSE)/100)))</f>
        <v/>
      </c>
      <c r="K500" s="434" t="str">
        <f>IF(D500="","",((VLOOKUP(D500,'DB technologies'!$N$238:$Y$250,4,FALSE)*E500*'DB additional information '!$S$8/100*(1-VLOOKUP(D500,'DB technologies'!$N$238:$Y$250,9,FALSE)/100))/VLOOKUP($C$499,'DB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L500" s="423" t="str">
        <f>IF('Calc (ex-animal)'!$F$93=1,"",IF(D500="","",(((VLOOKUP($C$499,'Calc (ex-animal)'!$D$93:$Y$97,6,FALSE)-VLOOKUP($C$499,'Calc (ex-animal)'!$D$93:$Y$97,17,FALSE))*F500/100))*(1-VLOOKUP($C$499,'Calc (ex-animal)'!$D$93:$Y$97,7,FALSE)/100)*(1-VLOOKUP(D500,'DB technologies'!$N$238:$V$250,8,FALSE)/100)))</f>
        <v/>
      </c>
      <c r="M500" s="434" t="str">
        <f>IF(D500="","",((VLOOKUP(D500,'DB technologies'!$N$238:$Y$250,2,FALSE)*VLOOKUP($C$499,'DB animal categories'!$C$181:$AC$190,27,FALSE)*E500/1000)/VLOOKUP($C$499,'DB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'!$S$6/100)*(1-VLOOKUP(D500,'DB technologies'!$N$238:$Y$250,9,FALSE)/100))</f>
        <v/>
      </c>
      <c r="N500" s="434" t="str">
        <f>IF(D500="","",((VLOOKUP(D500,'DB technologies'!$N$238:$Y$250,3,FALSE)*VLOOKUP($C$499,'DB animal categories'!$C$181:$AC$190,27,FALSE)*E500/1000)/VLOOKUP($C$499,'DB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'!$S$7/100)*(1-VLOOKUP(D500,'DB technologies'!$N$238:$Y$250,9,FALSE)/100))</f>
        <v/>
      </c>
      <c r="O500" s="423" t="str">
        <f>IF(D500="","",((VLOOKUP(D500,'DB technologies'!$N$238:$Y$250,4,FALSE)*E500*(1-'DB additional information '!$S$8/100)*(1-VLOOKUP(D500,'DB technologies'!$N$238:$Y$250,8,FALSE)/100))/VLOOKUP($C$499,'DB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P500" s="438" t="str">
        <f>IF(G500=0,0,IF(E500="","",IF(F500="","",IF($C$499=0,"",IF(D500="","",SUM(H500:K500)/G500*100)))))</f>
        <v/>
      </c>
      <c r="Q500" s="416" t="str">
        <f>IF(D500="","",(VLOOKUP(D500,'DB technologies'!$N$238:$Y$250,2,FALSE)*'DB additional information '!$S$6/100*'DB additional information '!$T$6*VLOOKUP($C$499,'DB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R500" s="416" t="str">
        <f>IF(D500="","",(VLOOKUP(D500,'DB technologies'!$N$238:$Y$250,3,FALSE)*'DB additional information '!$S$7/100*'DB additional information '!$T$7*VLOOKUP($C$499,'DB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S500" s="491" t="str">
        <f>IF(D500="","",(VLOOKUP(D500,'DB technologies'!$N$238:$Y$250,4,FALSE)*('DB additional information '!$S$8/100*'DB additional information '!$T$8*E500/1000/1000)))</f>
        <v/>
      </c>
      <c r="T500" s="264" t="str">
        <f>IF($C$499=0,"",IF('Calc (ex-animal)'!$F$93=1,"",IF(D500="","",((VLOOKUP($C$499,'Calc (ex-animal)'!$D$93:$Y$97,10,FALSE)-VLOOKUP($C$499,'Calc (ex-animal)'!$D$93:$Y$97,18,FALSE))*F500/100+Q500+R500+S500)-AC500-AD500-AE500)))</f>
        <v/>
      </c>
      <c r="U500" s="422" t="str">
        <f>IF(D500="","",(VLOOKUP(D500,'DB technologies'!$N$238:$Y$250,2,FALSE)*'DB additional information '!$S$6/100*'DB additional information '!$U$6*VLOOKUP($C$499,'DB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V500" s="418" t="str">
        <f>IF(D500="","",(VLOOKUP(D500,'DB technologies'!$N$238:$Y$250,3,FALSE)*'DB additional information '!$S$7/100*'DB additional information '!$U$7*VLOOKUP($C$499,'DB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W500" s="417" t="str">
        <f>IF(D500="","",(VLOOKUP(D500,'DB technologies'!$N$238:$Y$250,4,FALSE)*('DB additional information '!$S$8/100*'DB additional information '!$U$8*E500/1000/1000)))</f>
        <v/>
      </c>
      <c r="X500" s="261" t="str">
        <f>IF($C$499=0,"",IF('Calc (ex-animal)'!$F$93=1,"",IF(D500="","",((VLOOKUP($C$499,'Calc (ex-animal)'!$D$93:$Y$97,13,FALSE)-VLOOKUP($C$499,'Calc (ex-animal)'!$D$93:$Y$97,19,FALSE))*F500/100+U500+V500+W500))))</f>
        <v/>
      </c>
      <c r="Y500" s="418" t="str">
        <f>IF(D500="","",(VLOOKUP(D500,'DB technologies'!$N$238:$Y$250,2,FALSE)*'DB additional information '!$S$6/100*'DB additional information '!$V$6*VLOOKUP($C$499,'DB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Z500" s="418" t="str">
        <f>IF(D500="","",(VLOOKUP(D500,'DB technologies'!$N$238:$Y$250,3,FALSE)*'DB additional information '!$S$7/100*'DB additional information '!$V$7*VLOOKUP($C$499,'DB animal categories'!$C$181:$AC$190,27,FALSE)*E500/1000/1000)/VLOOKUP($C$499,'DB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AA500" s="418" t="str">
        <f>IF(D500="","",(VLOOKUP(D500,'DB technologies'!$N$238:$Y$250,4,FALSE)*('DB additional information '!$S$8/100*'DB additional information '!$V$8*E500/1000/1000)))</f>
        <v/>
      </c>
      <c r="AB500" s="261" t="str">
        <f>IF($C$499=0,"",IF('Calc (ex-animal)'!$F$93=1,"",IF(D500="","",((VLOOKUP($C$499,'Calc (ex-animal)'!$D$93:$Y$97,16,FALSE)-VLOOKUP($C$499,'Calc (ex-animal)'!$D$93:$Y$97,20,FALSE))*F500/100+Y500+Z500+AA500))))</f>
        <v/>
      </c>
      <c r="AC500" s="261" t="str">
        <f>IF($C$499=0,"",IF('Calc (ex-animal)'!$F$93=1,"",IF(D500="","",VLOOKUP($C$499,'Calc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categories'!$C$181:$AC$190,26,FALSE)/24)*F500/100*VLOOKUP(D500,'DB technologies'!$N$238:$R$250,5,FALSE)/100)))</f>
        <v/>
      </c>
      <c r="AD500" s="261" t="str">
        <f>IF($C$499=0,"",IF('Calc (ex-animal)'!$F$93=1,"",IF(D500="","",VLOOKUP($C$499,'Calc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categories'!$C$181:$AC$190,26,FALSE)/24)*F500/100*VLOOKUP(D500,'DB technologies'!$N$238:$Y$250,6,FALSE)/100)))</f>
        <v/>
      </c>
      <c r="AE500" s="262" t="str">
        <f>IF($C$499=0,"",IF('Calc (ex-animal)'!$F$93=1,"",IF(D500="","",VLOOKUP($C$499,'Calc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categories'!$C$181:$AC$190,26,FALSE)/24)*F500/100*VLOOKUP(D500,'DB technologies'!$N$238:$Y$250,7,FALSE)/100)))</f>
        <v/>
      </c>
      <c r="AI500" s="181" t="str">
        <f>IF(D500="","",VLOOKUP(D500,'DB technologies'!$N$238:$Y$250,10,FALSE))</f>
        <v/>
      </c>
      <c r="AJ500" s="449" t="e">
        <f>VLOOKUP($C$499,'DB animal categories'!$C$181:$AN$190,27,FALSE)-VLOOKUP($C$499,'DB animal categories'!$C$181:$AN$190,26,FALSE)*VLOOKUP($C$499,'DB animal categories'!$C$181:$AN$190,25,FALSE)/24</f>
        <v>#N/A</v>
      </c>
      <c r="AK500" s="442" t="str">
        <f>IF(AI500="","",AL500+AM500)</f>
        <v/>
      </c>
      <c r="AL500" s="442" t="str">
        <f>IF(D500="","",IF(AI500=2,(('Calc (ex-animal)'!$G$95*'DB additional information '!$K$20/100*(1-VLOOKUP(D500,'DB technologies'!$N$238:$Y$250,9,FALSE)/100)*'Calc (ex-housing, ex-storage)'!F500/100+'Calc (ex-animal)'!$H$95*'DB additional information '!$L$20/100*(1-VLOOKUP(D500,'DB technologies'!$N$238:$Y$250,9,FALSE)/100)*'Calc (ex-housing, ex-storage)'!F500/100))/VLOOKUP($C$499,'DB animal categories'!$C$181:$AC$190,27,FALSE)*AJ500+I500+J500+K500,IF(AI500=1,('Calc (ex-animal)'!$H$95*'DB additional information '!$L$20/100*(1-VLOOKUP(D500,'DB technologies'!$N$238:$Y$250,9,FALSE)/100)*'Calc (ex-housing, ex-storage)'!F500/100)/VLOOKUP($C$499,'DB animal categories'!$C$181:$AC$190,27,FALSE)*AJ500,IF(AI500=4,('Calc (ex-animal)'!$G$95*'DB additional information '!$K$20/100+'Calc (ex-animal)'!$H$95*'DB additional information '!$L$20/100)*(1-VLOOKUP(D500,'DB technologies'!$N$238:$Y$250,9,FALSE)/100)*'Calc (ex-housing, ex-storage)'!F500/100*VLOOKUP(D500,'DB technologies'!$N$238:$Y$250,11,FALSE)/100/VLOOKUP($C$499,'DB animal categories'!$C$181:$AC$190,27,FALSE)*AJ500,0))))</f>
        <v/>
      </c>
      <c r="AM500" s="442" t="str">
        <f>IF(D500="","",IF(AI500=2,(('Calc (ex-animal)'!$G$95*(1-'DB additional information '!$K$20/100)*(1-VLOOKUP(D500,'DB technologies'!$N$238:$Y$250,8,FALSE)/100)*'Calc (ex-housing, ex-storage)'!F500/100+'Calc (ex-animal)'!$H$95*(1-'DB additional information '!$L$20/100)*(1-VLOOKUP(D500,'DB technologies'!$N$238:$Y$250,8,FALSE)/100)*'Calc (ex-housing, ex-storage)'!F500/100))/VLOOKUP($C$499,'DB animal categories'!$C$181:$AC$190,27,FALSE)*AJ500+M500+N500+O500,IF(AI500=1,('Calc (ex-animal)'!$H$95*(1-'DB additional information '!$L$20/100)*(1-VLOOKUP(D500,'DB technologies'!$N$238:$Y$250,8,FALSE)/100)*'Calc (ex-housing, ex-storage)'!F500/100)/VLOOKUP($C$499,'DB animal categories'!$C$181:$AC$190,27,FALSE)*AJ500,IF(AI500=4,('Calc (ex-animal)'!$G$95*(1-'DB additional information '!$K$20/100)+'Calc (ex-animal)'!$H$95*(1-'DB additional information '!$L$20/100))*(1-VLOOKUP(D500,'DB technologies'!$N$238:$Y$250,8,FALSE)/100)*'Calc (ex-housing, ex-storage)'!F500/100*VLOOKUP(D500,'DB technologies'!$N$238:$Y$250,11,FALSE)/100/VLOOKUP($C$499,'DB animal categories'!$C$181:$AC$190,27,FALSE)*AJ500,0))))</f>
        <v/>
      </c>
      <c r="AN500" s="442" t="str">
        <f>IF(AI500="","",IF(AL500=0,0,AL500/AK500*100))</f>
        <v/>
      </c>
      <c r="AO500" s="182" t="str">
        <f>IF(D500="","",IF(AI500=2,(('Calc (ex-animal)'!$L$95*'Calc (ex-housing, ex-storage)'!F500/100+'Calc (ex-animal)'!$K$95*'Calc (ex-housing, ex-storage)'!F500/100))/VLOOKUP($C$499,'DB animal categories'!$C$181:$AC$190,27,FALSE)*AJ500+Q500+R500+S500-AC500,IF(AI500=1,('Calc (ex-animal)'!$L$95*'Calc (ex-housing, ex-storage)'!F500/100)/VLOOKUP($C$499,'DB animal categories'!$C$181:$AC$190,27,FALSE)*AJ500-'Calc (ex-housing, ex-storage)'!AC500,IF(AI500=4,('Calc (ex-animal)'!$L$95+'Calc (ex-animal)'!$K$95)*'Calc (ex-housing, ex-storage)'!F500/100*VLOOKUP(D500,'DB technologies'!$N$238:$Y$250,11,FALSE)/100/VLOOKUP($C$499,'DB animal categories'!$C$181:$AC$190,27,FALSE)*AJ500-AC500*VLOOKUP(D500,'DB technologies'!$N$238:$Y$250,11,FALSE)/100,0))))</f>
        <v/>
      </c>
      <c r="AP500" s="182" t="str">
        <f>IF(D500="","",IF(AO500&lt;-0.01,0,IF(AI500=2,(('Calc (ex-animal)'!$L$95*'Calc (ex-housing, ex-storage)'!F500/100+'Calc (ex-animal)'!$K$95*'Calc (ex-housing, ex-storage)'!F500/100))/VLOOKUP($C$499,'DB animal categories'!$C$181:$AC$190,27,FALSE)*AJ500+Q500+R500+S500-AC500,IF(AI500=1,('Calc (ex-animal)'!$L$95*'Calc (ex-housing, ex-storage)'!F500/100)/VLOOKUP($C$499,'DB animal categories'!$C$181:$AC$190,27,FALSE)*AJ500-'Calc (ex-housing, ex-storage)'!AC500,IF(AI500=4,('Calc (ex-animal)'!$L$95+'Calc (ex-animal)'!$K$95)*'Calc (ex-housing, ex-storage)'!F500/100*VLOOKUP(D500,'DB technologies'!$N$238:$Y$250,11,FALSE)/100/VLOOKUP($C$499,'DB animal categories'!$C$181:$AC$190,27,FALSE)*AJ500-AC500*VLOOKUP(D500,'DB technologies'!$N$238:$Y$250,11,FALSE)/100,0)))))</f>
        <v/>
      </c>
      <c r="AQ500" s="182" t="str">
        <f>IF(D500="","",IF(AI500=2,('Calc (ex-animal)'!$O$95*'Calc (ex-housing, ex-storage)'!F500/100+'Calc (ex-animal)'!$N$95*'Calc (ex-housing, ex-storage)'!F500/100)/VLOOKUP($C$499,'DB animal categories'!$C$181:$AC$190,27,FALSE)*AJ500+U500+V500+W500,IF(AI500=1,'Calc (ex-animal)'!$O$95*'Calc (ex-housing, ex-storage)'!F500/100/VLOOKUP($C$499,'DB animal categories'!$C$181:$AC$190,27,FALSE)*AJ500,IF(AI500=4,('Calc (ex-animal)'!$O$95+'Calc (ex-animal)'!$N$95)*'Calc (ex-housing, ex-storage)'!F500/100*VLOOKUP(D500,'DB technologies'!$N$238:$Y$250,11,FALSE)/100/VLOOKUP($C$499,'DB animal categories'!$C$181:$AC$190,27,FALSE)*AJ500,0))))</f>
        <v/>
      </c>
      <c r="AR500" s="182" t="str">
        <f>IF(D500="","",IF(AI500=2,('Calc (ex-animal)'!$R$95*'Calc (ex-housing, ex-storage)'!F500/100+'Calc (ex-animal)'!$Q$95*'Calc (ex-housing, ex-storage)'!F500/100)/VLOOKUP($C$499,'DB animal categories'!$C$181:$AC$190,27,FALSE)*AJ500+Y500+Z500+AA500,IF(AI500=1,'Calc (ex-animal)'!$R$95*'Calc (ex-housing, ex-storage)'!F500/100/VLOOKUP($C$499,'DB animal categories'!$C$181:$AC$190,27,FALSE)*AJ500,IF(AI500=4,('Calc (ex-animal)'!$R$95+'Calc (ex-animal)'!$Q$95)*'Calc (ex-housing, ex-storage)'!F500/100*VLOOKUP(D500,'DB technologies'!$N$238:$Y$250,11,FALSE)/100/VLOOKUP($C$499,'DB animal categories'!$C$181:$AC$190,27,FALSE)*AJ500,0))))</f>
        <v/>
      </c>
      <c r="AS500" s="181" t="str">
        <f>IF(D500="","",VLOOKUP(D500,'DB technologies'!$N$238:$Y$250,10,FALSE))</f>
        <v/>
      </c>
      <c r="AT500" s="442" t="str">
        <f>IF(AS500="","",AU500+AV500)</f>
        <v/>
      </c>
      <c r="AU500" s="442" t="str">
        <f>IF(D500="","",IF(AS500=2,0,IF(AS500=1,'Calc (ex-animal)'!$G$95*'DB additional information '!$K$20/100*(1-VLOOKUP(D500,'DB technologies'!$N$238:$Y$250,8,FALSE)/100)*'Calc (ex-housing, ex-storage)'!F500/100/VLOOKUP($C$499,'DB animal categories'!$C$181:$AC$190,27,FALSE)*AJ500+I500+J500+K500,IF(AS500=5,(('Calc (ex-animal)'!$G$95*'DB additional information '!$K$20/100+'Calc (ex-animal)'!$H$95*'DB additional information '!$L$20/100))*(1-VLOOKUP(D500,'DB technologies'!$N$238:$Y$250,9,FALSE)/100)*'Calc (ex-housing, ex-storage)'!F500/100/VLOOKUP($C$499,'DB animal categories'!$C$181:$AC$190,27,FALSE)*AJ500+I500+J500+K500,IF(AS500=3,('Calc (ex-animal)'!$G$95*'DB additional information '!$K$20/100+'Calc (ex-animal)'!$H$95*'DB additional information '!$L$20/100)*(1-VLOOKUP(D500,'DB technologies'!$N$238:$Y$250,9,FALSE)/100)*'Calc (ex-housing, ex-storage)'!F500/100/VLOOKUP($C$499,'DB animal categories'!$C$181:$AC$190,27,FALSE)*AJ500+I500+J500+K500,IF(AS500=4,('Calc (ex-animal)'!$G$95*'DB additional information '!$K$20/100+'Calc (ex-animal)'!$H$95*'DB additional information '!$L$20/100)*(1-VLOOKUP(D500,'DB technologies'!$N$238:$Y$250,9,FALSE)/100)*'Calc (ex-housing, ex-storage)'!F500/100*VLOOKUP(D500,'DB technologies'!$N$238:$Y$250,12,FALSE)/100/VLOOKUP($C$499,'DB animal categories'!$C$181:$AC$190,27,FALSE)*AJ500+I500+J500+K500,0))))))</f>
        <v/>
      </c>
      <c r="AV500" s="442" t="str">
        <f>IF(D500="","",IF(AS500=2,0,IF(AS500=1,'Calc (ex-animal)'!$G$95*(1-'DB additional information '!$K$20/100)*(1-VLOOKUP(D500,'DB technologies'!$N$238:$Y$250,8,FALSE)/100)*'Calc (ex-housing, ex-storage)'!F500/100/VLOOKUP($C$499,'DB animal categories'!$C$181:$AC$190,27,FALSE)*AJ500+M500+N500+O500,IF(AS500=5,('Calc (ex-animal)'!$G$95*(1-'DB additional information '!$K$20/100)+'Calc (ex-animal)'!$H$95*(1-'DB additional information '!$L$20/100))*(1-VLOOKUP(D500,'DB technologies'!$N$238:$Y$250,8,FALSE)/100)*'Calc (ex-housing, ex-storage)'!F500/100/VLOOKUP($C$499,'DB animal categories'!$C$181:$AC$190,27,FALSE)*AJ500+M500+N500+O500,IF(AS500=3,('Calc (ex-animal)'!$G$95*(1-'DB additional information '!$K$20/100)+'Calc (ex-animal)'!$H$95*(1-'DB additional information '!$L$20/100))*(1-VLOOKUP(D500,'DB technologies'!$N$238:$Y$250,8,FALSE)/100)*'Calc (ex-housing, ex-storage)'!F500/100/VLOOKUP($C$499,'DB animal categories'!$C$181:$AC$190,27,FALSE)*AJ500+M500+N500+O500,IF(AS500=4,('Calc (ex-animal)'!$G$95*(1-'DB additional information '!$K$20/100)+'Calc (ex-animal)'!$H$95*(1-'DB additional information '!$L$20/100))*(1-VLOOKUP(D500,'DB technologies'!$N$238:$Y$250,8,FALSE)/100)*'Calc (ex-housing, ex-storage)'!F500/100*VLOOKUP(D500,'DB technologies'!$N$238:$Y$250,12,FALSE)/100/VLOOKUP($C$499,'DB animal categories'!$C$181:$AC$190,27,FALSE)*AJ500+M500+N500+O500,0))))))</f>
        <v/>
      </c>
      <c r="AW500" s="442" t="str">
        <f>IF(AS500="","",IF(AU500=0,0,AU500/AT500*100))</f>
        <v/>
      </c>
      <c r="AX500" s="182" t="str">
        <f>IF(D500="","",IF(AS500=2,0,IF(AS500=1,'Calc (ex-animal)'!$K$95*'Calc (ex-housing, ex-storage)'!F500/100/VLOOKUP($C$499,'DB animal categories'!$C$181:$AC$190,27,FALSE)*AJ500+Q500+R500+S500,IF(AS500=5,('Calc (ex-animal)'!$K$95+'Calc (ex-animal)'!$L$95)*'Calc (ex-housing, ex-storage)'!F500/100/VLOOKUP($C$499,'DB animal categories'!$C$181:$AC$190,27,FALSE)*AJ500+Q500+R500+S500-'Calc (ex-housing, ex-storage)'!AC500,IF(AS500=3,('Calc (ex-animal)'!$K$95+'Calc (ex-animal)'!$L$95)*'Calc (ex-housing, ex-storage)'!F500/100/VLOOKUP($C$499,'DB animal categories'!$C$181:$AC$190,27,FALSE)*AJ500+Q500+R500+S500-'Calc (ex-housing, ex-storage)'!AC500-AD500-AE500,IF(AI500=4,('Calc (ex-animal)'!$K$95+'Calc (ex-animal)'!$L$95)*'Calc (ex-housing, ex-storage)'!F500/100*VLOOKUP(D500,'DB technologies'!$N$238:$Y$250,12,FALSE)/100/VLOOKUP($C$499,'DB animal categories'!$C$181:$AC$190,27,FALSE)*AJ500+Q500+R500+S500-(VLOOKUP(D500,'DB technologies'!$N$238:$Y$250,12,FALSE)/100*AC500)-AD500-AE500,0))))))</f>
        <v/>
      </c>
      <c r="AY500" s="182" t="str">
        <f>IF(D500="","",IF(AS500=2,0,IF(AS500=1,'Calc (ex-animal)'!$N$95*'Calc (ex-housing, ex-storage)'!F500/100/VLOOKUP($C$499,'DB animal categories'!$C$181:$AC$190,27,FALSE)*AJ500+U500+V500+W500,IF(AS500=5,('Calc (ex-animal)'!$N$95+'Calc (ex-animal)'!$O$95)*'Calc (ex-housing, ex-storage)'!F500/100/VLOOKUP($C$499,'DB animal categories'!$C$181:$AC$190,27,FALSE)*AJ500+U500+V500+W500,IF(AS500=3,('Calc (ex-animal)'!$N$95+'Calc (ex-animal)'!$O$95)*'Calc (ex-housing, ex-storage)'!F500/100/VLOOKUP($C$499,'DB animal categories'!$C$181:$AC$190,27,FALSE)*AJ500+U500+V500+W500,IF(AS500=4,('Calc (ex-animal)'!$N$95+'Calc (ex-animal)'!$O$95)*'Calc (ex-housing, ex-storage)'!F500/100*VLOOKUP(D500,'DB technologies'!$N$238:$Y$250,12,FALSE)/100/VLOOKUP($C$499,'DB animal categories'!$C$181:$AC$190,27,FALSE)*AJ500+U500+V500+W500,0))))))</f>
        <v/>
      </c>
      <c r="AZ500" s="182" t="str">
        <f>IF(D500="","",IF(AS500=2,0,IF(AS500=1,'Calc (ex-animal)'!$Q$95*'Calc (ex-housing, ex-storage)'!F500/100/VLOOKUP($C$499,'DB animal categories'!$C$181:$AC$190,27,FALSE)*AJ500+Y500+Z500+AA500,IF(AS500=5,('Calc (ex-animal)'!$Q$95+'Calc (ex-animal)'!$R$95)*'Calc (ex-housing, ex-storage)'!F500/100/VLOOKUP($C$499,'DB animal categories'!$C$181:$AC$190,27,FALSE)*AJ500+Y500+Z500+AA500,IF(AS500=3,('Calc (ex-animal)'!$Q$95+'Calc (ex-animal)'!$R$95)*'Calc (ex-housing, ex-storage)'!F500/100/VLOOKUP($C$499,'DB animal categories'!$C$181:$AC$190,27,FALSE)*AJ500+Y500+Z500+AA500,IF(AS500=4,('Calc (ex-animal)'!$Q$95+'Calc (ex-animal)'!$R$95)*'Calc (ex-housing, ex-storage)'!F500/100*VLOOKUP(D500,'DB technologies'!$N$238:$Y$250,12,FALSE)/100/VLOOKUP($C$499,'DB animal categories'!$C$181:$AC$190,27,FALSE)*AJ500+Y500+Z500+AA500,0))))))</f>
        <v/>
      </c>
      <c r="BA500" s="506"/>
      <c r="BB500" s="506"/>
      <c r="BC500" s="506"/>
    </row>
    <row r="501" spans="1:55" x14ac:dyDescent="0.2">
      <c r="A501" s="748"/>
      <c r="B501" s="695"/>
      <c r="C501" s="251"/>
      <c r="D501" s="1357"/>
      <c r="E501" s="1358"/>
      <c r="F501" s="480" t="str">
        <f>IF('Calc (ex-animal)'!$F$93=1,"",IF($C$499=0,"",IF(D501="","",E501/'Calc (ex-animal)'!$E$95*100)))</f>
        <v/>
      </c>
      <c r="G501" s="485" t="str">
        <f>IF($C$499=0,"",IF('Calc (ex-animal)'!$F$93=1,"",IF(D501="","",SUM(H501:O501))))</f>
        <v/>
      </c>
      <c r="H501" s="423" t="str">
        <f>IF('Calc (ex-animal)'!$F$93=1,"",IF(D501="","",(((VLOOKUP($C$499,'Calc (ex-animal)'!$D$93:$Y$97,6,FALSE)-VLOOKUP($C$499,'Calc (ex-animal)'!$D$93:$Y$97,17,FALSE))*F501/100))*VLOOKUP($C$499,'Calc (ex-animal)'!$D$93:$Y$97,7,FALSE)/100*(1-VLOOKUP(D501,'DB technologies'!$N$238:$Y$250,9,FALSE)/100)))</f>
        <v/>
      </c>
      <c r="I501" s="423" t="str">
        <f>IF(D501="","",((VLOOKUP(D501,'DB technologies'!$N$238:$Y$250,2,FALSE)*VLOOKUP($C$499,'DB animal categories'!$C$181:$AC$190,27,FALSE)*E501/1000)/VLOOKUP($C$499,'DB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'!$S$6/100*(1-VLOOKUP(D501,'DB technologies'!$N$238:$Y$250,9,FALSE)/100)))</f>
        <v/>
      </c>
      <c r="J501" s="434" t="str">
        <f>IF(D501="","",((VLOOKUP(D501,'DB technologies'!$N$238:$Y$250,3,FALSE)*VLOOKUP($C$499,'DB animal categories'!$C$181:$AC$190,27,FALSE)*E501/1000)/VLOOKUP($C$499,'DB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'!$S$7/100*(1-VLOOKUP(D501,'DB technologies'!$N$238:$Y$250,9,FALSE)/100)))</f>
        <v/>
      </c>
      <c r="K501" s="434" t="str">
        <f>IF(D501="","",((VLOOKUP(D501,'DB technologies'!$N$238:$Y$250,4,FALSE)*E501*'DB additional information '!$S$8/100*(1-VLOOKUP(D501,'DB technologies'!$N$238:$Y$250,9,FALSE)/100))/VLOOKUP($C$499,'DB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L501" s="423" t="str">
        <f>IF('Calc (ex-animal)'!$F$93=1,"",IF(D501="","",(((VLOOKUP($C$499,'Calc (ex-animal)'!$D$93:$Y$97,6,FALSE)-VLOOKUP($C$499,'Calc (ex-animal)'!$D$93:$Y$97,17,FALSE))*F501/100))*(1-VLOOKUP($C$499,'Calc (ex-animal)'!$D$93:$Y$97,7,FALSE)/100)*(1-VLOOKUP(D501,'DB technologies'!$N$238:$V$250,8,FALSE)/100)))</f>
        <v/>
      </c>
      <c r="M501" s="434" t="str">
        <f>IF(D501="","",((VLOOKUP(D501,'DB technologies'!$N$238:$Y$250,2,FALSE)*VLOOKUP($C$499,'DB animal categories'!$C$181:$AC$190,27,FALSE)*E501/1000)/VLOOKUP($C$499,'DB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'!$S$6/100)*(1-VLOOKUP(D501,'DB technologies'!$N$238:$Y$250,9,FALSE)/100))</f>
        <v/>
      </c>
      <c r="N501" s="434" t="str">
        <f>IF(D501="","",((VLOOKUP(D501,'DB technologies'!$N$238:$Y$250,3,FALSE)*VLOOKUP($C$499,'DB animal categories'!$C$181:$AC$190,27,FALSE)*E501/1000)/VLOOKUP($C$499,'DB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'!$S$7/100)*(1-VLOOKUP(D501,'DB technologies'!$N$238:$Y$250,9,FALSE)/100))</f>
        <v/>
      </c>
      <c r="O501" s="423" t="str">
        <f>IF(D501="","",((VLOOKUP(D501,'DB technologies'!$N$238:$Y$250,4,FALSE)*E501*(1-'DB additional information '!$S$8/100)*(1-VLOOKUP(D501,'DB technologies'!$N$238:$Y$250,8,FALSE)/100))/VLOOKUP($C$499,'DB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P501" s="438" t="str">
        <f>IF(G501=0,0,IF(E501="","",IF(F501="","",IF($C$499=0,"",IF(D501="","",SUM(H501:K501)/G501*100)))))</f>
        <v/>
      </c>
      <c r="Q501" s="416" t="str">
        <f>IF(D501="","",(VLOOKUP(D501,'DB technologies'!$N$238:$Y$250,2,FALSE)*'DB additional information '!$S$6/100*'DB additional information '!$T$6*VLOOKUP($C$499,'DB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R501" s="416" t="str">
        <f>IF(D501="","",(VLOOKUP(D501,'DB technologies'!$N$238:$Y$250,3,FALSE)*'DB additional information '!$S$7/100*'DB additional information '!$T$7*VLOOKUP($C$499,'DB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S501" s="491" t="str">
        <f>IF(D501="","",(VLOOKUP(D501,'DB technologies'!$N$238:$Y$250,4,FALSE)*('DB additional information '!$S$8/100*'DB additional information '!$T$8*E501/1000/1000)))</f>
        <v/>
      </c>
      <c r="T501" s="264" t="str">
        <f>IF($C$499=0,"",IF('Calc (ex-animal)'!$F$93=1,"",IF(D501="","",((VLOOKUP($C$499,'Calc (ex-animal)'!$D$93:$Y$97,10,FALSE)-VLOOKUP($C$499,'Calc (ex-animal)'!$D$93:$Y$97,18,FALSE))*F501/100+Q501+R501+S501)-AC501-AD501-AE501)))</f>
        <v/>
      </c>
      <c r="U501" s="422" t="str">
        <f>IF(D501="","",(VLOOKUP(D501,'DB technologies'!$N$238:$Y$250,2,FALSE)*'DB additional information '!$S$6/100*'DB additional information '!$U$6*VLOOKUP($C$499,'DB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V501" s="418" t="str">
        <f>IF(D501="","",(VLOOKUP(D501,'DB technologies'!$N$238:$Y$250,3,FALSE)*'DB additional information '!$S$7/100*'DB additional information '!$U$7*VLOOKUP($C$499,'DB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W501" s="417" t="str">
        <f>IF(D501="","",(VLOOKUP(D501,'DB technologies'!$N$238:$Y$250,4,FALSE)*('DB additional information '!$S$8/100*'DB additional information '!$U$8*E501/1000/1000)))</f>
        <v/>
      </c>
      <c r="X501" s="261" t="str">
        <f>IF($C$499=0,"",IF('Calc (ex-animal)'!$F$93=1,"",IF(D501="","",((VLOOKUP($C$499,'Calc (ex-animal)'!$D$93:$Y$97,13,FALSE)-VLOOKUP($C$499,'Calc (ex-animal)'!$D$93:$Y$97,19,FALSE))*F501/100+U501+V501+W501))))</f>
        <v/>
      </c>
      <c r="Y501" s="418" t="str">
        <f>IF(D501="","",(VLOOKUP(D501,'DB technologies'!$N$238:$Y$250,2,FALSE)*'DB additional information '!$S$6/100*'DB additional information '!$V$6*VLOOKUP($C$499,'DB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Z501" s="418" t="str">
        <f>IF(D501="","",(VLOOKUP(D501,'DB technologies'!$N$238:$Y$250,3,FALSE)*'DB additional information '!$S$7/100*'DB additional information '!$V$7*VLOOKUP($C$499,'DB animal categories'!$C$181:$AC$190,27,FALSE)*E501/1000/1000)/VLOOKUP($C$499,'DB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AA501" s="418" t="str">
        <f>IF(D501="","",(VLOOKUP(D501,'DB technologies'!$N$238:$Y$250,4,FALSE)*('DB additional information '!$S$8/100*'DB additional information '!$V$8*E501/1000/1000)))</f>
        <v/>
      </c>
      <c r="AB501" s="261" t="str">
        <f>IF($C$499=0,"",IF('Calc (ex-animal)'!$F$93=1,"",IF(D501="","",((VLOOKUP($C$499,'Calc (ex-animal)'!$D$93:$Y$97,16,FALSE)-VLOOKUP($C$499,'Calc (ex-animal)'!$D$93:$Y$97,20,FALSE))*F501/100+Y501+Z501+AA501))))</f>
        <v/>
      </c>
      <c r="AC501" s="261" t="str">
        <f>IF($C$499=0,"",IF('Calc (ex-animal)'!$F$93=1,"",IF(D501="","",VLOOKUP($C$499,'Calc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categories'!$C$181:$AC$190,26,FALSE)/24)*F501/100*VLOOKUP(D501,'DB technologies'!$N$238:$R$250,5,FALSE)/100)))</f>
        <v/>
      </c>
      <c r="AD501" s="261" t="str">
        <f>IF($C$499=0,"",IF('Calc (ex-animal)'!$F$93=1,"",IF(D501="","",VLOOKUP($C$499,'Calc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categories'!$C$181:$AC$190,26,FALSE)/24)*F501/100*VLOOKUP(D501,'DB technologies'!$N$238:$Y$250,6,FALSE)/100)))</f>
        <v/>
      </c>
      <c r="AE501" s="262" t="str">
        <f>IF($C$499=0,"",IF('Calc (ex-animal)'!$F$93=1,"",IF(D501="","",VLOOKUP($C$499,'Calc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categories'!$C$181:$AC$190,26,FALSE)/24)*F501/100*VLOOKUP(D501,'DB technologies'!$N$238:$Y$250,7,FALSE)/100)))</f>
        <v/>
      </c>
      <c r="AI501" s="181" t="str">
        <f>IF(D501="","",VLOOKUP(D501,'DB technologies'!$N$238:$Y$250,10,FALSE))</f>
        <v/>
      </c>
      <c r="AJ501" s="449" t="e">
        <f>VLOOKUP($C$499,'DB animal categories'!$C$181:$AN$190,27,FALSE)-VLOOKUP($C$499,'DB animal categories'!$C$181:$AN$190,26,FALSE)*VLOOKUP($C$499,'DB animal categories'!$C$181:$AN$190,25,FALSE)/24</f>
        <v>#N/A</v>
      </c>
      <c r="AK501" s="442" t="str">
        <f>IF(AI501="","",AL501+AM501)</f>
        <v/>
      </c>
      <c r="AL501" s="442" t="str">
        <f>IF(D501="","",IF(AI501=2,(('Calc (ex-animal)'!$G$95*'DB additional information '!$K$20/100*(1-VLOOKUP(D501,'DB technologies'!$N$238:$Y$250,9,FALSE)/100)*'Calc (ex-housing, ex-storage)'!F501/100+'Calc (ex-animal)'!$H$95*'DB additional information '!$L$20/100*(1-VLOOKUP(D501,'DB technologies'!$N$238:$Y$250,9,FALSE)/100)*'Calc (ex-housing, ex-storage)'!F501/100))/VLOOKUP($C$499,'DB animal categories'!$C$181:$AC$190,27,FALSE)*AJ501+I501+J501+K501,IF(AI501=1,('Calc (ex-animal)'!$H$95*'DB additional information '!$L$20/100*(1-VLOOKUP(D501,'DB technologies'!$N$238:$Y$250,9,FALSE)/100)*'Calc (ex-housing, ex-storage)'!F501/100)/VLOOKUP($C$499,'DB animal categories'!$C$181:$AC$190,27,FALSE)*AJ501,IF(AI501=4,('Calc (ex-animal)'!$G$95*'DB additional information '!$K$20/100+'Calc (ex-animal)'!$H$95*'DB additional information '!$L$20/100)*(1-VLOOKUP(D501,'DB technologies'!$N$238:$Y$250,9,FALSE)/100)*'Calc (ex-housing, ex-storage)'!F501/100*VLOOKUP(D501,'DB technologies'!$N$238:$Y$250,11,FALSE)/100/VLOOKUP($C$499,'DB animal categories'!$C$181:$AC$190,27,FALSE)*AJ501,0))))</f>
        <v/>
      </c>
      <c r="AM501" s="442" t="str">
        <f>IF(D501="","",IF(AI501=2,(('Calc (ex-animal)'!$G$95*(1-'DB additional information '!$K$20/100)*(1-VLOOKUP(D501,'DB technologies'!$N$238:$Y$250,8,FALSE)/100)*'Calc (ex-housing, ex-storage)'!F501/100+'Calc (ex-animal)'!$H$95*(1-'DB additional information '!$L$20/100)*(1-VLOOKUP(D501,'DB technologies'!$N$238:$Y$250,8,FALSE)/100)*'Calc (ex-housing, ex-storage)'!F501/100))/VLOOKUP($C$499,'DB animal categories'!$C$181:$AC$190,27,FALSE)*AJ501+M501+N501+O501,IF(AI501=1,('Calc (ex-animal)'!$H$95*(1-'DB additional information '!$L$20/100)*(1-VLOOKUP(D501,'DB technologies'!$N$238:$Y$250,8,FALSE)/100)*'Calc (ex-housing, ex-storage)'!F501/100)/VLOOKUP($C$499,'DB animal categories'!$C$181:$AC$190,27,FALSE)*AJ501,IF(AI501=4,('Calc (ex-animal)'!$G$95*(1-'DB additional information '!$K$20/100)+'Calc (ex-animal)'!$H$95*(1-'DB additional information '!$L$20/100))*(1-VLOOKUP(D501,'DB technologies'!$N$238:$Y$250,8,FALSE)/100)*'Calc (ex-housing, ex-storage)'!F501/100*VLOOKUP(D501,'DB technologies'!$N$238:$Y$250,11,FALSE)/100/VLOOKUP($C$499,'DB animal categories'!$C$181:$AC$190,27,FALSE)*AJ501,0))))</f>
        <v/>
      </c>
      <c r="AN501" s="442" t="str">
        <f>IF(AI501="","",IF(AL501=0,0,AL501/AK501*100))</f>
        <v/>
      </c>
      <c r="AO501" s="182" t="str">
        <f>IF(D501="","",IF(AI501=2,(('Calc (ex-animal)'!$L$95*'Calc (ex-housing, ex-storage)'!F501/100+'Calc (ex-animal)'!$K$95*'Calc (ex-housing, ex-storage)'!F501/100))/VLOOKUP($C$499,'DB animal categories'!$C$181:$AC$190,27,FALSE)*AJ501+Q501+R501+S501-AC501,IF(AI501=1,('Calc (ex-animal)'!$L$95*'Calc (ex-housing, ex-storage)'!F501/100)/VLOOKUP($C$499,'DB animal categories'!$C$181:$AC$190,27,FALSE)*AJ501-'Calc (ex-housing, ex-storage)'!AC501,IF(AI501=4,('Calc (ex-animal)'!$L$95+'Calc (ex-animal)'!$K$95)*'Calc (ex-housing, ex-storage)'!F501/100*VLOOKUP(D501,'DB technologies'!$N$238:$Y$250,11,FALSE)/100/VLOOKUP($C$499,'DB animal categories'!$C$181:$AC$190,27,FALSE)*AJ501-AC501*VLOOKUP(D501,'DB technologies'!$N$238:$Y$250,11,FALSE)/100,0))))</f>
        <v/>
      </c>
      <c r="AP501" s="182" t="str">
        <f>IF(D501="","",IF(AO501&lt;-0.01,0,IF(AI501=2,(('Calc (ex-animal)'!$L$95*'Calc (ex-housing, ex-storage)'!F501/100+'Calc (ex-animal)'!$K$95*'Calc (ex-housing, ex-storage)'!F501/100))/VLOOKUP($C$499,'DB animal categories'!$C$181:$AC$190,27,FALSE)*AJ501+Q501+R501+S501-AC501,IF(AI501=1,('Calc (ex-animal)'!$L$95*'Calc (ex-housing, ex-storage)'!F501/100)/VLOOKUP($C$499,'DB animal categories'!$C$181:$AC$190,27,FALSE)*AJ501-'Calc (ex-housing, ex-storage)'!AC501,IF(AI501=4,('Calc (ex-animal)'!$L$95+'Calc (ex-animal)'!$K$95)*'Calc (ex-housing, ex-storage)'!F501/100*VLOOKUP(D501,'DB technologies'!$N$238:$Y$250,11,FALSE)/100/VLOOKUP($C$499,'DB animal categories'!$C$181:$AC$190,27,FALSE)*AJ501-AC501*VLOOKUP(D501,'DB technologies'!$N$238:$Y$250,11,FALSE)/100,0)))))</f>
        <v/>
      </c>
      <c r="AQ501" s="182" t="str">
        <f>IF(D501="","",IF(AI501=2,('Calc (ex-animal)'!$O$95*'Calc (ex-housing, ex-storage)'!F501/100+'Calc (ex-animal)'!$N$95*'Calc (ex-housing, ex-storage)'!F501/100)/VLOOKUP($C$499,'DB animal categories'!$C$181:$AC$190,27,FALSE)*AJ501+U501+V501+W501,IF(AI501=1,'Calc (ex-animal)'!$O$95*'Calc (ex-housing, ex-storage)'!F501/100/VLOOKUP($C$499,'DB animal categories'!$C$181:$AC$190,27,FALSE)*AJ501,IF(AI501=4,('Calc (ex-animal)'!$O$95+'Calc (ex-animal)'!$N$95)*'Calc (ex-housing, ex-storage)'!F501/100*VLOOKUP(D501,'DB technologies'!$N$238:$Y$250,11,FALSE)/100/VLOOKUP($C$499,'DB animal categories'!$C$181:$AC$190,27,FALSE)*AJ501,0))))</f>
        <v/>
      </c>
      <c r="AR501" s="182" t="str">
        <f>IF(D501="","",IF(AI501=2,('Calc (ex-animal)'!$R$95*'Calc (ex-housing, ex-storage)'!F501/100+'Calc (ex-animal)'!$Q$95*'Calc (ex-housing, ex-storage)'!F501/100)/VLOOKUP($C$499,'DB animal categories'!$C$181:$AC$190,27,FALSE)*AJ501+Y501+Z501+AA501,IF(AI501=1,'Calc (ex-animal)'!$R$95*'Calc (ex-housing, ex-storage)'!F501/100/VLOOKUP($C$499,'DB animal categories'!$C$181:$AC$190,27,FALSE)*AJ501,IF(AI501=4,('Calc (ex-animal)'!$R$95+'Calc (ex-animal)'!$Q$95)*'Calc (ex-housing, ex-storage)'!F501/100*VLOOKUP(D501,'DB technologies'!$N$238:$Y$250,11,FALSE)/100/VLOOKUP($C$499,'DB animal categories'!$C$181:$AC$190,27,FALSE)*AJ501,0))))</f>
        <v/>
      </c>
      <c r="AS501" s="181" t="str">
        <f>IF(D501="","",VLOOKUP(D501,'DB technologies'!$N$238:$Y$250,10,FALSE))</f>
        <v/>
      </c>
      <c r="AT501" s="442" t="str">
        <f>IF(AS501="","",AU501+AV501)</f>
        <v/>
      </c>
      <c r="AU501" s="442" t="str">
        <f>IF(D501="","",IF(AS501=2,0,IF(AS501=1,'Calc (ex-animal)'!$G$95*'DB additional information '!$K$20/100*(1-VLOOKUP(D501,'DB technologies'!$N$238:$Y$250,8,FALSE)/100)*'Calc (ex-housing, ex-storage)'!F501/100/VLOOKUP($C$499,'DB animal categories'!$C$181:$AC$190,27,FALSE)*AJ501+I501+J501+K501,IF(AS501=5,(('Calc (ex-animal)'!$G$95*'DB additional information '!$K$20/100+'Calc (ex-animal)'!$H$95*'DB additional information '!$L$20/100))*(1-VLOOKUP(D501,'DB technologies'!$N$238:$Y$250,9,FALSE)/100)*'Calc (ex-housing, ex-storage)'!F501/100/VLOOKUP($C$499,'DB animal categories'!$C$181:$AC$190,27,FALSE)*AJ501+I501+J501+K501,IF(AS501=3,('Calc (ex-animal)'!$G$95*'DB additional information '!$K$20/100+'Calc (ex-animal)'!$H$95*'DB additional information '!$L$20/100)*(1-VLOOKUP(D501,'DB technologies'!$N$238:$Y$250,9,FALSE)/100)*'Calc (ex-housing, ex-storage)'!F501/100/VLOOKUP($C$499,'DB animal categories'!$C$181:$AC$190,27,FALSE)*AJ501+I501+J501+K501,IF(AS501=4,('Calc (ex-animal)'!$G$95*'DB additional information '!$K$20/100+'Calc (ex-animal)'!$H$95*'DB additional information '!$L$20/100)*(1-VLOOKUP(D501,'DB technologies'!$N$238:$Y$250,9,FALSE)/100)*'Calc (ex-housing, ex-storage)'!F501/100*VLOOKUP(D501,'DB technologies'!$N$238:$Y$250,12,FALSE)/100/VLOOKUP($C$499,'DB animal categories'!$C$181:$AC$190,27,FALSE)*AJ501+I501+J501+K501,0))))))</f>
        <v/>
      </c>
      <c r="AV501" s="442" t="str">
        <f>IF(D501="","",IF(AS501=2,0,IF(AS501=1,'Calc (ex-animal)'!$G$95*(1-'DB additional information '!$K$20/100)*(1-VLOOKUP(D501,'DB technologies'!$N$238:$Y$250,8,FALSE)/100)*'Calc (ex-housing, ex-storage)'!F501/100/VLOOKUP($C$499,'DB animal categories'!$C$181:$AC$190,27,FALSE)*AJ501+M501+N501+O501,IF(AS501=5,('Calc (ex-animal)'!$G$95*(1-'DB additional information '!$K$20/100)+'Calc (ex-animal)'!$H$95*(1-'DB additional information '!$L$20/100))*(1-VLOOKUP(D501,'DB technologies'!$N$238:$Y$250,8,FALSE)/100)*'Calc (ex-housing, ex-storage)'!F501/100/VLOOKUP($C$499,'DB animal categories'!$C$181:$AC$190,27,FALSE)*AJ501+M501+N501+O501,IF(AS501=3,('Calc (ex-animal)'!$G$95*(1-'DB additional information '!$K$20/100)+'Calc (ex-animal)'!$H$95*(1-'DB additional information '!$L$20/100))*(1-VLOOKUP(D501,'DB technologies'!$N$238:$Y$250,8,FALSE)/100)*'Calc (ex-housing, ex-storage)'!F501/100/VLOOKUP($C$499,'DB animal categories'!$C$181:$AC$190,27,FALSE)*AJ501+M501+N501+O501,IF(AS501=4,('Calc (ex-animal)'!$G$95*(1-'DB additional information '!$K$20/100)+'Calc (ex-animal)'!$H$95*(1-'DB additional information '!$L$20/100))*(1-VLOOKUP(D501,'DB technologies'!$N$238:$Y$250,8,FALSE)/100)*'Calc (ex-housing, ex-storage)'!F501/100*VLOOKUP(D501,'DB technologies'!$N$238:$Y$250,12,FALSE)/100/VLOOKUP($C$499,'DB animal categories'!$C$181:$AC$190,27,FALSE)*AJ501+M501+N501+O501,0))))))</f>
        <v/>
      </c>
      <c r="AW501" s="442" t="str">
        <f>IF(AS501="","",IF(AU501=0,0,AU501/AT501*100))</f>
        <v/>
      </c>
      <c r="AX501" s="182" t="str">
        <f>IF(D501="","",IF(AS501=2,0,IF(AS501=1,'Calc (ex-animal)'!$K$95*'Calc (ex-housing, ex-storage)'!F501/100/VLOOKUP($C$499,'DB animal categories'!$C$181:$AC$190,27,FALSE)*AJ501+Q501+R501+S501,IF(AS501=5,('Calc (ex-animal)'!$K$95+'Calc (ex-animal)'!$L$95)*'Calc (ex-housing, ex-storage)'!F501/100/VLOOKUP($C$499,'DB animal categories'!$C$181:$AC$190,27,FALSE)*AJ501+Q501+R501+S501-'Calc (ex-housing, ex-storage)'!AC501,IF(AS501=3,('Calc (ex-animal)'!$K$95+'Calc (ex-animal)'!$L$95)*'Calc (ex-housing, ex-storage)'!F501/100/VLOOKUP($C$499,'DB animal categories'!$C$181:$AC$190,27,FALSE)*AJ501+Q501+R501+S501-'Calc (ex-housing, ex-storage)'!AC501-AD501-AE501,IF(AI501=4,('Calc (ex-animal)'!$K$95+'Calc (ex-animal)'!$L$95)*'Calc (ex-housing, ex-storage)'!F501/100*VLOOKUP(D501,'DB technologies'!$N$238:$Y$250,12,FALSE)/100/VLOOKUP($C$499,'DB animal categories'!$C$181:$AC$190,27,FALSE)*AJ501+Q501+R501+S501-(VLOOKUP(D501,'DB technologies'!$N$238:$Y$250,12,FALSE)/100*AC501)-AD501-AE501,0))))))</f>
        <v/>
      </c>
      <c r="AY501" s="182" t="str">
        <f>IF(D501="","",IF(AS501=2,0,IF(AS501=1,'Calc (ex-animal)'!$N$95*'Calc (ex-housing, ex-storage)'!F501/100/VLOOKUP($C$499,'DB animal categories'!$C$181:$AC$190,27,FALSE)*AJ501+U501+V501+W501,IF(AS501=5,('Calc (ex-animal)'!$N$95+'Calc (ex-animal)'!$O$95)*'Calc (ex-housing, ex-storage)'!F501/100/VLOOKUP($C$499,'DB animal categories'!$C$181:$AC$190,27,FALSE)*AJ501+U501+V501+W501,IF(AS501=3,('Calc (ex-animal)'!$N$95+'Calc (ex-animal)'!$O$95)*'Calc (ex-housing, ex-storage)'!F501/100/VLOOKUP($C$499,'DB animal categories'!$C$181:$AC$190,27,FALSE)*AJ501+U501+V501+W501,IF(AS501=4,('Calc (ex-animal)'!$N$95+'Calc (ex-animal)'!$O$95)*'Calc (ex-housing, ex-storage)'!F501/100*VLOOKUP(D501,'DB technologies'!$N$238:$Y$250,12,FALSE)/100/VLOOKUP($C$499,'DB animal categories'!$C$181:$AC$190,27,FALSE)*AJ501+U501+V501+W501,0))))))</f>
        <v/>
      </c>
      <c r="AZ501" s="182" t="str">
        <f>IF(D501="","",IF(AS501=2,0,IF(AS501=1,'Calc (ex-animal)'!$Q$95*'Calc (ex-housing, ex-storage)'!F501/100/VLOOKUP($C$499,'DB animal categories'!$C$181:$AC$190,27,FALSE)*AJ501+Y501+Z501+AA501,IF(AS501=5,('Calc (ex-animal)'!$Q$95+'Calc (ex-animal)'!$R$95)*'Calc (ex-housing, ex-storage)'!F501/100/VLOOKUP($C$499,'DB animal categories'!$C$181:$AC$190,27,FALSE)*AJ501+Y501+Z501+AA501,IF(AS501=3,('Calc (ex-animal)'!$Q$95+'Calc (ex-animal)'!$R$95)*'Calc (ex-housing, ex-storage)'!F501/100/VLOOKUP($C$499,'DB animal categories'!$C$181:$AC$190,27,FALSE)*AJ501+Y501+Z501+AA501,IF(AS501=4,('Calc (ex-animal)'!$Q$95+'Calc (ex-animal)'!$R$95)*'Calc (ex-housing, ex-storage)'!F501/100*VLOOKUP(D501,'DB technologies'!$N$238:$Y$250,12,FALSE)/100/VLOOKUP($C$499,'DB animal categories'!$C$181:$AC$190,27,FALSE)*AJ501+Y501+Z501+AA501,0))))))</f>
        <v/>
      </c>
      <c r="BA501" s="506"/>
      <c r="BB501" s="506"/>
      <c r="BC501" s="506"/>
    </row>
    <row r="502" spans="1:55" x14ac:dyDescent="0.2">
      <c r="A502" s="748"/>
      <c r="B502" s="695"/>
      <c r="C502" s="251"/>
      <c r="D502" s="1357"/>
      <c r="E502" s="1358"/>
      <c r="F502" s="480" t="str">
        <f>IF('Calc (ex-animal)'!$F$93=1,"",IF($C$499=0,"",IF(D502="","",E502/'Calc (ex-animal)'!$E$95*100)))</f>
        <v/>
      </c>
      <c r="G502" s="485" t="str">
        <f>IF($C$499=0,"",IF('Calc (ex-animal)'!$F$93=1,"",IF(D502="","",SUM(H502:O502))))</f>
        <v/>
      </c>
      <c r="H502" s="423" t="str">
        <f>IF('Calc (ex-animal)'!$F$93=1,"",IF(D502="","",(((VLOOKUP($C$499,'Calc (ex-animal)'!$D$93:$Y$97,6,FALSE)-VLOOKUP($C$499,'Calc (ex-animal)'!$D$93:$Y$97,17,FALSE))*F502/100))*VLOOKUP($C$499,'Calc (ex-animal)'!$D$93:$Y$97,7,FALSE)/100*(1-VLOOKUP(D502,'DB technologies'!$N$238:$Y$250,9,FALSE)/100)))</f>
        <v/>
      </c>
      <c r="I502" s="423" t="str">
        <f>IF(D502="","",((VLOOKUP(D502,'DB technologies'!$N$238:$Y$250,2,FALSE)*VLOOKUP($C$499,'DB animal categories'!$C$181:$AC$190,27,FALSE)*E502/1000)/VLOOKUP($C$499,'DB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'!$S$6/100*(1-VLOOKUP(D502,'DB technologies'!$N$238:$Y$250,9,FALSE)/100)))</f>
        <v/>
      </c>
      <c r="J502" s="434" t="str">
        <f>IF(D502="","",((VLOOKUP(D502,'DB technologies'!$N$238:$Y$250,3,FALSE)*VLOOKUP($C$499,'DB animal categories'!$C$181:$AC$190,27,FALSE)*E502/1000)/VLOOKUP($C$499,'DB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'!$S$7/100*(1-VLOOKUP(D502,'DB technologies'!$N$238:$Y$250,9,FALSE)/100)))</f>
        <v/>
      </c>
      <c r="K502" s="434" t="str">
        <f>IF(D502="","",((VLOOKUP(D502,'DB technologies'!$N$238:$Y$250,4,FALSE)*E502*'DB additional information '!$S$8/100*(1-VLOOKUP(D502,'DB technologies'!$N$238:$Y$250,9,FALSE)/100))/VLOOKUP($C$499,'DB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L502" s="423" t="str">
        <f>IF('Calc (ex-animal)'!$F$93=1,"",IF(D502="","",(((VLOOKUP($C$499,'Calc (ex-animal)'!$D$93:$Y$97,6,FALSE)-VLOOKUP($C$499,'Calc (ex-animal)'!$D$93:$Y$97,17,FALSE))*F502/100))*(1-VLOOKUP($C$499,'Calc (ex-animal)'!$D$93:$Y$97,7,FALSE)/100)*(1-VLOOKUP(D502,'DB technologies'!$N$238:$V$250,8,FALSE)/100)))</f>
        <v/>
      </c>
      <c r="M502" s="434" t="str">
        <f>IF(D502="","",((VLOOKUP(D502,'DB technologies'!$N$238:$Y$250,2,FALSE)*VLOOKUP($C$499,'DB animal categories'!$C$181:$AC$190,27,FALSE)*E502/1000)/VLOOKUP($C$499,'DB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'!$S$6/100)*(1-VLOOKUP(D502,'DB technologies'!$N$238:$Y$250,9,FALSE)/100))</f>
        <v/>
      </c>
      <c r="N502" s="434" t="str">
        <f>IF(D502="","",((VLOOKUP(D502,'DB technologies'!$N$238:$Y$250,3,FALSE)*VLOOKUP($C$499,'DB animal categories'!$C$181:$AC$190,27,FALSE)*E502/1000)/VLOOKUP($C$499,'DB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'!$S$7/100)*(1-VLOOKUP(D502,'DB technologies'!$N$238:$Y$250,9,FALSE)/100))</f>
        <v/>
      </c>
      <c r="O502" s="423" t="str">
        <f>IF(D502="","",((VLOOKUP(D502,'DB technologies'!$N$238:$Y$250,4,FALSE)*E502*(1-'DB additional information '!$S$8/100)*(1-VLOOKUP(D502,'DB technologies'!$N$238:$Y$250,8,FALSE)/100))/VLOOKUP($C$499,'DB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P502" s="438" t="str">
        <f>IF(G502=0,0,IF(E502="","",IF(F502="","",IF($C$499=0,"",IF(D502="","",SUM(H502:K502)/G502*100)))))</f>
        <v/>
      </c>
      <c r="Q502" s="416" t="str">
        <f>IF(D502="","",(VLOOKUP(D502,'DB technologies'!$N$238:$Y$250,2,FALSE)*'DB additional information '!$S$6/100*'DB additional information '!$T$6*VLOOKUP($C$499,'DB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R502" s="416" t="str">
        <f>IF(D502="","",(VLOOKUP(D502,'DB technologies'!$N$238:$Y$250,3,FALSE)*'DB additional information '!$S$7/100*'DB additional information '!$T$7*VLOOKUP($C$499,'DB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S502" s="491" t="str">
        <f>IF(D502="","",(VLOOKUP(D502,'DB technologies'!$N$238:$Y$250,4,FALSE)*('DB additional information '!$S$8/100*'DB additional information '!$T$8*E502/1000/1000)))</f>
        <v/>
      </c>
      <c r="T502" s="264" t="str">
        <f>IF($C$499=0,"",IF('Calc (ex-animal)'!$F$93=1,"",IF(D502="","",((VLOOKUP($C$499,'Calc (ex-animal)'!$D$93:$Y$97,10,FALSE)-VLOOKUP($C$499,'Calc (ex-animal)'!$D$93:$Y$97,18,FALSE))*F502/100+Q502+R502+S502)-AC502-AD502-AE502)))</f>
        <v/>
      </c>
      <c r="U502" s="422" t="str">
        <f>IF(D502="","",(VLOOKUP(D502,'DB technologies'!$N$238:$Y$250,2,FALSE)*'DB additional information '!$S$6/100*'DB additional information '!$U$6*VLOOKUP($C$499,'DB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V502" s="418" t="str">
        <f>IF(D502="","",(VLOOKUP(D502,'DB technologies'!$N$238:$Y$250,3,FALSE)*'DB additional information '!$S$7/100*'DB additional information '!$U$7*VLOOKUP($C$499,'DB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W502" s="417" t="str">
        <f>IF(D502="","",(VLOOKUP(D502,'DB technologies'!$N$238:$Y$250,4,FALSE)*('DB additional information '!$S$8/100*'DB additional information '!$U$8*E502/1000/1000)))</f>
        <v/>
      </c>
      <c r="X502" s="261" t="str">
        <f>IF($C$499=0,"",IF('Calc (ex-animal)'!$F$93=1,"",IF(D502="","",((VLOOKUP($C$499,'Calc (ex-animal)'!$D$93:$Y$97,13,FALSE)-VLOOKUP($C$499,'Calc (ex-animal)'!$D$93:$Y$97,19,FALSE))*F502/100+U502+V502+W502))))</f>
        <v/>
      </c>
      <c r="Y502" s="418" t="str">
        <f>IF(D502="","",(VLOOKUP(D502,'DB technologies'!$N$238:$Y$250,2,FALSE)*'DB additional information '!$S$6/100*'DB additional information '!$V$6*VLOOKUP($C$499,'DB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Z502" s="418" t="str">
        <f>IF(D502="","",(VLOOKUP(D502,'DB technologies'!$N$238:$Y$250,3,FALSE)*'DB additional information '!$S$7/100*'DB additional information '!$V$7*VLOOKUP($C$499,'DB animal categories'!$C$181:$AC$190,27,FALSE)*E502/1000/1000)/VLOOKUP($C$499,'DB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AA502" s="418" t="str">
        <f>IF(D502="","",(VLOOKUP(D502,'DB technologies'!$N$238:$Y$250,4,FALSE)*('DB additional information '!$S$8/100*'DB additional information '!$V$8*E502/1000/1000)))</f>
        <v/>
      </c>
      <c r="AB502" s="261" t="str">
        <f>IF($C$499=0,"",IF('Calc (ex-animal)'!$F$93=1,"",IF(D502="","",((VLOOKUP($C$499,'Calc (ex-animal)'!$D$93:$Y$97,16,FALSE)-VLOOKUP($C$499,'Calc (ex-animal)'!$D$93:$Y$97,20,FALSE))*F502/100+Y502+Z502+AA502))))</f>
        <v/>
      </c>
      <c r="AC502" s="261" t="str">
        <f>IF($C$499=0,"",IF('Calc (ex-animal)'!$F$93=1,"",IF(D502="","",VLOOKUP($C$499,'Calc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categories'!$C$181:$AC$190,26,FALSE)/24)*F502/100*VLOOKUP(D502,'DB technologies'!$N$238:$R$250,5,FALSE)/100)))</f>
        <v/>
      </c>
      <c r="AD502" s="261" t="str">
        <f>IF($C$499=0,"",IF('Calc (ex-animal)'!$F$93=1,"",IF(D502="","",VLOOKUP($C$499,'Calc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categories'!$C$181:$AC$190,26,FALSE)/24)*F502/100*VLOOKUP(D502,'DB technologies'!$N$238:$Y$250,6,FALSE)/100)))</f>
        <v/>
      </c>
      <c r="AE502" s="262" t="str">
        <f>IF($C$499=0,"",IF('Calc (ex-animal)'!$F$93=1,"",IF(D502="","",VLOOKUP($C$499,'Calc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categories'!$C$181:$AC$190,26,FALSE)/24)*F502/100*VLOOKUP(D502,'DB technologies'!$N$238:$Y$250,7,FALSE)/100)))</f>
        <v/>
      </c>
      <c r="AI502" s="181" t="str">
        <f>IF(D502="","",VLOOKUP(D502,'DB technologies'!$N$238:$Y$250,10,FALSE))</f>
        <v/>
      </c>
      <c r="AJ502" s="449" t="e">
        <f>VLOOKUP($C$499,'DB animal categories'!$C$181:$AN$190,27,FALSE)-VLOOKUP($C$499,'DB animal categories'!$C$181:$AN$190,26,FALSE)*VLOOKUP($C$499,'DB animal categories'!$C$181:$AN$190,25,FALSE)/24</f>
        <v>#N/A</v>
      </c>
      <c r="AK502" s="442" t="str">
        <f>IF(AI502="","",AL502+AM502)</f>
        <v/>
      </c>
      <c r="AL502" s="442" t="str">
        <f>IF(D502="","",IF(AI502=2,(('Calc (ex-animal)'!$G$95*'DB additional information '!$K$20/100*(1-VLOOKUP(D502,'DB technologies'!$N$238:$Y$250,9,FALSE)/100)*'Calc (ex-housing, ex-storage)'!F502/100+'Calc (ex-animal)'!$H$95*'DB additional information '!$L$20/100*(1-VLOOKUP(D502,'DB technologies'!$N$238:$Y$250,9,FALSE)/100)*'Calc (ex-housing, ex-storage)'!F502/100))/VLOOKUP($C$499,'DB animal categories'!$C$181:$AC$190,27,FALSE)*AJ502+I502+J502+K502,IF(AI502=1,('Calc (ex-animal)'!$H$95*'DB additional information '!$L$20/100*(1-VLOOKUP(D502,'DB technologies'!$N$238:$Y$250,9,FALSE)/100)*'Calc (ex-housing, ex-storage)'!F502/100)/VLOOKUP($C$499,'DB animal categories'!$C$181:$AC$190,27,FALSE)*AJ502,IF(AI502=4,('Calc (ex-animal)'!$G$95*'DB additional information '!$K$20/100+'Calc (ex-animal)'!$H$95*'DB additional information '!$L$20/100)*(1-VLOOKUP(D502,'DB technologies'!$N$238:$Y$250,9,FALSE)/100)*'Calc (ex-housing, ex-storage)'!F502/100*VLOOKUP(D502,'DB technologies'!$N$238:$Y$250,11,FALSE)/100/VLOOKUP($C$499,'DB animal categories'!$C$181:$AC$190,27,FALSE)*AJ502,0))))</f>
        <v/>
      </c>
      <c r="AM502" s="442" t="str">
        <f>IF(D502="","",IF(AI502=2,(('Calc (ex-animal)'!$G$95*(1-'DB additional information '!$K$20/100)*(1-VLOOKUP(D502,'DB technologies'!$N$238:$Y$250,8,FALSE)/100)*'Calc (ex-housing, ex-storage)'!F502/100+'Calc (ex-animal)'!$H$95*(1-'DB additional information '!$L$20/100)*(1-VLOOKUP(D502,'DB technologies'!$N$238:$Y$250,8,FALSE)/100)*'Calc (ex-housing, ex-storage)'!F502/100))/VLOOKUP($C$499,'DB animal categories'!$C$181:$AC$190,27,FALSE)*AJ502+M502+N502+O502,IF(AI502=1,('Calc (ex-animal)'!$H$95*(1-'DB additional information '!$L$20/100)*(1-VLOOKUP(D502,'DB technologies'!$N$238:$Y$250,8,FALSE)/100)*'Calc (ex-housing, ex-storage)'!F502/100)/VLOOKUP($C$499,'DB animal categories'!$C$181:$AC$190,27,FALSE)*AJ502,IF(AI502=4,('Calc (ex-animal)'!$G$95*(1-'DB additional information '!$K$20/100)+'Calc (ex-animal)'!$H$95*(1-'DB additional information '!$L$20/100))*(1-VLOOKUP(D502,'DB technologies'!$N$238:$Y$250,8,FALSE)/100)*'Calc (ex-housing, ex-storage)'!F502/100*VLOOKUP(D502,'DB technologies'!$N$238:$Y$250,11,FALSE)/100/VLOOKUP($C$499,'DB animal categories'!$C$181:$AC$190,27,FALSE)*AJ502,0))))</f>
        <v/>
      </c>
      <c r="AN502" s="442" t="str">
        <f>IF(AI502="","",IF(AL502=0,0,AL502/AK502*100))</f>
        <v/>
      </c>
      <c r="AO502" s="182" t="str">
        <f>IF(D502="","",IF(AI502=2,(('Calc (ex-animal)'!$L$95*'Calc (ex-housing, ex-storage)'!F502/100+'Calc (ex-animal)'!$K$95*'Calc (ex-housing, ex-storage)'!F502/100))/VLOOKUP($C$499,'DB animal categories'!$C$181:$AC$190,27,FALSE)*AJ502+Q502+R502+S502-AC502,IF(AI502=1,('Calc (ex-animal)'!$L$95*'Calc (ex-housing, ex-storage)'!F502/100)/VLOOKUP($C$499,'DB animal categories'!$C$181:$AC$190,27,FALSE)*AJ502-'Calc (ex-housing, ex-storage)'!AC502,IF(AI502=4,('Calc (ex-animal)'!$L$95+'Calc (ex-animal)'!$K$95)*'Calc (ex-housing, ex-storage)'!F502/100*VLOOKUP(D502,'DB technologies'!$N$238:$Y$250,11,FALSE)/100/VLOOKUP($C$499,'DB animal categories'!$C$181:$AC$190,27,FALSE)*AJ502-AC502*VLOOKUP(D502,'DB technologies'!$N$238:$Y$250,11,FALSE)/100,0))))</f>
        <v/>
      </c>
      <c r="AP502" s="182" t="str">
        <f>IF(D502="","",IF(AO502&lt;-0.01,0,IF(AI502=2,(('Calc (ex-animal)'!$L$95*'Calc (ex-housing, ex-storage)'!F502/100+'Calc (ex-animal)'!$K$95*'Calc (ex-housing, ex-storage)'!F502/100))/VLOOKUP($C$499,'DB animal categories'!$C$181:$AC$190,27,FALSE)*AJ502+Q502+R502+S502-AC502,IF(AI502=1,('Calc (ex-animal)'!$L$95*'Calc (ex-housing, ex-storage)'!F502/100)/VLOOKUP($C$499,'DB animal categories'!$C$181:$AC$190,27,FALSE)*AJ502-'Calc (ex-housing, ex-storage)'!AC502,IF(AI502=4,('Calc (ex-animal)'!$L$95+'Calc (ex-animal)'!$K$95)*'Calc (ex-housing, ex-storage)'!F502/100*VLOOKUP(D502,'DB technologies'!$N$238:$Y$250,11,FALSE)/100/VLOOKUP($C$499,'DB animal categories'!$C$181:$AC$190,27,FALSE)*AJ502-AC502*VLOOKUP(D502,'DB technologies'!$N$238:$Y$250,11,FALSE)/100,0)))))</f>
        <v/>
      </c>
      <c r="AQ502" s="182" t="str">
        <f>IF(D502="","",IF(AI502=2,('Calc (ex-animal)'!$O$95*'Calc (ex-housing, ex-storage)'!F502/100+'Calc (ex-animal)'!$N$95*'Calc (ex-housing, ex-storage)'!F502/100)/VLOOKUP($C$499,'DB animal categories'!$C$181:$AC$190,27,FALSE)*AJ502+U502+V502+W502,IF(AI502=1,'Calc (ex-animal)'!$O$95*'Calc (ex-housing, ex-storage)'!F502/100/VLOOKUP($C$499,'DB animal categories'!$C$181:$AC$190,27,FALSE)*AJ502,IF(AI502=4,('Calc (ex-animal)'!$O$95+'Calc (ex-animal)'!$N$95)*'Calc (ex-housing, ex-storage)'!F502/100*VLOOKUP(D502,'DB technologies'!$N$238:$Y$250,11,FALSE)/100/VLOOKUP($C$499,'DB animal categories'!$C$181:$AC$190,27,FALSE)*AJ502,0))))</f>
        <v/>
      </c>
      <c r="AR502" s="182" t="str">
        <f>IF(D502="","",IF(AI502=2,('Calc (ex-animal)'!$R$95*'Calc (ex-housing, ex-storage)'!F502/100+'Calc (ex-animal)'!$Q$95*'Calc (ex-housing, ex-storage)'!F502/100)/VLOOKUP($C$499,'DB animal categories'!$C$181:$AC$190,27,FALSE)*AJ502+Y502+Z502+AA502,IF(AI502=1,'Calc (ex-animal)'!$R$95*'Calc (ex-housing, ex-storage)'!F502/100/VLOOKUP($C$499,'DB animal categories'!$C$181:$AC$190,27,FALSE)*AJ502,IF(AI502=4,('Calc (ex-animal)'!$R$95+'Calc (ex-animal)'!$Q$95)*'Calc (ex-housing, ex-storage)'!F502/100*VLOOKUP(D502,'DB technologies'!$N$238:$Y$250,11,FALSE)/100/VLOOKUP($C$499,'DB animal categories'!$C$181:$AC$190,27,FALSE)*AJ502,0))))</f>
        <v/>
      </c>
      <c r="AS502" s="181" t="str">
        <f>IF(D502="","",VLOOKUP(D502,'DB technologies'!$N$238:$Y$250,10,FALSE))</f>
        <v/>
      </c>
      <c r="AT502" s="442" t="str">
        <f>IF(AS502="","",AU502+AV502)</f>
        <v/>
      </c>
      <c r="AU502" s="442" t="str">
        <f>IF(D502="","",IF(AS502=2,0,IF(AS502=1,'Calc (ex-animal)'!$G$95*'DB additional information '!$K$20/100*(1-VLOOKUP(D502,'DB technologies'!$N$238:$Y$250,8,FALSE)/100)*'Calc (ex-housing, ex-storage)'!F502/100/VLOOKUP($C$499,'DB animal categories'!$C$181:$AC$190,27,FALSE)*AJ502+I502+J502+K502,IF(AS502=5,(('Calc (ex-animal)'!$G$95*'DB additional information '!$K$20/100+'Calc (ex-animal)'!$H$95*'DB additional information '!$L$20/100))*(1-VLOOKUP(D502,'DB technologies'!$N$238:$Y$250,9,FALSE)/100)*'Calc (ex-housing, ex-storage)'!F502/100/VLOOKUP($C$499,'DB animal categories'!$C$181:$AC$190,27,FALSE)*AJ502+I502+J502+K502,IF(AS502=3,('Calc (ex-animal)'!$G$95*'DB additional information '!$K$20/100+'Calc (ex-animal)'!$H$95*'DB additional information '!$L$20/100)*(1-VLOOKUP(D502,'DB technologies'!$N$238:$Y$250,9,FALSE)/100)*'Calc (ex-housing, ex-storage)'!F502/100/VLOOKUP($C$499,'DB animal categories'!$C$181:$AC$190,27,FALSE)*AJ502+I502+J502+K502,IF(AS502=4,('Calc (ex-animal)'!$G$95*'DB additional information '!$K$20/100+'Calc (ex-animal)'!$H$95*'DB additional information '!$L$20/100)*(1-VLOOKUP(D502,'DB technologies'!$N$238:$Y$250,9,FALSE)/100)*'Calc (ex-housing, ex-storage)'!F502/100*VLOOKUP(D502,'DB technologies'!$N$238:$Y$250,12,FALSE)/100/VLOOKUP($C$499,'DB animal categories'!$C$181:$AC$190,27,FALSE)*AJ502+I502+J502+K502,0))))))</f>
        <v/>
      </c>
      <c r="AV502" s="442" t="str">
        <f>IF(D502="","",IF(AS502=2,0,IF(AS502=1,'Calc (ex-animal)'!$G$95*(1-'DB additional information '!$K$20/100)*(1-VLOOKUP(D502,'DB technologies'!$N$238:$Y$250,8,FALSE)/100)*'Calc (ex-housing, ex-storage)'!F502/100/VLOOKUP($C$499,'DB animal categories'!$C$181:$AC$190,27,FALSE)*AJ502+M502+N502+O502,IF(AS502=5,('Calc (ex-animal)'!$G$95*(1-'DB additional information '!$K$20/100)+'Calc (ex-animal)'!$H$95*(1-'DB additional information '!$L$20/100))*(1-VLOOKUP(D502,'DB technologies'!$N$238:$Y$250,8,FALSE)/100)*'Calc (ex-housing, ex-storage)'!F502/100/VLOOKUP($C$499,'DB animal categories'!$C$181:$AC$190,27,FALSE)*AJ502+M502+N502+O502,IF(AS502=3,('Calc (ex-animal)'!$G$95*(1-'DB additional information '!$K$20/100)+'Calc (ex-animal)'!$H$95*(1-'DB additional information '!$L$20/100))*(1-VLOOKUP(D502,'DB technologies'!$N$238:$Y$250,8,FALSE)/100)*'Calc (ex-housing, ex-storage)'!F502/100/VLOOKUP($C$499,'DB animal categories'!$C$181:$AC$190,27,FALSE)*AJ502+M502+N502+O502,IF(AS502=4,('Calc (ex-animal)'!$G$95*(1-'DB additional information '!$K$20/100)+'Calc (ex-animal)'!$H$95*(1-'DB additional information '!$L$20/100))*(1-VLOOKUP(D502,'DB technologies'!$N$238:$Y$250,8,FALSE)/100)*'Calc (ex-housing, ex-storage)'!F502/100*VLOOKUP(D502,'DB technologies'!$N$238:$Y$250,12,FALSE)/100/VLOOKUP($C$499,'DB animal categories'!$C$181:$AC$190,27,FALSE)*AJ502+M502+N502+O502,0))))))</f>
        <v/>
      </c>
      <c r="AW502" s="442" t="str">
        <f>IF(AS502="","",IF(AU502=0,0,AU502/AT502*100))</f>
        <v/>
      </c>
      <c r="AX502" s="182" t="str">
        <f>IF(D502="","",IF(AS502=2,0,IF(AS502=1,'Calc (ex-animal)'!$K$95*'Calc (ex-housing, ex-storage)'!F502/100/VLOOKUP($C$499,'DB animal categories'!$C$181:$AC$190,27,FALSE)*AJ502+Q502+R502+S502,IF(AS502=5,('Calc (ex-animal)'!$K$95+'Calc (ex-animal)'!$L$95)*'Calc (ex-housing, ex-storage)'!F502/100/VLOOKUP($C$499,'DB animal categories'!$C$181:$AC$190,27,FALSE)*AJ502+Q502+R502+S502-'Calc (ex-housing, ex-storage)'!AC502,IF(AS502=3,('Calc (ex-animal)'!$K$95+'Calc (ex-animal)'!$L$95)*'Calc (ex-housing, ex-storage)'!F502/100/VLOOKUP($C$499,'DB animal categories'!$C$181:$AC$190,27,FALSE)*AJ502+Q502+R502+S502-'Calc (ex-housing, ex-storage)'!AC502-AD502-AE502,IF(AI502=4,('Calc (ex-animal)'!$K$95+'Calc (ex-animal)'!$L$95)*'Calc (ex-housing, ex-storage)'!F502/100*VLOOKUP(D502,'DB technologies'!$N$238:$Y$250,12,FALSE)/100/VLOOKUP($C$499,'DB animal categories'!$C$181:$AC$190,27,FALSE)*AJ502+Q502+R502+S502-(VLOOKUP(D502,'DB technologies'!$N$238:$Y$250,12,FALSE)/100*AC502)-AD502-AE502,0))))))</f>
        <v/>
      </c>
      <c r="AY502" s="182" t="str">
        <f>IF(D502="","",IF(AS502=2,0,IF(AS502=1,'Calc (ex-animal)'!$N$95*'Calc (ex-housing, ex-storage)'!F502/100/VLOOKUP($C$499,'DB animal categories'!$C$181:$AC$190,27,FALSE)*AJ502+U502+V502+W502,IF(AS502=5,('Calc (ex-animal)'!$N$95+'Calc (ex-animal)'!$O$95)*'Calc (ex-housing, ex-storage)'!F502/100/VLOOKUP($C$499,'DB animal categories'!$C$181:$AC$190,27,FALSE)*AJ502+U502+V502+W502,IF(AS502=3,('Calc (ex-animal)'!$N$95+'Calc (ex-animal)'!$O$95)*'Calc (ex-housing, ex-storage)'!F502/100/VLOOKUP($C$499,'DB animal categories'!$C$181:$AC$190,27,FALSE)*AJ502+U502+V502+W502,IF(AS502=4,('Calc (ex-animal)'!$N$95+'Calc (ex-animal)'!$O$95)*'Calc (ex-housing, ex-storage)'!F502/100*VLOOKUP(D502,'DB technologies'!$N$238:$Y$250,12,FALSE)/100/VLOOKUP($C$499,'DB animal categories'!$C$181:$AC$190,27,FALSE)*AJ502+U502+V502+W502,0))))))</f>
        <v/>
      </c>
      <c r="AZ502" s="182" t="str">
        <f>IF(D502="","",IF(AS502=2,0,IF(AS502=1,'Calc (ex-animal)'!$Q$95*'Calc (ex-housing, ex-storage)'!F502/100/VLOOKUP($C$499,'DB animal categories'!$C$181:$AC$190,27,FALSE)*AJ502+Y502+Z502+AA502,IF(AS502=5,('Calc (ex-animal)'!$Q$95+'Calc (ex-animal)'!$R$95)*'Calc (ex-housing, ex-storage)'!F502/100/VLOOKUP($C$499,'DB animal categories'!$C$181:$AC$190,27,FALSE)*AJ502+Y502+Z502+AA502,IF(AS502=3,('Calc (ex-animal)'!$Q$95+'Calc (ex-animal)'!$R$95)*'Calc (ex-housing, ex-storage)'!F502/100/VLOOKUP($C$499,'DB animal categories'!$C$181:$AC$190,27,FALSE)*AJ502+Y502+Z502+AA502,IF(AS502=4,('Calc (ex-animal)'!$Q$95+'Calc (ex-animal)'!$R$95)*'Calc (ex-housing, ex-storage)'!F502/100*VLOOKUP(D502,'DB technologies'!$N$238:$Y$250,12,FALSE)/100/VLOOKUP($C$499,'DB animal categories'!$C$181:$AC$190,27,FALSE)*AJ502+Y502+Z502+AA502,0))))))</f>
        <v/>
      </c>
      <c r="BA502" s="506"/>
      <c r="BB502" s="506"/>
      <c r="BC502" s="506"/>
    </row>
    <row r="503" spans="1:55" ht="12" thickBot="1" x14ac:dyDescent="0.25">
      <c r="A503" s="748"/>
      <c r="B503" s="695"/>
      <c r="C503" s="251"/>
      <c r="D503" s="1359"/>
      <c r="E503" s="1360"/>
      <c r="F503" s="481" t="str">
        <f>IF('Calc (ex-animal)'!$F$93=1,"",IF($C$499=0,"",IF(D503="","",E503/'Calc (ex-animal)'!$E$95*100)))</f>
        <v/>
      </c>
      <c r="G503" s="483" t="str">
        <f>IF($C$499=0,"",IF('Calc (ex-animal)'!$F$93=1,"",IF(D503="","",SUM(H503:O503))))</f>
        <v/>
      </c>
      <c r="H503" s="445" t="str">
        <f>IF('Calc (ex-animal)'!$F$93=1,"",IF(D503="","",(((VLOOKUP($C$499,'Calc (ex-animal)'!$D$93:$Y$97,6,FALSE)-VLOOKUP($C$499,'Calc (ex-animal)'!$D$93:$Y$97,17,FALSE))*F503/100))*VLOOKUP($C$499,'Calc (ex-animal)'!$D$93:$Y$97,7,FALSE)/100*(1-VLOOKUP(D503,'DB technologies'!$N$238:$Y$250,9,FALSE)/100)))</f>
        <v/>
      </c>
      <c r="I503" s="445" t="str">
        <f>IF(D503="","",((VLOOKUP(D503,'DB technologies'!$N$238:$Y$250,2,FALSE)*VLOOKUP($C$499,'DB animal categories'!$C$181:$AC$190,27,FALSE)*E503/1000)/VLOOKUP($C$499,'DB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'!$S$6/100*(1-VLOOKUP(D503,'DB technologies'!$N$238:$Y$250,9,FALSE)/100)))</f>
        <v/>
      </c>
      <c r="J503" s="446" t="str">
        <f>IF(D503="","",((VLOOKUP(D503,'DB technologies'!$N$238:$Y$250,3,FALSE)*VLOOKUP($C$499,'DB animal categories'!$C$181:$AC$190,27,FALSE)*E503/1000)/VLOOKUP($C$499,'DB animal categories'!$C$181:$AC$190,27,FALSE)*(VLOOKUP($C$499,'DB animal categories'!$C$181:$AC$190,27,FALSE)-(VLOOKUP($C$499,'DB animal categories'!$C$181:$AC$190,25,FALSE)*VLOOKUP($C$499,'DB animal categories'!$C$181:$AC$190,26,FALSE)/24))*'DB additional information '!$S$7/100*(1-VLOOKUP(D503,'DB technologies'!$N$238:$Y$250,9,FALSE)/100)))</f>
        <v/>
      </c>
      <c r="K503" s="446" t="str">
        <f>IF(D503="","",((VLOOKUP(D503,'DB technologies'!$N$238:$Y$250,4,FALSE)*E503*'DB additional information '!$S$8/100*(1-VLOOKUP(D503,'DB technologies'!$N$238:$Y$250,9,FALSE)/100))/VLOOKUP($C$499,'DB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L503" s="445" t="str">
        <f>IF('Calc (ex-animal)'!$F$93=1,"",IF(D503="","",(((VLOOKUP($C$499,'Calc (ex-animal)'!$D$93:$Y$97,6,FALSE)-VLOOKUP($C$499,'Calc (ex-animal)'!$D$93:$Y$97,17,FALSE))*F503/100))*(1-VLOOKUP($C$499,'Calc (ex-animal)'!$D$93:$Y$97,7,FALSE)/100)*(1-VLOOKUP(D503,'DB technologies'!$N$238:$V$250,8,FALSE)/100)))</f>
        <v/>
      </c>
      <c r="M503" s="446" t="str">
        <f>IF(D503="","",((VLOOKUP(D503,'DB technologies'!$N$238:$Y$250,2,FALSE)*VLOOKUP($C$499,'DB animal categories'!$C$181:$AC$190,27,FALSE)*E503/1000)/VLOOKUP($C$499,'DB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'!$S$6/100)*(1-VLOOKUP(D503,'DB technologies'!$N$238:$Y$250,9,FALSE)/100))</f>
        <v/>
      </c>
      <c r="N503" s="446" t="str">
        <f>IF(D503="","",((VLOOKUP(D503,'DB technologies'!$N$238:$Y$250,3,FALSE)*VLOOKUP($C$499,'DB animal categories'!$C$181:$AC$190,27,FALSE)*E503/1000)/VLOOKUP($C$499,'DB animal categories'!$C$181:$AC$190,27,FALSE)*(VLOOKUP($C$499,'DB animal categories'!$C$181:$AC$190,27,FALSE)-VLOOKUP($C$499,'DB animal categories'!$C$181:$AC$190,25,FALSE)*VLOOKUP($C$499,'DB animal categories'!$C$181:$AC$190,26,FALSE)/24))*(1-'DB additional information '!$S$7/100)*(1-VLOOKUP(D503,'DB technologies'!$N$238:$Y$250,9,FALSE)/100))</f>
        <v/>
      </c>
      <c r="O503" s="445" t="str">
        <f>IF(D503="","",((VLOOKUP(D503,'DB technologies'!$N$238:$Y$250,4,FALSE)*E503*(1-'DB additional information '!$S$8/100)*(1-VLOOKUP(D503,'DB technologies'!$N$238:$Y$250,8,FALSE)/100))/VLOOKUP($C$499,'DB animal categories'!$C$181:$AC$190,27,FALSE)*(VLOOKUP($C$499,'DB animal categories'!$C$181:$AC$190,27,FALSE)-VLOOKUP($C$499,'DB animal categories'!$C$181:$AC$190,25,FALSE)*VLOOKUP($C$499,'DB animal categories'!$C$181:$AC$190,26,FALSE)/24)))</f>
        <v/>
      </c>
      <c r="P503" s="444" t="str">
        <f>IF(G503=0,0,IF(E503="","",IF(F503="","",IF($C$499=0,"",IF(D503="","",SUM(H503:K503)/G503*100)))))</f>
        <v/>
      </c>
      <c r="Q503" s="476" t="str">
        <f>IF(D503="","",(VLOOKUP(D503,'DB technologies'!$N$238:$Y$250,2,FALSE)*'DB additional information '!$S$6/100*'DB additional information '!$T$6*VLOOKUP($C$499,'DB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R503" s="476" t="str">
        <f>IF(D503="","",(VLOOKUP(D503,'DB technologies'!$N$238:$Y$250,3,FALSE)*'DB additional information '!$S$7/100*'DB additional information '!$T$7*VLOOKUP($C$499,'DB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S503" s="494" t="str">
        <f>IF(D503="","",(VLOOKUP(D503,'DB technologies'!$N$238:$Y$250,4,FALSE)*('DB additional information '!$S$8/100*'DB additional information '!$T$8*E503/1000/1000)))</f>
        <v/>
      </c>
      <c r="T503" s="266" t="str">
        <f>IF($C$499=0,"",IF('Calc (ex-animal)'!$F$93=1,"",IF(D503="","",((VLOOKUP($C$499,'Calc (ex-animal)'!$D$93:$Y$97,10,FALSE)-VLOOKUP($C$499,'Calc (ex-animal)'!$D$93:$Y$97,18,FALSE))*F503/100+Q503+R503+S503)-AC503-AD503-AE503)))</f>
        <v/>
      </c>
      <c r="U503" s="477" t="str">
        <f>IF(D503="","",(VLOOKUP(D503,'DB technologies'!$N$238:$Y$250,2,FALSE)*'DB additional information '!$S$6/100*'DB additional information '!$U$6*VLOOKUP($C$499,'DB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V503" s="433" t="str">
        <f>IF(D503="","",(VLOOKUP(D503,'DB technologies'!$N$238:$Y$250,3,FALSE)*'DB additional information '!$S$7/100*'DB additional information '!$U$7*VLOOKUP($C$499,'DB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W503" s="475" t="str">
        <f>IF(D503="","",(VLOOKUP(D503,'DB technologies'!$N$238:$Y$250,4,FALSE)*('DB additional information '!$S$8/100*'DB additional information '!$U$8*E503/1000/1000)))</f>
        <v/>
      </c>
      <c r="X503" s="267" t="str">
        <f>IF($C$499=0,"",IF('Calc (ex-animal)'!$F$93=1,"",IF(D503="","",((VLOOKUP($C$499,'Calc (ex-animal)'!$D$93:$Y$97,13,FALSE)-VLOOKUP($C$499,'Calc (ex-animal)'!$D$93:$Y$97,19,FALSE))*F503/100+U503+V503+W503))))</f>
        <v/>
      </c>
      <c r="Y503" s="433" t="str">
        <f>IF(D503="","",(VLOOKUP(D503,'DB technologies'!$N$238:$Y$250,2,FALSE)*'DB additional information '!$S$6/100*'DB additional information '!$V$6*VLOOKUP($C$499,'DB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Z503" s="433" t="str">
        <f>IF(D503="","",(VLOOKUP(D503,'DB technologies'!$N$238:$Y$250,3,FALSE)*'DB additional information '!$S$7/100*'DB additional information '!$V$7*VLOOKUP($C$499,'DB animal categories'!$C$181:$AC$190,27,FALSE)*E503/1000/1000)/VLOOKUP($C$499,'DB animal categories'!$C$181:$AC$190,27,FALSE)*(VLOOKUP($C$499,'DB animal categories'!$C$181:$AC$190,27,FALSE)-VLOOKUP($C$499,'DB animal categories'!$C$181:$AC$190,25,FALSE)*VLOOKUP($C$499,'DB animal categories'!$C$181:$AC$190,26,FALSE)/24))</f>
        <v/>
      </c>
      <c r="AA503" s="433" t="str">
        <f>IF(D503="","",(VLOOKUP(D503,'DB technologies'!$N$238:$Y$250,4,FALSE)*('DB additional information '!$S$8/100*'DB additional information '!$V$8*E503/1000/1000)))</f>
        <v/>
      </c>
      <c r="AB503" s="267" t="str">
        <f>IF($C$499=0,"",IF('Calc (ex-animal)'!$F$93=1,"",IF(D503="","",((VLOOKUP($C$499,'Calc (ex-animal)'!$D$93:$Y$97,16,FALSE)-VLOOKUP($C$499,'Calc (ex-animal)'!$D$93:$Y$97,20,FALSE))*F503/100+Y503+Z503+AA503))))</f>
        <v/>
      </c>
      <c r="AC503" s="267" t="str">
        <f>IF($C$499=0,"",IF('Calc (ex-animal)'!$F$93=1,"",IF(D503="","",VLOOKUP($C$499,'Calc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categories'!$C$181:$AC$190,26,FALSE)/24)*F503/100*VLOOKUP(D503,'DB technologies'!$N$238:$R$250,5,FALSE)/100)))</f>
        <v/>
      </c>
      <c r="AD503" s="267" t="str">
        <f>IF($C$499=0,"",IF('Calc (ex-animal)'!$F$93=1,"",IF(D503="","",VLOOKUP($C$499,'Calc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categories'!$C$181:$AC$190,26,FALSE)/24)*F503/100*VLOOKUP(D503,'DB technologies'!$N$238:$Y$250,6,FALSE)/100)))</f>
        <v/>
      </c>
      <c r="AE503" s="268" t="str">
        <f>IF($C$499=0,"",IF('Calc (ex-animal)'!$F$93=1,"",IF(D503="","",VLOOKUP($C$499,'Calc (ex-animal)'!$D$93:$Y$97,10,FALSE)/VLOOKUP($C$499,'DB animal categories'!$C$181:$AC$190,27,FALSE)*(VLOOKUP($C$499,'DB animal categories'!$C$181:$AC$190,27,FALSE)-VLOOKUP($C$499,'DB animal categories'!$C$181:$AC$190,25,FALSE)*VLOOKUP($C$499,'DB animal categories'!$C$181:$AC$190,26,FALSE)/24)*F503/100*VLOOKUP(D503,'DB technologies'!$N$238:$Y$250,7,FALSE)/100)))</f>
        <v/>
      </c>
      <c r="AI503" s="183" t="str">
        <f>IF(D503="","",VLOOKUP(D503,'DB technologies'!$N$238:$Y$250,10,FALSE))</f>
        <v/>
      </c>
      <c r="AJ503" s="451" t="e">
        <f>VLOOKUP($C$499,'DB animal categories'!$C$181:$AN$190,27,FALSE)-VLOOKUP($C$499,'DB animal categories'!$C$181:$AN$190,26,FALSE)*VLOOKUP($C$499,'DB animal categories'!$C$181:$AN$190,25,FALSE)/24</f>
        <v>#N/A</v>
      </c>
      <c r="AK503" s="452" t="str">
        <f>IF(AI503="","",AL503+AM503)</f>
        <v/>
      </c>
      <c r="AL503" s="452" t="str">
        <f>IF(D503="","",IF(AI503=2,(('Calc (ex-animal)'!$G$95*'DB additional information '!$K$20/100*(1-VLOOKUP(D503,'DB technologies'!$N$238:$Y$250,9,FALSE)/100)*'Calc (ex-housing, ex-storage)'!F503/100+'Calc (ex-animal)'!$H$95*'DB additional information '!$L$20/100*(1-VLOOKUP(D503,'DB technologies'!$N$238:$Y$250,9,FALSE)/100)*'Calc (ex-housing, ex-storage)'!F503/100))/VLOOKUP($C$499,'DB animal categories'!$C$181:$AC$190,27,FALSE)*AJ503+I503+J503+K503,IF(AI503=1,('Calc (ex-animal)'!$H$95*'DB additional information '!$L$20/100*(1-VLOOKUP(D503,'DB technologies'!$N$238:$Y$250,9,FALSE)/100)*'Calc (ex-housing, ex-storage)'!F503/100)/VLOOKUP($C$499,'DB animal categories'!$C$181:$AC$190,27,FALSE)*AJ503,IF(AI503=4,('Calc (ex-animal)'!$G$95*'DB additional information '!$K$20/100+'Calc (ex-animal)'!$H$95*'DB additional information '!$L$20/100)*(1-VLOOKUP(D503,'DB technologies'!$N$238:$Y$250,9,FALSE)/100)*'Calc (ex-housing, ex-storage)'!F503/100*VLOOKUP(D503,'DB technologies'!$N$238:$Y$250,11,FALSE)/100/VLOOKUP($C$499,'DB animal categories'!$C$181:$AC$190,27,FALSE)*AJ503,0))))</f>
        <v/>
      </c>
      <c r="AM503" s="452" t="str">
        <f>IF(D503="","",IF(AI503=2,(('Calc (ex-animal)'!$G$95*(1-'DB additional information '!$K$20/100)*(1-VLOOKUP(D503,'DB technologies'!$N$238:$Y$250,8,FALSE)/100)*'Calc (ex-housing, ex-storage)'!F503/100+'Calc (ex-animal)'!$H$95*(1-'DB additional information '!$L$20/100)*(1-VLOOKUP(D503,'DB technologies'!$N$238:$Y$250,8,FALSE)/100)*'Calc (ex-housing, ex-storage)'!F503/100))/VLOOKUP($C$499,'DB animal categories'!$C$181:$AC$190,27,FALSE)*AJ503+M503+N503+O503,IF(AI503=1,('Calc (ex-animal)'!$H$95*(1-'DB additional information '!$L$20/100)*(1-VLOOKUP(D503,'DB technologies'!$N$238:$Y$250,8,FALSE)/100)*'Calc (ex-housing, ex-storage)'!F503/100)/VLOOKUP($C$499,'DB animal categories'!$C$181:$AC$190,27,FALSE)*AJ503,IF(AI503=4,('Calc (ex-animal)'!$G$95*(1-'DB additional information '!$K$20/100)+'Calc (ex-animal)'!$H$95*(1-'DB additional information '!$L$20/100))*(1-VLOOKUP(D503,'DB technologies'!$N$238:$Y$250,8,FALSE)/100)*'Calc (ex-housing, ex-storage)'!F503/100*VLOOKUP(D503,'DB technologies'!$N$238:$Y$250,11,FALSE)/100/VLOOKUP($C$499,'DB animal categories'!$C$181:$AC$190,27,FALSE)*AJ503,0))))</f>
        <v/>
      </c>
      <c r="AN503" s="452" t="str">
        <f>IF(AI503="","",IF(AL503=0,0,AL503/AK503*100))</f>
        <v/>
      </c>
      <c r="AO503" s="184" t="str">
        <f>IF(D503="","",IF(AI503=2,(('Calc (ex-animal)'!$L$95*'Calc (ex-housing, ex-storage)'!F503/100+'Calc (ex-animal)'!$K$95*'Calc (ex-housing, ex-storage)'!F503/100))/VLOOKUP($C$499,'DB animal categories'!$C$181:$AC$190,27,FALSE)*AJ503+Q503+R503+S503-AC503,IF(AI503=1,('Calc (ex-animal)'!$L$95*'Calc (ex-housing, ex-storage)'!F503/100)/VLOOKUP($C$499,'DB animal categories'!$C$181:$AC$190,27,FALSE)*AJ503-'Calc (ex-housing, ex-storage)'!AC503,IF(AI503=4,('Calc (ex-animal)'!$L$95+'Calc (ex-animal)'!$K$95)*'Calc (ex-housing, ex-storage)'!F503/100*VLOOKUP(D503,'DB technologies'!$N$238:$Y$250,11,FALSE)/100/VLOOKUP($C$499,'DB animal categories'!$C$181:$AC$190,27,FALSE)*AJ503-AC503*VLOOKUP(D503,'DB technologies'!$N$238:$Y$250,11,FALSE)/100,0))))</f>
        <v/>
      </c>
      <c r="AP503" s="184" t="str">
        <f>IF(D503="","",IF(AO503&lt;-0.01,0,IF(AI503=2,(('Calc (ex-animal)'!$L$95*'Calc (ex-housing, ex-storage)'!F503/100+'Calc (ex-animal)'!$K$95*'Calc (ex-housing, ex-storage)'!F503/100))/VLOOKUP($C$499,'DB animal categories'!$C$181:$AC$190,27,FALSE)*AJ503+Q503+R503+S503-AC503,IF(AI503=1,('Calc (ex-animal)'!$L$95*'Calc (ex-housing, ex-storage)'!F503/100)/VLOOKUP($C$499,'DB animal categories'!$C$181:$AC$190,27,FALSE)*AJ503-'Calc (ex-housing, ex-storage)'!AC503,IF(AI503=4,('Calc (ex-animal)'!$L$95+'Calc (ex-animal)'!$K$95)*'Calc (ex-housing, ex-storage)'!F503/100*VLOOKUP(D503,'DB technologies'!$N$238:$Y$250,11,FALSE)/100/VLOOKUP($C$499,'DB animal categories'!$C$181:$AC$190,27,FALSE)*AJ503-AC503*VLOOKUP(D503,'DB technologies'!$N$238:$Y$250,11,FALSE)/100,0)))))</f>
        <v/>
      </c>
      <c r="AQ503" s="184" t="str">
        <f>IF(D503="","",IF(AI503=2,('Calc (ex-animal)'!$O$95*'Calc (ex-housing, ex-storage)'!F503/100+'Calc (ex-animal)'!$N$95*'Calc (ex-housing, ex-storage)'!F503/100)/VLOOKUP($C$499,'DB animal categories'!$C$181:$AC$190,27,FALSE)*AJ503+U503+V503+W503,IF(AI503=1,'Calc (ex-animal)'!$O$95*'Calc (ex-housing, ex-storage)'!F503/100/VLOOKUP($C$499,'DB animal categories'!$C$181:$AC$190,27,FALSE)*AJ503,IF(AI503=4,('Calc (ex-animal)'!$O$95+'Calc (ex-animal)'!$N$95)*'Calc (ex-housing, ex-storage)'!F503/100*VLOOKUP(D503,'DB technologies'!$N$238:$Y$250,11,FALSE)/100/VLOOKUP($C$499,'DB animal categories'!$C$181:$AC$190,27,FALSE)*AJ503,0))))</f>
        <v/>
      </c>
      <c r="AR503" s="184" t="str">
        <f>IF(D503="","",IF(AI503=2,('Calc (ex-animal)'!$R$95*'Calc (ex-housing, ex-storage)'!F503/100+'Calc (ex-animal)'!$Q$95*'Calc (ex-housing, ex-storage)'!F503/100)/VLOOKUP($C$499,'DB animal categories'!$C$181:$AC$190,27,FALSE)*AJ503+Y503+Z503+AA503,IF(AI503=1,'Calc (ex-animal)'!$R$95*'Calc (ex-housing, ex-storage)'!F503/100/VLOOKUP($C$499,'DB animal categories'!$C$181:$AC$190,27,FALSE)*AJ503,IF(AI503=4,('Calc (ex-animal)'!$R$95+'Calc (ex-animal)'!$Q$95)*'Calc (ex-housing, ex-storage)'!F503/100*VLOOKUP(D503,'DB technologies'!$N$238:$Y$250,11,FALSE)/100/VLOOKUP($C$499,'DB animal categories'!$C$181:$AC$190,27,FALSE)*AJ503,0))))</f>
        <v/>
      </c>
      <c r="AS503" s="183" t="str">
        <f>IF(D503="","",VLOOKUP(D503,'DB technologies'!$N$238:$Y$250,10,FALSE))</f>
        <v/>
      </c>
      <c r="AT503" s="452" t="str">
        <f>IF(AS503="","",AU503+AV503)</f>
        <v/>
      </c>
      <c r="AU503" s="452" t="str">
        <f>IF(D503="","",IF(AS503=2,0,IF(AS503=1,'Calc (ex-animal)'!$G$95*'DB additional information '!$K$20/100*(1-VLOOKUP(D503,'DB technologies'!$N$238:$Y$250,8,FALSE)/100)*'Calc (ex-housing, ex-storage)'!F503/100/VLOOKUP($C$499,'DB animal categories'!$C$181:$AC$190,27,FALSE)*AJ503+I503+J503+K503,IF(AS503=5,(('Calc (ex-animal)'!$G$95*'DB additional information '!$K$20/100+'Calc (ex-animal)'!$H$95*'DB additional information '!$L$20/100))*(1-VLOOKUP(D503,'DB technologies'!$N$238:$Y$250,9,FALSE)/100)*'Calc (ex-housing, ex-storage)'!F503/100/VLOOKUP($C$499,'DB animal categories'!$C$181:$AC$190,27,FALSE)*AJ503+I503+J503+K503,IF(AS503=3,('Calc (ex-animal)'!$G$95*'DB additional information '!$K$20/100+'Calc (ex-animal)'!$H$95*'DB additional information '!$L$20/100)*(1-VLOOKUP(D503,'DB technologies'!$N$238:$Y$250,9,FALSE)/100)*'Calc (ex-housing, ex-storage)'!F503/100/VLOOKUP($C$499,'DB animal categories'!$C$181:$AC$190,27,FALSE)*AJ503+I503+J503+K503,IF(AS503=4,('Calc (ex-animal)'!$G$95*'DB additional information '!$K$20/100+'Calc (ex-animal)'!$H$95*'DB additional information '!$L$20/100)*(1-VLOOKUP(D503,'DB technologies'!$N$238:$Y$250,9,FALSE)/100)*'Calc (ex-housing, ex-storage)'!F503/100*VLOOKUP(D503,'DB technologies'!$N$238:$Y$250,12,FALSE)/100/VLOOKUP($C$499,'DB animal categories'!$C$181:$AC$190,27,FALSE)*AJ503+I503+J503+K503,0))))))</f>
        <v/>
      </c>
      <c r="AV503" s="452" t="str">
        <f>IF(D503="","",IF(AS503=2,0,IF(AS503=1,'Calc (ex-animal)'!$G$95*(1-'DB additional information '!$K$20/100)*(1-VLOOKUP(D503,'DB technologies'!$N$238:$Y$250,8,FALSE)/100)*'Calc (ex-housing, ex-storage)'!F503/100/VLOOKUP($C$499,'DB animal categories'!$C$181:$AC$190,27,FALSE)*AJ503+M503+N503+O503,IF(AS503=5,('Calc (ex-animal)'!$G$95*(1-'DB additional information '!$K$20/100)+'Calc (ex-animal)'!$H$95*(1-'DB additional information '!$L$20/100))*(1-VLOOKUP(D503,'DB technologies'!$N$238:$Y$250,8,FALSE)/100)*'Calc (ex-housing, ex-storage)'!F503/100/VLOOKUP($C$499,'DB animal categories'!$C$181:$AC$190,27,FALSE)*AJ503+M503+N503+O503,IF(AS503=3,('Calc (ex-animal)'!$G$95*(1-'DB additional information '!$K$20/100)+'Calc (ex-animal)'!$H$95*(1-'DB additional information '!$L$20/100))*(1-VLOOKUP(D503,'DB technologies'!$N$238:$Y$250,8,FALSE)/100)*'Calc (ex-housing, ex-storage)'!F503/100/VLOOKUP($C$499,'DB animal categories'!$C$181:$AC$190,27,FALSE)*AJ503+M503+N503+O503,IF(AS503=4,('Calc (ex-animal)'!$G$95*(1-'DB additional information '!$K$20/100)+'Calc (ex-animal)'!$H$95*(1-'DB additional information '!$L$20/100))*(1-VLOOKUP(D503,'DB technologies'!$N$238:$Y$250,8,FALSE)/100)*'Calc (ex-housing, ex-storage)'!F503/100*VLOOKUP(D503,'DB technologies'!$N$238:$Y$250,12,FALSE)/100/VLOOKUP($C$499,'DB animal categories'!$C$181:$AC$190,27,FALSE)*AJ503+M503+N503+O503,0))))))</f>
        <v/>
      </c>
      <c r="AW503" s="452" t="str">
        <f>IF(AS503="","",IF(AU503=0,0,AU503/AT503*100))</f>
        <v/>
      </c>
      <c r="AX503" s="184" t="str">
        <f>IF(D503="","",IF(AS503=2,0,IF(AS503=1,'Calc (ex-animal)'!$K$95*'Calc (ex-housing, ex-storage)'!F503/100/VLOOKUP($C$499,'DB animal categories'!$C$181:$AC$190,27,FALSE)*AJ503+Q503+R503+S503,IF(AS503=5,('Calc (ex-animal)'!$K$95+'Calc (ex-animal)'!$L$95)*'Calc (ex-housing, ex-storage)'!F503/100/VLOOKUP($C$499,'DB animal categories'!$C$181:$AC$190,27,FALSE)*AJ503+Q503+R503+S503-'Calc (ex-housing, ex-storage)'!AC503,IF(AS503=3,('Calc (ex-animal)'!$K$95+'Calc (ex-animal)'!$L$95)*'Calc (ex-housing, ex-storage)'!F503/100/VLOOKUP($C$499,'DB animal categories'!$C$181:$AC$190,27,FALSE)*AJ503+Q503+R503+S503-'Calc (ex-housing, ex-storage)'!AC503-AD503-AE503,IF(AI503=4,('Calc (ex-animal)'!$K$95+'Calc (ex-animal)'!$L$95)*'Calc (ex-housing, ex-storage)'!F503/100*VLOOKUP(D503,'DB technologies'!$N$238:$Y$250,12,FALSE)/100/VLOOKUP($C$499,'DB animal categories'!$C$181:$AC$190,27,FALSE)*AJ503+Q503+R503+S503-(VLOOKUP(D503,'DB technologies'!$N$238:$Y$250,12,FALSE)/100*AC503)-AD503-AE503,0))))))</f>
        <v/>
      </c>
      <c r="AY503" s="184" t="str">
        <f>IF(D503="","",IF(AS503=2,0,IF(AS503=1,'Calc (ex-animal)'!$N$95*'Calc (ex-housing, ex-storage)'!F503/100/VLOOKUP($C$499,'DB animal categories'!$C$181:$AC$190,27,FALSE)*AJ503+U503+V503+W503,IF(AS503=5,('Calc (ex-animal)'!$N$95+'Calc (ex-animal)'!$O$95)*'Calc (ex-housing, ex-storage)'!F503/100/VLOOKUP($C$499,'DB animal categories'!$C$181:$AC$190,27,FALSE)*AJ503+U503+V503+W503,IF(AS503=3,('Calc (ex-animal)'!$N$95+'Calc (ex-animal)'!$O$95)*'Calc (ex-housing, ex-storage)'!F503/100/VLOOKUP($C$499,'DB animal categories'!$C$181:$AC$190,27,FALSE)*AJ503+U503+V503+W503,IF(AS503=4,('Calc (ex-animal)'!$N$95+'Calc (ex-animal)'!$O$95)*'Calc (ex-housing, ex-storage)'!F503/100*VLOOKUP(D503,'DB technologies'!$N$238:$Y$250,12,FALSE)/100/VLOOKUP($C$499,'DB animal categories'!$C$181:$AC$190,27,FALSE)*AJ503+U503+V503+W503,0))))))</f>
        <v/>
      </c>
      <c r="AZ503" s="184" t="str">
        <f>IF(D503="","",IF(AS503=2,0,IF(AS503=1,'Calc (ex-animal)'!$Q$95*'Calc (ex-housing, ex-storage)'!F503/100/VLOOKUP($C$499,'DB animal categories'!$C$181:$AC$190,27,FALSE)*AJ503+Y503+Z503+AA503,IF(AS503=5,('Calc (ex-animal)'!$Q$95+'Calc (ex-animal)'!$R$95)*'Calc (ex-housing, ex-storage)'!F503/100/VLOOKUP($C$499,'DB animal categories'!$C$181:$AC$190,27,FALSE)*AJ503+Y503+Z503+AA503,IF(AS503=3,('Calc (ex-animal)'!$Q$95+'Calc (ex-animal)'!$R$95)*'Calc (ex-housing, ex-storage)'!F503/100/VLOOKUP($C$499,'DB animal categories'!$C$181:$AC$190,27,FALSE)*AJ503+Y503+Z503+AA503,IF(AS503=4,('Calc (ex-animal)'!$Q$95+'Calc (ex-animal)'!$R$95)*'Calc (ex-housing, ex-storage)'!F503/100*VLOOKUP(D503,'DB technologies'!$N$238:$Y$250,12,FALSE)/100/VLOOKUP($C$499,'DB animal categories'!$C$181:$AC$190,27,FALSE)*AJ503+Y503+Z503+AA503,0))))))</f>
        <v/>
      </c>
      <c r="BA503" s="506"/>
      <c r="BB503" s="506"/>
      <c r="BC503" s="506"/>
    </row>
    <row r="504" spans="1:55" ht="12" thickBot="1" x14ac:dyDescent="0.25">
      <c r="A504" s="748"/>
      <c r="B504" s="695"/>
      <c r="C504" s="252"/>
      <c r="D504" s="269" t="s">
        <v>58</v>
      </c>
      <c r="E504" s="270">
        <f>IF(F504&lt;=100,SUM(E499:E503),"ERROR")</f>
        <v>0</v>
      </c>
      <c r="F504" s="284">
        <f>IF(SUM(F499:F503) &lt;=100,SUM(F499:F503),"ERROR, SUM&gt;100%")</f>
        <v>0</v>
      </c>
      <c r="G504" s="550">
        <f>IF('Calc (ex-animal)'!$F$93=1,"",SUM(G499:G503))</f>
        <v>0</v>
      </c>
      <c r="H504" s="418">
        <f>IF('Calc (ex-animal)'!$F$8=1,"",SUM(H499:H503))</f>
        <v>0</v>
      </c>
      <c r="I504" s="418">
        <f>IF('Calc (ex-animal)'!$F$8=1,"",SUM(I499:I503))</f>
        <v>0</v>
      </c>
      <c r="J504" s="418">
        <f>IF('Calc (ex-animal)'!$F$8=1,"",SUM(J499:J503))</f>
        <v>0</v>
      </c>
      <c r="K504" s="418">
        <f>IF('Calc (ex-animal)'!$F$8=1,"",SUM(K499:K503))</f>
        <v>0</v>
      </c>
      <c r="L504" s="418">
        <f>IF('Calc (ex-animal)'!$F$8=1,"",SUM(L499:L503))</f>
        <v>0</v>
      </c>
      <c r="M504" s="551"/>
      <c r="N504" s="551"/>
      <c r="O504" s="551"/>
      <c r="P504" s="552">
        <f>IF(G504=0,0,IF('Calc (ex-animal)'!$F$93=1,"",IF(D504="","",SUM(H504:K504)/G504*100)))</f>
        <v>0</v>
      </c>
      <c r="Q504" s="271"/>
      <c r="R504" s="271"/>
      <c r="S504" s="271"/>
      <c r="T504" s="285">
        <f>IF('Calc (ex-animal)'!$F$95=1,"",SUM(T499:T503))</f>
        <v>0</v>
      </c>
      <c r="U504" s="286"/>
      <c r="V504" s="286"/>
      <c r="W504" s="286"/>
      <c r="X504" s="286">
        <f>IF('Calc (ex-animal)'!$F$95=1,"",SUM(X499:X503))</f>
        <v>0</v>
      </c>
      <c r="Y504" s="286"/>
      <c r="Z504" s="286"/>
      <c r="AA504" s="286"/>
      <c r="AB504" s="286">
        <f>IF('Calc (ex-animal)'!$F$95=1,"",SUM(AB499:AB503))</f>
        <v>0</v>
      </c>
      <c r="AC504" s="286">
        <f>IF('Calc (ex-animal)'!$F$95=1,"",SUM(AC499:AC503))</f>
        <v>0</v>
      </c>
      <c r="AD504" s="286">
        <f>IF('Calc (ex-animal)'!$F$95=1,"",SUM(AD499:AD503))</f>
        <v>0</v>
      </c>
      <c r="AE504" s="287">
        <f>IF('Calc (ex-animal)'!$F$95=1,"",SUM(AE499:AE503))</f>
        <v>0</v>
      </c>
    </row>
    <row r="505" spans="1:55" x14ac:dyDescent="0.2">
      <c r="A505" s="748"/>
      <c r="B505" s="695"/>
      <c r="C505" s="250">
        <f>'Calc (ex-animal)'!D96</f>
        <v>0</v>
      </c>
      <c r="D505" s="1355"/>
      <c r="E505" s="1356"/>
      <c r="F505" s="479" t="str">
        <f>IF('Calc (ex-animal)'!$F$93=1,"",IF($C$505=0,"",IF(D505="","",E505/'Calc (ex-animal)'!$E$96*100)))</f>
        <v/>
      </c>
      <c r="G505" s="484" t="str">
        <f>IF($C$505=0,"",IF('Calc (ex-animal)'!$F$93=1,"",IF(D505="","",SUM(H505:O505))))</f>
        <v/>
      </c>
      <c r="H505" s="471" t="str">
        <f>IF('Calc (ex-animal)'!$F$93=1,"",IF(D505="","",(((VLOOKUP($C$505,'Calc (ex-animal)'!$D$93:$Y$97,6,FALSE)-VLOOKUP($C$505,'Calc (ex-animal)'!$D$93:$Y$97,17,FALSE))*F505/100))*VLOOKUP($C$505,'Calc (ex-animal)'!$D$93:$Y$97,7,FALSE)/100*(1-VLOOKUP(D505,'DB technologies'!$N$238:$Y$250,9,FALSE)/100)))</f>
        <v/>
      </c>
      <c r="I505" s="471" t="str">
        <f>IF(D505="","",((VLOOKUP(D505,'DB technologies'!$N$238:$Y$250,2,FALSE)*VLOOKUP($C$505,'DB animal categories'!$C$181:$AC$190,27,FALSE)*E505/1000)/VLOOKUP($C$505,'DB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'!$S$6/100*(1-VLOOKUP(D505,'DB technologies'!$N$238:$Y$250,9,FALSE)/100)))</f>
        <v/>
      </c>
      <c r="J505" s="472" t="str">
        <f>IF(D505="","",((VLOOKUP(D505,'DB technologies'!$N$238:$Y$250,3,FALSE)*VLOOKUP($C$505,'DB animal categories'!$C$181:$AC$190,27,FALSE)*E505/1000)/VLOOKUP($C$505,'DB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'!$S$7/100*(1-VLOOKUP(D505,'DB technologies'!$N$238:$Y$250,9,FALSE)/100)))</f>
        <v/>
      </c>
      <c r="K505" s="472" t="str">
        <f>IF(D505="","",((VLOOKUP(D505,'DB technologies'!$N$238:$Y$250,4,FALSE)*E505*'DB additional information '!$S$8/100*(1-VLOOKUP(D505,'DB technologies'!$N$238:$Y$250,9,FALSE)/100))/VLOOKUP($C$505,'DB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L505" s="471" t="str">
        <f>IF('Calc (ex-animal)'!$F$93=1,"",IF(D505="","",(((VLOOKUP($C$505,'Calc (ex-animal)'!$D$93:$Y$97,6,FALSE)-VLOOKUP($C$505,'Calc (ex-animal)'!$D$93:$Y$97,17,FALSE))*F505/100))*(1-VLOOKUP($C$505,'Calc (ex-animal)'!$D$93:$Y$97,7,FALSE)/100)*(1-VLOOKUP(D505,'DB technologies'!$N$238:$V$250,8,FALSE)/100)))</f>
        <v/>
      </c>
      <c r="M505" s="472" t="str">
        <f>IF(D505="","",((VLOOKUP(D505,'DB technologies'!$N$238:$Y$250,2,FALSE)*VLOOKUP($C$505,'DB animal categories'!$C$181:$AC$190,27,FALSE)*E505/1000)/VLOOKUP($C$505,'DB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'!$S$6/100)*(1-VLOOKUP(D505,'DB technologies'!$N$238:$Y$250,9,FALSE)/100))</f>
        <v/>
      </c>
      <c r="N505" s="472" t="str">
        <f>IF(D505="","",((VLOOKUP(D505,'DB technologies'!$N$238:$Y$250,3,FALSE)*VLOOKUP($C$505,'DB animal categories'!$C$181:$AC$190,27,FALSE)*E505/1000)/VLOOKUP($C$505,'DB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'!$S$7/100)*(1-VLOOKUP(D505,'DB technologies'!$N$238:$Y$250,9,FALSE)/100))</f>
        <v/>
      </c>
      <c r="O505" s="471" t="str">
        <f>IF(D505="","",((VLOOKUP(D505,'DB technologies'!$N$238:$Y$250,4,FALSE)*E505*(1-'DB additional information '!$S$8/100)*(1-VLOOKUP(D505,'DB technologies'!$N$238:$Y$250,8,FALSE)/100))/VLOOKUP($C$505,'DB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P505" s="443" t="str">
        <f>IF(G505=0,0,IF(E505="","",IF(F505="","",IF($C$505=0,"",IF(D505="","",SUM(H505:K505)/G505*100)))))</f>
        <v/>
      </c>
      <c r="Q505" s="473" t="str">
        <f>IF(D505="","",(VLOOKUP(D505,'DB technologies'!$N$238:$Y$250,2,FALSE)*'DB additional information '!$S$6/100*'DB additional information '!$T$6*VLOOKUP($C$505,'DB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R505" s="473" t="str">
        <f>IF(D505="","",(VLOOKUP(D505,'DB technologies'!$N$238:$Y$250,3,FALSE)*'DB additional information '!$S$7/100*'DB additional information '!$T$7*VLOOKUP($C$505,'DB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S505" s="490" t="str">
        <f>IF(D505="","",(VLOOKUP(D505,'DB technologies'!$N$238:$Y$250,4,FALSE)*('DB additional information '!$S$8/100*'DB additional information '!$T$8*E505/1000/1000)))</f>
        <v/>
      </c>
      <c r="T505" s="263" t="str">
        <f>IF($C$505=0,"",IF('Calc (ex-animal)'!$F$93=1,"",IF(D505="","",((VLOOKUP($C$505,'Calc (ex-animal)'!$D$93:$Y$97,10,FALSE)-VLOOKUP($C$505,'Calc (ex-animal)'!$D$93:$Y$97,18,FALSE))*F505/100+Q505+R505+S505)-AC505-AD505-AE505)))</f>
        <v/>
      </c>
      <c r="U505" s="474" t="str">
        <f>IF(D505="","",(VLOOKUP(D505,'DB technologies'!$N$238:$Y$250,2,FALSE)*'DB additional information '!$S$6/100*'DB additional information '!$U$6*VLOOKUP($C$505,'DB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V505" s="420" t="str">
        <f>IF(D505="","",(VLOOKUP(D505,'DB technologies'!$N$238:$Y$250,3,FALSE)*'DB additional information '!$S$7/100*'DB additional information '!$U$7*VLOOKUP($C$505,'DB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W505" s="415" t="str">
        <f>IF(D505="","",(VLOOKUP(D505,'DB technologies'!$N$238:$Y$250,4,FALSE)*('DB additional information '!$S$8/100*'DB additional information '!$U$8*E505/1000/1000)))</f>
        <v/>
      </c>
      <c r="X505" s="259" t="str">
        <f>IF($C$505=0,"",IF('Calc (ex-animal)'!$F$93=1,"",IF(D505="","",((VLOOKUP($C$505,'Calc (ex-animal)'!$D$93:$Y$97,13,FALSE)-VLOOKUP($C$505,'Calc (ex-animal)'!$D$93:$Y$97,19,FALSE))*F505/100+U505+V505+W505))))</f>
        <v/>
      </c>
      <c r="Y505" s="420" t="str">
        <f>IF(D505="","",(VLOOKUP(D505,'DB technologies'!$N$238:$Y$250,2,FALSE)*'DB additional information '!$S$6/100*'DB additional information '!$V$6*VLOOKUP($C$505,'DB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Z505" s="420" t="str">
        <f>IF(D505="","",(VLOOKUP(D505,'DB technologies'!$N$238:$Y$250,3,FALSE)*'DB additional information '!$S$7/100*'DB additional information '!$V$7*VLOOKUP($C$505,'DB animal categories'!$C$181:$AC$190,27,FALSE)*E505/1000/1000)/VLOOKUP($C$505,'DB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AA505" s="420" t="str">
        <f>IF(D505="","",(VLOOKUP(D505,'DB technologies'!$N$238:$Y$250,4,FALSE)*('DB additional information '!$S$8/100*'DB additional information '!$V$8*E505/1000/1000)))</f>
        <v/>
      </c>
      <c r="AB505" s="259" t="str">
        <f>IF($C$505=0,"",IF('Calc (ex-animal)'!$F$93=1,"",IF(D505="","",((VLOOKUP($C$505,'Calc (ex-animal)'!$D$93:$Y$97,16,FALSE)-VLOOKUP($C$505,'Calc (ex-animal)'!$D$93:$Y$97,20,FALSE))*F505/100+Y505+Z505+AA505))))</f>
        <v/>
      </c>
      <c r="AC505" s="259" t="str">
        <f>IF($C$505=0,"",IF('Calc (ex-animal)'!$F$93=1,"",IF(D505="","",VLOOKUP($C$505,'Calc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categories'!$C$181:$AC$190,26,FALSE)/24)*F505/100*VLOOKUP(D505,'DB technologies'!$N$238:$R$250,5,FALSE)/100)))</f>
        <v/>
      </c>
      <c r="AD505" s="259" t="str">
        <f>IF($C$505=0,"",IF('Calc (ex-animal)'!$F$93=1,"",IF(D505="","",VLOOKUP($C$505,'Calc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categories'!$C$181:$AC$190,26,FALSE)/24)*F505/100*VLOOKUP(D505,'DB technologies'!$N$238:$Y$250,6,FALSE)/100)))</f>
        <v/>
      </c>
      <c r="AE505" s="260" t="str">
        <f>IF($C$505=0,"",IF('Calc (ex-animal)'!$F$93=1,"",IF(D505="","",VLOOKUP($C$505,'Calc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categories'!$C$181:$AC$190,26,FALSE)/24)*F505/100*VLOOKUP(D505,'DB technologies'!$N$238:$Y$250,7,FALSE)/100)))</f>
        <v/>
      </c>
      <c r="AI505" s="179" t="str">
        <f>IF(D505="","",VLOOKUP(D505,'DB technologies'!$N$238:$Y$250,10,FALSE))</f>
        <v/>
      </c>
      <c r="AJ505" s="482" t="e">
        <f>VLOOKUP($C$505,'DB animal categories'!$C$181:$AN$190,27,FALSE)-VLOOKUP($C$505,'DB animal categories'!$C$181:$AN$190,26,FALSE)*VLOOKUP($C$505,'DB animal categories'!$C$181:$AN$190,25,FALSE)/24</f>
        <v>#N/A</v>
      </c>
      <c r="AK505" s="453" t="str">
        <f>IF(AI505="","",AL505+AM505)</f>
        <v/>
      </c>
      <c r="AL505" s="453" t="str">
        <f>IF(D505="","",IF(AI505=2,(('Calc (ex-animal)'!$G$96*'DB additional information '!$K$20/100*(1-VLOOKUP(D505,'DB technologies'!$N$238:$Y$250,9,FALSE)/100)*'Calc (ex-housing, ex-storage)'!F505/100+'Calc (ex-animal)'!$H$96*'DB additional information '!$L$20/100*(1-VLOOKUP(D505,'DB technologies'!$N$238:$Y$250,9,FALSE)/100)*'Calc (ex-housing, ex-storage)'!F505/100))/VLOOKUP($C$505,'DB animal categories'!$C$181:$AC$190,27,FALSE)*AJ505+I505+J505+K505,IF(AI505=1,('Calc (ex-animal)'!$H$96*'DB additional information '!$L$20/100*(1-VLOOKUP(D505,'DB technologies'!$N$238:$Y$250,9,FALSE)/100)*'Calc (ex-housing, ex-storage)'!F505/100)/VLOOKUP($C$505,'DB animal categories'!$C$181:$AC$190,27,FALSE)*AJ505,IF(AI505=4,('Calc (ex-animal)'!$G$96*'DB additional information '!$K$20/100+'Calc (ex-animal)'!$H$96*'DB additional information '!$L$20/100)*(1-VLOOKUP(D505,'DB technologies'!$N$238:$Y$250,9,FALSE)/100)*'Calc (ex-housing, ex-storage)'!F505/100*VLOOKUP(D505,'DB technologies'!$N$238:$Y$250,11,FALSE)/100/VLOOKUP($C$505,'DB animal categories'!$C$181:$AC$190,27,FALSE)*AJ505,0))))</f>
        <v/>
      </c>
      <c r="AM505" s="453" t="str">
        <f>IF(D505="","",IF(AI505=2,(('Calc (ex-animal)'!$G$96*(1-'DB additional information '!$K$20/100)*(1-VLOOKUP(D505,'DB technologies'!$N$238:$Y$250,8,FALSE)/100)*'Calc (ex-housing, ex-storage)'!F505/100+'Calc (ex-animal)'!$H$96*(1-'DB additional information '!$L$20/100)*(1-VLOOKUP(D505,'DB technologies'!$N$238:$Y$250,8,FALSE)/100)*'Calc (ex-housing, ex-storage)'!F505/100))/VLOOKUP($C$505,'DB animal categories'!$C$181:$AC$190,27,FALSE)*AJ505+M505+N505+O505,IF(AI505=1,('Calc (ex-animal)'!$H$96*(1-'DB additional information '!$L$20/100)*(1-VLOOKUP(D505,'DB technologies'!$N$238:$Y$250,8,FALSE)/100)*'Calc (ex-housing, ex-storage)'!F505/100)/VLOOKUP($C$505,'DB animal categories'!$C$181:$AC$190,27,FALSE)*AJ505,IF(AI505=4,('Calc (ex-animal)'!$G$96*(1-'DB additional information '!$K$20/100)+'Calc (ex-animal)'!$H$96*(1-'DB additional information '!$L$20/100))*(1-VLOOKUP(D505,'DB technologies'!$N$238:$Y$250,8,FALSE)/100)*'Calc (ex-housing, ex-storage)'!F505/100*VLOOKUP(D505,'DB technologies'!$N$238:$Y$250,11,FALSE)/100/VLOOKUP($C$505,'DB animal categories'!$C$181:$AC$190,27,FALSE)*AJ505,0))))</f>
        <v/>
      </c>
      <c r="AN505" s="453" t="str">
        <f>IF(AI505="","",IF(AL505=0,0,AL505/AK505*100))</f>
        <v/>
      </c>
      <c r="AO505" s="180" t="str">
        <f>IF(D505="","",IF(AI505=2,(('Calc (ex-animal)'!$L$96*'Calc (ex-housing, ex-storage)'!F505/100+'Calc (ex-animal)'!$K$96*'Calc (ex-housing, ex-storage)'!F505/100))/VLOOKUP($C$505,'DB animal categories'!$C$181:$AC$190,27,FALSE)*AJ505+Q505+R505+S505-AC505,IF(AI505=1,('Calc (ex-animal)'!$L$96*'Calc (ex-housing, ex-storage)'!F505/100)/VLOOKUP($C$505,'DB animal categories'!$C$181:$AC$190,27,FALSE)*AJ505-'Calc (ex-housing, ex-storage)'!AC505,IF(AI505=4,('Calc (ex-animal)'!$L$96+'Calc (ex-animal)'!$K$96)*'Calc (ex-housing, ex-storage)'!F505/100*VLOOKUP(D505,'DB technologies'!$N$238:$Y$250,11,FALSE)/100/VLOOKUP($C$505,'DB animal categories'!$C$181:$AC$190,27,FALSE)*AJ505-AC505*VLOOKUP(D505,'DB technologies'!$N$238:$Y$250,11,FALSE)/100,0))))</f>
        <v/>
      </c>
      <c r="AP505" s="180" t="str">
        <f>IF(D505="","",IF(AO505&lt;-0.01,0,IF(AI505=2,(('Calc (ex-animal)'!$L$96*'Calc (ex-housing, ex-storage)'!F505/100+'Calc (ex-animal)'!$K$96*'Calc (ex-housing, ex-storage)'!F505/100))/VLOOKUP($C$505,'DB animal categories'!$C$181:$AC$190,27,FALSE)*AJ505+Q505+R505+S505-AC505,IF(AI505=1,('Calc (ex-animal)'!$L$96*'Calc (ex-housing, ex-storage)'!F505/100)/VLOOKUP($C$505,'DB animal categories'!$C$181:$AC$190,27,FALSE)*AJ505-'Calc (ex-housing, ex-storage)'!AC505,IF(AI505=4,('Calc (ex-animal)'!$L$96+'Calc (ex-animal)'!$K$96)*'Calc (ex-housing, ex-storage)'!F505/100*VLOOKUP(D505,'DB technologies'!$N$238:$Y$250,11,FALSE)/100/VLOOKUP($C$505,'DB animal categories'!$C$181:$AC$190,27,FALSE)*AJ505-AC505*VLOOKUP(D505,'DB technologies'!$N$238:$Y$250,11,FALSE)/100,0)))))</f>
        <v/>
      </c>
      <c r="AQ505" s="180" t="str">
        <f>IF(D505="","",IF(AI505=2,('Calc (ex-animal)'!$O$96*'Calc (ex-housing, ex-storage)'!F505/100+'Calc (ex-animal)'!$N$96*'Calc (ex-housing, ex-storage)'!F505/100)/VLOOKUP($C$505,'DB animal categories'!$C$181:$AC$190,27,FALSE)*AJ505+U505+V505+W505,IF(AI505=1,'Calc (ex-animal)'!$O$96*'Calc (ex-housing, ex-storage)'!F505/100/VLOOKUP($C$505,'DB animal categories'!$C$181:$AC$190,27,FALSE)*AJ505,IF(AI505=4,('Calc (ex-animal)'!$O$96+'Calc (ex-animal)'!$N$96)*'Calc (ex-housing, ex-storage)'!F505/100*VLOOKUP(D505,'DB technologies'!$N$238:$Y$250,11,FALSE)/100/VLOOKUP($C$505,'DB animal categories'!$C$181:$AC$190,27,FALSE)*AJ505,0))))</f>
        <v/>
      </c>
      <c r="AR505" s="180" t="str">
        <f>IF(D505="","",IF(AI505=2,('Calc (ex-animal)'!$R$96*'Calc (ex-housing, ex-storage)'!F505/100+'Calc (ex-animal)'!$Q$96*'Calc (ex-housing, ex-storage)'!F505/100)/VLOOKUP($C$505,'DB animal categories'!$C$181:$AC$190,27,FALSE)*AJ505+Y505+Z505+AA505,IF(AI505=1,'Calc (ex-animal)'!$R$96*'Calc (ex-housing, ex-storage)'!F505/100/VLOOKUP($C$505,'DB animal categories'!$C$181:$AC$190,27,FALSE)*AJ505,IF(AI505=4,('Calc (ex-animal)'!$R$96+'Calc (ex-animal)'!$Q$96)*'Calc (ex-housing, ex-storage)'!F505/100*VLOOKUP(D505,'DB technologies'!$N$238:$Y$250,11,FALSE)/100/VLOOKUP($C$505,'DB animal categories'!$C$181:$AC$190,27,FALSE)*AJ505,0))))</f>
        <v/>
      </c>
      <c r="AS505" s="179" t="str">
        <f>IF(D505="","",VLOOKUP(D505,'DB technologies'!$N$238:$Y$250,10,FALSE))</f>
        <v/>
      </c>
      <c r="AT505" s="453" t="str">
        <f>IF(AS505="","",AU505+AV505)</f>
        <v/>
      </c>
      <c r="AU505" s="453" t="str">
        <f>IF(D505="","",IF(AS505=2,0,IF(AS505=1,'Calc (ex-animal)'!$G$96*'DB additional information '!$K$20/100*(1-VLOOKUP(D505,'DB technologies'!$N$238:$Y$250,8,FALSE)/100)*'Calc (ex-housing, ex-storage)'!F505/100/VLOOKUP($C$505,'DB animal categories'!$C$181:$AC$190,27,FALSE)*AJ505+I505+J505+K505,IF(AS505=5,(('Calc (ex-animal)'!$G$96*'DB additional information '!$K$20/100+'Calc (ex-animal)'!$H$96*'DB additional information '!$L$20/100))*(1-VLOOKUP(D505,'DB technologies'!$N$238:$Y$250,9,FALSE)/100)*'Calc (ex-housing, ex-storage)'!F505/100/VLOOKUP($C$505,'DB animal categories'!$C$181:$AC$190,27,FALSE)*AJ505+I505+J505+K505,IF(AS505=3,('Calc (ex-animal)'!$G$96*'DB additional information '!$K$20/100+'Calc (ex-animal)'!$H$96*'DB additional information '!$L$20/100)*(1-VLOOKUP(D505,'DB technologies'!$N$238:$Y$250,9,FALSE)/100)*'Calc (ex-housing, ex-storage)'!F505/100/VLOOKUP($C$505,'DB animal categories'!$C$181:$AC$190,27,FALSE)*AJ505+I505+J505+K505,IF(AS505=4,('Calc (ex-animal)'!$G$96*'DB additional information '!$K$20/100+'Calc (ex-animal)'!$H$96*'DB additional information '!$L$20/100)*(1-VLOOKUP(D505,'DB technologies'!$N$238:$Y$250,9,FALSE)/100)*'Calc (ex-housing, ex-storage)'!F505/100*VLOOKUP(D505,'DB technologies'!$N$238:$Y$250,12,FALSE)/100/VLOOKUP($C$505,'DB animal categories'!$C$181:$AC$190,27,FALSE)*AJ505+I505+J505+K505,0))))))</f>
        <v/>
      </c>
      <c r="AV505" s="453" t="str">
        <f>IF(D505="","",IF(AS505=2,0,IF(AS505=1,'Calc (ex-animal)'!$G$96*(1-'DB additional information '!$K$20/100)*(1-VLOOKUP(D505,'DB technologies'!$N$238:$Y$250,8,FALSE)/100)*'Calc (ex-housing, ex-storage)'!F505/100/VLOOKUP($C$505,'DB animal categories'!$C$181:$AC$190,27,FALSE)*AJ505+M505+N505+O505,IF(AS505=5,('Calc (ex-animal)'!$G$96*(1-'DB additional information '!$K$20/100)+'Calc (ex-animal)'!$H$96*(1-'DB additional information '!$L$20/100))*(1-VLOOKUP(D505,'DB technologies'!$N$238:$Y$250,8,FALSE)/100)*'Calc (ex-housing, ex-storage)'!F505/100/VLOOKUP($C$505,'DB animal categories'!$C$181:$AC$190,27,FALSE)*AJ505+M505+N505+O505,IF(AS505=3,('Calc (ex-animal)'!$G$96*(1-'DB additional information '!$K$20/100)+'Calc (ex-animal)'!$H$96*(1-'DB additional information '!$L$20/100))*(1-VLOOKUP(D505,'DB technologies'!$N$238:$Y$250,8,FALSE)/100)*'Calc (ex-housing, ex-storage)'!F505/100/VLOOKUP($C$505,'DB animal categories'!$C$181:$AC$190,27,FALSE)*AJ505+M505+N505+O505,IF(AS505=4,('Calc (ex-animal)'!$G$96*(1-'DB additional information '!$K$20/100)+'Calc (ex-animal)'!$H$96*(1-'DB additional information '!$L$20/100))*(1-VLOOKUP(D505,'DB technologies'!$N$238:$Y$250,8,FALSE)/100)*'Calc (ex-housing, ex-storage)'!F505/100*VLOOKUP(D505,'DB technologies'!$N$238:$Y$250,12,FALSE)/100/VLOOKUP($C$505,'DB animal categories'!$C$181:$AC$190,27,FALSE)*AJ505+M505+N505+O505,0))))))</f>
        <v/>
      </c>
      <c r="AW505" s="453" t="str">
        <f>IF(AS505="","",IF(AU505=0,0,AU505/AT505*100))</f>
        <v/>
      </c>
      <c r="AX505" s="180" t="str">
        <f>IF(D505="","",IF(AS505=2,0,IF(AS505=1,'Calc (ex-animal)'!$K$96*'Calc (ex-housing, ex-storage)'!F505/100/VLOOKUP($C$505,'DB animal categories'!$C$181:$AC$190,27,FALSE)*AJ505+Q505+R505+S505,IF(AS505=5,('Calc (ex-animal)'!$K$96+'Calc (ex-animal)'!$L$96)*'Calc (ex-housing, ex-storage)'!F505/100/VLOOKUP($C$505,'DB animal categories'!$C$181:$AC$190,27,FALSE)*AJ505+Q505+R505+S505-'Calc (ex-housing, ex-storage)'!AC505,IF(AS505=3,('Calc (ex-animal)'!$K$96+'Calc (ex-animal)'!$L$96)*'Calc (ex-housing, ex-storage)'!F505/100/VLOOKUP($C$505,'DB animal categories'!$C$181:$AC$190,27,FALSE)*AJ505+Q505+R505+S505-'Calc (ex-housing, ex-storage)'!AC505-AD505-AE505,IF(AI505=4,('Calc (ex-animal)'!$K$96+'Calc (ex-animal)'!$L$96)*'Calc (ex-housing, ex-storage)'!F505/100*VLOOKUP(D505,'DB technologies'!$N$238:$Y$250,12,FALSE)/100/VLOOKUP($C$505,'DB animal categories'!$C$181:$AC$190,27,FALSE)*AJ505+Q505+R505+S505-(VLOOKUP(D505,'DB technologies'!$N$238:$Y$250,12,FALSE)/100*AC505)-AD505-AE505,0))))))</f>
        <v/>
      </c>
      <c r="AY505" s="180" t="str">
        <f>IF(D505="","",IF(AS505=2,0,IF(AS505=1,'Calc (ex-animal)'!$N$96*'Calc (ex-housing, ex-storage)'!F505/100/VLOOKUP($C$505,'DB animal categories'!$C$181:$AC$190,27,FALSE)*AJ505+U505+V505+W505,IF(AS505=5,('Calc (ex-animal)'!$N$96+'Calc (ex-animal)'!$O$96)*'Calc (ex-housing, ex-storage)'!F505/100/VLOOKUP($C$505,'DB animal categories'!$C$181:$AC$190,27,FALSE)*AJ505+U505+V505+W505,IF(AS505=3,('Calc (ex-animal)'!$N$96+'Calc (ex-animal)'!$O$96)*'Calc (ex-housing, ex-storage)'!F505/100/VLOOKUP($C$505,'DB animal categories'!$C$181:$AC$190,27,FALSE)*AJ505+U505+V505+W505,IF(AS505=4,('Calc (ex-animal)'!$N$96+'Calc (ex-animal)'!$O$96)*'Calc (ex-housing, ex-storage)'!F505/100*VLOOKUP(D505,'DB technologies'!$N$238:$Y$250,12,FALSE)/100/VLOOKUP($C$505,'DB animal categories'!$C$181:$AC$190,27,FALSE)*AJ505+U505+V505+W505,0))))))</f>
        <v/>
      </c>
      <c r="AZ505" s="180" t="str">
        <f>IF(D505="","",IF(AS505=2,0,IF(AS505=1,'Calc (ex-animal)'!$Q$96*'Calc (ex-housing, ex-storage)'!F505/100/VLOOKUP($C$505,'DB animal categories'!$C$181:$AC$190,27,FALSE)*AJ505+Y505+Z505+AA505,IF(AS505=5,('Calc (ex-animal)'!$Q$96+'Calc (ex-animal)'!$R$96)*'Calc (ex-housing, ex-storage)'!F505/100/VLOOKUP($C$505,'DB animal categories'!$C$181:$AC$190,27,FALSE)*AJ505+Y505+Z505+AA505,IF(AS505=3,('Calc (ex-animal)'!$Q$96+'Calc (ex-animal)'!$R$96)*'Calc (ex-housing, ex-storage)'!F505/100/VLOOKUP($C$505,'DB animal categories'!$C$181:$AC$190,27,FALSE)*AJ505+Y505+Z505+AA505,IF(AS505=4,('Calc (ex-animal)'!$Q$96+'Calc (ex-animal)'!$R$96)*'Calc (ex-housing, ex-storage)'!F505/100*VLOOKUP(D505,'DB technologies'!$N$238:$Y$250,12,FALSE)/100/VLOOKUP($C$505,'DB animal categories'!$C$181:$AC$190,27,FALSE)*AJ505+Y505+Z505+AA505,0))))))</f>
        <v/>
      </c>
      <c r="BA505" s="506"/>
      <c r="BB505" s="506"/>
      <c r="BC505" s="506"/>
    </row>
    <row r="506" spans="1:55" x14ac:dyDescent="0.2">
      <c r="A506" s="748"/>
      <c r="B506" s="695"/>
      <c r="C506" s="251"/>
      <c r="D506" s="1357"/>
      <c r="E506" s="1358"/>
      <c r="F506" s="480" t="str">
        <f>IF('Calc (ex-animal)'!$F$93=1,"",IF($C$505=0,"",IF(D506="","",E506/'Calc (ex-animal)'!$E$96*100)))</f>
        <v/>
      </c>
      <c r="G506" s="485" t="str">
        <f>IF($C$505=0,"",IF('Calc (ex-animal)'!$F$93=1,"",IF(D506="","",SUM(H506:O506))))</f>
        <v/>
      </c>
      <c r="H506" s="423" t="str">
        <f>IF('Calc (ex-animal)'!$F$93=1,"",IF(D506="","",(((VLOOKUP($C$505,'Calc (ex-animal)'!$D$93:$Y$97,6,FALSE)-VLOOKUP($C$505,'Calc (ex-animal)'!$D$93:$Y$97,17,FALSE))*F506/100))*VLOOKUP($C$505,'Calc (ex-animal)'!$D$93:$Y$97,7,FALSE)/100*(1-VLOOKUP(D506,'DB technologies'!$N$238:$Y$250,9,FALSE)/100)))</f>
        <v/>
      </c>
      <c r="I506" s="423" t="str">
        <f>IF(D506="","",((VLOOKUP(D506,'DB technologies'!$N$238:$Y$250,2,FALSE)*VLOOKUP($C$505,'DB animal categories'!$C$181:$AC$190,27,FALSE)*E506/1000)/VLOOKUP($C$505,'DB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'!$S$6/100*(1-VLOOKUP(D506,'DB technologies'!$N$238:$Y$250,9,FALSE)/100)))</f>
        <v/>
      </c>
      <c r="J506" s="434" t="str">
        <f>IF(D506="","",((VLOOKUP(D506,'DB technologies'!$N$238:$Y$250,3,FALSE)*VLOOKUP($C$505,'DB animal categories'!$C$181:$AC$190,27,FALSE)*E506/1000)/VLOOKUP($C$505,'DB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'!$S$7/100*(1-VLOOKUP(D506,'DB technologies'!$N$238:$Y$250,9,FALSE)/100)))</f>
        <v/>
      </c>
      <c r="K506" s="434" t="str">
        <f>IF(D506="","",((VLOOKUP(D506,'DB technologies'!$N$238:$Y$250,4,FALSE)*E506*'DB additional information '!$S$8/100*(1-VLOOKUP(D506,'DB technologies'!$N$238:$Y$250,9,FALSE)/100))/VLOOKUP($C$505,'DB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L506" s="423" t="str">
        <f>IF('Calc (ex-animal)'!$F$93=1,"",IF(D506="","",(((VLOOKUP($C$505,'Calc (ex-animal)'!$D$93:$Y$97,6,FALSE)-VLOOKUP($C$505,'Calc (ex-animal)'!$D$93:$Y$97,17,FALSE))*F506/100))*(1-VLOOKUP($C$505,'Calc (ex-animal)'!$D$93:$Y$97,7,FALSE)/100)*(1-VLOOKUP(D506,'DB technologies'!$N$238:$V$250,8,FALSE)/100)))</f>
        <v/>
      </c>
      <c r="M506" s="434" t="str">
        <f>IF(D506="","",((VLOOKUP(D506,'DB technologies'!$N$238:$Y$250,2,FALSE)*VLOOKUP($C$505,'DB animal categories'!$C$181:$AC$190,27,FALSE)*E506/1000)/VLOOKUP($C$505,'DB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'!$S$6/100)*(1-VLOOKUP(D506,'DB technologies'!$N$238:$Y$250,9,FALSE)/100))</f>
        <v/>
      </c>
      <c r="N506" s="434" t="str">
        <f>IF(D506="","",((VLOOKUP(D506,'DB technologies'!$N$238:$Y$250,3,FALSE)*VLOOKUP($C$505,'DB animal categories'!$C$181:$AC$190,27,FALSE)*E506/1000)/VLOOKUP($C$505,'DB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'!$S$7/100)*(1-VLOOKUP(D506,'DB technologies'!$N$238:$Y$250,9,FALSE)/100))</f>
        <v/>
      </c>
      <c r="O506" s="423" t="str">
        <f>IF(D506="","",((VLOOKUP(D506,'DB technologies'!$N$238:$Y$250,4,FALSE)*E506*(1-'DB additional information '!$S$8/100)*(1-VLOOKUP(D506,'DB technologies'!$N$238:$Y$250,8,FALSE)/100))/VLOOKUP($C$505,'DB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P506" s="438" t="str">
        <f>IF(G506=0,0,IF(E506="","",IF(F506="","",IF($C$505=0,"",IF(D506="","",SUM(H506:K506)/G506*100)))))</f>
        <v/>
      </c>
      <c r="Q506" s="416" t="str">
        <f>IF(D506="","",(VLOOKUP(D506,'DB technologies'!$N$238:$Y$250,2,FALSE)*'DB additional information '!$S$6/100*'DB additional information '!$T$6*VLOOKUP($C$505,'DB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R506" s="416" t="str">
        <f>IF(D506="","",(VLOOKUP(D506,'DB technologies'!$N$238:$Y$250,3,FALSE)*'DB additional information '!$S$7/100*'DB additional information '!$T$7*VLOOKUP($C$505,'DB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S506" s="491" t="str">
        <f>IF(D506="","",(VLOOKUP(D506,'DB technologies'!$N$238:$Y$250,4,FALSE)*('DB additional information '!$S$8/100*'DB additional information '!$T$8*E506/1000/1000)))</f>
        <v/>
      </c>
      <c r="T506" s="264" t="str">
        <f>IF($C$505=0,"",IF('Calc (ex-animal)'!$F$93=1,"",IF(D506="","",((VLOOKUP($C$505,'Calc (ex-animal)'!$D$93:$Y$97,10,FALSE)-VLOOKUP($C$505,'Calc (ex-animal)'!$D$93:$Y$97,18,FALSE))*F506/100+Q506+R506+S506)-AC506-AD506-AE506)))</f>
        <v/>
      </c>
      <c r="U506" s="422" t="str">
        <f>IF(D506="","",(VLOOKUP(D506,'DB technologies'!$N$238:$Y$250,2,FALSE)*'DB additional information '!$S$6/100*'DB additional information '!$U$6*VLOOKUP($C$505,'DB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V506" s="418" t="str">
        <f>IF(D506="","",(VLOOKUP(D506,'DB technologies'!$N$238:$Y$250,3,FALSE)*'DB additional information '!$S$7/100*'DB additional information '!$U$7*VLOOKUP($C$505,'DB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W506" s="417" t="str">
        <f>IF(D506="","",(VLOOKUP(D506,'DB technologies'!$N$238:$Y$250,4,FALSE)*('DB additional information '!$S$8/100*'DB additional information '!$U$8*E506/1000/1000)))</f>
        <v/>
      </c>
      <c r="X506" s="261" t="str">
        <f>IF($C$505=0,"",IF('Calc (ex-animal)'!$F$93=1,"",IF(D506="","",((VLOOKUP($C$505,'Calc (ex-animal)'!$D$93:$Y$97,13,FALSE)-VLOOKUP($C$505,'Calc (ex-animal)'!$D$93:$Y$97,19,FALSE))*F506/100+U506+V506+W506))))</f>
        <v/>
      </c>
      <c r="Y506" s="418" t="str">
        <f>IF(D506="","",(VLOOKUP(D506,'DB technologies'!$N$238:$Y$250,2,FALSE)*'DB additional information '!$S$6/100*'DB additional information '!$V$6*VLOOKUP($C$505,'DB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Z506" s="418" t="str">
        <f>IF(D506="","",(VLOOKUP(D506,'DB technologies'!$N$238:$Y$250,3,FALSE)*'DB additional information '!$S$7/100*'DB additional information '!$V$7*VLOOKUP($C$505,'DB animal categories'!$C$181:$AC$190,27,FALSE)*E506/1000/1000)/VLOOKUP($C$505,'DB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AA506" s="418" t="str">
        <f>IF(D506="","",(VLOOKUP(D506,'DB technologies'!$N$238:$Y$250,4,FALSE)*('DB additional information '!$S$8/100*'DB additional information '!$V$8*E506/1000/1000)))</f>
        <v/>
      </c>
      <c r="AB506" s="261" t="str">
        <f>IF($C$505=0,"",IF('Calc (ex-animal)'!$F$93=1,"",IF(D506="","",((VLOOKUP($C$505,'Calc (ex-animal)'!$D$93:$Y$97,16,FALSE)-VLOOKUP($C$505,'Calc (ex-animal)'!$D$93:$Y$97,20,FALSE))*F506/100+Y506+Z506+AA506))))</f>
        <v/>
      </c>
      <c r="AC506" s="261" t="str">
        <f>IF($C$505=0,"",IF('Calc (ex-animal)'!$F$93=1,"",IF(D506="","",VLOOKUP($C$505,'Calc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categories'!$C$181:$AC$190,26,FALSE)/24)*F506/100*VLOOKUP(D506,'DB technologies'!$N$238:$R$250,5,FALSE)/100)))</f>
        <v/>
      </c>
      <c r="AD506" s="261" t="str">
        <f>IF($C$505=0,"",IF('Calc (ex-animal)'!$F$93=1,"",IF(D506="","",VLOOKUP($C$505,'Calc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categories'!$C$181:$AC$190,26,FALSE)/24)*F506/100*VLOOKUP(D506,'DB technologies'!$N$238:$Y$250,6,FALSE)/100)))</f>
        <v/>
      </c>
      <c r="AE506" s="262" t="str">
        <f>IF($C$505=0,"",IF('Calc (ex-animal)'!$F$93=1,"",IF(D506="","",VLOOKUP($C$505,'Calc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categories'!$C$181:$AC$190,26,FALSE)/24)*F506/100*VLOOKUP(D506,'DB technologies'!$N$238:$Y$250,7,FALSE)/100)))</f>
        <v/>
      </c>
      <c r="AI506" s="181" t="str">
        <f>IF(D506="","",VLOOKUP(D506,'DB technologies'!$N$238:$Y$250,10,FALSE))</f>
        <v/>
      </c>
      <c r="AJ506" s="449" t="e">
        <f>VLOOKUP($C$505,'DB animal categories'!$C$181:$AN$190,27,FALSE)-VLOOKUP($C$505,'DB animal categories'!$C$181:$AN$190,26,FALSE)*VLOOKUP($C$505,'DB animal categories'!$C$181:$AN$190,25,FALSE)/24</f>
        <v>#N/A</v>
      </c>
      <c r="AK506" s="442" t="str">
        <f>IF(AI506="","",AL506+AM506)</f>
        <v/>
      </c>
      <c r="AL506" s="442" t="str">
        <f>IF(D506="","",IF(AI506=2,(('Calc (ex-animal)'!$G$96*'DB additional information '!$K$20/100*(1-VLOOKUP(D506,'DB technologies'!$N$238:$Y$250,9,FALSE)/100)*'Calc (ex-housing, ex-storage)'!F506/100+'Calc (ex-animal)'!$H$96*'DB additional information '!$L$20/100*(1-VLOOKUP(D506,'DB technologies'!$N$238:$Y$250,9,FALSE)/100)*'Calc (ex-housing, ex-storage)'!F506/100))/VLOOKUP($C$505,'DB animal categories'!$C$181:$AC$190,27,FALSE)*AJ506+I506+J506+K506,IF(AI506=1,('Calc (ex-animal)'!$H$96*'DB additional information '!$L$20/100*(1-VLOOKUP(D506,'DB technologies'!$N$238:$Y$250,9,FALSE)/100)*'Calc (ex-housing, ex-storage)'!F506/100)/VLOOKUP($C$505,'DB animal categories'!$C$181:$AC$190,27,FALSE)*AJ506,IF(AI506=4,('Calc (ex-animal)'!$G$96*'DB additional information '!$K$20/100+'Calc (ex-animal)'!$H$96*'DB additional information '!$L$20/100)*(1-VLOOKUP(D506,'DB technologies'!$N$238:$Y$250,9,FALSE)/100)*'Calc (ex-housing, ex-storage)'!F506/100*VLOOKUP(D506,'DB technologies'!$N$238:$Y$250,11,FALSE)/100/VLOOKUP($C$505,'DB animal categories'!$C$181:$AC$190,27,FALSE)*AJ506,0))))</f>
        <v/>
      </c>
      <c r="AM506" s="442" t="str">
        <f>IF(D506="","",IF(AI506=2,(('Calc (ex-animal)'!$G$96*(1-'DB additional information '!$K$20/100)*(1-VLOOKUP(D506,'DB technologies'!$N$238:$Y$250,8,FALSE)/100)*'Calc (ex-housing, ex-storage)'!F506/100+'Calc (ex-animal)'!$H$96*(1-'DB additional information '!$L$20/100)*(1-VLOOKUP(D506,'DB technologies'!$N$238:$Y$250,8,FALSE)/100)*'Calc (ex-housing, ex-storage)'!F506/100))/VLOOKUP($C$505,'DB animal categories'!$C$181:$AC$190,27,FALSE)*AJ506+M506+N506+O506,IF(AI506=1,('Calc (ex-animal)'!$H$96*(1-'DB additional information '!$L$20/100)*(1-VLOOKUP(D506,'DB technologies'!$N$238:$Y$250,8,FALSE)/100)*'Calc (ex-housing, ex-storage)'!F506/100)/VLOOKUP($C$505,'DB animal categories'!$C$181:$AC$190,27,FALSE)*AJ506,IF(AI506=4,('Calc (ex-animal)'!$G$96*(1-'DB additional information '!$K$20/100)+'Calc (ex-animal)'!$H$96*(1-'DB additional information '!$L$20/100))*(1-VLOOKUP(D506,'DB technologies'!$N$238:$Y$250,8,FALSE)/100)*'Calc (ex-housing, ex-storage)'!F506/100*VLOOKUP(D506,'DB technologies'!$N$238:$Y$250,11,FALSE)/100/VLOOKUP($C$505,'DB animal categories'!$C$181:$AC$190,27,FALSE)*AJ506,0))))</f>
        <v/>
      </c>
      <c r="AN506" s="442" t="str">
        <f>IF(AI506="","",IF(AL506=0,0,AL506/AK506*100))</f>
        <v/>
      </c>
      <c r="AO506" s="182" t="str">
        <f>IF(D506="","",IF(AI506=2,(('Calc (ex-animal)'!$L$96*'Calc (ex-housing, ex-storage)'!F506/100+'Calc (ex-animal)'!$K$96*'Calc (ex-housing, ex-storage)'!F506/100))/VLOOKUP($C$505,'DB animal categories'!$C$181:$AC$190,27,FALSE)*AJ506+Q506+R506+S506-AC506,IF(AI506=1,('Calc (ex-animal)'!$L$96*'Calc (ex-housing, ex-storage)'!F506/100)/VLOOKUP($C$505,'DB animal categories'!$C$181:$AC$190,27,FALSE)*AJ506-'Calc (ex-housing, ex-storage)'!AC506,IF(AI506=4,('Calc (ex-animal)'!$L$96+'Calc (ex-animal)'!$K$96)*'Calc (ex-housing, ex-storage)'!F506/100*VLOOKUP(D506,'DB technologies'!$N$238:$Y$250,11,FALSE)/100/VLOOKUP($C$505,'DB animal categories'!$C$181:$AC$190,27,FALSE)*AJ506-AC506*VLOOKUP(D506,'DB technologies'!$N$238:$Y$250,11,FALSE)/100,0))))</f>
        <v/>
      </c>
      <c r="AP506" s="182" t="str">
        <f>IF(D506="","",IF(AO506&lt;-0.01,0,IF(AI506=2,(('Calc (ex-animal)'!$L$96*'Calc (ex-housing, ex-storage)'!F506/100+'Calc (ex-animal)'!$K$96*'Calc (ex-housing, ex-storage)'!F506/100))/VLOOKUP($C$505,'DB animal categories'!$C$181:$AC$190,27,FALSE)*AJ506+Q506+R506+S506-AC506,IF(AI506=1,('Calc (ex-animal)'!$L$96*'Calc (ex-housing, ex-storage)'!F506/100)/VLOOKUP($C$505,'DB animal categories'!$C$181:$AC$190,27,FALSE)*AJ506-'Calc (ex-housing, ex-storage)'!AC506,IF(AI506=4,('Calc (ex-animal)'!$L$96+'Calc (ex-animal)'!$K$96)*'Calc (ex-housing, ex-storage)'!F506/100*VLOOKUP(D506,'DB technologies'!$N$238:$Y$250,11,FALSE)/100/VLOOKUP($C$505,'DB animal categories'!$C$181:$AC$190,27,FALSE)*AJ506-AC506*VLOOKUP(D506,'DB technologies'!$N$238:$Y$250,11,FALSE)/100,0)))))</f>
        <v/>
      </c>
      <c r="AQ506" s="182" t="str">
        <f>IF(D506="","",IF(AI506=2,('Calc (ex-animal)'!$O$96*'Calc (ex-housing, ex-storage)'!F506/100+'Calc (ex-animal)'!$N$96*'Calc (ex-housing, ex-storage)'!F506/100)/VLOOKUP($C$505,'DB animal categories'!$C$181:$AC$190,27,FALSE)*AJ506+U506+V506+W506,IF(AI506=1,'Calc (ex-animal)'!$O$96*'Calc (ex-housing, ex-storage)'!F506/100/VLOOKUP($C$505,'DB animal categories'!$C$181:$AC$190,27,FALSE)*AJ506,IF(AI506=4,('Calc (ex-animal)'!$O$96+'Calc (ex-animal)'!$N$96)*'Calc (ex-housing, ex-storage)'!F506/100*VLOOKUP(D506,'DB technologies'!$N$238:$Y$250,11,FALSE)/100/VLOOKUP($C$505,'DB animal categories'!$C$181:$AC$190,27,FALSE)*AJ506,0))))</f>
        <v/>
      </c>
      <c r="AR506" s="182" t="str">
        <f>IF(D506="","",IF(AI506=2,('Calc (ex-animal)'!$R$96*'Calc (ex-housing, ex-storage)'!F506/100+'Calc (ex-animal)'!$Q$96*'Calc (ex-housing, ex-storage)'!F506/100)/VLOOKUP($C$505,'DB animal categories'!$C$181:$AC$190,27,FALSE)*AJ506+Y506+Z506+AA506,IF(AI506=1,'Calc (ex-animal)'!$R$96*'Calc (ex-housing, ex-storage)'!F506/100/VLOOKUP($C$505,'DB animal categories'!$C$181:$AC$190,27,FALSE)*AJ506,IF(AI506=4,('Calc (ex-animal)'!$R$96+'Calc (ex-animal)'!$Q$96)*'Calc (ex-housing, ex-storage)'!F506/100*VLOOKUP(D506,'DB technologies'!$N$238:$Y$250,11,FALSE)/100/VLOOKUP($C$505,'DB animal categories'!$C$181:$AC$190,27,FALSE)*AJ506,0))))</f>
        <v/>
      </c>
      <c r="AS506" s="181" t="str">
        <f>IF(D506="","",VLOOKUP(D506,'DB technologies'!$N$238:$Y$250,10,FALSE))</f>
        <v/>
      </c>
      <c r="AT506" s="442" t="str">
        <f>IF(AS506="","",AU506+AV506)</f>
        <v/>
      </c>
      <c r="AU506" s="442" t="str">
        <f>IF(D506="","",IF(AS506=2,0,IF(AS506=1,'Calc (ex-animal)'!$G$96*'DB additional information '!$K$20/100*(1-VLOOKUP(D506,'DB technologies'!$N$238:$Y$250,8,FALSE)/100)*'Calc (ex-housing, ex-storage)'!F506/100/VLOOKUP($C$505,'DB animal categories'!$C$181:$AC$190,27,FALSE)*AJ506+I506+J506+K506,IF(AS506=5,(('Calc (ex-animal)'!$G$96*'DB additional information '!$K$20/100+'Calc (ex-animal)'!$H$96*'DB additional information '!$L$20/100))*(1-VLOOKUP(D506,'DB technologies'!$N$238:$Y$250,9,FALSE)/100)*'Calc (ex-housing, ex-storage)'!F506/100/VLOOKUP($C$505,'DB animal categories'!$C$181:$AC$190,27,FALSE)*AJ506+I506+J506+K506,IF(AS506=3,('Calc (ex-animal)'!$G$96*'DB additional information '!$K$20/100+'Calc (ex-animal)'!$H$96*'DB additional information '!$L$20/100)*(1-VLOOKUP(D506,'DB technologies'!$N$238:$Y$250,9,FALSE)/100)*'Calc (ex-housing, ex-storage)'!F506/100/VLOOKUP($C$505,'DB animal categories'!$C$181:$AC$190,27,FALSE)*AJ506+I506+J506+K506,IF(AS506=4,('Calc (ex-animal)'!$G$96*'DB additional information '!$K$20/100+'Calc (ex-animal)'!$H$96*'DB additional information '!$L$20/100)*(1-VLOOKUP(D506,'DB technologies'!$N$238:$Y$250,9,FALSE)/100)*'Calc (ex-housing, ex-storage)'!F506/100*VLOOKUP(D506,'DB technologies'!$N$238:$Y$250,12,FALSE)/100/VLOOKUP($C$505,'DB animal categories'!$C$181:$AC$190,27,FALSE)*AJ506+I506+J506+K506,0))))))</f>
        <v/>
      </c>
      <c r="AV506" s="442" t="str">
        <f>IF(D506="","",IF(AS506=2,0,IF(AS506=1,'Calc (ex-animal)'!$G$96*(1-'DB additional information '!$K$20/100)*(1-VLOOKUP(D506,'DB technologies'!$N$238:$Y$250,8,FALSE)/100)*'Calc (ex-housing, ex-storage)'!F506/100/VLOOKUP($C$505,'DB animal categories'!$C$181:$AC$190,27,FALSE)*AJ506+M506+N506+O506,IF(AS506=5,('Calc (ex-animal)'!$G$96*(1-'DB additional information '!$K$20/100)+'Calc (ex-animal)'!$H$96*(1-'DB additional information '!$L$20/100))*(1-VLOOKUP(D506,'DB technologies'!$N$238:$Y$250,8,FALSE)/100)*'Calc (ex-housing, ex-storage)'!F506/100/VLOOKUP($C$505,'DB animal categories'!$C$181:$AC$190,27,FALSE)*AJ506+M506+N506+O506,IF(AS506=3,('Calc (ex-animal)'!$G$96*(1-'DB additional information '!$K$20/100)+'Calc (ex-animal)'!$H$96*(1-'DB additional information '!$L$20/100))*(1-VLOOKUP(D506,'DB technologies'!$N$238:$Y$250,8,FALSE)/100)*'Calc (ex-housing, ex-storage)'!F506/100/VLOOKUP($C$505,'DB animal categories'!$C$181:$AC$190,27,FALSE)*AJ506+M506+N506+O506,IF(AS506=4,('Calc (ex-animal)'!$G$96*(1-'DB additional information '!$K$20/100)+'Calc (ex-animal)'!$H$96*(1-'DB additional information '!$L$20/100))*(1-VLOOKUP(D506,'DB technologies'!$N$238:$Y$250,8,FALSE)/100)*'Calc (ex-housing, ex-storage)'!F506/100*VLOOKUP(D506,'DB technologies'!$N$238:$Y$250,12,FALSE)/100/VLOOKUP($C$505,'DB animal categories'!$C$181:$AC$190,27,FALSE)*AJ506+M506+N506+O506,0))))))</f>
        <v/>
      </c>
      <c r="AW506" s="442" t="str">
        <f>IF(AS506="","",IF(AU506=0,0,AU506/AT506*100))</f>
        <v/>
      </c>
      <c r="AX506" s="182" t="str">
        <f>IF(D506="","",IF(AS506=2,0,IF(AS506=1,'Calc (ex-animal)'!$K$96*'Calc (ex-housing, ex-storage)'!F506/100/VLOOKUP($C$505,'DB animal categories'!$C$181:$AC$190,27,FALSE)*AJ506+Q506+R506+S506,IF(AS506=5,('Calc (ex-animal)'!$K$96+'Calc (ex-animal)'!$L$96)*'Calc (ex-housing, ex-storage)'!F506/100/VLOOKUP($C$505,'DB animal categories'!$C$181:$AC$190,27,FALSE)*AJ506+Q506+R506+S506-'Calc (ex-housing, ex-storage)'!AC506,IF(AS506=3,('Calc (ex-animal)'!$K$96+'Calc (ex-animal)'!$L$96)*'Calc (ex-housing, ex-storage)'!F506/100/VLOOKUP($C$505,'DB animal categories'!$C$181:$AC$190,27,FALSE)*AJ506+Q506+R506+S506-'Calc (ex-housing, ex-storage)'!AC506-AD506-AE506,IF(AI506=4,('Calc (ex-animal)'!$K$96+'Calc (ex-animal)'!$L$96)*'Calc (ex-housing, ex-storage)'!F506/100*VLOOKUP(D506,'DB technologies'!$N$238:$Y$250,12,FALSE)/100/VLOOKUP($C$505,'DB animal categories'!$C$181:$AC$190,27,FALSE)*AJ506+Q506+R506+S506-(VLOOKUP(D506,'DB technologies'!$N$238:$Y$250,12,FALSE)/100*AC506)-AD506-AE506,0))))))</f>
        <v/>
      </c>
      <c r="AY506" s="182" t="str">
        <f>IF(D506="","",IF(AS506=2,0,IF(AS506=1,'Calc (ex-animal)'!$N$96*'Calc (ex-housing, ex-storage)'!F506/100/VLOOKUP($C$505,'DB animal categories'!$C$181:$AC$190,27,FALSE)*AJ506+U506+V506+W506,IF(AS506=5,('Calc (ex-animal)'!$N$96+'Calc (ex-animal)'!$O$96)*'Calc (ex-housing, ex-storage)'!F506/100/VLOOKUP($C$505,'DB animal categories'!$C$181:$AC$190,27,FALSE)*AJ506+U506+V506+W506,IF(AS506=3,('Calc (ex-animal)'!$N$96+'Calc (ex-animal)'!$O$96)*'Calc (ex-housing, ex-storage)'!F506/100/VLOOKUP($C$505,'DB animal categories'!$C$181:$AC$190,27,FALSE)*AJ506+U506+V506+W506,IF(AS506=4,('Calc (ex-animal)'!$N$96+'Calc (ex-animal)'!$O$96)*'Calc (ex-housing, ex-storage)'!F506/100*VLOOKUP(D506,'DB technologies'!$N$238:$Y$250,12,FALSE)/100/VLOOKUP($C$505,'DB animal categories'!$C$181:$AC$190,27,FALSE)*AJ506+U506+V506+W506,0))))))</f>
        <v/>
      </c>
      <c r="AZ506" s="182" t="str">
        <f>IF(D506="","",IF(AS506=2,0,IF(AS506=1,'Calc (ex-animal)'!$Q$96*'Calc (ex-housing, ex-storage)'!F506/100/VLOOKUP($C$505,'DB animal categories'!$C$181:$AC$190,27,FALSE)*AJ506+Y506+Z506+AA506,IF(AS506=5,('Calc (ex-animal)'!$Q$96+'Calc (ex-animal)'!$R$96)*'Calc (ex-housing, ex-storage)'!F506/100/VLOOKUP($C$505,'DB animal categories'!$C$181:$AC$190,27,FALSE)*AJ506+Y506+Z506+AA506,IF(AS506=3,('Calc (ex-animal)'!$Q$96+'Calc (ex-animal)'!$R$96)*'Calc (ex-housing, ex-storage)'!F506/100/VLOOKUP($C$505,'DB animal categories'!$C$181:$AC$190,27,FALSE)*AJ506+Y506+Z506+AA506,IF(AS506=4,('Calc (ex-animal)'!$Q$96+'Calc (ex-animal)'!$R$96)*'Calc (ex-housing, ex-storage)'!F506/100*VLOOKUP(D506,'DB technologies'!$N$238:$Y$250,12,FALSE)/100/VLOOKUP($C$505,'DB animal categories'!$C$181:$AC$190,27,FALSE)*AJ506+Y506+Z506+AA506,0))))))</f>
        <v/>
      </c>
      <c r="BA506" s="506"/>
      <c r="BB506" s="506"/>
      <c r="BC506" s="506"/>
    </row>
    <row r="507" spans="1:55" x14ac:dyDescent="0.2">
      <c r="A507" s="748"/>
      <c r="B507" s="695"/>
      <c r="C507" s="251"/>
      <c r="D507" s="1357"/>
      <c r="E507" s="1358"/>
      <c r="F507" s="480" t="str">
        <f>IF('Calc (ex-animal)'!$F$93=1,"",IF($C$505=0,"",IF(D507="","",E507/'Calc (ex-animal)'!$E$96*100)))</f>
        <v/>
      </c>
      <c r="G507" s="485" t="str">
        <f>IF($C$505=0,"",IF('Calc (ex-animal)'!$F$93=1,"",IF(D507="","",SUM(H507:O507))))</f>
        <v/>
      </c>
      <c r="H507" s="423" t="str">
        <f>IF('Calc (ex-animal)'!$F$93=1,"",IF(D507="","",(((VLOOKUP($C$505,'Calc (ex-animal)'!$D$93:$Y$97,6,FALSE)-VLOOKUP($C$505,'Calc (ex-animal)'!$D$93:$Y$97,17,FALSE))*F507/100))*VLOOKUP($C$505,'Calc (ex-animal)'!$D$93:$Y$97,7,FALSE)/100*(1-VLOOKUP(D507,'DB technologies'!$N$238:$Y$250,9,FALSE)/100)))</f>
        <v/>
      </c>
      <c r="I507" s="423" t="str">
        <f>IF(D507="","",((VLOOKUP(D507,'DB technologies'!$N$238:$Y$250,2,FALSE)*VLOOKUP($C$505,'DB animal categories'!$C$181:$AC$190,27,FALSE)*E507/1000)/VLOOKUP($C$505,'DB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'!$S$6/100*(1-VLOOKUP(D507,'DB technologies'!$N$238:$Y$250,9,FALSE)/100)))</f>
        <v/>
      </c>
      <c r="J507" s="434" t="str">
        <f>IF(D507="","",((VLOOKUP(D507,'DB technologies'!$N$238:$Y$250,3,FALSE)*VLOOKUP($C$505,'DB animal categories'!$C$181:$AC$190,27,FALSE)*E507/1000)/VLOOKUP($C$505,'DB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'!$S$7/100*(1-VLOOKUP(D507,'DB technologies'!$N$238:$Y$250,9,FALSE)/100)))</f>
        <v/>
      </c>
      <c r="K507" s="434" t="str">
        <f>IF(D507="","",((VLOOKUP(D507,'DB technologies'!$N$238:$Y$250,4,FALSE)*E507*'DB additional information '!$S$8/100*(1-VLOOKUP(D507,'DB technologies'!$N$238:$Y$250,9,FALSE)/100))/VLOOKUP($C$505,'DB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L507" s="423" t="str">
        <f>IF('Calc (ex-animal)'!$F$93=1,"",IF(D507="","",(((VLOOKUP($C$505,'Calc (ex-animal)'!$D$93:$Y$97,6,FALSE)-VLOOKUP($C$505,'Calc (ex-animal)'!$D$93:$Y$97,17,FALSE))*F507/100))*(1-VLOOKUP($C$505,'Calc (ex-animal)'!$D$93:$Y$97,7,FALSE)/100)*(1-VLOOKUP(D507,'DB technologies'!$N$238:$V$250,8,FALSE)/100)))</f>
        <v/>
      </c>
      <c r="M507" s="434" t="str">
        <f>IF(D507="","",((VLOOKUP(D507,'DB technologies'!$N$238:$Y$250,2,FALSE)*VLOOKUP($C$505,'DB animal categories'!$C$181:$AC$190,27,FALSE)*E507/1000)/VLOOKUP($C$505,'DB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'!$S$6/100)*(1-VLOOKUP(D507,'DB technologies'!$N$238:$Y$250,9,FALSE)/100))</f>
        <v/>
      </c>
      <c r="N507" s="434" t="str">
        <f>IF(D507="","",((VLOOKUP(D507,'DB technologies'!$N$238:$Y$250,3,FALSE)*VLOOKUP($C$505,'DB animal categories'!$C$181:$AC$190,27,FALSE)*E507/1000)/VLOOKUP($C$505,'DB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'!$S$7/100)*(1-VLOOKUP(D507,'DB technologies'!$N$238:$Y$250,9,FALSE)/100))</f>
        <v/>
      </c>
      <c r="O507" s="423" t="str">
        <f>IF(D507="","",((VLOOKUP(D507,'DB technologies'!$N$238:$Y$250,4,FALSE)*E507*(1-'DB additional information '!$S$8/100)*(1-VLOOKUP(D507,'DB technologies'!$N$238:$Y$250,8,FALSE)/100))/VLOOKUP($C$505,'DB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P507" s="438" t="str">
        <f>IF(G507=0,0,IF(E507="","",IF(F507="","",IF($C$505=0,"",IF(D507="","",SUM(H507:K507)/G507*100)))))</f>
        <v/>
      </c>
      <c r="Q507" s="416" t="str">
        <f>IF(D507="","",(VLOOKUP(D507,'DB technologies'!$N$238:$Y$250,2,FALSE)*'DB additional information '!$S$6/100*'DB additional information '!$T$6*VLOOKUP($C$505,'DB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R507" s="416" t="str">
        <f>IF(D507="","",(VLOOKUP(D507,'DB technologies'!$N$238:$Y$250,3,FALSE)*'DB additional information '!$S$7/100*'DB additional information '!$T$7*VLOOKUP($C$505,'DB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S507" s="491" t="str">
        <f>IF(D507="","",(VLOOKUP(D507,'DB technologies'!$N$238:$Y$250,4,FALSE)*('DB additional information '!$S$8/100*'DB additional information '!$T$8*E507/1000/1000)))</f>
        <v/>
      </c>
      <c r="T507" s="264" t="str">
        <f>IF($C$505=0,"",IF('Calc (ex-animal)'!$F$93=1,"",IF(D507="","",((VLOOKUP($C$505,'Calc (ex-animal)'!$D$93:$Y$97,10,FALSE)-VLOOKUP($C$505,'Calc (ex-animal)'!$D$93:$Y$97,18,FALSE))*F507/100+Q507+R507+S507)-AC507-AD507-AE507)))</f>
        <v/>
      </c>
      <c r="U507" s="422" t="str">
        <f>IF(D507="","",(VLOOKUP(D507,'DB technologies'!$N$238:$Y$250,2,FALSE)*'DB additional information '!$S$6/100*'DB additional information '!$U$6*VLOOKUP($C$505,'DB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V507" s="418" t="str">
        <f>IF(D507="","",(VLOOKUP(D507,'DB technologies'!$N$238:$Y$250,3,FALSE)*'DB additional information '!$S$7/100*'DB additional information '!$U$7*VLOOKUP($C$505,'DB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W507" s="417" t="str">
        <f>IF(D507="","",(VLOOKUP(D507,'DB technologies'!$N$238:$Y$250,4,FALSE)*('DB additional information '!$S$8/100*'DB additional information '!$U$8*E507/1000/1000)))</f>
        <v/>
      </c>
      <c r="X507" s="261" t="str">
        <f>IF($C$505=0,"",IF('Calc (ex-animal)'!$F$93=1,"",IF(D507="","",((VLOOKUP($C$505,'Calc (ex-animal)'!$D$93:$Y$97,13,FALSE)-VLOOKUP($C$505,'Calc (ex-animal)'!$D$93:$Y$97,19,FALSE))*F507/100+U507+V507+W507))))</f>
        <v/>
      </c>
      <c r="Y507" s="418" t="str">
        <f>IF(D507="","",(VLOOKUP(D507,'DB technologies'!$N$238:$Y$250,2,FALSE)*'DB additional information '!$S$6/100*'DB additional information '!$V$6*VLOOKUP($C$505,'DB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Z507" s="418" t="str">
        <f>IF(D507="","",(VLOOKUP(D507,'DB technologies'!$N$238:$Y$250,3,FALSE)*'DB additional information '!$S$7/100*'DB additional information '!$V$7*VLOOKUP($C$505,'DB animal categories'!$C$181:$AC$190,27,FALSE)*E507/1000/1000)/VLOOKUP($C$505,'DB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AA507" s="418" t="str">
        <f>IF(D507="","",(VLOOKUP(D507,'DB technologies'!$N$238:$Y$250,4,FALSE)*('DB additional information '!$S$8/100*'DB additional information '!$V$8*E507/1000/1000)))</f>
        <v/>
      </c>
      <c r="AB507" s="261" t="str">
        <f>IF($C$505=0,"",IF('Calc (ex-animal)'!$F$93=1,"",IF(D507="","",((VLOOKUP($C$505,'Calc (ex-animal)'!$D$93:$Y$97,16,FALSE)-VLOOKUP($C$505,'Calc (ex-animal)'!$D$93:$Y$97,20,FALSE))*F507/100+Y507+Z507+AA507))))</f>
        <v/>
      </c>
      <c r="AC507" s="261" t="str">
        <f>IF($C$505=0,"",IF('Calc (ex-animal)'!$F$93=1,"",IF(D507="","",VLOOKUP($C$505,'Calc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categories'!$C$181:$AC$190,26,FALSE)/24)*F507/100*VLOOKUP(D507,'DB technologies'!$N$238:$R$250,5,FALSE)/100)))</f>
        <v/>
      </c>
      <c r="AD507" s="261" t="str">
        <f>IF($C$505=0,"",IF('Calc (ex-animal)'!$F$93=1,"",IF(D507="","",VLOOKUP($C$505,'Calc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categories'!$C$181:$AC$190,26,FALSE)/24)*F507/100*VLOOKUP(D507,'DB technologies'!$N$238:$Y$250,6,FALSE)/100)))</f>
        <v/>
      </c>
      <c r="AE507" s="262" t="str">
        <f>IF($C$505=0,"",IF('Calc (ex-animal)'!$F$93=1,"",IF(D507="","",VLOOKUP($C$505,'Calc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categories'!$C$181:$AC$190,26,FALSE)/24)*F507/100*VLOOKUP(D507,'DB technologies'!$N$238:$Y$250,7,FALSE)/100)))</f>
        <v/>
      </c>
      <c r="AI507" s="181" t="str">
        <f>IF(D507="","",VLOOKUP(D507,'DB technologies'!$N$238:$Y$250,10,FALSE))</f>
        <v/>
      </c>
      <c r="AJ507" s="449" t="e">
        <f>VLOOKUP($C$505,'DB animal categories'!$C$181:$AN$190,27,FALSE)-VLOOKUP($C$505,'DB animal categories'!$C$181:$AN$190,26,FALSE)*VLOOKUP($C$505,'DB animal categories'!$C$181:$AN$190,25,FALSE)/24</f>
        <v>#N/A</v>
      </c>
      <c r="AK507" s="442" t="str">
        <f>IF(AI507="","",AL507+AM507)</f>
        <v/>
      </c>
      <c r="AL507" s="442" t="str">
        <f>IF(D507="","",IF(AI507=2,(('Calc (ex-animal)'!$G$96*'DB additional information '!$K$20/100*(1-VLOOKUP(D507,'DB technologies'!$N$238:$Y$250,9,FALSE)/100)*'Calc (ex-housing, ex-storage)'!F507/100+'Calc (ex-animal)'!$H$96*'DB additional information '!$L$20/100*(1-VLOOKUP(D507,'DB technologies'!$N$238:$Y$250,9,FALSE)/100)*'Calc (ex-housing, ex-storage)'!F507/100))/VLOOKUP($C$505,'DB animal categories'!$C$181:$AC$190,27,FALSE)*AJ507+I507+J507+K507,IF(AI507=1,('Calc (ex-animal)'!$H$96*'DB additional information '!$L$20/100*(1-VLOOKUP(D507,'DB technologies'!$N$238:$Y$250,9,FALSE)/100)*'Calc (ex-housing, ex-storage)'!F507/100)/VLOOKUP($C$505,'DB animal categories'!$C$181:$AC$190,27,FALSE)*AJ507,IF(AI507=4,('Calc (ex-animal)'!$G$96*'DB additional information '!$K$20/100+'Calc (ex-animal)'!$H$96*'DB additional information '!$L$20/100)*(1-VLOOKUP(D507,'DB technologies'!$N$238:$Y$250,9,FALSE)/100)*'Calc (ex-housing, ex-storage)'!F507/100*VLOOKUP(D507,'DB technologies'!$N$238:$Y$250,11,FALSE)/100/VLOOKUP($C$505,'DB animal categories'!$C$181:$AC$190,27,FALSE)*AJ507,0))))</f>
        <v/>
      </c>
      <c r="AM507" s="442" t="str">
        <f>IF(D507="","",IF(AI507=2,(('Calc (ex-animal)'!$G$96*(1-'DB additional information '!$K$20/100)*(1-VLOOKUP(D507,'DB technologies'!$N$238:$Y$250,8,FALSE)/100)*'Calc (ex-housing, ex-storage)'!F507/100+'Calc (ex-animal)'!$H$96*(1-'DB additional information '!$L$20/100)*(1-VLOOKUP(D507,'DB technologies'!$N$238:$Y$250,8,FALSE)/100)*'Calc (ex-housing, ex-storage)'!F507/100))/VLOOKUP($C$505,'DB animal categories'!$C$181:$AC$190,27,FALSE)*AJ507+M507+N507+O507,IF(AI507=1,('Calc (ex-animal)'!$H$96*(1-'DB additional information '!$L$20/100)*(1-VLOOKUP(D507,'DB technologies'!$N$238:$Y$250,8,FALSE)/100)*'Calc (ex-housing, ex-storage)'!F507/100)/VLOOKUP($C$505,'DB animal categories'!$C$181:$AC$190,27,FALSE)*AJ507,IF(AI507=4,('Calc (ex-animal)'!$G$96*(1-'DB additional information '!$K$20/100)+'Calc (ex-animal)'!$H$96*(1-'DB additional information '!$L$20/100))*(1-VLOOKUP(D507,'DB technologies'!$N$238:$Y$250,8,FALSE)/100)*'Calc (ex-housing, ex-storage)'!F507/100*VLOOKUP(D507,'DB technologies'!$N$238:$Y$250,11,FALSE)/100/VLOOKUP($C$505,'DB animal categories'!$C$181:$AC$190,27,FALSE)*AJ507,0))))</f>
        <v/>
      </c>
      <c r="AN507" s="442" t="str">
        <f>IF(AI507="","",IF(AL507=0,0,AL507/AK507*100))</f>
        <v/>
      </c>
      <c r="AO507" s="182" t="str">
        <f>IF(D507="","",IF(AI507=2,(('Calc (ex-animal)'!$L$96*'Calc (ex-housing, ex-storage)'!F507/100+'Calc (ex-animal)'!$K$96*'Calc (ex-housing, ex-storage)'!F507/100))/VLOOKUP($C$505,'DB animal categories'!$C$181:$AC$190,27,FALSE)*AJ507+Q507+R507+S507-AC507,IF(AI507=1,('Calc (ex-animal)'!$L$96*'Calc (ex-housing, ex-storage)'!F507/100)/VLOOKUP($C$505,'DB animal categories'!$C$181:$AC$190,27,FALSE)*AJ507-'Calc (ex-housing, ex-storage)'!AC507,IF(AI507=4,('Calc (ex-animal)'!$L$96+'Calc (ex-animal)'!$K$96)*'Calc (ex-housing, ex-storage)'!F507/100*VLOOKUP(D507,'DB technologies'!$N$238:$Y$250,11,FALSE)/100/VLOOKUP($C$505,'DB animal categories'!$C$181:$AC$190,27,FALSE)*AJ507-AC507*VLOOKUP(D507,'DB technologies'!$N$238:$Y$250,11,FALSE)/100,0))))</f>
        <v/>
      </c>
      <c r="AP507" s="182" t="str">
        <f>IF(D507="","",IF(AO507&lt;-0.01,0,IF(AI507=2,(('Calc (ex-animal)'!$L$96*'Calc (ex-housing, ex-storage)'!F507/100+'Calc (ex-animal)'!$K$96*'Calc (ex-housing, ex-storage)'!F507/100))/VLOOKUP($C$505,'DB animal categories'!$C$181:$AC$190,27,FALSE)*AJ507+Q507+R507+S507-AC507,IF(AI507=1,('Calc (ex-animal)'!$L$96*'Calc (ex-housing, ex-storage)'!F507/100)/VLOOKUP($C$505,'DB animal categories'!$C$181:$AC$190,27,FALSE)*AJ507-'Calc (ex-housing, ex-storage)'!AC507,IF(AI507=4,('Calc (ex-animal)'!$L$96+'Calc (ex-animal)'!$K$96)*'Calc (ex-housing, ex-storage)'!F507/100*VLOOKUP(D507,'DB technologies'!$N$238:$Y$250,11,FALSE)/100/VLOOKUP($C$505,'DB animal categories'!$C$181:$AC$190,27,FALSE)*AJ507-AC507*VLOOKUP(D507,'DB technologies'!$N$238:$Y$250,11,FALSE)/100,0)))))</f>
        <v/>
      </c>
      <c r="AQ507" s="182" t="str">
        <f>IF(D507="","",IF(AI507=2,('Calc (ex-animal)'!$O$96*'Calc (ex-housing, ex-storage)'!F507/100+'Calc (ex-animal)'!$N$96*'Calc (ex-housing, ex-storage)'!F507/100)/VLOOKUP($C$505,'DB animal categories'!$C$181:$AC$190,27,FALSE)*AJ507+U507+V507+W507,IF(AI507=1,'Calc (ex-animal)'!$O$96*'Calc (ex-housing, ex-storage)'!F507/100/VLOOKUP($C$505,'DB animal categories'!$C$181:$AC$190,27,FALSE)*AJ507,IF(AI507=4,('Calc (ex-animal)'!$O$96+'Calc (ex-animal)'!$N$96)*'Calc (ex-housing, ex-storage)'!F507/100*VLOOKUP(D507,'DB technologies'!$N$238:$Y$250,11,FALSE)/100/VLOOKUP($C$505,'DB animal categories'!$C$181:$AC$190,27,FALSE)*AJ507,0))))</f>
        <v/>
      </c>
      <c r="AR507" s="182" t="str">
        <f>IF(D507="","",IF(AI507=2,('Calc (ex-animal)'!$R$96*'Calc (ex-housing, ex-storage)'!F507/100+'Calc (ex-animal)'!$Q$96*'Calc (ex-housing, ex-storage)'!F507/100)/VLOOKUP($C$505,'DB animal categories'!$C$181:$AC$190,27,FALSE)*AJ507+Y507+Z507+AA507,IF(AI507=1,'Calc (ex-animal)'!$R$96*'Calc (ex-housing, ex-storage)'!F507/100/VLOOKUP($C$505,'DB animal categories'!$C$181:$AC$190,27,FALSE)*AJ507,IF(AI507=4,('Calc (ex-animal)'!$R$96+'Calc (ex-animal)'!$Q$96)*'Calc (ex-housing, ex-storage)'!F507/100*VLOOKUP(D507,'DB technologies'!$N$238:$Y$250,11,FALSE)/100/VLOOKUP($C$505,'DB animal categories'!$C$181:$AC$190,27,FALSE)*AJ507,0))))</f>
        <v/>
      </c>
      <c r="AS507" s="181" t="str">
        <f>IF(D507="","",VLOOKUP(D507,'DB technologies'!$N$238:$Y$250,10,FALSE))</f>
        <v/>
      </c>
      <c r="AT507" s="442" t="str">
        <f>IF(AS507="","",AU507+AV507)</f>
        <v/>
      </c>
      <c r="AU507" s="442" t="str">
        <f>IF(D507="","",IF(AS507=2,0,IF(AS507=1,'Calc (ex-animal)'!$G$96*'DB additional information '!$K$20/100*(1-VLOOKUP(D507,'DB technologies'!$N$238:$Y$250,8,FALSE)/100)*'Calc (ex-housing, ex-storage)'!F507/100/VLOOKUP($C$505,'DB animal categories'!$C$181:$AC$190,27,FALSE)*AJ507+I507+J507+K507,IF(AS507=5,(('Calc (ex-animal)'!$G$96*'DB additional information '!$K$20/100+'Calc (ex-animal)'!$H$96*'DB additional information '!$L$20/100))*(1-VLOOKUP(D507,'DB technologies'!$N$238:$Y$250,9,FALSE)/100)*'Calc (ex-housing, ex-storage)'!F507/100/VLOOKUP($C$505,'DB animal categories'!$C$181:$AC$190,27,FALSE)*AJ507+I507+J507+K507,IF(AS507=3,('Calc (ex-animal)'!$G$96*'DB additional information '!$K$20/100+'Calc (ex-animal)'!$H$96*'DB additional information '!$L$20/100)*(1-VLOOKUP(D507,'DB technologies'!$N$238:$Y$250,9,FALSE)/100)*'Calc (ex-housing, ex-storage)'!F507/100/VLOOKUP($C$505,'DB animal categories'!$C$181:$AC$190,27,FALSE)*AJ507+I507+J507+K507,IF(AS507=4,('Calc (ex-animal)'!$G$96*'DB additional information '!$K$20/100+'Calc (ex-animal)'!$H$96*'DB additional information '!$L$20/100)*(1-VLOOKUP(D507,'DB technologies'!$N$238:$Y$250,9,FALSE)/100)*'Calc (ex-housing, ex-storage)'!F507/100*VLOOKUP(D507,'DB technologies'!$N$238:$Y$250,12,FALSE)/100/VLOOKUP($C$505,'DB animal categories'!$C$181:$AC$190,27,FALSE)*AJ507+I507+J507+K507,0))))))</f>
        <v/>
      </c>
      <c r="AV507" s="442" t="str">
        <f>IF(D507="","",IF(AS507=2,0,IF(AS507=1,'Calc (ex-animal)'!$G$96*(1-'DB additional information '!$K$20/100)*(1-VLOOKUP(D507,'DB technologies'!$N$238:$Y$250,8,FALSE)/100)*'Calc (ex-housing, ex-storage)'!F507/100/VLOOKUP($C$505,'DB animal categories'!$C$181:$AC$190,27,FALSE)*AJ507+M507+N507+O507,IF(AS507=5,('Calc (ex-animal)'!$G$96*(1-'DB additional information '!$K$20/100)+'Calc (ex-animal)'!$H$96*(1-'DB additional information '!$L$20/100))*(1-VLOOKUP(D507,'DB technologies'!$N$238:$Y$250,8,FALSE)/100)*'Calc (ex-housing, ex-storage)'!F507/100/VLOOKUP($C$505,'DB animal categories'!$C$181:$AC$190,27,FALSE)*AJ507+M507+N507+O507,IF(AS507=3,('Calc (ex-animal)'!$G$96*(1-'DB additional information '!$K$20/100)+'Calc (ex-animal)'!$H$96*(1-'DB additional information '!$L$20/100))*(1-VLOOKUP(D507,'DB technologies'!$N$238:$Y$250,8,FALSE)/100)*'Calc (ex-housing, ex-storage)'!F507/100/VLOOKUP($C$505,'DB animal categories'!$C$181:$AC$190,27,FALSE)*AJ507+M507+N507+O507,IF(AS507=4,('Calc (ex-animal)'!$G$96*(1-'DB additional information '!$K$20/100)+'Calc (ex-animal)'!$H$96*(1-'DB additional information '!$L$20/100))*(1-VLOOKUP(D507,'DB technologies'!$N$238:$Y$250,8,FALSE)/100)*'Calc (ex-housing, ex-storage)'!F507/100*VLOOKUP(D507,'DB technologies'!$N$238:$Y$250,12,FALSE)/100/VLOOKUP($C$505,'DB animal categories'!$C$181:$AC$190,27,FALSE)*AJ507+M507+N507+O507,0))))))</f>
        <v/>
      </c>
      <c r="AW507" s="442" t="str">
        <f>IF(AS507="","",IF(AU507=0,0,AU507/AT507*100))</f>
        <v/>
      </c>
      <c r="AX507" s="182" t="str">
        <f>IF(D507="","",IF(AS507=2,0,IF(AS507=1,'Calc (ex-animal)'!$K$96*'Calc (ex-housing, ex-storage)'!F507/100/VLOOKUP($C$505,'DB animal categories'!$C$181:$AC$190,27,FALSE)*AJ507+Q507+R507+S507,IF(AS507=5,('Calc (ex-animal)'!$K$96+'Calc (ex-animal)'!$L$96)*'Calc (ex-housing, ex-storage)'!F507/100/VLOOKUP($C$505,'DB animal categories'!$C$181:$AC$190,27,FALSE)*AJ507+Q507+R507+S507-'Calc (ex-housing, ex-storage)'!AC507,IF(AS507=3,('Calc (ex-animal)'!$K$96+'Calc (ex-animal)'!$L$96)*'Calc (ex-housing, ex-storage)'!F507/100/VLOOKUP($C$505,'DB animal categories'!$C$181:$AC$190,27,FALSE)*AJ507+Q507+R507+S507-'Calc (ex-housing, ex-storage)'!AC507-AD507-AE507,IF(AI507=4,('Calc (ex-animal)'!$K$96+'Calc (ex-animal)'!$L$96)*'Calc (ex-housing, ex-storage)'!F507/100*VLOOKUP(D507,'DB technologies'!$N$238:$Y$250,12,FALSE)/100/VLOOKUP($C$505,'DB animal categories'!$C$181:$AC$190,27,FALSE)*AJ507+Q507+R507+S507-(VLOOKUP(D507,'DB technologies'!$N$238:$Y$250,12,FALSE)/100*AC507)-AD507-AE507,0))))))</f>
        <v/>
      </c>
      <c r="AY507" s="182" t="str">
        <f>IF(D507="","",IF(AS507=2,0,IF(AS507=1,'Calc (ex-animal)'!$N$96*'Calc (ex-housing, ex-storage)'!F507/100/VLOOKUP($C$505,'DB animal categories'!$C$181:$AC$190,27,FALSE)*AJ507+U507+V507+W507,IF(AS507=5,('Calc (ex-animal)'!$N$96+'Calc (ex-animal)'!$O$96)*'Calc (ex-housing, ex-storage)'!F507/100/VLOOKUP($C$505,'DB animal categories'!$C$181:$AC$190,27,FALSE)*AJ507+U507+V507+W507,IF(AS507=3,('Calc (ex-animal)'!$N$96+'Calc (ex-animal)'!$O$96)*'Calc (ex-housing, ex-storage)'!F507/100/VLOOKUP($C$505,'DB animal categories'!$C$181:$AC$190,27,FALSE)*AJ507+U507+V507+W507,IF(AS507=4,('Calc (ex-animal)'!$N$96+'Calc (ex-animal)'!$O$96)*'Calc (ex-housing, ex-storage)'!F507/100*VLOOKUP(D507,'DB technologies'!$N$238:$Y$250,12,FALSE)/100/VLOOKUP($C$505,'DB animal categories'!$C$181:$AC$190,27,FALSE)*AJ507+U507+V507+W507,0))))))</f>
        <v/>
      </c>
      <c r="AZ507" s="182" t="str">
        <f>IF(D507="","",IF(AS507=2,0,IF(AS507=1,'Calc (ex-animal)'!$Q$96*'Calc (ex-housing, ex-storage)'!F507/100/VLOOKUP($C$505,'DB animal categories'!$C$181:$AC$190,27,FALSE)*AJ507+Y507+Z507+AA507,IF(AS507=5,('Calc (ex-animal)'!$Q$96+'Calc (ex-animal)'!$R$96)*'Calc (ex-housing, ex-storage)'!F507/100/VLOOKUP($C$505,'DB animal categories'!$C$181:$AC$190,27,FALSE)*AJ507+Y507+Z507+AA507,IF(AS507=3,('Calc (ex-animal)'!$Q$96+'Calc (ex-animal)'!$R$96)*'Calc (ex-housing, ex-storage)'!F507/100/VLOOKUP($C$505,'DB animal categories'!$C$181:$AC$190,27,FALSE)*AJ507+Y507+Z507+AA507,IF(AS507=4,('Calc (ex-animal)'!$Q$96+'Calc (ex-animal)'!$R$96)*'Calc (ex-housing, ex-storage)'!F507/100*VLOOKUP(D507,'DB technologies'!$N$238:$Y$250,12,FALSE)/100/VLOOKUP($C$505,'DB animal categories'!$C$181:$AC$190,27,FALSE)*AJ507+Y507+Z507+AA507,0))))))</f>
        <v/>
      </c>
      <c r="BA507" s="506"/>
      <c r="BB507" s="506"/>
      <c r="BC507" s="506"/>
    </row>
    <row r="508" spans="1:55" x14ac:dyDescent="0.2">
      <c r="A508" s="748"/>
      <c r="B508" s="695"/>
      <c r="C508" s="251"/>
      <c r="D508" s="1357"/>
      <c r="E508" s="1358"/>
      <c r="F508" s="480" t="str">
        <f>IF('Calc (ex-animal)'!$F$93=1,"",IF($C$505=0,"",IF(D508="","",E508/'Calc (ex-animal)'!$E$96*100)))</f>
        <v/>
      </c>
      <c r="G508" s="485" t="str">
        <f>IF($C$505=0,"",IF('Calc (ex-animal)'!$F$93=1,"",IF(D508="","",SUM(H508:O508))))</f>
        <v/>
      </c>
      <c r="H508" s="423" t="str">
        <f>IF('Calc (ex-animal)'!$F$93=1,"",IF(D508="","",(((VLOOKUP($C$505,'Calc (ex-animal)'!$D$93:$Y$97,6,FALSE)-VLOOKUP($C$505,'Calc (ex-animal)'!$D$93:$Y$97,17,FALSE))*F508/100))*VLOOKUP($C$505,'Calc (ex-animal)'!$D$93:$Y$97,7,FALSE)/100*(1-VLOOKUP(D508,'DB technologies'!$N$238:$Y$250,9,FALSE)/100)))</f>
        <v/>
      </c>
      <c r="I508" s="423" t="str">
        <f>IF(D508="","",((VLOOKUP(D508,'DB technologies'!$N$238:$Y$250,2,FALSE)*VLOOKUP($C$505,'DB animal categories'!$C$181:$AC$190,27,FALSE)*E508/1000)/VLOOKUP($C$505,'DB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'!$S$6/100*(1-VLOOKUP(D508,'DB technologies'!$N$238:$Y$250,9,FALSE)/100)))</f>
        <v/>
      </c>
      <c r="J508" s="434" t="str">
        <f>IF(D508="","",((VLOOKUP(D508,'DB technologies'!$N$238:$Y$250,3,FALSE)*VLOOKUP($C$505,'DB animal categories'!$C$181:$AC$190,27,FALSE)*E508/1000)/VLOOKUP($C$505,'DB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'!$S$7/100*(1-VLOOKUP(D508,'DB technologies'!$N$238:$Y$250,9,FALSE)/100)))</f>
        <v/>
      </c>
      <c r="K508" s="434" t="str">
        <f>IF(D508="","",((VLOOKUP(D508,'DB technologies'!$N$238:$Y$250,4,FALSE)*E508*'DB additional information '!$S$8/100*(1-VLOOKUP(D508,'DB technologies'!$N$238:$Y$250,9,FALSE)/100))/VLOOKUP($C$505,'DB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L508" s="423" t="str">
        <f>IF('Calc (ex-animal)'!$F$93=1,"",IF(D508="","",(((VLOOKUP($C$505,'Calc (ex-animal)'!$D$93:$Y$97,6,FALSE)-VLOOKUP($C$505,'Calc (ex-animal)'!$D$93:$Y$97,17,FALSE))*F508/100))*(1-VLOOKUP($C$505,'Calc (ex-animal)'!$D$93:$Y$97,7,FALSE)/100)*(1-VLOOKUP(D508,'DB technologies'!$N$238:$V$250,8,FALSE)/100)))</f>
        <v/>
      </c>
      <c r="M508" s="434" t="str">
        <f>IF(D508="","",((VLOOKUP(D508,'DB technologies'!$N$238:$Y$250,2,FALSE)*VLOOKUP($C$505,'DB animal categories'!$C$181:$AC$190,27,FALSE)*E508/1000)/VLOOKUP($C$505,'DB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'!$S$6/100)*(1-VLOOKUP(D508,'DB technologies'!$N$238:$Y$250,9,FALSE)/100))</f>
        <v/>
      </c>
      <c r="N508" s="434" t="str">
        <f>IF(D508="","",((VLOOKUP(D508,'DB technologies'!$N$238:$Y$250,3,FALSE)*VLOOKUP($C$505,'DB animal categories'!$C$181:$AC$190,27,FALSE)*E508/1000)/VLOOKUP($C$505,'DB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'!$S$7/100)*(1-VLOOKUP(D508,'DB technologies'!$N$238:$Y$250,9,FALSE)/100))</f>
        <v/>
      </c>
      <c r="O508" s="423" t="str">
        <f>IF(D508="","",((VLOOKUP(D508,'DB technologies'!$N$238:$Y$250,4,FALSE)*E508*(1-'DB additional information '!$S$8/100)*(1-VLOOKUP(D508,'DB technologies'!$N$238:$Y$250,8,FALSE)/100))/VLOOKUP($C$505,'DB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P508" s="438" t="str">
        <f>IF(G508=0,0,IF(E508="","",IF(F508="","",IF($C$505=0,"",IF(D508="","",SUM(H508:K508)/G508*100)))))</f>
        <v/>
      </c>
      <c r="Q508" s="416" t="str">
        <f>IF(D508="","",(VLOOKUP(D508,'DB technologies'!$N$238:$Y$250,2,FALSE)*'DB additional information '!$S$6/100*'DB additional information '!$T$6*VLOOKUP($C$505,'DB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R508" s="416" t="str">
        <f>IF(D508="","",(VLOOKUP(D508,'DB technologies'!$N$238:$Y$250,3,FALSE)*'DB additional information '!$S$7/100*'DB additional information '!$T$7*VLOOKUP($C$505,'DB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S508" s="491" t="str">
        <f>IF(D508="","",(VLOOKUP(D508,'DB technologies'!$N$238:$Y$250,4,FALSE)*('DB additional information '!$S$8/100*'DB additional information '!$T$8*E508/1000/1000)))</f>
        <v/>
      </c>
      <c r="T508" s="264" t="str">
        <f>IF($C$505=0,"",IF('Calc (ex-animal)'!$F$93=1,"",IF(D508="","",((VLOOKUP($C$505,'Calc (ex-animal)'!$D$93:$Y$97,10,FALSE)-VLOOKUP($C$505,'Calc (ex-animal)'!$D$93:$Y$97,18,FALSE))*F508/100+Q508+R508+S508)-AC508-AD508-AE508)))</f>
        <v/>
      </c>
      <c r="U508" s="422" t="str">
        <f>IF(D508="","",(VLOOKUP(D508,'DB technologies'!$N$238:$Y$250,2,FALSE)*'DB additional information '!$S$6/100*'DB additional information '!$U$6*VLOOKUP($C$505,'DB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V508" s="418" t="str">
        <f>IF(D508="","",(VLOOKUP(D508,'DB technologies'!$N$238:$Y$250,3,FALSE)*'DB additional information '!$S$7/100*'DB additional information '!$U$7*VLOOKUP($C$505,'DB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W508" s="417" t="str">
        <f>IF(D508="","",(VLOOKUP(D508,'DB technologies'!$N$238:$Y$250,4,FALSE)*('DB additional information '!$S$8/100*'DB additional information '!$U$8*E508/1000/1000)))</f>
        <v/>
      </c>
      <c r="X508" s="261" t="str">
        <f>IF($C$505=0,"",IF('Calc (ex-animal)'!$F$93=1,"",IF(D508="","",((VLOOKUP($C$505,'Calc (ex-animal)'!$D$93:$Y$97,13,FALSE)-VLOOKUP($C$505,'Calc (ex-animal)'!$D$93:$Y$97,19,FALSE))*F508/100+U508+V508+W508))))</f>
        <v/>
      </c>
      <c r="Y508" s="418" t="str">
        <f>IF(D508="","",(VLOOKUP(D508,'DB technologies'!$N$238:$Y$250,2,FALSE)*'DB additional information '!$S$6/100*'DB additional information '!$V$6*VLOOKUP($C$505,'DB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Z508" s="418" t="str">
        <f>IF(D508="","",(VLOOKUP(D508,'DB technologies'!$N$238:$Y$250,3,FALSE)*'DB additional information '!$S$7/100*'DB additional information '!$V$7*VLOOKUP($C$505,'DB animal categories'!$C$181:$AC$190,27,FALSE)*E508/1000/1000)/VLOOKUP($C$505,'DB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AA508" s="418" t="str">
        <f>IF(D508="","",(VLOOKUP(D508,'DB technologies'!$N$238:$Y$250,4,FALSE)*('DB additional information '!$S$8/100*'DB additional information '!$V$8*E508/1000/1000)))</f>
        <v/>
      </c>
      <c r="AB508" s="261" t="str">
        <f>IF($C$505=0,"",IF('Calc (ex-animal)'!$F$93=1,"",IF(D508="","",((VLOOKUP($C$505,'Calc (ex-animal)'!$D$93:$Y$97,16,FALSE)-VLOOKUP($C$505,'Calc (ex-animal)'!$D$93:$Y$97,20,FALSE))*F508/100+Y508+Z508+AA508))))</f>
        <v/>
      </c>
      <c r="AC508" s="261" t="str">
        <f>IF($C$505=0,"",IF('Calc (ex-animal)'!$F$93=1,"",IF(D508="","",VLOOKUP($C$505,'Calc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categories'!$C$181:$AC$190,26,FALSE)/24)*F508/100*VLOOKUP(D508,'DB technologies'!$N$238:$R$250,5,FALSE)/100)))</f>
        <v/>
      </c>
      <c r="AD508" s="261" t="str">
        <f>IF($C$505=0,"",IF('Calc (ex-animal)'!$F$93=1,"",IF(D508="","",VLOOKUP($C$505,'Calc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categories'!$C$181:$AC$190,26,FALSE)/24)*F508/100*VLOOKUP(D508,'DB technologies'!$N$238:$Y$250,6,FALSE)/100)))</f>
        <v/>
      </c>
      <c r="AE508" s="262" t="str">
        <f>IF($C$505=0,"",IF('Calc (ex-animal)'!$F$93=1,"",IF(D508="","",VLOOKUP($C$505,'Calc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categories'!$C$181:$AC$190,26,FALSE)/24)*F508/100*VLOOKUP(D508,'DB technologies'!$N$238:$Y$250,7,FALSE)/100)))</f>
        <v/>
      </c>
      <c r="AI508" s="181" t="str">
        <f>IF(D508="","",VLOOKUP(D508,'DB technologies'!$N$238:$Y$250,10,FALSE))</f>
        <v/>
      </c>
      <c r="AJ508" s="449" t="e">
        <f>VLOOKUP($C$505,'DB animal categories'!$C$181:$AN$190,27,FALSE)-VLOOKUP($C$505,'DB animal categories'!$C$181:$AN$190,26,FALSE)*VLOOKUP($C$505,'DB animal categories'!$C$181:$AN$190,25,FALSE)/24</f>
        <v>#N/A</v>
      </c>
      <c r="AK508" s="442" t="str">
        <f>IF(AI508="","",AL508+AM508)</f>
        <v/>
      </c>
      <c r="AL508" s="442" t="str">
        <f>IF(D508="","",IF(AI508=2,(('Calc (ex-animal)'!$G$96*'DB additional information '!$K$20/100*(1-VLOOKUP(D508,'DB technologies'!$N$238:$Y$250,9,FALSE)/100)*'Calc (ex-housing, ex-storage)'!F508/100+'Calc (ex-animal)'!$H$96*'DB additional information '!$L$20/100*(1-VLOOKUP(D508,'DB technologies'!$N$238:$Y$250,9,FALSE)/100)*'Calc (ex-housing, ex-storage)'!F508/100))/VLOOKUP($C$505,'DB animal categories'!$C$181:$AC$190,27,FALSE)*AJ508+I508+J508+K508,IF(AI508=1,('Calc (ex-animal)'!$H$96*'DB additional information '!$L$20/100*(1-VLOOKUP(D508,'DB technologies'!$N$238:$Y$250,9,FALSE)/100)*'Calc (ex-housing, ex-storage)'!F508/100)/VLOOKUP($C$505,'DB animal categories'!$C$181:$AC$190,27,FALSE)*AJ508,IF(AI508=4,('Calc (ex-animal)'!$G$96*'DB additional information '!$K$20/100+'Calc (ex-animal)'!$H$96*'DB additional information '!$L$20/100)*(1-VLOOKUP(D508,'DB technologies'!$N$238:$Y$250,9,FALSE)/100)*'Calc (ex-housing, ex-storage)'!F508/100*VLOOKUP(D508,'DB technologies'!$N$238:$Y$250,11,FALSE)/100/VLOOKUP($C$505,'DB animal categories'!$C$181:$AC$190,27,FALSE)*AJ508,0))))</f>
        <v/>
      </c>
      <c r="AM508" s="442" t="str">
        <f>IF(D508="","",IF(AI508=2,(('Calc (ex-animal)'!$G$96*(1-'DB additional information '!$K$20/100)*(1-VLOOKUP(D508,'DB technologies'!$N$238:$Y$250,8,FALSE)/100)*'Calc (ex-housing, ex-storage)'!F508/100+'Calc (ex-animal)'!$H$96*(1-'DB additional information '!$L$20/100)*(1-VLOOKUP(D508,'DB technologies'!$N$238:$Y$250,8,FALSE)/100)*'Calc (ex-housing, ex-storage)'!F508/100))/VLOOKUP($C$505,'DB animal categories'!$C$181:$AC$190,27,FALSE)*AJ508+M508+N508+O508,IF(AI508=1,('Calc (ex-animal)'!$H$96*(1-'DB additional information '!$L$20/100)*(1-VLOOKUP(D508,'DB technologies'!$N$238:$Y$250,8,FALSE)/100)*'Calc (ex-housing, ex-storage)'!F508/100)/VLOOKUP($C$505,'DB animal categories'!$C$181:$AC$190,27,FALSE)*AJ508,IF(AI508=4,('Calc (ex-animal)'!$G$96*(1-'DB additional information '!$K$20/100)+'Calc (ex-animal)'!$H$96*(1-'DB additional information '!$L$20/100))*(1-VLOOKUP(D508,'DB technologies'!$N$238:$Y$250,8,FALSE)/100)*'Calc (ex-housing, ex-storage)'!F508/100*VLOOKUP(D508,'DB technologies'!$N$238:$Y$250,11,FALSE)/100/VLOOKUP($C$505,'DB animal categories'!$C$181:$AC$190,27,FALSE)*AJ508,0))))</f>
        <v/>
      </c>
      <c r="AN508" s="442" t="str">
        <f>IF(AI508="","",IF(AL508=0,0,AL508/AK508*100))</f>
        <v/>
      </c>
      <c r="AO508" s="182" t="str">
        <f>IF(D508="","",IF(AI508=2,(('Calc (ex-animal)'!$L$96*'Calc (ex-housing, ex-storage)'!F508/100+'Calc (ex-animal)'!$K$96*'Calc (ex-housing, ex-storage)'!F508/100))/VLOOKUP($C$505,'DB animal categories'!$C$181:$AC$190,27,FALSE)*AJ508+Q508+R508+S508-AC508,IF(AI508=1,('Calc (ex-animal)'!$L$96*'Calc (ex-housing, ex-storage)'!F508/100)/VLOOKUP($C$505,'DB animal categories'!$C$181:$AC$190,27,FALSE)*AJ508-'Calc (ex-housing, ex-storage)'!AC508,IF(AI508=4,('Calc (ex-animal)'!$L$96+'Calc (ex-animal)'!$K$96)*'Calc (ex-housing, ex-storage)'!F508/100*VLOOKUP(D508,'DB technologies'!$N$238:$Y$250,11,FALSE)/100/VLOOKUP($C$505,'DB animal categories'!$C$181:$AC$190,27,FALSE)*AJ508-AC508*VLOOKUP(D508,'DB technologies'!$N$238:$Y$250,11,FALSE)/100,0))))</f>
        <v/>
      </c>
      <c r="AP508" s="182" t="str">
        <f>IF(D508="","",IF(AO508&lt;-0.01,0,IF(AI508=2,(('Calc (ex-animal)'!$L$96*'Calc (ex-housing, ex-storage)'!F508/100+'Calc (ex-animal)'!$K$96*'Calc (ex-housing, ex-storage)'!F508/100))/VLOOKUP($C$505,'DB animal categories'!$C$181:$AC$190,27,FALSE)*AJ508+Q508+R508+S508-AC508,IF(AI508=1,('Calc (ex-animal)'!$L$96*'Calc (ex-housing, ex-storage)'!F508/100)/VLOOKUP($C$505,'DB animal categories'!$C$181:$AC$190,27,FALSE)*AJ508-'Calc (ex-housing, ex-storage)'!AC508,IF(AI508=4,('Calc (ex-animal)'!$L$96+'Calc (ex-animal)'!$K$96)*'Calc (ex-housing, ex-storage)'!F508/100*VLOOKUP(D508,'DB technologies'!$N$238:$Y$250,11,FALSE)/100/VLOOKUP($C$505,'DB animal categories'!$C$181:$AC$190,27,FALSE)*AJ508-AC508*VLOOKUP(D508,'DB technologies'!$N$238:$Y$250,11,FALSE)/100,0)))))</f>
        <v/>
      </c>
      <c r="AQ508" s="182" t="str">
        <f>IF(D508="","",IF(AI508=2,('Calc (ex-animal)'!$O$96*'Calc (ex-housing, ex-storage)'!F508/100+'Calc (ex-animal)'!$N$96*'Calc (ex-housing, ex-storage)'!F508/100)/VLOOKUP($C$505,'DB animal categories'!$C$181:$AC$190,27,FALSE)*AJ508+U508+V508+W508,IF(AI508=1,'Calc (ex-animal)'!$O$96*'Calc (ex-housing, ex-storage)'!F508/100/VLOOKUP($C$505,'DB animal categories'!$C$181:$AC$190,27,FALSE)*AJ508,IF(AI508=4,('Calc (ex-animal)'!$O$96+'Calc (ex-animal)'!$N$96)*'Calc (ex-housing, ex-storage)'!F508/100*VLOOKUP(D508,'DB technologies'!$N$238:$Y$250,11,FALSE)/100/VLOOKUP($C$505,'DB animal categories'!$C$181:$AC$190,27,FALSE)*AJ508,0))))</f>
        <v/>
      </c>
      <c r="AR508" s="182" t="str">
        <f>IF(D508="","",IF(AI508=2,('Calc (ex-animal)'!$R$96*'Calc (ex-housing, ex-storage)'!F508/100+'Calc (ex-animal)'!$Q$96*'Calc (ex-housing, ex-storage)'!F508/100)/VLOOKUP($C$505,'DB animal categories'!$C$181:$AC$190,27,FALSE)*AJ508+Y508+Z508+AA508,IF(AI508=1,'Calc (ex-animal)'!$R$96*'Calc (ex-housing, ex-storage)'!F508/100/VLOOKUP($C$505,'DB animal categories'!$C$181:$AC$190,27,FALSE)*AJ508,IF(AI508=4,('Calc (ex-animal)'!$R$96+'Calc (ex-animal)'!$Q$96)*'Calc (ex-housing, ex-storage)'!F508/100*VLOOKUP(D508,'DB technologies'!$N$238:$Y$250,11,FALSE)/100/VLOOKUP($C$505,'DB animal categories'!$C$181:$AC$190,27,FALSE)*AJ508,0))))</f>
        <v/>
      </c>
      <c r="AS508" s="181" t="str">
        <f>IF(D508="","",VLOOKUP(D508,'DB technologies'!$N$238:$Y$250,10,FALSE))</f>
        <v/>
      </c>
      <c r="AT508" s="442" t="str">
        <f>IF(AS508="","",AU508+AV508)</f>
        <v/>
      </c>
      <c r="AU508" s="442" t="str">
        <f>IF(D508="","",IF(AS508=2,0,IF(AS508=1,'Calc (ex-animal)'!$G$96*'DB additional information '!$K$20/100*(1-VLOOKUP(D508,'DB technologies'!$N$238:$Y$250,8,FALSE)/100)*'Calc (ex-housing, ex-storage)'!F508/100/VLOOKUP($C$505,'DB animal categories'!$C$181:$AC$190,27,FALSE)*AJ508+I508+J508+K508,IF(AS508=5,(('Calc (ex-animal)'!$G$96*'DB additional information '!$K$20/100+'Calc (ex-animal)'!$H$96*'DB additional information '!$L$20/100))*(1-VLOOKUP(D508,'DB technologies'!$N$238:$Y$250,9,FALSE)/100)*'Calc (ex-housing, ex-storage)'!F508/100/VLOOKUP($C$505,'DB animal categories'!$C$181:$AC$190,27,FALSE)*AJ508+I508+J508+K508,IF(AS508=3,('Calc (ex-animal)'!$G$96*'DB additional information '!$K$20/100+'Calc (ex-animal)'!$H$96*'DB additional information '!$L$20/100)*(1-VLOOKUP(D508,'DB technologies'!$N$238:$Y$250,9,FALSE)/100)*'Calc (ex-housing, ex-storage)'!F508/100/VLOOKUP($C$505,'DB animal categories'!$C$181:$AC$190,27,FALSE)*AJ508+I508+J508+K508,IF(AS508=4,('Calc (ex-animal)'!$G$96*'DB additional information '!$K$20/100+'Calc (ex-animal)'!$H$96*'DB additional information '!$L$20/100)*(1-VLOOKUP(D508,'DB technologies'!$N$238:$Y$250,9,FALSE)/100)*'Calc (ex-housing, ex-storage)'!F508/100*VLOOKUP(D508,'DB technologies'!$N$238:$Y$250,12,FALSE)/100/VLOOKUP($C$505,'DB animal categories'!$C$181:$AC$190,27,FALSE)*AJ508+I508+J508+K508,0))))))</f>
        <v/>
      </c>
      <c r="AV508" s="442" t="str">
        <f>IF(D508="","",IF(AS508=2,0,IF(AS508=1,'Calc (ex-animal)'!$G$96*(1-'DB additional information '!$K$20/100)*(1-VLOOKUP(D508,'DB technologies'!$N$238:$Y$250,8,FALSE)/100)*'Calc (ex-housing, ex-storage)'!F508/100/VLOOKUP($C$505,'DB animal categories'!$C$181:$AC$190,27,FALSE)*AJ508+M508+N508+O508,IF(AS508=5,('Calc (ex-animal)'!$G$96*(1-'DB additional information '!$K$20/100)+'Calc (ex-animal)'!$H$96*(1-'DB additional information '!$L$20/100))*(1-VLOOKUP(D508,'DB technologies'!$N$238:$Y$250,8,FALSE)/100)*'Calc (ex-housing, ex-storage)'!F508/100/VLOOKUP($C$505,'DB animal categories'!$C$181:$AC$190,27,FALSE)*AJ508+M508+N508+O508,IF(AS508=3,('Calc (ex-animal)'!$G$96*(1-'DB additional information '!$K$20/100)+'Calc (ex-animal)'!$H$96*(1-'DB additional information '!$L$20/100))*(1-VLOOKUP(D508,'DB technologies'!$N$238:$Y$250,8,FALSE)/100)*'Calc (ex-housing, ex-storage)'!F508/100/VLOOKUP($C$505,'DB animal categories'!$C$181:$AC$190,27,FALSE)*AJ508+M508+N508+O508,IF(AS508=4,('Calc (ex-animal)'!$G$96*(1-'DB additional information '!$K$20/100)+'Calc (ex-animal)'!$H$96*(1-'DB additional information '!$L$20/100))*(1-VLOOKUP(D508,'DB technologies'!$N$238:$Y$250,8,FALSE)/100)*'Calc (ex-housing, ex-storage)'!F508/100*VLOOKUP(D508,'DB technologies'!$N$238:$Y$250,12,FALSE)/100/VLOOKUP($C$505,'DB animal categories'!$C$181:$AC$190,27,FALSE)*AJ508+M508+N508+O508,0))))))</f>
        <v/>
      </c>
      <c r="AW508" s="442" t="str">
        <f>IF(AS508="","",IF(AU508=0,0,AU508/AT508*100))</f>
        <v/>
      </c>
      <c r="AX508" s="182" t="str">
        <f>IF(D508="","",IF(AS508=2,0,IF(AS508=1,'Calc (ex-animal)'!$K$96*'Calc (ex-housing, ex-storage)'!F508/100/VLOOKUP($C$505,'DB animal categories'!$C$181:$AC$190,27,FALSE)*AJ508+Q508+R508+S508,IF(AS508=5,('Calc (ex-animal)'!$K$96+'Calc (ex-animal)'!$L$96)*'Calc (ex-housing, ex-storage)'!F508/100/VLOOKUP($C$505,'DB animal categories'!$C$181:$AC$190,27,FALSE)*AJ508+Q508+R508+S508-'Calc (ex-housing, ex-storage)'!AC508,IF(AS508=3,('Calc (ex-animal)'!$K$96+'Calc (ex-animal)'!$L$96)*'Calc (ex-housing, ex-storage)'!F508/100/VLOOKUP($C$505,'DB animal categories'!$C$181:$AC$190,27,FALSE)*AJ508+Q508+R508+S508-'Calc (ex-housing, ex-storage)'!AC508-AD508-AE508,IF(AI508=4,('Calc (ex-animal)'!$K$96+'Calc (ex-animal)'!$L$96)*'Calc (ex-housing, ex-storage)'!F508/100*VLOOKUP(D508,'DB technologies'!$N$238:$Y$250,12,FALSE)/100/VLOOKUP($C$505,'DB animal categories'!$C$181:$AC$190,27,FALSE)*AJ508+Q508+R508+S508-(VLOOKUP(D508,'DB technologies'!$N$238:$Y$250,12,FALSE)/100*AC508)-AD508-AE508,0))))))</f>
        <v/>
      </c>
      <c r="AY508" s="182" t="str">
        <f>IF(D508="","",IF(AS508=2,0,IF(AS508=1,'Calc (ex-animal)'!$N$96*'Calc (ex-housing, ex-storage)'!F508/100/VLOOKUP($C$505,'DB animal categories'!$C$181:$AC$190,27,FALSE)*AJ508+U508+V508+W508,IF(AS508=5,('Calc (ex-animal)'!$N$96+'Calc (ex-animal)'!$O$96)*'Calc (ex-housing, ex-storage)'!F508/100/VLOOKUP($C$505,'DB animal categories'!$C$181:$AC$190,27,FALSE)*AJ508+U508+V508+W508,IF(AS508=3,('Calc (ex-animal)'!$N$96+'Calc (ex-animal)'!$O$96)*'Calc (ex-housing, ex-storage)'!F508/100/VLOOKUP($C$505,'DB animal categories'!$C$181:$AC$190,27,FALSE)*AJ508+U508+V508+W508,IF(AS508=4,('Calc (ex-animal)'!$N$96+'Calc (ex-animal)'!$O$96)*'Calc (ex-housing, ex-storage)'!F508/100*VLOOKUP(D508,'DB technologies'!$N$238:$Y$250,12,FALSE)/100/VLOOKUP($C$505,'DB animal categories'!$C$181:$AC$190,27,FALSE)*AJ508+U508+V508+W508,0))))))</f>
        <v/>
      </c>
      <c r="AZ508" s="182" t="str">
        <f>IF(D508="","",IF(AS508=2,0,IF(AS508=1,'Calc (ex-animal)'!$Q$96*'Calc (ex-housing, ex-storage)'!F508/100/VLOOKUP($C$505,'DB animal categories'!$C$181:$AC$190,27,FALSE)*AJ508+Y508+Z508+AA508,IF(AS508=5,('Calc (ex-animal)'!$Q$96+'Calc (ex-animal)'!$R$96)*'Calc (ex-housing, ex-storage)'!F508/100/VLOOKUP($C$505,'DB animal categories'!$C$181:$AC$190,27,FALSE)*AJ508+Y508+Z508+AA508,IF(AS508=3,('Calc (ex-animal)'!$Q$96+'Calc (ex-animal)'!$R$96)*'Calc (ex-housing, ex-storage)'!F508/100/VLOOKUP($C$505,'DB animal categories'!$C$181:$AC$190,27,FALSE)*AJ508+Y508+Z508+AA508,IF(AS508=4,('Calc (ex-animal)'!$Q$96+'Calc (ex-animal)'!$R$96)*'Calc (ex-housing, ex-storage)'!F508/100*VLOOKUP(D508,'DB technologies'!$N$238:$Y$250,12,FALSE)/100/VLOOKUP($C$505,'DB animal categories'!$C$181:$AC$190,27,FALSE)*AJ508+Y508+Z508+AA508,0))))))</f>
        <v/>
      </c>
      <c r="BA508" s="506"/>
      <c r="BB508" s="506"/>
      <c r="BC508" s="506"/>
    </row>
    <row r="509" spans="1:55" ht="12" thickBot="1" x14ac:dyDescent="0.25">
      <c r="A509" s="748"/>
      <c r="B509" s="695"/>
      <c r="C509" s="251"/>
      <c r="D509" s="1359"/>
      <c r="E509" s="1360"/>
      <c r="F509" s="481" t="str">
        <f>IF('Calc (ex-animal)'!$F$93=1,"",IF($C$505=0,"",IF(D509="","",E509/'Calc (ex-animal)'!$E$96*100)))</f>
        <v/>
      </c>
      <c r="G509" s="483" t="str">
        <f>IF($C$505=0,"",IF('Calc (ex-animal)'!$F$93=1,"",IF(D509="","",SUM(H509:O509))))</f>
        <v/>
      </c>
      <c r="H509" s="445" t="str">
        <f>IF('Calc (ex-animal)'!$F$93=1,"",IF(D509="","",(((VLOOKUP($C$505,'Calc (ex-animal)'!$D$93:$Y$97,6,FALSE)-VLOOKUP($C$505,'Calc (ex-animal)'!$D$93:$Y$97,17,FALSE))*F509/100))*VLOOKUP($C$505,'Calc (ex-animal)'!$D$93:$Y$97,7,FALSE)/100*(1-VLOOKUP(D509,'DB technologies'!$N$238:$Y$250,9,FALSE)/100)))</f>
        <v/>
      </c>
      <c r="I509" s="445" t="str">
        <f>IF(D509="","",((VLOOKUP(D509,'DB technologies'!$N$238:$Y$250,2,FALSE)*VLOOKUP($C$505,'DB animal categories'!$C$181:$AC$190,27,FALSE)*E509/1000)/VLOOKUP($C$505,'DB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'!$S$6/100*(1-VLOOKUP(D509,'DB technologies'!$N$238:$Y$250,9,FALSE)/100)))</f>
        <v/>
      </c>
      <c r="J509" s="446" t="str">
        <f>IF(D509="","",((VLOOKUP(D509,'DB technologies'!$N$238:$Y$250,3,FALSE)*VLOOKUP($C$505,'DB animal categories'!$C$181:$AC$190,27,FALSE)*E509/1000)/VLOOKUP($C$505,'DB animal categories'!$C$181:$AC$190,27,FALSE)*(VLOOKUP($C$505,'DB animal categories'!$C$181:$AC$190,27,FALSE)-(VLOOKUP($C$505,'DB animal categories'!$C$181:$AC$190,25,FALSE)*VLOOKUP($C$505,'DB animal categories'!$C$181:$AC$190,26,FALSE)/24))*'DB additional information '!$S$7/100*(1-VLOOKUP(D509,'DB technologies'!$N$238:$Y$250,9,FALSE)/100)))</f>
        <v/>
      </c>
      <c r="K509" s="446" t="str">
        <f>IF(D509="","",((VLOOKUP(D509,'DB technologies'!$N$238:$Y$250,4,FALSE)*E509*'DB additional information '!$S$8/100*(1-VLOOKUP(D509,'DB technologies'!$N$238:$Y$250,9,FALSE)/100))/VLOOKUP($C$505,'DB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L509" s="445" t="str">
        <f>IF('Calc (ex-animal)'!$F$93=1,"",IF(D509="","",(((VLOOKUP($C$505,'Calc (ex-animal)'!$D$93:$Y$97,6,FALSE)-VLOOKUP($C$505,'Calc (ex-animal)'!$D$93:$Y$97,17,FALSE))*F509/100))*(1-VLOOKUP($C$505,'Calc (ex-animal)'!$D$93:$Y$97,7,FALSE)/100)*(1-VLOOKUP(D509,'DB technologies'!$N$238:$V$250,8,FALSE)/100)))</f>
        <v/>
      </c>
      <c r="M509" s="446" t="str">
        <f>IF(D509="","",((VLOOKUP(D509,'DB technologies'!$N$238:$Y$250,2,FALSE)*VLOOKUP($C$505,'DB animal categories'!$C$181:$AC$190,27,FALSE)*E509/1000)/VLOOKUP($C$505,'DB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'!$S$6/100)*(1-VLOOKUP(D509,'DB technologies'!$N$238:$Y$250,9,FALSE)/100))</f>
        <v/>
      </c>
      <c r="N509" s="446" t="str">
        <f>IF(D509="","",((VLOOKUP(D509,'DB technologies'!$N$238:$Y$250,3,FALSE)*VLOOKUP($C$505,'DB animal categories'!$C$181:$AC$190,27,FALSE)*E509/1000)/VLOOKUP($C$505,'DB animal categories'!$C$181:$AC$190,27,FALSE)*(VLOOKUP($C$505,'DB animal categories'!$C$181:$AC$190,27,FALSE)-VLOOKUP($C$505,'DB animal categories'!$C$181:$AC$190,25,FALSE)*VLOOKUP($C$505,'DB animal categories'!$C$181:$AC$190,26,FALSE)/24))*(1-'DB additional information '!$S$7/100)*(1-VLOOKUP(D509,'DB technologies'!$N$238:$Y$250,9,FALSE)/100))</f>
        <v/>
      </c>
      <c r="O509" s="445" t="str">
        <f>IF(D509="","",((VLOOKUP(D509,'DB technologies'!$N$238:$Y$250,4,FALSE)*E509*(1-'DB additional information '!$S$8/100)*(1-VLOOKUP(D509,'DB technologies'!$N$238:$Y$250,8,FALSE)/100))/VLOOKUP($C$505,'DB animal categories'!$C$181:$AC$190,27,FALSE)*(VLOOKUP($C$505,'DB animal categories'!$C$181:$AC$190,27,FALSE)-VLOOKUP($C$505,'DB animal categories'!$C$181:$AC$190,25,FALSE)*VLOOKUP($C$505,'DB animal categories'!$C$181:$AC$190,26,FALSE)/24)))</f>
        <v/>
      </c>
      <c r="P509" s="444" t="str">
        <f>IF(G509=0,0,IF(E509="","",IF(F509="","",IF($C$505=0,"",IF(D509="","",SUM(H509:K509)/G509*100)))))</f>
        <v/>
      </c>
      <c r="Q509" s="476" t="str">
        <f>IF(D509="","",(VLOOKUP(D509,'DB technologies'!$N$238:$Y$250,2,FALSE)*'DB additional information '!$S$6/100*'DB additional information '!$T$6*VLOOKUP($C$505,'DB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R509" s="476" t="str">
        <f>IF(D509="","",(VLOOKUP(D509,'DB technologies'!$N$238:$Y$250,3,FALSE)*'DB additional information '!$S$7/100*'DB additional information '!$T$7*VLOOKUP($C$505,'DB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S509" s="494" t="str">
        <f>IF(D509="","",(VLOOKUP(D509,'DB technologies'!$N$238:$Y$250,4,FALSE)*('DB additional information '!$S$8/100*'DB additional information '!$T$8*E509/1000/1000)))</f>
        <v/>
      </c>
      <c r="T509" s="266" t="str">
        <f>IF($C$505=0,"",IF('Calc (ex-animal)'!$F$93=1,"",IF(D509="","",((VLOOKUP($C$505,'Calc (ex-animal)'!$D$93:$Y$97,10,FALSE)-VLOOKUP($C$505,'Calc (ex-animal)'!$D$93:$Y$97,18,FALSE))*F509/100+Q509+R509+S509)-AC509-AD509-AE509)))</f>
        <v/>
      </c>
      <c r="U509" s="477" t="str">
        <f>IF(D509="","",(VLOOKUP(D509,'DB technologies'!$N$238:$Y$250,2,FALSE)*'DB additional information '!$S$6/100*'DB additional information '!$U$6*VLOOKUP($C$505,'DB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V509" s="433" t="str">
        <f>IF(D509="","",(VLOOKUP(D509,'DB technologies'!$N$238:$Y$250,3,FALSE)*'DB additional information '!$S$7/100*'DB additional information '!$U$7*VLOOKUP($C$505,'DB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W509" s="475" t="str">
        <f>IF(D509="","",(VLOOKUP(D509,'DB technologies'!$N$238:$Y$250,4,FALSE)*('DB additional information '!$S$8/100*'DB additional information '!$U$8*E509/1000/1000)))</f>
        <v/>
      </c>
      <c r="X509" s="267" t="str">
        <f>IF($C$505=0,"",IF('Calc (ex-animal)'!$F$93=1,"",IF(D509="","",((VLOOKUP($C$505,'Calc (ex-animal)'!$D$93:$Y$97,13,FALSE)-VLOOKUP($C$505,'Calc (ex-animal)'!$D$93:$Y$97,19,FALSE))*F509/100+U509+V509+W509))))</f>
        <v/>
      </c>
      <c r="Y509" s="433" t="str">
        <f>IF(D509="","",(VLOOKUP(D509,'DB technologies'!$N$238:$Y$250,2,FALSE)*'DB additional information '!$S$6/100*'DB additional information '!$V$6*VLOOKUP($C$505,'DB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Z509" s="433" t="str">
        <f>IF(D509="","",(VLOOKUP(D509,'DB technologies'!$N$238:$Y$250,3,FALSE)*'DB additional information '!$S$7/100*'DB additional information '!$V$7*VLOOKUP($C$505,'DB animal categories'!$C$181:$AC$190,27,FALSE)*E509/1000/1000)/VLOOKUP($C$505,'DB animal categories'!$C$181:$AC$190,27,FALSE)*(VLOOKUP($C$505,'DB animal categories'!$C$181:$AC$190,27,FALSE)-VLOOKUP($C$505,'DB animal categories'!$C$181:$AC$190,25,FALSE)*VLOOKUP($C$505,'DB animal categories'!$C$181:$AC$190,26,FALSE)/24))</f>
        <v/>
      </c>
      <c r="AA509" s="433" t="str">
        <f>IF(D509="","",(VLOOKUP(D509,'DB technologies'!$N$238:$Y$250,4,FALSE)*('DB additional information '!$S$8/100*'DB additional information '!$V$8*E509/1000/1000)))</f>
        <v/>
      </c>
      <c r="AB509" s="267" t="str">
        <f>IF($C$505=0,"",IF('Calc (ex-animal)'!$F$93=1,"",IF(D509="","",((VLOOKUP($C$505,'Calc (ex-animal)'!$D$93:$Y$97,16,FALSE)-VLOOKUP($C$505,'Calc (ex-animal)'!$D$93:$Y$97,20,FALSE))*F509/100+Y509+Z509+AA509))))</f>
        <v/>
      </c>
      <c r="AC509" s="267" t="str">
        <f>IF($C$505=0,"",IF('Calc (ex-animal)'!$F$93=1,"",IF(D509="","",VLOOKUP($C$505,'Calc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categories'!$C$181:$AC$190,26,FALSE)/24)*F509/100*VLOOKUP(D509,'DB technologies'!$N$238:$R$250,5,FALSE)/100)))</f>
        <v/>
      </c>
      <c r="AD509" s="267" t="str">
        <f>IF($C$505=0,"",IF('Calc (ex-animal)'!$F$93=1,"",IF(D509="","",VLOOKUP($C$505,'Calc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categories'!$C$181:$AC$190,26,FALSE)/24)*F509/100*VLOOKUP(D509,'DB technologies'!$N$238:$Y$250,6,FALSE)/100)))</f>
        <v/>
      </c>
      <c r="AE509" s="268" t="str">
        <f>IF($C$505=0,"",IF('Calc (ex-animal)'!$F$93=1,"",IF(D509="","",VLOOKUP($C$505,'Calc (ex-animal)'!$D$93:$Y$97,10,FALSE)/VLOOKUP($C$505,'DB animal categories'!$C$181:$AC$190,27,FALSE)*(VLOOKUP($C$505,'DB animal categories'!$C$181:$AC$190,27,FALSE)-VLOOKUP($C$505,'DB animal categories'!$C$181:$AC$190,25,FALSE)*VLOOKUP($C$505,'DB animal categories'!$C$181:$AC$190,26,FALSE)/24)*F509/100*VLOOKUP(D509,'DB technologies'!$N$238:$Y$250,7,FALSE)/100)))</f>
        <v/>
      </c>
      <c r="AI509" s="183" t="str">
        <f>IF(D509="","",VLOOKUP(D509,'DB technologies'!$N$238:$Y$250,10,FALSE))</f>
        <v/>
      </c>
      <c r="AJ509" s="451" t="e">
        <f>VLOOKUP($C$505,'DB animal categories'!$C$181:$AN$190,27,FALSE)-VLOOKUP($C$505,'DB animal categories'!$C$181:$AN$190,26,FALSE)*VLOOKUP($C$505,'DB animal categories'!$C$181:$AN$190,25,FALSE)/24</f>
        <v>#N/A</v>
      </c>
      <c r="AK509" s="452" t="str">
        <f>IF(AI509="","",AL509+AM509)</f>
        <v/>
      </c>
      <c r="AL509" s="452" t="str">
        <f>IF(D509="","",IF(AI509=2,(('Calc (ex-animal)'!$G$96*'DB additional information '!$K$20/100*(1-VLOOKUP(D509,'DB technologies'!$N$238:$Y$250,9,FALSE)/100)*'Calc (ex-housing, ex-storage)'!F509/100+'Calc (ex-animal)'!$H$96*'DB additional information '!$L$20/100*(1-VLOOKUP(D509,'DB technologies'!$N$238:$Y$250,9,FALSE)/100)*'Calc (ex-housing, ex-storage)'!F509/100))/VLOOKUP($C$505,'DB animal categories'!$C$181:$AC$190,27,FALSE)*AJ509+I509+J509+K509,IF(AI509=1,('Calc (ex-animal)'!$H$96*'DB additional information '!$L$20/100*(1-VLOOKUP(D509,'DB technologies'!$N$238:$Y$250,9,FALSE)/100)*'Calc (ex-housing, ex-storage)'!F509/100)/VLOOKUP($C$505,'DB animal categories'!$C$181:$AC$190,27,FALSE)*AJ509,IF(AI509=4,('Calc (ex-animal)'!$G$96*'DB additional information '!$K$20/100+'Calc (ex-animal)'!$H$96*'DB additional information '!$L$20/100)*(1-VLOOKUP(D509,'DB technologies'!$N$238:$Y$250,9,FALSE)/100)*'Calc (ex-housing, ex-storage)'!F509/100*VLOOKUP(D509,'DB technologies'!$N$238:$Y$250,11,FALSE)/100/VLOOKUP($C$505,'DB animal categories'!$C$181:$AC$190,27,FALSE)*AJ509,0))))</f>
        <v/>
      </c>
      <c r="AM509" s="452" t="str">
        <f>IF(D509="","",IF(AI509=2,(('Calc (ex-animal)'!$G$96*(1-'DB additional information '!$K$20/100)*(1-VLOOKUP(D509,'DB technologies'!$N$238:$Y$250,8,FALSE)/100)*'Calc (ex-housing, ex-storage)'!F509/100+'Calc (ex-animal)'!$H$96*(1-'DB additional information '!$L$20/100)*(1-VLOOKUP(D509,'DB technologies'!$N$238:$Y$250,8,FALSE)/100)*'Calc (ex-housing, ex-storage)'!F509/100))/VLOOKUP($C$505,'DB animal categories'!$C$181:$AC$190,27,FALSE)*AJ509+M509+N509+O509,IF(AI509=1,('Calc (ex-animal)'!$H$96*(1-'DB additional information '!$L$20/100)*(1-VLOOKUP(D509,'DB technologies'!$N$238:$Y$250,8,FALSE)/100)*'Calc (ex-housing, ex-storage)'!F509/100)/VLOOKUP($C$505,'DB animal categories'!$C$181:$AC$190,27,FALSE)*AJ509,IF(AI509=4,('Calc (ex-animal)'!$G$96*(1-'DB additional information '!$K$20/100)+'Calc (ex-animal)'!$H$96*(1-'DB additional information '!$L$20/100))*(1-VLOOKUP(D509,'DB technologies'!$N$238:$Y$250,8,FALSE)/100)*'Calc (ex-housing, ex-storage)'!F509/100*VLOOKUP(D509,'DB technologies'!$N$238:$Y$250,11,FALSE)/100/VLOOKUP($C$505,'DB animal categories'!$C$181:$AC$190,27,FALSE)*AJ509,0))))</f>
        <v/>
      </c>
      <c r="AN509" s="452" t="str">
        <f>IF(AI509="","",IF(AL509=0,0,AL509/AK509*100))</f>
        <v/>
      </c>
      <c r="AO509" s="184" t="str">
        <f>IF(D509="","",IF(AI509=2,(('Calc (ex-animal)'!$L$96*'Calc (ex-housing, ex-storage)'!F509/100+'Calc (ex-animal)'!$K$96*'Calc (ex-housing, ex-storage)'!F509/100))/VLOOKUP($C$505,'DB animal categories'!$C$181:$AC$190,27,FALSE)*AJ509+Q509+R509+S509-AC509,IF(AI509=1,('Calc (ex-animal)'!$L$96*'Calc (ex-housing, ex-storage)'!F509/100)/VLOOKUP($C$505,'DB animal categories'!$C$181:$AC$190,27,FALSE)*AJ509-'Calc (ex-housing, ex-storage)'!AC509,IF(AI509=4,('Calc (ex-animal)'!$L$96+'Calc (ex-animal)'!$K$96)*'Calc (ex-housing, ex-storage)'!F509/100*VLOOKUP(D509,'DB technologies'!$N$238:$Y$250,11,FALSE)/100/VLOOKUP($C$505,'DB animal categories'!$C$181:$AC$190,27,FALSE)*AJ509-AC509*VLOOKUP(D509,'DB technologies'!$N$238:$Y$250,11,FALSE)/100,0))))</f>
        <v/>
      </c>
      <c r="AP509" s="184" t="str">
        <f>IF(D509="","",IF(AO509&lt;-0.01,0,IF(AI509=2,(('Calc (ex-animal)'!$L$96*'Calc (ex-housing, ex-storage)'!F509/100+'Calc (ex-animal)'!$K$96*'Calc (ex-housing, ex-storage)'!F509/100))/VLOOKUP($C$505,'DB animal categories'!$C$181:$AC$190,27,FALSE)*AJ509+Q509+R509+S509-AC509,IF(AI509=1,('Calc (ex-animal)'!$L$96*'Calc (ex-housing, ex-storage)'!F509/100)/VLOOKUP($C$505,'DB animal categories'!$C$181:$AC$190,27,FALSE)*AJ509-'Calc (ex-housing, ex-storage)'!AC509,IF(AI509=4,('Calc (ex-animal)'!$L$96+'Calc (ex-animal)'!$K$96)*'Calc (ex-housing, ex-storage)'!F509/100*VLOOKUP(D509,'DB technologies'!$N$238:$Y$250,11,FALSE)/100/VLOOKUP($C$505,'DB animal categories'!$C$181:$AC$190,27,FALSE)*AJ509-AC509*VLOOKUP(D509,'DB technologies'!$N$238:$Y$250,11,FALSE)/100,0)))))</f>
        <v/>
      </c>
      <c r="AQ509" s="184" t="str">
        <f>IF(D509="","",IF(AI509=2,('Calc (ex-animal)'!$O$96*'Calc (ex-housing, ex-storage)'!F509/100+'Calc (ex-animal)'!$N$96*'Calc (ex-housing, ex-storage)'!F509/100)/VLOOKUP($C$505,'DB animal categories'!$C$181:$AC$190,27,FALSE)*AJ509+U509+V509+W509,IF(AI509=1,'Calc (ex-animal)'!$O$96*'Calc (ex-housing, ex-storage)'!F509/100/VLOOKUP($C$505,'DB animal categories'!$C$181:$AC$190,27,FALSE)*AJ509,IF(AI509=4,('Calc (ex-animal)'!$O$96+'Calc (ex-animal)'!$N$96)*'Calc (ex-housing, ex-storage)'!F509/100*VLOOKUP(D509,'DB technologies'!$N$238:$Y$250,11,FALSE)/100/VLOOKUP($C$505,'DB animal categories'!$C$181:$AC$190,27,FALSE)*AJ509,0))))</f>
        <v/>
      </c>
      <c r="AR509" s="184" t="str">
        <f>IF(D509="","",IF(AI509=2,('Calc (ex-animal)'!$R$96*'Calc (ex-housing, ex-storage)'!F509/100+'Calc (ex-animal)'!$Q$96*'Calc (ex-housing, ex-storage)'!F509/100)/VLOOKUP($C$505,'DB animal categories'!$C$181:$AC$190,27,FALSE)*AJ509+Y509+Z509+AA509,IF(AI509=1,'Calc (ex-animal)'!$R$96*'Calc (ex-housing, ex-storage)'!F509/100/VLOOKUP($C$505,'DB animal categories'!$C$181:$AC$190,27,FALSE)*AJ509,IF(AI509=4,('Calc (ex-animal)'!$R$96+'Calc (ex-animal)'!$Q$96)*'Calc (ex-housing, ex-storage)'!F509/100*VLOOKUP(D509,'DB technologies'!$N$238:$Y$250,11,FALSE)/100/VLOOKUP($C$505,'DB animal categories'!$C$181:$AC$190,27,FALSE)*AJ509,0))))</f>
        <v/>
      </c>
      <c r="AS509" s="183" t="str">
        <f>IF(D509="","",VLOOKUP(D509,'DB technologies'!$N$238:$Y$250,10,FALSE))</f>
        <v/>
      </c>
      <c r="AT509" s="452" t="str">
        <f>IF(AS509="","",AU509+AV509)</f>
        <v/>
      </c>
      <c r="AU509" s="452" t="str">
        <f>IF(D509="","",IF(AS509=2,0,IF(AS509=1,'Calc (ex-animal)'!$G$96*'DB additional information '!$K$20/100*(1-VLOOKUP(D509,'DB technologies'!$N$238:$Y$250,8,FALSE)/100)*'Calc (ex-housing, ex-storage)'!F509/100/VLOOKUP($C$505,'DB animal categories'!$C$181:$AC$190,27,FALSE)*AJ509+I509+J509+K509,IF(AS509=5,(('Calc (ex-animal)'!$G$96*'DB additional information '!$K$20/100+'Calc (ex-animal)'!$H$96*'DB additional information '!$L$20/100))*(1-VLOOKUP(D509,'DB technologies'!$N$238:$Y$250,9,FALSE)/100)*'Calc (ex-housing, ex-storage)'!F509/100/VLOOKUP($C$505,'DB animal categories'!$C$181:$AC$190,27,FALSE)*AJ509+I509+J509+K509,IF(AS509=3,('Calc (ex-animal)'!$G$96*'DB additional information '!$K$20/100+'Calc (ex-animal)'!$H$96*'DB additional information '!$L$20/100)*(1-VLOOKUP(D509,'DB technologies'!$N$238:$Y$250,9,FALSE)/100)*'Calc (ex-housing, ex-storage)'!F509/100/VLOOKUP($C$505,'DB animal categories'!$C$181:$AC$190,27,FALSE)*AJ509+I509+J509+K509,IF(AS509=4,('Calc (ex-animal)'!$G$96*'DB additional information '!$K$20/100+'Calc (ex-animal)'!$H$96*'DB additional information '!$L$20/100)*(1-VLOOKUP(D509,'DB technologies'!$N$238:$Y$250,9,FALSE)/100)*'Calc (ex-housing, ex-storage)'!F509/100*VLOOKUP(D509,'DB technologies'!$N$238:$Y$250,12,FALSE)/100/VLOOKUP($C$505,'DB animal categories'!$C$181:$AC$190,27,FALSE)*AJ509+I509+J509+K509,0))))))</f>
        <v/>
      </c>
      <c r="AV509" s="452" t="str">
        <f>IF(D509="","",IF(AS509=2,0,IF(AS509=1,'Calc (ex-animal)'!$G$96*(1-'DB additional information '!$K$20/100)*(1-VLOOKUP(D509,'DB technologies'!$N$238:$Y$250,8,FALSE)/100)*'Calc (ex-housing, ex-storage)'!F509/100/VLOOKUP($C$505,'DB animal categories'!$C$181:$AC$190,27,FALSE)*AJ509+M509+N509+O509,IF(AS509=5,('Calc (ex-animal)'!$G$96*(1-'DB additional information '!$K$20/100)+'Calc (ex-animal)'!$H$96*(1-'DB additional information '!$L$20/100))*(1-VLOOKUP(D509,'DB technologies'!$N$238:$Y$250,8,FALSE)/100)*'Calc (ex-housing, ex-storage)'!F509/100/VLOOKUP($C$505,'DB animal categories'!$C$181:$AC$190,27,FALSE)*AJ509+M509+N509+O509,IF(AS509=3,('Calc (ex-animal)'!$G$96*(1-'DB additional information '!$K$20/100)+'Calc (ex-animal)'!$H$96*(1-'DB additional information '!$L$20/100))*(1-VLOOKUP(D509,'DB technologies'!$N$238:$Y$250,8,FALSE)/100)*'Calc (ex-housing, ex-storage)'!F509/100/VLOOKUP($C$505,'DB animal categories'!$C$181:$AC$190,27,FALSE)*AJ509+M509+N509+O509,IF(AS509=4,('Calc (ex-animal)'!$G$96*(1-'DB additional information '!$K$20/100)+'Calc (ex-animal)'!$H$96*(1-'DB additional information '!$L$20/100))*(1-VLOOKUP(D509,'DB technologies'!$N$238:$Y$250,8,FALSE)/100)*'Calc (ex-housing, ex-storage)'!F509/100*VLOOKUP(D509,'DB technologies'!$N$238:$Y$250,12,FALSE)/100/VLOOKUP($C$505,'DB animal categories'!$C$181:$AC$190,27,FALSE)*AJ509+M509+N509+O509,0))))))</f>
        <v/>
      </c>
      <c r="AW509" s="452" t="str">
        <f>IF(AS509="","",IF(AU509=0,0,AU509/AT509*100))</f>
        <v/>
      </c>
      <c r="AX509" s="184" t="str">
        <f>IF(D509="","",IF(AS509=2,0,IF(AS509=1,'Calc (ex-animal)'!$K$96*'Calc (ex-housing, ex-storage)'!F509/100/VLOOKUP($C$505,'DB animal categories'!$C$181:$AC$190,27,FALSE)*AJ509+Q509+R509+S509,IF(AS509=5,('Calc (ex-animal)'!$K$96+'Calc (ex-animal)'!$L$96)*'Calc (ex-housing, ex-storage)'!F509/100/VLOOKUP($C$505,'DB animal categories'!$C$181:$AC$190,27,FALSE)*AJ509+Q509+R509+S509-'Calc (ex-housing, ex-storage)'!AC509,IF(AS509=3,('Calc (ex-animal)'!$K$96+'Calc (ex-animal)'!$L$96)*'Calc (ex-housing, ex-storage)'!F509/100/VLOOKUP($C$505,'DB animal categories'!$C$181:$AC$190,27,FALSE)*AJ509+Q509+R509+S509-'Calc (ex-housing, ex-storage)'!AC509-AD509-AE509,IF(AI509=4,('Calc (ex-animal)'!$K$96+'Calc (ex-animal)'!$L$96)*'Calc (ex-housing, ex-storage)'!F509/100*VLOOKUP(D509,'DB technologies'!$N$238:$Y$250,12,FALSE)/100/VLOOKUP($C$505,'DB animal categories'!$C$181:$AC$190,27,FALSE)*AJ509+Q509+R509+S509-(VLOOKUP(D509,'DB technologies'!$N$238:$Y$250,12,FALSE)/100*AC509)-AD509-AE509,0))))))</f>
        <v/>
      </c>
      <c r="AY509" s="184" t="str">
        <f>IF(D509="","",IF(AS509=2,0,IF(AS509=1,'Calc (ex-animal)'!$N$96*'Calc (ex-housing, ex-storage)'!F509/100/VLOOKUP($C$505,'DB animal categories'!$C$181:$AC$190,27,FALSE)*AJ509+U509+V509+W509,IF(AS509=5,('Calc (ex-animal)'!$N$96+'Calc (ex-animal)'!$O$96)*'Calc (ex-housing, ex-storage)'!F509/100/VLOOKUP($C$505,'DB animal categories'!$C$181:$AC$190,27,FALSE)*AJ509+U509+V509+W509,IF(AS509=3,('Calc (ex-animal)'!$N$96+'Calc (ex-animal)'!$O$96)*'Calc (ex-housing, ex-storage)'!F509/100/VLOOKUP($C$505,'DB animal categories'!$C$181:$AC$190,27,FALSE)*AJ509+U509+V509+W509,IF(AS509=4,('Calc (ex-animal)'!$N$96+'Calc (ex-animal)'!$O$96)*'Calc (ex-housing, ex-storage)'!F509/100*VLOOKUP(D509,'DB technologies'!$N$238:$Y$250,12,FALSE)/100/VLOOKUP($C$505,'DB animal categories'!$C$181:$AC$190,27,FALSE)*AJ509+U509+V509+W509,0))))))</f>
        <v/>
      </c>
      <c r="AZ509" s="184" t="str">
        <f>IF(D509="","",IF(AS509=2,0,IF(AS509=1,'Calc (ex-animal)'!$Q$96*'Calc (ex-housing, ex-storage)'!F509/100/VLOOKUP($C$505,'DB animal categories'!$C$181:$AC$190,27,FALSE)*AJ509+Y509+Z509+AA509,IF(AS509=5,('Calc (ex-animal)'!$Q$96+'Calc (ex-animal)'!$R$96)*'Calc (ex-housing, ex-storage)'!F509/100/VLOOKUP($C$505,'DB animal categories'!$C$181:$AC$190,27,FALSE)*AJ509+Y509+Z509+AA509,IF(AS509=3,('Calc (ex-animal)'!$Q$96+'Calc (ex-animal)'!$R$96)*'Calc (ex-housing, ex-storage)'!F509/100/VLOOKUP($C$505,'DB animal categories'!$C$181:$AC$190,27,FALSE)*AJ509+Y509+Z509+AA509,IF(AS509=4,('Calc (ex-animal)'!$Q$96+'Calc (ex-animal)'!$R$96)*'Calc (ex-housing, ex-storage)'!F509/100*VLOOKUP(D509,'DB technologies'!$N$238:$Y$250,12,FALSE)/100/VLOOKUP($C$505,'DB animal categories'!$C$181:$AC$190,27,FALSE)*AJ509+Y509+Z509+AA509,0))))))</f>
        <v/>
      </c>
      <c r="BA509" s="506"/>
      <c r="BB509" s="506"/>
      <c r="BC509" s="506"/>
    </row>
    <row r="510" spans="1:55" ht="12" thickBot="1" x14ac:dyDescent="0.25">
      <c r="A510" s="748"/>
      <c r="B510" s="695"/>
      <c r="C510" s="252"/>
      <c r="D510" s="269" t="s">
        <v>58</v>
      </c>
      <c r="E510" s="270">
        <f>IF(F510&lt;=100,SUM(E505:E509),"ERROR")</f>
        <v>0</v>
      </c>
      <c r="F510" s="284">
        <f>IF(SUM(F505:F509) &lt;=100,SUM(F505:F509),"ERROR, SUM&gt;100%")</f>
        <v>0</v>
      </c>
      <c r="G510" s="550">
        <f>IF('Calc (ex-animal)'!$F$93=1,"",SUM(G505:G509))</f>
        <v>0</v>
      </c>
      <c r="H510" s="418">
        <f>IF('Calc (ex-animal)'!$F$8=1,"",SUM(H505:H509))</f>
        <v>0</v>
      </c>
      <c r="I510" s="418">
        <f>IF('Calc (ex-animal)'!$F$8=1,"",SUM(I505:I509))</f>
        <v>0</v>
      </c>
      <c r="J510" s="418">
        <f>IF('Calc (ex-animal)'!$F$8=1,"",SUM(J505:J509))</f>
        <v>0</v>
      </c>
      <c r="K510" s="418">
        <f>IF('Calc (ex-animal)'!$F$8=1,"",SUM(K505:K509))</f>
        <v>0</v>
      </c>
      <c r="L510" s="418">
        <f>IF('Calc (ex-animal)'!$F$8=1,"",SUM(L505:L509))</f>
        <v>0</v>
      </c>
      <c r="M510" s="551"/>
      <c r="N510" s="551"/>
      <c r="O510" s="551"/>
      <c r="P510" s="552">
        <f>IF(G510=0,0,IF('Calc (ex-animal)'!$F$93=1,"",IF(D510="","",SUM(H510:K510)/G510*100)))</f>
        <v>0</v>
      </c>
      <c r="Q510" s="271"/>
      <c r="R510" s="271"/>
      <c r="S510" s="271"/>
      <c r="T510" s="285">
        <f>IF('Calc (ex-animal)'!$F$96=1,"",SUM(T505:T509))</f>
        <v>0</v>
      </c>
      <c r="U510" s="286"/>
      <c r="V510" s="286"/>
      <c r="W510" s="286"/>
      <c r="X510" s="286">
        <f>IF('Calc (ex-animal)'!$F$96=1,"",SUM(X505:X509))</f>
        <v>0</v>
      </c>
      <c r="Y510" s="286"/>
      <c r="Z510" s="286"/>
      <c r="AA510" s="286"/>
      <c r="AB510" s="286">
        <f>IF('Calc (ex-animal)'!$F$96=1,"",SUM(AB505:AB509))</f>
        <v>0</v>
      </c>
      <c r="AC510" s="286">
        <f>IF('Calc (ex-animal)'!$F$96=1,"",SUM(AC505:AC509))</f>
        <v>0</v>
      </c>
      <c r="AD510" s="286">
        <f>IF('Calc (ex-animal)'!$F$96=1,"",SUM(AD505:AD509))</f>
        <v>0</v>
      </c>
      <c r="AE510" s="287">
        <f>IF('Calc (ex-animal)'!$F$96=1,"",SUM(AE505:AE509))</f>
        <v>0</v>
      </c>
    </row>
    <row r="511" spans="1:55" x14ac:dyDescent="0.2">
      <c r="A511" s="748"/>
      <c r="B511" s="695"/>
      <c r="C511" s="250">
        <f>'Calc (ex-animal)'!D97</f>
        <v>0</v>
      </c>
      <c r="D511" s="1355"/>
      <c r="E511" s="1356"/>
      <c r="F511" s="479" t="str">
        <f>IF('Calc (ex-animal)'!$F$93=1,"",IF($C$511=0,"",IF(D511="","",E511/'Calc (ex-animal)'!$E$97*100)))</f>
        <v/>
      </c>
      <c r="G511" s="484" t="str">
        <f>IF($C$511=0,"",IF('Calc (ex-animal)'!$F$93=1,"",IF(D511="","",SUM(H511:O511))))</f>
        <v/>
      </c>
      <c r="H511" s="471" t="str">
        <f>IF('Calc (ex-animal)'!$F$93=1,"",IF(D511="","",(((VLOOKUP($C$511,'Calc (ex-animal)'!$D$93:$Y$97,6,FALSE)-VLOOKUP($C$511,'Calc (ex-animal)'!$D$93:$Y$97,17,FALSE))*F511/100))*VLOOKUP($C$511,'Calc (ex-animal)'!$D$93:$Y$97,7,FALSE)/100*(1-VLOOKUP(D511,'DB technologies'!$N$238:$Y$250,9,FALSE)/100)))</f>
        <v/>
      </c>
      <c r="I511" s="471" t="str">
        <f>IF(D511="","",((VLOOKUP(D511,'DB technologies'!$N$238:$Y$250,2,FALSE)*VLOOKUP($C$511,'DB animal categories'!$C$181:$AC$190,27,FALSE)*E511/1000)/VLOOKUP($C$511,'DB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'!$S$6/100*(1-VLOOKUP(D511,'DB technologies'!$N$238:$Y$250,9,FALSE)/100)))</f>
        <v/>
      </c>
      <c r="J511" s="472" t="str">
        <f>IF(D511="","",((VLOOKUP(D511,'DB technologies'!$N$238:$Y$250,3,FALSE)*VLOOKUP($C$511,'DB animal categories'!$C$181:$AC$190,27,FALSE)*E511/1000)/VLOOKUP($C$511,'DB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'!$S$7/100*(1-VLOOKUP(D511,'DB technologies'!$N$238:$Y$250,9,FALSE)/100)))</f>
        <v/>
      </c>
      <c r="K511" s="472" t="str">
        <f>IF(D511="","",((VLOOKUP(D511,'DB technologies'!$N$238:$Y$250,4,FALSE)*E511*'DB additional information '!$S$8/100*(1-VLOOKUP(D511,'DB technologies'!$N$238:$Y$250,9,FALSE)/100))/VLOOKUP($C$511,'DB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L511" s="471" t="str">
        <f>IF('Calc (ex-animal)'!$F$93=1,"",IF(D511="","",(((VLOOKUP($C$511,'Calc (ex-animal)'!$D$93:$Y$97,6,FALSE)-VLOOKUP($C$511,'Calc (ex-animal)'!$D$93:$Y$97,17,FALSE))*F511/100))*(1-VLOOKUP($C$511,'Calc (ex-animal)'!$D$93:$Y$97,7,FALSE)/100)*(1-VLOOKUP(D511,'DB technologies'!$N$238:$V$250,8,FALSE)/100)))</f>
        <v/>
      </c>
      <c r="M511" s="472" t="str">
        <f>IF(D511="","",((VLOOKUP(D511,'DB technologies'!$N$238:$Y$250,2,FALSE)*VLOOKUP($C$511,'DB animal categories'!$C$181:$AC$190,27,FALSE)*E511/1000)/VLOOKUP($C$511,'DB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'!$S$6/100)*(1-VLOOKUP(D511,'DB technologies'!$N$238:$Y$250,9,FALSE)/100))</f>
        <v/>
      </c>
      <c r="N511" s="472" t="str">
        <f>IF(D511="","",((VLOOKUP(D511,'DB technologies'!$N$238:$Y$250,3,FALSE)*VLOOKUP($C$511,'DB animal categories'!$C$181:$AC$190,27,FALSE)*E511/1000)/VLOOKUP($C$511,'DB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'!$S$7/100)*(1-VLOOKUP(D511,'DB technologies'!$N$238:$Y$250,9,FALSE)/100))</f>
        <v/>
      </c>
      <c r="O511" s="471" t="str">
        <f>IF(D511="","",((VLOOKUP(D511,'DB technologies'!$N$238:$Y$250,4,FALSE)*E511*(1-'DB additional information '!$S$8/100)*(1-VLOOKUP(D511,'DB technologies'!$N$238:$Y$250,8,FALSE)/100))/VLOOKUP($C$511,'DB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P511" s="443" t="str">
        <f>IF(G511=0,0,IF(E511="","",IF(F511="","",IF($C$511=0,"",IF(D511="","",SUM(H511:K511)/G511*100)))))</f>
        <v/>
      </c>
      <c r="Q511" s="473" t="str">
        <f>IF(D511="","",(VLOOKUP(D511,'DB technologies'!$N$238:$Y$250,2,FALSE)*'DB additional information '!$S$6/100*'DB additional information '!$T$6*VLOOKUP($C$511,'DB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R511" s="473" t="str">
        <f>IF(D511="","",(VLOOKUP(D511,'DB technologies'!$N$238:$Y$250,3,FALSE)*'DB additional information '!$S$7/100*'DB additional information '!$T$7*VLOOKUP($C$511,'DB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S511" s="490" t="str">
        <f>IF(D511="","",(VLOOKUP(D511,'DB technologies'!$N$238:$Y$250,4,FALSE)*('DB additional information '!$S$8/100*'DB additional information '!$T$8*E511/1000/1000)))</f>
        <v/>
      </c>
      <c r="T511" s="263" t="str">
        <f>IF($C$511=0,"",IF('Calc (ex-animal)'!$F$93=1,"",IF(D511="","",((VLOOKUP($C$511,'Calc (ex-animal)'!$D$93:$Y$97,10,FALSE)-VLOOKUP($C$511,'Calc (ex-animal)'!$D$93:$Y$97,18,FALSE))*F511/100+Q511+R511+S511)-AC511-AD511-AE511)))</f>
        <v/>
      </c>
      <c r="U511" s="474" t="str">
        <f>IF(D511="","",(VLOOKUP(D511,'DB technologies'!$N$238:$Y$250,2,FALSE)*'DB additional information '!$S$6/100*'DB additional information '!$U$6*VLOOKUP($C$511,'DB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V511" s="420" t="str">
        <f>IF(D511="","",(VLOOKUP(D511,'DB technologies'!$N$238:$Y$250,3,FALSE)*'DB additional information '!$S$7/100*'DB additional information '!$U$7*VLOOKUP($C$511,'DB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W511" s="415" t="str">
        <f>IF(D511="","",(VLOOKUP(D511,'DB technologies'!$N$238:$Y$250,4,FALSE)*('DB additional information '!$S$8/100*'DB additional information '!$U$8*E511/1000/1000)))</f>
        <v/>
      </c>
      <c r="X511" s="259" t="str">
        <f>IF($C$511=0,"",IF('Calc (ex-animal)'!$F$93=1,"",IF(D511="","",((VLOOKUP($C$511,'Calc (ex-animal)'!$D$93:$Y$97,13,FALSE)-VLOOKUP($C$511,'Calc (ex-animal)'!$D$93:$Y$97,19,FALSE))*F511/100+U511+V511+W511))))</f>
        <v/>
      </c>
      <c r="Y511" s="420" t="str">
        <f>IF(D511="","",(VLOOKUP(D511,'DB technologies'!$N$238:$Y$250,2,FALSE)*'DB additional information '!$S$6/100*'DB additional information '!$V$6*VLOOKUP($C$511,'DB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Z511" s="420" t="str">
        <f>IF(D511="","",(VLOOKUP(D511,'DB technologies'!$N$238:$Y$250,3,FALSE)*'DB additional information '!$S$7/100*'DB additional information '!$V$7*VLOOKUP($C$511,'DB animal categories'!$C$181:$AC$190,27,FALSE)*E511/1000/1000)/VLOOKUP($C$511,'DB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AA511" s="420" t="str">
        <f>IF(D511="","",(VLOOKUP(D511,'DB technologies'!$N$238:$Y$250,4,FALSE)*('DB additional information '!$S$8/100*'DB additional information '!$V$8*E511/1000/1000)))</f>
        <v/>
      </c>
      <c r="AB511" s="259" t="str">
        <f>IF($C$511=0,"",IF('Calc (ex-animal)'!$F$93=1,"",IF(D511="","",((VLOOKUP($C$511,'Calc (ex-animal)'!$D$93:$Y$97,16,FALSE)-VLOOKUP($C$511,'Calc (ex-animal)'!$D$93:$Y$97,20,FALSE))*F511/100+Y511+Z511+AA511))))</f>
        <v/>
      </c>
      <c r="AC511" s="259" t="str">
        <f>IF($C$511=0,"",IF('Calc (ex-animal)'!$F$93=1,"",IF(D511="","",VLOOKUP($C$511,'Calc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categories'!$C$181:$AC$190,26,FALSE)/24)*F511/100*VLOOKUP(D511,'DB technologies'!$N$238:$R$250,5,FALSE)/100)))</f>
        <v/>
      </c>
      <c r="AD511" s="259" t="str">
        <f>IF($C$511=0,"",IF('Calc (ex-animal)'!$F$93=1,"",IF(D511="","",VLOOKUP($C$511,'Calc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categories'!$C$181:$AC$190,26,FALSE)/24)*F511/100*VLOOKUP(D511,'DB technologies'!$N$238:$Y$250,6,FALSE)/100)))</f>
        <v/>
      </c>
      <c r="AE511" s="260" t="str">
        <f>IF($C$511=0,"",IF('Calc (ex-animal)'!$F$93=1,"",IF(D511="","",VLOOKUP($C$511,'Calc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categories'!$C$181:$AC$190,26,FALSE)/24)*F511/100*VLOOKUP(D511,'DB technologies'!$N$238:$Y$250,7,FALSE)/100)))</f>
        <v/>
      </c>
      <c r="AI511" s="179" t="str">
        <f>IF(D511="","",VLOOKUP(D511,'DB technologies'!$N$238:$Y$250,10,FALSE))</f>
        <v/>
      </c>
      <c r="AJ511" s="482" t="e">
        <f>VLOOKUP($C$511,'DB animal categories'!$C$181:$AN$190,27,FALSE)-VLOOKUP($C$511,'DB animal categories'!$C$181:$AN$190,26,FALSE)*VLOOKUP($C$511,'DB animal categories'!$C$181:$AN$190,25,FALSE)/24</f>
        <v>#N/A</v>
      </c>
      <c r="AK511" s="453" t="str">
        <f>IF(AI511="","",AL511+AM511)</f>
        <v/>
      </c>
      <c r="AL511" s="453" t="str">
        <f>IF(D511="","",IF(AI511=2,(('Calc (ex-animal)'!$G$97*'DB additional information '!$K$20/100*(1-VLOOKUP(D511,'DB technologies'!$N$238:$Y$250,9,FALSE)/100)*'Calc (ex-housing, ex-storage)'!F511/100+'Calc (ex-animal)'!$H$97*'DB additional information '!$L$20/100*(1-VLOOKUP(D511,'DB technologies'!$N$238:$Y$250,9,FALSE)/100)*'Calc (ex-housing, ex-storage)'!F511/100))/VLOOKUP($C$511,'DB animal categories'!$C$181:$AC$190,27,FALSE)*AJ511+I511+J511+K511,IF(AI511=1,('Calc (ex-animal)'!$H$97*'DB additional information '!$L$20/100*(1-VLOOKUP(D511,'DB technologies'!$N$238:$Y$250,9,FALSE)/100)*'Calc (ex-housing, ex-storage)'!F511/100)/VLOOKUP($C$511,'DB animal categories'!$C$181:$AC$190,27,FALSE)*AJ511,IF(AI511=4,('Calc (ex-animal)'!$G$97*'DB additional information '!$K$20/100+'Calc (ex-animal)'!$H$97*'DB additional information '!$L$20/100)*(1-VLOOKUP(D511,'DB technologies'!$N$238:$Y$250,9,FALSE)/100)*'Calc (ex-housing, ex-storage)'!F511/100*VLOOKUP(D511,'DB technologies'!$N$238:$Y$250,11,FALSE)/100/VLOOKUP($C$511,'DB animal categories'!$C$181:$AC$190,27,FALSE)*AJ511,0))))</f>
        <v/>
      </c>
      <c r="AM511" s="453" t="str">
        <f>IF(D511="","",IF(AI511=2,(('Calc (ex-animal)'!$G$97*(1-'DB additional information '!$K$20/100)*(1-VLOOKUP(D511,'DB technologies'!$N$238:$Y$250,8,FALSE)/100)*'Calc (ex-housing, ex-storage)'!F511/100+'Calc (ex-animal)'!$H$97*(1-'DB additional information '!$L$20/100)*(1-VLOOKUP(D511,'DB technologies'!$N$238:$Y$250,8,FALSE)/100)*'Calc (ex-housing, ex-storage)'!F511/100))/VLOOKUP($C$511,'DB animal categories'!$C$181:$AC$190,27,FALSE)*AJ511+M511+N511+O511,IF(AI511=1,('Calc (ex-animal)'!$H$97*(1-'DB additional information '!$L$20/100)*(1-VLOOKUP(D511,'DB technologies'!$N$238:$Y$250,8,FALSE)/100)*'Calc (ex-housing, ex-storage)'!F511/100)/VLOOKUP($C$511,'DB animal categories'!$C$181:$AC$190,27,FALSE)*AJ511,IF(AI511=4,('Calc (ex-animal)'!$G$97*(1-'DB additional information '!$K$20/100)+'Calc (ex-animal)'!$H$97*(1-'DB additional information '!$L$20/100))*(1-VLOOKUP(D511,'DB technologies'!$N$238:$Y$250,8,FALSE)/100)*'Calc (ex-housing, ex-storage)'!F511/100*VLOOKUP(D511,'DB technologies'!$N$238:$Y$250,11,FALSE)/100/VLOOKUP($C$511,'DB animal categories'!$C$181:$AC$190,27,FALSE)*AJ511,0))))</f>
        <v/>
      </c>
      <c r="AN511" s="453" t="str">
        <f>IF(AI511="","",IF(AL511=0,0,AL511/AK511*100))</f>
        <v/>
      </c>
      <c r="AO511" s="180" t="str">
        <f>IF(D511="","",IF(AI511=2,(('Calc (ex-animal)'!$L$97*'Calc (ex-housing, ex-storage)'!F511/100+'Calc (ex-animal)'!$K$97*'Calc (ex-housing, ex-storage)'!F511/100))/VLOOKUP($C$511,'DB animal categories'!$C$181:$AC$190,27,FALSE)*AJ511+Q511+R511+S511-AC511,IF(AI511=1,('Calc (ex-animal)'!$L$97*'Calc (ex-housing, ex-storage)'!F511/100)/VLOOKUP($C$511,'DB animal categories'!$C$181:$AC$190,27,FALSE)*AJ511-'Calc (ex-housing, ex-storage)'!AC511,IF(AI511=4,('Calc (ex-animal)'!$L$97+'Calc (ex-animal)'!$K$97)*'Calc (ex-housing, ex-storage)'!F511/100*VLOOKUP(D511,'DB technologies'!$N$238:$Y$250,11,FALSE)/100/VLOOKUP($C$511,'DB animal categories'!$C$181:$AC$190,27,FALSE)*AJ511-AC511*VLOOKUP(D511,'DB technologies'!$N$238:$Y$250,11,FALSE)/100,0))))</f>
        <v/>
      </c>
      <c r="AP511" s="180" t="str">
        <f>IF(D511="","",IF(AO511&lt;-0.01,0,IF(AI511=2,(('Calc (ex-animal)'!$L$97*'Calc (ex-housing, ex-storage)'!F511/100+'Calc (ex-animal)'!$K$97*'Calc (ex-housing, ex-storage)'!F511/100))/VLOOKUP($C$511,'DB animal categories'!$C$181:$AC$190,27,FALSE)*AJ511+Q511+R511+S511-AC511,IF(AI511=1,('Calc (ex-animal)'!$L$97*'Calc (ex-housing, ex-storage)'!F511/100)/VLOOKUP($C$511,'DB animal categories'!$C$181:$AC$190,27,FALSE)*AJ511-'Calc (ex-housing, ex-storage)'!AC511,IF(AI511=4,('Calc (ex-animal)'!$L$97+'Calc (ex-animal)'!$K$97)*'Calc (ex-housing, ex-storage)'!F511/100*VLOOKUP(D511,'DB technologies'!$N$238:$Y$250,11,FALSE)/100/VLOOKUP($C$511,'DB animal categories'!$C$181:$AC$190,27,FALSE)*AJ511-AC511*VLOOKUP(D511,'DB technologies'!$N$238:$Y$250,11,FALSE)/100,0)))))</f>
        <v/>
      </c>
      <c r="AQ511" s="180" t="str">
        <f>IF(D511="","",IF(AI511=2,('Calc (ex-animal)'!$O$97*'Calc (ex-housing, ex-storage)'!F511/100+'Calc (ex-animal)'!$N$97*'Calc (ex-housing, ex-storage)'!F511/100)/VLOOKUP($C$511,'DB animal categories'!$C$181:$AC$190,27,FALSE)*AJ511+U511+V511+W511,IF(AI511=1,'Calc (ex-animal)'!$O$97*'Calc (ex-housing, ex-storage)'!F511/100/VLOOKUP($C$511,'DB animal categories'!$C$181:$AC$190,27,FALSE)*AJ511,IF(AI511=4,('Calc (ex-animal)'!$O$97+'Calc (ex-animal)'!$N$97)*'Calc (ex-housing, ex-storage)'!F511/100*VLOOKUP(D511,'DB technologies'!$N$238:$Y$250,11,FALSE)/100/VLOOKUP($C$511,'DB animal categories'!$C$181:$AC$190,27,FALSE)*AJ511,0))))</f>
        <v/>
      </c>
      <c r="AR511" s="180" t="str">
        <f>IF(D511="","",IF(AI511=2,('Calc (ex-animal)'!$R$97*'Calc (ex-housing, ex-storage)'!F511/100+'Calc (ex-animal)'!$Q$97*'Calc (ex-housing, ex-storage)'!F511/100)/VLOOKUP($C$511,'DB animal categories'!$C$181:$AC$190,27,FALSE)*AJ511+Y511+Z511+AA511,IF(AI511=1,'Calc (ex-animal)'!$R$97*'Calc (ex-housing, ex-storage)'!F511/100/VLOOKUP($C$511,'DB animal categories'!$C$181:$AC$190,27,FALSE)*AJ511,IF(AI511=4,('Calc (ex-animal)'!$R$97+'Calc (ex-animal)'!$Q$97)*'Calc (ex-housing, ex-storage)'!F511/100*VLOOKUP(D511,'DB technologies'!$N$238:$Y$250,11,FALSE)/100/VLOOKUP($C$511,'DB animal categories'!$C$181:$AC$190,27,FALSE)*AJ511,0))))</f>
        <v/>
      </c>
      <c r="AS511" s="179" t="str">
        <f>IF(D511="","",VLOOKUP(D511,'DB technologies'!$N$238:$Y$250,10,FALSE))</f>
        <v/>
      </c>
      <c r="AT511" s="453" t="str">
        <f>IF(AS511="","",AU511+AV511)</f>
        <v/>
      </c>
      <c r="AU511" s="453" t="str">
        <f>IF(D511="","",IF(AS511=2,0,IF(AS511=1,'Calc (ex-animal)'!$G$97*'DB additional information '!$K$20/100*(1-VLOOKUP(D511,'DB technologies'!$N$238:$Y$250,8,FALSE)/100)*'Calc (ex-housing, ex-storage)'!F511/100/VLOOKUP($C$511,'DB animal categories'!$C$181:$AC$190,27,FALSE)*AJ511+I511+J511+K511,IF(AS511=5,(('Calc (ex-animal)'!$G$97*'DB additional information '!$K$20/100+'Calc (ex-animal)'!$H$97*'DB additional information '!$L$20/100))*(1-VLOOKUP(D511,'DB technologies'!$N$238:$Y$250,9,FALSE)/100)*'Calc (ex-housing, ex-storage)'!F511/100/VLOOKUP($C$511,'DB animal categories'!$C$181:$AC$190,27,FALSE)*AJ511+I511+J511+K511,IF(AS511=3,('Calc (ex-animal)'!$G$97*'DB additional information '!$K$20/100+'Calc (ex-animal)'!$H$97*'DB additional information '!$L$20/100)*(1-VLOOKUP(D511,'DB technologies'!$N$238:$Y$250,9,FALSE)/100)*'Calc (ex-housing, ex-storage)'!F511/100/VLOOKUP($C$511,'DB animal categories'!$C$181:$AC$190,27,FALSE)*AJ511+I511+J511+K511,IF(AS511=4,('Calc (ex-animal)'!$G$97*'DB additional information '!$K$20/100+'Calc (ex-animal)'!$H$97*'DB additional information '!$L$20/100)*(1-VLOOKUP(D511,'DB technologies'!$N$238:$Y$250,9,FALSE)/100)*'Calc (ex-housing, ex-storage)'!F511/100*VLOOKUP(D511,'DB technologies'!$N$238:$Y$250,12,FALSE)/100/VLOOKUP($C$511,'DB animal categories'!$C$181:$AC$190,27,FALSE)*AJ511+I511+J511+K511,0))))))</f>
        <v/>
      </c>
      <c r="AV511" s="453" t="str">
        <f>IF(D511="","",IF(AS511=2,0,IF(AS511=1,'Calc (ex-animal)'!$G$97*(1-'DB additional information '!$K$20/100)*(1-VLOOKUP(D511,'DB technologies'!$N$238:$Y$250,8,FALSE)/100)*'Calc (ex-housing, ex-storage)'!F511/100/VLOOKUP($C$511,'DB animal categories'!$C$181:$AC$190,27,FALSE)*AJ511+M511+N511+O511,IF(AS511=5,('Calc (ex-animal)'!$G$97*(1-'DB additional information '!$K$20/100)+'Calc (ex-animal)'!$H$97*(1-'DB additional information '!$L$20/100))*(1-VLOOKUP(D511,'DB technologies'!$N$238:$Y$250,8,FALSE)/100)*'Calc (ex-housing, ex-storage)'!F511/100/VLOOKUP($C$511,'DB animal categories'!$C$181:$AC$190,27,FALSE)*AJ511+M511+N511+O511,IF(AS511=3,('Calc (ex-animal)'!$G$97*(1-'DB additional information '!$K$20/100)+'Calc (ex-animal)'!$H$97*(1-'DB additional information '!$L$20/100))*(1-VLOOKUP(D511,'DB technologies'!$N$238:$Y$250,8,FALSE)/100)*'Calc (ex-housing, ex-storage)'!F511/100/VLOOKUP($C$511,'DB animal categories'!$C$181:$AC$190,27,FALSE)*AJ511+M511+N511+O511,IF(AS511=4,('Calc (ex-animal)'!$G$97*(1-'DB additional information '!$K$20/100)+'Calc (ex-animal)'!$H$97*(1-'DB additional information '!$L$20/100))*(1-VLOOKUP(D511,'DB technologies'!$N$238:$Y$250,8,FALSE)/100)*'Calc (ex-housing, ex-storage)'!F511/100*VLOOKUP(D511,'DB technologies'!$N$238:$Y$250,12,FALSE)/100/VLOOKUP($C$511,'DB animal categories'!$C$181:$AC$190,27,FALSE)*AJ511+M511+N511+O511,0))))))</f>
        <v/>
      </c>
      <c r="AW511" s="453" t="str">
        <f>IF(AS511="","",IF(AU511=0,0,AU511/AT511*100))</f>
        <v/>
      </c>
      <c r="AX511" s="180" t="str">
        <f>IF(D511="","",IF(AS511=2,0,IF(AS511=1,'Calc (ex-animal)'!$K$97*'Calc (ex-housing, ex-storage)'!F511/100/VLOOKUP($C$511,'DB animal categories'!$C$181:$AC$190,27,FALSE)*AJ511+Q511+R511+S511,IF(AS511=5,('Calc (ex-animal)'!$K$97+'Calc (ex-animal)'!$L$97)*'Calc (ex-housing, ex-storage)'!F511/100/VLOOKUP($C$511,'DB animal categories'!$C$181:$AC$190,27,FALSE)*AJ511+Q511+R511+S511-'Calc (ex-housing, ex-storage)'!AC511,IF(AS511=3,('Calc (ex-animal)'!$K$97+'Calc (ex-animal)'!$L$97)*'Calc (ex-housing, ex-storage)'!F511/100/VLOOKUP($C$511,'DB animal categories'!$C$181:$AC$190,27,FALSE)*AJ511+Q511+R511+S511-'Calc (ex-housing, ex-storage)'!AC511-AD511-AE511,IF(AI511=4,('Calc (ex-animal)'!$K$97+'Calc (ex-animal)'!$L$97)*'Calc (ex-housing, ex-storage)'!F511/100*VLOOKUP(D511,'DB technologies'!$N$238:$Y$250,12,FALSE)/100/VLOOKUP($C$511,'DB animal categories'!$C$181:$AC$190,27,FALSE)*AJ511+Q511+R511+S511-(VLOOKUP(D511,'DB technologies'!$N$238:$Y$250,12,FALSE)/100*AC511)-AD511-AE511,0))))))</f>
        <v/>
      </c>
      <c r="AY511" s="180" t="str">
        <f>IF(D511="","",IF(AS511=2,0,IF(AS511=1,'Calc (ex-animal)'!$N$97*'Calc (ex-housing, ex-storage)'!F511/100/VLOOKUP($C$511,'DB animal categories'!$C$181:$AC$190,27,FALSE)*AJ511+U511+V511+W511,IF(AS511=5,('Calc (ex-animal)'!$N$97+'Calc (ex-animal)'!$O$97)*'Calc (ex-housing, ex-storage)'!F511/100/VLOOKUP($C$511,'DB animal categories'!$C$181:$AC$190,27,FALSE)*AJ511+U511+V511+W511,IF(AS511=3,('Calc (ex-animal)'!$N$97+'Calc (ex-animal)'!$O$97)*'Calc (ex-housing, ex-storage)'!F511/100/VLOOKUP($C$511,'DB animal categories'!$C$181:$AC$190,27,FALSE)*AJ511+U511+V511+W511,IF(AS511=4,('Calc (ex-animal)'!$N$97+'Calc (ex-animal)'!$O$97)*'Calc (ex-housing, ex-storage)'!F511/100*VLOOKUP(D511,'DB technologies'!$N$238:$Y$250,12,FALSE)/100/VLOOKUP($C$511,'DB animal categories'!$C$181:$AC$190,27,FALSE)*AJ511+U511+V511+W511,0))))))</f>
        <v/>
      </c>
      <c r="AZ511" s="180" t="str">
        <f>IF(D511="","",IF(AS511=2,0,IF(AS511=1,'Calc (ex-animal)'!$Q$97*'Calc (ex-housing, ex-storage)'!F511/100/VLOOKUP($C$511,'DB animal categories'!$C$181:$AC$190,27,FALSE)*AJ511+Y511+Z511+AA511,IF(AS511=5,('Calc (ex-animal)'!$Q$97+'Calc (ex-animal)'!$R$97)*'Calc (ex-housing, ex-storage)'!F511/100/VLOOKUP($C$511,'DB animal categories'!$C$181:$AC$190,27,FALSE)*AJ511+Y511+Z511+AA511,IF(AS511=3,('Calc (ex-animal)'!$Q$97+'Calc (ex-animal)'!$R$97)*'Calc (ex-housing, ex-storage)'!F511/100/VLOOKUP($C$511,'DB animal categories'!$C$181:$AC$190,27,FALSE)*AJ511+Y511+Z511+AA511,IF(AS511=4,('Calc (ex-animal)'!$Q$97+'Calc (ex-animal)'!$R$97)*'Calc (ex-housing, ex-storage)'!F511/100*VLOOKUP(D511,'DB technologies'!$N$238:$Y$250,12,FALSE)/100/VLOOKUP($C$511,'DB animal categories'!$C$181:$AC$190,27,FALSE)*AJ511+Y511+Z511+AA511,0))))))</f>
        <v/>
      </c>
      <c r="BA511" s="506"/>
      <c r="BB511" s="506"/>
      <c r="BC511" s="506"/>
    </row>
    <row r="512" spans="1:55" x14ac:dyDescent="0.2">
      <c r="A512" s="748"/>
      <c r="B512" s="695"/>
      <c r="C512" s="251"/>
      <c r="D512" s="1357"/>
      <c r="E512" s="1358"/>
      <c r="F512" s="480" t="str">
        <f>IF('Calc (ex-animal)'!$F$93=1,"",IF($C$511=0,"",IF(D512="","",E512/'Calc (ex-animal)'!$E$97*100)))</f>
        <v/>
      </c>
      <c r="G512" s="485" t="str">
        <f>IF($C$511=0,"",IF('Calc (ex-animal)'!$F$93=1,"",IF(D512="","",SUM(H512:O512))))</f>
        <v/>
      </c>
      <c r="H512" s="423" t="str">
        <f>IF('Calc (ex-animal)'!$F$93=1,"",IF(D512="","",(((VLOOKUP($C$511,'Calc (ex-animal)'!$D$93:$Y$97,6,FALSE)-VLOOKUP($C$511,'Calc (ex-animal)'!$D$93:$Y$97,17,FALSE))*F512/100))*VLOOKUP($C$511,'Calc (ex-animal)'!$D$93:$Y$97,7,FALSE)/100*(1-VLOOKUP(D512,'DB technologies'!$N$238:$Y$250,9,FALSE)/100)))</f>
        <v/>
      </c>
      <c r="I512" s="423" t="str">
        <f>IF(D512="","",((VLOOKUP(D512,'DB technologies'!$N$238:$Y$250,2,FALSE)*VLOOKUP($C$511,'DB animal categories'!$C$181:$AC$190,27,FALSE)*E512/1000)/VLOOKUP($C$511,'DB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'!$S$6/100*(1-VLOOKUP(D512,'DB technologies'!$N$238:$Y$250,9,FALSE)/100)))</f>
        <v/>
      </c>
      <c r="J512" s="434" t="str">
        <f>IF(D512="","",((VLOOKUP(D512,'DB technologies'!$N$238:$Y$250,3,FALSE)*VLOOKUP($C$511,'DB animal categories'!$C$181:$AC$190,27,FALSE)*E512/1000)/VLOOKUP($C$511,'DB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'!$S$7/100*(1-VLOOKUP(D512,'DB technologies'!$N$238:$Y$250,9,FALSE)/100)))</f>
        <v/>
      </c>
      <c r="K512" s="434" t="str">
        <f>IF(D512="","",((VLOOKUP(D512,'DB technologies'!$N$238:$Y$250,4,FALSE)*E512*'DB additional information '!$S$8/100*(1-VLOOKUP(D512,'DB technologies'!$N$238:$Y$250,9,FALSE)/100))/VLOOKUP($C$511,'DB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L512" s="423" t="str">
        <f>IF('Calc (ex-animal)'!$F$93=1,"",IF(D512="","",(((VLOOKUP($C$511,'Calc (ex-animal)'!$D$93:$Y$97,6,FALSE)-VLOOKUP($C$511,'Calc (ex-animal)'!$D$93:$Y$97,17,FALSE))*F512/100))*(1-VLOOKUP($C$511,'Calc (ex-animal)'!$D$93:$Y$97,7,FALSE)/100)*(1-VLOOKUP(D512,'DB technologies'!$N$238:$V$250,8,FALSE)/100)))</f>
        <v/>
      </c>
      <c r="M512" s="434" t="str">
        <f>IF(D512="","",((VLOOKUP(D512,'DB technologies'!$N$238:$Y$250,2,FALSE)*VLOOKUP($C$511,'DB animal categories'!$C$181:$AC$190,27,FALSE)*E512/1000)/VLOOKUP($C$511,'DB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'!$S$6/100)*(1-VLOOKUP(D512,'DB technologies'!$N$238:$Y$250,9,FALSE)/100))</f>
        <v/>
      </c>
      <c r="N512" s="434" t="str">
        <f>IF(D512="","",((VLOOKUP(D512,'DB technologies'!$N$238:$Y$250,3,FALSE)*VLOOKUP($C$511,'DB animal categories'!$C$181:$AC$190,27,FALSE)*E512/1000)/VLOOKUP($C$511,'DB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'!$S$7/100)*(1-VLOOKUP(D512,'DB technologies'!$N$238:$Y$250,9,FALSE)/100))</f>
        <v/>
      </c>
      <c r="O512" s="423" t="str">
        <f>IF(D512="","",((VLOOKUP(D512,'DB technologies'!$N$238:$Y$250,4,FALSE)*E512*(1-'DB additional information '!$S$8/100)*(1-VLOOKUP(D512,'DB technologies'!$N$238:$Y$250,8,FALSE)/100))/VLOOKUP($C$511,'DB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P512" s="438" t="str">
        <f>IF(G512=0,0,IF(E512="","",IF(F512="","",IF($C$511=0,"",IF(D512="","",SUM(H512:K512)/G512*100)))))</f>
        <v/>
      </c>
      <c r="Q512" s="416" t="str">
        <f>IF(D512="","",(VLOOKUP(D512,'DB technologies'!$N$238:$Y$250,2,FALSE)*'DB additional information '!$S$6/100*'DB additional information '!$T$6*VLOOKUP($C$511,'DB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R512" s="416" t="str">
        <f>IF(D512="","",(VLOOKUP(D512,'DB technologies'!$N$238:$Y$250,3,FALSE)*'DB additional information '!$S$7/100*'DB additional information '!$T$7*VLOOKUP($C$511,'DB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S512" s="491" t="str">
        <f>IF(D512="","",(VLOOKUP(D512,'DB technologies'!$N$238:$Y$250,4,FALSE)*('DB additional information '!$S$8/100*'DB additional information '!$T$8*E512/1000/1000)))</f>
        <v/>
      </c>
      <c r="T512" s="264" t="str">
        <f>IF($C$511=0,"",IF('Calc (ex-animal)'!$F$93=1,"",IF(D512="","",((VLOOKUP($C$511,'Calc (ex-animal)'!$D$93:$Y$97,10,FALSE)-VLOOKUP($C$511,'Calc (ex-animal)'!$D$93:$Y$97,18,FALSE))*F512/100+Q512+R512+S512)-AC512-AD512-AE512)))</f>
        <v/>
      </c>
      <c r="U512" s="422" t="str">
        <f>IF(D512="","",(VLOOKUP(D512,'DB technologies'!$N$238:$Y$250,2,FALSE)*'DB additional information '!$S$6/100*'DB additional information '!$U$6*VLOOKUP($C$511,'DB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V512" s="418" t="str">
        <f>IF(D512="","",(VLOOKUP(D512,'DB technologies'!$N$238:$Y$250,3,FALSE)*'DB additional information '!$S$7/100*'DB additional information '!$U$7*VLOOKUP($C$511,'DB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W512" s="417" t="str">
        <f>IF(D512="","",(VLOOKUP(D512,'DB technologies'!$N$238:$Y$250,4,FALSE)*('DB additional information '!$S$8/100*'DB additional information '!$U$8*E512/1000/1000)))</f>
        <v/>
      </c>
      <c r="X512" s="261" t="str">
        <f>IF($C$511=0,"",IF('Calc (ex-animal)'!$F$93=1,"",IF(D512="","",((VLOOKUP($C$511,'Calc (ex-animal)'!$D$93:$Y$97,13,FALSE)-VLOOKUP($C$511,'Calc (ex-animal)'!$D$93:$Y$97,19,FALSE))*F512/100+U512+V512+W512))))</f>
        <v/>
      </c>
      <c r="Y512" s="418" t="str">
        <f>IF(D512="","",(VLOOKUP(D512,'DB technologies'!$N$238:$Y$250,2,FALSE)*'DB additional information '!$S$6/100*'DB additional information '!$V$6*VLOOKUP($C$511,'DB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Z512" s="418" t="str">
        <f>IF(D512="","",(VLOOKUP(D512,'DB technologies'!$N$238:$Y$250,3,FALSE)*'DB additional information '!$S$7/100*'DB additional information '!$V$7*VLOOKUP($C$511,'DB animal categories'!$C$181:$AC$190,27,FALSE)*E512/1000/1000)/VLOOKUP($C$511,'DB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AA512" s="418" t="str">
        <f>IF(D512="","",(VLOOKUP(D512,'DB technologies'!$N$238:$Y$250,4,FALSE)*('DB additional information '!$S$8/100*'DB additional information '!$V$8*E512/1000/1000)))</f>
        <v/>
      </c>
      <c r="AB512" s="261" t="str">
        <f>IF($C$511=0,"",IF('Calc (ex-animal)'!$F$93=1,"",IF(D512="","",((VLOOKUP($C$511,'Calc (ex-animal)'!$D$93:$Y$97,16,FALSE)-VLOOKUP($C$511,'Calc (ex-animal)'!$D$93:$Y$97,20,FALSE))*F512/100+Y512+Z512+AA512))))</f>
        <v/>
      </c>
      <c r="AC512" s="261" t="str">
        <f>IF($C$511=0,"",IF('Calc (ex-animal)'!$F$93=1,"",IF(D512="","",VLOOKUP($C$511,'Calc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categories'!$C$181:$AC$190,26,FALSE)/24)*F512/100*VLOOKUP(D512,'DB technologies'!$N$238:$R$250,5,FALSE)/100)))</f>
        <v/>
      </c>
      <c r="AD512" s="261" t="str">
        <f>IF($C$511=0,"",IF('Calc (ex-animal)'!$F$93=1,"",IF(D512="","",VLOOKUP($C$511,'Calc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categories'!$C$181:$AC$190,26,FALSE)/24)*F512/100*VLOOKUP(D512,'DB technologies'!$N$238:$Y$250,6,FALSE)/100)))</f>
        <v/>
      </c>
      <c r="AE512" s="262" t="str">
        <f>IF($C$511=0,"",IF('Calc (ex-animal)'!$F$93=1,"",IF(D512="","",VLOOKUP($C$511,'Calc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categories'!$C$181:$AC$190,26,FALSE)/24)*F512/100*VLOOKUP(D512,'DB technologies'!$N$238:$Y$250,7,FALSE)/100)))</f>
        <v/>
      </c>
      <c r="AI512" s="181" t="str">
        <f>IF(D512="","",VLOOKUP(D512,'DB technologies'!$N$238:$Y$250,10,FALSE))</f>
        <v/>
      </c>
      <c r="AJ512" s="449" t="e">
        <f>VLOOKUP($C$511,'DB animal categories'!$C$181:$AN$190,27,FALSE)-VLOOKUP($C$511,'DB animal categories'!$C$181:$AN$190,26,FALSE)*VLOOKUP($C$511,'DB animal categories'!$C$181:$AN$190,25,FALSE)/24</f>
        <v>#N/A</v>
      </c>
      <c r="AK512" s="442" t="str">
        <f>IF(AI512="","",AL512+AM512)</f>
        <v/>
      </c>
      <c r="AL512" s="442" t="str">
        <f>IF(D512="","",IF(AI512=2,(('Calc (ex-animal)'!$G$97*'DB additional information '!$K$20/100*(1-VLOOKUP(D512,'DB technologies'!$N$238:$Y$250,9,FALSE)/100)*'Calc (ex-housing, ex-storage)'!F512/100+'Calc (ex-animal)'!$H$97*'DB additional information '!$L$20/100*(1-VLOOKUP(D512,'DB technologies'!$N$238:$Y$250,9,FALSE)/100)*'Calc (ex-housing, ex-storage)'!F512/100))/VLOOKUP($C$511,'DB animal categories'!$C$181:$AC$190,27,FALSE)*AJ512+I512+J512+K512,IF(AI512=1,('Calc (ex-animal)'!$H$97*'DB additional information '!$L$20/100*(1-VLOOKUP(D512,'DB technologies'!$N$238:$Y$250,9,FALSE)/100)*'Calc (ex-housing, ex-storage)'!F512/100)/VLOOKUP($C$511,'DB animal categories'!$C$181:$AC$190,27,FALSE)*AJ512,IF(AI512=4,('Calc (ex-animal)'!$G$97*'DB additional information '!$K$20/100+'Calc (ex-animal)'!$H$97*'DB additional information '!$L$20/100)*(1-VLOOKUP(D512,'DB technologies'!$N$238:$Y$250,9,FALSE)/100)*'Calc (ex-housing, ex-storage)'!F512/100*VLOOKUP(D512,'DB technologies'!$N$238:$Y$250,11,FALSE)/100/VLOOKUP($C$511,'DB animal categories'!$C$181:$AC$190,27,FALSE)*AJ512,0))))</f>
        <v/>
      </c>
      <c r="AM512" s="442" t="str">
        <f>IF(D512="","",IF(AI512=2,(('Calc (ex-animal)'!$G$97*(1-'DB additional information '!$K$20/100)*(1-VLOOKUP(D512,'DB technologies'!$N$238:$Y$250,8,FALSE)/100)*'Calc (ex-housing, ex-storage)'!F512/100+'Calc (ex-animal)'!$H$97*(1-'DB additional information '!$L$20/100)*(1-VLOOKUP(D512,'DB technologies'!$N$238:$Y$250,8,FALSE)/100)*'Calc (ex-housing, ex-storage)'!F512/100))/VLOOKUP($C$511,'DB animal categories'!$C$181:$AC$190,27,FALSE)*AJ512+M512+N512+O512,IF(AI512=1,('Calc (ex-animal)'!$H$97*(1-'DB additional information '!$L$20/100)*(1-VLOOKUP(D512,'DB technologies'!$N$238:$Y$250,8,FALSE)/100)*'Calc (ex-housing, ex-storage)'!F512/100)/VLOOKUP($C$511,'DB animal categories'!$C$181:$AC$190,27,FALSE)*AJ512,IF(AI512=4,('Calc (ex-animal)'!$G$97*(1-'DB additional information '!$K$20/100)+'Calc (ex-animal)'!$H$97*(1-'DB additional information '!$L$20/100))*(1-VLOOKUP(D512,'DB technologies'!$N$238:$Y$250,8,FALSE)/100)*'Calc (ex-housing, ex-storage)'!F512/100*VLOOKUP(D512,'DB technologies'!$N$238:$Y$250,11,FALSE)/100/VLOOKUP($C$511,'DB animal categories'!$C$181:$AC$190,27,FALSE)*AJ512,0))))</f>
        <v/>
      </c>
      <c r="AN512" s="442" t="str">
        <f>IF(AI512="","",IF(AL512=0,0,AL512/AK512*100))</f>
        <v/>
      </c>
      <c r="AO512" s="182" t="str">
        <f>IF(D512="","",IF(AI512=2,(('Calc (ex-animal)'!$L$97*'Calc (ex-housing, ex-storage)'!F512/100+'Calc (ex-animal)'!$K$97*'Calc (ex-housing, ex-storage)'!F512/100))/VLOOKUP($C$511,'DB animal categories'!$C$181:$AC$190,27,FALSE)*AJ512+Q512+R512+S512-AC512,IF(AI512=1,('Calc (ex-animal)'!$L$97*'Calc (ex-housing, ex-storage)'!F512/100)/VLOOKUP($C$511,'DB animal categories'!$C$181:$AC$190,27,FALSE)*AJ512-'Calc (ex-housing, ex-storage)'!AC512,IF(AI512=4,('Calc (ex-animal)'!$L$97+'Calc (ex-animal)'!$K$97)*'Calc (ex-housing, ex-storage)'!F512/100*VLOOKUP(D512,'DB technologies'!$N$238:$Y$250,11,FALSE)/100/VLOOKUP($C$511,'DB animal categories'!$C$181:$AC$190,27,FALSE)*AJ512-AC512*VLOOKUP(D512,'DB technologies'!$N$238:$Y$250,11,FALSE)/100,0))))</f>
        <v/>
      </c>
      <c r="AP512" s="182" t="str">
        <f>IF(D512="","",IF(AO512&lt;-0.01,0,IF(AI512=2,(('Calc (ex-animal)'!$L$97*'Calc (ex-housing, ex-storage)'!F512/100+'Calc (ex-animal)'!$K$97*'Calc (ex-housing, ex-storage)'!F512/100))/VLOOKUP($C$511,'DB animal categories'!$C$181:$AC$190,27,FALSE)*AJ512+Q512+R512+S512-AC512,IF(AI512=1,('Calc (ex-animal)'!$L$97*'Calc (ex-housing, ex-storage)'!F512/100)/VLOOKUP($C$511,'DB animal categories'!$C$181:$AC$190,27,FALSE)*AJ512-'Calc (ex-housing, ex-storage)'!AC512,IF(AI512=4,('Calc (ex-animal)'!$L$97+'Calc (ex-animal)'!$K$97)*'Calc (ex-housing, ex-storage)'!F512/100*VLOOKUP(D512,'DB technologies'!$N$238:$Y$250,11,FALSE)/100/VLOOKUP($C$511,'DB animal categories'!$C$181:$AC$190,27,FALSE)*AJ512-AC512*VLOOKUP(D512,'DB technologies'!$N$238:$Y$250,11,FALSE)/100,0)))))</f>
        <v/>
      </c>
      <c r="AQ512" s="182" t="str">
        <f>IF(D512="","",IF(AI512=2,('Calc (ex-animal)'!$O$97*'Calc (ex-housing, ex-storage)'!F512/100+'Calc (ex-animal)'!$N$97*'Calc (ex-housing, ex-storage)'!F512/100)/VLOOKUP($C$511,'DB animal categories'!$C$181:$AC$190,27,FALSE)*AJ512+U512+V512+W512,IF(AI512=1,'Calc (ex-animal)'!$O$97*'Calc (ex-housing, ex-storage)'!F512/100/VLOOKUP($C$511,'DB animal categories'!$C$181:$AC$190,27,FALSE)*AJ512,IF(AI512=4,('Calc (ex-animal)'!$O$97+'Calc (ex-animal)'!$N$97)*'Calc (ex-housing, ex-storage)'!F512/100*VLOOKUP(D512,'DB technologies'!$N$238:$Y$250,11,FALSE)/100/VLOOKUP($C$511,'DB animal categories'!$C$181:$AC$190,27,FALSE)*AJ512,0))))</f>
        <v/>
      </c>
      <c r="AR512" s="182" t="str">
        <f>IF(D512="","",IF(AI512=2,('Calc (ex-animal)'!$R$97*'Calc (ex-housing, ex-storage)'!F512/100+'Calc (ex-animal)'!$Q$97*'Calc (ex-housing, ex-storage)'!F512/100)/VLOOKUP($C$511,'DB animal categories'!$C$181:$AC$190,27,FALSE)*AJ512+Y512+Z512+AA512,IF(AI512=1,'Calc (ex-animal)'!$R$97*'Calc (ex-housing, ex-storage)'!F512/100/VLOOKUP($C$511,'DB animal categories'!$C$181:$AC$190,27,FALSE)*AJ512,IF(AI512=4,('Calc (ex-animal)'!$R$97+'Calc (ex-animal)'!$Q$97)*'Calc (ex-housing, ex-storage)'!F512/100*VLOOKUP(D512,'DB technologies'!$N$238:$Y$250,11,FALSE)/100/VLOOKUP($C$511,'DB animal categories'!$C$181:$AC$190,27,FALSE)*AJ512,0))))</f>
        <v/>
      </c>
      <c r="AS512" s="181" t="str">
        <f>IF(D512="","",VLOOKUP(D512,'DB technologies'!$N$238:$Y$250,10,FALSE))</f>
        <v/>
      </c>
      <c r="AT512" s="442" t="str">
        <f>IF(AS512="","",AU512+AV512)</f>
        <v/>
      </c>
      <c r="AU512" s="442" t="str">
        <f>IF(D512="","",IF(AS512=2,0,IF(AS512=1,'Calc (ex-animal)'!$G$97*'DB additional information '!$K$20/100*(1-VLOOKUP(D512,'DB technologies'!$N$238:$Y$250,8,FALSE)/100)*'Calc (ex-housing, ex-storage)'!F512/100/VLOOKUP($C$511,'DB animal categories'!$C$181:$AC$190,27,FALSE)*AJ512+I512+J512+K512,IF(AS512=5,(('Calc (ex-animal)'!$G$97*'DB additional information '!$K$20/100+'Calc (ex-animal)'!$H$97*'DB additional information '!$L$20/100))*(1-VLOOKUP(D512,'DB technologies'!$N$238:$Y$250,9,FALSE)/100)*'Calc (ex-housing, ex-storage)'!F512/100/VLOOKUP($C$511,'DB animal categories'!$C$181:$AC$190,27,FALSE)*AJ512+I512+J512+K512,IF(AS512=3,('Calc (ex-animal)'!$G$97*'DB additional information '!$K$20/100+'Calc (ex-animal)'!$H$97*'DB additional information '!$L$20/100)*(1-VLOOKUP(D512,'DB technologies'!$N$238:$Y$250,9,FALSE)/100)*'Calc (ex-housing, ex-storage)'!F512/100/VLOOKUP($C$511,'DB animal categories'!$C$181:$AC$190,27,FALSE)*AJ512+I512+J512+K512,IF(AS512=4,('Calc (ex-animal)'!$G$97*'DB additional information '!$K$20/100+'Calc (ex-animal)'!$H$97*'DB additional information '!$L$20/100)*(1-VLOOKUP(D512,'DB technologies'!$N$238:$Y$250,9,FALSE)/100)*'Calc (ex-housing, ex-storage)'!F512/100*VLOOKUP(D512,'DB technologies'!$N$238:$Y$250,12,FALSE)/100/VLOOKUP($C$511,'DB animal categories'!$C$181:$AC$190,27,FALSE)*AJ512+I512+J512+K512,0))))))</f>
        <v/>
      </c>
      <c r="AV512" s="442" t="str">
        <f>IF(D512="","",IF(AS512=2,0,IF(AS512=1,'Calc (ex-animal)'!$G$97*(1-'DB additional information '!$K$20/100)*(1-VLOOKUP(D512,'DB technologies'!$N$238:$Y$250,8,FALSE)/100)*'Calc (ex-housing, ex-storage)'!F512/100/VLOOKUP($C$511,'DB animal categories'!$C$181:$AC$190,27,FALSE)*AJ512+M512+N512+O512,IF(AS512=5,('Calc (ex-animal)'!$G$97*(1-'DB additional information '!$K$20/100)+'Calc (ex-animal)'!$H$97*(1-'DB additional information '!$L$20/100))*(1-VLOOKUP(D512,'DB technologies'!$N$238:$Y$250,8,FALSE)/100)*'Calc (ex-housing, ex-storage)'!F512/100/VLOOKUP($C$511,'DB animal categories'!$C$181:$AC$190,27,FALSE)*AJ512+M512+N512+O512,IF(AS512=3,('Calc (ex-animal)'!$G$97*(1-'DB additional information '!$K$20/100)+'Calc (ex-animal)'!$H$97*(1-'DB additional information '!$L$20/100))*(1-VLOOKUP(D512,'DB technologies'!$N$238:$Y$250,8,FALSE)/100)*'Calc (ex-housing, ex-storage)'!F512/100/VLOOKUP($C$511,'DB animal categories'!$C$181:$AC$190,27,FALSE)*AJ512+M512+N512+O512,IF(AS512=4,('Calc (ex-animal)'!$G$97*(1-'DB additional information '!$K$20/100)+'Calc (ex-animal)'!$H$97*(1-'DB additional information '!$L$20/100))*(1-VLOOKUP(D512,'DB technologies'!$N$238:$Y$250,8,FALSE)/100)*'Calc (ex-housing, ex-storage)'!F512/100*VLOOKUP(D512,'DB technologies'!$N$238:$Y$250,12,FALSE)/100/VLOOKUP($C$511,'DB animal categories'!$C$181:$AC$190,27,FALSE)*AJ512+M512+N512+O512,0))))))</f>
        <v/>
      </c>
      <c r="AW512" s="442" t="str">
        <f>IF(AS512="","",IF(AU512=0,0,AU512/AT512*100))</f>
        <v/>
      </c>
      <c r="AX512" s="182" t="str">
        <f>IF(D512="","",IF(AS512=2,0,IF(AS512=1,'Calc (ex-animal)'!$K$97*'Calc (ex-housing, ex-storage)'!F512/100/VLOOKUP($C$511,'DB animal categories'!$C$181:$AC$190,27,FALSE)*AJ512+Q512+R512+S512,IF(AS512=5,('Calc (ex-animal)'!$K$97+'Calc (ex-animal)'!$L$97)*'Calc (ex-housing, ex-storage)'!F512/100/VLOOKUP($C$511,'DB animal categories'!$C$181:$AC$190,27,FALSE)*AJ512+Q512+R512+S512-'Calc (ex-housing, ex-storage)'!AC512,IF(AS512=3,('Calc (ex-animal)'!$K$97+'Calc (ex-animal)'!$L$97)*'Calc (ex-housing, ex-storage)'!F512/100/VLOOKUP($C$511,'DB animal categories'!$C$181:$AC$190,27,FALSE)*AJ512+Q512+R512+S512-'Calc (ex-housing, ex-storage)'!AC512-AD512-AE512,IF(AI512=4,('Calc (ex-animal)'!$K$97+'Calc (ex-animal)'!$L$97)*'Calc (ex-housing, ex-storage)'!F512/100*VLOOKUP(D512,'DB technologies'!$N$238:$Y$250,12,FALSE)/100/VLOOKUP($C$511,'DB animal categories'!$C$181:$AC$190,27,FALSE)*AJ512+Q512+R512+S512-(VLOOKUP(D512,'DB technologies'!$N$238:$Y$250,12,FALSE)/100*AC512)-AD512-AE512,0))))))</f>
        <v/>
      </c>
      <c r="AY512" s="182" t="str">
        <f>IF(D512="","",IF(AS512=2,0,IF(AS512=1,'Calc (ex-animal)'!$N$97*'Calc (ex-housing, ex-storage)'!F512/100/VLOOKUP($C$511,'DB animal categories'!$C$181:$AC$190,27,FALSE)*AJ512+U512+V512+W512,IF(AS512=5,('Calc (ex-animal)'!$N$97+'Calc (ex-animal)'!$O$97)*'Calc (ex-housing, ex-storage)'!F512/100/VLOOKUP($C$511,'DB animal categories'!$C$181:$AC$190,27,FALSE)*AJ512+U512+V512+W512,IF(AS512=3,('Calc (ex-animal)'!$N$97+'Calc (ex-animal)'!$O$97)*'Calc (ex-housing, ex-storage)'!F512/100/VLOOKUP($C$511,'DB animal categories'!$C$181:$AC$190,27,FALSE)*AJ512+U512+V512+W512,IF(AS512=4,('Calc (ex-animal)'!$N$97+'Calc (ex-animal)'!$O$97)*'Calc (ex-housing, ex-storage)'!F512/100*VLOOKUP(D512,'DB technologies'!$N$238:$Y$250,12,FALSE)/100/VLOOKUP($C$511,'DB animal categories'!$C$181:$AC$190,27,FALSE)*AJ512+U512+V512+W512,0))))))</f>
        <v/>
      </c>
      <c r="AZ512" s="182" t="str">
        <f>IF(D512="","",IF(AS512=2,0,IF(AS512=1,'Calc (ex-animal)'!$Q$97*'Calc (ex-housing, ex-storage)'!F512/100/VLOOKUP($C$511,'DB animal categories'!$C$181:$AC$190,27,FALSE)*AJ512+Y512+Z512+AA512,IF(AS512=5,('Calc (ex-animal)'!$Q$97+'Calc (ex-animal)'!$R$97)*'Calc (ex-housing, ex-storage)'!F512/100/VLOOKUP($C$511,'DB animal categories'!$C$181:$AC$190,27,FALSE)*AJ512+Y512+Z512+AA512,IF(AS512=3,('Calc (ex-animal)'!$Q$97+'Calc (ex-animal)'!$R$97)*'Calc (ex-housing, ex-storage)'!F512/100/VLOOKUP($C$511,'DB animal categories'!$C$181:$AC$190,27,FALSE)*AJ512+Y512+Z512+AA512,IF(AS512=4,('Calc (ex-animal)'!$Q$97+'Calc (ex-animal)'!$R$97)*'Calc (ex-housing, ex-storage)'!F512/100*VLOOKUP(D512,'DB technologies'!$N$238:$Y$250,12,FALSE)/100/VLOOKUP($C$511,'DB animal categories'!$C$181:$AC$190,27,FALSE)*AJ512+Y512+Z512+AA512,0))))))</f>
        <v/>
      </c>
      <c r="BA512" s="506"/>
      <c r="BB512" s="506"/>
      <c r="BC512" s="506"/>
    </row>
    <row r="513" spans="1:55" x14ac:dyDescent="0.2">
      <c r="A513" s="748"/>
      <c r="B513" s="695"/>
      <c r="C513" s="251"/>
      <c r="D513" s="1357"/>
      <c r="E513" s="1358"/>
      <c r="F513" s="480" t="str">
        <f>IF('Calc (ex-animal)'!$F$93=1,"",IF($C$511=0,"",IF(D513="","",E513/'Calc (ex-animal)'!$E$97*100)))</f>
        <v/>
      </c>
      <c r="G513" s="485" t="str">
        <f>IF($C$511=0,"",IF('Calc (ex-animal)'!$F$93=1,"",IF(D513="","",SUM(H513:O513))))</f>
        <v/>
      </c>
      <c r="H513" s="423" t="str">
        <f>IF('Calc (ex-animal)'!$F$93=1,"",IF(D513="","",(((VLOOKUP($C$511,'Calc (ex-animal)'!$D$93:$Y$97,6,FALSE)-VLOOKUP($C$511,'Calc (ex-animal)'!$D$93:$Y$97,17,FALSE))*F513/100))*VLOOKUP($C$511,'Calc (ex-animal)'!$D$93:$Y$97,7,FALSE)/100*(1-VLOOKUP(D513,'DB technologies'!$N$238:$Y$250,9,FALSE)/100)))</f>
        <v/>
      </c>
      <c r="I513" s="423" t="str">
        <f>IF(D513="","",((VLOOKUP(D513,'DB technologies'!$N$238:$Y$250,2,FALSE)*VLOOKUP($C$511,'DB animal categories'!$C$181:$AC$190,27,FALSE)*E513/1000)/VLOOKUP($C$511,'DB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'!$S$6/100*(1-VLOOKUP(D513,'DB technologies'!$N$238:$Y$250,9,FALSE)/100)))</f>
        <v/>
      </c>
      <c r="J513" s="434" t="str">
        <f>IF(D513="","",((VLOOKUP(D513,'DB technologies'!$N$238:$Y$250,3,FALSE)*VLOOKUP($C$511,'DB animal categories'!$C$181:$AC$190,27,FALSE)*E513/1000)/VLOOKUP($C$511,'DB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'!$S$7/100*(1-VLOOKUP(D513,'DB technologies'!$N$238:$Y$250,9,FALSE)/100)))</f>
        <v/>
      </c>
      <c r="K513" s="434" t="str">
        <f>IF(D513="","",((VLOOKUP(D513,'DB technologies'!$N$238:$Y$250,4,FALSE)*E513*'DB additional information '!$S$8/100*(1-VLOOKUP(D513,'DB technologies'!$N$238:$Y$250,9,FALSE)/100))/VLOOKUP($C$511,'DB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L513" s="423" t="str">
        <f>IF('Calc (ex-animal)'!$F$93=1,"",IF(D513="","",(((VLOOKUP($C$511,'Calc (ex-animal)'!$D$93:$Y$97,6,FALSE)-VLOOKUP($C$511,'Calc (ex-animal)'!$D$93:$Y$97,17,FALSE))*F513/100))*(1-VLOOKUP($C$511,'Calc (ex-animal)'!$D$93:$Y$97,7,FALSE)/100)*(1-VLOOKUP(D513,'DB technologies'!$N$238:$V$250,8,FALSE)/100)))</f>
        <v/>
      </c>
      <c r="M513" s="434" t="str">
        <f>IF(D513="","",((VLOOKUP(D513,'DB technologies'!$N$238:$Y$250,2,FALSE)*VLOOKUP($C$511,'DB animal categories'!$C$181:$AC$190,27,FALSE)*E513/1000)/VLOOKUP($C$511,'DB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'!$S$6/100)*(1-VLOOKUP(D513,'DB technologies'!$N$238:$Y$250,9,FALSE)/100))</f>
        <v/>
      </c>
      <c r="N513" s="434" t="str">
        <f>IF(D513="","",((VLOOKUP(D513,'DB technologies'!$N$238:$Y$250,3,FALSE)*VLOOKUP($C$511,'DB animal categories'!$C$181:$AC$190,27,FALSE)*E513/1000)/VLOOKUP($C$511,'DB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'!$S$7/100)*(1-VLOOKUP(D513,'DB technologies'!$N$238:$Y$250,9,FALSE)/100))</f>
        <v/>
      </c>
      <c r="O513" s="423" t="str">
        <f>IF(D513="","",((VLOOKUP(D513,'DB technologies'!$N$238:$Y$250,4,FALSE)*E513*(1-'DB additional information '!$S$8/100)*(1-VLOOKUP(D513,'DB technologies'!$N$238:$Y$250,8,FALSE)/100))/VLOOKUP($C$511,'DB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P513" s="438" t="str">
        <f>IF(G513=0,0,IF(E513="","",IF(F513="","",IF($C$511=0,"",IF(D513="","",SUM(H513:K513)/G513*100)))))</f>
        <v/>
      </c>
      <c r="Q513" s="416" t="str">
        <f>IF(D513="","",(VLOOKUP(D513,'DB technologies'!$N$238:$Y$250,2,FALSE)*'DB additional information '!$S$6/100*'DB additional information '!$T$6*VLOOKUP($C$511,'DB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R513" s="416" t="str">
        <f>IF(D513="","",(VLOOKUP(D513,'DB technologies'!$N$238:$Y$250,3,FALSE)*'DB additional information '!$S$7/100*'DB additional information '!$T$7*VLOOKUP($C$511,'DB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S513" s="491" t="str">
        <f>IF(D513="","",(VLOOKUP(D513,'DB technologies'!$N$238:$Y$250,4,FALSE)*('DB additional information '!$S$8/100*'DB additional information '!$T$8*E513/1000/1000)))</f>
        <v/>
      </c>
      <c r="T513" s="264" t="str">
        <f>IF($C$511=0,"",IF('Calc (ex-animal)'!$F$93=1,"",IF(D513="","",((VLOOKUP($C$511,'Calc (ex-animal)'!$D$93:$Y$97,10,FALSE)-VLOOKUP($C$511,'Calc (ex-animal)'!$D$93:$Y$97,18,FALSE))*F513/100+Q513+R513+S513)-AC513-AD513-AE513)))</f>
        <v/>
      </c>
      <c r="U513" s="422" t="str">
        <f>IF(D513="","",(VLOOKUP(D513,'DB technologies'!$N$238:$Y$250,2,FALSE)*'DB additional information '!$S$6/100*'DB additional information '!$U$6*VLOOKUP($C$511,'DB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V513" s="418" t="str">
        <f>IF(D513="","",(VLOOKUP(D513,'DB technologies'!$N$238:$Y$250,3,FALSE)*'DB additional information '!$S$7/100*'DB additional information '!$U$7*VLOOKUP($C$511,'DB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W513" s="417" t="str">
        <f>IF(D513="","",(VLOOKUP(D513,'DB technologies'!$N$238:$Y$250,4,FALSE)*('DB additional information '!$S$8/100*'DB additional information '!$U$8*E513/1000/1000)))</f>
        <v/>
      </c>
      <c r="X513" s="261" t="str">
        <f>IF($C$511=0,"",IF('Calc (ex-animal)'!$F$93=1,"",IF(D513="","",((VLOOKUP($C$511,'Calc (ex-animal)'!$D$93:$Y$97,13,FALSE)-VLOOKUP($C$511,'Calc (ex-animal)'!$D$93:$Y$97,19,FALSE))*F513/100+U513+V513+W513))))</f>
        <v/>
      </c>
      <c r="Y513" s="418" t="str">
        <f>IF(D513="","",(VLOOKUP(D513,'DB technologies'!$N$238:$Y$250,2,FALSE)*'DB additional information '!$S$6/100*'DB additional information '!$V$6*VLOOKUP($C$511,'DB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Z513" s="418" t="str">
        <f>IF(D513="","",(VLOOKUP(D513,'DB technologies'!$N$238:$Y$250,3,FALSE)*'DB additional information '!$S$7/100*'DB additional information '!$V$7*VLOOKUP($C$511,'DB animal categories'!$C$181:$AC$190,27,FALSE)*E513/1000/1000)/VLOOKUP($C$511,'DB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AA513" s="418" t="str">
        <f>IF(D513="","",(VLOOKUP(D513,'DB technologies'!$N$238:$Y$250,4,FALSE)*('DB additional information '!$S$8/100*'DB additional information '!$V$8*E513/1000/1000)))</f>
        <v/>
      </c>
      <c r="AB513" s="261" t="str">
        <f>IF($C$511=0,"",IF('Calc (ex-animal)'!$F$93=1,"",IF(D513="","",((VLOOKUP($C$511,'Calc (ex-animal)'!$D$93:$Y$97,16,FALSE)-VLOOKUP($C$511,'Calc (ex-animal)'!$D$93:$Y$97,20,FALSE))*F513/100+Y513+Z513+AA513))))</f>
        <v/>
      </c>
      <c r="AC513" s="261" t="str">
        <f>IF($C$511=0,"",IF('Calc (ex-animal)'!$F$93=1,"",IF(D513="","",VLOOKUP($C$511,'Calc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categories'!$C$181:$AC$190,26,FALSE)/24)*F513/100*VLOOKUP(D513,'DB technologies'!$N$238:$R$250,5,FALSE)/100)))</f>
        <v/>
      </c>
      <c r="AD513" s="261" t="str">
        <f>IF($C$511=0,"",IF('Calc (ex-animal)'!$F$93=1,"",IF(D513="","",VLOOKUP($C$511,'Calc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categories'!$C$181:$AC$190,26,FALSE)/24)*F513/100*VLOOKUP(D513,'DB technologies'!$N$238:$Y$250,6,FALSE)/100)))</f>
        <v/>
      </c>
      <c r="AE513" s="262" t="str">
        <f>IF($C$511=0,"",IF('Calc (ex-animal)'!$F$93=1,"",IF(D513="","",VLOOKUP($C$511,'Calc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categories'!$C$181:$AC$190,26,FALSE)/24)*F513/100*VLOOKUP(D513,'DB technologies'!$N$238:$Y$250,7,FALSE)/100)))</f>
        <v/>
      </c>
      <c r="AI513" s="181" t="str">
        <f>IF(D513="","",VLOOKUP(D513,'DB technologies'!$N$238:$Y$250,10,FALSE))</f>
        <v/>
      </c>
      <c r="AJ513" s="449" t="e">
        <f>VLOOKUP($C$511,'DB animal categories'!$C$181:$AN$190,27,FALSE)-VLOOKUP($C$511,'DB animal categories'!$C$181:$AN$190,26,FALSE)*VLOOKUP($C$511,'DB animal categories'!$C$181:$AN$190,25,FALSE)/24</f>
        <v>#N/A</v>
      </c>
      <c r="AK513" s="442" t="str">
        <f>IF(AI513="","",AL513+AM513)</f>
        <v/>
      </c>
      <c r="AL513" s="442" t="str">
        <f>IF(D513="","",IF(AI513=2,(('Calc (ex-animal)'!$G$97*'DB additional information '!$K$20/100*(1-VLOOKUP(D513,'DB technologies'!$N$238:$Y$250,9,FALSE)/100)*'Calc (ex-housing, ex-storage)'!F513/100+'Calc (ex-animal)'!$H$97*'DB additional information '!$L$20/100*(1-VLOOKUP(D513,'DB technologies'!$N$238:$Y$250,9,FALSE)/100)*'Calc (ex-housing, ex-storage)'!F513/100))/VLOOKUP($C$511,'DB animal categories'!$C$181:$AC$190,27,FALSE)*AJ513+I513+J513+K513,IF(AI513=1,('Calc (ex-animal)'!$H$97*'DB additional information '!$L$20/100*(1-VLOOKUP(D513,'DB technologies'!$N$238:$Y$250,9,FALSE)/100)*'Calc (ex-housing, ex-storage)'!F513/100)/VLOOKUP($C$511,'DB animal categories'!$C$181:$AC$190,27,FALSE)*AJ513,IF(AI513=4,('Calc (ex-animal)'!$G$97*'DB additional information '!$K$20/100+'Calc (ex-animal)'!$H$97*'DB additional information '!$L$20/100)*(1-VLOOKUP(D513,'DB technologies'!$N$238:$Y$250,9,FALSE)/100)*'Calc (ex-housing, ex-storage)'!F513/100*VLOOKUP(D513,'DB technologies'!$N$238:$Y$250,11,FALSE)/100/VLOOKUP($C$511,'DB animal categories'!$C$181:$AC$190,27,FALSE)*AJ513,0))))</f>
        <v/>
      </c>
      <c r="AM513" s="442" t="str">
        <f>IF(D513="","",IF(AI513=2,(('Calc (ex-animal)'!$G$97*(1-'DB additional information '!$K$20/100)*(1-VLOOKUP(D513,'DB technologies'!$N$238:$Y$250,8,FALSE)/100)*'Calc (ex-housing, ex-storage)'!F513/100+'Calc (ex-animal)'!$H$97*(1-'DB additional information '!$L$20/100)*(1-VLOOKUP(D513,'DB technologies'!$N$238:$Y$250,8,FALSE)/100)*'Calc (ex-housing, ex-storage)'!F513/100))/VLOOKUP($C$511,'DB animal categories'!$C$181:$AC$190,27,FALSE)*AJ513+M513+N513+O513,IF(AI513=1,('Calc (ex-animal)'!$H$97*(1-'DB additional information '!$L$20/100)*(1-VLOOKUP(D513,'DB technologies'!$N$238:$Y$250,8,FALSE)/100)*'Calc (ex-housing, ex-storage)'!F513/100)/VLOOKUP($C$511,'DB animal categories'!$C$181:$AC$190,27,FALSE)*AJ513,IF(AI513=4,('Calc (ex-animal)'!$G$97*(1-'DB additional information '!$K$20/100)+'Calc (ex-animal)'!$H$97*(1-'DB additional information '!$L$20/100))*(1-VLOOKUP(D513,'DB technologies'!$N$238:$Y$250,8,FALSE)/100)*'Calc (ex-housing, ex-storage)'!F513/100*VLOOKUP(D513,'DB technologies'!$N$238:$Y$250,11,FALSE)/100/VLOOKUP($C$511,'DB animal categories'!$C$181:$AC$190,27,FALSE)*AJ513,0))))</f>
        <v/>
      </c>
      <c r="AN513" s="442" t="str">
        <f>IF(AI513="","",IF(AL513=0,0,AL513/AK513*100))</f>
        <v/>
      </c>
      <c r="AO513" s="182" t="str">
        <f>IF(D513="","",IF(AI513=2,(('Calc (ex-animal)'!$L$97*'Calc (ex-housing, ex-storage)'!F513/100+'Calc (ex-animal)'!$K$97*'Calc (ex-housing, ex-storage)'!F513/100))/VLOOKUP($C$511,'DB animal categories'!$C$181:$AC$190,27,FALSE)*AJ513+Q513+R513+S513-AC513,IF(AI513=1,('Calc (ex-animal)'!$L$97*'Calc (ex-housing, ex-storage)'!F513/100)/VLOOKUP($C$511,'DB animal categories'!$C$181:$AC$190,27,FALSE)*AJ513-'Calc (ex-housing, ex-storage)'!AC513,IF(AI513=4,('Calc (ex-animal)'!$L$97+'Calc (ex-animal)'!$K$97)*'Calc (ex-housing, ex-storage)'!F513/100*VLOOKUP(D513,'DB technologies'!$N$238:$Y$250,11,FALSE)/100/VLOOKUP($C$511,'DB animal categories'!$C$181:$AC$190,27,FALSE)*AJ513-AC513*VLOOKUP(D513,'DB technologies'!$N$238:$Y$250,11,FALSE)/100,0))))</f>
        <v/>
      </c>
      <c r="AP513" s="182" t="str">
        <f>IF(D513="","",IF(AO513&lt;-0.01,0,IF(AI513=2,(('Calc (ex-animal)'!$L$97*'Calc (ex-housing, ex-storage)'!F513/100+'Calc (ex-animal)'!$K$97*'Calc (ex-housing, ex-storage)'!F513/100))/VLOOKUP($C$511,'DB animal categories'!$C$181:$AC$190,27,FALSE)*AJ513+Q513+R513+S513-AC513,IF(AI513=1,('Calc (ex-animal)'!$L$97*'Calc (ex-housing, ex-storage)'!F513/100)/VLOOKUP($C$511,'DB animal categories'!$C$181:$AC$190,27,FALSE)*AJ513-'Calc (ex-housing, ex-storage)'!AC513,IF(AI513=4,('Calc (ex-animal)'!$L$97+'Calc (ex-animal)'!$K$97)*'Calc (ex-housing, ex-storage)'!F513/100*VLOOKUP(D513,'DB technologies'!$N$238:$Y$250,11,FALSE)/100/VLOOKUP($C$511,'DB animal categories'!$C$181:$AC$190,27,FALSE)*AJ513-AC513*VLOOKUP(D513,'DB technologies'!$N$238:$Y$250,11,FALSE)/100,0)))))</f>
        <v/>
      </c>
      <c r="AQ513" s="182" t="str">
        <f>IF(D513="","",IF(AI513=2,('Calc (ex-animal)'!$O$97*'Calc (ex-housing, ex-storage)'!F513/100+'Calc (ex-animal)'!$N$97*'Calc (ex-housing, ex-storage)'!F513/100)/VLOOKUP($C$511,'DB animal categories'!$C$181:$AC$190,27,FALSE)*AJ513+U513+V513+W513,IF(AI513=1,'Calc (ex-animal)'!$O$97*'Calc (ex-housing, ex-storage)'!F513/100/VLOOKUP($C$511,'DB animal categories'!$C$181:$AC$190,27,FALSE)*AJ513,IF(AI513=4,('Calc (ex-animal)'!$O$97+'Calc (ex-animal)'!$N$97)*'Calc (ex-housing, ex-storage)'!F513/100*VLOOKUP(D513,'DB technologies'!$N$238:$Y$250,11,FALSE)/100/VLOOKUP($C$511,'DB animal categories'!$C$181:$AC$190,27,FALSE)*AJ513,0))))</f>
        <v/>
      </c>
      <c r="AR513" s="182" t="str">
        <f>IF(D513="","",IF(AI513=2,('Calc (ex-animal)'!$R$97*'Calc (ex-housing, ex-storage)'!F513/100+'Calc (ex-animal)'!$Q$97*'Calc (ex-housing, ex-storage)'!F513/100)/VLOOKUP($C$511,'DB animal categories'!$C$181:$AC$190,27,FALSE)*AJ513+Y513+Z513+AA513,IF(AI513=1,'Calc (ex-animal)'!$R$97*'Calc (ex-housing, ex-storage)'!F513/100/VLOOKUP($C$511,'DB animal categories'!$C$181:$AC$190,27,FALSE)*AJ513,IF(AI513=4,('Calc (ex-animal)'!$R$97+'Calc (ex-animal)'!$Q$97)*'Calc (ex-housing, ex-storage)'!F513/100*VLOOKUP(D513,'DB technologies'!$N$238:$Y$250,11,FALSE)/100/VLOOKUP($C$511,'DB animal categories'!$C$181:$AC$190,27,FALSE)*AJ513,0))))</f>
        <v/>
      </c>
      <c r="AS513" s="181" t="str">
        <f>IF(D513="","",VLOOKUP(D513,'DB technologies'!$N$238:$Y$250,10,FALSE))</f>
        <v/>
      </c>
      <c r="AT513" s="442" t="str">
        <f>IF(AS513="","",AU513+AV513)</f>
        <v/>
      </c>
      <c r="AU513" s="442" t="str">
        <f>IF(D513="","",IF(AS513=2,0,IF(AS513=1,'Calc (ex-animal)'!$G$97*'DB additional information '!$K$20/100*(1-VLOOKUP(D513,'DB technologies'!$N$238:$Y$250,8,FALSE)/100)*'Calc (ex-housing, ex-storage)'!F513/100/VLOOKUP($C$511,'DB animal categories'!$C$181:$AC$190,27,FALSE)*AJ513+I513+J513+K513,IF(AS513=5,(('Calc (ex-animal)'!$G$97*'DB additional information '!$K$20/100+'Calc (ex-animal)'!$H$97*'DB additional information '!$L$20/100))*(1-VLOOKUP(D513,'DB technologies'!$N$238:$Y$250,9,FALSE)/100)*'Calc (ex-housing, ex-storage)'!F513/100/VLOOKUP($C$511,'DB animal categories'!$C$181:$AC$190,27,FALSE)*AJ513+I513+J513+K513,IF(AS513=3,('Calc (ex-animal)'!$G$97*'DB additional information '!$K$20/100+'Calc (ex-animal)'!$H$97*'DB additional information '!$L$20/100)*(1-VLOOKUP(D513,'DB technologies'!$N$238:$Y$250,9,FALSE)/100)*'Calc (ex-housing, ex-storage)'!F513/100/VLOOKUP($C$511,'DB animal categories'!$C$181:$AC$190,27,FALSE)*AJ513+I513+J513+K513,IF(AS513=4,('Calc (ex-animal)'!$G$97*'DB additional information '!$K$20/100+'Calc (ex-animal)'!$H$97*'DB additional information '!$L$20/100)*(1-VLOOKUP(D513,'DB technologies'!$N$238:$Y$250,9,FALSE)/100)*'Calc (ex-housing, ex-storage)'!F513/100*VLOOKUP(D513,'DB technologies'!$N$238:$Y$250,12,FALSE)/100/VLOOKUP($C$511,'DB animal categories'!$C$181:$AC$190,27,FALSE)*AJ513+I513+J513+K513,0))))))</f>
        <v/>
      </c>
      <c r="AV513" s="442" t="str">
        <f>IF(D513="","",IF(AS513=2,0,IF(AS513=1,'Calc (ex-animal)'!$G$97*(1-'DB additional information '!$K$20/100)*(1-VLOOKUP(D513,'DB technologies'!$N$238:$Y$250,8,FALSE)/100)*'Calc (ex-housing, ex-storage)'!F513/100/VLOOKUP($C$511,'DB animal categories'!$C$181:$AC$190,27,FALSE)*AJ513+M513+N513+O513,IF(AS513=5,('Calc (ex-animal)'!$G$97*(1-'DB additional information '!$K$20/100)+'Calc (ex-animal)'!$H$97*(1-'DB additional information '!$L$20/100))*(1-VLOOKUP(D513,'DB technologies'!$N$238:$Y$250,8,FALSE)/100)*'Calc (ex-housing, ex-storage)'!F513/100/VLOOKUP($C$511,'DB animal categories'!$C$181:$AC$190,27,FALSE)*AJ513+M513+N513+O513,IF(AS513=3,('Calc (ex-animal)'!$G$97*(1-'DB additional information '!$K$20/100)+'Calc (ex-animal)'!$H$97*(1-'DB additional information '!$L$20/100))*(1-VLOOKUP(D513,'DB technologies'!$N$238:$Y$250,8,FALSE)/100)*'Calc (ex-housing, ex-storage)'!F513/100/VLOOKUP($C$511,'DB animal categories'!$C$181:$AC$190,27,FALSE)*AJ513+M513+N513+O513,IF(AS513=4,('Calc (ex-animal)'!$G$97*(1-'DB additional information '!$K$20/100)+'Calc (ex-animal)'!$H$97*(1-'DB additional information '!$L$20/100))*(1-VLOOKUP(D513,'DB technologies'!$N$238:$Y$250,8,FALSE)/100)*'Calc (ex-housing, ex-storage)'!F513/100*VLOOKUP(D513,'DB technologies'!$N$238:$Y$250,12,FALSE)/100/VLOOKUP($C$511,'DB animal categories'!$C$181:$AC$190,27,FALSE)*AJ513+M513+N513+O513,0))))))</f>
        <v/>
      </c>
      <c r="AW513" s="442" t="str">
        <f>IF(AS513="","",IF(AU513=0,0,AU513/AT513*100))</f>
        <v/>
      </c>
      <c r="AX513" s="182" t="str">
        <f>IF(D513="","",IF(AS513=2,0,IF(AS513=1,'Calc (ex-animal)'!$K$97*'Calc (ex-housing, ex-storage)'!F513/100/VLOOKUP($C$511,'DB animal categories'!$C$181:$AC$190,27,FALSE)*AJ513+Q513+R513+S513,IF(AS513=5,('Calc (ex-animal)'!$K$97+'Calc (ex-animal)'!$L$97)*'Calc (ex-housing, ex-storage)'!F513/100/VLOOKUP($C$511,'DB animal categories'!$C$181:$AC$190,27,FALSE)*AJ513+Q513+R513+S513-'Calc (ex-housing, ex-storage)'!AC513,IF(AS513=3,('Calc (ex-animal)'!$K$97+'Calc (ex-animal)'!$L$97)*'Calc (ex-housing, ex-storage)'!F513/100/VLOOKUP($C$511,'DB animal categories'!$C$181:$AC$190,27,FALSE)*AJ513+Q513+R513+S513-'Calc (ex-housing, ex-storage)'!AC513-AD513-AE513,IF(AI513=4,('Calc (ex-animal)'!$K$97+'Calc (ex-animal)'!$L$97)*'Calc (ex-housing, ex-storage)'!F513/100*VLOOKUP(D513,'DB technologies'!$N$238:$Y$250,12,FALSE)/100/VLOOKUP($C$511,'DB animal categories'!$C$181:$AC$190,27,FALSE)*AJ513+Q513+R513+S513-(VLOOKUP(D513,'DB technologies'!$N$238:$Y$250,12,FALSE)/100*AC513)-AD513-AE513,0))))))</f>
        <v/>
      </c>
      <c r="AY513" s="182" t="str">
        <f>IF(D513="","",IF(AS513=2,0,IF(AS513=1,'Calc (ex-animal)'!$N$97*'Calc (ex-housing, ex-storage)'!F513/100/VLOOKUP($C$511,'DB animal categories'!$C$181:$AC$190,27,FALSE)*AJ513+U513+V513+W513,IF(AS513=5,('Calc (ex-animal)'!$N$97+'Calc (ex-animal)'!$O$97)*'Calc (ex-housing, ex-storage)'!F513/100/VLOOKUP($C$511,'DB animal categories'!$C$181:$AC$190,27,FALSE)*AJ513+U513+V513+W513,IF(AS513=3,('Calc (ex-animal)'!$N$97+'Calc (ex-animal)'!$O$97)*'Calc (ex-housing, ex-storage)'!F513/100/VLOOKUP($C$511,'DB animal categories'!$C$181:$AC$190,27,FALSE)*AJ513+U513+V513+W513,IF(AS513=4,('Calc (ex-animal)'!$N$97+'Calc (ex-animal)'!$O$97)*'Calc (ex-housing, ex-storage)'!F513/100*VLOOKUP(D513,'DB technologies'!$N$238:$Y$250,12,FALSE)/100/VLOOKUP($C$511,'DB animal categories'!$C$181:$AC$190,27,FALSE)*AJ513+U513+V513+W513,0))))))</f>
        <v/>
      </c>
      <c r="AZ513" s="182" t="str">
        <f>IF(D513="","",IF(AS513=2,0,IF(AS513=1,'Calc (ex-animal)'!$Q$97*'Calc (ex-housing, ex-storage)'!F513/100/VLOOKUP($C$511,'DB animal categories'!$C$181:$AC$190,27,FALSE)*AJ513+Y513+Z513+AA513,IF(AS513=5,('Calc (ex-animal)'!$Q$97+'Calc (ex-animal)'!$R$97)*'Calc (ex-housing, ex-storage)'!F513/100/VLOOKUP($C$511,'DB animal categories'!$C$181:$AC$190,27,FALSE)*AJ513+Y513+Z513+AA513,IF(AS513=3,('Calc (ex-animal)'!$Q$97+'Calc (ex-animal)'!$R$97)*'Calc (ex-housing, ex-storage)'!F513/100/VLOOKUP($C$511,'DB animal categories'!$C$181:$AC$190,27,FALSE)*AJ513+Y513+Z513+AA513,IF(AS513=4,('Calc (ex-animal)'!$Q$97+'Calc (ex-animal)'!$R$97)*'Calc (ex-housing, ex-storage)'!F513/100*VLOOKUP(D513,'DB technologies'!$N$238:$Y$250,12,FALSE)/100/VLOOKUP($C$511,'DB animal categories'!$C$181:$AC$190,27,FALSE)*AJ513+Y513+Z513+AA513,0))))))</f>
        <v/>
      </c>
      <c r="BA513" s="506"/>
      <c r="BB513" s="506"/>
      <c r="BC513" s="506"/>
    </row>
    <row r="514" spans="1:55" x14ac:dyDescent="0.2">
      <c r="A514" s="748"/>
      <c r="B514" s="695"/>
      <c r="C514" s="251"/>
      <c r="D514" s="1357"/>
      <c r="E514" s="1358"/>
      <c r="F514" s="480" t="str">
        <f>IF('Calc (ex-animal)'!$F$93=1,"",IF($C$511=0,"",IF(D514="","",E514/'Calc (ex-animal)'!$E$97*100)))</f>
        <v/>
      </c>
      <c r="G514" s="485" t="str">
        <f>IF($C$511=0,"",IF('Calc (ex-animal)'!$F$93=1,"",IF(D514="","",SUM(H514:O514))))</f>
        <v/>
      </c>
      <c r="H514" s="423" t="str">
        <f>IF('Calc (ex-animal)'!$F$93=1,"",IF(D514="","",(((VLOOKUP($C$511,'Calc (ex-animal)'!$D$93:$Y$97,6,FALSE)-VLOOKUP($C$511,'Calc (ex-animal)'!$D$93:$Y$97,17,FALSE))*F514/100))*VLOOKUP($C$511,'Calc (ex-animal)'!$D$93:$Y$97,7,FALSE)/100*(1-VLOOKUP(D514,'DB technologies'!$N$238:$Y$250,9,FALSE)/100)))</f>
        <v/>
      </c>
      <c r="I514" s="423" t="str">
        <f>IF(D514="","",((VLOOKUP(D514,'DB technologies'!$N$238:$Y$250,2,FALSE)*VLOOKUP($C$511,'DB animal categories'!$C$181:$AC$190,27,FALSE)*E514/1000)/VLOOKUP($C$511,'DB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'!$S$6/100*(1-VLOOKUP(D514,'DB technologies'!$N$238:$Y$250,9,FALSE)/100)))</f>
        <v/>
      </c>
      <c r="J514" s="434" t="str">
        <f>IF(D514="","",((VLOOKUP(D514,'DB technologies'!$N$238:$Y$250,3,FALSE)*VLOOKUP($C$511,'DB animal categories'!$C$181:$AC$190,27,FALSE)*E514/1000)/VLOOKUP($C$511,'DB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'!$S$7/100*(1-VLOOKUP(D514,'DB technologies'!$N$238:$Y$250,9,FALSE)/100)))</f>
        <v/>
      </c>
      <c r="K514" s="434" t="str">
        <f>IF(D514="","",((VLOOKUP(D514,'DB technologies'!$N$238:$Y$250,4,FALSE)*E514*'DB additional information '!$S$8/100*(1-VLOOKUP(D514,'DB technologies'!$N$238:$Y$250,9,FALSE)/100))/VLOOKUP($C$511,'DB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L514" s="423" t="str">
        <f>IF('Calc (ex-animal)'!$F$93=1,"",IF(D514="","",(((VLOOKUP($C$511,'Calc (ex-animal)'!$D$93:$Y$97,6,FALSE)-VLOOKUP($C$511,'Calc (ex-animal)'!$D$93:$Y$97,17,FALSE))*F514/100))*(1-VLOOKUP($C$511,'Calc (ex-animal)'!$D$93:$Y$97,7,FALSE)/100)*(1-VLOOKUP(D514,'DB technologies'!$N$238:$V$250,8,FALSE)/100)))</f>
        <v/>
      </c>
      <c r="M514" s="434" t="str">
        <f>IF(D514="","",((VLOOKUP(D514,'DB technologies'!$N$238:$Y$250,2,FALSE)*VLOOKUP($C$511,'DB animal categories'!$C$181:$AC$190,27,FALSE)*E514/1000)/VLOOKUP($C$511,'DB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'!$S$6/100)*(1-VLOOKUP(D514,'DB technologies'!$N$238:$Y$250,9,FALSE)/100))</f>
        <v/>
      </c>
      <c r="N514" s="434" t="str">
        <f>IF(D514="","",((VLOOKUP(D514,'DB technologies'!$N$238:$Y$250,3,FALSE)*VLOOKUP($C$511,'DB animal categories'!$C$181:$AC$190,27,FALSE)*E514/1000)/VLOOKUP($C$511,'DB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'!$S$7/100)*(1-VLOOKUP(D514,'DB technologies'!$N$238:$Y$250,9,FALSE)/100))</f>
        <v/>
      </c>
      <c r="O514" s="423" t="str">
        <f>IF(D514="","",((VLOOKUP(D514,'DB technologies'!$N$238:$Y$250,4,FALSE)*E514*(1-'DB additional information '!$S$8/100)*(1-VLOOKUP(D514,'DB technologies'!$N$238:$Y$250,8,FALSE)/100))/VLOOKUP($C$511,'DB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P514" s="438" t="str">
        <f>IF(G514=0,0,IF(E514="","",IF(F514="","",IF($C$511=0,"",IF(D514="","",SUM(H514:K514)/G514*100)))))</f>
        <v/>
      </c>
      <c r="Q514" s="416" t="str">
        <f>IF(D514="","",(VLOOKUP(D514,'DB technologies'!$N$238:$Y$250,2,FALSE)*'DB additional information '!$S$6/100*'DB additional information '!$T$6*VLOOKUP($C$511,'DB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R514" s="416" t="str">
        <f>IF(D514="","",(VLOOKUP(D514,'DB technologies'!$N$238:$Y$250,3,FALSE)*'DB additional information '!$S$7/100*'DB additional information '!$T$7*VLOOKUP($C$511,'DB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S514" s="491" t="str">
        <f>IF(D514="","",(VLOOKUP(D514,'DB technologies'!$N$238:$Y$250,4,FALSE)*('DB additional information '!$S$8/100*'DB additional information '!$T$8*E514/1000/1000)))</f>
        <v/>
      </c>
      <c r="T514" s="264" t="str">
        <f>IF($C$511=0,"",IF('Calc (ex-animal)'!$F$93=1,"",IF(D514="","",((VLOOKUP($C$511,'Calc (ex-animal)'!$D$93:$Y$97,10,FALSE)-VLOOKUP($C$511,'Calc (ex-animal)'!$D$93:$Y$97,18,FALSE))*F514/100+Q514+R514+S514)-AC514-AD514-AE514)))</f>
        <v/>
      </c>
      <c r="U514" s="422" t="str">
        <f>IF(D514="","",(VLOOKUP(D514,'DB technologies'!$N$238:$Y$250,2,FALSE)*'DB additional information '!$S$6/100*'DB additional information '!$U$6*VLOOKUP($C$511,'DB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V514" s="418" t="str">
        <f>IF(D514="","",(VLOOKUP(D514,'DB technologies'!$N$238:$Y$250,3,FALSE)*'DB additional information '!$S$7/100*'DB additional information '!$U$7*VLOOKUP($C$511,'DB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W514" s="417" t="str">
        <f>IF(D514="","",(VLOOKUP(D514,'DB technologies'!$N$238:$Y$250,4,FALSE)*('DB additional information '!$S$8/100*'DB additional information '!$U$8*E514/1000/1000)))</f>
        <v/>
      </c>
      <c r="X514" s="261" t="str">
        <f>IF($C$511=0,"",IF('Calc (ex-animal)'!$F$93=1,"",IF(D514="","",((VLOOKUP($C$511,'Calc (ex-animal)'!$D$93:$Y$97,13,FALSE)-VLOOKUP($C$511,'Calc (ex-animal)'!$D$93:$Y$97,19,FALSE))*F514/100+U514+V514+W514))))</f>
        <v/>
      </c>
      <c r="Y514" s="418" t="str">
        <f>IF(D514="","",(VLOOKUP(D514,'DB technologies'!$N$238:$Y$250,2,FALSE)*'DB additional information '!$S$6/100*'DB additional information '!$V$6*VLOOKUP($C$511,'DB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Z514" s="418" t="str">
        <f>IF(D514="","",(VLOOKUP(D514,'DB technologies'!$N$238:$Y$250,3,FALSE)*'DB additional information '!$S$7/100*'DB additional information '!$V$7*VLOOKUP($C$511,'DB animal categories'!$C$181:$AC$190,27,FALSE)*E514/1000/1000)/VLOOKUP($C$511,'DB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AA514" s="418" t="str">
        <f>IF(D514="","",(VLOOKUP(D514,'DB technologies'!$N$238:$Y$250,4,FALSE)*('DB additional information '!$S$8/100*'DB additional information '!$V$8*E514/1000/1000)))</f>
        <v/>
      </c>
      <c r="AB514" s="261" t="str">
        <f>IF($C$511=0,"",IF('Calc (ex-animal)'!$F$93=1,"",IF(D514="","",((VLOOKUP($C$511,'Calc (ex-animal)'!$D$93:$Y$97,16,FALSE)-VLOOKUP($C$511,'Calc (ex-animal)'!$D$93:$Y$97,20,FALSE))*F514/100+Y514+Z514+AA514))))</f>
        <v/>
      </c>
      <c r="AC514" s="261" t="str">
        <f>IF($C$511=0,"",IF('Calc (ex-animal)'!$F$93=1,"",IF(D514="","",VLOOKUP($C$511,'Calc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categories'!$C$181:$AC$190,26,FALSE)/24)*F514/100*VLOOKUP(D514,'DB technologies'!$N$238:$R$250,5,FALSE)/100)))</f>
        <v/>
      </c>
      <c r="AD514" s="261" t="str">
        <f>IF($C$511=0,"",IF('Calc (ex-animal)'!$F$93=1,"",IF(D514="","",VLOOKUP($C$511,'Calc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categories'!$C$181:$AC$190,26,FALSE)/24)*F514/100*VLOOKUP(D514,'DB technologies'!$N$238:$Y$250,6,FALSE)/100)))</f>
        <v/>
      </c>
      <c r="AE514" s="262" t="str">
        <f>IF($C$511=0,"",IF('Calc (ex-animal)'!$F$93=1,"",IF(D514="","",VLOOKUP($C$511,'Calc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categories'!$C$181:$AC$190,26,FALSE)/24)*F514/100*VLOOKUP(D514,'DB technologies'!$N$238:$Y$250,7,FALSE)/100)))</f>
        <v/>
      </c>
      <c r="AI514" s="181" t="str">
        <f>IF(D514="","",VLOOKUP(D514,'DB technologies'!$N$238:$Y$250,10,FALSE))</f>
        <v/>
      </c>
      <c r="AJ514" s="449" t="e">
        <f>VLOOKUP($C$511,'DB animal categories'!$C$181:$AN$190,27,FALSE)-VLOOKUP($C$511,'DB animal categories'!$C$181:$AN$190,26,FALSE)*VLOOKUP($C$511,'DB animal categories'!$C$181:$AN$190,25,FALSE)/24</f>
        <v>#N/A</v>
      </c>
      <c r="AK514" s="442" t="str">
        <f>IF(AI514="","",AL514+AM514)</f>
        <v/>
      </c>
      <c r="AL514" s="442" t="str">
        <f>IF(D514="","",IF(AI514=2,(('Calc (ex-animal)'!$G$97*'DB additional information '!$K$20/100*(1-VLOOKUP(D514,'DB technologies'!$N$238:$Y$250,9,FALSE)/100)*'Calc (ex-housing, ex-storage)'!F514/100+'Calc (ex-animal)'!$H$97*'DB additional information '!$L$20/100*(1-VLOOKUP(D514,'DB technologies'!$N$238:$Y$250,9,FALSE)/100)*'Calc (ex-housing, ex-storage)'!F514/100))/VLOOKUP($C$511,'DB animal categories'!$C$181:$AC$190,27,FALSE)*AJ514+I514+J514+K514,IF(AI514=1,('Calc (ex-animal)'!$H$97*'DB additional information '!$L$20/100*(1-VLOOKUP(D514,'DB technologies'!$N$238:$Y$250,9,FALSE)/100)*'Calc (ex-housing, ex-storage)'!F514/100)/VLOOKUP($C$511,'DB animal categories'!$C$181:$AC$190,27,FALSE)*AJ514,IF(AI514=4,('Calc (ex-animal)'!$G$97*'DB additional information '!$K$20/100+'Calc (ex-animal)'!$H$97*'DB additional information '!$L$20/100)*(1-VLOOKUP(D514,'DB technologies'!$N$238:$Y$250,9,FALSE)/100)*'Calc (ex-housing, ex-storage)'!F514/100*VLOOKUP(D514,'DB technologies'!$N$238:$Y$250,11,FALSE)/100/VLOOKUP($C$511,'DB animal categories'!$C$181:$AC$190,27,FALSE)*AJ514,0))))</f>
        <v/>
      </c>
      <c r="AM514" s="442" t="str">
        <f>IF(D514="","",IF(AI514=2,(('Calc (ex-animal)'!$G$97*(1-'DB additional information '!$K$20/100)*(1-VLOOKUP(D514,'DB technologies'!$N$238:$Y$250,8,FALSE)/100)*'Calc (ex-housing, ex-storage)'!F514/100+'Calc (ex-animal)'!$H$97*(1-'DB additional information '!$L$20/100)*(1-VLOOKUP(D514,'DB technologies'!$N$238:$Y$250,8,FALSE)/100)*'Calc (ex-housing, ex-storage)'!F514/100))/VLOOKUP($C$511,'DB animal categories'!$C$181:$AC$190,27,FALSE)*AJ514+M514+N514+O514,IF(AI514=1,('Calc (ex-animal)'!$H$97*(1-'DB additional information '!$L$20/100)*(1-VLOOKUP(D514,'DB technologies'!$N$238:$Y$250,8,FALSE)/100)*'Calc (ex-housing, ex-storage)'!F514/100)/VLOOKUP($C$511,'DB animal categories'!$C$181:$AC$190,27,FALSE)*AJ514,IF(AI514=4,('Calc (ex-animal)'!$G$97*(1-'DB additional information '!$K$20/100)+'Calc (ex-animal)'!$H$97*(1-'DB additional information '!$L$20/100))*(1-VLOOKUP(D514,'DB technologies'!$N$238:$Y$250,8,FALSE)/100)*'Calc (ex-housing, ex-storage)'!F514/100*VLOOKUP(D514,'DB technologies'!$N$238:$Y$250,11,FALSE)/100/VLOOKUP($C$511,'DB animal categories'!$C$181:$AC$190,27,FALSE)*AJ514,0))))</f>
        <v/>
      </c>
      <c r="AN514" s="442" t="str">
        <f>IF(AI514="","",IF(AL514=0,0,AL514/AK514*100))</f>
        <v/>
      </c>
      <c r="AO514" s="182" t="str">
        <f>IF(D514="","",IF(AI514=2,(('Calc (ex-animal)'!$L$97*'Calc (ex-housing, ex-storage)'!F514/100+'Calc (ex-animal)'!$K$97*'Calc (ex-housing, ex-storage)'!F514/100))/VLOOKUP($C$511,'DB animal categories'!$C$181:$AC$190,27,FALSE)*AJ514+Q514+R514+S514-AC514,IF(AI514=1,('Calc (ex-animal)'!$L$97*'Calc (ex-housing, ex-storage)'!F514/100)/VLOOKUP($C$511,'DB animal categories'!$C$181:$AC$190,27,FALSE)*AJ514-'Calc (ex-housing, ex-storage)'!AC514,IF(AI514=4,('Calc (ex-animal)'!$L$97+'Calc (ex-animal)'!$K$97)*'Calc (ex-housing, ex-storage)'!F514/100*VLOOKUP(D514,'DB technologies'!$N$238:$Y$250,11,FALSE)/100/VLOOKUP($C$511,'DB animal categories'!$C$181:$AC$190,27,FALSE)*AJ514-AC514*VLOOKUP(D514,'DB technologies'!$N$238:$Y$250,11,FALSE)/100,0))))</f>
        <v/>
      </c>
      <c r="AP514" s="182" t="str">
        <f>IF(D514="","",IF(AO514&lt;-0.01,0,IF(AI514=2,(('Calc (ex-animal)'!$L$97*'Calc (ex-housing, ex-storage)'!F514/100+'Calc (ex-animal)'!$K$97*'Calc (ex-housing, ex-storage)'!F514/100))/VLOOKUP($C$511,'DB animal categories'!$C$181:$AC$190,27,FALSE)*AJ514+Q514+R514+S514-AC514,IF(AI514=1,('Calc (ex-animal)'!$L$97*'Calc (ex-housing, ex-storage)'!F514/100)/VLOOKUP($C$511,'DB animal categories'!$C$181:$AC$190,27,FALSE)*AJ514-'Calc (ex-housing, ex-storage)'!AC514,IF(AI514=4,('Calc (ex-animal)'!$L$97+'Calc (ex-animal)'!$K$97)*'Calc (ex-housing, ex-storage)'!F514/100*VLOOKUP(D514,'DB technologies'!$N$238:$Y$250,11,FALSE)/100/VLOOKUP($C$511,'DB animal categories'!$C$181:$AC$190,27,FALSE)*AJ514-AC514*VLOOKUP(D514,'DB technologies'!$N$238:$Y$250,11,FALSE)/100,0)))))</f>
        <v/>
      </c>
      <c r="AQ514" s="182" t="str">
        <f>IF(D514="","",IF(AI514=2,('Calc (ex-animal)'!$O$97*'Calc (ex-housing, ex-storage)'!F514/100+'Calc (ex-animal)'!$N$97*'Calc (ex-housing, ex-storage)'!F514/100)/VLOOKUP($C$511,'DB animal categories'!$C$181:$AC$190,27,FALSE)*AJ514+U514+V514+W514,IF(AI514=1,'Calc (ex-animal)'!$O$97*'Calc (ex-housing, ex-storage)'!F514/100/VLOOKUP($C$511,'DB animal categories'!$C$181:$AC$190,27,FALSE)*AJ514,IF(AI514=4,('Calc (ex-animal)'!$O$97+'Calc (ex-animal)'!$N$97)*'Calc (ex-housing, ex-storage)'!F514/100*VLOOKUP(D514,'DB technologies'!$N$238:$Y$250,11,FALSE)/100/VLOOKUP($C$511,'DB animal categories'!$C$181:$AC$190,27,FALSE)*AJ514,0))))</f>
        <v/>
      </c>
      <c r="AR514" s="182" t="str">
        <f>IF(D514="","",IF(AI514=2,('Calc (ex-animal)'!$R$97*'Calc (ex-housing, ex-storage)'!F514/100+'Calc (ex-animal)'!$Q$97*'Calc (ex-housing, ex-storage)'!F514/100)/VLOOKUP($C$511,'DB animal categories'!$C$181:$AC$190,27,FALSE)*AJ514+Y514+Z514+AA514,IF(AI514=1,'Calc (ex-animal)'!$R$97*'Calc (ex-housing, ex-storage)'!F514/100/VLOOKUP($C$511,'DB animal categories'!$C$181:$AC$190,27,FALSE)*AJ514,IF(AI514=4,('Calc (ex-animal)'!$R$97+'Calc (ex-animal)'!$Q$97)*'Calc (ex-housing, ex-storage)'!F514/100*VLOOKUP(D514,'DB technologies'!$N$238:$Y$250,11,FALSE)/100/VLOOKUP($C$511,'DB animal categories'!$C$181:$AC$190,27,FALSE)*AJ514,0))))</f>
        <v/>
      </c>
      <c r="AS514" s="181" t="str">
        <f>IF(D514="","",VLOOKUP(D514,'DB technologies'!$N$238:$Y$250,10,FALSE))</f>
        <v/>
      </c>
      <c r="AT514" s="442" t="str">
        <f>IF(AS514="","",AU514+AV514)</f>
        <v/>
      </c>
      <c r="AU514" s="442" t="str">
        <f>IF(D514="","",IF(AS514=2,0,IF(AS514=1,'Calc (ex-animal)'!$G$97*'DB additional information '!$K$20/100*(1-VLOOKUP(D514,'DB technologies'!$N$238:$Y$250,8,FALSE)/100)*'Calc (ex-housing, ex-storage)'!F514/100/VLOOKUP($C$511,'DB animal categories'!$C$181:$AC$190,27,FALSE)*AJ514+I514+J514+K514,IF(AS514=5,(('Calc (ex-animal)'!$G$97*'DB additional information '!$K$20/100+'Calc (ex-animal)'!$H$97*'DB additional information '!$L$20/100))*(1-VLOOKUP(D514,'DB technologies'!$N$238:$Y$250,9,FALSE)/100)*'Calc (ex-housing, ex-storage)'!F514/100/VLOOKUP($C$511,'DB animal categories'!$C$181:$AC$190,27,FALSE)*AJ514+I514+J514+K514,IF(AS514=3,('Calc (ex-animal)'!$G$97*'DB additional information '!$K$20/100+'Calc (ex-animal)'!$H$97*'DB additional information '!$L$20/100)*(1-VLOOKUP(D514,'DB technologies'!$N$238:$Y$250,9,FALSE)/100)*'Calc (ex-housing, ex-storage)'!F514/100/VLOOKUP($C$511,'DB animal categories'!$C$181:$AC$190,27,FALSE)*AJ514+I514+J514+K514,IF(AS514=4,('Calc (ex-animal)'!$G$97*'DB additional information '!$K$20/100+'Calc (ex-animal)'!$H$97*'DB additional information '!$L$20/100)*(1-VLOOKUP(D514,'DB technologies'!$N$238:$Y$250,9,FALSE)/100)*'Calc (ex-housing, ex-storage)'!F514/100*VLOOKUP(D514,'DB technologies'!$N$238:$Y$250,12,FALSE)/100/VLOOKUP($C$511,'DB animal categories'!$C$181:$AC$190,27,FALSE)*AJ514+I514+J514+K514,0))))))</f>
        <v/>
      </c>
      <c r="AV514" s="442" t="str">
        <f>IF(D514="","",IF(AS514=2,0,IF(AS514=1,'Calc (ex-animal)'!$G$97*(1-'DB additional information '!$K$20/100)*(1-VLOOKUP(D514,'DB technologies'!$N$238:$Y$250,8,FALSE)/100)*'Calc (ex-housing, ex-storage)'!F514/100/VLOOKUP($C$511,'DB animal categories'!$C$181:$AC$190,27,FALSE)*AJ514+M514+N514+O514,IF(AS514=5,('Calc (ex-animal)'!$G$97*(1-'DB additional information '!$K$20/100)+'Calc (ex-animal)'!$H$97*(1-'DB additional information '!$L$20/100))*(1-VLOOKUP(D514,'DB technologies'!$N$238:$Y$250,8,FALSE)/100)*'Calc (ex-housing, ex-storage)'!F514/100/VLOOKUP($C$511,'DB animal categories'!$C$181:$AC$190,27,FALSE)*AJ514+M514+N514+O514,IF(AS514=3,('Calc (ex-animal)'!$G$97*(1-'DB additional information '!$K$20/100)+'Calc (ex-animal)'!$H$97*(1-'DB additional information '!$L$20/100))*(1-VLOOKUP(D514,'DB technologies'!$N$238:$Y$250,8,FALSE)/100)*'Calc (ex-housing, ex-storage)'!F514/100/VLOOKUP($C$511,'DB animal categories'!$C$181:$AC$190,27,FALSE)*AJ514+M514+N514+O514,IF(AS514=4,('Calc (ex-animal)'!$G$97*(1-'DB additional information '!$K$20/100)+'Calc (ex-animal)'!$H$97*(1-'DB additional information '!$L$20/100))*(1-VLOOKUP(D514,'DB technologies'!$N$238:$Y$250,8,FALSE)/100)*'Calc (ex-housing, ex-storage)'!F514/100*VLOOKUP(D514,'DB technologies'!$N$238:$Y$250,12,FALSE)/100/VLOOKUP($C$511,'DB animal categories'!$C$181:$AC$190,27,FALSE)*AJ514+M514+N514+O514,0))))))</f>
        <v/>
      </c>
      <c r="AW514" s="442" t="str">
        <f>IF(AS514="","",IF(AU514=0,0,AU514/AT514*100))</f>
        <v/>
      </c>
      <c r="AX514" s="182" t="str">
        <f>IF(D514="","",IF(AS514=2,0,IF(AS514=1,'Calc (ex-animal)'!$K$97*'Calc (ex-housing, ex-storage)'!F514/100/VLOOKUP($C$511,'DB animal categories'!$C$181:$AC$190,27,FALSE)*AJ514+Q514+R514+S514,IF(AS514=5,('Calc (ex-animal)'!$K$97+'Calc (ex-animal)'!$L$97)*'Calc (ex-housing, ex-storage)'!F514/100/VLOOKUP($C$511,'DB animal categories'!$C$181:$AC$190,27,FALSE)*AJ514+Q514+R514+S514-'Calc (ex-housing, ex-storage)'!AC514,IF(AS514=3,('Calc (ex-animal)'!$K$97+'Calc (ex-animal)'!$L$97)*'Calc (ex-housing, ex-storage)'!F514/100/VLOOKUP($C$511,'DB animal categories'!$C$181:$AC$190,27,FALSE)*AJ514+Q514+R514+S514-'Calc (ex-housing, ex-storage)'!AC514-AD514-AE514,IF(AI514=4,('Calc (ex-animal)'!$K$97+'Calc (ex-animal)'!$L$97)*'Calc (ex-housing, ex-storage)'!F514/100*VLOOKUP(D514,'DB technologies'!$N$238:$Y$250,12,FALSE)/100/VLOOKUP($C$511,'DB animal categories'!$C$181:$AC$190,27,FALSE)*AJ514+Q514+R514+S514-(VLOOKUP(D514,'DB technologies'!$N$238:$Y$250,12,FALSE)/100*AC514)-AD514-AE514,0))))))</f>
        <v/>
      </c>
      <c r="AY514" s="182" t="str">
        <f>IF(D514="","",IF(AS514=2,0,IF(AS514=1,'Calc (ex-animal)'!$N$97*'Calc (ex-housing, ex-storage)'!F514/100/VLOOKUP($C$511,'DB animal categories'!$C$181:$AC$190,27,FALSE)*AJ514+U514+V514+W514,IF(AS514=5,('Calc (ex-animal)'!$N$97+'Calc (ex-animal)'!$O$97)*'Calc (ex-housing, ex-storage)'!F514/100/VLOOKUP($C$511,'DB animal categories'!$C$181:$AC$190,27,FALSE)*AJ514+U514+V514+W514,IF(AS514=3,('Calc (ex-animal)'!$N$97+'Calc (ex-animal)'!$O$97)*'Calc (ex-housing, ex-storage)'!F514/100/VLOOKUP($C$511,'DB animal categories'!$C$181:$AC$190,27,FALSE)*AJ514+U514+V514+W514,IF(AS514=4,('Calc (ex-animal)'!$N$97+'Calc (ex-animal)'!$O$97)*'Calc (ex-housing, ex-storage)'!F514/100*VLOOKUP(D514,'DB technologies'!$N$238:$Y$250,12,FALSE)/100/VLOOKUP($C$511,'DB animal categories'!$C$181:$AC$190,27,FALSE)*AJ514+U514+V514+W514,0))))))</f>
        <v/>
      </c>
      <c r="AZ514" s="182" t="str">
        <f>IF(D514="","",IF(AS514=2,0,IF(AS514=1,'Calc (ex-animal)'!$Q$97*'Calc (ex-housing, ex-storage)'!F514/100/VLOOKUP($C$511,'DB animal categories'!$C$181:$AC$190,27,FALSE)*AJ514+Y514+Z514+AA514,IF(AS514=5,('Calc (ex-animal)'!$Q$97+'Calc (ex-animal)'!$R$97)*'Calc (ex-housing, ex-storage)'!F514/100/VLOOKUP($C$511,'DB animal categories'!$C$181:$AC$190,27,FALSE)*AJ514+Y514+Z514+AA514,IF(AS514=3,('Calc (ex-animal)'!$Q$97+'Calc (ex-animal)'!$R$97)*'Calc (ex-housing, ex-storage)'!F514/100/VLOOKUP($C$511,'DB animal categories'!$C$181:$AC$190,27,FALSE)*AJ514+Y514+Z514+AA514,IF(AS514=4,('Calc (ex-animal)'!$Q$97+'Calc (ex-animal)'!$R$97)*'Calc (ex-housing, ex-storage)'!F514/100*VLOOKUP(D514,'DB technologies'!$N$238:$Y$250,12,FALSE)/100/VLOOKUP($C$511,'DB animal categories'!$C$181:$AC$190,27,FALSE)*AJ514+Y514+Z514+AA514,0))))))</f>
        <v/>
      </c>
      <c r="BA514" s="506"/>
      <c r="BB514" s="506"/>
      <c r="BC514" s="506"/>
    </row>
    <row r="515" spans="1:55" ht="12" thickBot="1" x14ac:dyDescent="0.25">
      <c r="A515" s="748"/>
      <c r="B515" s="695"/>
      <c r="C515" s="251"/>
      <c r="D515" s="1359"/>
      <c r="E515" s="1360"/>
      <c r="F515" s="481" t="str">
        <f>IF('Calc (ex-animal)'!$F$93=1,"",IF($C$511=0,"",IF(D515="","",E515/'Calc (ex-animal)'!$E$97*100)))</f>
        <v/>
      </c>
      <c r="G515" s="483" t="str">
        <f>IF($C$511=0,"",IF('Calc (ex-animal)'!$F$93=1,"",IF(D515="","",SUM(H515:O515))))</f>
        <v/>
      </c>
      <c r="H515" s="445" t="str">
        <f>IF('Calc (ex-animal)'!$F$93=1,"",IF(D515="","",(((VLOOKUP($C$511,'Calc (ex-animal)'!$D$93:$Y$97,6,FALSE)-VLOOKUP($C$511,'Calc (ex-animal)'!$D$93:$Y$97,17,FALSE))*F515/100))*VLOOKUP($C$511,'Calc (ex-animal)'!$D$93:$Y$97,7,FALSE)/100*(1-VLOOKUP(D515,'DB technologies'!$N$238:$Y$250,9,FALSE)/100)))</f>
        <v/>
      </c>
      <c r="I515" s="445" t="str">
        <f>IF(D515="","",((VLOOKUP(D515,'DB technologies'!$N$238:$Y$250,2,FALSE)*VLOOKUP($C$511,'DB animal categories'!$C$181:$AC$190,27,FALSE)*E515/1000)/VLOOKUP($C$511,'DB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'!$S$6/100*(1-VLOOKUP(D515,'DB technologies'!$N$238:$Y$250,9,FALSE)/100)))</f>
        <v/>
      </c>
      <c r="J515" s="446" t="str">
        <f>IF(D515="","",((VLOOKUP(D515,'DB technologies'!$N$238:$Y$250,3,FALSE)*VLOOKUP($C$511,'DB animal categories'!$C$181:$AC$190,27,FALSE)*E515/1000)/VLOOKUP($C$511,'DB animal categories'!$C$181:$AC$190,27,FALSE)*(VLOOKUP($C$511,'DB animal categories'!$C$181:$AC$190,27,FALSE)-(VLOOKUP($C$511,'DB animal categories'!$C$181:$AC$190,25,FALSE)*VLOOKUP($C$511,'DB animal categories'!$C$181:$AC$190,26,FALSE)/24))*'DB additional information '!$S$7/100*(1-VLOOKUP(D515,'DB technologies'!$N$238:$Y$250,9,FALSE)/100)))</f>
        <v/>
      </c>
      <c r="K515" s="446" t="str">
        <f>IF(D515="","",((VLOOKUP(D515,'DB technologies'!$N$238:$Y$250,4,FALSE)*E515*'DB additional information '!$S$8/100*(1-VLOOKUP(D515,'DB technologies'!$N$238:$Y$250,9,FALSE)/100))/VLOOKUP($C$511,'DB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L515" s="445" t="str">
        <f>IF('Calc (ex-animal)'!$F$93=1,"",IF(D515="","",(((VLOOKUP($C$511,'Calc (ex-animal)'!$D$93:$Y$97,6,FALSE)-VLOOKUP($C$511,'Calc (ex-animal)'!$D$93:$Y$97,17,FALSE))*F515/100))*(1-VLOOKUP($C$511,'Calc (ex-animal)'!$D$93:$Y$97,7,FALSE)/100)*(1-VLOOKUP(D515,'DB technologies'!$N$238:$V$250,8,FALSE)/100)))</f>
        <v/>
      </c>
      <c r="M515" s="446" t="str">
        <f>IF(D515="","",((VLOOKUP(D515,'DB technologies'!$N$238:$Y$250,2,FALSE)*VLOOKUP($C$511,'DB animal categories'!$C$181:$AC$190,27,FALSE)*E515/1000)/VLOOKUP($C$511,'DB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'!$S$6/100)*(1-VLOOKUP(D515,'DB technologies'!$N$238:$Y$250,9,FALSE)/100))</f>
        <v/>
      </c>
      <c r="N515" s="446" t="str">
        <f>IF(D515="","",((VLOOKUP(D515,'DB technologies'!$N$238:$Y$250,3,FALSE)*VLOOKUP($C$511,'DB animal categories'!$C$181:$AC$190,27,FALSE)*E515/1000)/VLOOKUP($C$511,'DB animal categories'!$C$181:$AC$190,27,FALSE)*(VLOOKUP($C$511,'DB animal categories'!$C$181:$AC$190,27,FALSE)-VLOOKUP($C$511,'DB animal categories'!$C$181:$AC$190,25,FALSE)*VLOOKUP($C$511,'DB animal categories'!$C$181:$AC$190,26,FALSE)/24))*(1-'DB additional information '!$S$7/100)*(1-VLOOKUP(D515,'DB technologies'!$N$238:$Y$250,9,FALSE)/100))</f>
        <v/>
      </c>
      <c r="O515" s="445" t="str">
        <f>IF(D515="","",((VLOOKUP(D515,'DB technologies'!$N$238:$Y$250,4,FALSE)*E515*(1-'DB additional information '!$S$8/100)*(1-VLOOKUP(D515,'DB technologies'!$N$238:$Y$250,8,FALSE)/100))/VLOOKUP($C$511,'DB animal categories'!$C$181:$AC$190,27,FALSE)*(VLOOKUP($C$511,'DB animal categories'!$C$181:$AC$190,27,FALSE)-VLOOKUP($C$511,'DB animal categories'!$C$181:$AC$190,25,FALSE)*VLOOKUP($C$511,'DB animal categories'!$C$181:$AC$190,26,FALSE)/24)))</f>
        <v/>
      </c>
      <c r="P515" s="444" t="str">
        <f>IF(G515=0,0,IF(E515="","",IF(F515="","",IF($C$511=0,"",IF(D515="","",SUM(H515:K515)/G515*100)))))</f>
        <v/>
      </c>
      <c r="Q515" s="476" t="str">
        <f>IF(D515="","",(VLOOKUP(D515,'DB technologies'!$N$238:$Y$250,2,FALSE)*'DB additional information '!$S$6/100*'DB additional information '!$T$6*VLOOKUP($C$511,'DB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R515" s="476" t="str">
        <f>IF(D515="","",(VLOOKUP(D515,'DB technologies'!$N$238:$Y$250,3,FALSE)*'DB additional information '!$S$7/100*'DB additional information '!$T$7*VLOOKUP($C$511,'DB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S515" s="494" t="str">
        <f>IF(D515="","",(VLOOKUP(D515,'DB technologies'!$N$238:$Y$250,4,FALSE)*('DB additional information '!$S$8/100*'DB additional information '!$T$8*E515/1000/1000)))</f>
        <v/>
      </c>
      <c r="T515" s="266" t="str">
        <f>IF($C$511=0,"",IF('Calc (ex-animal)'!$F$93=1,"",IF(D515="","",((VLOOKUP($C$511,'Calc (ex-animal)'!$D$93:$Y$97,10,FALSE)-VLOOKUP($C$511,'Calc (ex-animal)'!$D$93:$Y$97,18,FALSE))*F515/100+Q515+R515+S515)-AC515-AD515-AE515)))</f>
        <v/>
      </c>
      <c r="U515" s="477" t="str">
        <f>IF(D515="","",(VLOOKUP(D515,'DB technologies'!$N$238:$Y$250,2,FALSE)*'DB additional information '!$S$6/100*'DB additional information '!$U$6*VLOOKUP($C$511,'DB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V515" s="433" t="str">
        <f>IF(D515="","",(VLOOKUP(D515,'DB technologies'!$N$238:$Y$250,3,FALSE)*'DB additional information '!$S$7/100*'DB additional information '!$U$7*VLOOKUP($C$511,'DB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W515" s="475" t="str">
        <f>IF(D515="","",(VLOOKUP(D515,'DB technologies'!$N$238:$Y$250,4,FALSE)*('DB additional information '!$S$8/100*'DB additional information '!$U$8*E515/1000/1000)))</f>
        <v/>
      </c>
      <c r="X515" s="267" t="str">
        <f>IF($C$511=0,"",IF('Calc (ex-animal)'!$F$93=1,"",IF(D515="","",((VLOOKUP($C$511,'Calc (ex-animal)'!$D$93:$Y$97,13,FALSE)-VLOOKUP($C$511,'Calc (ex-animal)'!$D$93:$Y$97,19,FALSE))*F515/100+U515+V515+W515))))</f>
        <v/>
      </c>
      <c r="Y515" s="433" t="str">
        <f>IF(D515="","",(VLOOKUP(D515,'DB technologies'!$N$238:$Y$250,2,FALSE)*'DB additional information '!$S$6/100*'DB additional information '!$V$6*VLOOKUP($C$511,'DB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Z515" s="433" t="str">
        <f>IF(D515="","",(VLOOKUP(D515,'DB technologies'!$N$238:$Y$250,3,FALSE)*'DB additional information '!$S$7/100*'DB additional information '!$V$7*VLOOKUP($C$511,'DB animal categories'!$C$181:$AC$190,27,FALSE)*E515/1000/1000)/VLOOKUP($C$511,'DB animal categories'!$C$181:$AC$190,27,FALSE)*(VLOOKUP($C$511,'DB animal categories'!$C$181:$AC$190,27,FALSE)-VLOOKUP($C$511,'DB animal categories'!$C$181:$AC$190,25,FALSE)*VLOOKUP($C$511,'DB animal categories'!$C$181:$AC$190,26,FALSE)/24))</f>
        <v/>
      </c>
      <c r="AA515" s="433" t="str">
        <f>IF(D515="","",(VLOOKUP(D515,'DB technologies'!$N$238:$Y$250,4,FALSE)*('DB additional information '!$S$8/100*'DB additional information '!$V$8*E515/1000/1000)))</f>
        <v/>
      </c>
      <c r="AB515" s="267" t="str">
        <f>IF($C$511=0,"",IF('Calc (ex-animal)'!$F$93=1,"",IF(D515="","",((VLOOKUP($C$511,'Calc (ex-animal)'!$D$93:$Y$97,16,FALSE)-VLOOKUP($C$511,'Calc (ex-animal)'!$D$93:$Y$97,20,FALSE))*F515/100+Y515+Z515+AA515))))</f>
        <v/>
      </c>
      <c r="AC515" s="267" t="str">
        <f>IF($C$511=0,"",IF('Calc (ex-animal)'!$F$93=1,"",IF(D515="","",VLOOKUP($C$511,'Calc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categories'!$C$181:$AC$190,26,FALSE)/24)*F515/100*VLOOKUP(D515,'DB technologies'!$N$238:$R$250,5,FALSE)/100)))</f>
        <v/>
      </c>
      <c r="AD515" s="267" t="str">
        <f>IF($C$511=0,"",IF('Calc (ex-animal)'!$F$93=1,"",IF(D515="","",VLOOKUP($C$511,'Calc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categories'!$C$181:$AC$190,26,FALSE)/24)*F515/100*VLOOKUP(D515,'DB technologies'!$N$238:$Y$250,6,FALSE)/100)))</f>
        <v/>
      </c>
      <c r="AE515" s="268" t="str">
        <f>IF($C$511=0,"",IF('Calc (ex-animal)'!$F$93=1,"",IF(D515="","",VLOOKUP($C$511,'Calc (ex-animal)'!$D$93:$Y$97,10,FALSE)/VLOOKUP($C$511,'DB animal categories'!$C$181:$AC$190,27,FALSE)*(VLOOKUP($C$511,'DB animal categories'!$C$181:$AC$190,27,FALSE)-VLOOKUP($C$511,'DB animal categories'!$C$181:$AC$190,25,FALSE)*VLOOKUP($C$511,'DB animal categories'!$C$181:$AC$190,26,FALSE)/24)*F515/100*VLOOKUP(D515,'DB technologies'!$N$238:$Y$250,7,FALSE)/100)))</f>
        <v/>
      </c>
      <c r="AI515" s="183" t="str">
        <f>IF(D515="","",VLOOKUP(D515,'DB technologies'!$N$238:$Y$250,10,FALSE))</f>
        <v/>
      </c>
      <c r="AJ515" s="451" t="e">
        <f>VLOOKUP($C$511,'DB animal categories'!$C$181:$AN$190,27,FALSE)-VLOOKUP($C$511,'DB animal categories'!$C$181:$AN$190,26,FALSE)*VLOOKUP($C$511,'DB animal categories'!$C$181:$AN$190,25,FALSE)/24</f>
        <v>#N/A</v>
      </c>
      <c r="AK515" s="452" t="str">
        <f>IF(AI515="","",AL515+AM515)</f>
        <v/>
      </c>
      <c r="AL515" s="452" t="str">
        <f>IF(D515="","",IF(AI515=2,(('Calc (ex-animal)'!$G$97*'DB additional information '!$K$20/100*(1-VLOOKUP(D515,'DB technologies'!$N$238:$Y$250,9,FALSE)/100)*'Calc (ex-housing, ex-storage)'!F515/100+'Calc (ex-animal)'!$H$97*'DB additional information '!$L$20/100*(1-VLOOKUP(D515,'DB technologies'!$N$238:$Y$250,9,FALSE)/100)*'Calc (ex-housing, ex-storage)'!F515/100))/VLOOKUP($C$511,'DB animal categories'!$C$181:$AC$190,27,FALSE)*AJ515+I515+J515+K515,IF(AI515=1,('Calc (ex-animal)'!$H$97*'DB additional information '!$L$20/100*(1-VLOOKUP(D515,'DB technologies'!$N$238:$Y$250,9,FALSE)/100)*'Calc (ex-housing, ex-storage)'!F515/100)/VLOOKUP($C$511,'DB animal categories'!$C$181:$AC$190,27,FALSE)*AJ515,IF(AI515=4,('Calc (ex-animal)'!$G$97*'DB additional information '!$K$20/100+'Calc (ex-animal)'!$H$97*'DB additional information '!$L$20/100)*(1-VLOOKUP(D515,'DB technologies'!$N$238:$Y$250,9,FALSE)/100)*'Calc (ex-housing, ex-storage)'!F515/100*VLOOKUP(D515,'DB technologies'!$N$238:$Y$250,11,FALSE)/100/VLOOKUP($C$511,'DB animal categories'!$C$181:$AC$190,27,FALSE)*AJ515,0))))</f>
        <v/>
      </c>
      <c r="AM515" s="452" t="str">
        <f>IF(D515="","",IF(AI515=2,(('Calc (ex-animal)'!$G$97*(1-'DB additional information '!$K$20/100)*(1-VLOOKUP(D515,'DB technologies'!$N$238:$Y$250,8,FALSE)/100)*'Calc (ex-housing, ex-storage)'!F515/100+'Calc (ex-animal)'!$H$97*(1-'DB additional information '!$L$20/100)*(1-VLOOKUP(D515,'DB technologies'!$N$238:$Y$250,8,FALSE)/100)*'Calc (ex-housing, ex-storage)'!F515/100))/VLOOKUP($C$511,'DB animal categories'!$C$181:$AC$190,27,FALSE)*AJ515+M515+N515+O515,IF(AI515=1,('Calc (ex-animal)'!$H$97*(1-'DB additional information '!$L$20/100)*(1-VLOOKUP(D515,'DB technologies'!$N$238:$Y$250,8,FALSE)/100)*'Calc (ex-housing, ex-storage)'!F515/100)/VLOOKUP($C$511,'DB animal categories'!$C$181:$AC$190,27,FALSE)*AJ515,IF(AI515=4,('Calc (ex-animal)'!$G$97*(1-'DB additional information '!$K$20/100)+'Calc (ex-animal)'!$H$97*(1-'DB additional information '!$L$20/100))*(1-VLOOKUP(D515,'DB technologies'!$N$238:$Y$250,8,FALSE)/100)*'Calc (ex-housing, ex-storage)'!F515/100*VLOOKUP(D515,'DB technologies'!$N$238:$Y$250,11,FALSE)/100/VLOOKUP($C$511,'DB animal categories'!$C$181:$AC$190,27,FALSE)*AJ515,0))))</f>
        <v/>
      </c>
      <c r="AN515" s="452" t="str">
        <f>IF(AI515="","",IF(AL515=0,0,AL515/AK515*100))</f>
        <v/>
      </c>
      <c r="AO515" s="184" t="str">
        <f>IF(D515="","",IF(AI515=2,(('Calc (ex-animal)'!$L$97*'Calc (ex-housing, ex-storage)'!F515/100+'Calc (ex-animal)'!$K$97*'Calc (ex-housing, ex-storage)'!F515/100))/VLOOKUP($C$511,'DB animal categories'!$C$181:$AC$190,27,FALSE)*AJ515+Q515+R515+S515-AC515,IF(AI515=1,('Calc (ex-animal)'!$L$97*'Calc (ex-housing, ex-storage)'!F515/100)/VLOOKUP($C$511,'DB animal categories'!$C$181:$AC$190,27,FALSE)*AJ515-'Calc (ex-housing, ex-storage)'!AC515,IF(AI515=4,('Calc (ex-animal)'!$L$97+'Calc (ex-animal)'!$K$97)*'Calc (ex-housing, ex-storage)'!F515/100*VLOOKUP(D515,'DB technologies'!$N$238:$Y$250,11,FALSE)/100/VLOOKUP($C$511,'DB animal categories'!$C$181:$AC$190,27,FALSE)*AJ515-AC515*VLOOKUP(D515,'DB technologies'!$N$238:$Y$250,11,FALSE)/100,0))))</f>
        <v/>
      </c>
      <c r="AP515" s="184" t="str">
        <f>IF(D515="","",IF(AO515&lt;-0.01,0,IF(AI515=2,(('Calc (ex-animal)'!$L$97*'Calc (ex-housing, ex-storage)'!F515/100+'Calc (ex-animal)'!$K$97*'Calc (ex-housing, ex-storage)'!F515/100))/VLOOKUP($C$511,'DB animal categories'!$C$181:$AC$190,27,FALSE)*AJ515+Q515+R515+S515-AC515,IF(AI515=1,('Calc (ex-animal)'!$L$97*'Calc (ex-housing, ex-storage)'!F515/100)/VLOOKUP($C$511,'DB animal categories'!$C$181:$AC$190,27,FALSE)*AJ515-'Calc (ex-housing, ex-storage)'!AC515,IF(AI515=4,('Calc (ex-animal)'!$L$97+'Calc (ex-animal)'!$K$97)*'Calc (ex-housing, ex-storage)'!F515/100*VLOOKUP(D515,'DB technologies'!$N$238:$Y$250,11,FALSE)/100/VLOOKUP($C$511,'DB animal categories'!$C$181:$AC$190,27,FALSE)*AJ515-AC515*VLOOKUP(D515,'DB technologies'!$N$238:$Y$250,11,FALSE)/100,0)))))</f>
        <v/>
      </c>
      <c r="AQ515" s="184" t="str">
        <f>IF(D515="","",IF(AI515=2,('Calc (ex-animal)'!$O$97*'Calc (ex-housing, ex-storage)'!F515/100+'Calc (ex-animal)'!$N$97*'Calc (ex-housing, ex-storage)'!F515/100)/VLOOKUP($C$511,'DB animal categories'!$C$181:$AC$190,27,FALSE)*AJ515+U515+V515+W515,IF(AI515=1,'Calc (ex-animal)'!$O$97*'Calc (ex-housing, ex-storage)'!F515/100/VLOOKUP($C$511,'DB animal categories'!$C$181:$AC$190,27,FALSE)*AJ515,IF(AI515=4,('Calc (ex-animal)'!$O$97+'Calc (ex-animal)'!$N$97)*'Calc (ex-housing, ex-storage)'!F515/100*VLOOKUP(D515,'DB technologies'!$N$238:$Y$250,11,FALSE)/100/VLOOKUP($C$511,'DB animal categories'!$C$181:$AC$190,27,FALSE)*AJ515,0))))</f>
        <v/>
      </c>
      <c r="AR515" s="184" t="str">
        <f>IF(D515="","",IF(AI515=2,('Calc (ex-animal)'!$R$97*'Calc (ex-housing, ex-storage)'!F515/100+'Calc (ex-animal)'!$Q$97*'Calc (ex-housing, ex-storage)'!F515/100)/VLOOKUP($C$511,'DB animal categories'!$C$181:$AC$190,27,FALSE)*AJ515+Y515+Z515+AA515,IF(AI515=1,'Calc (ex-animal)'!$R$97*'Calc (ex-housing, ex-storage)'!F515/100/VLOOKUP($C$511,'DB animal categories'!$C$181:$AC$190,27,FALSE)*AJ515,IF(AI515=4,('Calc (ex-animal)'!$R$97+'Calc (ex-animal)'!$Q$97)*'Calc (ex-housing, ex-storage)'!F515/100*VLOOKUP(D515,'DB technologies'!$N$238:$Y$250,11,FALSE)/100/VLOOKUP($C$511,'DB animal categories'!$C$181:$AC$190,27,FALSE)*AJ515,0))))</f>
        <v/>
      </c>
      <c r="AS515" s="183" t="str">
        <f>IF(D515="","",VLOOKUP(D515,'DB technologies'!$N$238:$Y$250,10,FALSE))</f>
        <v/>
      </c>
      <c r="AT515" s="452" t="str">
        <f>IF(AS515="","",AU515+AV515)</f>
        <v/>
      </c>
      <c r="AU515" s="452" t="str">
        <f>IF(D515="","",IF(AS515=2,0,IF(AS515=1,'Calc (ex-animal)'!$G$97*'DB additional information '!$K$20/100*(1-VLOOKUP(D515,'DB technologies'!$N$238:$Y$250,8,FALSE)/100)*'Calc (ex-housing, ex-storage)'!F515/100/VLOOKUP($C$511,'DB animal categories'!$C$181:$AC$190,27,FALSE)*AJ515+I515+J515+K515,IF(AS515=5,(('Calc (ex-animal)'!$G$97*'DB additional information '!$K$20/100+'Calc (ex-animal)'!$H$97*'DB additional information '!$L$20/100))*(1-VLOOKUP(D515,'DB technologies'!$N$238:$Y$250,9,FALSE)/100)*'Calc (ex-housing, ex-storage)'!F515/100/VLOOKUP($C$511,'DB animal categories'!$C$181:$AC$190,27,FALSE)*AJ515+I515+J515+K515,IF(AS515=3,('Calc (ex-animal)'!$G$97*'DB additional information '!$K$20/100+'Calc (ex-animal)'!$H$97*'DB additional information '!$L$20/100)*(1-VLOOKUP(D515,'DB technologies'!$N$238:$Y$250,9,FALSE)/100)*'Calc (ex-housing, ex-storage)'!F515/100/VLOOKUP($C$511,'DB animal categories'!$C$181:$AC$190,27,FALSE)*AJ515+I515+J515+K515,IF(AS515=4,('Calc (ex-animal)'!$G$97*'DB additional information '!$K$20/100+'Calc (ex-animal)'!$H$97*'DB additional information '!$L$20/100)*(1-VLOOKUP(D515,'DB technologies'!$N$238:$Y$250,9,FALSE)/100)*'Calc (ex-housing, ex-storage)'!F515/100*VLOOKUP(D515,'DB technologies'!$N$238:$Y$250,12,FALSE)/100/VLOOKUP($C$511,'DB animal categories'!$C$181:$AC$190,27,FALSE)*AJ515+I515+J515+K515,0))))))</f>
        <v/>
      </c>
      <c r="AV515" s="452" t="str">
        <f>IF(D515="","",IF(AS515=2,0,IF(AS515=1,'Calc (ex-animal)'!$G$97*(1-'DB additional information '!$K$20/100)*(1-VLOOKUP(D515,'DB technologies'!$N$238:$Y$250,8,FALSE)/100)*'Calc (ex-housing, ex-storage)'!F515/100/VLOOKUP($C$511,'DB animal categories'!$C$181:$AC$190,27,FALSE)*AJ515+M515+N515+O515,IF(AS515=5,('Calc (ex-animal)'!$G$97*(1-'DB additional information '!$K$20/100)+'Calc (ex-animal)'!$H$97*(1-'DB additional information '!$L$20/100))*(1-VLOOKUP(D515,'DB technologies'!$N$238:$Y$250,8,FALSE)/100)*'Calc (ex-housing, ex-storage)'!F515/100/VLOOKUP($C$511,'DB animal categories'!$C$181:$AC$190,27,FALSE)*AJ515+M515+N515+O515,IF(AS515=3,('Calc (ex-animal)'!$G$97*(1-'DB additional information '!$K$20/100)+'Calc (ex-animal)'!$H$97*(1-'DB additional information '!$L$20/100))*(1-VLOOKUP(D515,'DB technologies'!$N$238:$Y$250,8,FALSE)/100)*'Calc (ex-housing, ex-storage)'!F515/100/VLOOKUP($C$511,'DB animal categories'!$C$181:$AC$190,27,FALSE)*AJ515+M515+N515+O515,IF(AS515=4,('Calc (ex-animal)'!$G$97*(1-'DB additional information '!$K$20/100)+'Calc (ex-animal)'!$H$97*(1-'DB additional information '!$L$20/100))*(1-VLOOKUP(D515,'DB technologies'!$N$238:$Y$250,8,FALSE)/100)*'Calc (ex-housing, ex-storage)'!F515/100*VLOOKUP(D515,'DB technologies'!$N$238:$Y$250,12,FALSE)/100/VLOOKUP($C$511,'DB animal categories'!$C$181:$AC$190,27,FALSE)*AJ515+M515+N515+O515,0))))))</f>
        <v/>
      </c>
      <c r="AW515" s="452" t="str">
        <f>IF(AS515="","",IF(AU515=0,0,AU515/AT515*100))</f>
        <v/>
      </c>
      <c r="AX515" s="184" t="str">
        <f>IF(D515="","",IF(AS515=2,0,IF(AS515=1,'Calc (ex-animal)'!$K$97*'Calc (ex-housing, ex-storage)'!F515/100/VLOOKUP($C$511,'DB animal categories'!$C$181:$AC$190,27,FALSE)*AJ515+Q515+R515+S515,IF(AS515=5,('Calc (ex-animal)'!$K$97+'Calc (ex-animal)'!$L$97)*'Calc (ex-housing, ex-storage)'!F515/100/VLOOKUP($C$511,'DB animal categories'!$C$181:$AC$190,27,FALSE)*AJ515+Q515+R515+S515-'Calc (ex-housing, ex-storage)'!AC515,IF(AS515=3,('Calc (ex-animal)'!$K$97+'Calc (ex-animal)'!$L$97)*'Calc (ex-housing, ex-storage)'!F515/100/VLOOKUP($C$511,'DB animal categories'!$C$181:$AC$190,27,FALSE)*AJ515+Q515+R515+S515-'Calc (ex-housing, ex-storage)'!AC515-AD515-AE515,IF(AI515=4,('Calc (ex-animal)'!$K$97+'Calc (ex-animal)'!$L$97)*'Calc (ex-housing, ex-storage)'!F515/100*VLOOKUP(D515,'DB technologies'!$N$238:$Y$250,12,FALSE)/100/VLOOKUP($C$511,'DB animal categories'!$C$181:$AC$190,27,FALSE)*AJ515+Q515+R515+S515-(VLOOKUP(D515,'DB technologies'!$N$238:$Y$250,12,FALSE)/100*AC515)-AD515-AE515,0))))))</f>
        <v/>
      </c>
      <c r="AY515" s="184" t="str">
        <f>IF(D515="","",IF(AS515=2,0,IF(AS515=1,'Calc (ex-animal)'!$N$97*'Calc (ex-housing, ex-storage)'!F515/100/VLOOKUP($C$511,'DB animal categories'!$C$181:$AC$190,27,FALSE)*AJ515+U515+V515+W515,IF(AS515=5,('Calc (ex-animal)'!$N$97+'Calc (ex-animal)'!$O$97)*'Calc (ex-housing, ex-storage)'!F515/100/VLOOKUP($C$511,'DB animal categories'!$C$181:$AC$190,27,FALSE)*AJ515+U515+V515+W515,IF(AS515=3,('Calc (ex-animal)'!$N$97+'Calc (ex-animal)'!$O$97)*'Calc (ex-housing, ex-storage)'!F515/100/VLOOKUP($C$511,'DB animal categories'!$C$181:$AC$190,27,FALSE)*AJ515+U515+V515+W515,IF(AS515=4,('Calc (ex-animal)'!$N$97+'Calc (ex-animal)'!$O$97)*'Calc (ex-housing, ex-storage)'!F515/100*VLOOKUP(D515,'DB technologies'!$N$238:$Y$250,12,FALSE)/100/VLOOKUP($C$511,'DB animal categories'!$C$181:$AC$190,27,FALSE)*AJ515+U515+V515+W515,0))))))</f>
        <v/>
      </c>
      <c r="AZ515" s="184" t="str">
        <f>IF(D515="","",IF(AS515=2,0,IF(AS515=1,'Calc (ex-animal)'!$Q$97*'Calc (ex-housing, ex-storage)'!F515/100/VLOOKUP($C$511,'DB animal categories'!$C$181:$AC$190,27,FALSE)*AJ515+Y515+Z515+AA515,IF(AS515=5,('Calc (ex-animal)'!$Q$97+'Calc (ex-animal)'!$R$97)*'Calc (ex-housing, ex-storage)'!F515/100/VLOOKUP($C$511,'DB animal categories'!$C$181:$AC$190,27,FALSE)*AJ515+Y515+Z515+AA515,IF(AS515=3,('Calc (ex-animal)'!$Q$97+'Calc (ex-animal)'!$R$97)*'Calc (ex-housing, ex-storage)'!F515/100/VLOOKUP($C$511,'DB animal categories'!$C$181:$AC$190,27,FALSE)*AJ515+Y515+Z515+AA515,IF(AS515=4,('Calc (ex-animal)'!$Q$97+'Calc (ex-animal)'!$R$97)*'Calc (ex-housing, ex-storage)'!F515/100*VLOOKUP(D515,'DB technologies'!$N$238:$Y$250,12,FALSE)/100/VLOOKUP($C$511,'DB animal categories'!$C$181:$AC$190,27,FALSE)*AJ515+Y515+Z515+AA515,0))))))</f>
        <v/>
      </c>
      <c r="BA515" s="506"/>
      <c r="BB515" s="506"/>
      <c r="BC515" s="506"/>
    </row>
    <row r="516" spans="1:55" ht="12" thickBot="1" x14ac:dyDescent="0.25">
      <c r="A516" s="748"/>
      <c r="B516" s="696"/>
      <c r="C516" s="252"/>
      <c r="D516" s="269" t="s">
        <v>58</v>
      </c>
      <c r="E516" s="270">
        <f>IF(F516&lt;=100,SUM(E511:E515),"ERROR")</f>
        <v>0</v>
      </c>
      <c r="F516" s="284">
        <f>IF(SUM(F511:F515) &lt;=100,SUM(F511:F515),"ERROR, SUM&gt;100%")</f>
        <v>0</v>
      </c>
      <c r="G516" s="550">
        <f>IF('Calc (ex-animal)'!$F$93=1,"",SUM(G511:G515))</f>
        <v>0</v>
      </c>
      <c r="H516" s="418">
        <f>IF('Calc (ex-animal)'!$F$8=1,"",SUM(H511:H515))</f>
        <v>0</v>
      </c>
      <c r="I516" s="418">
        <f>IF('Calc (ex-animal)'!$F$8=1,"",SUM(I511:I515))</f>
        <v>0</v>
      </c>
      <c r="J516" s="418">
        <f>IF('Calc (ex-animal)'!$F$8=1,"",SUM(J511:J515))</f>
        <v>0</v>
      </c>
      <c r="K516" s="418">
        <f>IF('Calc (ex-animal)'!$F$8=1,"",SUM(K511:K515))</f>
        <v>0</v>
      </c>
      <c r="L516" s="418">
        <f>IF('Calc (ex-animal)'!$F$8=1,"",SUM(L511:L515))</f>
        <v>0</v>
      </c>
      <c r="M516" s="551"/>
      <c r="N516" s="551"/>
      <c r="O516" s="551"/>
      <c r="P516" s="552">
        <f>IF(G516=0,0,IF('Calc (ex-animal)'!$F$93=1,"",IF(D516="","",SUM(H516:K516)/G516*100)))</f>
        <v>0</v>
      </c>
      <c r="Q516" s="271"/>
      <c r="R516" s="271"/>
      <c r="S516" s="271"/>
      <c r="T516" s="278">
        <f>IF('Calc (ex-animal)'!$F$97=1,"",SUM(T511:T515))</f>
        <v>0</v>
      </c>
      <c r="U516" s="279"/>
      <c r="V516" s="279"/>
      <c r="W516" s="279"/>
      <c r="X516" s="279">
        <f>IF('Calc (ex-animal)'!$F$97=1,"",SUM(X511:X515))</f>
        <v>0</v>
      </c>
      <c r="Y516" s="279"/>
      <c r="Z516" s="279"/>
      <c r="AA516" s="279"/>
      <c r="AB516" s="279">
        <f>IF('Calc (ex-animal)'!$F$97=1,"",SUM(AB511:AB515))</f>
        <v>0</v>
      </c>
      <c r="AC516" s="279">
        <f>IF('Calc (ex-animal)'!$F$97=1,"",SUM(AC511:AC515))</f>
        <v>0</v>
      </c>
      <c r="AD516" s="279">
        <f>IF('Calc (ex-animal)'!$F$97=1,"",SUM(AD511:AD515))</f>
        <v>0</v>
      </c>
      <c r="AE516" s="280">
        <f>IF('Calc (ex-animal)'!$F$97=1,"",SUM(AE511:AE515))</f>
        <v>0</v>
      </c>
    </row>
    <row r="517" spans="1:55" x14ac:dyDescent="0.2">
      <c r="A517" s="748"/>
      <c r="B517" s="694" t="s">
        <v>205</v>
      </c>
      <c r="C517" s="254">
        <f>'Calc (ex-animal)'!D98</f>
        <v>0</v>
      </c>
      <c r="D517" s="1355"/>
      <c r="E517" s="1356"/>
      <c r="F517" s="479" t="str">
        <f>IF('Calc (ex-animal)'!$F$98=1,"",IF($C$517=0,"",IF(D517="","",E517/'Calc (ex-animal)'!$E$98*100)))</f>
        <v/>
      </c>
      <c r="G517" s="484" t="str">
        <f>IF($C$517=0,"",IF('Calc (ex-animal)'!$F$98=1,"",IF(D517="","",SUM(H517:O517))))</f>
        <v/>
      </c>
      <c r="H517" s="471" t="str">
        <f>IF('Calc (ex-animal)'!$F$98=1,"",IF(D517="","",(((VLOOKUP($C$517,'Calc (ex-animal)'!$D$98:$Y$102,6,FALSE)-VLOOKUP($C$517,'Calc (ex-animal)'!$D$98:$Y$102,17,FALSE))*F517/100))*VLOOKUP($C$517,'Calc (ex-animal)'!$D$98:$Y$102,7,FALSE)/100*(1-VLOOKUP(D517,'DB technologies'!$N$252:$Y$264,9,FALSE)/100)))</f>
        <v/>
      </c>
      <c r="I517" s="471" t="str">
        <f>IF(D517="","",((VLOOKUP(D517,'DB technologies'!$N$252:$Y$264,2,FALSE)*VLOOKUP($C$517,'DB animal categories'!$C$191:$AC$200,27,FALSE)*E517/1000)/VLOOKUP($C$517,'DB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'!$S$6/100*(1-VLOOKUP(D517,'DB technologies'!$N$252:$Y$264,9,FALSE)/100)))</f>
        <v/>
      </c>
      <c r="J517" s="472" t="str">
        <f>IF(D517="","",((VLOOKUP(D517,'DB technologies'!$N$252:$Y$264,3,FALSE)*VLOOKUP($C$517,'DB animal categories'!$C$191:$AC$200,27,FALSE)*E517/1000)/VLOOKUP($C$517,'DB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'!$S$7/100*(1-VLOOKUP(D517,'DB technologies'!$N$252:$Y$264,9,FALSE)/100)))</f>
        <v/>
      </c>
      <c r="K517" s="472" t="str">
        <f>IF(D517="","",((VLOOKUP(D517,'DB technologies'!$N$252:$Y$264,4,FALSE)*E517*'DB additional information '!$S$8/100*(1-VLOOKUP(D517,'DB technologies'!$N$252:$Y$264,9,FALSE)/100))/VLOOKUP($C$517,'DB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L517" s="471" t="str">
        <f>IF('Calc (ex-animal)'!$F$98=1,"",IF(D517="","",(((VLOOKUP($C$517,'Calc (ex-animal)'!$D$98:$Y$102,6,FALSE)-VLOOKUP($C$517,'Calc (ex-animal)'!$D$98:$Y$102,17,FALSE))*F517/100))*(1-VLOOKUP($C$517,'Calc (ex-animal)'!$D$98:$Y$102,7,FALSE)/100)*(1-VLOOKUP(D517,'DB technologies'!$N$252:$V$264,8,FALSE)/100)))</f>
        <v/>
      </c>
      <c r="M517" s="472" t="str">
        <f>IF(D517="","",((VLOOKUP(D517,'DB technologies'!$N$252:$Y$264,2,FALSE)*VLOOKUP($C$517,'DB animal categories'!$C$191:$AC$200,27,FALSE)*E517/1000)/VLOOKUP($C$517,'DB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'!$S$6/100)*(1-VLOOKUP(D517,'DB technologies'!$N$252:$Y$264,9,FALSE)/100))</f>
        <v/>
      </c>
      <c r="N517" s="472" t="str">
        <f>IF(D517="","",((VLOOKUP(D517,'DB technologies'!$N$252:$Y$264,3,FALSE)*VLOOKUP($C$517,'DB animal categories'!$C$191:$AC$200,27,FALSE)*E517/1000)/VLOOKUP($C$517,'DB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'!$S$7/100)*(1-VLOOKUP(D517,'DB technologies'!$N$252:$Y$264,9,FALSE)/100))</f>
        <v/>
      </c>
      <c r="O517" s="471" t="str">
        <f>IF(D517="","",((VLOOKUP(D517,'DB technologies'!$N$252:$Y$264,4,FALSE)*E517*(1-'DB additional information '!$S$8/100)*(1-VLOOKUP(D517,'DB technologies'!$N$252:$Y$264,8,FALSE)/100))/VLOOKUP($C$517,'DB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P517" s="443" t="str">
        <f>IF(G517=0,0,IF(E517="","",IF(F517="","",IF($C$517=0,"",IF(D517="","",SUM(H517:K517)/G517*100)))))</f>
        <v/>
      </c>
      <c r="Q517" s="473" t="str">
        <f>IF(D517="","",(VLOOKUP(D517,'DB technologies'!$N$252:$Y$264,2,FALSE)*'DB additional information '!$S$6/100*'DB additional information '!$T$6*VLOOKUP($C$517,'DB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R517" s="473" t="str">
        <f>IF(D517="","",(VLOOKUP(D517,'DB technologies'!$N$252:$Y$264,3,FALSE)*'DB additional information '!$S$7/100*'DB additional information '!$T$7*VLOOKUP($C$517,'DB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S517" s="490" t="str">
        <f>IF(D517="","",(VLOOKUP(D517,'DB technologies'!$N$252:$Y$264,4,FALSE)*('DB additional information '!$S$8/100*'DB additional information '!$T$8*E517/1000/1000)))</f>
        <v/>
      </c>
      <c r="T517" s="263" t="str">
        <f>IF($C$517=0,"",IF('Calc (ex-animal)'!$F$98=1,"",IF(D517="","",((VLOOKUP($C$517,'Calc (ex-animal)'!$D$98:$Y$102,10,FALSE)-VLOOKUP($C$517,'Calc (ex-animal)'!$D$98:$Y$102,18,FALSE))*F517/100+Q517+R517+S517)-AC517-AD517-AE517)))</f>
        <v/>
      </c>
      <c r="U517" s="474" t="str">
        <f>IF(D517="","",(VLOOKUP(D517,'DB technologies'!$N$252:$Y$264,2,FALSE)*'DB additional information '!$S$6/100*'DB additional information '!$U$6*VLOOKUP($C$517,'DB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V517" s="420" t="str">
        <f>IF(D517="","",(VLOOKUP(D517,'DB technologies'!$N$252:$Y$264,3,FALSE)*'DB additional information '!$S$7/100*'DB additional information '!$U$7*VLOOKUP($C$517,'DB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W517" s="415" t="str">
        <f>IF(D517="","",(VLOOKUP(D517,'DB technologies'!$N$252:$Y$264,4,FALSE)*('DB additional information '!$S$8/100*'DB additional information '!$U$8*E517/1000/1000)))</f>
        <v/>
      </c>
      <c r="X517" s="259" t="str">
        <f>IF($C$517=0,"",IF('Calc (ex-animal)'!$F$98=1,"",IF(D517="","",((VLOOKUP($C$517,'Calc (ex-animal)'!$D$98:$Y$102,13,FALSE)-VLOOKUP($C$517,'Calc (ex-animal)'!$D$98:$Y$102,19,FALSE))*F517/100+U517+V517+W517))))</f>
        <v/>
      </c>
      <c r="Y517" s="420" t="str">
        <f>IF(D517="","",(VLOOKUP(D517,'DB technologies'!$N$252:$Y$264,2,FALSE)*'DB additional information '!$S$6/100*'DB additional information '!$V$6*VLOOKUP($C$517,'DB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Z517" s="420" t="str">
        <f>IF(D517="","",(VLOOKUP(D517,'DB technologies'!$N$252:$Y$264,3,FALSE)*'DB additional information '!$S$7/100*'DB additional information '!$V$7*VLOOKUP($C$517,'DB animal categories'!$C$191:$AC$200,27,FALSE)*E517/1000/1000)/VLOOKUP($C$517,'DB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AA517" s="420" t="str">
        <f>IF(D517="","",(VLOOKUP(D517,'DB technologies'!$N$252:$Y$264,4,FALSE)*('DB additional information '!$S$8/100*'DB additional information '!$V$8*E517/1000/1000)))</f>
        <v/>
      </c>
      <c r="AB517" s="259" t="str">
        <f>IF($C$517=0,"",IF('Calc (ex-animal)'!$F$98=1,"",IF(D517="","",((VLOOKUP($C$517,'Calc (ex-animal)'!$D$98:$Y$102,16,FALSE)-VLOOKUP($C$517,'Calc (ex-animal)'!$D$98:$Y$102,20,FALSE))*F517/100+Y517+Z517+AA517))))</f>
        <v/>
      </c>
      <c r="AC517" s="259" t="str">
        <f>IF($C$517=0,"",IF('Calc (ex-animal)'!$F$98=1,"",IF(D517="","",VLOOKUP($C$517,'Calc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categories'!$C$191:$AC$200,26,FALSE)/24)*F517/100*VLOOKUP(D517,'DB technologies'!$N$252:$R$264,5,FALSE)/100)))</f>
        <v/>
      </c>
      <c r="AD517" s="259" t="str">
        <f>IF($C$517=0,"",IF('Calc (ex-animal)'!$F$98=1,"",IF(D517="","",VLOOKUP($C$517,'Calc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categories'!$C$191:$AC$200,26,FALSE)/24)*F517/100*VLOOKUP(D517,'DB technologies'!$N$252:$Y$264,6,FALSE)/100)))</f>
        <v/>
      </c>
      <c r="AE517" s="260" t="str">
        <f>IF($C$517=0,"",IF('Calc (ex-animal)'!$F$98=1,"",IF(D517="","",VLOOKUP($C$517,'Calc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categories'!$C$191:$AC$200,26,FALSE)/24)*F517/100*VLOOKUP(D517,'DB technologies'!$N$252:$Y$264,7,FALSE)/100)))</f>
        <v/>
      </c>
      <c r="AI517" s="179" t="str">
        <f>IF(D517="","",VLOOKUP(D517,'DB technologies'!$N$252:$Y$264,10,FALSE))</f>
        <v/>
      </c>
      <c r="AJ517" s="482" t="e">
        <f>VLOOKUP($C$517,'DB animal categories'!$C$191:$AN$200,27,FALSE)-VLOOKUP($C$517,'DB animal categories'!$C$191:$AN$200,26,FALSE)*VLOOKUP($C$517,'DB animal categories'!$C$191:$AN$200,25,FALSE)/24</f>
        <v>#N/A</v>
      </c>
      <c r="AK517" s="453" t="str">
        <f>IF(AI517="","",AL517+AM517)</f>
        <v/>
      </c>
      <c r="AL517" s="453" t="str">
        <f>IF(D517="","",IF(AI517=2,(('Calc (ex-animal)'!$G$98*'DB additional information '!$K$21/100*(1-VLOOKUP(D517,'DB technologies'!$N$252:$Y$264,9,FALSE)/100)*'Calc (ex-housing, ex-storage)'!F517/100+'Calc (ex-animal)'!$H$98*'DB additional information '!$L$21/100*(1-VLOOKUP(D517,'DB technologies'!$N$252:$Y$264,9,FALSE)/100)*'Calc (ex-housing, ex-storage)'!F517/100))/VLOOKUP($C$517,'DB animal categories'!$C$191:$AC$200,27,FALSE)*AJ517+I517+J517+K517,IF(AI517=1,('Calc (ex-animal)'!$H$98*'DB additional information '!$L$21/100*(1-VLOOKUP(D517,'DB technologies'!$N$252:$Y$264,9,FALSE)/100)*'Calc (ex-housing, ex-storage)'!F517/100)/VLOOKUP($C$517,'DB animal categories'!$C$191:$AC$200,27,FALSE)*AJ517,IF(AI517=4,('Calc (ex-animal)'!$G$98*'DB additional information '!$K$21/100+'Calc (ex-animal)'!$H$98*'DB additional information '!$L$21/100)*(1-VLOOKUP(D517,'DB technologies'!$N$252:$Y$264,9,FALSE)/100)*'Calc (ex-housing, ex-storage)'!F517/100*VLOOKUP(D517,'DB technologies'!$N$252:$Y$264,11,FALSE)/100/VLOOKUP($C$517,'DB animal categories'!$C$191:$AC$200,27,FALSE)*AJ517,0))))</f>
        <v/>
      </c>
      <c r="AM517" s="453" t="str">
        <f>IF(D517="","",IF(AI517=2,(('Calc (ex-animal)'!$G$98*(1-'DB additional information '!$K$21/100)*(1-VLOOKUP(D517,'DB technologies'!$N$252:$Y$264,8,FALSE)/100)*'Calc (ex-housing, ex-storage)'!F517/100+'Calc (ex-animal)'!$H$98*(1-'DB additional information '!$L$21/100)*(1-VLOOKUP(D517,'DB technologies'!$N$252:$Y$264,8,FALSE)/100)*'Calc (ex-housing, ex-storage)'!F517/100))/VLOOKUP($C$517,'DB animal categories'!$C$191:$AC$200,27,FALSE)*AJ517+M517+N517+O517,IF(AI517=1,('Calc (ex-animal)'!$H$98*(1-'DB additional information '!$L$21/100)*(1-VLOOKUP(D517,'DB technologies'!$N$252:$Y$264,8,FALSE)/100)*'Calc (ex-housing, ex-storage)'!F517/100)/VLOOKUP($C$517,'DB animal categories'!$C$191:$AC$200,27,FALSE)*AJ517,IF(AI517=4,('Calc (ex-animal)'!$G$98*(1-'DB additional information '!$K$21/100)+'Calc (ex-animal)'!$H$98*(1-'DB additional information '!$L$21/100))*(1-VLOOKUP(D517,'DB technologies'!$N$252:$Y$264,8,FALSE)/100)*'Calc (ex-housing, ex-storage)'!F517/100*VLOOKUP(D517,'DB technologies'!$N$252:$Y$264,11,FALSE)/100/VLOOKUP($C$517,'DB animal categories'!$C$191:$AC$200,27,FALSE)*AJ517,0))))</f>
        <v/>
      </c>
      <c r="AN517" s="453" t="str">
        <f>IF(AI517="","",IF(AL517=0,0,AL517/AK517*100))</f>
        <v/>
      </c>
      <c r="AO517" s="180" t="str">
        <f>IF(D517="","",IF(AI517=2,(('Calc (ex-animal)'!$L$98*'Calc (ex-housing, ex-storage)'!F517/100+'Calc (ex-animal)'!$K$98*'Calc (ex-housing, ex-storage)'!F517/100))/VLOOKUP($C$517,'DB animal categories'!$C$191:$AC$200,27,FALSE)*AJ517+Q517+R517+S517-AC517,IF(AI517=1,('Calc (ex-animal)'!$L$98*'Calc (ex-housing, ex-storage)'!F517/100)/VLOOKUP($C$517,'DB animal categories'!$C$191:$AC$200,27,FALSE)*AJ517-'Calc (ex-housing, ex-storage)'!AC517,IF(AI517=4,('Calc (ex-animal)'!$L$98+'Calc (ex-animal)'!$K$98)*'Calc (ex-housing, ex-storage)'!F517/100*VLOOKUP(D517,'DB technologies'!$N$252:$Y$264,11,FALSE)/100/VLOOKUP($C$517,'DB animal categories'!$C$191:$AC$200,27,FALSE)*AJ517-AC517*VLOOKUP(D517,'DB technologies'!$N$252:$Y$264,11,FALSE)/100,0))))</f>
        <v/>
      </c>
      <c r="AP517" s="180" t="str">
        <f>IF(D517="","",IF(AO517&lt;-0.01,0,IF(AI517=2,(('Calc (ex-animal)'!$L$98*'Calc (ex-housing, ex-storage)'!F517/100+'Calc (ex-animal)'!$K$98*'Calc (ex-housing, ex-storage)'!F517/100))/VLOOKUP($C$517,'DB animal categories'!$C$191:$AC$200,27,FALSE)*AJ517+Q517+R517+S517-AC517,IF(AI517=1,('Calc (ex-animal)'!$L$98*'Calc (ex-housing, ex-storage)'!F517/100)/VLOOKUP($C$517,'DB animal categories'!$C$191:$AC$200,27,FALSE)*AJ517-'Calc (ex-housing, ex-storage)'!AC517,IF(AI517=4,('Calc (ex-animal)'!$L$98+'Calc (ex-animal)'!$K$98)*'Calc (ex-housing, ex-storage)'!F517/100*VLOOKUP(D517,'DB technologies'!$N$252:$Y$264,11,FALSE)/100/VLOOKUP($C$517,'DB animal categories'!$C$191:$AC$200,27,FALSE)*AJ517-AC517*VLOOKUP(D517,'DB technologies'!$N$252:$Y$264,11,FALSE)/100,0)))))</f>
        <v/>
      </c>
      <c r="AQ517" s="180" t="str">
        <f>IF(D517="","",IF(AI517=2,('Calc (ex-animal)'!$O$98*'Calc (ex-housing, ex-storage)'!F517/100+'Calc (ex-animal)'!$N$98*'Calc (ex-housing, ex-storage)'!F517/100)/VLOOKUP($C$517,'DB animal categories'!$C$191:$AC$200,27,FALSE)*AJ517+U517+V517+W517,IF(AI517=1,'Calc (ex-animal)'!$O$98*'Calc (ex-housing, ex-storage)'!F517/100/VLOOKUP($C$517,'DB animal categories'!$C$191:$AC$200,27,FALSE)*AJ517,IF(AI517=4,('Calc (ex-animal)'!$O$98+'Calc (ex-animal)'!$N$98)*'Calc (ex-housing, ex-storage)'!F517/100*VLOOKUP(D517,'DB technologies'!$N$252:$Y$264,11,FALSE)/100/VLOOKUP($C$517,'DB animal categories'!$C$191:$AC$200,27,FALSE)*AJ517,0))))</f>
        <v/>
      </c>
      <c r="AR517" s="180" t="str">
        <f>IF(D517="","",IF(AI517=2,('Calc (ex-animal)'!$R$98*'Calc (ex-housing, ex-storage)'!F517/100+'Calc (ex-animal)'!$Q$98*'Calc (ex-housing, ex-storage)'!F517/100)/VLOOKUP($C$517,'DB animal categories'!$C$191:$AC$200,27,FALSE)*AJ517+Y517+Z517+AA517,IF(AI517=1,'Calc (ex-animal)'!$R$98*'Calc (ex-housing, ex-storage)'!F517/100/VLOOKUP($C$517,'DB animal categories'!$C$191:$AC$200,27,FALSE)*AJ517,IF(AI517=4,('Calc (ex-animal)'!$R$98+'Calc (ex-animal)'!$Q$98)*'Calc (ex-housing, ex-storage)'!F517/100*VLOOKUP(D517,'DB technologies'!$N$252:$Y$264,11,FALSE)/100/VLOOKUP($C$517,'DB animal categories'!$C$191:$AC$200,27,FALSE)*AJ517,0))))</f>
        <v/>
      </c>
      <c r="AS517" s="179" t="str">
        <f>IF(D517="","",VLOOKUP(D517,'DB technologies'!$N$252:$Y$264,10,FALSE))</f>
        <v/>
      </c>
      <c r="AT517" s="453" t="str">
        <f>IF(AS517="","",AU517+AV517)</f>
        <v/>
      </c>
      <c r="AU517" s="453" t="str">
        <f>IF(D517="","",IF(AS517=2,0,IF(AS517=1,'Calc (ex-animal)'!$G$98*'DB additional information '!$K$21/100*(1-VLOOKUP(D517,'DB technologies'!$N$252:$Y$264,8,FALSE)/100)*'Calc (ex-housing, ex-storage)'!F517/100/VLOOKUP($C$517,'DB animal categories'!$C$191:$AC$200,27,FALSE)*AJ517+I517+J517+K517,IF(AS517=5,(('Calc (ex-animal)'!$G$98*'DB additional information '!$K$21/100+'Calc (ex-animal)'!$H$98*'DB additional information '!$L$21/100))*(1-VLOOKUP(D517,'DB technologies'!$N$252:$Y$264,9,FALSE)/100)*'Calc (ex-housing, ex-storage)'!F517/100/VLOOKUP($C$517,'DB animal categories'!$C$191:$AC$200,27,FALSE)*AJ517+I517+J517+K517,IF(AS517=3,('Calc (ex-animal)'!$G$98*'DB additional information '!$K$21/100+'Calc (ex-animal)'!$H$98*'DB additional information '!$L$21/100)*(1-VLOOKUP(D517,'DB technologies'!$N$252:$Y$264,9,FALSE)/100)*'Calc (ex-housing, ex-storage)'!F517/100/VLOOKUP($C$517,'DB animal categories'!$C$191:$AC$200,27,FALSE)*AJ517+I517+J517+K517,IF(AS517=4,('Calc (ex-animal)'!$G$98*'DB additional information '!$K$21/100+'Calc (ex-animal)'!$H$98*'DB additional information '!$L$21/100)*(1-VLOOKUP(D517,'DB technologies'!$N$252:$Y$264,9,FALSE)/100)*'Calc (ex-housing, ex-storage)'!F517/100*VLOOKUP(D517,'DB technologies'!$N$252:$Y$264,12,FALSE)/100/VLOOKUP($C$517,'DB animal categories'!$C$191:$AC$200,27,FALSE)*AJ517+I517+J517+K517,0))))))</f>
        <v/>
      </c>
      <c r="AV517" s="453" t="str">
        <f>IF(D517="","",IF(AS517=2,0,IF(AS517=1,'Calc (ex-animal)'!$G$98*(1-'DB additional information '!$K$21/100)*(1-VLOOKUP(D517,'DB technologies'!$N$252:$Y$264,8,FALSE)/100)*'Calc (ex-housing, ex-storage)'!F517/100/VLOOKUP($C$517,'DB animal categories'!$C$191:$AC$200,27,FALSE)*AJ517+M517+N517+O517,IF(AS517=5,('Calc (ex-animal)'!$G$98*(1-'DB additional information '!$K$21/100)+'Calc (ex-animal)'!$H$98*(1-'DB additional information '!$L$21/100))*(1-VLOOKUP(D517,'DB technologies'!$N$252:$Y$264,8,FALSE)/100)*'Calc (ex-housing, ex-storage)'!F517/100/VLOOKUP($C$517,'DB animal categories'!$C$191:$AC$200,27,FALSE)*AJ517+M517+N517+O517,IF(AS517=3,('Calc (ex-animal)'!$G$98*(1-'DB additional information '!$K$21/100)+'Calc (ex-animal)'!$H$98*(1-'DB additional information '!$L$21/100))*(1-VLOOKUP(D517,'DB technologies'!$N$252:$Y$264,8,FALSE)/100)*'Calc (ex-housing, ex-storage)'!F517/100/VLOOKUP($C$517,'DB animal categories'!$C$191:$AC$200,27,FALSE)*AJ517+M517+N517+O517,IF(AS517=4,('Calc (ex-animal)'!$G$98*(1-'DB additional information '!$K$21/100)+'Calc (ex-animal)'!$H$98*(1-'DB additional information '!$L$21/100))*(1-VLOOKUP(D517,'DB technologies'!$N$252:$Y$264,8,FALSE)/100)*'Calc (ex-housing, ex-storage)'!F517/100*VLOOKUP(D517,'DB technologies'!$N$252:$Y$264,12,FALSE)/100/VLOOKUP($C$517,'DB animal categories'!$C$191:$AC$200,27,FALSE)*AJ517+M517+N517+O517,0))))))</f>
        <v/>
      </c>
      <c r="AW517" s="453" t="str">
        <f>IF(AS517="","",IF(AU517=0,0,AU517/AT517*100))</f>
        <v/>
      </c>
      <c r="AX517" s="180" t="str">
        <f>IF(D517="","",IF(AS517=2,0,IF(AS517=1,'Calc (ex-animal)'!$K$98*'Calc (ex-housing, ex-storage)'!F517/100/VLOOKUP($C$517,'DB animal categories'!$C$191:$AC$200,27,FALSE)*AJ517+Q517+R517+S517,IF(AS517=5,('Calc (ex-animal)'!$K$98+'Calc (ex-animal)'!$L$98)*'Calc (ex-housing, ex-storage)'!F517/100/VLOOKUP($C$517,'DB animal categories'!$C$191:$AC$200,27,FALSE)*AJ517+Q517+R517+S517-'Calc (ex-housing, ex-storage)'!AC517,IF(AS517=3,('Calc (ex-animal)'!$K$98+'Calc (ex-animal)'!$L$98)*'Calc (ex-housing, ex-storage)'!F517/100/VLOOKUP($C$517,'DB animal categories'!$C$191:$AC$200,27,FALSE)*AJ517+Q517+R517+S517-'Calc (ex-housing, ex-storage)'!AC517-AD517-AE517,IF(AI517=4,('Calc (ex-animal)'!$K$98+'Calc (ex-animal)'!$L$98)*'Calc (ex-housing, ex-storage)'!F517/100*VLOOKUP(D517,'DB technologies'!$N$252:$Y$264,12,FALSE)/100/VLOOKUP($C$517,'DB animal categories'!$C$191:$AC$200,27,FALSE)*AJ517+Q517+R517+S517-(VLOOKUP(D517,'DB technologies'!$N$252:$Y$264,12,FALSE)/100*AC517)-AD517-AE517,0))))))</f>
        <v/>
      </c>
      <c r="AY517" s="180" t="str">
        <f>IF(D517="","",IF(AS517=2,0,IF(AS517=1,'Calc (ex-animal)'!$N$98*'Calc (ex-housing, ex-storage)'!F517/100/VLOOKUP($C$517,'DB animal categories'!$C$191:$AC$200,27,FALSE)*AJ517+U517+V517+W517,IF(AS517=5,('Calc (ex-animal)'!$N$98+'Calc (ex-animal)'!$O$98)*'Calc (ex-housing, ex-storage)'!F517/100/VLOOKUP($C$517,'DB animal categories'!$C$191:$AC$200,27,FALSE)*AJ517+U517+V517+W517,IF(AS517=3,('Calc (ex-animal)'!$N$98+'Calc (ex-animal)'!$O$98)*'Calc (ex-housing, ex-storage)'!F517/100/VLOOKUP($C$517,'DB animal categories'!$C$191:$AC$200,27,FALSE)*AJ517+U517+V517+W517,IF(AS517=4,('Calc (ex-animal)'!$N$98+'Calc (ex-animal)'!$O$98)*'Calc (ex-housing, ex-storage)'!F517/100*VLOOKUP(D517,'DB technologies'!$N$252:$Y$264,12,FALSE)/100/VLOOKUP($C$517,'DB animal categories'!$C$191:$AC$200,27,FALSE)*AJ517+U517+V517+W517,0))))))</f>
        <v/>
      </c>
      <c r="AZ517" s="180" t="str">
        <f>IF(D517="","",IF(AS517=2,0,IF(AS517=1,'Calc (ex-animal)'!$Q$98*'Calc (ex-housing, ex-storage)'!F517/100/VLOOKUP($C$517,'DB animal categories'!$C$191:$AC$200,27,FALSE)*AJ517+Y517+Z517+AA517,IF(AS517=5,('Calc (ex-animal)'!$Q$98+'Calc (ex-animal)'!$R$98)*'Calc (ex-housing, ex-storage)'!F517/100/VLOOKUP($C$517,'DB animal categories'!$C$191:$AC$200,27,FALSE)*AJ517+Y517+Z517+AA517,IF(AS517=3,('Calc (ex-animal)'!$Q$98+'Calc (ex-animal)'!$R$98)*'Calc (ex-housing, ex-storage)'!F517/100/VLOOKUP($C$517,'DB animal categories'!$C$191:$AC$200,27,FALSE)*AJ517+Y517+Z517+AA517,IF(AS517=4,('Calc (ex-animal)'!$Q$98+'Calc (ex-animal)'!$R$98)*'Calc (ex-housing, ex-storage)'!F517/100*VLOOKUP(D517,'DB technologies'!$N$252:$Y$264,12,FALSE)/100/VLOOKUP($C$517,'DB animal categories'!$C$191:$AC$200,27,FALSE)*AJ517+Y517+Z517+AA517,0))))))</f>
        <v/>
      </c>
      <c r="BA517" s="506"/>
      <c r="BB517" s="506"/>
      <c r="BC517" s="506"/>
    </row>
    <row r="518" spans="1:55" x14ac:dyDescent="0.2">
      <c r="A518" s="748"/>
      <c r="B518" s="695"/>
      <c r="C518" s="255"/>
      <c r="D518" s="1357"/>
      <c r="E518" s="1358"/>
      <c r="F518" s="480" t="str">
        <f>IF('Calc (ex-animal)'!$F$98=1,"",IF($C$517=0,"",IF(D518="","",E518/'Calc (ex-animal)'!$E$98*100)))</f>
        <v/>
      </c>
      <c r="G518" s="485" t="str">
        <f>IF($C$517=0,"",IF('Calc (ex-animal)'!$F$98=1,"",IF(D518="","",SUM(H518:O518))))</f>
        <v/>
      </c>
      <c r="H518" s="423" t="str">
        <f>IF('Calc (ex-animal)'!$F$98=1,"",IF(D518="","",(((VLOOKUP($C$517,'Calc (ex-animal)'!$D$98:$Y$102,6,FALSE)-VLOOKUP($C$517,'Calc (ex-animal)'!$D$98:$Y$102,17,FALSE))*F518/100))*VLOOKUP($C$517,'Calc (ex-animal)'!$D$98:$Y$102,7,FALSE)/100*(1-VLOOKUP(D518,'DB technologies'!$N$252:$Y$264,9,FALSE)/100)))</f>
        <v/>
      </c>
      <c r="I518" s="423" t="str">
        <f>IF(D518="","",((VLOOKUP(D518,'DB technologies'!$N$252:$Y$264,2,FALSE)*VLOOKUP($C$517,'DB animal categories'!$C$191:$AC$200,27,FALSE)*E518/1000)/VLOOKUP($C$517,'DB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'!$S$6/100*(1-VLOOKUP(D518,'DB technologies'!$N$252:$Y$264,9,FALSE)/100)))</f>
        <v/>
      </c>
      <c r="J518" s="434" t="str">
        <f>IF(D518="","",((VLOOKUP(D518,'DB technologies'!$N$252:$Y$264,3,FALSE)*VLOOKUP($C$517,'DB animal categories'!$C$191:$AC$200,27,FALSE)*E518/1000)/VLOOKUP($C$517,'DB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'!$S$7/100*(1-VLOOKUP(D518,'DB technologies'!$N$252:$Y$264,9,FALSE)/100)))</f>
        <v/>
      </c>
      <c r="K518" s="434" t="str">
        <f>IF(D518="","",((VLOOKUP(D518,'DB technologies'!$N$252:$Y$264,4,FALSE)*E518*'DB additional information '!$S$8/100*(1-VLOOKUP(D518,'DB technologies'!$N$252:$Y$264,9,FALSE)/100))/VLOOKUP($C$517,'DB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L518" s="423" t="str">
        <f>IF('Calc (ex-animal)'!$F$98=1,"",IF(D518="","",(((VLOOKUP($C$517,'Calc (ex-animal)'!$D$98:$Y$102,6,FALSE)-VLOOKUP($C$517,'Calc (ex-animal)'!$D$98:$Y$102,17,FALSE))*F518/100))*(1-VLOOKUP($C$517,'Calc (ex-animal)'!$D$98:$Y$102,7,FALSE)/100)*(1-VLOOKUP(D518,'DB technologies'!$N$252:$V$264,8,FALSE)/100)))</f>
        <v/>
      </c>
      <c r="M518" s="434" t="str">
        <f>IF(D518="","",((VLOOKUP(D518,'DB technologies'!$N$252:$Y$264,2,FALSE)*VLOOKUP($C$517,'DB animal categories'!$C$191:$AC$200,27,FALSE)*E518/1000)/VLOOKUP($C$517,'DB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'!$S$6/100)*(1-VLOOKUP(D518,'DB technologies'!$N$252:$Y$264,9,FALSE)/100))</f>
        <v/>
      </c>
      <c r="N518" s="434" t="str">
        <f>IF(D518="","",((VLOOKUP(D518,'DB technologies'!$N$252:$Y$264,3,FALSE)*VLOOKUP($C$517,'DB animal categories'!$C$191:$AC$200,27,FALSE)*E518/1000)/VLOOKUP($C$517,'DB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'!$S$7/100)*(1-VLOOKUP(D518,'DB technologies'!$N$252:$Y$264,9,FALSE)/100))</f>
        <v/>
      </c>
      <c r="O518" s="423" t="str">
        <f>IF(D518="","",((VLOOKUP(D518,'DB technologies'!$N$252:$Y$264,4,FALSE)*E518*(1-'DB additional information '!$S$8/100)*(1-VLOOKUP(D518,'DB technologies'!$N$252:$Y$264,8,FALSE)/100))/VLOOKUP($C$517,'DB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P518" s="438" t="str">
        <f>IF(G518=0,0,IF(E518="","",IF(F518="","",IF($C$517=0,"",IF(D518="","",SUM(H518:K518)/G518*100)))))</f>
        <v/>
      </c>
      <c r="Q518" s="416" t="str">
        <f>IF(D518="","",(VLOOKUP(D518,'DB technologies'!$N$252:$Y$264,2,FALSE)*'DB additional information '!$S$6/100*'DB additional information '!$T$6*VLOOKUP($C$517,'DB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R518" s="416" t="str">
        <f>IF(D518="","",(VLOOKUP(D518,'DB technologies'!$N$252:$Y$264,3,FALSE)*'DB additional information '!$S$7/100*'DB additional information '!$T$7*VLOOKUP($C$517,'DB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S518" s="491" t="str">
        <f>IF(D518="","",(VLOOKUP(D518,'DB technologies'!$N$252:$Y$264,4,FALSE)*('DB additional information '!$S$8/100*'DB additional information '!$T$8*E518/1000/1000)))</f>
        <v/>
      </c>
      <c r="T518" s="264" t="str">
        <f>IF($C$517=0,"",IF('Calc (ex-animal)'!$F$98=1,"",IF(D518="","",((VLOOKUP($C$517,'Calc (ex-animal)'!$D$98:$Y$102,10,FALSE)-VLOOKUP($C$517,'Calc (ex-animal)'!$D$98:$Y$102,18,FALSE))*F518/100+Q518+R518+S518)-AC518-AD518-AE518)))</f>
        <v/>
      </c>
      <c r="U518" s="422" t="str">
        <f>IF(D518="","",(VLOOKUP(D518,'DB technologies'!$N$252:$Y$264,2,FALSE)*'DB additional information '!$S$6/100*'DB additional information '!$U$6*VLOOKUP($C$517,'DB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V518" s="418" t="str">
        <f>IF(D518="","",(VLOOKUP(D518,'DB technologies'!$N$252:$Y$264,3,FALSE)*'DB additional information '!$S$7/100*'DB additional information '!$U$7*VLOOKUP($C$517,'DB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W518" s="417" t="str">
        <f>IF(D518="","",(VLOOKUP(D518,'DB technologies'!$N$252:$Y$264,4,FALSE)*('DB additional information '!$S$8/100*'DB additional information '!$U$8*E518/1000/1000)))</f>
        <v/>
      </c>
      <c r="X518" s="261" t="str">
        <f>IF($C$517=0,"",IF('Calc (ex-animal)'!$F$98=1,"",IF(D518="","",((VLOOKUP($C$517,'Calc (ex-animal)'!$D$98:$Y$102,13,FALSE)-VLOOKUP($C$517,'Calc (ex-animal)'!$D$98:$Y$102,19,FALSE))*F518/100+U518+V518+W518))))</f>
        <v/>
      </c>
      <c r="Y518" s="418" t="str">
        <f>IF(D518="","",(VLOOKUP(D518,'DB technologies'!$N$252:$Y$264,2,FALSE)*'DB additional information '!$S$6/100*'DB additional information '!$V$6*VLOOKUP($C$517,'DB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Z518" s="418" t="str">
        <f>IF(D518="","",(VLOOKUP(D518,'DB technologies'!$N$252:$Y$264,3,FALSE)*'DB additional information '!$S$7/100*'DB additional information '!$V$7*VLOOKUP($C$517,'DB animal categories'!$C$191:$AC$200,27,FALSE)*E518/1000/1000)/VLOOKUP($C$517,'DB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AA518" s="418" t="str">
        <f>IF(D518="","",(VLOOKUP(D518,'DB technologies'!$N$252:$Y$264,4,FALSE)*('DB additional information '!$S$8/100*'DB additional information '!$V$8*E518/1000/1000)))</f>
        <v/>
      </c>
      <c r="AB518" s="261" t="str">
        <f>IF($C$517=0,"",IF('Calc (ex-animal)'!$F$98=1,"",IF(D518="","",((VLOOKUP($C$517,'Calc (ex-animal)'!$D$98:$Y$102,16,FALSE)-VLOOKUP($C$517,'Calc (ex-animal)'!$D$98:$Y$102,20,FALSE))*F518/100+Y518+Z518+AA518))))</f>
        <v/>
      </c>
      <c r="AC518" s="261" t="str">
        <f>IF($C$517=0,"",IF('Calc (ex-animal)'!$F$98=1,"",IF(D518="","",VLOOKUP($C$517,'Calc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categories'!$C$191:$AC$200,26,FALSE)/24)*F518/100*VLOOKUP(D518,'DB technologies'!$N$252:$R$264,5,FALSE)/100)))</f>
        <v/>
      </c>
      <c r="AD518" s="261" t="str">
        <f>IF($C$517=0,"",IF('Calc (ex-animal)'!$F$98=1,"",IF(D518="","",VLOOKUP($C$517,'Calc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categories'!$C$191:$AC$200,26,FALSE)/24)*F518/100*VLOOKUP(D518,'DB technologies'!$N$252:$Y$264,6,FALSE)/100)))</f>
        <v/>
      </c>
      <c r="AE518" s="262" t="str">
        <f>IF($C$517=0,"",IF('Calc (ex-animal)'!$F$98=1,"",IF(D518="","",VLOOKUP($C$517,'Calc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categories'!$C$191:$AC$200,26,FALSE)/24)*F518/100*VLOOKUP(D518,'DB technologies'!$N$252:$Y$264,7,FALSE)/100)))</f>
        <v/>
      </c>
      <c r="AI518" s="181" t="str">
        <f>IF(D518="","",VLOOKUP(D518,'DB technologies'!$N$252:$Y$264,10,FALSE))</f>
        <v/>
      </c>
      <c r="AJ518" s="449" t="e">
        <f>VLOOKUP($C$517,'DB animal categories'!$C$191:$AN$200,27,FALSE)-VLOOKUP($C$517,'DB animal categories'!$C$191:$AN$200,26,FALSE)*VLOOKUP($C$517,'DB animal categories'!$C$191:$AN$200,25,FALSE)/24</f>
        <v>#N/A</v>
      </c>
      <c r="AK518" s="442" t="str">
        <f>IF(AI518="","",AL518+AM518)</f>
        <v/>
      </c>
      <c r="AL518" s="442" t="str">
        <f>IF(D518="","",IF(AI518=2,(('Calc (ex-animal)'!$G$98*'DB additional information '!$K$21/100*(1-VLOOKUP(D518,'DB technologies'!$N$252:$Y$264,9,FALSE)/100)*'Calc (ex-housing, ex-storage)'!F518/100+'Calc (ex-animal)'!$H$98*'DB additional information '!$L$21/100*(1-VLOOKUP(D518,'DB technologies'!$N$252:$Y$264,9,FALSE)/100)*'Calc (ex-housing, ex-storage)'!F518/100))/VLOOKUP($C$517,'DB animal categories'!$C$191:$AC$200,27,FALSE)*AJ518+I518+J518+K518,IF(AI518=1,('Calc (ex-animal)'!$H$98*'DB additional information '!$L$21/100*(1-VLOOKUP(D518,'DB technologies'!$N$252:$Y$264,9,FALSE)/100)*'Calc (ex-housing, ex-storage)'!F518/100)/VLOOKUP($C$517,'DB animal categories'!$C$191:$AC$200,27,FALSE)*AJ518,IF(AI518=4,('Calc (ex-animal)'!$G$98*'DB additional information '!$K$21/100+'Calc (ex-animal)'!$H$98*'DB additional information '!$L$21/100)*(1-VLOOKUP(D518,'DB technologies'!$N$252:$Y$264,9,FALSE)/100)*'Calc (ex-housing, ex-storage)'!F518/100*VLOOKUP(D518,'DB technologies'!$N$252:$Y$264,11,FALSE)/100/VLOOKUP($C$517,'DB animal categories'!$C$191:$AC$200,27,FALSE)*AJ518,0))))</f>
        <v/>
      </c>
      <c r="AM518" s="442" t="str">
        <f>IF(D518="","",IF(AI518=2,(('Calc (ex-animal)'!$G$98*(1-'DB additional information '!$K$21/100)*(1-VLOOKUP(D518,'DB technologies'!$N$252:$Y$264,8,FALSE)/100)*'Calc (ex-housing, ex-storage)'!F518/100+'Calc (ex-animal)'!$H$98*(1-'DB additional information '!$L$21/100)*(1-VLOOKUP(D518,'DB technologies'!$N$252:$Y$264,8,FALSE)/100)*'Calc (ex-housing, ex-storage)'!F518/100))/VLOOKUP($C$517,'DB animal categories'!$C$191:$AC$200,27,FALSE)*AJ518+M518+N518+O518,IF(AI518=1,('Calc (ex-animal)'!$H$98*(1-'DB additional information '!$L$21/100)*(1-VLOOKUP(D518,'DB technologies'!$N$252:$Y$264,8,FALSE)/100)*'Calc (ex-housing, ex-storage)'!F518/100)/VLOOKUP($C$517,'DB animal categories'!$C$191:$AC$200,27,FALSE)*AJ518,IF(AI518=4,('Calc (ex-animal)'!$G$98*(1-'DB additional information '!$K$21/100)+'Calc (ex-animal)'!$H$98*(1-'DB additional information '!$L$21/100))*(1-VLOOKUP(D518,'DB technologies'!$N$252:$Y$264,8,FALSE)/100)*'Calc (ex-housing, ex-storage)'!F518/100*VLOOKUP(D518,'DB technologies'!$N$252:$Y$264,11,FALSE)/100/VLOOKUP($C$517,'DB animal categories'!$C$191:$AC$200,27,FALSE)*AJ518,0))))</f>
        <v/>
      </c>
      <c r="AN518" s="442" t="str">
        <f>IF(AI518="","",IF(AL518=0,0,AL518/AK518*100))</f>
        <v/>
      </c>
      <c r="AO518" s="182" t="str">
        <f>IF(D518="","",IF(AI518=2,(('Calc (ex-animal)'!$L$98*'Calc (ex-housing, ex-storage)'!F518/100+'Calc (ex-animal)'!$K$98*'Calc (ex-housing, ex-storage)'!F518/100))/VLOOKUP($C$517,'DB animal categories'!$C$191:$AC$200,27,FALSE)*AJ518+Q518+R518+S518-AC518,IF(AI518=1,('Calc (ex-animal)'!$L$98*'Calc (ex-housing, ex-storage)'!F518/100)/VLOOKUP($C$517,'DB animal categories'!$C$191:$AC$200,27,FALSE)*AJ518-'Calc (ex-housing, ex-storage)'!AC518,IF(AI518=4,('Calc (ex-animal)'!$L$98+'Calc (ex-animal)'!$K$98)*'Calc (ex-housing, ex-storage)'!F518/100*VLOOKUP(D518,'DB technologies'!$N$252:$Y$264,11,FALSE)/100/VLOOKUP($C$517,'DB animal categories'!$C$191:$AC$200,27,FALSE)*AJ518-AC518*VLOOKUP(D518,'DB technologies'!$N$252:$Y$264,11,FALSE)/100,0))))</f>
        <v/>
      </c>
      <c r="AP518" s="182" t="str">
        <f>IF(D518="","",IF(AO518&lt;-0.01,0,IF(AI518=2,(('Calc (ex-animal)'!$L$98*'Calc (ex-housing, ex-storage)'!F518/100+'Calc (ex-animal)'!$K$98*'Calc (ex-housing, ex-storage)'!F518/100))/VLOOKUP($C$517,'DB animal categories'!$C$191:$AC$200,27,FALSE)*AJ518+Q518+R518+S518-AC518,IF(AI518=1,('Calc (ex-animal)'!$L$98*'Calc (ex-housing, ex-storage)'!F518/100)/VLOOKUP($C$517,'DB animal categories'!$C$191:$AC$200,27,FALSE)*AJ518-'Calc (ex-housing, ex-storage)'!AC518,IF(AI518=4,('Calc (ex-animal)'!$L$98+'Calc (ex-animal)'!$K$98)*'Calc (ex-housing, ex-storage)'!F518/100*VLOOKUP(D518,'DB technologies'!$N$252:$Y$264,11,FALSE)/100/VLOOKUP($C$517,'DB animal categories'!$C$191:$AC$200,27,FALSE)*AJ518-AC518*VLOOKUP(D518,'DB technologies'!$N$252:$Y$264,11,FALSE)/100,0)))))</f>
        <v/>
      </c>
      <c r="AQ518" s="182" t="str">
        <f>IF(D518="","",IF(AI518=2,('Calc (ex-animal)'!$O$98*'Calc (ex-housing, ex-storage)'!F518/100+'Calc (ex-animal)'!$N$98*'Calc (ex-housing, ex-storage)'!F518/100)/VLOOKUP($C$517,'DB animal categories'!$C$191:$AC$200,27,FALSE)*AJ518+U518+V518+W518,IF(AI518=1,'Calc (ex-animal)'!$O$98*'Calc (ex-housing, ex-storage)'!F518/100/VLOOKUP($C$517,'DB animal categories'!$C$191:$AC$200,27,FALSE)*AJ518,IF(AI518=4,('Calc (ex-animal)'!$O$98+'Calc (ex-animal)'!$N$98)*'Calc (ex-housing, ex-storage)'!F518/100*VLOOKUP(D518,'DB technologies'!$N$252:$Y$264,11,FALSE)/100/VLOOKUP($C$517,'DB animal categories'!$C$191:$AC$200,27,FALSE)*AJ518,0))))</f>
        <v/>
      </c>
      <c r="AR518" s="182" t="str">
        <f>IF(D518="","",IF(AI518=2,('Calc (ex-animal)'!$R$98*'Calc (ex-housing, ex-storage)'!F518/100+'Calc (ex-animal)'!$Q$98*'Calc (ex-housing, ex-storage)'!F518/100)/VLOOKUP($C$517,'DB animal categories'!$C$191:$AC$200,27,FALSE)*AJ518+Y518+Z518+AA518,IF(AI518=1,'Calc (ex-animal)'!$R$98*'Calc (ex-housing, ex-storage)'!F518/100/VLOOKUP($C$517,'DB animal categories'!$C$191:$AC$200,27,FALSE)*AJ518,IF(AI518=4,('Calc (ex-animal)'!$R$98+'Calc (ex-animal)'!$Q$98)*'Calc (ex-housing, ex-storage)'!F518/100*VLOOKUP(D518,'DB technologies'!$N$252:$Y$264,11,FALSE)/100/VLOOKUP($C$517,'DB animal categories'!$C$191:$AC$200,27,FALSE)*AJ518,0))))</f>
        <v/>
      </c>
      <c r="AS518" s="181" t="str">
        <f>IF(D518="","",VLOOKUP(D518,'DB technologies'!$N$252:$Y$264,10,FALSE))</f>
        <v/>
      </c>
      <c r="AT518" s="442" t="str">
        <f>IF(AS518="","",AU518+AV518)</f>
        <v/>
      </c>
      <c r="AU518" s="442" t="str">
        <f>IF(D518="","",IF(AS518=2,0,IF(AS518=1,'Calc (ex-animal)'!$G$98*'DB additional information '!$K$21/100*(1-VLOOKUP(D518,'DB technologies'!$N$252:$Y$264,8,FALSE)/100)*'Calc (ex-housing, ex-storage)'!F518/100/VLOOKUP($C$517,'DB animal categories'!$C$191:$AC$200,27,FALSE)*AJ518+I518+J518+K518,IF(AS518=5,(('Calc (ex-animal)'!$G$98*'DB additional information '!$K$21/100+'Calc (ex-animal)'!$H$98*'DB additional information '!$L$21/100))*(1-VLOOKUP(D518,'DB technologies'!$N$252:$Y$264,9,FALSE)/100)*'Calc (ex-housing, ex-storage)'!F518/100/VLOOKUP($C$517,'DB animal categories'!$C$191:$AC$200,27,FALSE)*AJ518+I518+J518+K518,IF(AS518=3,('Calc (ex-animal)'!$G$98*'DB additional information '!$K$21/100+'Calc (ex-animal)'!$H$98*'DB additional information '!$L$21/100)*(1-VLOOKUP(D518,'DB technologies'!$N$252:$Y$264,9,FALSE)/100)*'Calc (ex-housing, ex-storage)'!F518/100/VLOOKUP($C$517,'DB animal categories'!$C$191:$AC$200,27,FALSE)*AJ518+I518+J518+K518,IF(AS518=4,('Calc (ex-animal)'!$G$98*'DB additional information '!$K$21/100+'Calc (ex-animal)'!$H$98*'DB additional information '!$L$21/100)*(1-VLOOKUP(D518,'DB technologies'!$N$252:$Y$264,9,FALSE)/100)*'Calc (ex-housing, ex-storage)'!F518/100*VLOOKUP(D518,'DB technologies'!$N$252:$Y$264,12,FALSE)/100/VLOOKUP($C$517,'DB animal categories'!$C$191:$AC$200,27,FALSE)*AJ518+I518+J518+K518,0))))))</f>
        <v/>
      </c>
      <c r="AV518" s="442" t="str">
        <f>IF(D518="","",IF(AS518=2,0,IF(AS518=1,'Calc (ex-animal)'!$G$98*(1-'DB additional information '!$K$21/100)*(1-VLOOKUP(D518,'DB technologies'!$N$252:$Y$264,8,FALSE)/100)*'Calc (ex-housing, ex-storage)'!F518/100/VLOOKUP($C$517,'DB animal categories'!$C$191:$AC$200,27,FALSE)*AJ518+M518+N518+O518,IF(AS518=5,('Calc (ex-animal)'!$G$98*(1-'DB additional information '!$K$21/100)+'Calc (ex-animal)'!$H$98*(1-'DB additional information '!$L$21/100))*(1-VLOOKUP(D518,'DB technologies'!$N$252:$Y$264,8,FALSE)/100)*'Calc (ex-housing, ex-storage)'!F518/100/VLOOKUP($C$517,'DB animal categories'!$C$191:$AC$200,27,FALSE)*AJ518+M518+N518+O518,IF(AS518=3,('Calc (ex-animal)'!$G$98*(1-'DB additional information '!$K$21/100)+'Calc (ex-animal)'!$H$98*(1-'DB additional information '!$L$21/100))*(1-VLOOKUP(D518,'DB technologies'!$N$252:$Y$264,8,FALSE)/100)*'Calc (ex-housing, ex-storage)'!F518/100/VLOOKUP($C$517,'DB animal categories'!$C$191:$AC$200,27,FALSE)*AJ518+M518+N518+O518,IF(AS518=4,('Calc (ex-animal)'!$G$98*(1-'DB additional information '!$K$21/100)+'Calc (ex-animal)'!$H$98*(1-'DB additional information '!$L$21/100))*(1-VLOOKUP(D518,'DB technologies'!$N$252:$Y$264,8,FALSE)/100)*'Calc (ex-housing, ex-storage)'!F518/100*VLOOKUP(D518,'DB technologies'!$N$252:$Y$264,12,FALSE)/100/VLOOKUP($C$517,'DB animal categories'!$C$191:$AC$200,27,FALSE)*AJ518+M518+N518+O518,0))))))</f>
        <v/>
      </c>
      <c r="AW518" s="442" t="str">
        <f>IF(AS518="","",IF(AU518=0,0,AU518/AT518*100))</f>
        <v/>
      </c>
      <c r="AX518" s="182" t="str">
        <f>IF(D518="","",IF(AS518=2,0,IF(AS518=1,'Calc (ex-animal)'!$K$98*'Calc (ex-housing, ex-storage)'!F518/100/VLOOKUP($C$517,'DB animal categories'!$C$191:$AC$200,27,FALSE)*AJ518+Q518+R518+S518,IF(AS518=5,('Calc (ex-animal)'!$K$98+'Calc (ex-animal)'!$L$98)*'Calc (ex-housing, ex-storage)'!F518/100/VLOOKUP($C$517,'DB animal categories'!$C$191:$AC$200,27,FALSE)*AJ518+Q518+R518+S518-'Calc (ex-housing, ex-storage)'!AC518,IF(AS518=3,('Calc (ex-animal)'!$K$98+'Calc (ex-animal)'!$L$98)*'Calc (ex-housing, ex-storage)'!F518/100/VLOOKUP($C$517,'DB animal categories'!$C$191:$AC$200,27,FALSE)*AJ518+Q518+R518+S518-'Calc (ex-housing, ex-storage)'!AC518-AD518-AE518,IF(AI518=4,('Calc (ex-animal)'!$K$98+'Calc (ex-animal)'!$L$98)*'Calc (ex-housing, ex-storage)'!F518/100*VLOOKUP(D518,'DB technologies'!$N$252:$Y$264,12,FALSE)/100/VLOOKUP($C$517,'DB animal categories'!$C$191:$AC$200,27,FALSE)*AJ518+Q518+R518+S518-(VLOOKUP(D518,'DB technologies'!$N$252:$Y$264,12,FALSE)/100*AC518)-AD518-AE518,0))))))</f>
        <v/>
      </c>
      <c r="AY518" s="182" t="str">
        <f>IF(D518="","",IF(AS518=2,0,IF(AS518=1,'Calc (ex-animal)'!$N$98*'Calc (ex-housing, ex-storage)'!F518/100/VLOOKUP($C$517,'DB animal categories'!$C$191:$AC$200,27,FALSE)*AJ518+U518+V518+W518,IF(AS518=5,('Calc (ex-animal)'!$N$98+'Calc (ex-animal)'!$O$98)*'Calc (ex-housing, ex-storage)'!F518/100/VLOOKUP($C$517,'DB animal categories'!$C$191:$AC$200,27,FALSE)*AJ518+U518+V518+W518,IF(AS518=3,('Calc (ex-animal)'!$N$98+'Calc (ex-animal)'!$O$98)*'Calc (ex-housing, ex-storage)'!F518/100/VLOOKUP($C$517,'DB animal categories'!$C$191:$AC$200,27,FALSE)*AJ518+U518+V518+W518,IF(AS518=4,('Calc (ex-animal)'!$N$98+'Calc (ex-animal)'!$O$98)*'Calc (ex-housing, ex-storage)'!F518/100*VLOOKUP(D518,'DB technologies'!$N$252:$Y$264,12,FALSE)/100/VLOOKUP($C$517,'DB animal categories'!$C$191:$AC$200,27,FALSE)*AJ518+U518+V518+W518,0))))))</f>
        <v/>
      </c>
      <c r="AZ518" s="182" t="str">
        <f>IF(D518="","",IF(AS518=2,0,IF(AS518=1,'Calc (ex-animal)'!$Q$98*'Calc (ex-housing, ex-storage)'!F518/100/VLOOKUP($C$517,'DB animal categories'!$C$191:$AC$200,27,FALSE)*AJ518+Y518+Z518+AA518,IF(AS518=5,('Calc (ex-animal)'!$Q$98+'Calc (ex-animal)'!$R$98)*'Calc (ex-housing, ex-storage)'!F518/100/VLOOKUP($C$517,'DB animal categories'!$C$191:$AC$200,27,FALSE)*AJ518+Y518+Z518+AA518,IF(AS518=3,('Calc (ex-animal)'!$Q$98+'Calc (ex-animal)'!$R$98)*'Calc (ex-housing, ex-storage)'!F518/100/VLOOKUP($C$517,'DB animal categories'!$C$191:$AC$200,27,FALSE)*AJ518+Y518+Z518+AA518,IF(AS518=4,('Calc (ex-animal)'!$Q$98+'Calc (ex-animal)'!$R$98)*'Calc (ex-housing, ex-storage)'!F518/100*VLOOKUP(D518,'DB technologies'!$N$252:$Y$264,12,FALSE)/100/VLOOKUP($C$517,'DB animal categories'!$C$191:$AC$200,27,FALSE)*AJ518+Y518+Z518+AA518,0))))))</f>
        <v/>
      </c>
      <c r="BA518" s="506"/>
      <c r="BB518" s="506"/>
      <c r="BC518" s="506"/>
    </row>
    <row r="519" spans="1:55" x14ac:dyDescent="0.2">
      <c r="A519" s="748"/>
      <c r="B519" s="695"/>
      <c r="C519" s="255"/>
      <c r="D519" s="1357"/>
      <c r="E519" s="1358"/>
      <c r="F519" s="480" t="str">
        <f>IF('Calc (ex-animal)'!$F$98=1,"",IF($C$517=0,"",IF(D519="","",E519/'Calc (ex-animal)'!$E$98*100)))</f>
        <v/>
      </c>
      <c r="G519" s="485" t="str">
        <f>IF($C$517=0,"",IF('Calc (ex-animal)'!$F$98=1,"",IF(D519="","",SUM(H519:O519))))</f>
        <v/>
      </c>
      <c r="H519" s="423" t="str">
        <f>IF('Calc (ex-animal)'!$F$98=1,"",IF(D519="","",(((VLOOKUP($C$517,'Calc (ex-animal)'!$D$98:$Y$102,6,FALSE)-VLOOKUP($C$517,'Calc (ex-animal)'!$D$98:$Y$102,17,FALSE))*F519/100))*VLOOKUP($C$517,'Calc (ex-animal)'!$D$98:$Y$102,7,FALSE)/100*(1-VLOOKUP(D519,'DB technologies'!$N$252:$Y$264,9,FALSE)/100)))</f>
        <v/>
      </c>
      <c r="I519" s="423" t="str">
        <f>IF(D519="","",((VLOOKUP(D519,'DB technologies'!$N$252:$Y$264,2,FALSE)*VLOOKUP($C$517,'DB animal categories'!$C$191:$AC$200,27,FALSE)*E519/1000)/VLOOKUP($C$517,'DB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'!$S$6/100*(1-VLOOKUP(D519,'DB technologies'!$N$252:$Y$264,9,FALSE)/100)))</f>
        <v/>
      </c>
      <c r="J519" s="434" t="str">
        <f>IF(D519="","",((VLOOKUP(D519,'DB technologies'!$N$252:$Y$264,3,FALSE)*VLOOKUP($C$517,'DB animal categories'!$C$191:$AC$200,27,FALSE)*E519/1000)/VLOOKUP($C$517,'DB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'!$S$7/100*(1-VLOOKUP(D519,'DB technologies'!$N$252:$Y$264,9,FALSE)/100)))</f>
        <v/>
      </c>
      <c r="K519" s="434" t="str">
        <f>IF(D519="","",((VLOOKUP(D519,'DB technologies'!$N$252:$Y$264,4,FALSE)*E519*'DB additional information '!$S$8/100*(1-VLOOKUP(D519,'DB technologies'!$N$252:$Y$264,9,FALSE)/100))/VLOOKUP($C$517,'DB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L519" s="423" t="str">
        <f>IF('Calc (ex-animal)'!$F$98=1,"",IF(D519="","",(((VLOOKUP($C$517,'Calc (ex-animal)'!$D$98:$Y$102,6,FALSE)-VLOOKUP($C$517,'Calc (ex-animal)'!$D$98:$Y$102,17,FALSE))*F519/100))*(1-VLOOKUP($C$517,'Calc (ex-animal)'!$D$98:$Y$102,7,FALSE)/100)*(1-VLOOKUP(D519,'DB technologies'!$N$252:$V$264,8,FALSE)/100)))</f>
        <v/>
      </c>
      <c r="M519" s="434" t="str">
        <f>IF(D519="","",((VLOOKUP(D519,'DB technologies'!$N$252:$Y$264,2,FALSE)*VLOOKUP($C$517,'DB animal categories'!$C$191:$AC$200,27,FALSE)*E519/1000)/VLOOKUP($C$517,'DB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'!$S$6/100)*(1-VLOOKUP(D519,'DB technologies'!$N$252:$Y$264,9,FALSE)/100))</f>
        <v/>
      </c>
      <c r="N519" s="434" t="str">
        <f>IF(D519="","",((VLOOKUP(D519,'DB technologies'!$N$252:$Y$264,3,FALSE)*VLOOKUP($C$517,'DB animal categories'!$C$191:$AC$200,27,FALSE)*E519/1000)/VLOOKUP($C$517,'DB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'!$S$7/100)*(1-VLOOKUP(D519,'DB technologies'!$N$252:$Y$264,9,FALSE)/100))</f>
        <v/>
      </c>
      <c r="O519" s="423" t="str">
        <f>IF(D519="","",((VLOOKUP(D519,'DB technologies'!$N$252:$Y$264,4,FALSE)*E519*(1-'DB additional information '!$S$8/100)*(1-VLOOKUP(D519,'DB technologies'!$N$252:$Y$264,8,FALSE)/100))/VLOOKUP($C$517,'DB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P519" s="438" t="str">
        <f>IF(G519=0,0,IF(E519="","",IF(F519="","",IF($C$517=0,"",IF(D519="","",SUM(H519:K519)/G519*100)))))</f>
        <v/>
      </c>
      <c r="Q519" s="416" t="str">
        <f>IF(D519="","",(VLOOKUP(D519,'DB technologies'!$N$252:$Y$264,2,FALSE)*'DB additional information '!$S$6/100*'DB additional information '!$T$6*VLOOKUP($C$517,'DB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R519" s="416" t="str">
        <f>IF(D519="","",(VLOOKUP(D519,'DB technologies'!$N$252:$Y$264,3,FALSE)*'DB additional information '!$S$7/100*'DB additional information '!$T$7*VLOOKUP($C$517,'DB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S519" s="491" t="str">
        <f>IF(D519="","",(VLOOKUP(D519,'DB technologies'!$N$252:$Y$264,4,FALSE)*('DB additional information '!$S$8/100*'DB additional information '!$T$8*E519/1000/1000)))</f>
        <v/>
      </c>
      <c r="T519" s="264" t="str">
        <f>IF($C$517=0,"",IF('Calc (ex-animal)'!$F$98=1,"",IF(D519="","",((VLOOKUP($C$517,'Calc (ex-animal)'!$D$98:$Y$102,10,FALSE)-VLOOKUP($C$517,'Calc (ex-animal)'!$D$98:$Y$102,18,FALSE))*F519/100+Q519+R519+S519)-AC519-AD519-AE519)))</f>
        <v/>
      </c>
      <c r="U519" s="422" t="str">
        <f>IF(D519="","",(VLOOKUP(D519,'DB technologies'!$N$252:$Y$264,2,FALSE)*'DB additional information '!$S$6/100*'DB additional information '!$U$6*VLOOKUP($C$517,'DB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V519" s="418" t="str">
        <f>IF(D519="","",(VLOOKUP(D519,'DB technologies'!$N$252:$Y$264,3,FALSE)*'DB additional information '!$S$7/100*'DB additional information '!$U$7*VLOOKUP($C$517,'DB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W519" s="417" t="str">
        <f>IF(D519="","",(VLOOKUP(D519,'DB technologies'!$N$252:$Y$264,4,FALSE)*('DB additional information '!$S$8/100*'DB additional information '!$U$8*E519/1000/1000)))</f>
        <v/>
      </c>
      <c r="X519" s="261" t="str">
        <f>IF($C$517=0,"",IF('Calc (ex-animal)'!$F$98=1,"",IF(D519="","",((VLOOKUP($C$517,'Calc (ex-animal)'!$D$98:$Y$102,13,FALSE)-VLOOKUP($C$517,'Calc (ex-animal)'!$D$98:$Y$102,19,FALSE))*F519/100+U519+V519+W519))))</f>
        <v/>
      </c>
      <c r="Y519" s="418" t="str">
        <f>IF(D519="","",(VLOOKUP(D519,'DB technologies'!$N$252:$Y$264,2,FALSE)*'DB additional information '!$S$6/100*'DB additional information '!$V$6*VLOOKUP($C$517,'DB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Z519" s="418" t="str">
        <f>IF(D519="","",(VLOOKUP(D519,'DB technologies'!$N$252:$Y$264,3,FALSE)*'DB additional information '!$S$7/100*'DB additional information '!$V$7*VLOOKUP($C$517,'DB animal categories'!$C$191:$AC$200,27,FALSE)*E519/1000/1000)/VLOOKUP($C$517,'DB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AA519" s="418" t="str">
        <f>IF(D519="","",(VLOOKUP(D519,'DB technologies'!$N$252:$Y$264,4,FALSE)*('DB additional information '!$S$8/100*'DB additional information '!$V$8*E519/1000/1000)))</f>
        <v/>
      </c>
      <c r="AB519" s="261" t="str">
        <f>IF($C$517=0,"",IF('Calc (ex-animal)'!$F$98=1,"",IF(D519="","",((VLOOKUP($C$517,'Calc (ex-animal)'!$D$98:$Y$102,16,FALSE)-VLOOKUP($C$517,'Calc (ex-animal)'!$D$98:$Y$102,20,FALSE))*F519/100+Y519+Z519+AA519))))</f>
        <v/>
      </c>
      <c r="AC519" s="261" t="str">
        <f>IF($C$517=0,"",IF('Calc (ex-animal)'!$F$98=1,"",IF(D519="","",VLOOKUP($C$517,'Calc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categories'!$C$191:$AC$200,26,FALSE)/24)*F519/100*VLOOKUP(D519,'DB technologies'!$N$252:$R$264,5,FALSE)/100)))</f>
        <v/>
      </c>
      <c r="AD519" s="261" t="str">
        <f>IF($C$517=0,"",IF('Calc (ex-animal)'!$F$98=1,"",IF(D519="","",VLOOKUP($C$517,'Calc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categories'!$C$191:$AC$200,26,FALSE)/24)*F519/100*VLOOKUP(D519,'DB technologies'!$N$252:$Y$264,6,FALSE)/100)))</f>
        <v/>
      </c>
      <c r="AE519" s="262" t="str">
        <f>IF($C$517=0,"",IF('Calc (ex-animal)'!$F$98=1,"",IF(D519="","",VLOOKUP($C$517,'Calc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categories'!$C$191:$AC$200,26,FALSE)/24)*F519/100*VLOOKUP(D519,'DB technologies'!$N$252:$Y$264,7,FALSE)/100)))</f>
        <v/>
      </c>
      <c r="AI519" s="181" t="str">
        <f>IF(D519="","",VLOOKUP(D519,'DB technologies'!$N$252:$Y$264,10,FALSE))</f>
        <v/>
      </c>
      <c r="AJ519" s="449" t="e">
        <f>VLOOKUP($C$517,'DB animal categories'!$C$191:$AN$200,27,FALSE)-VLOOKUP($C$517,'DB animal categories'!$C$191:$AN$200,26,FALSE)*VLOOKUP($C$517,'DB animal categories'!$C$191:$AN$200,25,FALSE)/24</f>
        <v>#N/A</v>
      </c>
      <c r="AK519" s="442" t="str">
        <f>IF(AI519="","",AL519+AM519)</f>
        <v/>
      </c>
      <c r="AL519" s="442" t="str">
        <f>IF(D519="","",IF(AI519=2,(('Calc (ex-animal)'!$G$98*'DB additional information '!$K$21/100*(1-VLOOKUP(D519,'DB technologies'!$N$252:$Y$264,9,FALSE)/100)*'Calc (ex-housing, ex-storage)'!F519/100+'Calc (ex-animal)'!$H$98*'DB additional information '!$L$21/100*(1-VLOOKUP(D519,'DB technologies'!$N$252:$Y$264,9,FALSE)/100)*'Calc (ex-housing, ex-storage)'!F519/100))/VLOOKUP($C$517,'DB animal categories'!$C$191:$AC$200,27,FALSE)*AJ519+I519+J519+K519,IF(AI519=1,('Calc (ex-animal)'!$H$98*'DB additional information '!$L$21/100*(1-VLOOKUP(D519,'DB technologies'!$N$252:$Y$264,9,FALSE)/100)*'Calc (ex-housing, ex-storage)'!F519/100)/VLOOKUP($C$517,'DB animal categories'!$C$191:$AC$200,27,FALSE)*AJ519,IF(AI519=4,('Calc (ex-animal)'!$G$98*'DB additional information '!$K$21/100+'Calc (ex-animal)'!$H$98*'DB additional information '!$L$21/100)*(1-VLOOKUP(D519,'DB technologies'!$N$252:$Y$264,9,FALSE)/100)*'Calc (ex-housing, ex-storage)'!F519/100*VLOOKUP(D519,'DB technologies'!$N$252:$Y$264,11,FALSE)/100/VLOOKUP($C$517,'DB animal categories'!$C$191:$AC$200,27,FALSE)*AJ519,0))))</f>
        <v/>
      </c>
      <c r="AM519" s="442" t="str">
        <f>IF(D519="","",IF(AI519=2,(('Calc (ex-animal)'!$G$98*(1-'DB additional information '!$K$21/100)*(1-VLOOKUP(D519,'DB technologies'!$N$252:$Y$264,8,FALSE)/100)*'Calc (ex-housing, ex-storage)'!F519/100+'Calc (ex-animal)'!$H$98*(1-'DB additional information '!$L$21/100)*(1-VLOOKUP(D519,'DB technologies'!$N$252:$Y$264,8,FALSE)/100)*'Calc (ex-housing, ex-storage)'!F519/100))/VLOOKUP($C$517,'DB animal categories'!$C$191:$AC$200,27,FALSE)*AJ519+M519+N519+O519,IF(AI519=1,('Calc (ex-animal)'!$H$98*(1-'DB additional information '!$L$21/100)*(1-VLOOKUP(D519,'DB technologies'!$N$252:$Y$264,8,FALSE)/100)*'Calc (ex-housing, ex-storage)'!F519/100)/VLOOKUP($C$517,'DB animal categories'!$C$191:$AC$200,27,FALSE)*AJ519,IF(AI519=4,('Calc (ex-animal)'!$G$98*(1-'DB additional information '!$K$21/100)+'Calc (ex-animal)'!$H$98*(1-'DB additional information '!$L$21/100))*(1-VLOOKUP(D519,'DB technologies'!$N$252:$Y$264,8,FALSE)/100)*'Calc (ex-housing, ex-storage)'!F519/100*VLOOKUP(D519,'DB technologies'!$N$252:$Y$264,11,FALSE)/100/VLOOKUP($C$517,'DB animal categories'!$C$191:$AC$200,27,FALSE)*AJ519,0))))</f>
        <v/>
      </c>
      <c r="AN519" s="442" t="str">
        <f>IF(AI519="","",IF(AL519=0,0,AL519/AK519*100))</f>
        <v/>
      </c>
      <c r="AO519" s="182" t="str">
        <f>IF(D519="","",IF(AI519=2,(('Calc (ex-animal)'!$L$98*'Calc (ex-housing, ex-storage)'!F519/100+'Calc (ex-animal)'!$K$98*'Calc (ex-housing, ex-storage)'!F519/100))/VLOOKUP($C$517,'DB animal categories'!$C$191:$AC$200,27,FALSE)*AJ519+Q519+R519+S519-AC519,IF(AI519=1,('Calc (ex-animal)'!$L$98*'Calc (ex-housing, ex-storage)'!F519/100)/VLOOKUP($C$517,'DB animal categories'!$C$191:$AC$200,27,FALSE)*AJ519-'Calc (ex-housing, ex-storage)'!AC519,IF(AI519=4,('Calc (ex-animal)'!$L$98+'Calc (ex-animal)'!$K$98)*'Calc (ex-housing, ex-storage)'!F519/100*VLOOKUP(D519,'DB technologies'!$N$252:$Y$264,11,FALSE)/100/VLOOKUP($C$517,'DB animal categories'!$C$191:$AC$200,27,FALSE)*AJ519-AC519*VLOOKUP(D519,'DB technologies'!$N$252:$Y$264,11,FALSE)/100,0))))</f>
        <v/>
      </c>
      <c r="AP519" s="182" t="str">
        <f>IF(D519="","",IF(AO519&lt;-0.01,0,IF(AI519=2,(('Calc (ex-animal)'!$L$98*'Calc (ex-housing, ex-storage)'!F519/100+'Calc (ex-animal)'!$K$98*'Calc (ex-housing, ex-storage)'!F519/100))/VLOOKUP($C$517,'DB animal categories'!$C$191:$AC$200,27,FALSE)*AJ519+Q519+R519+S519-AC519,IF(AI519=1,('Calc (ex-animal)'!$L$98*'Calc (ex-housing, ex-storage)'!F519/100)/VLOOKUP($C$517,'DB animal categories'!$C$191:$AC$200,27,FALSE)*AJ519-'Calc (ex-housing, ex-storage)'!AC519,IF(AI519=4,('Calc (ex-animal)'!$L$98+'Calc (ex-animal)'!$K$98)*'Calc (ex-housing, ex-storage)'!F519/100*VLOOKUP(D519,'DB technologies'!$N$252:$Y$264,11,FALSE)/100/VLOOKUP($C$517,'DB animal categories'!$C$191:$AC$200,27,FALSE)*AJ519-AC519*VLOOKUP(D519,'DB technologies'!$N$252:$Y$264,11,FALSE)/100,0)))))</f>
        <v/>
      </c>
      <c r="AQ519" s="182" t="str">
        <f>IF(D519="","",IF(AI519=2,('Calc (ex-animal)'!$O$98*'Calc (ex-housing, ex-storage)'!F519/100+'Calc (ex-animal)'!$N$98*'Calc (ex-housing, ex-storage)'!F519/100)/VLOOKUP($C$517,'DB animal categories'!$C$191:$AC$200,27,FALSE)*AJ519+U519+V519+W519,IF(AI519=1,'Calc (ex-animal)'!$O$98*'Calc (ex-housing, ex-storage)'!F519/100/VLOOKUP($C$517,'DB animal categories'!$C$191:$AC$200,27,FALSE)*AJ519,IF(AI519=4,('Calc (ex-animal)'!$O$98+'Calc (ex-animal)'!$N$98)*'Calc (ex-housing, ex-storage)'!F519/100*VLOOKUP(D519,'DB technologies'!$N$252:$Y$264,11,FALSE)/100/VLOOKUP($C$517,'DB animal categories'!$C$191:$AC$200,27,FALSE)*AJ519,0))))</f>
        <v/>
      </c>
      <c r="AR519" s="182" t="str">
        <f>IF(D519="","",IF(AI519=2,('Calc (ex-animal)'!$R$98*'Calc (ex-housing, ex-storage)'!F519/100+'Calc (ex-animal)'!$Q$98*'Calc (ex-housing, ex-storage)'!F519/100)/VLOOKUP($C$517,'DB animal categories'!$C$191:$AC$200,27,FALSE)*AJ519+Y519+Z519+AA519,IF(AI519=1,'Calc (ex-animal)'!$R$98*'Calc (ex-housing, ex-storage)'!F519/100/VLOOKUP($C$517,'DB animal categories'!$C$191:$AC$200,27,FALSE)*AJ519,IF(AI519=4,('Calc (ex-animal)'!$R$98+'Calc (ex-animal)'!$Q$98)*'Calc (ex-housing, ex-storage)'!F519/100*VLOOKUP(D519,'DB technologies'!$N$252:$Y$264,11,FALSE)/100/VLOOKUP($C$517,'DB animal categories'!$C$191:$AC$200,27,FALSE)*AJ519,0))))</f>
        <v/>
      </c>
      <c r="AS519" s="181" t="str">
        <f>IF(D519="","",VLOOKUP(D519,'DB technologies'!$N$252:$Y$264,10,FALSE))</f>
        <v/>
      </c>
      <c r="AT519" s="442" t="str">
        <f>IF(AS519="","",AU519+AV519)</f>
        <v/>
      </c>
      <c r="AU519" s="442" t="str">
        <f>IF(D519="","",IF(AS519=2,0,IF(AS519=1,'Calc (ex-animal)'!$G$98*'DB additional information '!$K$21/100*(1-VLOOKUP(D519,'DB technologies'!$N$252:$Y$264,8,FALSE)/100)*'Calc (ex-housing, ex-storage)'!F519/100/VLOOKUP($C$517,'DB animal categories'!$C$191:$AC$200,27,FALSE)*AJ519+I519+J519+K519,IF(AS519=5,(('Calc (ex-animal)'!$G$98*'DB additional information '!$K$21/100+'Calc (ex-animal)'!$H$98*'DB additional information '!$L$21/100))*(1-VLOOKUP(D519,'DB technologies'!$N$252:$Y$264,9,FALSE)/100)*'Calc (ex-housing, ex-storage)'!F519/100/VLOOKUP($C$517,'DB animal categories'!$C$191:$AC$200,27,FALSE)*AJ519+I519+J519+K519,IF(AS519=3,('Calc (ex-animal)'!$G$98*'DB additional information '!$K$21/100+'Calc (ex-animal)'!$H$98*'DB additional information '!$L$21/100)*(1-VLOOKUP(D519,'DB technologies'!$N$252:$Y$264,9,FALSE)/100)*'Calc (ex-housing, ex-storage)'!F519/100/VLOOKUP($C$517,'DB animal categories'!$C$191:$AC$200,27,FALSE)*AJ519+I519+J519+K519,IF(AS519=4,('Calc (ex-animal)'!$G$98*'DB additional information '!$K$21/100+'Calc (ex-animal)'!$H$98*'DB additional information '!$L$21/100)*(1-VLOOKUP(D519,'DB technologies'!$N$252:$Y$264,9,FALSE)/100)*'Calc (ex-housing, ex-storage)'!F519/100*VLOOKUP(D519,'DB technologies'!$N$252:$Y$264,12,FALSE)/100/VLOOKUP($C$517,'DB animal categories'!$C$191:$AC$200,27,FALSE)*AJ519+I519+J519+K519,0))))))</f>
        <v/>
      </c>
      <c r="AV519" s="442" t="str">
        <f>IF(D519="","",IF(AS519=2,0,IF(AS519=1,'Calc (ex-animal)'!$G$98*(1-'DB additional information '!$K$21/100)*(1-VLOOKUP(D519,'DB technologies'!$N$252:$Y$264,8,FALSE)/100)*'Calc (ex-housing, ex-storage)'!F519/100/VLOOKUP($C$517,'DB animal categories'!$C$191:$AC$200,27,FALSE)*AJ519+M519+N519+O519,IF(AS519=5,('Calc (ex-animal)'!$G$98*(1-'DB additional information '!$K$21/100)+'Calc (ex-animal)'!$H$98*(1-'DB additional information '!$L$21/100))*(1-VLOOKUP(D519,'DB technologies'!$N$252:$Y$264,8,FALSE)/100)*'Calc (ex-housing, ex-storage)'!F519/100/VLOOKUP($C$517,'DB animal categories'!$C$191:$AC$200,27,FALSE)*AJ519+M519+N519+O519,IF(AS519=3,('Calc (ex-animal)'!$G$98*(1-'DB additional information '!$K$21/100)+'Calc (ex-animal)'!$H$98*(1-'DB additional information '!$L$21/100))*(1-VLOOKUP(D519,'DB technologies'!$N$252:$Y$264,8,FALSE)/100)*'Calc (ex-housing, ex-storage)'!F519/100/VLOOKUP($C$517,'DB animal categories'!$C$191:$AC$200,27,FALSE)*AJ519+M519+N519+O519,IF(AS519=4,('Calc (ex-animal)'!$G$98*(1-'DB additional information '!$K$21/100)+'Calc (ex-animal)'!$H$98*(1-'DB additional information '!$L$21/100))*(1-VLOOKUP(D519,'DB technologies'!$N$252:$Y$264,8,FALSE)/100)*'Calc (ex-housing, ex-storage)'!F519/100*VLOOKUP(D519,'DB technologies'!$N$252:$Y$264,12,FALSE)/100/VLOOKUP($C$517,'DB animal categories'!$C$191:$AC$200,27,FALSE)*AJ519+M519+N519+O519,0))))))</f>
        <v/>
      </c>
      <c r="AW519" s="442" t="str">
        <f>IF(AS519="","",IF(AU519=0,0,AU519/AT519*100))</f>
        <v/>
      </c>
      <c r="AX519" s="182" t="str">
        <f>IF(D519="","",IF(AS519=2,0,IF(AS519=1,'Calc (ex-animal)'!$K$98*'Calc (ex-housing, ex-storage)'!F519/100/VLOOKUP($C$517,'DB animal categories'!$C$191:$AC$200,27,FALSE)*AJ519+Q519+R519+S519,IF(AS519=5,('Calc (ex-animal)'!$K$98+'Calc (ex-animal)'!$L$98)*'Calc (ex-housing, ex-storage)'!F519/100/VLOOKUP($C$517,'DB animal categories'!$C$191:$AC$200,27,FALSE)*AJ519+Q519+R519+S519-'Calc (ex-housing, ex-storage)'!AC519,IF(AS519=3,('Calc (ex-animal)'!$K$98+'Calc (ex-animal)'!$L$98)*'Calc (ex-housing, ex-storage)'!F519/100/VLOOKUP($C$517,'DB animal categories'!$C$191:$AC$200,27,FALSE)*AJ519+Q519+R519+S519-'Calc (ex-housing, ex-storage)'!AC519-AD519-AE519,IF(AI519=4,('Calc (ex-animal)'!$K$98+'Calc (ex-animal)'!$L$98)*'Calc (ex-housing, ex-storage)'!F519/100*VLOOKUP(D519,'DB technologies'!$N$252:$Y$264,12,FALSE)/100/VLOOKUP($C$517,'DB animal categories'!$C$191:$AC$200,27,FALSE)*AJ519+Q519+R519+S519-(VLOOKUP(D519,'DB technologies'!$N$252:$Y$264,12,FALSE)/100*AC519)-AD519-AE519,0))))))</f>
        <v/>
      </c>
      <c r="AY519" s="182" t="str">
        <f>IF(D519="","",IF(AS519=2,0,IF(AS519=1,'Calc (ex-animal)'!$N$98*'Calc (ex-housing, ex-storage)'!F519/100/VLOOKUP($C$517,'DB animal categories'!$C$191:$AC$200,27,FALSE)*AJ519+U519+V519+W519,IF(AS519=5,('Calc (ex-animal)'!$N$98+'Calc (ex-animal)'!$O$98)*'Calc (ex-housing, ex-storage)'!F519/100/VLOOKUP($C$517,'DB animal categories'!$C$191:$AC$200,27,FALSE)*AJ519+U519+V519+W519,IF(AS519=3,('Calc (ex-animal)'!$N$98+'Calc (ex-animal)'!$O$98)*'Calc (ex-housing, ex-storage)'!F519/100/VLOOKUP($C$517,'DB animal categories'!$C$191:$AC$200,27,FALSE)*AJ519+U519+V519+W519,IF(AS519=4,('Calc (ex-animal)'!$N$98+'Calc (ex-animal)'!$O$98)*'Calc (ex-housing, ex-storage)'!F519/100*VLOOKUP(D519,'DB technologies'!$N$252:$Y$264,12,FALSE)/100/VLOOKUP($C$517,'DB animal categories'!$C$191:$AC$200,27,FALSE)*AJ519+U519+V519+W519,0))))))</f>
        <v/>
      </c>
      <c r="AZ519" s="182" t="str">
        <f>IF(D519="","",IF(AS519=2,0,IF(AS519=1,'Calc (ex-animal)'!$Q$98*'Calc (ex-housing, ex-storage)'!F519/100/VLOOKUP($C$517,'DB animal categories'!$C$191:$AC$200,27,FALSE)*AJ519+Y519+Z519+AA519,IF(AS519=5,('Calc (ex-animal)'!$Q$98+'Calc (ex-animal)'!$R$98)*'Calc (ex-housing, ex-storage)'!F519/100/VLOOKUP($C$517,'DB animal categories'!$C$191:$AC$200,27,FALSE)*AJ519+Y519+Z519+AA519,IF(AS519=3,('Calc (ex-animal)'!$Q$98+'Calc (ex-animal)'!$R$98)*'Calc (ex-housing, ex-storage)'!F519/100/VLOOKUP($C$517,'DB animal categories'!$C$191:$AC$200,27,FALSE)*AJ519+Y519+Z519+AA519,IF(AS519=4,('Calc (ex-animal)'!$Q$98+'Calc (ex-animal)'!$R$98)*'Calc (ex-housing, ex-storage)'!F519/100*VLOOKUP(D519,'DB technologies'!$N$252:$Y$264,12,FALSE)/100/VLOOKUP($C$517,'DB animal categories'!$C$191:$AC$200,27,FALSE)*AJ519+Y519+Z519+AA519,0))))))</f>
        <v/>
      </c>
      <c r="BA519" s="506"/>
      <c r="BB519" s="506"/>
      <c r="BC519" s="506"/>
    </row>
    <row r="520" spans="1:55" x14ac:dyDescent="0.2">
      <c r="A520" s="748"/>
      <c r="B520" s="695"/>
      <c r="C520" s="255"/>
      <c r="D520" s="1357"/>
      <c r="E520" s="1358"/>
      <c r="F520" s="480" t="str">
        <f>IF('Calc (ex-animal)'!$F$98=1,"",IF($C$517=0,"",IF(D520="","",E520/'Calc (ex-animal)'!$E$98*100)))</f>
        <v/>
      </c>
      <c r="G520" s="485" t="str">
        <f>IF($C$517=0,"",IF('Calc (ex-animal)'!$F$98=1,"",IF(D520="","",SUM(H520:O520))))</f>
        <v/>
      </c>
      <c r="H520" s="423" t="str">
        <f>IF('Calc (ex-animal)'!$F$98=1,"",IF(D520="","",(((VLOOKUP($C$517,'Calc (ex-animal)'!$D$98:$Y$102,6,FALSE)-VLOOKUP($C$517,'Calc (ex-animal)'!$D$98:$Y$102,17,FALSE))*F520/100))*VLOOKUP($C$517,'Calc (ex-animal)'!$D$98:$Y$102,7,FALSE)/100*(1-VLOOKUP(D520,'DB technologies'!$N$252:$Y$264,9,FALSE)/100)))</f>
        <v/>
      </c>
      <c r="I520" s="423" t="str">
        <f>IF(D520="","",((VLOOKUP(D520,'DB technologies'!$N$252:$Y$264,2,FALSE)*VLOOKUP($C$517,'DB animal categories'!$C$191:$AC$200,27,FALSE)*E520/1000)/VLOOKUP($C$517,'DB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'!$S$6/100*(1-VLOOKUP(D520,'DB technologies'!$N$252:$Y$264,9,FALSE)/100)))</f>
        <v/>
      </c>
      <c r="J520" s="434" t="str">
        <f>IF(D520="","",((VLOOKUP(D520,'DB technologies'!$N$252:$Y$264,3,FALSE)*VLOOKUP($C$517,'DB animal categories'!$C$191:$AC$200,27,FALSE)*E520/1000)/VLOOKUP($C$517,'DB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'!$S$7/100*(1-VLOOKUP(D520,'DB technologies'!$N$252:$Y$264,9,FALSE)/100)))</f>
        <v/>
      </c>
      <c r="K520" s="434" t="str">
        <f>IF(D520="","",((VLOOKUP(D520,'DB technologies'!$N$252:$Y$264,4,FALSE)*E520*'DB additional information '!$S$8/100*(1-VLOOKUP(D520,'DB technologies'!$N$252:$Y$264,9,FALSE)/100))/VLOOKUP($C$517,'DB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L520" s="423" t="str">
        <f>IF('Calc (ex-animal)'!$F$98=1,"",IF(D520="","",(((VLOOKUP($C$517,'Calc (ex-animal)'!$D$98:$Y$102,6,FALSE)-VLOOKUP($C$517,'Calc (ex-animal)'!$D$98:$Y$102,17,FALSE))*F520/100))*(1-VLOOKUP($C$517,'Calc (ex-animal)'!$D$98:$Y$102,7,FALSE)/100)*(1-VLOOKUP(D520,'DB technologies'!$N$252:$V$264,8,FALSE)/100)))</f>
        <v/>
      </c>
      <c r="M520" s="434" t="str">
        <f>IF(D520="","",((VLOOKUP(D520,'DB technologies'!$N$252:$Y$264,2,FALSE)*VLOOKUP($C$517,'DB animal categories'!$C$191:$AC$200,27,FALSE)*E520/1000)/VLOOKUP($C$517,'DB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'!$S$6/100)*(1-VLOOKUP(D520,'DB technologies'!$N$252:$Y$264,9,FALSE)/100))</f>
        <v/>
      </c>
      <c r="N520" s="434" t="str">
        <f>IF(D520="","",((VLOOKUP(D520,'DB technologies'!$N$252:$Y$264,3,FALSE)*VLOOKUP($C$517,'DB animal categories'!$C$191:$AC$200,27,FALSE)*E520/1000)/VLOOKUP($C$517,'DB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'!$S$7/100)*(1-VLOOKUP(D520,'DB technologies'!$N$252:$Y$264,9,FALSE)/100))</f>
        <v/>
      </c>
      <c r="O520" s="423" t="str">
        <f>IF(D520="","",((VLOOKUP(D520,'DB technologies'!$N$252:$Y$264,4,FALSE)*E520*(1-'DB additional information '!$S$8/100)*(1-VLOOKUP(D520,'DB technologies'!$N$252:$Y$264,8,FALSE)/100))/VLOOKUP($C$517,'DB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P520" s="438" t="str">
        <f>IF(G520=0,0,IF(E520="","",IF(F520="","",IF($C$517=0,"",IF(D520="","",SUM(H520:K520)/G520*100)))))</f>
        <v/>
      </c>
      <c r="Q520" s="416" t="str">
        <f>IF(D520="","",(VLOOKUP(D520,'DB technologies'!$N$252:$Y$264,2,FALSE)*'DB additional information '!$S$6/100*'DB additional information '!$T$6*VLOOKUP($C$517,'DB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R520" s="416" t="str">
        <f>IF(D520="","",(VLOOKUP(D520,'DB technologies'!$N$252:$Y$264,3,FALSE)*'DB additional information '!$S$7/100*'DB additional information '!$T$7*VLOOKUP($C$517,'DB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S520" s="491" t="str">
        <f>IF(D520="","",(VLOOKUP(D520,'DB technologies'!$N$252:$Y$264,4,FALSE)*('DB additional information '!$S$8/100*'DB additional information '!$T$8*E520/1000/1000)))</f>
        <v/>
      </c>
      <c r="T520" s="264" t="str">
        <f>IF($C$517=0,"",IF('Calc (ex-animal)'!$F$98=1,"",IF(D520="","",((VLOOKUP($C$517,'Calc (ex-animal)'!$D$98:$Y$102,10,FALSE)-VLOOKUP($C$517,'Calc (ex-animal)'!$D$98:$Y$102,18,FALSE))*F520/100+Q520+R520+S520)-AC520-AD520-AE520)))</f>
        <v/>
      </c>
      <c r="U520" s="422" t="str">
        <f>IF(D520="","",(VLOOKUP(D520,'DB technologies'!$N$252:$Y$264,2,FALSE)*'DB additional information '!$S$6/100*'DB additional information '!$U$6*VLOOKUP($C$517,'DB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V520" s="418" t="str">
        <f>IF(D520="","",(VLOOKUP(D520,'DB technologies'!$N$252:$Y$264,3,FALSE)*'DB additional information '!$S$7/100*'DB additional information '!$U$7*VLOOKUP($C$517,'DB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W520" s="417" t="str">
        <f>IF(D520="","",(VLOOKUP(D520,'DB technologies'!$N$252:$Y$264,4,FALSE)*('DB additional information '!$S$8/100*'DB additional information '!$U$8*E520/1000/1000)))</f>
        <v/>
      </c>
      <c r="X520" s="261" t="str">
        <f>IF($C$517=0,"",IF('Calc (ex-animal)'!$F$98=1,"",IF(D520="","",((VLOOKUP($C$517,'Calc (ex-animal)'!$D$98:$Y$102,13,FALSE)-VLOOKUP($C$517,'Calc (ex-animal)'!$D$98:$Y$102,19,FALSE))*F520/100+U520+V520+W520))))</f>
        <v/>
      </c>
      <c r="Y520" s="418" t="str">
        <f>IF(D520="","",(VLOOKUP(D520,'DB technologies'!$N$252:$Y$264,2,FALSE)*'DB additional information '!$S$6/100*'DB additional information '!$V$6*VLOOKUP($C$517,'DB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Z520" s="418" t="str">
        <f>IF(D520="","",(VLOOKUP(D520,'DB technologies'!$N$252:$Y$264,3,FALSE)*'DB additional information '!$S$7/100*'DB additional information '!$V$7*VLOOKUP($C$517,'DB animal categories'!$C$191:$AC$200,27,FALSE)*E520/1000/1000)/VLOOKUP($C$517,'DB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AA520" s="418" t="str">
        <f>IF(D520="","",(VLOOKUP(D520,'DB technologies'!$N$252:$Y$264,4,FALSE)*('DB additional information '!$S$8/100*'DB additional information '!$V$8*E520/1000/1000)))</f>
        <v/>
      </c>
      <c r="AB520" s="261" t="str">
        <f>IF($C$517=0,"",IF('Calc (ex-animal)'!$F$98=1,"",IF(D520="","",((VLOOKUP($C$517,'Calc (ex-animal)'!$D$98:$Y$102,16,FALSE)-VLOOKUP($C$517,'Calc (ex-animal)'!$D$98:$Y$102,20,FALSE))*F520/100+Y520+Z520+AA520))))</f>
        <v/>
      </c>
      <c r="AC520" s="261" t="str">
        <f>IF($C$517=0,"",IF('Calc (ex-animal)'!$F$98=1,"",IF(D520="","",VLOOKUP($C$517,'Calc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categories'!$C$191:$AC$200,26,FALSE)/24)*F520/100*VLOOKUP(D520,'DB technologies'!$N$252:$R$264,5,FALSE)/100)))</f>
        <v/>
      </c>
      <c r="AD520" s="261" t="str">
        <f>IF($C$517=0,"",IF('Calc (ex-animal)'!$F$98=1,"",IF(D520="","",VLOOKUP($C$517,'Calc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categories'!$C$191:$AC$200,26,FALSE)/24)*F520/100*VLOOKUP(D520,'DB technologies'!$N$252:$Y$264,6,FALSE)/100)))</f>
        <v/>
      </c>
      <c r="AE520" s="262" t="str">
        <f>IF($C$517=0,"",IF('Calc (ex-animal)'!$F$98=1,"",IF(D520="","",VLOOKUP($C$517,'Calc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categories'!$C$191:$AC$200,26,FALSE)/24)*F520/100*VLOOKUP(D520,'DB technologies'!$N$252:$Y$264,7,FALSE)/100)))</f>
        <v/>
      </c>
      <c r="AI520" s="181" t="str">
        <f>IF(D520="","",VLOOKUP(D520,'DB technologies'!$N$252:$Y$264,10,FALSE))</f>
        <v/>
      </c>
      <c r="AJ520" s="449" t="e">
        <f>VLOOKUP($C$517,'DB animal categories'!$C$191:$AN$200,27,FALSE)-VLOOKUP($C$517,'DB animal categories'!$C$191:$AN$200,26,FALSE)*VLOOKUP($C$517,'DB animal categories'!$C$191:$AN$200,25,FALSE)/24</f>
        <v>#N/A</v>
      </c>
      <c r="AK520" s="442" t="str">
        <f>IF(AI520="","",AL520+AM520)</f>
        <v/>
      </c>
      <c r="AL520" s="442" t="str">
        <f>IF(D520="","",IF(AI520=2,(('Calc (ex-animal)'!$G$98*'DB additional information '!$K$21/100*(1-VLOOKUP(D520,'DB technologies'!$N$252:$Y$264,9,FALSE)/100)*'Calc (ex-housing, ex-storage)'!F520/100+'Calc (ex-animal)'!$H$98*'DB additional information '!$L$21/100*(1-VLOOKUP(D520,'DB technologies'!$N$252:$Y$264,9,FALSE)/100)*'Calc (ex-housing, ex-storage)'!F520/100))/VLOOKUP($C$517,'DB animal categories'!$C$191:$AC$200,27,FALSE)*AJ520+I520+J520+K520,IF(AI520=1,('Calc (ex-animal)'!$H$98*'DB additional information '!$L$21/100*(1-VLOOKUP(D520,'DB technologies'!$N$252:$Y$264,9,FALSE)/100)*'Calc (ex-housing, ex-storage)'!F520/100)/VLOOKUP($C$517,'DB animal categories'!$C$191:$AC$200,27,FALSE)*AJ520,IF(AI520=4,('Calc (ex-animal)'!$G$98*'DB additional information '!$K$21/100+'Calc (ex-animal)'!$H$98*'DB additional information '!$L$21/100)*(1-VLOOKUP(D520,'DB technologies'!$N$252:$Y$264,9,FALSE)/100)*'Calc (ex-housing, ex-storage)'!F520/100*VLOOKUP(D520,'DB technologies'!$N$252:$Y$264,11,FALSE)/100/VLOOKUP($C$517,'DB animal categories'!$C$191:$AC$200,27,FALSE)*AJ520,0))))</f>
        <v/>
      </c>
      <c r="AM520" s="442" t="str">
        <f>IF(D520="","",IF(AI520=2,(('Calc (ex-animal)'!$G$98*(1-'DB additional information '!$K$21/100)*(1-VLOOKUP(D520,'DB technologies'!$N$252:$Y$264,8,FALSE)/100)*'Calc (ex-housing, ex-storage)'!F520/100+'Calc (ex-animal)'!$H$98*(1-'DB additional information '!$L$21/100)*(1-VLOOKUP(D520,'DB technologies'!$N$252:$Y$264,8,FALSE)/100)*'Calc (ex-housing, ex-storage)'!F520/100))/VLOOKUP($C$517,'DB animal categories'!$C$191:$AC$200,27,FALSE)*AJ520+M520+N520+O520,IF(AI520=1,('Calc (ex-animal)'!$H$98*(1-'DB additional information '!$L$21/100)*(1-VLOOKUP(D520,'DB technologies'!$N$252:$Y$264,8,FALSE)/100)*'Calc (ex-housing, ex-storage)'!F520/100)/VLOOKUP($C$517,'DB animal categories'!$C$191:$AC$200,27,FALSE)*AJ520,IF(AI520=4,('Calc (ex-animal)'!$G$98*(1-'DB additional information '!$K$21/100)+'Calc (ex-animal)'!$H$98*(1-'DB additional information '!$L$21/100))*(1-VLOOKUP(D520,'DB technologies'!$N$252:$Y$264,8,FALSE)/100)*'Calc (ex-housing, ex-storage)'!F520/100*VLOOKUP(D520,'DB technologies'!$N$252:$Y$264,11,FALSE)/100/VLOOKUP($C$517,'DB animal categories'!$C$191:$AC$200,27,FALSE)*AJ520,0))))</f>
        <v/>
      </c>
      <c r="AN520" s="442" t="str">
        <f>IF(AI520="","",IF(AL520=0,0,AL520/AK520*100))</f>
        <v/>
      </c>
      <c r="AO520" s="182" t="str">
        <f>IF(D520="","",IF(AI520=2,(('Calc (ex-animal)'!$L$98*'Calc (ex-housing, ex-storage)'!F520/100+'Calc (ex-animal)'!$K$98*'Calc (ex-housing, ex-storage)'!F520/100))/VLOOKUP($C$517,'DB animal categories'!$C$191:$AC$200,27,FALSE)*AJ520+Q520+R520+S520-AC520,IF(AI520=1,('Calc (ex-animal)'!$L$98*'Calc (ex-housing, ex-storage)'!F520/100)/VLOOKUP($C$517,'DB animal categories'!$C$191:$AC$200,27,FALSE)*AJ520-'Calc (ex-housing, ex-storage)'!AC520,IF(AI520=4,('Calc (ex-animal)'!$L$98+'Calc (ex-animal)'!$K$98)*'Calc (ex-housing, ex-storage)'!F520/100*VLOOKUP(D520,'DB technologies'!$N$252:$Y$264,11,FALSE)/100/VLOOKUP($C$517,'DB animal categories'!$C$191:$AC$200,27,FALSE)*AJ520-AC520*VLOOKUP(D520,'DB technologies'!$N$252:$Y$264,11,FALSE)/100,0))))</f>
        <v/>
      </c>
      <c r="AP520" s="182" t="str">
        <f>IF(D520="","",IF(AO520&lt;-0.01,0,IF(AI520=2,(('Calc (ex-animal)'!$L$98*'Calc (ex-housing, ex-storage)'!F520/100+'Calc (ex-animal)'!$K$98*'Calc (ex-housing, ex-storage)'!F520/100))/VLOOKUP($C$517,'DB animal categories'!$C$191:$AC$200,27,FALSE)*AJ520+Q520+R520+S520-AC520,IF(AI520=1,('Calc (ex-animal)'!$L$98*'Calc (ex-housing, ex-storage)'!F520/100)/VLOOKUP($C$517,'DB animal categories'!$C$191:$AC$200,27,FALSE)*AJ520-'Calc (ex-housing, ex-storage)'!AC520,IF(AI520=4,('Calc (ex-animal)'!$L$98+'Calc (ex-animal)'!$K$98)*'Calc (ex-housing, ex-storage)'!F520/100*VLOOKUP(D520,'DB technologies'!$N$252:$Y$264,11,FALSE)/100/VLOOKUP($C$517,'DB animal categories'!$C$191:$AC$200,27,FALSE)*AJ520-AC520*VLOOKUP(D520,'DB technologies'!$N$252:$Y$264,11,FALSE)/100,0)))))</f>
        <v/>
      </c>
      <c r="AQ520" s="182" t="str">
        <f>IF(D520="","",IF(AI520=2,('Calc (ex-animal)'!$O$98*'Calc (ex-housing, ex-storage)'!F520/100+'Calc (ex-animal)'!$N$98*'Calc (ex-housing, ex-storage)'!F520/100)/VLOOKUP($C$517,'DB animal categories'!$C$191:$AC$200,27,FALSE)*AJ520+U520+V520+W520,IF(AI520=1,'Calc (ex-animal)'!$O$98*'Calc (ex-housing, ex-storage)'!F520/100/VLOOKUP($C$517,'DB animal categories'!$C$191:$AC$200,27,FALSE)*AJ520,IF(AI520=4,('Calc (ex-animal)'!$O$98+'Calc (ex-animal)'!$N$98)*'Calc (ex-housing, ex-storage)'!F520/100*VLOOKUP(D520,'DB technologies'!$N$252:$Y$264,11,FALSE)/100/VLOOKUP($C$517,'DB animal categories'!$C$191:$AC$200,27,FALSE)*AJ520,0))))</f>
        <v/>
      </c>
      <c r="AR520" s="182" t="str">
        <f>IF(D520="","",IF(AI520=2,('Calc (ex-animal)'!$R$98*'Calc (ex-housing, ex-storage)'!F520/100+'Calc (ex-animal)'!$Q$98*'Calc (ex-housing, ex-storage)'!F520/100)/VLOOKUP($C$517,'DB animal categories'!$C$191:$AC$200,27,FALSE)*AJ520+Y520+Z520+AA520,IF(AI520=1,'Calc (ex-animal)'!$R$98*'Calc (ex-housing, ex-storage)'!F520/100/VLOOKUP($C$517,'DB animal categories'!$C$191:$AC$200,27,FALSE)*AJ520,IF(AI520=4,('Calc (ex-animal)'!$R$98+'Calc (ex-animal)'!$Q$98)*'Calc (ex-housing, ex-storage)'!F520/100*VLOOKUP(D520,'DB technologies'!$N$252:$Y$264,11,FALSE)/100/VLOOKUP($C$517,'DB animal categories'!$C$191:$AC$200,27,FALSE)*AJ520,0))))</f>
        <v/>
      </c>
      <c r="AS520" s="181" t="str">
        <f>IF(D520="","",VLOOKUP(D520,'DB technologies'!$N$252:$Y$264,10,FALSE))</f>
        <v/>
      </c>
      <c r="AT520" s="442" t="str">
        <f>IF(AS520="","",AU520+AV520)</f>
        <v/>
      </c>
      <c r="AU520" s="442" t="str">
        <f>IF(D520="","",IF(AS520=2,0,IF(AS520=1,'Calc (ex-animal)'!$G$98*'DB additional information '!$K$21/100*(1-VLOOKUP(D520,'DB technologies'!$N$252:$Y$264,8,FALSE)/100)*'Calc (ex-housing, ex-storage)'!F520/100/VLOOKUP($C$517,'DB animal categories'!$C$191:$AC$200,27,FALSE)*AJ520+I520+J520+K520,IF(AS520=5,(('Calc (ex-animal)'!$G$98*'DB additional information '!$K$21/100+'Calc (ex-animal)'!$H$98*'DB additional information '!$L$21/100))*(1-VLOOKUP(D520,'DB technologies'!$N$252:$Y$264,9,FALSE)/100)*'Calc (ex-housing, ex-storage)'!F520/100/VLOOKUP($C$517,'DB animal categories'!$C$191:$AC$200,27,FALSE)*AJ520+I520+J520+K520,IF(AS520=3,('Calc (ex-animal)'!$G$98*'DB additional information '!$K$21/100+'Calc (ex-animal)'!$H$98*'DB additional information '!$L$21/100)*(1-VLOOKUP(D520,'DB technologies'!$N$252:$Y$264,9,FALSE)/100)*'Calc (ex-housing, ex-storage)'!F520/100/VLOOKUP($C$517,'DB animal categories'!$C$191:$AC$200,27,FALSE)*AJ520+I520+J520+K520,IF(AS520=4,('Calc (ex-animal)'!$G$98*'DB additional information '!$K$21/100+'Calc (ex-animal)'!$H$98*'DB additional information '!$L$21/100)*(1-VLOOKUP(D520,'DB technologies'!$N$252:$Y$264,9,FALSE)/100)*'Calc (ex-housing, ex-storage)'!F520/100*VLOOKUP(D520,'DB technologies'!$N$252:$Y$264,12,FALSE)/100/VLOOKUP($C$517,'DB animal categories'!$C$191:$AC$200,27,FALSE)*AJ520+I520+J520+K520,0))))))</f>
        <v/>
      </c>
      <c r="AV520" s="442" t="str">
        <f>IF(D520="","",IF(AS520=2,0,IF(AS520=1,'Calc (ex-animal)'!$G$98*(1-'DB additional information '!$K$21/100)*(1-VLOOKUP(D520,'DB technologies'!$N$252:$Y$264,8,FALSE)/100)*'Calc (ex-housing, ex-storage)'!F520/100/VLOOKUP($C$517,'DB animal categories'!$C$191:$AC$200,27,FALSE)*AJ520+M520+N520+O520,IF(AS520=5,('Calc (ex-animal)'!$G$98*(1-'DB additional information '!$K$21/100)+'Calc (ex-animal)'!$H$98*(1-'DB additional information '!$L$21/100))*(1-VLOOKUP(D520,'DB technologies'!$N$252:$Y$264,8,FALSE)/100)*'Calc (ex-housing, ex-storage)'!F520/100/VLOOKUP($C$517,'DB animal categories'!$C$191:$AC$200,27,FALSE)*AJ520+M520+N520+O520,IF(AS520=3,('Calc (ex-animal)'!$G$98*(1-'DB additional information '!$K$21/100)+'Calc (ex-animal)'!$H$98*(1-'DB additional information '!$L$21/100))*(1-VLOOKUP(D520,'DB technologies'!$N$252:$Y$264,8,FALSE)/100)*'Calc (ex-housing, ex-storage)'!F520/100/VLOOKUP($C$517,'DB animal categories'!$C$191:$AC$200,27,FALSE)*AJ520+M520+N520+O520,IF(AS520=4,('Calc (ex-animal)'!$G$98*(1-'DB additional information '!$K$21/100)+'Calc (ex-animal)'!$H$98*(1-'DB additional information '!$L$21/100))*(1-VLOOKUP(D520,'DB technologies'!$N$252:$Y$264,8,FALSE)/100)*'Calc (ex-housing, ex-storage)'!F520/100*VLOOKUP(D520,'DB technologies'!$N$252:$Y$264,12,FALSE)/100/VLOOKUP($C$517,'DB animal categories'!$C$191:$AC$200,27,FALSE)*AJ520+M520+N520+O520,0))))))</f>
        <v/>
      </c>
      <c r="AW520" s="442" t="str">
        <f>IF(AS520="","",IF(AU520=0,0,AU520/AT520*100))</f>
        <v/>
      </c>
      <c r="AX520" s="182" t="str">
        <f>IF(D520="","",IF(AS520=2,0,IF(AS520=1,'Calc (ex-animal)'!$K$98*'Calc (ex-housing, ex-storage)'!F520/100/VLOOKUP($C$517,'DB animal categories'!$C$191:$AC$200,27,FALSE)*AJ520+Q520+R520+S520,IF(AS520=5,('Calc (ex-animal)'!$K$98+'Calc (ex-animal)'!$L$98)*'Calc (ex-housing, ex-storage)'!F520/100/VLOOKUP($C$517,'DB animal categories'!$C$191:$AC$200,27,FALSE)*AJ520+Q520+R520+S520-'Calc (ex-housing, ex-storage)'!AC520,IF(AS520=3,('Calc (ex-animal)'!$K$98+'Calc (ex-animal)'!$L$98)*'Calc (ex-housing, ex-storage)'!F520/100/VLOOKUP($C$517,'DB animal categories'!$C$191:$AC$200,27,FALSE)*AJ520+Q520+R520+S520-'Calc (ex-housing, ex-storage)'!AC520-AD520-AE520,IF(AI520=4,('Calc (ex-animal)'!$K$98+'Calc (ex-animal)'!$L$98)*'Calc (ex-housing, ex-storage)'!F520/100*VLOOKUP(D520,'DB technologies'!$N$252:$Y$264,12,FALSE)/100/VLOOKUP($C$517,'DB animal categories'!$C$191:$AC$200,27,FALSE)*AJ520+Q520+R520+S520-(VLOOKUP(D520,'DB technologies'!$N$252:$Y$264,12,FALSE)/100*AC520)-AD520-AE520,0))))))</f>
        <v/>
      </c>
      <c r="AY520" s="182" t="str">
        <f>IF(D520="","",IF(AS520=2,0,IF(AS520=1,'Calc (ex-animal)'!$N$98*'Calc (ex-housing, ex-storage)'!F520/100/VLOOKUP($C$517,'DB animal categories'!$C$191:$AC$200,27,FALSE)*AJ520+U520+V520+W520,IF(AS520=5,('Calc (ex-animal)'!$N$98+'Calc (ex-animal)'!$O$98)*'Calc (ex-housing, ex-storage)'!F520/100/VLOOKUP($C$517,'DB animal categories'!$C$191:$AC$200,27,FALSE)*AJ520+U520+V520+W520,IF(AS520=3,('Calc (ex-animal)'!$N$98+'Calc (ex-animal)'!$O$98)*'Calc (ex-housing, ex-storage)'!F520/100/VLOOKUP($C$517,'DB animal categories'!$C$191:$AC$200,27,FALSE)*AJ520+U520+V520+W520,IF(AS520=4,('Calc (ex-animal)'!$N$98+'Calc (ex-animal)'!$O$98)*'Calc (ex-housing, ex-storage)'!F520/100*VLOOKUP(D520,'DB technologies'!$N$252:$Y$264,12,FALSE)/100/VLOOKUP($C$517,'DB animal categories'!$C$191:$AC$200,27,FALSE)*AJ520+U520+V520+W520,0))))))</f>
        <v/>
      </c>
      <c r="AZ520" s="182" t="str">
        <f>IF(D520="","",IF(AS520=2,0,IF(AS520=1,'Calc (ex-animal)'!$Q$98*'Calc (ex-housing, ex-storage)'!F520/100/VLOOKUP($C$517,'DB animal categories'!$C$191:$AC$200,27,FALSE)*AJ520+Y520+Z520+AA520,IF(AS520=5,('Calc (ex-animal)'!$Q$98+'Calc (ex-animal)'!$R$98)*'Calc (ex-housing, ex-storage)'!F520/100/VLOOKUP($C$517,'DB animal categories'!$C$191:$AC$200,27,FALSE)*AJ520+Y520+Z520+AA520,IF(AS520=3,('Calc (ex-animal)'!$Q$98+'Calc (ex-animal)'!$R$98)*'Calc (ex-housing, ex-storage)'!F520/100/VLOOKUP($C$517,'DB animal categories'!$C$191:$AC$200,27,FALSE)*AJ520+Y520+Z520+AA520,IF(AS520=4,('Calc (ex-animal)'!$Q$98+'Calc (ex-animal)'!$R$98)*'Calc (ex-housing, ex-storage)'!F520/100*VLOOKUP(D520,'DB technologies'!$N$252:$Y$264,12,FALSE)/100/VLOOKUP($C$517,'DB animal categories'!$C$191:$AC$200,27,FALSE)*AJ520+Y520+Z520+AA520,0))))))</f>
        <v/>
      </c>
      <c r="BA520" s="506"/>
      <c r="BB520" s="506"/>
      <c r="BC520" s="506"/>
    </row>
    <row r="521" spans="1:55" ht="12" thickBot="1" x14ac:dyDescent="0.25">
      <c r="A521" s="748"/>
      <c r="B521" s="695"/>
      <c r="C521" s="255"/>
      <c r="D521" s="1359"/>
      <c r="E521" s="1360"/>
      <c r="F521" s="481" t="str">
        <f>IF('Calc (ex-animal)'!$F$98=1,"",IF($C$517=0,"",IF(D521="","",E521/'Calc (ex-animal)'!$E$98*100)))</f>
        <v/>
      </c>
      <c r="G521" s="483" t="str">
        <f>IF($C$517=0,"",IF('Calc (ex-animal)'!$F$98=1,"",IF(D521="","",SUM(H521:O521))))</f>
        <v/>
      </c>
      <c r="H521" s="445" t="str">
        <f>IF('Calc (ex-animal)'!$F$98=1,"",IF(D521="","",(((VLOOKUP($C$517,'Calc (ex-animal)'!$D$98:$Y$102,6,FALSE)-VLOOKUP($C$517,'Calc (ex-animal)'!$D$98:$Y$102,17,FALSE))*F521/100))*VLOOKUP($C$517,'Calc (ex-animal)'!$D$98:$Y$102,7,FALSE)/100*(1-VLOOKUP(D521,'DB technologies'!$N$252:$Y$264,9,FALSE)/100)))</f>
        <v/>
      </c>
      <c r="I521" s="445" t="str">
        <f>IF(D521="","",((VLOOKUP(D521,'DB technologies'!$N$252:$Y$264,2,FALSE)*VLOOKUP($C$517,'DB animal categories'!$C$191:$AC$200,27,FALSE)*E521/1000)/VLOOKUP($C$517,'DB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'!$S$6/100*(1-VLOOKUP(D521,'DB technologies'!$N$252:$Y$264,9,FALSE)/100)))</f>
        <v/>
      </c>
      <c r="J521" s="446" t="str">
        <f>IF(D521="","",((VLOOKUP(D521,'DB technologies'!$N$252:$Y$264,3,FALSE)*VLOOKUP($C$517,'DB animal categories'!$C$191:$AC$200,27,FALSE)*E521/1000)/VLOOKUP($C$517,'DB animal categories'!$C$191:$AC$200,27,FALSE)*(VLOOKUP($C$517,'DB animal categories'!$C$191:$AC$200,27,FALSE)-(VLOOKUP($C$517,'DB animal categories'!$C$191:$AC$200,25,FALSE)*VLOOKUP($C$517,'DB animal categories'!$C$191:$AC$200,26,FALSE)/24))*'DB additional information '!$S$7/100*(1-VLOOKUP(D521,'DB technologies'!$N$252:$Y$264,9,FALSE)/100)))</f>
        <v/>
      </c>
      <c r="K521" s="446" t="str">
        <f>IF(D521="","",((VLOOKUP(D521,'DB technologies'!$N$252:$Y$264,4,FALSE)*E521*'DB additional information '!$S$8/100*(1-VLOOKUP(D521,'DB technologies'!$N$252:$Y$264,9,FALSE)/100))/VLOOKUP($C$517,'DB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L521" s="445" t="str">
        <f>IF('Calc (ex-animal)'!$F$98=1,"",IF(D521="","",(((VLOOKUP($C$517,'Calc (ex-animal)'!$D$98:$Y$102,6,FALSE)-VLOOKUP($C$517,'Calc (ex-animal)'!$D$98:$Y$102,17,FALSE))*F521/100))*(1-VLOOKUP($C$517,'Calc (ex-animal)'!$D$98:$Y$102,7,FALSE)/100)*(1-VLOOKUP(D521,'DB technologies'!$N$252:$V$264,8,FALSE)/100)))</f>
        <v/>
      </c>
      <c r="M521" s="446" t="str">
        <f>IF(D521="","",((VLOOKUP(D521,'DB technologies'!$N$252:$Y$264,2,FALSE)*VLOOKUP($C$517,'DB animal categories'!$C$191:$AC$200,27,FALSE)*E521/1000)/VLOOKUP($C$517,'DB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'!$S$6/100)*(1-VLOOKUP(D521,'DB technologies'!$N$252:$Y$264,9,FALSE)/100))</f>
        <v/>
      </c>
      <c r="N521" s="446" t="str">
        <f>IF(D521="","",((VLOOKUP(D521,'DB technologies'!$N$252:$Y$264,3,FALSE)*VLOOKUP($C$517,'DB animal categories'!$C$191:$AC$200,27,FALSE)*E521/1000)/VLOOKUP($C$517,'DB animal categories'!$C$191:$AC$200,27,FALSE)*(VLOOKUP($C$517,'DB animal categories'!$C$191:$AC$200,27,FALSE)-VLOOKUP($C$517,'DB animal categories'!$C$191:$AC$200,25,FALSE)*VLOOKUP($C$517,'DB animal categories'!$C$191:$AC$200,26,FALSE)/24))*(1-'DB additional information '!$S$7/100)*(1-VLOOKUP(D521,'DB technologies'!$N$252:$Y$264,9,FALSE)/100))</f>
        <v/>
      </c>
      <c r="O521" s="445" t="str">
        <f>IF(D521="","",((VLOOKUP(D521,'DB technologies'!$N$252:$Y$264,4,FALSE)*E521*(1-'DB additional information '!$S$8/100)*(1-VLOOKUP(D521,'DB technologies'!$N$252:$Y$264,8,FALSE)/100))/VLOOKUP($C$517,'DB animal categories'!$C$191:$AC$200,27,FALSE)*(VLOOKUP($C$517,'DB animal categories'!$C$191:$AC$200,27,FALSE)-VLOOKUP($C$517,'DB animal categories'!$C$191:$AC$200,25,FALSE)*VLOOKUP($C$517,'DB animal categories'!$C$191:$AC$200,26,FALSE)/24)))</f>
        <v/>
      </c>
      <c r="P521" s="444" t="str">
        <f>IF(G521=0,0,IF(E521="","",IF(F521="","",IF($C$517=0,"",IF(D521="","",SUM(H521:K521)/G521*100)))))</f>
        <v/>
      </c>
      <c r="Q521" s="476" t="str">
        <f>IF(D521="","",(VLOOKUP(D521,'DB technologies'!$N$252:$Y$264,2,FALSE)*'DB additional information '!$S$6/100*'DB additional information '!$T$6*VLOOKUP($C$517,'DB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R521" s="476" t="str">
        <f>IF(D521="","",(VLOOKUP(D521,'DB technologies'!$N$252:$Y$264,3,FALSE)*'DB additional information '!$S$7/100*'DB additional information '!$T$7*VLOOKUP($C$517,'DB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S521" s="494" t="str">
        <f>IF(D521="","",(VLOOKUP(D521,'DB technologies'!$N$252:$Y$264,4,FALSE)*('DB additional information '!$S$8/100*'DB additional information '!$T$8*E521/1000/1000)))</f>
        <v/>
      </c>
      <c r="T521" s="266" t="str">
        <f>IF($C$517=0,"",IF('Calc (ex-animal)'!$F$98=1,"",IF(D521="","",((VLOOKUP($C$517,'Calc (ex-animal)'!$D$98:$Y$102,10,FALSE)-VLOOKUP($C$517,'Calc (ex-animal)'!$D$98:$Y$102,18,FALSE))*F521/100+Q521+R521+S521)-AC521-AD521-AE521)))</f>
        <v/>
      </c>
      <c r="U521" s="477" t="str">
        <f>IF(D521="","",(VLOOKUP(D521,'DB technologies'!$N$252:$Y$264,2,FALSE)*'DB additional information '!$S$6/100*'DB additional information '!$U$6*VLOOKUP($C$517,'DB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V521" s="433" t="str">
        <f>IF(D521="","",(VLOOKUP(D521,'DB technologies'!$N$252:$Y$264,3,FALSE)*'DB additional information '!$S$7/100*'DB additional information '!$U$7*VLOOKUP($C$517,'DB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W521" s="475" t="str">
        <f>IF(D521="","",(VLOOKUP(D521,'DB technologies'!$N$252:$Y$264,4,FALSE)*('DB additional information '!$S$8/100*'DB additional information '!$U$8*E521/1000/1000)))</f>
        <v/>
      </c>
      <c r="X521" s="267" t="str">
        <f>IF($C$517=0,"",IF('Calc (ex-animal)'!$F$98=1,"",IF(D521="","",((VLOOKUP($C$517,'Calc (ex-animal)'!$D$98:$Y$102,13,FALSE)-VLOOKUP($C$517,'Calc (ex-animal)'!$D$98:$Y$102,19,FALSE))*F521/100+U521+V521+W521))))</f>
        <v/>
      </c>
      <c r="Y521" s="433" t="str">
        <f>IF(D521="","",(VLOOKUP(D521,'DB technologies'!$N$252:$Y$264,2,FALSE)*'DB additional information '!$S$6/100*'DB additional information '!$V$6*VLOOKUP($C$517,'DB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Z521" s="433" t="str">
        <f>IF(D521="","",(VLOOKUP(D521,'DB technologies'!$N$252:$Y$264,3,FALSE)*'DB additional information '!$S$7/100*'DB additional information '!$V$7*VLOOKUP($C$517,'DB animal categories'!$C$191:$AC$200,27,FALSE)*E521/1000/1000)/VLOOKUP($C$517,'DB animal categories'!$C$191:$AC$200,27,FALSE)*(VLOOKUP($C$517,'DB animal categories'!$C$191:$AC$200,27,FALSE)-VLOOKUP($C$517,'DB animal categories'!$C$191:$AC$200,25,FALSE)*VLOOKUP($C$517,'DB animal categories'!$C$191:$AC$200,26,FALSE)/24))</f>
        <v/>
      </c>
      <c r="AA521" s="433" t="str">
        <f>IF(D521="","",(VLOOKUP(D521,'DB technologies'!$N$252:$Y$264,4,FALSE)*('DB additional information '!$S$8/100*'DB additional information '!$V$8*E521/1000/1000)))</f>
        <v/>
      </c>
      <c r="AB521" s="267" t="str">
        <f>IF($C$517=0,"",IF('Calc (ex-animal)'!$F$98=1,"",IF(D521="","",((VLOOKUP($C$517,'Calc (ex-animal)'!$D$98:$Y$102,16,FALSE)-VLOOKUP($C$517,'Calc (ex-animal)'!$D$98:$Y$102,20,FALSE))*F521/100+Y521+Z521+AA521))))</f>
        <v/>
      </c>
      <c r="AC521" s="267" t="str">
        <f>IF($C$517=0,"",IF('Calc (ex-animal)'!$F$98=1,"",IF(D521="","",VLOOKUP($C$517,'Calc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categories'!$C$191:$AC$200,26,FALSE)/24)*F521/100*VLOOKUP(D521,'DB technologies'!$N$252:$R$264,5,FALSE)/100)))</f>
        <v/>
      </c>
      <c r="AD521" s="267" t="str">
        <f>IF($C$517=0,"",IF('Calc (ex-animal)'!$F$98=1,"",IF(D521="","",VLOOKUP($C$517,'Calc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categories'!$C$191:$AC$200,26,FALSE)/24)*F521/100*VLOOKUP(D521,'DB technologies'!$N$252:$Y$264,6,FALSE)/100)))</f>
        <v/>
      </c>
      <c r="AE521" s="268" t="str">
        <f>IF($C$517=0,"",IF('Calc (ex-animal)'!$F$98=1,"",IF(D521="","",VLOOKUP($C$517,'Calc (ex-animal)'!$D$98:$Y$102,10,FALSE)/VLOOKUP($C$517,'DB animal categories'!$C$191:$AC$200,27,FALSE)*(VLOOKUP($C$517,'DB animal categories'!$C$191:$AC$200,27,FALSE)-VLOOKUP($C$517,'DB animal categories'!$C$191:$AC$200,25,FALSE)*VLOOKUP($C$517,'DB animal categories'!$C$191:$AC$200,26,FALSE)/24)*F521/100*VLOOKUP(D521,'DB technologies'!$N$252:$Y$264,7,FALSE)/100)))</f>
        <v/>
      </c>
      <c r="AI521" s="183" t="str">
        <f>IF(D521="","",VLOOKUP(D521,'DB technologies'!$N$252:$Y$264,10,FALSE))</f>
        <v/>
      </c>
      <c r="AJ521" s="451" t="e">
        <f>VLOOKUP($C$517,'DB animal categories'!$C$191:$AN$200,27,FALSE)-VLOOKUP($C$517,'DB animal categories'!$C$191:$AN$200,26,FALSE)*VLOOKUP($C$517,'DB animal categories'!$C$191:$AN$200,25,FALSE)/24</f>
        <v>#N/A</v>
      </c>
      <c r="AK521" s="452" t="str">
        <f>IF(AI521="","",AL521+AM521)</f>
        <v/>
      </c>
      <c r="AL521" s="452" t="str">
        <f>IF(D521="","",IF(AI521=2,(('Calc (ex-animal)'!$G$98*'DB additional information '!$K$21/100*(1-VLOOKUP(D521,'DB technologies'!$N$252:$Y$264,9,FALSE)/100)*'Calc (ex-housing, ex-storage)'!F521/100+'Calc (ex-animal)'!$H$98*'DB additional information '!$L$21/100*(1-VLOOKUP(D521,'DB technologies'!$N$252:$Y$264,9,FALSE)/100)*'Calc (ex-housing, ex-storage)'!F521/100))/VLOOKUP($C$517,'DB animal categories'!$C$191:$AC$200,27,FALSE)*AJ521+I521+J521+K521,IF(AI521=1,('Calc (ex-animal)'!$H$98*'DB additional information '!$L$21/100*(1-VLOOKUP(D521,'DB technologies'!$N$252:$Y$264,9,FALSE)/100)*'Calc (ex-housing, ex-storage)'!F521/100)/VLOOKUP($C$517,'DB animal categories'!$C$191:$AC$200,27,FALSE)*AJ521,IF(AI521=4,('Calc (ex-animal)'!$G$98*'DB additional information '!$K$21/100+'Calc (ex-animal)'!$H$98*'DB additional information '!$L$21/100)*(1-VLOOKUP(D521,'DB technologies'!$N$252:$Y$264,9,FALSE)/100)*'Calc (ex-housing, ex-storage)'!F521/100*VLOOKUP(D521,'DB technologies'!$N$252:$Y$264,11,FALSE)/100/VLOOKUP($C$517,'DB animal categories'!$C$191:$AC$200,27,FALSE)*AJ521,0))))</f>
        <v/>
      </c>
      <c r="AM521" s="452" t="str">
        <f>IF(D521="","",IF(AI521=2,(('Calc (ex-animal)'!$G$98*(1-'DB additional information '!$K$21/100)*(1-VLOOKUP(D521,'DB technologies'!$N$252:$Y$264,8,FALSE)/100)*'Calc (ex-housing, ex-storage)'!F521/100+'Calc (ex-animal)'!$H$98*(1-'DB additional information '!$L$21/100)*(1-VLOOKUP(D521,'DB technologies'!$N$252:$Y$264,8,FALSE)/100)*'Calc (ex-housing, ex-storage)'!F521/100))/VLOOKUP($C$517,'DB animal categories'!$C$191:$AC$200,27,FALSE)*AJ521+M521+N521+O521,IF(AI521=1,('Calc (ex-animal)'!$H$98*(1-'DB additional information '!$L$21/100)*(1-VLOOKUP(D521,'DB technologies'!$N$252:$Y$264,8,FALSE)/100)*'Calc (ex-housing, ex-storage)'!F521/100)/VLOOKUP($C$517,'DB animal categories'!$C$191:$AC$200,27,FALSE)*AJ521,IF(AI521=4,('Calc (ex-animal)'!$G$98*(1-'DB additional information '!$K$21/100)+'Calc (ex-animal)'!$H$98*(1-'DB additional information '!$L$21/100))*(1-VLOOKUP(D521,'DB technologies'!$N$252:$Y$264,8,FALSE)/100)*'Calc (ex-housing, ex-storage)'!F521/100*VLOOKUP(D521,'DB technologies'!$N$252:$Y$264,11,FALSE)/100/VLOOKUP($C$517,'DB animal categories'!$C$191:$AC$200,27,FALSE)*AJ521,0))))</f>
        <v/>
      </c>
      <c r="AN521" s="452" t="str">
        <f>IF(AI521="","",IF(AL521=0,0,AL521/AK521*100))</f>
        <v/>
      </c>
      <c r="AO521" s="184" t="str">
        <f>IF(D521="","",IF(AI521=2,(('Calc (ex-animal)'!$L$98*'Calc (ex-housing, ex-storage)'!F521/100+'Calc (ex-animal)'!$K$98*'Calc (ex-housing, ex-storage)'!F521/100))/VLOOKUP($C$517,'DB animal categories'!$C$191:$AC$200,27,FALSE)*AJ521+Q521+R521+S521-AC521,IF(AI521=1,('Calc (ex-animal)'!$L$98*'Calc (ex-housing, ex-storage)'!F521/100)/VLOOKUP($C$517,'DB animal categories'!$C$191:$AC$200,27,FALSE)*AJ521-'Calc (ex-housing, ex-storage)'!AC521,IF(AI521=4,('Calc (ex-animal)'!$L$98+'Calc (ex-animal)'!$K$98)*'Calc (ex-housing, ex-storage)'!F521/100*VLOOKUP(D521,'DB technologies'!$N$252:$Y$264,11,FALSE)/100/VLOOKUP($C$517,'DB animal categories'!$C$191:$AC$200,27,FALSE)*AJ521-AC521*VLOOKUP(D521,'DB technologies'!$N$252:$Y$264,11,FALSE)/100,0))))</f>
        <v/>
      </c>
      <c r="AP521" s="184" t="str">
        <f>IF(D521="","",IF(AO521&lt;-0.01,0,IF(AI521=2,(('Calc (ex-animal)'!$L$98*'Calc (ex-housing, ex-storage)'!F521/100+'Calc (ex-animal)'!$K$98*'Calc (ex-housing, ex-storage)'!F521/100))/VLOOKUP($C$517,'DB animal categories'!$C$191:$AC$200,27,FALSE)*AJ521+Q521+R521+S521-AC521,IF(AI521=1,('Calc (ex-animal)'!$L$98*'Calc (ex-housing, ex-storage)'!F521/100)/VLOOKUP($C$517,'DB animal categories'!$C$191:$AC$200,27,FALSE)*AJ521-'Calc (ex-housing, ex-storage)'!AC521,IF(AI521=4,('Calc (ex-animal)'!$L$98+'Calc (ex-animal)'!$K$98)*'Calc (ex-housing, ex-storage)'!F521/100*VLOOKUP(D521,'DB technologies'!$N$252:$Y$264,11,FALSE)/100/VLOOKUP($C$517,'DB animal categories'!$C$191:$AC$200,27,FALSE)*AJ521-AC521*VLOOKUP(D521,'DB technologies'!$N$252:$Y$264,11,FALSE)/100,0)))))</f>
        <v/>
      </c>
      <c r="AQ521" s="184" t="str">
        <f>IF(D521="","",IF(AI521=2,('Calc (ex-animal)'!$O$98*'Calc (ex-housing, ex-storage)'!F521/100+'Calc (ex-animal)'!$N$98*'Calc (ex-housing, ex-storage)'!F521/100)/VLOOKUP($C$517,'DB animal categories'!$C$191:$AC$200,27,FALSE)*AJ521+U521+V521+W521,IF(AI521=1,'Calc (ex-animal)'!$O$98*'Calc (ex-housing, ex-storage)'!F521/100/VLOOKUP($C$517,'DB animal categories'!$C$191:$AC$200,27,FALSE)*AJ521,IF(AI521=4,('Calc (ex-animal)'!$O$98+'Calc (ex-animal)'!$N$98)*'Calc (ex-housing, ex-storage)'!F521/100*VLOOKUP(D521,'DB technologies'!$N$252:$Y$264,11,FALSE)/100/VLOOKUP($C$517,'DB animal categories'!$C$191:$AC$200,27,FALSE)*AJ521,0))))</f>
        <v/>
      </c>
      <c r="AR521" s="184" t="str">
        <f>IF(D521="","",IF(AI521=2,('Calc (ex-animal)'!$R$98*'Calc (ex-housing, ex-storage)'!F521/100+'Calc (ex-animal)'!$Q$98*'Calc (ex-housing, ex-storage)'!F521/100)/VLOOKUP($C$517,'DB animal categories'!$C$191:$AC$200,27,FALSE)*AJ521+Y521+Z521+AA521,IF(AI521=1,'Calc (ex-animal)'!$R$98*'Calc (ex-housing, ex-storage)'!F521/100/VLOOKUP($C$517,'DB animal categories'!$C$191:$AC$200,27,FALSE)*AJ521,IF(AI521=4,('Calc (ex-animal)'!$R$98+'Calc (ex-animal)'!$Q$98)*'Calc (ex-housing, ex-storage)'!F521/100*VLOOKUP(D521,'DB technologies'!$N$252:$Y$264,11,FALSE)/100/VLOOKUP($C$517,'DB animal categories'!$C$191:$AC$200,27,FALSE)*AJ521,0))))</f>
        <v/>
      </c>
      <c r="AS521" s="183" t="str">
        <f>IF(D521="","",VLOOKUP(D521,'DB technologies'!$N$252:$Y$264,10,FALSE))</f>
        <v/>
      </c>
      <c r="AT521" s="452" t="str">
        <f>IF(AS521="","",AU521+AV521)</f>
        <v/>
      </c>
      <c r="AU521" s="452" t="str">
        <f>IF(D521="","",IF(AS521=2,0,IF(AS521=1,'Calc (ex-animal)'!$G$98*'DB additional information '!$K$21/100*(1-VLOOKUP(D521,'DB technologies'!$N$252:$Y$264,8,FALSE)/100)*'Calc (ex-housing, ex-storage)'!F521/100/VLOOKUP($C$517,'DB animal categories'!$C$191:$AC$200,27,FALSE)*AJ521+I521+J521+K521,IF(AS521=5,(('Calc (ex-animal)'!$G$98*'DB additional information '!$K$21/100+'Calc (ex-animal)'!$H$98*'DB additional information '!$L$21/100))*(1-VLOOKUP(D521,'DB technologies'!$N$252:$Y$264,9,FALSE)/100)*'Calc (ex-housing, ex-storage)'!F521/100/VLOOKUP($C$517,'DB animal categories'!$C$191:$AC$200,27,FALSE)*AJ521+I521+J521+K521,IF(AS521=3,('Calc (ex-animal)'!$G$98*'DB additional information '!$K$21/100+'Calc (ex-animal)'!$H$98*'DB additional information '!$L$21/100)*(1-VLOOKUP(D521,'DB technologies'!$N$252:$Y$264,9,FALSE)/100)*'Calc (ex-housing, ex-storage)'!F521/100/VLOOKUP($C$517,'DB animal categories'!$C$191:$AC$200,27,FALSE)*AJ521+I521+J521+K521,IF(AS521=4,('Calc (ex-animal)'!$G$98*'DB additional information '!$K$21/100+'Calc (ex-animal)'!$H$98*'DB additional information '!$L$21/100)*(1-VLOOKUP(D521,'DB technologies'!$N$252:$Y$264,9,FALSE)/100)*'Calc (ex-housing, ex-storage)'!F521/100*VLOOKUP(D521,'DB technologies'!$N$252:$Y$264,12,FALSE)/100/VLOOKUP($C$517,'DB animal categories'!$C$191:$AC$200,27,FALSE)*AJ521+I521+J521+K521,0))))))</f>
        <v/>
      </c>
      <c r="AV521" s="452" t="str">
        <f>IF(D521="","",IF(AS521=2,0,IF(AS521=1,'Calc (ex-animal)'!$G$98*(1-'DB additional information '!$K$21/100)*(1-VLOOKUP(D521,'DB technologies'!$N$252:$Y$264,8,FALSE)/100)*'Calc (ex-housing, ex-storage)'!F521/100/VLOOKUP($C$517,'DB animal categories'!$C$191:$AC$200,27,FALSE)*AJ521+M521+N521+O521,IF(AS521=5,('Calc (ex-animal)'!$G$98*(1-'DB additional information '!$K$21/100)+'Calc (ex-animal)'!$H$98*(1-'DB additional information '!$L$21/100))*(1-VLOOKUP(D521,'DB technologies'!$N$252:$Y$264,8,FALSE)/100)*'Calc (ex-housing, ex-storage)'!F521/100/VLOOKUP($C$517,'DB animal categories'!$C$191:$AC$200,27,FALSE)*AJ521+M521+N521+O521,IF(AS521=3,('Calc (ex-animal)'!$G$98*(1-'DB additional information '!$K$21/100)+'Calc (ex-animal)'!$H$98*(1-'DB additional information '!$L$21/100))*(1-VLOOKUP(D521,'DB technologies'!$N$252:$Y$264,8,FALSE)/100)*'Calc (ex-housing, ex-storage)'!F521/100/VLOOKUP($C$517,'DB animal categories'!$C$191:$AC$200,27,FALSE)*AJ521+M521+N521+O521,IF(AS521=4,('Calc (ex-animal)'!$G$98*(1-'DB additional information '!$K$21/100)+'Calc (ex-animal)'!$H$98*(1-'DB additional information '!$L$21/100))*(1-VLOOKUP(D521,'DB technologies'!$N$252:$Y$264,8,FALSE)/100)*'Calc (ex-housing, ex-storage)'!F521/100*VLOOKUP(D521,'DB technologies'!$N$252:$Y$264,12,FALSE)/100/VLOOKUP($C$517,'DB animal categories'!$C$191:$AC$200,27,FALSE)*AJ521+M521+N521+O521,0))))))</f>
        <v/>
      </c>
      <c r="AW521" s="452" t="str">
        <f>IF(AS521="","",IF(AU521=0,0,AU521/AT521*100))</f>
        <v/>
      </c>
      <c r="AX521" s="184" t="str">
        <f>IF(D521="","",IF(AS521=2,0,IF(AS521=1,'Calc (ex-animal)'!$K$98*'Calc (ex-housing, ex-storage)'!F521/100/VLOOKUP($C$517,'DB animal categories'!$C$191:$AC$200,27,FALSE)*AJ521+Q521+R521+S521,IF(AS521=5,('Calc (ex-animal)'!$K$98+'Calc (ex-animal)'!$L$98)*'Calc (ex-housing, ex-storage)'!F521/100/VLOOKUP($C$517,'DB animal categories'!$C$191:$AC$200,27,FALSE)*AJ521+Q521+R521+S521-'Calc (ex-housing, ex-storage)'!AC521,IF(AS521=3,('Calc (ex-animal)'!$K$98+'Calc (ex-animal)'!$L$98)*'Calc (ex-housing, ex-storage)'!F521/100/VLOOKUP($C$517,'DB animal categories'!$C$191:$AC$200,27,FALSE)*AJ521+Q521+R521+S521-'Calc (ex-housing, ex-storage)'!AC521-AD521-AE521,IF(AI521=4,('Calc (ex-animal)'!$K$98+'Calc (ex-animal)'!$L$98)*'Calc (ex-housing, ex-storage)'!F521/100*VLOOKUP(D521,'DB technologies'!$N$252:$Y$264,12,FALSE)/100/VLOOKUP($C$517,'DB animal categories'!$C$191:$AC$200,27,FALSE)*AJ521+Q521+R521+S521-(VLOOKUP(D521,'DB technologies'!$N$252:$Y$264,12,FALSE)/100*AC521)-AD521-AE521,0))))))</f>
        <v/>
      </c>
      <c r="AY521" s="184" t="str">
        <f>IF(D521="","",IF(AS521=2,0,IF(AS521=1,'Calc (ex-animal)'!$N$98*'Calc (ex-housing, ex-storage)'!F521/100/VLOOKUP($C$517,'DB animal categories'!$C$191:$AC$200,27,FALSE)*AJ521+U521+V521+W521,IF(AS521=5,('Calc (ex-animal)'!$N$98+'Calc (ex-animal)'!$O$98)*'Calc (ex-housing, ex-storage)'!F521/100/VLOOKUP($C$517,'DB animal categories'!$C$191:$AC$200,27,FALSE)*AJ521+U521+V521+W521,IF(AS521=3,('Calc (ex-animal)'!$N$98+'Calc (ex-animal)'!$O$98)*'Calc (ex-housing, ex-storage)'!F521/100/VLOOKUP($C$517,'DB animal categories'!$C$191:$AC$200,27,FALSE)*AJ521+U521+V521+W521,IF(AS521=4,('Calc (ex-animal)'!$N$98+'Calc (ex-animal)'!$O$98)*'Calc (ex-housing, ex-storage)'!F521/100*VLOOKUP(D521,'DB technologies'!$N$252:$Y$264,12,FALSE)/100/VLOOKUP($C$517,'DB animal categories'!$C$191:$AC$200,27,FALSE)*AJ521+U521+V521+W521,0))))))</f>
        <v/>
      </c>
      <c r="AZ521" s="184" t="str">
        <f>IF(D521="","",IF(AS521=2,0,IF(AS521=1,'Calc (ex-animal)'!$Q$98*'Calc (ex-housing, ex-storage)'!F521/100/VLOOKUP($C$517,'DB animal categories'!$C$191:$AC$200,27,FALSE)*AJ521+Y521+Z521+AA521,IF(AS521=5,('Calc (ex-animal)'!$Q$98+'Calc (ex-animal)'!$R$98)*'Calc (ex-housing, ex-storage)'!F521/100/VLOOKUP($C$517,'DB animal categories'!$C$191:$AC$200,27,FALSE)*AJ521+Y521+Z521+AA521,IF(AS521=3,('Calc (ex-animal)'!$Q$98+'Calc (ex-animal)'!$R$98)*'Calc (ex-housing, ex-storage)'!F521/100/VLOOKUP($C$517,'DB animal categories'!$C$191:$AC$200,27,FALSE)*AJ521+Y521+Z521+AA521,IF(AS521=4,('Calc (ex-animal)'!$Q$98+'Calc (ex-animal)'!$R$98)*'Calc (ex-housing, ex-storage)'!F521/100*VLOOKUP(D521,'DB technologies'!$N$252:$Y$264,12,FALSE)/100/VLOOKUP($C$517,'DB animal categories'!$C$191:$AC$200,27,FALSE)*AJ521+Y521+Z521+AA521,0))))))</f>
        <v/>
      </c>
      <c r="BA521" s="506"/>
      <c r="BB521" s="506"/>
      <c r="BC521" s="506"/>
    </row>
    <row r="522" spans="1:55" ht="12" thickBot="1" x14ac:dyDescent="0.25">
      <c r="A522" s="748"/>
      <c r="B522" s="695"/>
      <c r="C522" s="256"/>
      <c r="D522" s="269" t="s">
        <v>58</v>
      </c>
      <c r="E522" s="270">
        <f>IF('Calc (ex-animal)'!F98=1,'Calc (ex-animal)'!E98,IF(F522&lt;=100,SUM(E517:E521),"ERROR"))</f>
        <v>0</v>
      </c>
      <c r="F522" s="284">
        <f>IF('Calc (ex-animal)'!F98=1,100,IF(SUM(F517:F521) &lt;=100,SUM(F517:F521),"ERROR, SUM&gt;100%"))</f>
        <v>0</v>
      </c>
      <c r="G522" s="550">
        <f>IF('Calc (ex-animal)'!$F$98=1,"",SUM(G517:G521))</f>
        <v>0</v>
      </c>
      <c r="H522" s="418">
        <f>IF('Calc (ex-animal)'!$F$8=1,"",SUM(H517:H521))</f>
        <v>0</v>
      </c>
      <c r="I522" s="418">
        <f>IF('Calc (ex-animal)'!$F$8=1,"",SUM(I517:I521))</f>
        <v>0</v>
      </c>
      <c r="J522" s="418">
        <f>IF('Calc (ex-animal)'!$F$8=1,"",SUM(J517:J521))</f>
        <v>0</v>
      </c>
      <c r="K522" s="418">
        <f>IF('Calc (ex-animal)'!$F$8=1,"",SUM(K517:K521))</f>
        <v>0</v>
      </c>
      <c r="L522" s="418">
        <f>IF('Calc (ex-animal)'!$F$8=1,"",SUM(L517:L521))</f>
        <v>0</v>
      </c>
      <c r="M522" s="551"/>
      <c r="N522" s="551"/>
      <c r="O522" s="551"/>
      <c r="P522" s="552">
        <f>IF(G522=0,0,IF('Calc (ex-animal)'!$F$98=1,"",IF(D522="","",SUM(H522:K522)/G522*100)))</f>
        <v>0</v>
      </c>
      <c r="Q522" s="271"/>
      <c r="R522" s="271"/>
      <c r="S522" s="271"/>
      <c r="T522" s="278">
        <f>IF('Calc (ex-animal)'!$F$98=1,"",SUM(T517:T521))</f>
        <v>0</v>
      </c>
      <c r="U522" s="279"/>
      <c r="V522" s="279"/>
      <c r="W522" s="279"/>
      <c r="X522" s="279">
        <f>IF('Calc (ex-animal)'!$F$98=1,"",SUM(X517:X521))</f>
        <v>0</v>
      </c>
      <c r="Y522" s="279"/>
      <c r="Z522" s="279"/>
      <c r="AA522" s="279"/>
      <c r="AB522" s="279">
        <f>IF('Calc (ex-animal)'!$F$98=1,"",SUM(AB517:AB521))</f>
        <v>0</v>
      </c>
      <c r="AC522" s="279">
        <f>IF('Calc (ex-animal)'!$F$98=1,"",SUM(AC517:AC521))</f>
        <v>0</v>
      </c>
      <c r="AD522" s="279">
        <f>IF('Calc (ex-animal)'!$F$98=1,"",SUM(AD517:AD521))</f>
        <v>0</v>
      </c>
      <c r="AE522" s="280">
        <f>IF('Calc (ex-animal)'!$F$98=1,"",SUM(AE517:AE521))</f>
        <v>0</v>
      </c>
    </row>
    <row r="523" spans="1:55" x14ac:dyDescent="0.2">
      <c r="A523" s="748"/>
      <c r="B523" s="695"/>
      <c r="C523" s="250">
        <f>'Calc (ex-animal)'!D99</f>
        <v>0</v>
      </c>
      <c r="D523" s="1355"/>
      <c r="E523" s="1356"/>
      <c r="F523" s="479" t="str">
        <f>IF('Calc (ex-animal)'!$F$98=1,"",IF($C$523=0,"",IF(D523="","",E523/'Calc (ex-animal)'!$E$99*100)))</f>
        <v/>
      </c>
      <c r="G523" s="484" t="str">
        <f>IF($C$523=0,"",IF('Calc (ex-animal)'!$F$98=1,"",IF(D523="","",SUM(H523:O523))))</f>
        <v/>
      </c>
      <c r="H523" s="471" t="str">
        <f>IF('Calc (ex-animal)'!$F$98=1,"",IF(D523="","",(((VLOOKUP($C$523,'Calc (ex-animal)'!$D$98:$Y$102,6,FALSE)-VLOOKUP($C$523,'Calc (ex-animal)'!$D$98:$Y$102,17,FALSE))*F523/100))*VLOOKUP($C$523,'Calc (ex-animal)'!$D$98:$Y$102,7,FALSE)/100*(1-VLOOKUP(D523,'DB technologies'!$N$252:$Y$264,9,FALSE)/100)))</f>
        <v/>
      </c>
      <c r="I523" s="471" t="str">
        <f>IF(D523="","",((VLOOKUP(D523,'DB technologies'!$N$252:$Y$264,2,FALSE)*VLOOKUP($C$523,'DB animal categories'!$C$191:$AC$200,27,FALSE)*E523/1000)/VLOOKUP($C$523,'DB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'!$S$6/100*(1-VLOOKUP(D523,'DB technologies'!$N$252:$Y$264,9,FALSE)/100)))</f>
        <v/>
      </c>
      <c r="J523" s="472" t="str">
        <f>IF(D523="","",((VLOOKUP(D523,'DB technologies'!$N$252:$Y$264,3,FALSE)*VLOOKUP($C$523,'DB animal categories'!$C$191:$AC$200,27,FALSE)*E523/1000)/VLOOKUP($C$523,'DB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'!$S$7/100*(1-VLOOKUP(D523,'DB technologies'!$N$252:$Y$264,9,FALSE)/100)))</f>
        <v/>
      </c>
      <c r="K523" s="472" t="str">
        <f>IF(D523="","",((VLOOKUP(D523,'DB technologies'!$N$252:$Y$264,4,FALSE)*E523*'DB additional information '!$S$8/100*(1-VLOOKUP(D523,'DB technologies'!$N$252:$Y$264,9,FALSE)/100))/VLOOKUP($C$523,'DB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L523" s="471" t="str">
        <f>IF('Calc (ex-animal)'!$F$98=1,"",IF(D523="","",(((VLOOKUP($C$523,'Calc (ex-animal)'!$D$98:$Y$102,6,FALSE)-VLOOKUP($C$523,'Calc (ex-animal)'!$D$98:$Y$102,17,FALSE))*F523/100))*(1-VLOOKUP($C$523,'Calc (ex-animal)'!$D$98:$Y$102,7,FALSE)/100)*(1-VLOOKUP(D523,'DB technologies'!$N$252:$V$264,8,FALSE)/100)))</f>
        <v/>
      </c>
      <c r="M523" s="472" t="str">
        <f>IF(D523="","",((VLOOKUP(D523,'DB technologies'!$N$252:$Y$264,2,FALSE)*VLOOKUP($C$523,'DB animal categories'!$C$191:$AC$200,27,FALSE)*E523/1000)/VLOOKUP($C$523,'DB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'!$S$6/100)*(1-VLOOKUP(D523,'DB technologies'!$N$252:$Y$264,9,FALSE)/100))</f>
        <v/>
      </c>
      <c r="N523" s="472" t="str">
        <f>IF(D523="","",((VLOOKUP(D523,'DB technologies'!$N$252:$Y$264,3,FALSE)*VLOOKUP($C$523,'DB animal categories'!$C$191:$AC$200,27,FALSE)*E523/1000)/VLOOKUP($C$523,'DB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'!$S$7/100)*(1-VLOOKUP(D523,'DB technologies'!$N$252:$Y$264,9,FALSE)/100))</f>
        <v/>
      </c>
      <c r="O523" s="471" t="str">
        <f>IF(D523="","",((VLOOKUP(D523,'DB technologies'!$N$252:$Y$264,4,FALSE)*E523*(1-'DB additional information '!$S$8/100)*(1-VLOOKUP(D523,'DB technologies'!$N$252:$Y$264,8,FALSE)/100))/VLOOKUP($C$523,'DB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P523" s="443" t="str">
        <f>IF(G523=0,0,IF(E523="","",IF(F523="","",IF($C$523=0,"",IF(D523="","",SUM(H523:K523)/G523*100)))))</f>
        <v/>
      </c>
      <c r="Q523" s="473" t="str">
        <f>IF(D523="","",(VLOOKUP(D523,'DB technologies'!$N$252:$Y$264,2,FALSE)*'DB additional information '!$S$6/100*'DB additional information '!$T$6*VLOOKUP($C$523,'DB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R523" s="473" t="str">
        <f>IF(D523="","",(VLOOKUP(D523,'DB technologies'!$N$252:$Y$264,3,FALSE)*'DB additional information '!$S$7/100*'DB additional information '!$T$7*VLOOKUP($C$523,'DB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S523" s="490" t="str">
        <f>IF(D523="","",(VLOOKUP(D523,'DB technologies'!$N$252:$Y$264,4,FALSE)*('DB additional information '!$S$8/100*'DB additional information '!$T$8*E523/1000/1000)))</f>
        <v/>
      </c>
      <c r="T523" s="263" t="str">
        <f>IF($C$523=0,"",IF('Calc (ex-animal)'!$F$98=1,"",IF(D523="","",((VLOOKUP($C$523,'Calc (ex-animal)'!$D$98:$Y$102,10,FALSE)-VLOOKUP($C$523,'Calc (ex-animal)'!$D$98:$Y$102,18,FALSE))*F523/100+Q523+R523+S523)-AC523-AD523-AE523)))</f>
        <v/>
      </c>
      <c r="U523" s="474" t="str">
        <f>IF(D523="","",(VLOOKUP(D523,'DB technologies'!$N$252:$Y$264,2,FALSE)*'DB additional information '!$S$6/100*'DB additional information '!$U$6*VLOOKUP($C$523,'DB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V523" s="420" t="str">
        <f>IF(D523="","",(VLOOKUP(D523,'DB technologies'!$N$252:$Y$264,3,FALSE)*'DB additional information '!$S$7/100*'DB additional information '!$U$7*VLOOKUP($C$523,'DB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W523" s="415" t="str">
        <f>IF(D523="","",(VLOOKUP(D523,'DB technologies'!$N$252:$Y$264,4,FALSE)*('DB additional information '!$S$8/100*'DB additional information '!$U$8*E523/1000/1000)))</f>
        <v/>
      </c>
      <c r="X523" s="259" t="str">
        <f>IF($C$523=0,"",IF('Calc (ex-animal)'!$F$98=1,"",IF(D523="","",((VLOOKUP($C$523,'Calc (ex-animal)'!$D$98:$Y$102,13,FALSE)-VLOOKUP($C$523,'Calc (ex-animal)'!$D$98:$Y$102,19,FALSE))*F523/100+U523+V523+W523))))</f>
        <v/>
      </c>
      <c r="Y523" s="420" t="str">
        <f>IF(D523="","",(VLOOKUP(D523,'DB technologies'!$N$252:$Y$264,2,FALSE)*'DB additional information '!$S$6/100*'DB additional information '!$V$6*VLOOKUP($C$523,'DB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Z523" s="420" t="str">
        <f>IF(D523="","",(VLOOKUP(D523,'DB technologies'!$N$252:$Y$264,3,FALSE)*'DB additional information '!$S$7/100*'DB additional information '!$V$7*VLOOKUP($C$523,'DB animal categories'!$C$191:$AC$200,27,FALSE)*E523/1000/1000)/VLOOKUP($C$523,'DB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AA523" s="420" t="str">
        <f>IF(D523="","",(VLOOKUP(D523,'DB technologies'!$N$252:$Y$264,4,FALSE)*('DB additional information '!$S$8/100*'DB additional information '!$V$8*E523/1000/1000)))</f>
        <v/>
      </c>
      <c r="AB523" s="259" t="str">
        <f>IF($C$523=0,"",IF('Calc (ex-animal)'!$F$98=1,"",IF(D523="","",((VLOOKUP($C$523,'Calc (ex-animal)'!$D$98:$Y$102,16,FALSE)-VLOOKUP($C$523,'Calc (ex-animal)'!$D$98:$Y$102,20,FALSE))*F523/100+Y523+Z523+AA523))))</f>
        <v/>
      </c>
      <c r="AC523" s="259" t="str">
        <f>IF($C$523=0,"",IF('Calc (ex-animal)'!$F$98=1,"",IF(D523="","",VLOOKUP($C$523,'Calc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categories'!$C$191:$AC$200,26,FALSE)/24)*F523/100*VLOOKUP(D523,'DB technologies'!$N$252:$R$264,5,FALSE)/100)))</f>
        <v/>
      </c>
      <c r="AD523" s="259" t="str">
        <f>IF($C$523=0,"",IF('Calc (ex-animal)'!$F$98=1,"",IF(D523="","",VLOOKUP($C$523,'Calc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categories'!$C$191:$AC$200,26,FALSE)/24)*F523/100*VLOOKUP(D523,'DB technologies'!$N$252:$Y$264,6,FALSE)/100)))</f>
        <v/>
      </c>
      <c r="AE523" s="260" t="str">
        <f>IF($C$523=0,"",IF('Calc (ex-animal)'!$F$98=1,"",IF(D523="","",VLOOKUP($C$523,'Calc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categories'!$C$191:$AC$200,26,FALSE)/24)*F523/100*VLOOKUP(D523,'DB technologies'!$N$252:$Y$264,7,FALSE)/100)))</f>
        <v/>
      </c>
      <c r="AI523" s="179" t="str">
        <f>IF(D523="","",VLOOKUP(D523,'DB technologies'!$N$252:$Y$264,10,FALSE))</f>
        <v/>
      </c>
      <c r="AJ523" s="482" t="e">
        <f>VLOOKUP($C$523,'DB animal categories'!$C$191:$AN$200,27,FALSE)-VLOOKUP($C$523,'DB animal categories'!$C$191:$AN$200,26,FALSE)*VLOOKUP($C$523,'DB animal categories'!$C$191:$AN$200,25,FALSE)/24</f>
        <v>#N/A</v>
      </c>
      <c r="AK523" s="453" t="str">
        <f>IF(AI523="","",AL523+AM523)</f>
        <v/>
      </c>
      <c r="AL523" s="453" t="str">
        <f>IF(D523="","",IF(AI523=2,(('Calc (ex-animal)'!$G$99*'DB additional information '!$K$21/100*(1-VLOOKUP(D523,'DB technologies'!$N$252:$Y$264,9,FALSE)/100)*'Calc (ex-housing, ex-storage)'!F523/100+'Calc (ex-animal)'!$H$99*'DB additional information '!$L$21/100*(1-VLOOKUP(D523,'DB technologies'!$N$252:$Y$264,9,FALSE)/100)*'Calc (ex-housing, ex-storage)'!F523/100))/VLOOKUP($C$523,'DB animal categories'!$C$191:$AC$200,27,FALSE)*AJ523+I523+J523+K523,IF(AI523=1,('Calc (ex-animal)'!$H$99*'DB additional information '!$L$21/100*(1-VLOOKUP(D523,'DB technologies'!$N$252:$Y$264,9,FALSE)/100)*'Calc (ex-housing, ex-storage)'!F523/100)/VLOOKUP($C$523,'DB animal categories'!$C$191:$AC$200,27,FALSE)*AJ523,IF(AI523=4,('Calc (ex-animal)'!$G$99*'DB additional information '!$K$21/100+'Calc (ex-animal)'!$H$99*'DB additional information '!$L$21/100)*(1-VLOOKUP(D523,'DB technologies'!$N$252:$Y$264,9,FALSE)/100)*'Calc (ex-housing, ex-storage)'!F523/100*VLOOKUP(D523,'DB technologies'!$N$252:$Y$264,11,FALSE)/100/VLOOKUP($C$523,'DB animal categories'!$C$191:$AC$200,27,FALSE)*AJ523,0))))</f>
        <v/>
      </c>
      <c r="AM523" s="453" t="str">
        <f>IF(D523="","",IF(AI523=2,(('Calc (ex-animal)'!$G$99*(1-'DB additional information '!$K$21/100)*(1-VLOOKUP(D523,'DB technologies'!$N$252:$Y$264,8,FALSE)/100)*'Calc (ex-housing, ex-storage)'!F523/100+'Calc (ex-animal)'!$H$99*(1-'DB additional information '!$L$21/100)*(1-VLOOKUP(D523,'DB technologies'!$N$252:$Y$264,8,FALSE)/100)*'Calc (ex-housing, ex-storage)'!F523/100))/VLOOKUP($C$523,'DB animal categories'!$C$191:$AC$200,27,FALSE)*AJ523+M523+N523+O523,IF(AI523=1,('Calc (ex-animal)'!$H$99*(1-'DB additional information '!$L$21/100)*(1-VLOOKUP(D523,'DB technologies'!$N$252:$Y$264,8,FALSE)/100)*'Calc (ex-housing, ex-storage)'!F523/100)/VLOOKUP($C$523,'DB animal categories'!$C$191:$AC$200,27,FALSE)*AJ523,IF(AI523=4,('Calc (ex-animal)'!$G$99*(1-'DB additional information '!$K$21/100)+'Calc (ex-animal)'!$H$99*(1-'DB additional information '!$L$21/100))*(1-VLOOKUP(D523,'DB technologies'!$N$252:$Y$264,8,FALSE)/100)*'Calc (ex-housing, ex-storage)'!F523/100*VLOOKUP(D523,'DB technologies'!$N$252:$Y$264,11,FALSE)/100/VLOOKUP($C$523,'DB animal categories'!$C$191:$AC$200,27,FALSE)*AJ523,0))))</f>
        <v/>
      </c>
      <c r="AN523" s="453" t="str">
        <f>IF(AI523="","",IF(AL523=0,0,AL523/AK523*100))</f>
        <v/>
      </c>
      <c r="AO523" s="180" t="str">
        <f>IF(D523="","",IF(AI523=2,(('Calc (ex-animal)'!$L$99*'Calc (ex-housing, ex-storage)'!F523/100+'Calc (ex-animal)'!$K$99*'Calc (ex-housing, ex-storage)'!F523/100))/VLOOKUP($C$523,'DB animal categories'!$C$191:$AC$200,27,FALSE)*AJ523+Q523+R523+S523-AC523,IF(AI523=1,('Calc (ex-animal)'!$L$99*'Calc (ex-housing, ex-storage)'!F523/100)/VLOOKUP($C$523,'DB animal categories'!$C$191:$AC$200,27,FALSE)*AJ523-'Calc (ex-housing, ex-storage)'!AC523,IF(AI523=4,('Calc (ex-animal)'!$L$99+'Calc (ex-animal)'!$K$99)*'Calc (ex-housing, ex-storage)'!F523/100*VLOOKUP(D523,'DB technologies'!$N$252:$Y$264,11,FALSE)/100/VLOOKUP($C$523,'DB animal categories'!$C$191:$AC$200,27,FALSE)*AJ523-AC523*VLOOKUP(D523,'DB technologies'!$N$252:$Y$264,11,FALSE)/100,0))))</f>
        <v/>
      </c>
      <c r="AP523" s="180" t="str">
        <f>IF(D523="","",IF(AO523&lt;-0.01,0,IF(AI523=2,(('Calc (ex-animal)'!$L$99*'Calc (ex-housing, ex-storage)'!F523/100+'Calc (ex-animal)'!$K$99*'Calc (ex-housing, ex-storage)'!F523/100))/VLOOKUP($C$523,'DB animal categories'!$C$191:$AC$200,27,FALSE)*AJ523+Q523+R523+S523-AC523,IF(AI523=1,('Calc (ex-animal)'!$L$99*'Calc (ex-housing, ex-storage)'!F523/100)/VLOOKUP($C$523,'DB animal categories'!$C$191:$AC$200,27,FALSE)*AJ523-'Calc (ex-housing, ex-storage)'!AC523,IF(AI523=4,('Calc (ex-animal)'!$L$99+'Calc (ex-animal)'!$K$99)*'Calc (ex-housing, ex-storage)'!F523/100*VLOOKUP(D523,'DB technologies'!$N$252:$Y$264,11,FALSE)/100/VLOOKUP($C$523,'DB animal categories'!$C$191:$AC$200,27,FALSE)*AJ523-AC523*VLOOKUP(D523,'DB technologies'!$N$252:$Y$264,11,FALSE)/100,0)))))</f>
        <v/>
      </c>
      <c r="AQ523" s="180" t="str">
        <f>IF(D523="","",IF(AI523=2,('Calc (ex-animal)'!$O$99*'Calc (ex-housing, ex-storage)'!F523/100+'Calc (ex-animal)'!$N$99*'Calc (ex-housing, ex-storage)'!F523/100)/VLOOKUP($C$523,'DB animal categories'!$C$191:$AC$200,27,FALSE)*AJ523+U523+V523+W523,IF(AI523=1,'Calc (ex-animal)'!$O$99*'Calc (ex-housing, ex-storage)'!F523/100/VLOOKUP($C$523,'DB animal categories'!$C$191:$AC$200,27,FALSE)*AJ523,IF(AI523=4,('Calc (ex-animal)'!$O$99+'Calc (ex-animal)'!$N$99)*'Calc (ex-housing, ex-storage)'!F523/100*VLOOKUP(D523,'DB technologies'!$N$252:$Y$264,11,FALSE)/100/VLOOKUP($C$523,'DB animal categories'!$C$191:$AC$200,27,FALSE)*AJ523,0))))</f>
        <v/>
      </c>
      <c r="AR523" s="180" t="str">
        <f>IF(D523="","",IF(AI523=2,('Calc (ex-animal)'!$R$99*'Calc (ex-housing, ex-storage)'!F523/100+'Calc (ex-animal)'!$Q$99*'Calc (ex-housing, ex-storage)'!F523/100)/VLOOKUP($C$523,'DB animal categories'!$C$191:$AC$200,27,FALSE)*AJ523+Y523+Z523+AA523,IF(AI523=1,'Calc (ex-animal)'!$R$99*'Calc (ex-housing, ex-storage)'!F523/100/VLOOKUP($C$523,'DB animal categories'!$C$191:$AC$200,27,FALSE)*AJ523,IF(AI523=4,('Calc (ex-animal)'!$R$99+'Calc (ex-animal)'!$Q$99)*'Calc (ex-housing, ex-storage)'!F523/100*VLOOKUP(D523,'DB technologies'!$N$252:$Y$264,11,FALSE)/100/VLOOKUP($C$523,'DB animal categories'!$C$191:$AC$200,27,FALSE)*AJ523,0))))</f>
        <v/>
      </c>
      <c r="AS523" s="179" t="str">
        <f>IF(D523="","",VLOOKUP(D523,'DB technologies'!$N$252:$Y$264,10,FALSE))</f>
        <v/>
      </c>
      <c r="AT523" s="453" t="str">
        <f>IF(AS523="","",AU523+AV523)</f>
        <v/>
      </c>
      <c r="AU523" s="453" t="str">
        <f>IF(D523="","",IF(AS523=2,0,IF(AS523=1,'Calc (ex-animal)'!$G$99*'DB additional information '!$K$21/100*(1-VLOOKUP(D523,'DB technologies'!$N$252:$Y$264,8,FALSE)/100)*'Calc (ex-housing, ex-storage)'!F523/100/VLOOKUP($C$523,'DB animal categories'!$C$191:$AC$200,27,FALSE)*AJ523+I523+J523+K523,IF(AS523=5,(('Calc (ex-animal)'!$G$99*'DB additional information '!$K$21/100+'Calc (ex-animal)'!$H$99*'DB additional information '!$L$21/100))*(1-VLOOKUP(D523,'DB technologies'!$N$252:$Y$264,9,FALSE)/100)*'Calc (ex-housing, ex-storage)'!F523/100/VLOOKUP($C$523,'DB animal categories'!$C$191:$AC$200,27,FALSE)*AJ523+I523+J523+K523,IF(AS523=3,('Calc (ex-animal)'!$G$99*'DB additional information '!$K$21/100+'Calc (ex-animal)'!$H$99*'DB additional information '!$L$21/100)*(1-VLOOKUP(D523,'DB technologies'!$N$252:$Y$264,9,FALSE)/100)*'Calc (ex-housing, ex-storage)'!F523/100/VLOOKUP($C$523,'DB animal categories'!$C$191:$AC$200,27,FALSE)*AJ523+I523+J523+K523,IF(AS523=4,('Calc (ex-animal)'!$G$99*'DB additional information '!$K$21/100+'Calc (ex-animal)'!$H$99*'DB additional information '!$L$21/100)*(1-VLOOKUP(D523,'DB technologies'!$N$252:$Y$264,9,FALSE)/100)*'Calc (ex-housing, ex-storage)'!F523/100*VLOOKUP(D523,'DB technologies'!$N$252:$Y$264,12,FALSE)/100/VLOOKUP($C$523,'DB animal categories'!$C$191:$AC$200,27,FALSE)*AJ523+I523+J523+K523,0))))))</f>
        <v/>
      </c>
      <c r="AV523" s="453" t="str">
        <f>IF(D523="","",IF(AS523=2,0,IF(AS523=1,'Calc (ex-animal)'!$G$99*(1-'DB additional information '!$K$21/100)*(1-VLOOKUP(D523,'DB technologies'!$N$252:$Y$264,8,FALSE)/100)*'Calc (ex-housing, ex-storage)'!F523/100/VLOOKUP($C$523,'DB animal categories'!$C$191:$AC$200,27,FALSE)*AJ523+M523+N523+O523,IF(AS523=5,('Calc (ex-animal)'!$G$99*(1-'DB additional information '!$K$21/100)+'Calc (ex-animal)'!$H$99*(1-'DB additional information '!$L$21/100))*(1-VLOOKUP(D523,'DB technologies'!$N$252:$Y$264,8,FALSE)/100)*'Calc (ex-housing, ex-storage)'!F523/100/VLOOKUP($C$523,'DB animal categories'!$C$191:$AC$200,27,FALSE)*AJ523+M523+N523+O523,IF(AS523=3,('Calc (ex-animal)'!$G$99*(1-'DB additional information '!$K$21/100)+'Calc (ex-animal)'!$H$99*(1-'DB additional information '!$L$21/100))*(1-VLOOKUP(D523,'DB technologies'!$N$252:$Y$264,8,FALSE)/100)*'Calc (ex-housing, ex-storage)'!F523/100/VLOOKUP($C$523,'DB animal categories'!$C$191:$AC$200,27,FALSE)*AJ523+M523+N523+O523,IF(AS523=4,('Calc (ex-animal)'!$G$99*(1-'DB additional information '!$K$21/100)+'Calc (ex-animal)'!$H$99*(1-'DB additional information '!$L$21/100))*(1-VLOOKUP(D523,'DB technologies'!$N$252:$Y$264,8,FALSE)/100)*'Calc (ex-housing, ex-storage)'!F523/100*VLOOKUP(D523,'DB technologies'!$N$252:$Y$264,12,FALSE)/100/VLOOKUP($C$523,'DB animal categories'!$C$191:$AC$200,27,FALSE)*AJ523+M523+N523+O523,0))))))</f>
        <v/>
      </c>
      <c r="AW523" s="453" t="str">
        <f>IF(AS523="","",IF(AU523=0,0,AU523/AT523*100))</f>
        <v/>
      </c>
      <c r="AX523" s="180" t="str">
        <f>IF(D523="","",IF(AS523=2,0,IF(AS523=1,'Calc (ex-animal)'!$K$99*'Calc (ex-housing, ex-storage)'!F523/100/VLOOKUP($C$523,'DB animal categories'!$C$191:$AC$200,27,FALSE)*AJ523+Q523+R523+S523,IF(AS523=5,('Calc (ex-animal)'!$K$99+'Calc (ex-animal)'!$L$99)*'Calc (ex-housing, ex-storage)'!F523/100/VLOOKUP($C$523,'DB animal categories'!$C$191:$AC$200,27,FALSE)*AJ523+Q523+R523+S523-'Calc (ex-housing, ex-storage)'!AC523,IF(AS523=3,('Calc (ex-animal)'!$K$99+'Calc (ex-animal)'!$L$99)*'Calc (ex-housing, ex-storage)'!F523/100/VLOOKUP($C$523,'DB animal categories'!$C$191:$AC$200,27,FALSE)*AJ523+Q523+R523+S523-'Calc (ex-housing, ex-storage)'!AC523-AD523-AE523,IF(AI523=4,('Calc (ex-animal)'!$K$99+'Calc (ex-animal)'!$L$99)*'Calc (ex-housing, ex-storage)'!F523/100*VLOOKUP(D523,'DB technologies'!$N$252:$Y$264,12,FALSE)/100/VLOOKUP($C$523,'DB animal categories'!$C$191:$AC$200,27,FALSE)*AJ523+Q523+R523+S523-(VLOOKUP(D523,'DB technologies'!$N$252:$Y$264,12,FALSE)/100*AC523)-AD523-AE523,0))))))</f>
        <v/>
      </c>
      <c r="AY523" s="180" t="str">
        <f>IF(D523="","",IF(AS523=2,0,IF(AS523=1,'Calc (ex-animal)'!$N$99*'Calc (ex-housing, ex-storage)'!F523/100/VLOOKUP($C$523,'DB animal categories'!$C$191:$AC$200,27,FALSE)*AJ523+U523+V523+W523,IF(AS523=5,('Calc (ex-animal)'!$N$99+'Calc (ex-animal)'!$O$99)*'Calc (ex-housing, ex-storage)'!F523/100/VLOOKUP($C$523,'DB animal categories'!$C$191:$AC$200,27,FALSE)*AJ523+U523+V523+W523,IF(AS523=3,('Calc (ex-animal)'!$N$99+'Calc (ex-animal)'!$O$99)*'Calc (ex-housing, ex-storage)'!F523/100/VLOOKUP($C$523,'DB animal categories'!$C$191:$AC$200,27,FALSE)*AJ523+U523+V523+W523,IF(AS523=4,('Calc (ex-animal)'!$N$99+'Calc (ex-animal)'!$O$99)*'Calc (ex-housing, ex-storage)'!F523/100*VLOOKUP(D523,'DB technologies'!$N$252:$Y$264,12,FALSE)/100/VLOOKUP($C$523,'DB animal categories'!$C$191:$AC$200,27,FALSE)*AJ523+U523+V523+W523,0))))))</f>
        <v/>
      </c>
      <c r="AZ523" s="180" t="str">
        <f>IF(D523="","",IF(AS523=2,0,IF(AS523=1,'Calc (ex-animal)'!$Q$99*'Calc (ex-housing, ex-storage)'!F523/100/VLOOKUP($C$523,'DB animal categories'!$C$191:$AC$200,27,FALSE)*AJ523+Y523+Z523+AA523,IF(AS523=5,('Calc (ex-animal)'!$Q$99+'Calc (ex-animal)'!$R$99)*'Calc (ex-housing, ex-storage)'!F523/100/VLOOKUP($C$523,'DB animal categories'!$C$191:$AC$200,27,FALSE)*AJ523+Y523+Z523+AA523,IF(AS523=3,('Calc (ex-animal)'!$Q$99+'Calc (ex-animal)'!$R$99)*'Calc (ex-housing, ex-storage)'!F523/100/VLOOKUP($C$523,'DB animal categories'!$C$191:$AC$200,27,FALSE)*AJ523+Y523+Z523+AA523,IF(AS523=4,('Calc (ex-animal)'!$Q$99+'Calc (ex-animal)'!$R$99)*'Calc (ex-housing, ex-storage)'!F523/100*VLOOKUP(D523,'DB technologies'!$N$252:$Y$264,12,FALSE)/100/VLOOKUP($C$523,'DB animal categories'!$C$191:$AC$200,27,FALSE)*AJ523+Y523+Z523+AA523,0))))))</f>
        <v/>
      </c>
      <c r="BA523" s="506"/>
      <c r="BB523" s="506"/>
      <c r="BC523" s="506"/>
    </row>
    <row r="524" spans="1:55" x14ac:dyDescent="0.2">
      <c r="A524" s="748"/>
      <c r="B524" s="695"/>
      <c r="C524" s="251"/>
      <c r="D524" s="1357"/>
      <c r="E524" s="1358"/>
      <c r="F524" s="480" t="str">
        <f>IF('Calc (ex-animal)'!$F$98=1,"",IF($C$523=0,"",IF(D524="","",E524/'Calc (ex-animal)'!$E$99*100)))</f>
        <v/>
      </c>
      <c r="G524" s="485" t="str">
        <f>IF($C$523=0,"",IF('Calc (ex-animal)'!$F$98=1,"",IF(D524="","",SUM(H524:O524))))</f>
        <v/>
      </c>
      <c r="H524" s="423" t="str">
        <f>IF('Calc (ex-animal)'!$F$98=1,"",IF(D524="","",(((VLOOKUP($C$523,'Calc (ex-animal)'!$D$98:$Y$102,6,FALSE)-VLOOKUP($C$523,'Calc (ex-animal)'!$D$98:$Y$102,17,FALSE))*F524/100))*VLOOKUP($C$523,'Calc (ex-animal)'!$D$98:$Y$102,7,FALSE)/100*(1-VLOOKUP(D524,'DB technologies'!$N$252:$Y$264,9,FALSE)/100)))</f>
        <v/>
      </c>
      <c r="I524" s="423" t="str">
        <f>IF(D524="","",((VLOOKUP(D524,'DB technologies'!$N$252:$Y$264,2,FALSE)*VLOOKUP($C$523,'DB animal categories'!$C$191:$AC$200,27,FALSE)*E524/1000)/VLOOKUP($C$523,'DB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'!$S$6/100*(1-VLOOKUP(D524,'DB technologies'!$N$252:$Y$264,9,FALSE)/100)))</f>
        <v/>
      </c>
      <c r="J524" s="434" t="str">
        <f>IF(D524="","",((VLOOKUP(D524,'DB technologies'!$N$252:$Y$264,3,FALSE)*VLOOKUP($C$523,'DB animal categories'!$C$191:$AC$200,27,FALSE)*E524/1000)/VLOOKUP($C$523,'DB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'!$S$7/100*(1-VLOOKUP(D524,'DB technologies'!$N$252:$Y$264,9,FALSE)/100)))</f>
        <v/>
      </c>
      <c r="K524" s="434" t="str">
        <f>IF(D524="","",((VLOOKUP(D524,'DB technologies'!$N$252:$Y$264,4,FALSE)*E524*'DB additional information '!$S$8/100*(1-VLOOKUP(D524,'DB technologies'!$N$252:$Y$264,9,FALSE)/100))/VLOOKUP($C$523,'DB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L524" s="423" t="str">
        <f>IF('Calc (ex-animal)'!$F$98=1,"",IF(D524="","",(((VLOOKUP($C$523,'Calc (ex-animal)'!$D$98:$Y$102,6,FALSE)-VLOOKUP($C$523,'Calc (ex-animal)'!$D$98:$Y$102,17,FALSE))*F524/100))*(1-VLOOKUP($C$523,'Calc (ex-animal)'!$D$98:$Y$102,7,FALSE)/100)*(1-VLOOKUP(D524,'DB technologies'!$N$252:$V$264,8,FALSE)/100)))</f>
        <v/>
      </c>
      <c r="M524" s="434" t="str">
        <f>IF(D524="","",((VLOOKUP(D524,'DB technologies'!$N$252:$Y$264,2,FALSE)*VLOOKUP($C$523,'DB animal categories'!$C$191:$AC$200,27,FALSE)*E524/1000)/VLOOKUP($C$523,'DB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'!$S$6/100)*(1-VLOOKUP(D524,'DB technologies'!$N$252:$Y$264,9,FALSE)/100))</f>
        <v/>
      </c>
      <c r="N524" s="434" t="str">
        <f>IF(D524="","",((VLOOKUP(D524,'DB technologies'!$N$252:$Y$264,3,FALSE)*VLOOKUP($C$523,'DB animal categories'!$C$191:$AC$200,27,FALSE)*E524/1000)/VLOOKUP($C$523,'DB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'!$S$7/100)*(1-VLOOKUP(D524,'DB technologies'!$N$252:$Y$264,9,FALSE)/100))</f>
        <v/>
      </c>
      <c r="O524" s="423" t="str">
        <f>IF(D524="","",((VLOOKUP(D524,'DB technologies'!$N$252:$Y$264,4,FALSE)*E524*(1-'DB additional information '!$S$8/100)*(1-VLOOKUP(D524,'DB technologies'!$N$252:$Y$264,8,FALSE)/100))/VLOOKUP($C$523,'DB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P524" s="438" t="str">
        <f>IF(G524=0,0,IF(E524="","",IF(F524="","",IF($C$523=0,"",IF(D524="","",SUM(H524:K524)/G524*100)))))</f>
        <v/>
      </c>
      <c r="Q524" s="416" t="str">
        <f>IF(D524="","",(VLOOKUP(D524,'DB technologies'!$N$252:$Y$264,2,FALSE)*'DB additional information '!$S$6/100*'DB additional information '!$T$6*VLOOKUP($C$523,'DB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R524" s="416" t="str">
        <f>IF(D524="","",(VLOOKUP(D524,'DB technologies'!$N$252:$Y$264,3,FALSE)*'DB additional information '!$S$7/100*'DB additional information '!$T$7*VLOOKUP($C$523,'DB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S524" s="491" t="str">
        <f>IF(D524="","",(VLOOKUP(D524,'DB technologies'!$N$252:$Y$264,4,FALSE)*('DB additional information '!$S$8/100*'DB additional information '!$T$8*E524/1000/1000)))</f>
        <v/>
      </c>
      <c r="T524" s="264" t="str">
        <f>IF($C$523=0,"",IF('Calc (ex-animal)'!$F$98=1,"",IF(D524="","",((VLOOKUP($C$523,'Calc (ex-animal)'!$D$98:$Y$102,10,FALSE)-VLOOKUP($C$523,'Calc (ex-animal)'!$D$98:$Y$102,18,FALSE))*F524/100+Q524+R524+S524)-AC524-AD524-AE524)))</f>
        <v/>
      </c>
      <c r="U524" s="422" t="str">
        <f>IF(D524="","",(VLOOKUP(D524,'DB technologies'!$N$252:$Y$264,2,FALSE)*'DB additional information '!$S$6/100*'DB additional information '!$U$6*VLOOKUP($C$523,'DB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V524" s="418" t="str">
        <f>IF(D524="","",(VLOOKUP(D524,'DB technologies'!$N$252:$Y$264,3,FALSE)*'DB additional information '!$S$7/100*'DB additional information '!$U$7*VLOOKUP($C$523,'DB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W524" s="417" t="str">
        <f>IF(D524="","",(VLOOKUP(D524,'DB technologies'!$N$252:$Y$264,4,FALSE)*('DB additional information '!$S$8/100*'DB additional information '!$U$8*E524/1000/1000)))</f>
        <v/>
      </c>
      <c r="X524" s="261" t="str">
        <f>IF($C$523=0,"",IF('Calc (ex-animal)'!$F$98=1,"",IF(D524="","",((VLOOKUP($C$523,'Calc (ex-animal)'!$D$98:$Y$102,13,FALSE)-VLOOKUP($C$523,'Calc (ex-animal)'!$D$98:$Y$102,19,FALSE))*F524/100+U524+V524+W524))))</f>
        <v/>
      </c>
      <c r="Y524" s="418" t="str">
        <f>IF(D524="","",(VLOOKUP(D524,'DB technologies'!$N$252:$Y$264,2,FALSE)*'DB additional information '!$S$6/100*'DB additional information '!$V$6*VLOOKUP($C$523,'DB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Z524" s="418" t="str">
        <f>IF(D524="","",(VLOOKUP(D524,'DB technologies'!$N$252:$Y$264,3,FALSE)*'DB additional information '!$S$7/100*'DB additional information '!$V$7*VLOOKUP($C$523,'DB animal categories'!$C$191:$AC$200,27,FALSE)*E524/1000/1000)/VLOOKUP($C$523,'DB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AA524" s="418" t="str">
        <f>IF(D524="","",(VLOOKUP(D524,'DB technologies'!$N$252:$Y$264,4,FALSE)*('DB additional information '!$S$8/100*'DB additional information '!$V$8*E524/1000/1000)))</f>
        <v/>
      </c>
      <c r="AB524" s="261" t="str">
        <f>IF($C$523=0,"",IF('Calc (ex-animal)'!$F$98=1,"",IF(D524="","",((VLOOKUP($C$523,'Calc (ex-animal)'!$D$98:$Y$102,16,FALSE)-VLOOKUP($C$523,'Calc (ex-animal)'!$D$98:$Y$102,20,FALSE))*F524/100+Y524+Z524+AA524))))</f>
        <v/>
      </c>
      <c r="AC524" s="261" t="str">
        <f>IF($C$523=0,"",IF('Calc (ex-animal)'!$F$98=1,"",IF(D524="","",VLOOKUP($C$523,'Calc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categories'!$C$191:$AC$200,26,FALSE)/24)*F524/100*VLOOKUP(D524,'DB technologies'!$N$252:$R$264,5,FALSE)/100)))</f>
        <v/>
      </c>
      <c r="AD524" s="261" t="str">
        <f>IF($C$523=0,"",IF('Calc (ex-animal)'!$F$98=1,"",IF(D524="","",VLOOKUP($C$523,'Calc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categories'!$C$191:$AC$200,26,FALSE)/24)*F524/100*VLOOKUP(D524,'DB technologies'!$N$252:$Y$264,6,FALSE)/100)))</f>
        <v/>
      </c>
      <c r="AE524" s="262" t="str">
        <f>IF($C$523=0,"",IF('Calc (ex-animal)'!$F$98=1,"",IF(D524="","",VLOOKUP($C$523,'Calc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categories'!$C$191:$AC$200,26,FALSE)/24)*F524/100*VLOOKUP(D524,'DB technologies'!$N$252:$Y$264,7,FALSE)/100)))</f>
        <v/>
      </c>
      <c r="AI524" s="181" t="str">
        <f>IF(D524="","",VLOOKUP(D524,'DB technologies'!$N$252:$Y$264,10,FALSE))</f>
        <v/>
      </c>
      <c r="AJ524" s="449" t="e">
        <f>VLOOKUP($C$523,'DB animal categories'!$C$191:$AN$200,27,FALSE)-VLOOKUP($C$523,'DB animal categories'!$C$191:$AN$200,26,FALSE)*VLOOKUP($C$523,'DB animal categories'!$C$191:$AN$200,25,FALSE)/24</f>
        <v>#N/A</v>
      </c>
      <c r="AK524" s="442" t="str">
        <f>IF(AI524="","",AL524+AM524)</f>
        <v/>
      </c>
      <c r="AL524" s="442" t="str">
        <f>IF(D524="","",IF(AI524=2,(('Calc (ex-animal)'!$G$99*'DB additional information '!$K$21/100*(1-VLOOKUP(D524,'DB technologies'!$N$252:$Y$264,9,FALSE)/100)*'Calc (ex-housing, ex-storage)'!F524/100+'Calc (ex-animal)'!$H$99*'DB additional information '!$L$21/100*(1-VLOOKUP(D524,'DB technologies'!$N$252:$Y$264,9,FALSE)/100)*'Calc (ex-housing, ex-storage)'!F524/100))/VLOOKUP($C$523,'DB animal categories'!$C$191:$AC$200,27,FALSE)*AJ524+I524+J524+K524,IF(AI524=1,('Calc (ex-animal)'!$H$99*'DB additional information '!$L$21/100*(1-VLOOKUP(D524,'DB technologies'!$N$252:$Y$264,9,FALSE)/100)*'Calc (ex-housing, ex-storage)'!F524/100)/VLOOKUP($C$523,'DB animal categories'!$C$191:$AC$200,27,FALSE)*AJ524,IF(AI524=4,('Calc (ex-animal)'!$G$99*'DB additional information '!$K$21/100+'Calc (ex-animal)'!$H$99*'DB additional information '!$L$21/100)*(1-VLOOKUP(D524,'DB technologies'!$N$252:$Y$264,9,FALSE)/100)*'Calc (ex-housing, ex-storage)'!F524/100*VLOOKUP(D524,'DB technologies'!$N$252:$Y$264,11,FALSE)/100/VLOOKUP($C$523,'DB animal categories'!$C$191:$AC$200,27,FALSE)*AJ524,0))))</f>
        <v/>
      </c>
      <c r="AM524" s="442" t="str">
        <f>IF(D524="","",IF(AI524=2,(('Calc (ex-animal)'!$G$99*(1-'DB additional information '!$K$21/100)*(1-VLOOKUP(D524,'DB technologies'!$N$252:$Y$264,8,FALSE)/100)*'Calc (ex-housing, ex-storage)'!F524/100+'Calc (ex-animal)'!$H$99*(1-'DB additional information '!$L$21/100)*(1-VLOOKUP(D524,'DB technologies'!$N$252:$Y$264,8,FALSE)/100)*'Calc (ex-housing, ex-storage)'!F524/100))/VLOOKUP($C$523,'DB animal categories'!$C$191:$AC$200,27,FALSE)*AJ524+M524+N524+O524,IF(AI524=1,('Calc (ex-animal)'!$H$99*(1-'DB additional information '!$L$21/100)*(1-VLOOKUP(D524,'DB technologies'!$N$252:$Y$264,8,FALSE)/100)*'Calc (ex-housing, ex-storage)'!F524/100)/VLOOKUP($C$523,'DB animal categories'!$C$191:$AC$200,27,FALSE)*AJ524,IF(AI524=4,('Calc (ex-animal)'!$G$99*(1-'DB additional information '!$K$21/100)+'Calc (ex-animal)'!$H$99*(1-'DB additional information '!$L$21/100))*(1-VLOOKUP(D524,'DB technologies'!$N$252:$Y$264,8,FALSE)/100)*'Calc (ex-housing, ex-storage)'!F524/100*VLOOKUP(D524,'DB technologies'!$N$252:$Y$264,11,FALSE)/100/VLOOKUP($C$523,'DB animal categories'!$C$191:$AC$200,27,FALSE)*AJ524,0))))</f>
        <v/>
      </c>
      <c r="AN524" s="442" t="str">
        <f>IF(AI524="","",IF(AL524=0,0,AL524/AK524*100))</f>
        <v/>
      </c>
      <c r="AO524" s="182" t="str">
        <f>IF(D524="","",IF(AI524=2,(('Calc (ex-animal)'!$L$99*'Calc (ex-housing, ex-storage)'!F524/100+'Calc (ex-animal)'!$K$99*'Calc (ex-housing, ex-storage)'!F524/100))/VLOOKUP($C$523,'DB animal categories'!$C$191:$AC$200,27,FALSE)*AJ524+Q524+R524+S524-AC524,IF(AI524=1,('Calc (ex-animal)'!$L$99*'Calc (ex-housing, ex-storage)'!F524/100)/VLOOKUP($C$523,'DB animal categories'!$C$191:$AC$200,27,FALSE)*AJ524-'Calc (ex-housing, ex-storage)'!AC524,IF(AI524=4,('Calc (ex-animal)'!$L$99+'Calc (ex-animal)'!$K$99)*'Calc (ex-housing, ex-storage)'!F524/100*VLOOKUP(D524,'DB technologies'!$N$252:$Y$264,11,FALSE)/100/VLOOKUP($C$523,'DB animal categories'!$C$191:$AC$200,27,FALSE)*AJ524-AC524*VLOOKUP(D524,'DB technologies'!$N$252:$Y$264,11,FALSE)/100,0))))</f>
        <v/>
      </c>
      <c r="AP524" s="182" t="str">
        <f>IF(D524="","",IF(AO524&lt;-0.01,0,IF(AI524=2,(('Calc (ex-animal)'!$L$99*'Calc (ex-housing, ex-storage)'!F524/100+'Calc (ex-animal)'!$K$99*'Calc (ex-housing, ex-storage)'!F524/100))/VLOOKUP($C$523,'DB animal categories'!$C$191:$AC$200,27,FALSE)*AJ524+Q524+R524+S524-AC524,IF(AI524=1,('Calc (ex-animal)'!$L$99*'Calc (ex-housing, ex-storage)'!F524/100)/VLOOKUP($C$523,'DB animal categories'!$C$191:$AC$200,27,FALSE)*AJ524-'Calc (ex-housing, ex-storage)'!AC524,IF(AI524=4,('Calc (ex-animal)'!$L$99+'Calc (ex-animal)'!$K$99)*'Calc (ex-housing, ex-storage)'!F524/100*VLOOKUP(D524,'DB technologies'!$N$252:$Y$264,11,FALSE)/100/VLOOKUP($C$523,'DB animal categories'!$C$191:$AC$200,27,FALSE)*AJ524-AC524*VLOOKUP(D524,'DB technologies'!$N$252:$Y$264,11,FALSE)/100,0)))))</f>
        <v/>
      </c>
      <c r="AQ524" s="182" t="str">
        <f>IF(D524="","",IF(AI524=2,('Calc (ex-animal)'!$O$99*'Calc (ex-housing, ex-storage)'!F524/100+'Calc (ex-animal)'!$N$99*'Calc (ex-housing, ex-storage)'!F524/100)/VLOOKUP($C$523,'DB animal categories'!$C$191:$AC$200,27,FALSE)*AJ524+U524+V524+W524,IF(AI524=1,'Calc (ex-animal)'!$O$99*'Calc (ex-housing, ex-storage)'!F524/100/VLOOKUP($C$523,'DB animal categories'!$C$191:$AC$200,27,FALSE)*AJ524,IF(AI524=4,('Calc (ex-animal)'!$O$99+'Calc (ex-animal)'!$N$99)*'Calc (ex-housing, ex-storage)'!F524/100*VLOOKUP(D524,'DB technologies'!$N$252:$Y$264,11,FALSE)/100/VLOOKUP($C$523,'DB animal categories'!$C$191:$AC$200,27,FALSE)*AJ524,0))))</f>
        <v/>
      </c>
      <c r="AR524" s="182" t="str">
        <f>IF(D524="","",IF(AI524=2,('Calc (ex-animal)'!$R$99*'Calc (ex-housing, ex-storage)'!F524/100+'Calc (ex-animal)'!$Q$99*'Calc (ex-housing, ex-storage)'!F524/100)/VLOOKUP($C$523,'DB animal categories'!$C$191:$AC$200,27,FALSE)*AJ524+Y524+Z524+AA524,IF(AI524=1,'Calc (ex-animal)'!$R$99*'Calc (ex-housing, ex-storage)'!F524/100/VLOOKUP($C$523,'DB animal categories'!$C$191:$AC$200,27,FALSE)*AJ524,IF(AI524=4,('Calc (ex-animal)'!$R$99+'Calc (ex-animal)'!$Q$99)*'Calc (ex-housing, ex-storage)'!F524/100*VLOOKUP(D524,'DB technologies'!$N$252:$Y$264,11,FALSE)/100/VLOOKUP($C$523,'DB animal categories'!$C$191:$AC$200,27,FALSE)*AJ524,0))))</f>
        <v/>
      </c>
      <c r="AS524" s="181" t="str">
        <f>IF(D524="","",VLOOKUP(D524,'DB technologies'!$N$252:$Y$264,10,FALSE))</f>
        <v/>
      </c>
      <c r="AT524" s="442" t="str">
        <f>IF(AS524="","",AU524+AV524)</f>
        <v/>
      </c>
      <c r="AU524" s="442" t="str">
        <f>IF(D524="","",IF(AS524=2,0,IF(AS524=1,'Calc (ex-animal)'!$G$99*'DB additional information '!$K$21/100*(1-VLOOKUP(D524,'DB technologies'!$N$252:$Y$264,8,FALSE)/100)*'Calc (ex-housing, ex-storage)'!F524/100/VLOOKUP($C$523,'DB animal categories'!$C$191:$AC$200,27,FALSE)*AJ524+I524+J524+K524,IF(AS524=5,(('Calc (ex-animal)'!$G$99*'DB additional information '!$K$21/100+'Calc (ex-animal)'!$H$99*'DB additional information '!$L$21/100))*(1-VLOOKUP(D524,'DB technologies'!$N$252:$Y$264,9,FALSE)/100)*'Calc (ex-housing, ex-storage)'!F524/100/VLOOKUP($C$523,'DB animal categories'!$C$191:$AC$200,27,FALSE)*AJ524+I524+J524+K524,IF(AS524=3,('Calc (ex-animal)'!$G$99*'DB additional information '!$K$21/100+'Calc (ex-animal)'!$H$99*'DB additional information '!$L$21/100)*(1-VLOOKUP(D524,'DB technologies'!$N$252:$Y$264,9,FALSE)/100)*'Calc (ex-housing, ex-storage)'!F524/100/VLOOKUP($C$523,'DB animal categories'!$C$191:$AC$200,27,FALSE)*AJ524+I524+J524+K524,IF(AS524=4,('Calc (ex-animal)'!$G$99*'DB additional information '!$K$21/100+'Calc (ex-animal)'!$H$99*'DB additional information '!$L$21/100)*(1-VLOOKUP(D524,'DB technologies'!$N$252:$Y$264,9,FALSE)/100)*'Calc (ex-housing, ex-storage)'!F524/100*VLOOKUP(D524,'DB technologies'!$N$252:$Y$264,12,FALSE)/100/VLOOKUP($C$523,'DB animal categories'!$C$191:$AC$200,27,FALSE)*AJ524+I524+J524+K524,0))))))</f>
        <v/>
      </c>
      <c r="AV524" s="442" t="str">
        <f>IF(D524="","",IF(AS524=2,0,IF(AS524=1,'Calc (ex-animal)'!$G$99*(1-'DB additional information '!$K$21/100)*(1-VLOOKUP(D524,'DB technologies'!$N$252:$Y$264,8,FALSE)/100)*'Calc (ex-housing, ex-storage)'!F524/100/VLOOKUP($C$523,'DB animal categories'!$C$191:$AC$200,27,FALSE)*AJ524+M524+N524+O524,IF(AS524=5,('Calc (ex-animal)'!$G$99*(1-'DB additional information '!$K$21/100)+'Calc (ex-animal)'!$H$99*(1-'DB additional information '!$L$21/100))*(1-VLOOKUP(D524,'DB technologies'!$N$252:$Y$264,8,FALSE)/100)*'Calc (ex-housing, ex-storage)'!F524/100/VLOOKUP($C$523,'DB animal categories'!$C$191:$AC$200,27,FALSE)*AJ524+M524+N524+O524,IF(AS524=3,('Calc (ex-animal)'!$G$99*(1-'DB additional information '!$K$21/100)+'Calc (ex-animal)'!$H$99*(1-'DB additional information '!$L$21/100))*(1-VLOOKUP(D524,'DB technologies'!$N$252:$Y$264,8,FALSE)/100)*'Calc (ex-housing, ex-storage)'!F524/100/VLOOKUP($C$523,'DB animal categories'!$C$191:$AC$200,27,FALSE)*AJ524+M524+N524+O524,IF(AS524=4,('Calc (ex-animal)'!$G$99*(1-'DB additional information '!$K$21/100)+'Calc (ex-animal)'!$H$99*(1-'DB additional information '!$L$21/100))*(1-VLOOKUP(D524,'DB technologies'!$N$252:$Y$264,8,FALSE)/100)*'Calc (ex-housing, ex-storage)'!F524/100*VLOOKUP(D524,'DB technologies'!$N$252:$Y$264,12,FALSE)/100/VLOOKUP($C$523,'DB animal categories'!$C$191:$AC$200,27,FALSE)*AJ524+M524+N524+O524,0))))))</f>
        <v/>
      </c>
      <c r="AW524" s="442" t="str">
        <f>IF(AS524="","",IF(AU524=0,0,AU524/AT524*100))</f>
        <v/>
      </c>
      <c r="AX524" s="182" t="str">
        <f>IF(D524="","",IF(AS524=2,0,IF(AS524=1,'Calc (ex-animal)'!$K$99*'Calc (ex-housing, ex-storage)'!F524/100/VLOOKUP($C$523,'DB animal categories'!$C$191:$AC$200,27,FALSE)*AJ524+Q524+R524+S524,IF(AS524=5,('Calc (ex-animal)'!$K$99+'Calc (ex-animal)'!$L$99)*'Calc (ex-housing, ex-storage)'!F524/100/VLOOKUP($C$523,'DB animal categories'!$C$191:$AC$200,27,FALSE)*AJ524+Q524+R524+S524-'Calc (ex-housing, ex-storage)'!AC524,IF(AS524=3,('Calc (ex-animal)'!$K$99+'Calc (ex-animal)'!$L$99)*'Calc (ex-housing, ex-storage)'!F524/100/VLOOKUP($C$523,'DB animal categories'!$C$191:$AC$200,27,FALSE)*AJ524+Q524+R524+S524-'Calc (ex-housing, ex-storage)'!AC524-AD524-AE524,IF(AI524=4,('Calc (ex-animal)'!$K$99+'Calc (ex-animal)'!$L$99)*'Calc (ex-housing, ex-storage)'!F524/100*VLOOKUP(D524,'DB technologies'!$N$252:$Y$264,12,FALSE)/100/VLOOKUP($C$523,'DB animal categories'!$C$191:$AC$200,27,FALSE)*AJ524+Q524+R524+S524-(VLOOKUP(D524,'DB technologies'!$N$252:$Y$264,12,FALSE)/100*AC524)-AD524-AE524,0))))))</f>
        <v/>
      </c>
      <c r="AY524" s="182" t="str">
        <f>IF(D524="","",IF(AS524=2,0,IF(AS524=1,'Calc (ex-animal)'!$N$99*'Calc (ex-housing, ex-storage)'!F524/100/VLOOKUP($C$523,'DB animal categories'!$C$191:$AC$200,27,FALSE)*AJ524+U524+V524+W524,IF(AS524=5,('Calc (ex-animal)'!$N$99+'Calc (ex-animal)'!$O$99)*'Calc (ex-housing, ex-storage)'!F524/100/VLOOKUP($C$523,'DB animal categories'!$C$191:$AC$200,27,FALSE)*AJ524+U524+V524+W524,IF(AS524=3,('Calc (ex-animal)'!$N$99+'Calc (ex-animal)'!$O$99)*'Calc (ex-housing, ex-storage)'!F524/100/VLOOKUP($C$523,'DB animal categories'!$C$191:$AC$200,27,FALSE)*AJ524+U524+V524+W524,IF(AS524=4,('Calc (ex-animal)'!$N$99+'Calc (ex-animal)'!$O$99)*'Calc (ex-housing, ex-storage)'!F524/100*VLOOKUP(D524,'DB technologies'!$N$252:$Y$264,12,FALSE)/100/VLOOKUP($C$523,'DB animal categories'!$C$191:$AC$200,27,FALSE)*AJ524+U524+V524+W524,0))))))</f>
        <v/>
      </c>
      <c r="AZ524" s="182" t="str">
        <f>IF(D524="","",IF(AS524=2,0,IF(AS524=1,'Calc (ex-animal)'!$Q$99*'Calc (ex-housing, ex-storage)'!F524/100/VLOOKUP($C$523,'DB animal categories'!$C$191:$AC$200,27,FALSE)*AJ524+Y524+Z524+AA524,IF(AS524=5,('Calc (ex-animal)'!$Q$99+'Calc (ex-animal)'!$R$99)*'Calc (ex-housing, ex-storage)'!F524/100/VLOOKUP($C$523,'DB animal categories'!$C$191:$AC$200,27,FALSE)*AJ524+Y524+Z524+AA524,IF(AS524=3,('Calc (ex-animal)'!$Q$99+'Calc (ex-animal)'!$R$99)*'Calc (ex-housing, ex-storage)'!F524/100/VLOOKUP($C$523,'DB animal categories'!$C$191:$AC$200,27,FALSE)*AJ524+Y524+Z524+AA524,IF(AS524=4,('Calc (ex-animal)'!$Q$99+'Calc (ex-animal)'!$R$99)*'Calc (ex-housing, ex-storage)'!F524/100*VLOOKUP(D524,'DB technologies'!$N$252:$Y$264,12,FALSE)/100/VLOOKUP($C$523,'DB animal categories'!$C$191:$AC$200,27,FALSE)*AJ524+Y524+Z524+AA524,0))))))</f>
        <v/>
      </c>
      <c r="BA524" s="506"/>
      <c r="BB524" s="506"/>
      <c r="BC524" s="506"/>
    </row>
    <row r="525" spans="1:55" x14ac:dyDescent="0.2">
      <c r="A525" s="748"/>
      <c r="B525" s="695"/>
      <c r="C525" s="251"/>
      <c r="D525" s="1357"/>
      <c r="E525" s="1358"/>
      <c r="F525" s="480" t="str">
        <f>IF('Calc (ex-animal)'!$F$98=1,"",IF($C$523=0,"",IF(D525="","",E525/'Calc (ex-animal)'!$E$99*100)))</f>
        <v/>
      </c>
      <c r="G525" s="485" t="str">
        <f>IF($C$523=0,"",IF('Calc (ex-animal)'!$F$98=1,"",IF(D525="","",SUM(H525:O525))))</f>
        <v/>
      </c>
      <c r="H525" s="423" t="str">
        <f>IF('Calc (ex-animal)'!$F$98=1,"",IF(D525="","",(((VLOOKUP($C$523,'Calc (ex-animal)'!$D$98:$Y$102,6,FALSE)-VLOOKUP($C$523,'Calc (ex-animal)'!$D$98:$Y$102,17,FALSE))*F525/100))*VLOOKUP($C$523,'Calc (ex-animal)'!$D$98:$Y$102,7,FALSE)/100*(1-VLOOKUP(D525,'DB technologies'!$N$252:$Y$264,9,FALSE)/100)))</f>
        <v/>
      </c>
      <c r="I525" s="423" t="str">
        <f>IF(D525="","",((VLOOKUP(D525,'DB technologies'!$N$252:$Y$264,2,FALSE)*VLOOKUP($C$523,'DB animal categories'!$C$191:$AC$200,27,FALSE)*E525/1000)/VLOOKUP($C$523,'DB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'!$S$6/100*(1-VLOOKUP(D525,'DB technologies'!$N$252:$Y$264,9,FALSE)/100)))</f>
        <v/>
      </c>
      <c r="J525" s="434" t="str">
        <f>IF(D525="","",((VLOOKUP(D525,'DB technologies'!$N$252:$Y$264,3,FALSE)*VLOOKUP($C$523,'DB animal categories'!$C$191:$AC$200,27,FALSE)*E525/1000)/VLOOKUP($C$523,'DB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'!$S$7/100*(1-VLOOKUP(D525,'DB technologies'!$N$252:$Y$264,9,FALSE)/100)))</f>
        <v/>
      </c>
      <c r="K525" s="434" t="str">
        <f>IF(D525="","",((VLOOKUP(D525,'DB technologies'!$N$252:$Y$264,4,FALSE)*E525*'DB additional information '!$S$8/100*(1-VLOOKUP(D525,'DB technologies'!$N$252:$Y$264,9,FALSE)/100))/VLOOKUP($C$523,'DB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L525" s="423" t="str">
        <f>IF('Calc (ex-animal)'!$F$98=1,"",IF(D525="","",(((VLOOKUP($C$523,'Calc (ex-animal)'!$D$98:$Y$102,6,FALSE)-VLOOKUP($C$523,'Calc (ex-animal)'!$D$98:$Y$102,17,FALSE))*F525/100))*(1-VLOOKUP($C$523,'Calc (ex-animal)'!$D$98:$Y$102,7,FALSE)/100)*(1-VLOOKUP(D525,'DB technologies'!$N$252:$V$264,8,FALSE)/100)))</f>
        <v/>
      </c>
      <c r="M525" s="434" t="str">
        <f>IF(D525="","",((VLOOKUP(D525,'DB technologies'!$N$252:$Y$264,2,FALSE)*VLOOKUP($C$523,'DB animal categories'!$C$191:$AC$200,27,FALSE)*E525/1000)/VLOOKUP($C$523,'DB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'!$S$6/100)*(1-VLOOKUP(D525,'DB technologies'!$N$252:$Y$264,9,FALSE)/100))</f>
        <v/>
      </c>
      <c r="N525" s="434" t="str">
        <f>IF(D525="","",((VLOOKUP(D525,'DB technologies'!$N$252:$Y$264,3,FALSE)*VLOOKUP($C$523,'DB animal categories'!$C$191:$AC$200,27,FALSE)*E525/1000)/VLOOKUP($C$523,'DB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'!$S$7/100)*(1-VLOOKUP(D525,'DB technologies'!$N$252:$Y$264,9,FALSE)/100))</f>
        <v/>
      </c>
      <c r="O525" s="423" t="str">
        <f>IF(D525="","",((VLOOKUP(D525,'DB technologies'!$N$252:$Y$264,4,FALSE)*E525*(1-'DB additional information '!$S$8/100)*(1-VLOOKUP(D525,'DB technologies'!$N$252:$Y$264,8,FALSE)/100))/VLOOKUP($C$523,'DB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P525" s="438" t="str">
        <f>IF(G525=0,0,IF(E525="","",IF(F525="","",IF($C$523=0,"",IF(D525="","",SUM(H525:K525)/G525*100)))))</f>
        <v/>
      </c>
      <c r="Q525" s="416" t="str">
        <f>IF(D525="","",(VLOOKUP(D525,'DB technologies'!$N$252:$Y$264,2,FALSE)*'DB additional information '!$S$6/100*'DB additional information '!$T$6*VLOOKUP($C$523,'DB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R525" s="416" t="str">
        <f>IF(D525="","",(VLOOKUP(D525,'DB technologies'!$N$252:$Y$264,3,FALSE)*'DB additional information '!$S$7/100*'DB additional information '!$T$7*VLOOKUP($C$523,'DB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S525" s="491" t="str">
        <f>IF(D525="","",(VLOOKUP(D525,'DB technologies'!$N$252:$Y$264,4,FALSE)*('DB additional information '!$S$8/100*'DB additional information '!$T$8*E525/1000/1000)))</f>
        <v/>
      </c>
      <c r="T525" s="264" t="str">
        <f>IF($C$523=0,"",IF('Calc (ex-animal)'!$F$98=1,"",IF(D525="","",((VLOOKUP($C$523,'Calc (ex-animal)'!$D$98:$Y$102,10,FALSE)-VLOOKUP($C$523,'Calc (ex-animal)'!$D$98:$Y$102,18,FALSE))*F525/100+Q525+R525+S525)-AC525-AD525-AE525)))</f>
        <v/>
      </c>
      <c r="U525" s="422" t="str">
        <f>IF(D525="","",(VLOOKUP(D525,'DB technologies'!$N$252:$Y$264,2,FALSE)*'DB additional information '!$S$6/100*'DB additional information '!$U$6*VLOOKUP($C$523,'DB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V525" s="418" t="str">
        <f>IF(D525="","",(VLOOKUP(D525,'DB technologies'!$N$252:$Y$264,3,FALSE)*'DB additional information '!$S$7/100*'DB additional information '!$U$7*VLOOKUP($C$523,'DB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W525" s="417" t="str">
        <f>IF(D525="","",(VLOOKUP(D525,'DB technologies'!$N$252:$Y$264,4,FALSE)*('DB additional information '!$S$8/100*'DB additional information '!$U$8*E525/1000/1000)))</f>
        <v/>
      </c>
      <c r="X525" s="261" t="str">
        <f>IF($C$523=0,"",IF('Calc (ex-animal)'!$F$98=1,"",IF(D525="","",((VLOOKUP($C$523,'Calc (ex-animal)'!$D$98:$Y$102,13,FALSE)-VLOOKUP($C$523,'Calc (ex-animal)'!$D$98:$Y$102,19,FALSE))*F525/100+U525+V525+W525))))</f>
        <v/>
      </c>
      <c r="Y525" s="418" t="str">
        <f>IF(D525="","",(VLOOKUP(D525,'DB technologies'!$N$252:$Y$264,2,FALSE)*'DB additional information '!$S$6/100*'DB additional information '!$V$6*VLOOKUP($C$523,'DB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Z525" s="418" t="str">
        <f>IF(D525="","",(VLOOKUP(D525,'DB technologies'!$N$252:$Y$264,3,FALSE)*'DB additional information '!$S$7/100*'DB additional information '!$V$7*VLOOKUP($C$523,'DB animal categories'!$C$191:$AC$200,27,FALSE)*E525/1000/1000)/VLOOKUP($C$523,'DB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AA525" s="418" t="str">
        <f>IF(D525="","",(VLOOKUP(D525,'DB technologies'!$N$252:$Y$264,4,FALSE)*('DB additional information '!$S$8/100*'DB additional information '!$V$8*E525/1000/1000)))</f>
        <v/>
      </c>
      <c r="AB525" s="261" t="str">
        <f>IF($C$523=0,"",IF('Calc (ex-animal)'!$F$98=1,"",IF(D525="","",((VLOOKUP($C$523,'Calc (ex-animal)'!$D$98:$Y$102,16,FALSE)-VLOOKUP($C$523,'Calc (ex-animal)'!$D$98:$Y$102,20,FALSE))*F525/100+Y525+Z525+AA525))))</f>
        <v/>
      </c>
      <c r="AC525" s="261" t="str">
        <f>IF($C$523=0,"",IF('Calc (ex-animal)'!$F$98=1,"",IF(D525="","",VLOOKUP($C$523,'Calc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categories'!$C$191:$AC$200,26,FALSE)/24)*F525/100*VLOOKUP(D525,'DB technologies'!$N$252:$R$264,5,FALSE)/100)))</f>
        <v/>
      </c>
      <c r="AD525" s="261" t="str">
        <f>IF($C$523=0,"",IF('Calc (ex-animal)'!$F$98=1,"",IF(D525="","",VLOOKUP($C$523,'Calc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categories'!$C$191:$AC$200,26,FALSE)/24)*F525/100*VLOOKUP(D525,'DB technologies'!$N$252:$Y$264,6,FALSE)/100)))</f>
        <v/>
      </c>
      <c r="AE525" s="262" t="str">
        <f>IF($C$523=0,"",IF('Calc (ex-animal)'!$F$98=1,"",IF(D525="","",VLOOKUP($C$523,'Calc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categories'!$C$191:$AC$200,26,FALSE)/24)*F525/100*VLOOKUP(D525,'DB technologies'!$N$252:$Y$264,7,FALSE)/100)))</f>
        <v/>
      </c>
      <c r="AI525" s="181" t="str">
        <f>IF(D525="","",VLOOKUP(D525,'DB technologies'!$N$252:$Y$264,10,FALSE))</f>
        <v/>
      </c>
      <c r="AJ525" s="449" t="e">
        <f>VLOOKUP($C$523,'DB animal categories'!$C$191:$AN$200,27,FALSE)-VLOOKUP($C$523,'DB animal categories'!$C$191:$AN$200,26,FALSE)*VLOOKUP($C$523,'DB animal categories'!$C$191:$AN$200,25,FALSE)/24</f>
        <v>#N/A</v>
      </c>
      <c r="AK525" s="442" t="str">
        <f>IF(AI525="","",AL525+AM525)</f>
        <v/>
      </c>
      <c r="AL525" s="442" t="str">
        <f>IF(D525="","",IF(AI525=2,(('Calc (ex-animal)'!$G$99*'DB additional information '!$K$21/100*(1-VLOOKUP(D525,'DB technologies'!$N$252:$Y$264,9,FALSE)/100)*'Calc (ex-housing, ex-storage)'!F525/100+'Calc (ex-animal)'!$H$99*'DB additional information '!$L$21/100*(1-VLOOKUP(D525,'DB technologies'!$N$252:$Y$264,9,FALSE)/100)*'Calc (ex-housing, ex-storage)'!F525/100))/VLOOKUP($C$523,'DB animal categories'!$C$191:$AC$200,27,FALSE)*AJ525+I525+J525+K525,IF(AI525=1,('Calc (ex-animal)'!$H$99*'DB additional information '!$L$21/100*(1-VLOOKUP(D525,'DB technologies'!$N$252:$Y$264,9,FALSE)/100)*'Calc (ex-housing, ex-storage)'!F525/100)/VLOOKUP($C$523,'DB animal categories'!$C$191:$AC$200,27,FALSE)*AJ525,IF(AI525=4,('Calc (ex-animal)'!$G$99*'DB additional information '!$K$21/100+'Calc (ex-animal)'!$H$99*'DB additional information '!$L$21/100)*(1-VLOOKUP(D525,'DB technologies'!$N$252:$Y$264,9,FALSE)/100)*'Calc (ex-housing, ex-storage)'!F525/100*VLOOKUP(D525,'DB technologies'!$N$252:$Y$264,11,FALSE)/100/VLOOKUP($C$523,'DB animal categories'!$C$191:$AC$200,27,FALSE)*AJ525,0))))</f>
        <v/>
      </c>
      <c r="AM525" s="442" t="str">
        <f>IF(D525="","",IF(AI525=2,(('Calc (ex-animal)'!$G$99*(1-'DB additional information '!$K$21/100)*(1-VLOOKUP(D525,'DB technologies'!$N$252:$Y$264,8,FALSE)/100)*'Calc (ex-housing, ex-storage)'!F525/100+'Calc (ex-animal)'!$H$99*(1-'DB additional information '!$L$21/100)*(1-VLOOKUP(D525,'DB technologies'!$N$252:$Y$264,8,FALSE)/100)*'Calc (ex-housing, ex-storage)'!F525/100))/VLOOKUP($C$523,'DB animal categories'!$C$191:$AC$200,27,FALSE)*AJ525+M525+N525+O525,IF(AI525=1,('Calc (ex-animal)'!$H$99*(1-'DB additional information '!$L$21/100)*(1-VLOOKUP(D525,'DB technologies'!$N$252:$Y$264,8,FALSE)/100)*'Calc (ex-housing, ex-storage)'!F525/100)/VLOOKUP($C$523,'DB animal categories'!$C$191:$AC$200,27,FALSE)*AJ525,IF(AI525=4,('Calc (ex-animal)'!$G$99*(1-'DB additional information '!$K$21/100)+'Calc (ex-animal)'!$H$99*(1-'DB additional information '!$L$21/100))*(1-VLOOKUP(D525,'DB technologies'!$N$252:$Y$264,8,FALSE)/100)*'Calc (ex-housing, ex-storage)'!F525/100*VLOOKUP(D525,'DB technologies'!$N$252:$Y$264,11,FALSE)/100/VLOOKUP($C$523,'DB animal categories'!$C$191:$AC$200,27,FALSE)*AJ525,0))))</f>
        <v/>
      </c>
      <c r="AN525" s="442" t="str">
        <f>IF(AI525="","",IF(AL525=0,0,AL525/AK525*100))</f>
        <v/>
      </c>
      <c r="AO525" s="182" t="str">
        <f>IF(D525="","",IF(AI525=2,(('Calc (ex-animal)'!$L$99*'Calc (ex-housing, ex-storage)'!F525/100+'Calc (ex-animal)'!$K$99*'Calc (ex-housing, ex-storage)'!F525/100))/VLOOKUP($C$523,'DB animal categories'!$C$191:$AC$200,27,FALSE)*AJ525+Q525+R525+S525-AC525,IF(AI525=1,('Calc (ex-animal)'!$L$99*'Calc (ex-housing, ex-storage)'!F525/100)/VLOOKUP($C$523,'DB animal categories'!$C$191:$AC$200,27,FALSE)*AJ525-'Calc (ex-housing, ex-storage)'!AC525,IF(AI525=4,('Calc (ex-animal)'!$L$99+'Calc (ex-animal)'!$K$99)*'Calc (ex-housing, ex-storage)'!F525/100*VLOOKUP(D525,'DB technologies'!$N$252:$Y$264,11,FALSE)/100/VLOOKUP($C$523,'DB animal categories'!$C$191:$AC$200,27,FALSE)*AJ525-AC525*VLOOKUP(D525,'DB technologies'!$N$252:$Y$264,11,FALSE)/100,0))))</f>
        <v/>
      </c>
      <c r="AP525" s="182" t="str">
        <f>IF(D525="","",IF(AO525&lt;-0.01,0,IF(AI525=2,(('Calc (ex-animal)'!$L$99*'Calc (ex-housing, ex-storage)'!F525/100+'Calc (ex-animal)'!$K$99*'Calc (ex-housing, ex-storage)'!F525/100))/VLOOKUP($C$523,'DB animal categories'!$C$191:$AC$200,27,FALSE)*AJ525+Q525+R525+S525-AC525,IF(AI525=1,('Calc (ex-animal)'!$L$99*'Calc (ex-housing, ex-storage)'!F525/100)/VLOOKUP($C$523,'DB animal categories'!$C$191:$AC$200,27,FALSE)*AJ525-'Calc (ex-housing, ex-storage)'!AC525,IF(AI525=4,('Calc (ex-animal)'!$L$99+'Calc (ex-animal)'!$K$99)*'Calc (ex-housing, ex-storage)'!F525/100*VLOOKUP(D525,'DB technologies'!$N$252:$Y$264,11,FALSE)/100/VLOOKUP($C$523,'DB animal categories'!$C$191:$AC$200,27,FALSE)*AJ525-AC525*VLOOKUP(D525,'DB technologies'!$N$252:$Y$264,11,FALSE)/100,0)))))</f>
        <v/>
      </c>
      <c r="AQ525" s="182" t="str">
        <f>IF(D525="","",IF(AI525=2,('Calc (ex-animal)'!$O$99*'Calc (ex-housing, ex-storage)'!F525/100+'Calc (ex-animal)'!$N$99*'Calc (ex-housing, ex-storage)'!F525/100)/VLOOKUP($C$523,'DB animal categories'!$C$191:$AC$200,27,FALSE)*AJ525+U525+V525+W525,IF(AI525=1,'Calc (ex-animal)'!$O$99*'Calc (ex-housing, ex-storage)'!F525/100/VLOOKUP($C$523,'DB animal categories'!$C$191:$AC$200,27,FALSE)*AJ525,IF(AI525=4,('Calc (ex-animal)'!$O$99+'Calc (ex-animal)'!$N$99)*'Calc (ex-housing, ex-storage)'!F525/100*VLOOKUP(D525,'DB technologies'!$N$252:$Y$264,11,FALSE)/100/VLOOKUP($C$523,'DB animal categories'!$C$191:$AC$200,27,FALSE)*AJ525,0))))</f>
        <v/>
      </c>
      <c r="AR525" s="182" t="str">
        <f>IF(D525="","",IF(AI525=2,('Calc (ex-animal)'!$R$99*'Calc (ex-housing, ex-storage)'!F525/100+'Calc (ex-animal)'!$Q$99*'Calc (ex-housing, ex-storage)'!F525/100)/VLOOKUP($C$523,'DB animal categories'!$C$191:$AC$200,27,FALSE)*AJ525+Y525+Z525+AA525,IF(AI525=1,'Calc (ex-animal)'!$R$99*'Calc (ex-housing, ex-storage)'!F525/100/VLOOKUP($C$523,'DB animal categories'!$C$191:$AC$200,27,FALSE)*AJ525,IF(AI525=4,('Calc (ex-animal)'!$R$99+'Calc (ex-animal)'!$Q$99)*'Calc (ex-housing, ex-storage)'!F525/100*VLOOKUP(D525,'DB technologies'!$N$252:$Y$264,11,FALSE)/100/VLOOKUP($C$523,'DB animal categories'!$C$191:$AC$200,27,FALSE)*AJ525,0))))</f>
        <v/>
      </c>
      <c r="AS525" s="181" t="str">
        <f>IF(D525="","",VLOOKUP(D525,'DB technologies'!$N$252:$Y$264,10,FALSE))</f>
        <v/>
      </c>
      <c r="AT525" s="442" t="str">
        <f>IF(AS525="","",AU525+AV525)</f>
        <v/>
      </c>
      <c r="AU525" s="442" t="str">
        <f>IF(D525="","",IF(AS525=2,0,IF(AS525=1,'Calc (ex-animal)'!$G$99*'DB additional information '!$K$21/100*(1-VLOOKUP(D525,'DB technologies'!$N$252:$Y$264,8,FALSE)/100)*'Calc (ex-housing, ex-storage)'!F525/100/VLOOKUP($C$523,'DB animal categories'!$C$191:$AC$200,27,FALSE)*AJ525+I525+J525+K525,IF(AS525=5,(('Calc (ex-animal)'!$G$99*'DB additional information '!$K$21/100+'Calc (ex-animal)'!$H$99*'DB additional information '!$L$21/100))*(1-VLOOKUP(D525,'DB technologies'!$N$252:$Y$264,9,FALSE)/100)*'Calc (ex-housing, ex-storage)'!F525/100/VLOOKUP($C$523,'DB animal categories'!$C$191:$AC$200,27,FALSE)*AJ525+I525+J525+K525,IF(AS525=3,('Calc (ex-animal)'!$G$99*'DB additional information '!$K$21/100+'Calc (ex-animal)'!$H$99*'DB additional information '!$L$21/100)*(1-VLOOKUP(D525,'DB technologies'!$N$252:$Y$264,9,FALSE)/100)*'Calc (ex-housing, ex-storage)'!F525/100/VLOOKUP($C$523,'DB animal categories'!$C$191:$AC$200,27,FALSE)*AJ525+I525+J525+K525,IF(AS525=4,('Calc (ex-animal)'!$G$99*'DB additional information '!$K$21/100+'Calc (ex-animal)'!$H$99*'DB additional information '!$L$21/100)*(1-VLOOKUP(D525,'DB technologies'!$N$252:$Y$264,9,FALSE)/100)*'Calc (ex-housing, ex-storage)'!F525/100*VLOOKUP(D525,'DB technologies'!$N$252:$Y$264,12,FALSE)/100/VLOOKUP($C$523,'DB animal categories'!$C$191:$AC$200,27,FALSE)*AJ525+I525+J525+K525,0))))))</f>
        <v/>
      </c>
      <c r="AV525" s="442" t="str">
        <f>IF(D525="","",IF(AS525=2,0,IF(AS525=1,'Calc (ex-animal)'!$G$99*(1-'DB additional information '!$K$21/100)*(1-VLOOKUP(D525,'DB technologies'!$N$252:$Y$264,8,FALSE)/100)*'Calc (ex-housing, ex-storage)'!F525/100/VLOOKUP($C$523,'DB animal categories'!$C$191:$AC$200,27,FALSE)*AJ525+M525+N525+O525,IF(AS525=5,('Calc (ex-animal)'!$G$99*(1-'DB additional information '!$K$21/100)+'Calc (ex-animal)'!$H$99*(1-'DB additional information '!$L$21/100))*(1-VLOOKUP(D525,'DB technologies'!$N$252:$Y$264,8,FALSE)/100)*'Calc (ex-housing, ex-storage)'!F525/100/VLOOKUP($C$523,'DB animal categories'!$C$191:$AC$200,27,FALSE)*AJ525+M525+N525+O525,IF(AS525=3,('Calc (ex-animal)'!$G$99*(1-'DB additional information '!$K$21/100)+'Calc (ex-animal)'!$H$99*(1-'DB additional information '!$L$21/100))*(1-VLOOKUP(D525,'DB technologies'!$N$252:$Y$264,8,FALSE)/100)*'Calc (ex-housing, ex-storage)'!F525/100/VLOOKUP($C$523,'DB animal categories'!$C$191:$AC$200,27,FALSE)*AJ525+M525+N525+O525,IF(AS525=4,('Calc (ex-animal)'!$G$99*(1-'DB additional information '!$K$21/100)+'Calc (ex-animal)'!$H$99*(1-'DB additional information '!$L$21/100))*(1-VLOOKUP(D525,'DB technologies'!$N$252:$Y$264,8,FALSE)/100)*'Calc (ex-housing, ex-storage)'!F525/100*VLOOKUP(D525,'DB technologies'!$N$252:$Y$264,12,FALSE)/100/VLOOKUP($C$523,'DB animal categories'!$C$191:$AC$200,27,FALSE)*AJ525+M525+N525+O525,0))))))</f>
        <v/>
      </c>
      <c r="AW525" s="442" t="str">
        <f>IF(AS525="","",IF(AU525=0,0,AU525/AT525*100))</f>
        <v/>
      </c>
      <c r="AX525" s="182" t="str">
        <f>IF(D525="","",IF(AS525=2,0,IF(AS525=1,'Calc (ex-animal)'!$K$99*'Calc (ex-housing, ex-storage)'!F525/100/VLOOKUP($C$523,'DB animal categories'!$C$191:$AC$200,27,FALSE)*AJ525+Q525+R525+S525,IF(AS525=5,('Calc (ex-animal)'!$K$99+'Calc (ex-animal)'!$L$99)*'Calc (ex-housing, ex-storage)'!F525/100/VLOOKUP($C$523,'DB animal categories'!$C$191:$AC$200,27,FALSE)*AJ525+Q525+R525+S525-'Calc (ex-housing, ex-storage)'!AC525,IF(AS525=3,('Calc (ex-animal)'!$K$99+'Calc (ex-animal)'!$L$99)*'Calc (ex-housing, ex-storage)'!F525/100/VLOOKUP($C$523,'DB animal categories'!$C$191:$AC$200,27,FALSE)*AJ525+Q525+R525+S525-'Calc (ex-housing, ex-storage)'!AC525-AD525-AE525,IF(AI525=4,('Calc (ex-animal)'!$K$99+'Calc (ex-animal)'!$L$99)*'Calc (ex-housing, ex-storage)'!F525/100*VLOOKUP(D525,'DB technologies'!$N$252:$Y$264,12,FALSE)/100/VLOOKUP($C$523,'DB animal categories'!$C$191:$AC$200,27,FALSE)*AJ525+Q525+R525+S525-(VLOOKUP(D525,'DB technologies'!$N$252:$Y$264,12,FALSE)/100*AC525)-AD525-AE525,0))))))</f>
        <v/>
      </c>
      <c r="AY525" s="182" t="str">
        <f>IF(D525="","",IF(AS525=2,0,IF(AS525=1,'Calc (ex-animal)'!$N$99*'Calc (ex-housing, ex-storage)'!F525/100/VLOOKUP($C$523,'DB animal categories'!$C$191:$AC$200,27,FALSE)*AJ525+U525+V525+W525,IF(AS525=5,('Calc (ex-animal)'!$N$99+'Calc (ex-animal)'!$O$99)*'Calc (ex-housing, ex-storage)'!F525/100/VLOOKUP($C$523,'DB animal categories'!$C$191:$AC$200,27,FALSE)*AJ525+U525+V525+W525,IF(AS525=3,('Calc (ex-animal)'!$N$99+'Calc (ex-animal)'!$O$99)*'Calc (ex-housing, ex-storage)'!F525/100/VLOOKUP($C$523,'DB animal categories'!$C$191:$AC$200,27,FALSE)*AJ525+U525+V525+W525,IF(AS525=4,('Calc (ex-animal)'!$N$99+'Calc (ex-animal)'!$O$99)*'Calc (ex-housing, ex-storage)'!F525/100*VLOOKUP(D525,'DB technologies'!$N$252:$Y$264,12,FALSE)/100/VLOOKUP($C$523,'DB animal categories'!$C$191:$AC$200,27,FALSE)*AJ525+U525+V525+W525,0))))))</f>
        <v/>
      </c>
      <c r="AZ525" s="182" t="str">
        <f>IF(D525="","",IF(AS525=2,0,IF(AS525=1,'Calc (ex-animal)'!$Q$99*'Calc (ex-housing, ex-storage)'!F525/100/VLOOKUP($C$523,'DB animal categories'!$C$191:$AC$200,27,FALSE)*AJ525+Y525+Z525+AA525,IF(AS525=5,('Calc (ex-animal)'!$Q$99+'Calc (ex-animal)'!$R$99)*'Calc (ex-housing, ex-storage)'!F525/100/VLOOKUP($C$523,'DB animal categories'!$C$191:$AC$200,27,FALSE)*AJ525+Y525+Z525+AA525,IF(AS525=3,('Calc (ex-animal)'!$Q$99+'Calc (ex-animal)'!$R$99)*'Calc (ex-housing, ex-storage)'!F525/100/VLOOKUP($C$523,'DB animal categories'!$C$191:$AC$200,27,FALSE)*AJ525+Y525+Z525+AA525,IF(AS525=4,('Calc (ex-animal)'!$Q$99+'Calc (ex-animal)'!$R$99)*'Calc (ex-housing, ex-storage)'!F525/100*VLOOKUP(D525,'DB technologies'!$N$252:$Y$264,12,FALSE)/100/VLOOKUP($C$523,'DB animal categories'!$C$191:$AC$200,27,FALSE)*AJ525+Y525+Z525+AA525,0))))))</f>
        <v/>
      </c>
      <c r="BA525" s="506"/>
      <c r="BB525" s="506"/>
      <c r="BC525" s="506"/>
    </row>
    <row r="526" spans="1:55" x14ac:dyDescent="0.2">
      <c r="A526" s="748"/>
      <c r="B526" s="695"/>
      <c r="C526" s="251"/>
      <c r="D526" s="1357"/>
      <c r="E526" s="1358"/>
      <c r="F526" s="480" t="str">
        <f>IF('Calc (ex-animal)'!$F$98=1,"",IF($C$523=0,"",IF(D526="","",E526/'Calc (ex-animal)'!$E$99*100)))</f>
        <v/>
      </c>
      <c r="G526" s="485" t="str">
        <f>IF($C$523=0,"",IF('Calc (ex-animal)'!$F$98=1,"",IF(D526="","",SUM(H526:O526))))</f>
        <v/>
      </c>
      <c r="H526" s="423" t="str">
        <f>IF('Calc (ex-animal)'!$F$98=1,"",IF(D526="","",(((VLOOKUP($C$523,'Calc (ex-animal)'!$D$98:$Y$102,6,FALSE)-VLOOKUP($C$523,'Calc (ex-animal)'!$D$98:$Y$102,17,FALSE))*F526/100))*VLOOKUP($C$523,'Calc (ex-animal)'!$D$98:$Y$102,7,FALSE)/100*(1-VLOOKUP(D526,'DB technologies'!$N$252:$Y$264,9,FALSE)/100)))</f>
        <v/>
      </c>
      <c r="I526" s="423" t="str">
        <f>IF(D526="","",((VLOOKUP(D526,'DB technologies'!$N$252:$Y$264,2,FALSE)*VLOOKUP($C$523,'DB animal categories'!$C$191:$AC$200,27,FALSE)*E526/1000)/VLOOKUP($C$523,'DB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'!$S$6/100*(1-VLOOKUP(D526,'DB technologies'!$N$252:$Y$264,9,FALSE)/100)))</f>
        <v/>
      </c>
      <c r="J526" s="434" t="str">
        <f>IF(D526="","",((VLOOKUP(D526,'DB technologies'!$N$252:$Y$264,3,FALSE)*VLOOKUP($C$523,'DB animal categories'!$C$191:$AC$200,27,FALSE)*E526/1000)/VLOOKUP($C$523,'DB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'!$S$7/100*(1-VLOOKUP(D526,'DB technologies'!$N$252:$Y$264,9,FALSE)/100)))</f>
        <v/>
      </c>
      <c r="K526" s="434" t="str">
        <f>IF(D526="","",((VLOOKUP(D526,'DB technologies'!$N$252:$Y$264,4,FALSE)*E526*'DB additional information '!$S$8/100*(1-VLOOKUP(D526,'DB technologies'!$N$252:$Y$264,9,FALSE)/100))/VLOOKUP($C$523,'DB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L526" s="423" t="str">
        <f>IF('Calc (ex-animal)'!$F$98=1,"",IF(D526="","",(((VLOOKUP($C$523,'Calc (ex-animal)'!$D$98:$Y$102,6,FALSE)-VLOOKUP($C$523,'Calc (ex-animal)'!$D$98:$Y$102,17,FALSE))*F526/100))*(1-VLOOKUP($C$523,'Calc (ex-animal)'!$D$98:$Y$102,7,FALSE)/100)*(1-VLOOKUP(D526,'DB technologies'!$N$252:$V$264,8,FALSE)/100)))</f>
        <v/>
      </c>
      <c r="M526" s="434" t="str">
        <f>IF(D526="","",((VLOOKUP(D526,'DB technologies'!$N$252:$Y$264,2,FALSE)*VLOOKUP($C$523,'DB animal categories'!$C$191:$AC$200,27,FALSE)*E526/1000)/VLOOKUP($C$523,'DB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'!$S$6/100)*(1-VLOOKUP(D526,'DB technologies'!$N$252:$Y$264,9,FALSE)/100))</f>
        <v/>
      </c>
      <c r="N526" s="434" t="str">
        <f>IF(D526="","",((VLOOKUP(D526,'DB technologies'!$N$252:$Y$264,3,FALSE)*VLOOKUP($C$523,'DB animal categories'!$C$191:$AC$200,27,FALSE)*E526/1000)/VLOOKUP($C$523,'DB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'!$S$7/100)*(1-VLOOKUP(D526,'DB technologies'!$N$252:$Y$264,9,FALSE)/100))</f>
        <v/>
      </c>
      <c r="O526" s="423" t="str">
        <f>IF(D526="","",((VLOOKUP(D526,'DB technologies'!$N$252:$Y$264,4,FALSE)*E526*(1-'DB additional information '!$S$8/100)*(1-VLOOKUP(D526,'DB technologies'!$N$252:$Y$264,8,FALSE)/100))/VLOOKUP($C$523,'DB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P526" s="438" t="str">
        <f>IF(G526=0,0,IF(E526="","",IF(F526="","",IF($C$523=0,"",IF(D526="","",SUM(H526:K526)/G526*100)))))</f>
        <v/>
      </c>
      <c r="Q526" s="416" t="str">
        <f>IF(D526="","",(VLOOKUP(D526,'DB technologies'!$N$252:$Y$264,2,FALSE)*'DB additional information '!$S$6/100*'DB additional information '!$T$6*VLOOKUP($C$523,'DB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R526" s="416" t="str">
        <f>IF(D526="","",(VLOOKUP(D526,'DB technologies'!$N$252:$Y$264,3,FALSE)*'DB additional information '!$S$7/100*'DB additional information '!$T$7*VLOOKUP($C$523,'DB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S526" s="491" t="str">
        <f>IF(D526="","",(VLOOKUP(D526,'DB technologies'!$N$252:$Y$264,4,FALSE)*('DB additional information '!$S$8/100*'DB additional information '!$T$8*E526/1000/1000)))</f>
        <v/>
      </c>
      <c r="T526" s="264" t="str">
        <f>IF($C$523=0,"",IF('Calc (ex-animal)'!$F$98=1,"",IF(D526="","",((VLOOKUP($C$523,'Calc (ex-animal)'!$D$98:$Y$102,10,FALSE)-VLOOKUP($C$523,'Calc (ex-animal)'!$D$98:$Y$102,18,FALSE))*F526/100+Q526+R526+S526)-AC526-AD526-AE526)))</f>
        <v/>
      </c>
      <c r="U526" s="422" t="str">
        <f>IF(D526="","",(VLOOKUP(D526,'DB technologies'!$N$252:$Y$264,2,FALSE)*'DB additional information '!$S$6/100*'DB additional information '!$U$6*VLOOKUP($C$523,'DB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V526" s="418" t="str">
        <f>IF(D526="","",(VLOOKUP(D526,'DB technologies'!$N$252:$Y$264,3,FALSE)*'DB additional information '!$S$7/100*'DB additional information '!$U$7*VLOOKUP($C$523,'DB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W526" s="417" t="str">
        <f>IF(D526="","",(VLOOKUP(D526,'DB technologies'!$N$252:$Y$264,4,FALSE)*('DB additional information '!$S$8/100*'DB additional information '!$U$8*E526/1000/1000)))</f>
        <v/>
      </c>
      <c r="X526" s="261" t="str">
        <f>IF($C$523=0,"",IF('Calc (ex-animal)'!$F$98=1,"",IF(D526="","",((VLOOKUP($C$523,'Calc (ex-animal)'!$D$98:$Y$102,13,FALSE)-VLOOKUP($C$523,'Calc (ex-animal)'!$D$98:$Y$102,19,FALSE))*F526/100+U526+V526+W526))))</f>
        <v/>
      </c>
      <c r="Y526" s="418" t="str">
        <f>IF(D526="","",(VLOOKUP(D526,'DB technologies'!$N$252:$Y$264,2,FALSE)*'DB additional information '!$S$6/100*'DB additional information '!$V$6*VLOOKUP($C$523,'DB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Z526" s="418" t="str">
        <f>IF(D526="","",(VLOOKUP(D526,'DB technologies'!$N$252:$Y$264,3,FALSE)*'DB additional information '!$S$7/100*'DB additional information '!$V$7*VLOOKUP($C$523,'DB animal categories'!$C$191:$AC$200,27,FALSE)*E526/1000/1000)/VLOOKUP($C$523,'DB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AA526" s="418" t="str">
        <f>IF(D526="","",(VLOOKUP(D526,'DB technologies'!$N$252:$Y$264,4,FALSE)*('DB additional information '!$S$8/100*'DB additional information '!$V$8*E526/1000/1000)))</f>
        <v/>
      </c>
      <c r="AB526" s="261" t="str">
        <f>IF($C$523=0,"",IF('Calc (ex-animal)'!$F$98=1,"",IF(D526="","",((VLOOKUP($C$523,'Calc (ex-animal)'!$D$98:$Y$102,16,FALSE)-VLOOKUP($C$523,'Calc (ex-animal)'!$D$98:$Y$102,20,FALSE))*F526/100+Y526+Z526+AA526))))</f>
        <v/>
      </c>
      <c r="AC526" s="261" t="str">
        <f>IF($C$523=0,"",IF('Calc (ex-animal)'!$F$98=1,"",IF(D526="","",VLOOKUP($C$523,'Calc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categories'!$C$191:$AC$200,26,FALSE)/24)*F526/100*VLOOKUP(D526,'DB technologies'!$N$252:$R$264,5,FALSE)/100)))</f>
        <v/>
      </c>
      <c r="AD526" s="261" t="str">
        <f>IF($C$523=0,"",IF('Calc (ex-animal)'!$F$98=1,"",IF(D526="","",VLOOKUP($C$523,'Calc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categories'!$C$191:$AC$200,26,FALSE)/24)*F526/100*VLOOKUP(D526,'DB technologies'!$N$252:$Y$264,6,FALSE)/100)))</f>
        <v/>
      </c>
      <c r="AE526" s="262" t="str">
        <f>IF($C$523=0,"",IF('Calc (ex-animal)'!$F$98=1,"",IF(D526="","",VLOOKUP($C$523,'Calc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categories'!$C$191:$AC$200,26,FALSE)/24)*F526/100*VLOOKUP(D526,'DB technologies'!$N$252:$Y$264,7,FALSE)/100)))</f>
        <v/>
      </c>
      <c r="AI526" s="181" t="str">
        <f>IF(D526="","",VLOOKUP(D526,'DB technologies'!$N$252:$Y$264,10,FALSE))</f>
        <v/>
      </c>
      <c r="AJ526" s="449" t="e">
        <f>VLOOKUP($C$523,'DB animal categories'!$C$191:$AN$200,27,FALSE)-VLOOKUP($C$523,'DB animal categories'!$C$191:$AN$200,26,FALSE)*VLOOKUP($C$523,'DB animal categories'!$C$191:$AN$200,25,FALSE)/24</f>
        <v>#N/A</v>
      </c>
      <c r="AK526" s="442" t="str">
        <f>IF(AI526="","",AL526+AM526)</f>
        <v/>
      </c>
      <c r="AL526" s="442" t="str">
        <f>IF(D526="","",IF(AI526=2,(('Calc (ex-animal)'!$G$99*'DB additional information '!$K$21/100*(1-VLOOKUP(D526,'DB technologies'!$N$252:$Y$264,9,FALSE)/100)*'Calc (ex-housing, ex-storage)'!F526/100+'Calc (ex-animal)'!$H$99*'DB additional information '!$L$21/100*(1-VLOOKUP(D526,'DB technologies'!$N$252:$Y$264,9,FALSE)/100)*'Calc (ex-housing, ex-storage)'!F526/100))/VLOOKUP($C$523,'DB animal categories'!$C$191:$AC$200,27,FALSE)*AJ526+I526+J526+K526,IF(AI526=1,('Calc (ex-animal)'!$H$99*'DB additional information '!$L$21/100*(1-VLOOKUP(D526,'DB technologies'!$N$252:$Y$264,9,FALSE)/100)*'Calc (ex-housing, ex-storage)'!F526/100)/VLOOKUP($C$523,'DB animal categories'!$C$191:$AC$200,27,FALSE)*AJ526,IF(AI526=4,('Calc (ex-animal)'!$G$99*'DB additional information '!$K$21/100+'Calc (ex-animal)'!$H$99*'DB additional information '!$L$21/100)*(1-VLOOKUP(D526,'DB technologies'!$N$252:$Y$264,9,FALSE)/100)*'Calc (ex-housing, ex-storage)'!F526/100*VLOOKUP(D526,'DB technologies'!$N$252:$Y$264,11,FALSE)/100/VLOOKUP($C$523,'DB animal categories'!$C$191:$AC$200,27,FALSE)*AJ526,0))))</f>
        <v/>
      </c>
      <c r="AM526" s="442" t="str">
        <f>IF(D526="","",IF(AI526=2,(('Calc (ex-animal)'!$G$99*(1-'DB additional information '!$K$21/100)*(1-VLOOKUP(D526,'DB technologies'!$N$252:$Y$264,8,FALSE)/100)*'Calc (ex-housing, ex-storage)'!F526/100+'Calc (ex-animal)'!$H$99*(1-'DB additional information '!$L$21/100)*(1-VLOOKUP(D526,'DB technologies'!$N$252:$Y$264,8,FALSE)/100)*'Calc (ex-housing, ex-storage)'!F526/100))/VLOOKUP($C$523,'DB animal categories'!$C$191:$AC$200,27,FALSE)*AJ526+M526+N526+O526,IF(AI526=1,('Calc (ex-animal)'!$H$99*(1-'DB additional information '!$L$21/100)*(1-VLOOKUP(D526,'DB technologies'!$N$252:$Y$264,8,FALSE)/100)*'Calc (ex-housing, ex-storage)'!F526/100)/VLOOKUP($C$523,'DB animal categories'!$C$191:$AC$200,27,FALSE)*AJ526,IF(AI526=4,('Calc (ex-animal)'!$G$99*(1-'DB additional information '!$K$21/100)+'Calc (ex-animal)'!$H$99*(1-'DB additional information '!$L$21/100))*(1-VLOOKUP(D526,'DB technologies'!$N$252:$Y$264,8,FALSE)/100)*'Calc (ex-housing, ex-storage)'!F526/100*VLOOKUP(D526,'DB technologies'!$N$252:$Y$264,11,FALSE)/100/VLOOKUP($C$523,'DB animal categories'!$C$191:$AC$200,27,FALSE)*AJ526,0))))</f>
        <v/>
      </c>
      <c r="AN526" s="442" t="str">
        <f>IF(AI526="","",IF(AL526=0,0,AL526/AK526*100))</f>
        <v/>
      </c>
      <c r="AO526" s="182" t="str">
        <f>IF(D526="","",IF(AI526=2,(('Calc (ex-animal)'!$L$99*'Calc (ex-housing, ex-storage)'!F526/100+'Calc (ex-animal)'!$K$99*'Calc (ex-housing, ex-storage)'!F526/100))/VLOOKUP($C$523,'DB animal categories'!$C$191:$AC$200,27,FALSE)*AJ526+Q526+R526+S526-AC526,IF(AI526=1,('Calc (ex-animal)'!$L$99*'Calc (ex-housing, ex-storage)'!F526/100)/VLOOKUP($C$523,'DB animal categories'!$C$191:$AC$200,27,FALSE)*AJ526-'Calc (ex-housing, ex-storage)'!AC526,IF(AI526=4,('Calc (ex-animal)'!$L$99+'Calc (ex-animal)'!$K$99)*'Calc (ex-housing, ex-storage)'!F526/100*VLOOKUP(D526,'DB technologies'!$N$252:$Y$264,11,FALSE)/100/VLOOKUP($C$523,'DB animal categories'!$C$191:$AC$200,27,FALSE)*AJ526-AC526*VLOOKUP(D526,'DB technologies'!$N$252:$Y$264,11,FALSE)/100,0))))</f>
        <v/>
      </c>
      <c r="AP526" s="182" t="str">
        <f>IF(D526="","",IF(AO526&lt;-0.01,0,IF(AI526=2,(('Calc (ex-animal)'!$L$99*'Calc (ex-housing, ex-storage)'!F526/100+'Calc (ex-animal)'!$K$99*'Calc (ex-housing, ex-storage)'!F526/100))/VLOOKUP($C$523,'DB animal categories'!$C$191:$AC$200,27,FALSE)*AJ526+Q526+R526+S526-AC526,IF(AI526=1,('Calc (ex-animal)'!$L$99*'Calc (ex-housing, ex-storage)'!F526/100)/VLOOKUP($C$523,'DB animal categories'!$C$191:$AC$200,27,FALSE)*AJ526-'Calc (ex-housing, ex-storage)'!AC526,IF(AI526=4,('Calc (ex-animal)'!$L$99+'Calc (ex-animal)'!$K$99)*'Calc (ex-housing, ex-storage)'!F526/100*VLOOKUP(D526,'DB technologies'!$N$252:$Y$264,11,FALSE)/100/VLOOKUP($C$523,'DB animal categories'!$C$191:$AC$200,27,FALSE)*AJ526-AC526*VLOOKUP(D526,'DB technologies'!$N$252:$Y$264,11,FALSE)/100,0)))))</f>
        <v/>
      </c>
      <c r="AQ526" s="182" t="str">
        <f>IF(D526="","",IF(AI526=2,('Calc (ex-animal)'!$O$99*'Calc (ex-housing, ex-storage)'!F526/100+'Calc (ex-animal)'!$N$99*'Calc (ex-housing, ex-storage)'!F526/100)/VLOOKUP($C$523,'DB animal categories'!$C$191:$AC$200,27,FALSE)*AJ526+U526+V526+W526,IF(AI526=1,'Calc (ex-animal)'!$O$99*'Calc (ex-housing, ex-storage)'!F526/100/VLOOKUP($C$523,'DB animal categories'!$C$191:$AC$200,27,FALSE)*AJ526,IF(AI526=4,('Calc (ex-animal)'!$O$99+'Calc (ex-animal)'!$N$99)*'Calc (ex-housing, ex-storage)'!F526/100*VLOOKUP(D526,'DB technologies'!$N$252:$Y$264,11,FALSE)/100/VLOOKUP($C$523,'DB animal categories'!$C$191:$AC$200,27,FALSE)*AJ526,0))))</f>
        <v/>
      </c>
      <c r="AR526" s="182" t="str">
        <f>IF(D526="","",IF(AI526=2,('Calc (ex-animal)'!$R$99*'Calc (ex-housing, ex-storage)'!F526/100+'Calc (ex-animal)'!$Q$99*'Calc (ex-housing, ex-storage)'!F526/100)/VLOOKUP($C$523,'DB animal categories'!$C$191:$AC$200,27,FALSE)*AJ526+Y526+Z526+AA526,IF(AI526=1,'Calc (ex-animal)'!$R$99*'Calc (ex-housing, ex-storage)'!F526/100/VLOOKUP($C$523,'DB animal categories'!$C$191:$AC$200,27,FALSE)*AJ526,IF(AI526=4,('Calc (ex-animal)'!$R$99+'Calc (ex-animal)'!$Q$99)*'Calc (ex-housing, ex-storage)'!F526/100*VLOOKUP(D526,'DB technologies'!$N$252:$Y$264,11,FALSE)/100/VLOOKUP($C$523,'DB animal categories'!$C$191:$AC$200,27,FALSE)*AJ526,0))))</f>
        <v/>
      </c>
      <c r="AS526" s="181" t="str">
        <f>IF(D526="","",VLOOKUP(D526,'DB technologies'!$N$252:$Y$264,10,FALSE))</f>
        <v/>
      </c>
      <c r="AT526" s="442" t="str">
        <f>IF(AS526="","",AU526+AV526)</f>
        <v/>
      </c>
      <c r="AU526" s="442" t="str">
        <f>IF(D526="","",IF(AS526=2,0,IF(AS526=1,'Calc (ex-animal)'!$G$99*'DB additional information '!$K$21/100*(1-VLOOKUP(D526,'DB technologies'!$N$252:$Y$264,8,FALSE)/100)*'Calc (ex-housing, ex-storage)'!F526/100/VLOOKUP($C$523,'DB animal categories'!$C$191:$AC$200,27,FALSE)*AJ526+I526+J526+K526,IF(AS526=5,(('Calc (ex-animal)'!$G$99*'DB additional information '!$K$21/100+'Calc (ex-animal)'!$H$99*'DB additional information '!$L$21/100))*(1-VLOOKUP(D526,'DB technologies'!$N$252:$Y$264,9,FALSE)/100)*'Calc (ex-housing, ex-storage)'!F526/100/VLOOKUP($C$523,'DB animal categories'!$C$191:$AC$200,27,FALSE)*AJ526+I526+J526+K526,IF(AS526=3,('Calc (ex-animal)'!$G$99*'DB additional information '!$K$21/100+'Calc (ex-animal)'!$H$99*'DB additional information '!$L$21/100)*(1-VLOOKUP(D526,'DB technologies'!$N$252:$Y$264,9,FALSE)/100)*'Calc (ex-housing, ex-storage)'!F526/100/VLOOKUP($C$523,'DB animal categories'!$C$191:$AC$200,27,FALSE)*AJ526+I526+J526+K526,IF(AS526=4,('Calc (ex-animal)'!$G$99*'DB additional information '!$K$21/100+'Calc (ex-animal)'!$H$99*'DB additional information '!$L$21/100)*(1-VLOOKUP(D526,'DB technologies'!$N$252:$Y$264,9,FALSE)/100)*'Calc (ex-housing, ex-storage)'!F526/100*VLOOKUP(D526,'DB technologies'!$N$252:$Y$264,12,FALSE)/100/VLOOKUP($C$523,'DB animal categories'!$C$191:$AC$200,27,FALSE)*AJ526+I526+J526+K526,0))))))</f>
        <v/>
      </c>
      <c r="AV526" s="442" t="str">
        <f>IF(D526="","",IF(AS526=2,0,IF(AS526=1,'Calc (ex-animal)'!$G$99*(1-'DB additional information '!$K$21/100)*(1-VLOOKUP(D526,'DB technologies'!$N$252:$Y$264,8,FALSE)/100)*'Calc (ex-housing, ex-storage)'!F526/100/VLOOKUP($C$523,'DB animal categories'!$C$191:$AC$200,27,FALSE)*AJ526+M526+N526+O526,IF(AS526=5,('Calc (ex-animal)'!$G$99*(1-'DB additional information '!$K$21/100)+'Calc (ex-animal)'!$H$99*(1-'DB additional information '!$L$21/100))*(1-VLOOKUP(D526,'DB technologies'!$N$252:$Y$264,8,FALSE)/100)*'Calc (ex-housing, ex-storage)'!F526/100/VLOOKUP($C$523,'DB animal categories'!$C$191:$AC$200,27,FALSE)*AJ526+M526+N526+O526,IF(AS526=3,('Calc (ex-animal)'!$G$99*(1-'DB additional information '!$K$21/100)+'Calc (ex-animal)'!$H$99*(1-'DB additional information '!$L$21/100))*(1-VLOOKUP(D526,'DB technologies'!$N$252:$Y$264,8,FALSE)/100)*'Calc (ex-housing, ex-storage)'!F526/100/VLOOKUP($C$523,'DB animal categories'!$C$191:$AC$200,27,FALSE)*AJ526+M526+N526+O526,IF(AS526=4,('Calc (ex-animal)'!$G$99*(1-'DB additional information '!$K$21/100)+'Calc (ex-animal)'!$H$99*(1-'DB additional information '!$L$21/100))*(1-VLOOKUP(D526,'DB technologies'!$N$252:$Y$264,8,FALSE)/100)*'Calc (ex-housing, ex-storage)'!F526/100*VLOOKUP(D526,'DB technologies'!$N$252:$Y$264,12,FALSE)/100/VLOOKUP($C$523,'DB animal categories'!$C$191:$AC$200,27,FALSE)*AJ526+M526+N526+O526,0))))))</f>
        <v/>
      </c>
      <c r="AW526" s="442" t="str">
        <f>IF(AS526="","",IF(AU526=0,0,AU526/AT526*100))</f>
        <v/>
      </c>
      <c r="AX526" s="182" t="str">
        <f>IF(D526="","",IF(AS526=2,0,IF(AS526=1,'Calc (ex-animal)'!$K$99*'Calc (ex-housing, ex-storage)'!F526/100/VLOOKUP($C$523,'DB animal categories'!$C$191:$AC$200,27,FALSE)*AJ526+Q526+R526+S526,IF(AS526=5,('Calc (ex-animal)'!$K$99+'Calc (ex-animal)'!$L$99)*'Calc (ex-housing, ex-storage)'!F526/100/VLOOKUP($C$523,'DB animal categories'!$C$191:$AC$200,27,FALSE)*AJ526+Q526+R526+S526-'Calc (ex-housing, ex-storage)'!AC526,IF(AS526=3,('Calc (ex-animal)'!$K$99+'Calc (ex-animal)'!$L$99)*'Calc (ex-housing, ex-storage)'!F526/100/VLOOKUP($C$523,'DB animal categories'!$C$191:$AC$200,27,FALSE)*AJ526+Q526+R526+S526-'Calc (ex-housing, ex-storage)'!AC526-AD526-AE526,IF(AI526=4,('Calc (ex-animal)'!$K$99+'Calc (ex-animal)'!$L$99)*'Calc (ex-housing, ex-storage)'!F526/100*VLOOKUP(D526,'DB technologies'!$N$252:$Y$264,12,FALSE)/100/VLOOKUP($C$523,'DB animal categories'!$C$191:$AC$200,27,FALSE)*AJ526+Q526+R526+S526-(VLOOKUP(D526,'DB technologies'!$N$252:$Y$264,12,FALSE)/100*AC526)-AD526-AE526,0))))))</f>
        <v/>
      </c>
      <c r="AY526" s="182" t="str">
        <f>IF(D526="","",IF(AS526=2,0,IF(AS526=1,'Calc (ex-animal)'!$N$99*'Calc (ex-housing, ex-storage)'!F526/100/VLOOKUP($C$523,'DB animal categories'!$C$191:$AC$200,27,FALSE)*AJ526+U526+V526+W526,IF(AS526=5,('Calc (ex-animal)'!$N$99+'Calc (ex-animal)'!$O$99)*'Calc (ex-housing, ex-storage)'!F526/100/VLOOKUP($C$523,'DB animal categories'!$C$191:$AC$200,27,FALSE)*AJ526+U526+V526+W526,IF(AS526=3,('Calc (ex-animal)'!$N$99+'Calc (ex-animal)'!$O$99)*'Calc (ex-housing, ex-storage)'!F526/100/VLOOKUP($C$523,'DB animal categories'!$C$191:$AC$200,27,FALSE)*AJ526+U526+V526+W526,IF(AS526=4,('Calc (ex-animal)'!$N$99+'Calc (ex-animal)'!$O$99)*'Calc (ex-housing, ex-storage)'!F526/100*VLOOKUP(D526,'DB technologies'!$N$252:$Y$264,12,FALSE)/100/VLOOKUP($C$523,'DB animal categories'!$C$191:$AC$200,27,FALSE)*AJ526+U526+V526+W526,0))))))</f>
        <v/>
      </c>
      <c r="AZ526" s="182" t="str">
        <f>IF(D526="","",IF(AS526=2,0,IF(AS526=1,'Calc (ex-animal)'!$Q$99*'Calc (ex-housing, ex-storage)'!F526/100/VLOOKUP($C$523,'DB animal categories'!$C$191:$AC$200,27,FALSE)*AJ526+Y526+Z526+AA526,IF(AS526=5,('Calc (ex-animal)'!$Q$99+'Calc (ex-animal)'!$R$99)*'Calc (ex-housing, ex-storage)'!F526/100/VLOOKUP($C$523,'DB animal categories'!$C$191:$AC$200,27,FALSE)*AJ526+Y526+Z526+AA526,IF(AS526=3,('Calc (ex-animal)'!$Q$99+'Calc (ex-animal)'!$R$99)*'Calc (ex-housing, ex-storage)'!F526/100/VLOOKUP($C$523,'DB animal categories'!$C$191:$AC$200,27,FALSE)*AJ526+Y526+Z526+AA526,IF(AS526=4,('Calc (ex-animal)'!$Q$99+'Calc (ex-animal)'!$R$99)*'Calc (ex-housing, ex-storage)'!F526/100*VLOOKUP(D526,'DB technologies'!$N$252:$Y$264,12,FALSE)/100/VLOOKUP($C$523,'DB animal categories'!$C$191:$AC$200,27,FALSE)*AJ526+Y526+Z526+AA526,0))))))</f>
        <v/>
      </c>
      <c r="BA526" s="506"/>
      <c r="BB526" s="506"/>
      <c r="BC526" s="506"/>
    </row>
    <row r="527" spans="1:55" ht="12" thickBot="1" x14ac:dyDescent="0.25">
      <c r="A527" s="748"/>
      <c r="B527" s="695"/>
      <c r="C527" s="251"/>
      <c r="D527" s="1359"/>
      <c r="E527" s="1360"/>
      <c r="F527" s="481" t="str">
        <f>IF('Calc (ex-animal)'!$F$98=1,"",IF($C$523=0,"",IF(D527="","",E527/'Calc (ex-animal)'!$E$99*100)))</f>
        <v/>
      </c>
      <c r="G527" s="483" t="str">
        <f>IF($C$523=0,"",IF('Calc (ex-animal)'!$F$98=1,"",IF(D527="","",SUM(H527:O527))))</f>
        <v/>
      </c>
      <c r="H527" s="445" t="str">
        <f>IF('Calc (ex-animal)'!$F$98=1,"",IF(D527="","",(((VLOOKUP($C$523,'Calc (ex-animal)'!$D$98:$Y$102,6,FALSE)-VLOOKUP($C$523,'Calc (ex-animal)'!$D$98:$Y$102,17,FALSE))*F527/100))*VLOOKUP($C$523,'Calc (ex-animal)'!$D$98:$Y$102,7,FALSE)/100*(1-VLOOKUP(D527,'DB technologies'!$N$252:$Y$264,9,FALSE)/100)))</f>
        <v/>
      </c>
      <c r="I527" s="445" t="str">
        <f>IF(D527="","",((VLOOKUP(D527,'DB technologies'!$N$252:$Y$264,2,FALSE)*VLOOKUP($C$523,'DB animal categories'!$C$191:$AC$200,27,FALSE)*E527/1000)/VLOOKUP($C$523,'DB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'!$S$6/100*(1-VLOOKUP(D527,'DB technologies'!$N$252:$Y$264,9,FALSE)/100)))</f>
        <v/>
      </c>
      <c r="J527" s="446" t="str">
        <f>IF(D527="","",((VLOOKUP(D527,'DB technologies'!$N$252:$Y$264,3,FALSE)*VLOOKUP($C$523,'DB animal categories'!$C$191:$AC$200,27,FALSE)*E527/1000)/VLOOKUP($C$523,'DB animal categories'!$C$191:$AC$200,27,FALSE)*(VLOOKUP($C$523,'DB animal categories'!$C$191:$AC$200,27,FALSE)-(VLOOKUP($C$523,'DB animal categories'!$C$191:$AC$200,25,FALSE)*VLOOKUP($C$523,'DB animal categories'!$C$191:$AC$200,26,FALSE)/24))*'DB additional information '!$S$7/100*(1-VLOOKUP(D527,'DB technologies'!$N$252:$Y$264,9,FALSE)/100)))</f>
        <v/>
      </c>
      <c r="K527" s="446" t="str">
        <f>IF(D527="","",((VLOOKUP(D527,'DB technologies'!$N$252:$Y$264,4,FALSE)*E527*'DB additional information '!$S$8/100*(1-VLOOKUP(D527,'DB technologies'!$N$252:$Y$264,9,FALSE)/100))/VLOOKUP($C$523,'DB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L527" s="445" t="str">
        <f>IF('Calc (ex-animal)'!$F$98=1,"",IF(D527="","",(((VLOOKUP($C$523,'Calc (ex-animal)'!$D$98:$Y$102,6,FALSE)-VLOOKUP($C$523,'Calc (ex-animal)'!$D$98:$Y$102,17,FALSE))*F527/100))*(1-VLOOKUP($C$523,'Calc (ex-animal)'!$D$98:$Y$102,7,FALSE)/100)*(1-VLOOKUP(D527,'DB technologies'!$N$252:$V$264,8,FALSE)/100)))</f>
        <v/>
      </c>
      <c r="M527" s="446" t="str">
        <f>IF(D527="","",((VLOOKUP(D527,'DB technologies'!$N$252:$Y$264,2,FALSE)*VLOOKUP($C$523,'DB animal categories'!$C$191:$AC$200,27,FALSE)*E527/1000)/VLOOKUP($C$523,'DB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'!$S$6/100)*(1-VLOOKUP(D527,'DB technologies'!$N$252:$Y$264,9,FALSE)/100))</f>
        <v/>
      </c>
      <c r="N527" s="446" t="str">
        <f>IF(D527="","",((VLOOKUP(D527,'DB technologies'!$N$252:$Y$264,3,FALSE)*VLOOKUP($C$523,'DB animal categories'!$C$191:$AC$200,27,FALSE)*E527/1000)/VLOOKUP($C$523,'DB animal categories'!$C$191:$AC$200,27,FALSE)*(VLOOKUP($C$523,'DB animal categories'!$C$191:$AC$200,27,FALSE)-VLOOKUP($C$523,'DB animal categories'!$C$191:$AC$200,25,FALSE)*VLOOKUP($C$523,'DB animal categories'!$C$191:$AC$200,26,FALSE)/24))*(1-'DB additional information '!$S$7/100)*(1-VLOOKUP(D527,'DB technologies'!$N$252:$Y$264,9,FALSE)/100))</f>
        <v/>
      </c>
      <c r="O527" s="445" t="str">
        <f>IF(D527="","",((VLOOKUP(D527,'DB technologies'!$N$252:$Y$264,4,FALSE)*E527*(1-'DB additional information '!$S$8/100)*(1-VLOOKUP(D527,'DB technologies'!$N$252:$Y$264,8,FALSE)/100))/VLOOKUP($C$523,'DB animal categories'!$C$191:$AC$200,27,FALSE)*(VLOOKUP($C$523,'DB animal categories'!$C$191:$AC$200,27,FALSE)-VLOOKUP($C$523,'DB animal categories'!$C$191:$AC$200,25,FALSE)*VLOOKUP($C$523,'DB animal categories'!$C$191:$AC$200,26,FALSE)/24)))</f>
        <v/>
      </c>
      <c r="P527" s="444" t="str">
        <f>IF(G527=0,0,IF(E527="","",IF(F527="","",IF($C$523=0,"",IF(D527="","",SUM(H527:K527)/G527*100)))))</f>
        <v/>
      </c>
      <c r="Q527" s="476" t="str">
        <f>IF(D527="","",(VLOOKUP(D527,'DB technologies'!$N$252:$Y$264,2,FALSE)*'DB additional information '!$S$6/100*'DB additional information '!$T$6*VLOOKUP($C$523,'DB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R527" s="476" t="str">
        <f>IF(D527="","",(VLOOKUP(D527,'DB technologies'!$N$252:$Y$264,3,FALSE)*'DB additional information '!$S$7/100*'DB additional information '!$T$7*VLOOKUP($C$523,'DB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S527" s="494" t="str">
        <f>IF(D527="","",(VLOOKUP(D527,'DB technologies'!$N$252:$Y$264,4,FALSE)*('DB additional information '!$S$8/100*'DB additional information '!$T$8*E527/1000/1000)))</f>
        <v/>
      </c>
      <c r="T527" s="266" t="str">
        <f>IF($C$523=0,"",IF('Calc (ex-animal)'!$F$98=1,"",IF(D527="","",((VLOOKUP($C$523,'Calc (ex-animal)'!$D$98:$Y$102,10,FALSE)-VLOOKUP($C$523,'Calc (ex-animal)'!$D$98:$Y$102,18,FALSE))*F527/100+Q527+R527+S527)-AC527-AD527-AE527)))</f>
        <v/>
      </c>
      <c r="U527" s="477" t="str">
        <f>IF(D527="","",(VLOOKUP(D527,'DB technologies'!$N$252:$Y$264,2,FALSE)*'DB additional information '!$S$6/100*'DB additional information '!$U$6*VLOOKUP($C$523,'DB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V527" s="433" t="str">
        <f>IF(D527="","",(VLOOKUP(D527,'DB technologies'!$N$252:$Y$264,3,FALSE)*'DB additional information '!$S$7/100*'DB additional information '!$U$7*VLOOKUP($C$523,'DB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W527" s="475" t="str">
        <f>IF(D527="","",(VLOOKUP(D527,'DB technologies'!$N$252:$Y$264,4,FALSE)*('DB additional information '!$S$8/100*'DB additional information '!$U$8*E527/1000/1000)))</f>
        <v/>
      </c>
      <c r="X527" s="267" t="str">
        <f>IF($C$523=0,"",IF('Calc (ex-animal)'!$F$98=1,"",IF(D527="","",((VLOOKUP($C$523,'Calc (ex-animal)'!$D$98:$Y$102,13,FALSE)-VLOOKUP($C$523,'Calc (ex-animal)'!$D$98:$Y$102,19,FALSE))*F527/100+U527+V527+W527))))</f>
        <v/>
      </c>
      <c r="Y527" s="433" t="str">
        <f>IF(D527="","",(VLOOKUP(D527,'DB technologies'!$N$252:$Y$264,2,FALSE)*'DB additional information '!$S$6/100*'DB additional information '!$V$6*VLOOKUP($C$523,'DB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Z527" s="433" t="str">
        <f>IF(D527="","",(VLOOKUP(D527,'DB technologies'!$N$252:$Y$264,3,FALSE)*'DB additional information '!$S$7/100*'DB additional information '!$V$7*VLOOKUP($C$523,'DB animal categories'!$C$191:$AC$200,27,FALSE)*E527/1000/1000)/VLOOKUP($C$523,'DB animal categories'!$C$191:$AC$200,27,FALSE)*(VLOOKUP($C$523,'DB animal categories'!$C$191:$AC$200,27,FALSE)-VLOOKUP($C$523,'DB animal categories'!$C$191:$AC$200,25,FALSE)*VLOOKUP($C$523,'DB animal categories'!$C$191:$AC$200,26,FALSE)/24))</f>
        <v/>
      </c>
      <c r="AA527" s="433" t="str">
        <f>IF(D527="","",(VLOOKUP(D527,'DB technologies'!$N$252:$Y$264,4,FALSE)*('DB additional information '!$S$8/100*'DB additional information '!$V$8*E527/1000/1000)))</f>
        <v/>
      </c>
      <c r="AB527" s="267" t="str">
        <f>IF($C$523=0,"",IF('Calc (ex-animal)'!$F$98=1,"",IF(D527="","",((VLOOKUP($C$523,'Calc (ex-animal)'!$D$98:$Y$102,16,FALSE)-VLOOKUP($C$523,'Calc (ex-animal)'!$D$98:$Y$102,20,FALSE))*F527/100+Y527+Z527+AA527))))</f>
        <v/>
      </c>
      <c r="AC527" s="267" t="str">
        <f>IF($C$523=0,"",IF('Calc (ex-animal)'!$F$98=1,"",IF(D527="","",VLOOKUP($C$523,'Calc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categories'!$C$191:$AC$200,26,FALSE)/24)*F527/100*VLOOKUP(D527,'DB technologies'!$N$252:$R$264,5,FALSE)/100)))</f>
        <v/>
      </c>
      <c r="AD527" s="267" t="str">
        <f>IF($C$523=0,"",IF('Calc (ex-animal)'!$F$98=1,"",IF(D527="","",VLOOKUP($C$523,'Calc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categories'!$C$191:$AC$200,26,FALSE)/24)*F527/100*VLOOKUP(D527,'DB technologies'!$N$252:$Y$264,6,FALSE)/100)))</f>
        <v/>
      </c>
      <c r="AE527" s="268" t="str">
        <f>IF($C$523=0,"",IF('Calc (ex-animal)'!$F$98=1,"",IF(D527="","",VLOOKUP($C$523,'Calc (ex-animal)'!$D$98:$Y$102,10,FALSE)/VLOOKUP($C$523,'DB animal categories'!$C$191:$AC$200,27,FALSE)*(VLOOKUP($C$523,'DB animal categories'!$C$191:$AC$200,27,FALSE)-VLOOKUP($C$523,'DB animal categories'!$C$191:$AC$200,25,FALSE)*VLOOKUP($C$523,'DB animal categories'!$C$191:$AC$200,26,FALSE)/24)*F527/100*VLOOKUP(D527,'DB technologies'!$N$252:$Y$264,7,FALSE)/100)))</f>
        <v/>
      </c>
      <c r="AI527" s="183" t="str">
        <f>IF(D527="","",VLOOKUP(D527,'DB technologies'!$N$252:$Y$264,10,FALSE))</f>
        <v/>
      </c>
      <c r="AJ527" s="451" t="e">
        <f>VLOOKUP($C$523,'DB animal categories'!$C$191:$AN$200,27,FALSE)-VLOOKUP($C$523,'DB animal categories'!$C$191:$AN$200,26,FALSE)*VLOOKUP($C$523,'DB animal categories'!$C$191:$AN$200,25,FALSE)/24</f>
        <v>#N/A</v>
      </c>
      <c r="AK527" s="452" t="str">
        <f>IF(AI527="","",AL527+AM527)</f>
        <v/>
      </c>
      <c r="AL527" s="452" t="str">
        <f>IF(D527="","",IF(AI527=2,(('Calc (ex-animal)'!$G$99*'DB additional information '!$K$21/100*(1-VLOOKUP(D527,'DB technologies'!$N$252:$Y$264,9,FALSE)/100)*'Calc (ex-housing, ex-storage)'!F527/100+'Calc (ex-animal)'!$H$99*'DB additional information '!$L$21/100*(1-VLOOKUP(D527,'DB technologies'!$N$252:$Y$264,9,FALSE)/100)*'Calc (ex-housing, ex-storage)'!F527/100))/VLOOKUP($C$523,'DB animal categories'!$C$191:$AC$200,27,FALSE)*AJ527+I527+J527+K527,IF(AI527=1,('Calc (ex-animal)'!$H$99*'DB additional information '!$L$21/100*(1-VLOOKUP(D527,'DB technologies'!$N$252:$Y$264,9,FALSE)/100)*'Calc (ex-housing, ex-storage)'!F527/100)/VLOOKUP($C$523,'DB animal categories'!$C$191:$AC$200,27,FALSE)*AJ527,IF(AI527=4,('Calc (ex-animal)'!$G$99*'DB additional information '!$K$21/100+'Calc (ex-animal)'!$H$99*'DB additional information '!$L$21/100)*(1-VLOOKUP(D527,'DB technologies'!$N$252:$Y$264,9,FALSE)/100)*'Calc (ex-housing, ex-storage)'!F527/100*VLOOKUP(D527,'DB technologies'!$N$252:$Y$264,11,FALSE)/100/VLOOKUP($C$523,'DB animal categories'!$C$191:$AC$200,27,FALSE)*AJ527,0))))</f>
        <v/>
      </c>
      <c r="AM527" s="452" t="str">
        <f>IF(D527="","",IF(AI527=2,(('Calc (ex-animal)'!$G$99*(1-'DB additional information '!$K$21/100)*(1-VLOOKUP(D527,'DB technologies'!$N$252:$Y$264,8,FALSE)/100)*'Calc (ex-housing, ex-storage)'!F527/100+'Calc (ex-animal)'!$H$99*(1-'DB additional information '!$L$21/100)*(1-VLOOKUP(D527,'DB technologies'!$N$252:$Y$264,8,FALSE)/100)*'Calc (ex-housing, ex-storage)'!F527/100))/VLOOKUP($C$523,'DB animal categories'!$C$191:$AC$200,27,FALSE)*AJ527+M527+N527+O527,IF(AI527=1,('Calc (ex-animal)'!$H$99*(1-'DB additional information '!$L$21/100)*(1-VLOOKUP(D527,'DB technologies'!$N$252:$Y$264,8,FALSE)/100)*'Calc (ex-housing, ex-storage)'!F527/100)/VLOOKUP($C$523,'DB animal categories'!$C$191:$AC$200,27,FALSE)*AJ527,IF(AI527=4,('Calc (ex-animal)'!$G$99*(1-'DB additional information '!$K$21/100)+'Calc (ex-animal)'!$H$99*(1-'DB additional information '!$L$21/100))*(1-VLOOKUP(D527,'DB technologies'!$N$252:$Y$264,8,FALSE)/100)*'Calc (ex-housing, ex-storage)'!F527/100*VLOOKUP(D527,'DB technologies'!$N$252:$Y$264,11,FALSE)/100/VLOOKUP($C$523,'DB animal categories'!$C$191:$AC$200,27,FALSE)*AJ527,0))))</f>
        <v/>
      </c>
      <c r="AN527" s="452" t="str">
        <f>IF(AI527="","",IF(AL527=0,0,AL527/AK527*100))</f>
        <v/>
      </c>
      <c r="AO527" s="184" t="str">
        <f>IF(D527="","",IF(AI527=2,(('Calc (ex-animal)'!$L$99*'Calc (ex-housing, ex-storage)'!F527/100+'Calc (ex-animal)'!$K$99*'Calc (ex-housing, ex-storage)'!F527/100))/VLOOKUP($C$523,'DB animal categories'!$C$191:$AC$200,27,FALSE)*AJ527+Q527+R527+S527-AC527,IF(AI527=1,('Calc (ex-animal)'!$L$99*'Calc (ex-housing, ex-storage)'!F527/100)/VLOOKUP($C$523,'DB animal categories'!$C$191:$AC$200,27,FALSE)*AJ527-'Calc (ex-housing, ex-storage)'!AC527,IF(AI527=4,('Calc (ex-animal)'!$L$99+'Calc (ex-animal)'!$K$99)*'Calc (ex-housing, ex-storage)'!F527/100*VLOOKUP(D527,'DB technologies'!$N$252:$Y$264,11,FALSE)/100/VLOOKUP($C$523,'DB animal categories'!$C$191:$AC$200,27,FALSE)*AJ527-AC527*VLOOKUP(D527,'DB technologies'!$N$252:$Y$264,11,FALSE)/100,0))))</f>
        <v/>
      </c>
      <c r="AP527" s="184" t="str">
        <f>IF(D527="","",IF(AO527&lt;-0.01,0,IF(AI527=2,(('Calc (ex-animal)'!$L$99*'Calc (ex-housing, ex-storage)'!F527/100+'Calc (ex-animal)'!$K$99*'Calc (ex-housing, ex-storage)'!F527/100))/VLOOKUP($C$523,'DB animal categories'!$C$191:$AC$200,27,FALSE)*AJ527+Q527+R527+S527-AC527,IF(AI527=1,('Calc (ex-animal)'!$L$99*'Calc (ex-housing, ex-storage)'!F527/100)/VLOOKUP($C$523,'DB animal categories'!$C$191:$AC$200,27,FALSE)*AJ527-'Calc (ex-housing, ex-storage)'!AC527,IF(AI527=4,('Calc (ex-animal)'!$L$99+'Calc (ex-animal)'!$K$99)*'Calc (ex-housing, ex-storage)'!F527/100*VLOOKUP(D527,'DB technologies'!$N$252:$Y$264,11,FALSE)/100/VLOOKUP($C$523,'DB animal categories'!$C$191:$AC$200,27,FALSE)*AJ527-AC527*VLOOKUP(D527,'DB technologies'!$N$252:$Y$264,11,FALSE)/100,0)))))</f>
        <v/>
      </c>
      <c r="AQ527" s="184" t="str">
        <f>IF(D527="","",IF(AI527=2,('Calc (ex-animal)'!$O$99*'Calc (ex-housing, ex-storage)'!F527/100+'Calc (ex-animal)'!$N$99*'Calc (ex-housing, ex-storage)'!F527/100)/VLOOKUP($C$523,'DB animal categories'!$C$191:$AC$200,27,FALSE)*AJ527+U527+V527+W527,IF(AI527=1,'Calc (ex-animal)'!$O$99*'Calc (ex-housing, ex-storage)'!F527/100/VLOOKUP($C$523,'DB animal categories'!$C$191:$AC$200,27,FALSE)*AJ527,IF(AI527=4,('Calc (ex-animal)'!$O$99+'Calc (ex-animal)'!$N$99)*'Calc (ex-housing, ex-storage)'!F527/100*VLOOKUP(D527,'DB technologies'!$N$252:$Y$264,11,FALSE)/100/VLOOKUP($C$523,'DB animal categories'!$C$191:$AC$200,27,FALSE)*AJ527,0))))</f>
        <v/>
      </c>
      <c r="AR527" s="184" t="str">
        <f>IF(D527="","",IF(AI527=2,('Calc (ex-animal)'!$R$99*'Calc (ex-housing, ex-storage)'!F527/100+'Calc (ex-animal)'!$Q$99*'Calc (ex-housing, ex-storage)'!F527/100)/VLOOKUP($C$523,'DB animal categories'!$C$191:$AC$200,27,FALSE)*AJ527+Y527+Z527+AA527,IF(AI527=1,'Calc (ex-animal)'!$R$99*'Calc (ex-housing, ex-storage)'!F527/100/VLOOKUP($C$523,'DB animal categories'!$C$191:$AC$200,27,FALSE)*AJ527,IF(AI527=4,('Calc (ex-animal)'!$R$99+'Calc (ex-animal)'!$Q$99)*'Calc (ex-housing, ex-storage)'!F527/100*VLOOKUP(D527,'DB technologies'!$N$252:$Y$264,11,FALSE)/100/VLOOKUP($C$523,'DB animal categories'!$C$191:$AC$200,27,FALSE)*AJ527,0))))</f>
        <v/>
      </c>
      <c r="AS527" s="183" t="str">
        <f>IF(D527="","",VLOOKUP(D527,'DB technologies'!$N$252:$Y$264,10,FALSE))</f>
        <v/>
      </c>
      <c r="AT527" s="452" t="str">
        <f>IF(AS527="","",AU527+AV527)</f>
        <v/>
      </c>
      <c r="AU527" s="452" t="str">
        <f>IF(D527="","",IF(AS527=2,0,IF(AS527=1,'Calc (ex-animal)'!$G$99*'DB additional information '!$K$21/100*(1-VLOOKUP(D527,'DB technologies'!$N$252:$Y$264,8,FALSE)/100)*'Calc (ex-housing, ex-storage)'!F527/100/VLOOKUP($C$523,'DB animal categories'!$C$191:$AC$200,27,FALSE)*AJ527+I527+J527+K527,IF(AS527=5,(('Calc (ex-animal)'!$G$99*'DB additional information '!$K$21/100+'Calc (ex-animal)'!$H$99*'DB additional information '!$L$21/100))*(1-VLOOKUP(D527,'DB technologies'!$N$252:$Y$264,9,FALSE)/100)*'Calc (ex-housing, ex-storage)'!F527/100/VLOOKUP($C$523,'DB animal categories'!$C$191:$AC$200,27,FALSE)*AJ527+I527+J527+K527,IF(AS527=3,('Calc (ex-animal)'!$G$99*'DB additional information '!$K$21/100+'Calc (ex-animal)'!$H$99*'DB additional information '!$L$21/100)*(1-VLOOKUP(D527,'DB technologies'!$N$252:$Y$264,9,FALSE)/100)*'Calc (ex-housing, ex-storage)'!F527/100/VLOOKUP($C$523,'DB animal categories'!$C$191:$AC$200,27,FALSE)*AJ527+I527+J527+K527,IF(AS527=4,('Calc (ex-animal)'!$G$99*'DB additional information '!$K$21/100+'Calc (ex-animal)'!$H$99*'DB additional information '!$L$21/100)*(1-VLOOKUP(D527,'DB technologies'!$N$252:$Y$264,9,FALSE)/100)*'Calc (ex-housing, ex-storage)'!F527/100*VLOOKUP(D527,'DB technologies'!$N$252:$Y$264,12,FALSE)/100/VLOOKUP($C$523,'DB animal categories'!$C$191:$AC$200,27,FALSE)*AJ527+I527+J527+K527,0))))))</f>
        <v/>
      </c>
      <c r="AV527" s="452" t="str">
        <f>IF(D527="","",IF(AS527=2,0,IF(AS527=1,'Calc (ex-animal)'!$G$99*(1-'DB additional information '!$K$21/100)*(1-VLOOKUP(D527,'DB technologies'!$N$252:$Y$264,8,FALSE)/100)*'Calc (ex-housing, ex-storage)'!F527/100/VLOOKUP($C$523,'DB animal categories'!$C$191:$AC$200,27,FALSE)*AJ527+M527+N527+O527,IF(AS527=5,('Calc (ex-animal)'!$G$99*(1-'DB additional information '!$K$21/100)+'Calc (ex-animal)'!$H$99*(1-'DB additional information '!$L$21/100))*(1-VLOOKUP(D527,'DB technologies'!$N$252:$Y$264,8,FALSE)/100)*'Calc (ex-housing, ex-storage)'!F527/100/VLOOKUP($C$523,'DB animal categories'!$C$191:$AC$200,27,FALSE)*AJ527+M527+N527+O527,IF(AS527=3,('Calc (ex-animal)'!$G$99*(1-'DB additional information '!$K$21/100)+'Calc (ex-animal)'!$H$99*(1-'DB additional information '!$L$21/100))*(1-VLOOKUP(D527,'DB technologies'!$N$252:$Y$264,8,FALSE)/100)*'Calc (ex-housing, ex-storage)'!F527/100/VLOOKUP($C$523,'DB animal categories'!$C$191:$AC$200,27,FALSE)*AJ527+M527+N527+O527,IF(AS527=4,('Calc (ex-animal)'!$G$99*(1-'DB additional information '!$K$21/100)+'Calc (ex-animal)'!$H$99*(1-'DB additional information '!$L$21/100))*(1-VLOOKUP(D527,'DB technologies'!$N$252:$Y$264,8,FALSE)/100)*'Calc (ex-housing, ex-storage)'!F527/100*VLOOKUP(D527,'DB technologies'!$N$252:$Y$264,12,FALSE)/100/VLOOKUP($C$523,'DB animal categories'!$C$191:$AC$200,27,FALSE)*AJ527+M527+N527+O527,0))))))</f>
        <v/>
      </c>
      <c r="AW527" s="452" t="str">
        <f>IF(AS527="","",IF(AU527=0,0,AU527/AT527*100))</f>
        <v/>
      </c>
      <c r="AX527" s="184" t="str">
        <f>IF(D527="","",IF(AS527=2,0,IF(AS527=1,'Calc (ex-animal)'!$K$99*'Calc (ex-housing, ex-storage)'!F527/100/VLOOKUP($C$523,'DB animal categories'!$C$191:$AC$200,27,FALSE)*AJ527+Q527+R527+S527,IF(AS527=5,('Calc (ex-animal)'!$K$99+'Calc (ex-animal)'!$L$99)*'Calc (ex-housing, ex-storage)'!F527/100/VLOOKUP($C$523,'DB animal categories'!$C$191:$AC$200,27,FALSE)*AJ527+Q527+R527+S527-'Calc (ex-housing, ex-storage)'!AC527,IF(AS527=3,('Calc (ex-animal)'!$K$99+'Calc (ex-animal)'!$L$99)*'Calc (ex-housing, ex-storage)'!F527/100/VLOOKUP($C$523,'DB animal categories'!$C$191:$AC$200,27,FALSE)*AJ527+Q527+R527+S527-'Calc (ex-housing, ex-storage)'!AC527-AD527-AE527,IF(AI527=4,('Calc (ex-animal)'!$K$99+'Calc (ex-animal)'!$L$99)*'Calc (ex-housing, ex-storage)'!F527/100*VLOOKUP(D527,'DB technologies'!$N$252:$Y$264,12,FALSE)/100/VLOOKUP($C$523,'DB animal categories'!$C$191:$AC$200,27,FALSE)*AJ527+Q527+R527+S527-(VLOOKUP(D527,'DB technologies'!$N$252:$Y$264,12,FALSE)/100*AC527)-AD527-AE527,0))))))</f>
        <v/>
      </c>
      <c r="AY527" s="184" t="str">
        <f>IF(D527="","",IF(AS527=2,0,IF(AS527=1,'Calc (ex-animal)'!$N$99*'Calc (ex-housing, ex-storage)'!F527/100/VLOOKUP($C$523,'DB animal categories'!$C$191:$AC$200,27,FALSE)*AJ527+U527+V527+W527,IF(AS527=5,('Calc (ex-animal)'!$N$99+'Calc (ex-animal)'!$O$99)*'Calc (ex-housing, ex-storage)'!F527/100/VLOOKUP($C$523,'DB animal categories'!$C$191:$AC$200,27,FALSE)*AJ527+U527+V527+W527,IF(AS527=3,('Calc (ex-animal)'!$N$99+'Calc (ex-animal)'!$O$99)*'Calc (ex-housing, ex-storage)'!F527/100/VLOOKUP($C$523,'DB animal categories'!$C$191:$AC$200,27,FALSE)*AJ527+U527+V527+W527,IF(AS527=4,('Calc (ex-animal)'!$N$99+'Calc (ex-animal)'!$O$99)*'Calc (ex-housing, ex-storage)'!F527/100*VLOOKUP(D527,'DB technologies'!$N$252:$Y$264,12,FALSE)/100/VLOOKUP($C$523,'DB animal categories'!$C$191:$AC$200,27,FALSE)*AJ527+U527+V527+W527,0))))))</f>
        <v/>
      </c>
      <c r="AZ527" s="184" t="str">
        <f>IF(D527="","",IF(AS527=2,0,IF(AS527=1,'Calc (ex-animal)'!$Q$99*'Calc (ex-housing, ex-storage)'!F527/100/VLOOKUP($C$523,'DB animal categories'!$C$191:$AC$200,27,FALSE)*AJ527+Y527+Z527+AA527,IF(AS527=5,('Calc (ex-animal)'!$Q$99+'Calc (ex-animal)'!$R$99)*'Calc (ex-housing, ex-storage)'!F527/100/VLOOKUP($C$523,'DB animal categories'!$C$191:$AC$200,27,FALSE)*AJ527+Y527+Z527+AA527,IF(AS527=3,('Calc (ex-animal)'!$Q$99+'Calc (ex-animal)'!$R$99)*'Calc (ex-housing, ex-storage)'!F527/100/VLOOKUP($C$523,'DB animal categories'!$C$191:$AC$200,27,FALSE)*AJ527+Y527+Z527+AA527,IF(AS527=4,('Calc (ex-animal)'!$Q$99+'Calc (ex-animal)'!$R$99)*'Calc (ex-housing, ex-storage)'!F527/100*VLOOKUP(D527,'DB technologies'!$N$252:$Y$264,12,FALSE)/100/VLOOKUP($C$523,'DB animal categories'!$C$191:$AC$200,27,FALSE)*AJ527+Y527+Z527+AA527,0))))))</f>
        <v/>
      </c>
      <c r="BA527" s="506"/>
      <c r="BB527" s="506"/>
      <c r="BC527" s="506"/>
    </row>
    <row r="528" spans="1:55" ht="12" thickBot="1" x14ac:dyDescent="0.25">
      <c r="A528" s="748"/>
      <c r="B528" s="695"/>
      <c r="C528" s="252"/>
      <c r="D528" s="269" t="s">
        <v>58</v>
      </c>
      <c r="E528" s="270">
        <f>IF(F528&lt;=100,SUM(E523:E527),"ERROR")</f>
        <v>0</v>
      </c>
      <c r="F528" s="284">
        <f>IF(SUM(F523:F527) &lt;=100,SUM(F523:F527),"ERROR, SUM&gt;100%")</f>
        <v>0</v>
      </c>
      <c r="G528" s="550">
        <f>IF('Calc (ex-animal)'!$F$98=1,"",SUM(G523:G527))</f>
        <v>0</v>
      </c>
      <c r="H528" s="418">
        <f>IF('Calc (ex-animal)'!$F$8=1,"",SUM(H523:H527))</f>
        <v>0</v>
      </c>
      <c r="I528" s="418">
        <f>IF('Calc (ex-animal)'!$F$8=1,"",SUM(I523:I527))</f>
        <v>0</v>
      </c>
      <c r="J528" s="418">
        <f>IF('Calc (ex-animal)'!$F$8=1,"",SUM(J523:J527))</f>
        <v>0</v>
      </c>
      <c r="K528" s="418">
        <f>IF('Calc (ex-animal)'!$F$8=1,"",SUM(K523:K527))</f>
        <v>0</v>
      </c>
      <c r="L528" s="418">
        <f>IF('Calc (ex-animal)'!$F$8=1,"",SUM(L523:L527))</f>
        <v>0</v>
      </c>
      <c r="M528" s="551"/>
      <c r="N528" s="551"/>
      <c r="O528" s="551"/>
      <c r="P528" s="552">
        <f>IF(G528=0,0,IF('Calc (ex-animal)'!$F$98=1,"",IF(D528="","",SUM(H528:K528)/G528*100)))</f>
        <v>0</v>
      </c>
      <c r="Q528" s="271"/>
      <c r="R528" s="271"/>
      <c r="S528" s="271"/>
      <c r="T528" s="278">
        <f>IF('Calc (ex-animal)'!$F$99=1,"",SUM(T523:T527))</f>
        <v>0</v>
      </c>
      <c r="U528" s="279"/>
      <c r="V528" s="279"/>
      <c r="W528" s="279"/>
      <c r="X528" s="279">
        <f>IF('Calc (ex-animal)'!$F$99=1,"",SUM(X523:X527))</f>
        <v>0</v>
      </c>
      <c r="Y528" s="279"/>
      <c r="Z528" s="279"/>
      <c r="AA528" s="279"/>
      <c r="AB528" s="279">
        <f>IF('Calc (ex-animal)'!$F$99=1,"",SUM(AB523:AB527))</f>
        <v>0</v>
      </c>
      <c r="AC528" s="279">
        <f>IF('Calc (ex-animal)'!$F$99=1,"",SUM(AC523:AC527))</f>
        <v>0</v>
      </c>
      <c r="AD528" s="279">
        <f>IF('Calc (ex-animal)'!$F$99=1,"",SUM(AD523:AD527))</f>
        <v>0</v>
      </c>
      <c r="AE528" s="280">
        <f>IF('Calc (ex-animal)'!$F$99=1,"",SUM(AE523:AE527))</f>
        <v>0</v>
      </c>
    </row>
    <row r="529" spans="1:55" x14ac:dyDescent="0.2">
      <c r="A529" s="748"/>
      <c r="B529" s="695"/>
      <c r="C529" s="250">
        <f>'Calc (ex-animal)'!D100</f>
        <v>0</v>
      </c>
      <c r="D529" s="1355"/>
      <c r="E529" s="1356"/>
      <c r="F529" s="479" t="str">
        <f>IF('Calc (ex-animal)'!$F$98=1,"",IF($C$529=0,"",IF(D529="","",E529/'Calc (ex-animal)'!$E$100*100)))</f>
        <v/>
      </c>
      <c r="G529" s="484" t="str">
        <f>IF($C$529=0,"",IF('Calc (ex-animal)'!$F$98=1,"",IF(D529="","",SUM(H529:O529))))</f>
        <v/>
      </c>
      <c r="H529" s="471" t="str">
        <f>IF('Calc (ex-animal)'!$F$98=1,"",IF(D529="","",(((VLOOKUP($C$529,'Calc (ex-animal)'!$D$98:$Y$102,6,FALSE)-VLOOKUP($C$529,'Calc (ex-animal)'!$D$98:$Y$102,17,FALSE))*F529/100))*VLOOKUP($C$529,'Calc (ex-animal)'!$D$98:$Y$102,7,FALSE)/100*(1-VLOOKUP(D529,'DB technologies'!$N$252:$Y$264,9,FALSE)/100)))</f>
        <v/>
      </c>
      <c r="I529" s="471" t="str">
        <f>IF(D529="","",((VLOOKUP(D529,'DB technologies'!$N$252:$Y$264,2,FALSE)*VLOOKUP($C$529,'DB animal categories'!$C$191:$AC$200,27,FALSE)*E529/1000)/VLOOKUP($C$529,'DB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'!$S$6/100*(1-VLOOKUP(D529,'DB technologies'!$N$252:$Y$264,9,FALSE)/100)))</f>
        <v/>
      </c>
      <c r="J529" s="472" t="str">
        <f>IF(D529="","",((VLOOKUP(D529,'DB technologies'!$N$252:$Y$264,3,FALSE)*VLOOKUP($C$529,'DB animal categories'!$C$191:$AC$200,27,FALSE)*E529/1000)/VLOOKUP($C$529,'DB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'!$S$7/100*(1-VLOOKUP(D529,'DB technologies'!$N$252:$Y$264,9,FALSE)/100)))</f>
        <v/>
      </c>
      <c r="K529" s="472" t="str">
        <f>IF(D529="","",((VLOOKUP(D529,'DB technologies'!$N$252:$Y$264,4,FALSE)*E529*'DB additional information '!$S$8/100*(1-VLOOKUP(D529,'DB technologies'!$N$252:$Y$264,9,FALSE)/100))/VLOOKUP($C$529,'DB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L529" s="471" t="str">
        <f>IF('Calc (ex-animal)'!$F$98=1,"",IF(D529="","",(((VLOOKUP($C$529,'Calc (ex-animal)'!$D$98:$Y$102,6,FALSE)-VLOOKUP($C$529,'Calc (ex-animal)'!$D$98:$Y$102,17,FALSE))*F529/100))*(1-VLOOKUP($C$529,'Calc (ex-animal)'!$D$98:$Y$102,7,FALSE)/100)*(1-VLOOKUP(D529,'DB technologies'!$N$252:$V$264,8,FALSE)/100)))</f>
        <v/>
      </c>
      <c r="M529" s="472" t="str">
        <f>IF(D529="","",((VLOOKUP(D529,'DB technologies'!$N$252:$Y$264,2,FALSE)*VLOOKUP($C$529,'DB animal categories'!$C$191:$AC$200,27,FALSE)*E529/1000)/VLOOKUP($C$529,'DB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'!$S$6/100)*(1-VLOOKUP(D529,'DB technologies'!$N$252:$Y$264,9,FALSE)/100))</f>
        <v/>
      </c>
      <c r="N529" s="472" t="str">
        <f>IF(D529="","",((VLOOKUP(D529,'DB technologies'!$N$252:$Y$264,3,FALSE)*VLOOKUP($C$529,'DB animal categories'!$C$191:$AC$200,27,FALSE)*E529/1000)/VLOOKUP($C$529,'DB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'!$S$7/100)*(1-VLOOKUP(D529,'DB technologies'!$N$252:$Y$264,9,FALSE)/100))</f>
        <v/>
      </c>
      <c r="O529" s="471" t="str">
        <f>IF(D529="","",((VLOOKUP(D529,'DB technologies'!$N$252:$Y$264,4,FALSE)*E529*(1-'DB additional information '!$S$8/100)*(1-VLOOKUP(D529,'DB technologies'!$N$252:$Y$264,8,FALSE)/100))/VLOOKUP($C$529,'DB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P529" s="443" t="str">
        <f>IF(G529=0,0,IF(E529="","",IF(F529="","",IF($C$529=0,"",IF(D529="","",SUM(H529:K529)/G529*100)))))</f>
        <v/>
      </c>
      <c r="Q529" s="473" t="str">
        <f>IF(D529="","",(VLOOKUP(D529,'DB technologies'!$N$252:$Y$264,2,FALSE)*'DB additional information '!$S$6/100*'DB additional information '!$T$6*VLOOKUP($C$529,'DB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R529" s="473" t="str">
        <f>IF(D529="","",(VLOOKUP(D529,'DB technologies'!$N$252:$Y$264,3,FALSE)*'DB additional information '!$S$7/100*'DB additional information '!$T$7*VLOOKUP($C$529,'DB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S529" s="490" t="str">
        <f>IF(D529="","",(VLOOKUP(D529,'DB technologies'!$N$252:$Y$264,4,FALSE)*('DB additional information '!$S$8/100*'DB additional information '!$T$8*E529/1000/1000)))</f>
        <v/>
      </c>
      <c r="T529" s="263" t="str">
        <f>IF($C$529=0,"",IF('Calc (ex-animal)'!$F$98=1,"",IF(D529="","",((VLOOKUP($C$529,'Calc (ex-animal)'!$D$98:$Y$102,10,FALSE)-VLOOKUP($C$529,'Calc (ex-animal)'!$D$98:$Y$102,18,FALSE))*F529/100+Q529+R529+S529)-AC529-AD529-AE529)))</f>
        <v/>
      </c>
      <c r="U529" s="474" t="str">
        <f>IF(D529="","",(VLOOKUP(D529,'DB technologies'!$N$252:$Y$264,2,FALSE)*'DB additional information '!$S$6/100*'DB additional information '!$U$6*VLOOKUP($C$529,'DB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V529" s="420" t="str">
        <f>IF(D529="","",(VLOOKUP(D529,'DB technologies'!$N$252:$Y$264,3,FALSE)*'DB additional information '!$S$7/100*'DB additional information '!$U$7*VLOOKUP($C$529,'DB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W529" s="415" t="str">
        <f>IF(D529="","",(VLOOKUP(D529,'DB technologies'!$N$252:$Y$264,4,FALSE)*('DB additional information '!$S$8/100*'DB additional information '!$U$8*E529/1000/1000)))</f>
        <v/>
      </c>
      <c r="X529" s="259" t="str">
        <f>IF($C$529=0,"",IF('Calc (ex-animal)'!$F$98=1,"",IF(D529="","",((VLOOKUP($C$529,'Calc (ex-animal)'!$D$98:$Y$102,13,FALSE)-VLOOKUP($C$529,'Calc (ex-animal)'!$D$98:$Y$102,19,FALSE))*F529/100+U529+V529+W529))))</f>
        <v/>
      </c>
      <c r="Y529" s="420" t="str">
        <f>IF(D529="","",(VLOOKUP(D529,'DB technologies'!$N$252:$Y$264,2,FALSE)*'DB additional information '!$S$6/100*'DB additional information '!$V$6*VLOOKUP($C$529,'DB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Z529" s="420" t="str">
        <f>IF(D529="","",(VLOOKUP(D529,'DB technologies'!$N$252:$Y$264,3,FALSE)*'DB additional information '!$S$7/100*'DB additional information '!$V$7*VLOOKUP($C$529,'DB animal categories'!$C$191:$AC$200,27,FALSE)*E529/1000/1000)/VLOOKUP($C$529,'DB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AA529" s="420" t="str">
        <f>IF(D529="","",(VLOOKUP(D529,'DB technologies'!$N$252:$Y$264,4,FALSE)*('DB additional information '!$S$8/100*'DB additional information '!$V$8*E529/1000/1000)))</f>
        <v/>
      </c>
      <c r="AB529" s="259" t="str">
        <f>IF($C$529=0,"",IF('Calc (ex-animal)'!$F$98=1,"",IF(D529="","",((VLOOKUP($C$529,'Calc (ex-animal)'!$D$98:$Y$102,16,FALSE)-VLOOKUP($C$529,'Calc (ex-animal)'!$D$98:$Y$102,20,FALSE))*F529/100+Y529+Z529+AA529))))</f>
        <v/>
      </c>
      <c r="AC529" s="259" t="str">
        <f>IF($C$529=0,"",IF('Calc (ex-animal)'!$F$98=1,"",IF(D529="","",VLOOKUP($C$529,'Calc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categories'!$C$191:$AC$200,26,FALSE)/24)*F529/100*VLOOKUP(D529,'DB technologies'!$N$252:$R$264,5,FALSE)/100)))</f>
        <v/>
      </c>
      <c r="AD529" s="259" t="str">
        <f>IF($C$529=0,"",IF('Calc (ex-animal)'!$F$98=1,"",IF(D529="","",VLOOKUP($C$529,'Calc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categories'!$C$191:$AC$200,26,FALSE)/24)*F529/100*VLOOKUP(D529,'DB technologies'!$N$252:$Y$264,6,FALSE)/100)))</f>
        <v/>
      </c>
      <c r="AE529" s="260" t="str">
        <f>IF($C$529=0,"",IF('Calc (ex-animal)'!$F$98=1,"",IF(D529="","",VLOOKUP($C$529,'Calc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categories'!$C$191:$AC$200,26,FALSE)/24)*F529/100*VLOOKUP(D529,'DB technologies'!$N$252:$Y$264,7,FALSE)/100)))</f>
        <v/>
      </c>
      <c r="AI529" s="179" t="str">
        <f>IF(D529="","",VLOOKUP(D529,'DB technologies'!$N$252:$Y$264,10,FALSE))</f>
        <v/>
      </c>
      <c r="AJ529" s="482" t="e">
        <f>VLOOKUP($C$529,'DB animal categories'!$C$191:$AN$200,27,FALSE)-VLOOKUP($C$529,'DB animal categories'!$C$191:$AN$200,26,FALSE)*VLOOKUP($C$529,'DB animal categories'!$C$191:$AN$200,25,FALSE)/24</f>
        <v>#N/A</v>
      </c>
      <c r="AK529" s="453" t="str">
        <f>IF(AI529="","",AL529+AM529)</f>
        <v/>
      </c>
      <c r="AL529" s="453" t="str">
        <f>IF(D529="","",IF(AI529=2,(('Calc (ex-animal)'!$G$100*'DB additional information '!$K$21/100*(1-VLOOKUP(D529,'DB technologies'!$N$252:$Y$264,9,FALSE)/100)*'Calc (ex-housing, ex-storage)'!F529/100+'Calc (ex-animal)'!$H$100*'DB additional information '!$L$21/100*(1-VLOOKUP(D529,'DB technologies'!$N$252:$Y$264,9,FALSE)/100)*'Calc (ex-housing, ex-storage)'!F529/100))/VLOOKUP($C$529,'DB animal categories'!$C$191:$AC$200,27,FALSE)*AJ529+I529+J529+K529,IF(AI529=1,('Calc (ex-animal)'!$H$100*'DB additional information '!$L$21/100*(1-VLOOKUP(D529,'DB technologies'!$N$252:$Y$264,9,FALSE)/100)*'Calc (ex-housing, ex-storage)'!F529/100)/VLOOKUP($C$529,'DB animal categories'!$C$191:$AC$200,27,FALSE)*AJ529,IF(AI529=4,('Calc (ex-animal)'!$G$100*'DB additional information '!$K$21/100+'Calc (ex-animal)'!$H$100*'DB additional information '!$L$21/100)*(1-VLOOKUP(D529,'DB technologies'!$N$252:$Y$264,9,FALSE)/100)*'Calc (ex-housing, ex-storage)'!F529/100*VLOOKUP(D529,'DB technologies'!$N$252:$Y$264,11,FALSE)/100/VLOOKUP($C$529,'DB animal categories'!$C$191:$AC$200,27,FALSE)*AJ529,0))))</f>
        <v/>
      </c>
      <c r="AM529" s="453" t="str">
        <f>IF(D529="","",IF(AI529=2,(('Calc (ex-animal)'!$G$100*(1-'DB additional information '!$K$21/100)*(1-VLOOKUP(D529,'DB technologies'!$N$252:$Y$264,8,FALSE)/100)*'Calc (ex-housing, ex-storage)'!F529/100+'Calc (ex-animal)'!$H$100*(1-'DB additional information '!$L$21/100)*(1-VLOOKUP(D529,'DB technologies'!$N$252:$Y$264,8,FALSE)/100)*'Calc (ex-housing, ex-storage)'!F529/100))/VLOOKUP($C$529,'DB animal categories'!$C$191:$AC$200,27,FALSE)*AJ529+M529+N529+O529,IF(AI529=1,('Calc (ex-animal)'!$H$100*(1-'DB additional information '!$L$21/100)*(1-VLOOKUP(D529,'DB technologies'!$N$252:$Y$264,8,FALSE)/100)*'Calc (ex-housing, ex-storage)'!F529/100)/VLOOKUP($C$529,'DB animal categories'!$C$191:$AC$200,27,FALSE)*AJ529,IF(AI529=4,('Calc (ex-animal)'!$G$100*(1-'DB additional information '!$K$21/100)+'Calc (ex-animal)'!$H$100*(1-'DB additional information '!$L$21/100))*(1-VLOOKUP(D529,'DB technologies'!$N$252:$Y$264,8,FALSE)/100)*'Calc (ex-housing, ex-storage)'!F529/100*VLOOKUP(D529,'DB technologies'!$N$252:$Y$264,11,FALSE)/100/VLOOKUP($C$529,'DB animal categories'!$C$191:$AC$200,27,FALSE)*AJ529,0))))</f>
        <v/>
      </c>
      <c r="AN529" s="453" t="str">
        <f>IF(AI529="","",IF(AL529=0,0,AL529/AK529*100))</f>
        <v/>
      </c>
      <c r="AO529" s="180" t="str">
        <f>IF(D529="","",IF(AI529=2,(('Calc (ex-animal)'!$L$100*'Calc (ex-housing, ex-storage)'!F529/100+'Calc (ex-animal)'!$K$100*'Calc (ex-housing, ex-storage)'!F529/100))/VLOOKUP($C$529,'DB animal categories'!$C$191:$AC$200,27,FALSE)*AJ529+Q529+R529+S529-AC529,IF(AI529=1,('Calc (ex-animal)'!$L$100*'Calc (ex-housing, ex-storage)'!F529/100)/VLOOKUP($C$529,'DB animal categories'!$C$191:$AC$200,27,FALSE)*AJ529-'Calc (ex-housing, ex-storage)'!AC529,IF(AI529=4,('Calc (ex-animal)'!$L$100+'Calc (ex-animal)'!$K$100)*'Calc (ex-housing, ex-storage)'!F529/100*VLOOKUP(D529,'DB technologies'!$N$252:$Y$264,11,FALSE)/100/VLOOKUP($C$529,'DB animal categories'!$C$191:$AC$200,27,FALSE)*AJ529-AC529*VLOOKUP(D529,'DB technologies'!$N$252:$Y$264,11,FALSE)/100,0))))</f>
        <v/>
      </c>
      <c r="AP529" s="180" t="str">
        <f>IF(D529="","",IF(AO529&lt;-0.01,0,IF(AI529=2,(('Calc (ex-animal)'!$L$100*'Calc (ex-housing, ex-storage)'!F529/100+'Calc (ex-animal)'!$K$100*'Calc (ex-housing, ex-storage)'!F529/100))/VLOOKUP($C$529,'DB animal categories'!$C$191:$AC$200,27,FALSE)*AJ529+Q529+R529+S529-AC529,IF(AI529=1,('Calc (ex-animal)'!$L$100*'Calc (ex-housing, ex-storage)'!F529/100)/VLOOKUP($C$529,'DB animal categories'!$C$191:$AC$200,27,FALSE)*AJ529-'Calc (ex-housing, ex-storage)'!AC529,IF(AI529=4,('Calc (ex-animal)'!$L$100+'Calc (ex-animal)'!$K$100)*'Calc (ex-housing, ex-storage)'!F529/100*VLOOKUP(D529,'DB technologies'!$N$252:$Y$264,11,FALSE)/100/VLOOKUP($C$529,'DB animal categories'!$C$191:$AC$200,27,FALSE)*AJ529-AC529*VLOOKUP(D529,'DB technologies'!$N$252:$Y$264,11,FALSE)/100,0)))))</f>
        <v/>
      </c>
      <c r="AQ529" s="180" t="str">
        <f>IF(D529="","",IF(AI529=2,('Calc (ex-animal)'!$O$100*'Calc (ex-housing, ex-storage)'!F529/100+'Calc (ex-animal)'!$N$100*'Calc (ex-housing, ex-storage)'!F529/100)/VLOOKUP($C$529,'DB animal categories'!$C$191:$AC$200,27,FALSE)*AJ529+U529+V529+W529,IF(AI529=1,'Calc (ex-animal)'!$O$100*'Calc (ex-housing, ex-storage)'!F529/100/VLOOKUP($C$529,'DB animal categories'!$C$191:$AC$200,27,FALSE)*AJ529,IF(AI529=4,('Calc (ex-animal)'!$O$100+'Calc (ex-animal)'!$N$100)*'Calc (ex-housing, ex-storage)'!F529/100*VLOOKUP(D529,'DB technologies'!$N$252:$Y$264,11,FALSE)/100/VLOOKUP($C$529,'DB animal categories'!$C$191:$AC$200,27,FALSE)*AJ529,0))))</f>
        <v/>
      </c>
      <c r="AR529" s="180" t="str">
        <f>IF(D529="","",IF(AI529=2,('Calc (ex-animal)'!$R$100*'Calc (ex-housing, ex-storage)'!F529/100+'Calc (ex-animal)'!$Q$100*'Calc (ex-housing, ex-storage)'!F529/100)/VLOOKUP($C$529,'DB animal categories'!$C$191:$AC$200,27,FALSE)*AJ529+Y529+Z529+AA529,IF(AI529=1,'Calc (ex-animal)'!$R$100*'Calc (ex-housing, ex-storage)'!F529/100/VLOOKUP($C$529,'DB animal categories'!$C$191:$AC$200,27,FALSE)*AJ529,IF(AI529=4,('Calc (ex-animal)'!$R$100+'Calc (ex-animal)'!$Q$100)*'Calc (ex-housing, ex-storage)'!F529/100*VLOOKUP(D529,'DB technologies'!$N$252:$Y$264,11,FALSE)/100/VLOOKUP($C$529,'DB animal categories'!$C$191:$AC$200,27,FALSE)*AJ529,0))))</f>
        <v/>
      </c>
      <c r="AS529" s="179" t="str">
        <f>IF(D529="","",VLOOKUP(D529,'DB technologies'!$N$252:$Y$264,10,FALSE))</f>
        <v/>
      </c>
      <c r="AT529" s="453" t="str">
        <f>IF(AS529="","",AU529+AV529)</f>
        <v/>
      </c>
      <c r="AU529" s="453" t="str">
        <f>IF(D529="","",IF(AS529=2,0,IF(AS529=1,'Calc (ex-animal)'!$G$100*'DB additional information '!$K$21/100*(1-VLOOKUP(D529,'DB technologies'!$N$252:$Y$264,8,FALSE)/100)*'Calc (ex-housing, ex-storage)'!F529/100/VLOOKUP($C$529,'DB animal categories'!$C$191:$AC$200,27,FALSE)*AJ529+I529+J529+K529,IF(AS529=5,(('Calc (ex-animal)'!$G$100*'DB additional information '!$K$21/100+'Calc (ex-animal)'!$H$100*'DB additional information '!$L$21/100))*(1-VLOOKUP(D529,'DB technologies'!$N$252:$Y$264,9,FALSE)/100)*'Calc (ex-housing, ex-storage)'!F529/100/VLOOKUP($C$529,'DB animal categories'!$C$191:$AC$200,27,FALSE)*AJ529+I529+J529+K529,IF(AS529=3,('Calc (ex-animal)'!$G$100*'DB additional information '!$K$21/100+'Calc (ex-animal)'!$H$100*'DB additional information '!$L$21/100)*(1-VLOOKUP(D529,'DB technologies'!$N$252:$Y$264,9,FALSE)/100)*'Calc (ex-housing, ex-storage)'!F529/100/VLOOKUP($C$529,'DB animal categories'!$C$191:$AC$200,27,FALSE)*AJ529+I529+J529+K529,IF(AS529=4,('Calc (ex-animal)'!$G$100*'DB additional information '!$K$21/100+'Calc (ex-animal)'!$H$100*'DB additional information '!$L$21/100)*(1-VLOOKUP(D529,'DB technologies'!$N$252:$Y$264,9,FALSE)/100)*'Calc (ex-housing, ex-storage)'!F529/100*VLOOKUP(D529,'DB technologies'!$N$252:$Y$264,12,FALSE)/100/VLOOKUP($C$529,'DB animal categories'!$C$191:$AC$200,27,FALSE)*AJ529+I529+J529+K529,0))))))</f>
        <v/>
      </c>
      <c r="AV529" s="453" t="str">
        <f>IF(D529="","",IF(AS529=2,0,IF(AS529=1,'Calc (ex-animal)'!$G$100*(1-'DB additional information '!$K$21/100)*(1-VLOOKUP(D529,'DB technologies'!$N$252:$Y$264,8,FALSE)/100)*'Calc (ex-housing, ex-storage)'!F529/100/VLOOKUP($C$529,'DB animal categories'!$C$191:$AC$200,27,FALSE)*AJ529+M529+N529+O529,IF(AS529=5,('Calc (ex-animal)'!$G$100*(1-'DB additional information '!$K$21/100)+'Calc (ex-animal)'!$H$100*(1-'DB additional information '!$L$21/100))*(1-VLOOKUP(D529,'DB technologies'!$N$252:$Y$264,8,FALSE)/100)*'Calc (ex-housing, ex-storage)'!F529/100/VLOOKUP($C$529,'DB animal categories'!$C$191:$AC$200,27,FALSE)*AJ529+M529+N529+O529,IF(AS529=3,('Calc (ex-animal)'!$G$100*(1-'DB additional information '!$K$21/100)+'Calc (ex-animal)'!$H$100*(1-'DB additional information '!$L$21/100))*(1-VLOOKUP(D529,'DB technologies'!$N$252:$Y$264,8,FALSE)/100)*'Calc (ex-housing, ex-storage)'!F529/100/VLOOKUP($C$529,'DB animal categories'!$C$191:$AC$200,27,FALSE)*AJ529+M529+N529+O529,IF(AS529=4,('Calc (ex-animal)'!$G$100*(1-'DB additional information '!$K$21/100)+'Calc (ex-animal)'!$H$100*(1-'DB additional information '!$L$21/100))*(1-VLOOKUP(D529,'DB technologies'!$N$252:$Y$264,8,FALSE)/100)*'Calc (ex-housing, ex-storage)'!F529/100*VLOOKUP(D529,'DB technologies'!$N$252:$Y$264,12,FALSE)/100/VLOOKUP($C$529,'DB animal categories'!$C$191:$AC$200,27,FALSE)*AJ529+M529+N529+O529,0))))))</f>
        <v/>
      </c>
      <c r="AW529" s="453" t="str">
        <f>IF(AS529="","",IF(AU529=0,0,AU529/AT529*100))</f>
        <v/>
      </c>
      <c r="AX529" s="180" t="str">
        <f>IF(D529="","",IF(AS529=2,0,IF(AS529=1,'Calc (ex-animal)'!$K$100*'Calc (ex-housing, ex-storage)'!F529/100/VLOOKUP($C$529,'DB animal categories'!$C$191:$AC$200,27,FALSE)*AJ529+Q529+R529+S529,IF(AS529=5,('Calc (ex-animal)'!$K$100+'Calc (ex-animal)'!$L$100)*'Calc (ex-housing, ex-storage)'!F529/100/VLOOKUP($C$529,'DB animal categories'!$C$191:$AC$200,27,FALSE)*AJ529+Q529+R529+S529-'Calc (ex-housing, ex-storage)'!AC529,IF(AS529=3,('Calc (ex-animal)'!$K$100+'Calc (ex-animal)'!$L$100)*'Calc (ex-housing, ex-storage)'!F529/100/VLOOKUP($C$529,'DB animal categories'!$C$191:$AC$200,27,FALSE)*AJ529+Q529+R529+S529-'Calc (ex-housing, ex-storage)'!AC529-AD529-AE529,IF(AI529=4,('Calc (ex-animal)'!$K$100+'Calc (ex-animal)'!$L$100)*'Calc (ex-housing, ex-storage)'!F529/100*VLOOKUP(D529,'DB technologies'!$N$252:$Y$264,12,FALSE)/100/VLOOKUP($C$529,'DB animal categories'!$C$191:$AC$200,27,FALSE)*AJ529+Q529+R529+S529-(VLOOKUP(D529,'DB technologies'!$N$252:$Y$264,12,FALSE)/100*AC529)-AD529-AE529,0))))))</f>
        <v/>
      </c>
      <c r="AY529" s="180" t="str">
        <f>IF(D529="","",IF(AS529=2,0,IF(AS529=1,'Calc (ex-animal)'!$N$100*'Calc (ex-housing, ex-storage)'!F529/100/VLOOKUP($C$529,'DB animal categories'!$C$191:$AC$200,27,FALSE)*AJ529+U529+V529+W529,IF(AS529=5,('Calc (ex-animal)'!$N$100+'Calc (ex-animal)'!$O$100)*'Calc (ex-housing, ex-storage)'!F529/100/VLOOKUP($C$529,'DB animal categories'!$C$191:$AC$200,27,FALSE)*AJ529+U529+V529+W529,IF(AS529=3,('Calc (ex-animal)'!$N$100+'Calc (ex-animal)'!$O$100)*'Calc (ex-housing, ex-storage)'!F529/100/VLOOKUP($C$529,'DB animal categories'!$C$191:$AC$200,27,FALSE)*AJ529+U529+V529+W529,IF(AS529=4,('Calc (ex-animal)'!$N$100+'Calc (ex-animal)'!$O$100)*'Calc (ex-housing, ex-storage)'!F529/100*VLOOKUP(D529,'DB technologies'!$N$252:$Y$264,12,FALSE)/100/VLOOKUP($C$529,'DB animal categories'!$C$191:$AC$200,27,FALSE)*AJ529+U529+V529+W529,0))))))</f>
        <v/>
      </c>
      <c r="AZ529" s="180" t="str">
        <f>IF(D529="","",IF(AS529=2,0,IF(AS529=1,'Calc (ex-animal)'!$Q$100*'Calc (ex-housing, ex-storage)'!F529/100/VLOOKUP($C$529,'DB animal categories'!$C$191:$AC$200,27,FALSE)*AJ529+Y529+Z529+AA529,IF(AS529=5,('Calc (ex-animal)'!$Q$100+'Calc (ex-animal)'!$R$100)*'Calc (ex-housing, ex-storage)'!F529/100/VLOOKUP($C$529,'DB animal categories'!$C$191:$AC$200,27,FALSE)*AJ529+Y529+Z529+AA529,IF(AS529=3,('Calc (ex-animal)'!$Q$100+'Calc (ex-animal)'!$R$100)*'Calc (ex-housing, ex-storage)'!F529/100/VLOOKUP($C$529,'DB animal categories'!$C$191:$AC$200,27,FALSE)*AJ529+Y529+Z529+AA529,IF(AS529=4,('Calc (ex-animal)'!$Q$100+'Calc (ex-animal)'!$R$100)*'Calc (ex-housing, ex-storage)'!F529/100*VLOOKUP(D529,'DB technologies'!$N$252:$Y$264,12,FALSE)/100/VLOOKUP($C$529,'DB animal categories'!$C$191:$AC$200,27,FALSE)*AJ529+Y529+Z529+AA529,0))))))</f>
        <v/>
      </c>
      <c r="BA529" s="506"/>
      <c r="BB529" s="506"/>
      <c r="BC529" s="506"/>
    </row>
    <row r="530" spans="1:55" x14ac:dyDescent="0.2">
      <c r="A530" s="748"/>
      <c r="B530" s="695"/>
      <c r="C530" s="251"/>
      <c r="D530" s="1357"/>
      <c r="E530" s="1358"/>
      <c r="F530" s="480" t="str">
        <f>IF('Calc (ex-animal)'!$F$98=1,"",IF($C$529=0,"",IF(D530="","",E530/'Calc (ex-animal)'!$E$100*100)))</f>
        <v/>
      </c>
      <c r="G530" s="485" t="str">
        <f>IF($C$529=0,"",IF('Calc (ex-animal)'!$F$98=1,"",IF(D530="","",SUM(H530:O530))))</f>
        <v/>
      </c>
      <c r="H530" s="423" t="str">
        <f>IF('Calc (ex-animal)'!$F$98=1,"",IF(D530="","",(((VLOOKUP($C$529,'Calc (ex-animal)'!$D$98:$Y$102,6,FALSE)-VLOOKUP($C$529,'Calc (ex-animal)'!$D$98:$Y$102,17,FALSE))*F530/100))*VLOOKUP($C$529,'Calc (ex-animal)'!$D$98:$Y$102,7,FALSE)/100*(1-VLOOKUP(D530,'DB technologies'!$N$252:$Y$264,9,FALSE)/100)))</f>
        <v/>
      </c>
      <c r="I530" s="423" t="str">
        <f>IF(D530="","",((VLOOKUP(D530,'DB technologies'!$N$252:$Y$264,2,FALSE)*VLOOKUP($C$529,'DB animal categories'!$C$191:$AC$200,27,FALSE)*E530/1000)/VLOOKUP($C$529,'DB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'!$S$6/100*(1-VLOOKUP(D530,'DB technologies'!$N$252:$Y$264,9,FALSE)/100)))</f>
        <v/>
      </c>
      <c r="J530" s="434" t="str">
        <f>IF(D530="","",((VLOOKUP(D530,'DB technologies'!$N$252:$Y$264,3,FALSE)*VLOOKUP($C$529,'DB animal categories'!$C$191:$AC$200,27,FALSE)*E530/1000)/VLOOKUP($C$529,'DB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'!$S$7/100*(1-VLOOKUP(D530,'DB technologies'!$N$252:$Y$264,9,FALSE)/100)))</f>
        <v/>
      </c>
      <c r="K530" s="434" t="str">
        <f>IF(D530="","",((VLOOKUP(D530,'DB technologies'!$N$252:$Y$264,4,FALSE)*E530*'DB additional information '!$S$8/100*(1-VLOOKUP(D530,'DB technologies'!$N$252:$Y$264,9,FALSE)/100))/VLOOKUP($C$529,'DB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L530" s="423" t="str">
        <f>IF('Calc (ex-animal)'!$F$98=1,"",IF(D530="","",(((VLOOKUP($C$529,'Calc (ex-animal)'!$D$98:$Y$102,6,FALSE)-VLOOKUP($C$529,'Calc (ex-animal)'!$D$98:$Y$102,17,FALSE))*F530/100))*(1-VLOOKUP($C$529,'Calc (ex-animal)'!$D$98:$Y$102,7,FALSE)/100)*(1-VLOOKUP(D530,'DB technologies'!$N$252:$V$264,8,FALSE)/100)))</f>
        <v/>
      </c>
      <c r="M530" s="434" t="str">
        <f>IF(D530="","",((VLOOKUP(D530,'DB technologies'!$N$252:$Y$264,2,FALSE)*VLOOKUP($C$529,'DB animal categories'!$C$191:$AC$200,27,FALSE)*E530/1000)/VLOOKUP($C$529,'DB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'!$S$6/100)*(1-VLOOKUP(D530,'DB technologies'!$N$252:$Y$264,9,FALSE)/100))</f>
        <v/>
      </c>
      <c r="N530" s="434" t="str">
        <f>IF(D530="","",((VLOOKUP(D530,'DB technologies'!$N$252:$Y$264,3,FALSE)*VLOOKUP($C$529,'DB animal categories'!$C$191:$AC$200,27,FALSE)*E530/1000)/VLOOKUP($C$529,'DB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'!$S$7/100)*(1-VLOOKUP(D530,'DB technologies'!$N$252:$Y$264,9,FALSE)/100))</f>
        <v/>
      </c>
      <c r="O530" s="423" t="str">
        <f>IF(D530="","",((VLOOKUP(D530,'DB technologies'!$N$252:$Y$264,4,FALSE)*E530*(1-'DB additional information '!$S$8/100)*(1-VLOOKUP(D530,'DB technologies'!$N$252:$Y$264,8,FALSE)/100))/VLOOKUP($C$529,'DB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P530" s="438" t="str">
        <f>IF(G530=0,0,IF(E530="","",IF(F530="","",IF($C$529=0,"",IF(D530="","",SUM(H530:K530)/G530*100)))))</f>
        <v/>
      </c>
      <c r="Q530" s="416" t="str">
        <f>IF(D530="","",(VLOOKUP(D530,'DB technologies'!$N$252:$Y$264,2,FALSE)*'DB additional information '!$S$6/100*'DB additional information '!$T$6*VLOOKUP($C$529,'DB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R530" s="416" t="str">
        <f>IF(D530="","",(VLOOKUP(D530,'DB technologies'!$N$252:$Y$264,3,FALSE)*'DB additional information '!$S$7/100*'DB additional information '!$T$7*VLOOKUP($C$529,'DB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S530" s="491" t="str">
        <f>IF(D530="","",(VLOOKUP(D530,'DB technologies'!$N$252:$Y$264,4,FALSE)*('DB additional information '!$S$8/100*'DB additional information '!$T$8*E530/1000/1000)))</f>
        <v/>
      </c>
      <c r="T530" s="264" t="str">
        <f>IF($C$529=0,"",IF('Calc (ex-animal)'!$F$98=1,"",IF(D530="","",((VLOOKUP($C$529,'Calc (ex-animal)'!$D$98:$Y$102,10,FALSE)-VLOOKUP($C$529,'Calc (ex-animal)'!$D$98:$Y$102,18,FALSE))*F530/100+Q530+R530+S530)-AC530-AD530-AE530)))</f>
        <v/>
      </c>
      <c r="U530" s="422" t="str">
        <f>IF(D530="","",(VLOOKUP(D530,'DB technologies'!$N$252:$Y$264,2,FALSE)*'DB additional information '!$S$6/100*'DB additional information '!$U$6*VLOOKUP($C$529,'DB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V530" s="418" t="str">
        <f>IF(D530="","",(VLOOKUP(D530,'DB technologies'!$N$252:$Y$264,3,FALSE)*'DB additional information '!$S$7/100*'DB additional information '!$U$7*VLOOKUP($C$529,'DB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W530" s="417" t="str">
        <f>IF(D530="","",(VLOOKUP(D530,'DB technologies'!$N$252:$Y$264,4,FALSE)*('DB additional information '!$S$8/100*'DB additional information '!$U$8*E530/1000/1000)))</f>
        <v/>
      </c>
      <c r="X530" s="261" t="str">
        <f>IF($C$529=0,"",IF('Calc (ex-animal)'!$F$98=1,"",IF(D530="","",((VLOOKUP($C$529,'Calc (ex-animal)'!$D$98:$Y$102,13,FALSE)-VLOOKUP($C$529,'Calc (ex-animal)'!$D$98:$Y$102,19,FALSE))*F530/100+U530+V530+W530))))</f>
        <v/>
      </c>
      <c r="Y530" s="418" t="str">
        <f>IF(D530="","",(VLOOKUP(D530,'DB technologies'!$N$252:$Y$264,2,FALSE)*'DB additional information '!$S$6/100*'DB additional information '!$V$6*VLOOKUP($C$529,'DB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Z530" s="418" t="str">
        <f>IF(D530="","",(VLOOKUP(D530,'DB technologies'!$N$252:$Y$264,3,FALSE)*'DB additional information '!$S$7/100*'DB additional information '!$V$7*VLOOKUP($C$529,'DB animal categories'!$C$191:$AC$200,27,FALSE)*E530/1000/1000)/VLOOKUP($C$529,'DB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AA530" s="418" t="str">
        <f>IF(D530="","",(VLOOKUP(D530,'DB technologies'!$N$252:$Y$264,4,FALSE)*('DB additional information '!$S$8/100*'DB additional information '!$V$8*E530/1000/1000)))</f>
        <v/>
      </c>
      <c r="AB530" s="261" t="str">
        <f>IF($C$529=0,"",IF('Calc (ex-animal)'!$F$98=1,"",IF(D530="","",((VLOOKUP($C$529,'Calc (ex-animal)'!$D$98:$Y$102,16,FALSE)-VLOOKUP($C$529,'Calc (ex-animal)'!$D$98:$Y$102,20,FALSE))*F530/100+Y530+Z530+AA530))))</f>
        <v/>
      </c>
      <c r="AC530" s="261" t="str">
        <f>IF($C$529=0,"",IF('Calc (ex-animal)'!$F$98=1,"",IF(D530="","",VLOOKUP($C$529,'Calc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categories'!$C$191:$AC$200,26,FALSE)/24)*F530/100*VLOOKUP(D530,'DB technologies'!$N$252:$R$264,5,FALSE)/100)))</f>
        <v/>
      </c>
      <c r="AD530" s="261" t="str">
        <f>IF($C$529=0,"",IF('Calc (ex-animal)'!$F$98=1,"",IF(D530="","",VLOOKUP($C$529,'Calc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categories'!$C$191:$AC$200,26,FALSE)/24)*F530/100*VLOOKUP(D530,'DB technologies'!$N$252:$Y$264,6,FALSE)/100)))</f>
        <v/>
      </c>
      <c r="AE530" s="262" t="str">
        <f>IF($C$529=0,"",IF('Calc (ex-animal)'!$F$98=1,"",IF(D530="","",VLOOKUP($C$529,'Calc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categories'!$C$191:$AC$200,26,FALSE)/24)*F530/100*VLOOKUP(D530,'DB technologies'!$N$252:$Y$264,7,FALSE)/100)))</f>
        <v/>
      </c>
      <c r="AI530" s="181" t="str">
        <f>IF(D530="","",VLOOKUP(D530,'DB technologies'!$N$252:$Y$264,10,FALSE))</f>
        <v/>
      </c>
      <c r="AJ530" s="449" t="e">
        <f>VLOOKUP($C$529,'DB animal categories'!$C$191:$AN$200,27,FALSE)-VLOOKUP($C$529,'DB animal categories'!$C$191:$AN$200,26,FALSE)*VLOOKUP($C$529,'DB animal categories'!$C$191:$AN$200,25,FALSE)/24</f>
        <v>#N/A</v>
      </c>
      <c r="AK530" s="442" t="str">
        <f>IF(AI530="","",AL530+AM530)</f>
        <v/>
      </c>
      <c r="AL530" s="442" t="str">
        <f>IF(D530="","",IF(AI530=2,(('Calc (ex-animal)'!$G$100*'DB additional information '!$K$21/100*(1-VLOOKUP(D530,'DB technologies'!$N$252:$Y$264,9,FALSE)/100)*'Calc (ex-housing, ex-storage)'!F530/100+'Calc (ex-animal)'!$H$100*'DB additional information '!$L$21/100*(1-VLOOKUP(D530,'DB technologies'!$N$252:$Y$264,9,FALSE)/100)*'Calc (ex-housing, ex-storage)'!F530/100))/VLOOKUP($C$529,'DB animal categories'!$C$191:$AC$200,27,FALSE)*AJ530+I530+J530+K530,IF(AI530=1,('Calc (ex-animal)'!$H$100*'DB additional information '!$L$21/100*(1-VLOOKUP(D530,'DB technologies'!$N$252:$Y$264,9,FALSE)/100)*'Calc (ex-housing, ex-storage)'!F530/100)/VLOOKUP($C$529,'DB animal categories'!$C$191:$AC$200,27,FALSE)*AJ530,IF(AI530=4,('Calc (ex-animal)'!$G$100*'DB additional information '!$K$21/100+'Calc (ex-animal)'!$H$100*'DB additional information '!$L$21/100)*(1-VLOOKUP(D530,'DB technologies'!$N$252:$Y$264,9,FALSE)/100)*'Calc (ex-housing, ex-storage)'!F530/100*VLOOKUP(D530,'DB technologies'!$N$252:$Y$264,11,FALSE)/100/VLOOKUP($C$529,'DB animal categories'!$C$191:$AC$200,27,FALSE)*AJ530,0))))</f>
        <v/>
      </c>
      <c r="AM530" s="442" t="str">
        <f>IF(D530="","",IF(AI530=2,(('Calc (ex-animal)'!$G$100*(1-'DB additional information '!$K$21/100)*(1-VLOOKUP(D530,'DB technologies'!$N$252:$Y$264,8,FALSE)/100)*'Calc (ex-housing, ex-storage)'!F530/100+'Calc (ex-animal)'!$H$100*(1-'DB additional information '!$L$21/100)*(1-VLOOKUP(D530,'DB technologies'!$N$252:$Y$264,8,FALSE)/100)*'Calc (ex-housing, ex-storage)'!F530/100))/VLOOKUP($C$529,'DB animal categories'!$C$191:$AC$200,27,FALSE)*AJ530+M530+N530+O530,IF(AI530=1,('Calc (ex-animal)'!$H$100*(1-'DB additional information '!$L$21/100)*(1-VLOOKUP(D530,'DB technologies'!$N$252:$Y$264,8,FALSE)/100)*'Calc (ex-housing, ex-storage)'!F530/100)/VLOOKUP($C$529,'DB animal categories'!$C$191:$AC$200,27,FALSE)*AJ530,IF(AI530=4,('Calc (ex-animal)'!$G$100*(1-'DB additional information '!$K$21/100)+'Calc (ex-animal)'!$H$100*(1-'DB additional information '!$L$21/100))*(1-VLOOKUP(D530,'DB technologies'!$N$252:$Y$264,8,FALSE)/100)*'Calc (ex-housing, ex-storage)'!F530/100*VLOOKUP(D530,'DB technologies'!$N$252:$Y$264,11,FALSE)/100/VLOOKUP($C$529,'DB animal categories'!$C$191:$AC$200,27,FALSE)*AJ530,0))))</f>
        <v/>
      </c>
      <c r="AN530" s="442" t="str">
        <f>IF(AI530="","",IF(AL530=0,0,AL530/AK530*100))</f>
        <v/>
      </c>
      <c r="AO530" s="182" t="str">
        <f>IF(D530="","",IF(AI530=2,(('Calc (ex-animal)'!$L$100*'Calc (ex-housing, ex-storage)'!F530/100+'Calc (ex-animal)'!$K$100*'Calc (ex-housing, ex-storage)'!F530/100))/VLOOKUP($C$529,'DB animal categories'!$C$191:$AC$200,27,FALSE)*AJ530+Q530+R530+S530-AC530,IF(AI530=1,('Calc (ex-animal)'!$L$100*'Calc (ex-housing, ex-storage)'!F530/100)/VLOOKUP($C$529,'DB animal categories'!$C$191:$AC$200,27,FALSE)*AJ530-'Calc (ex-housing, ex-storage)'!AC530,IF(AI530=4,('Calc (ex-animal)'!$L$100+'Calc (ex-animal)'!$K$100)*'Calc (ex-housing, ex-storage)'!F530/100*VLOOKUP(D530,'DB technologies'!$N$252:$Y$264,11,FALSE)/100/VLOOKUP($C$529,'DB animal categories'!$C$191:$AC$200,27,FALSE)*AJ530-AC530*VLOOKUP(D530,'DB technologies'!$N$252:$Y$264,11,FALSE)/100,0))))</f>
        <v/>
      </c>
      <c r="AP530" s="182" t="str">
        <f>IF(D530="","",IF(AO530&lt;-0.01,0,IF(AI530=2,(('Calc (ex-animal)'!$L$100*'Calc (ex-housing, ex-storage)'!F530/100+'Calc (ex-animal)'!$K$100*'Calc (ex-housing, ex-storage)'!F530/100))/VLOOKUP($C$529,'DB animal categories'!$C$191:$AC$200,27,FALSE)*AJ530+Q530+R530+S530-AC530,IF(AI530=1,('Calc (ex-animal)'!$L$100*'Calc (ex-housing, ex-storage)'!F530/100)/VLOOKUP($C$529,'DB animal categories'!$C$191:$AC$200,27,FALSE)*AJ530-'Calc (ex-housing, ex-storage)'!AC530,IF(AI530=4,('Calc (ex-animal)'!$L$100+'Calc (ex-animal)'!$K$100)*'Calc (ex-housing, ex-storage)'!F530/100*VLOOKUP(D530,'DB technologies'!$N$252:$Y$264,11,FALSE)/100/VLOOKUP($C$529,'DB animal categories'!$C$191:$AC$200,27,FALSE)*AJ530-AC530*VLOOKUP(D530,'DB technologies'!$N$252:$Y$264,11,FALSE)/100,0)))))</f>
        <v/>
      </c>
      <c r="AQ530" s="182" t="str">
        <f>IF(D530="","",IF(AI530=2,('Calc (ex-animal)'!$O$100*'Calc (ex-housing, ex-storage)'!F530/100+'Calc (ex-animal)'!$N$100*'Calc (ex-housing, ex-storage)'!F530/100)/VLOOKUP($C$529,'DB animal categories'!$C$191:$AC$200,27,FALSE)*AJ530+U530+V530+W530,IF(AI530=1,'Calc (ex-animal)'!$O$100*'Calc (ex-housing, ex-storage)'!F530/100/VLOOKUP($C$529,'DB animal categories'!$C$191:$AC$200,27,FALSE)*AJ530,IF(AI530=4,('Calc (ex-animal)'!$O$100+'Calc (ex-animal)'!$N$100)*'Calc (ex-housing, ex-storage)'!F530/100*VLOOKUP(D530,'DB technologies'!$N$252:$Y$264,11,FALSE)/100/VLOOKUP($C$529,'DB animal categories'!$C$191:$AC$200,27,FALSE)*AJ530,0))))</f>
        <v/>
      </c>
      <c r="AR530" s="182" t="str">
        <f>IF(D530="","",IF(AI530=2,('Calc (ex-animal)'!$R$100*'Calc (ex-housing, ex-storage)'!F530/100+'Calc (ex-animal)'!$Q$100*'Calc (ex-housing, ex-storage)'!F530/100)/VLOOKUP($C$529,'DB animal categories'!$C$191:$AC$200,27,FALSE)*AJ530+Y530+Z530+AA530,IF(AI530=1,'Calc (ex-animal)'!$R$100*'Calc (ex-housing, ex-storage)'!F530/100/VLOOKUP($C$529,'DB animal categories'!$C$191:$AC$200,27,FALSE)*AJ530,IF(AI530=4,('Calc (ex-animal)'!$R$100+'Calc (ex-animal)'!$Q$100)*'Calc (ex-housing, ex-storage)'!F530/100*VLOOKUP(D530,'DB technologies'!$N$252:$Y$264,11,FALSE)/100/VLOOKUP($C$529,'DB animal categories'!$C$191:$AC$200,27,FALSE)*AJ530,0))))</f>
        <v/>
      </c>
      <c r="AS530" s="181" t="str">
        <f>IF(D530="","",VLOOKUP(D530,'DB technologies'!$N$252:$Y$264,10,FALSE))</f>
        <v/>
      </c>
      <c r="AT530" s="442" t="str">
        <f>IF(AS530="","",AU530+AV530)</f>
        <v/>
      </c>
      <c r="AU530" s="442" t="str">
        <f>IF(D530="","",IF(AS530=2,0,IF(AS530=1,'Calc (ex-animal)'!$G$100*'DB additional information '!$K$21/100*(1-VLOOKUP(D530,'DB technologies'!$N$252:$Y$264,8,FALSE)/100)*'Calc (ex-housing, ex-storage)'!F530/100/VLOOKUP($C$529,'DB animal categories'!$C$191:$AC$200,27,FALSE)*AJ530+I530+J530+K530,IF(AS530=5,(('Calc (ex-animal)'!$G$100*'DB additional information '!$K$21/100+'Calc (ex-animal)'!$H$100*'DB additional information '!$L$21/100))*(1-VLOOKUP(D530,'DB technologies'!$N$252:$Y$264,9,FALSE)/100)*'Calc (ex-housing, ex-storage)'!F530/100/VLOOKUP($C$529,'DB animal categories'!$C$191:$AC$200,27,FALSE)*AJ530+I530+J530+K530,IF(AS530=3,('Calc (ex-animal)'!$G$100*'DB additional information '!$K$21/100+'Calc (ex-animal)'!$H$100*'DB additional information '!$L$21/100)*(1-VLOOKUP(D530,'DB technologies'!$N$252:$Y$264,9,FALSE)/100)*'Calc (ex-housing, ex-storage)'!F530/100/VLOOKUP($C$529,'DB animal categories'!$C$191:$AC$200,27,FALSE)*AJ530+I530+J530+K530,IF(AS530=4,('Calc (ex-animal)'!$G$100*'DB additional information '!$K$21/100+'Calc (ex-animal)'!$H$100*'DB additional information '!$L$21/100)*(1-VLOOKUP(D530,'DB technologies'!$N$252:$Y$264,9,FALSE)/100)*'Calc (ex-housing, ex-storage)'!F530/100*VLOOKUP(D530,'DB technologies'!$N$252:$Y$264,12,FALSE)/100/VLOOKUP($C$529,'DB animal categories'!$C$191:$AC$200,27,FALSE)*AJ530+I530+J530+K530,0))))))</f>
        <v/>
      </c>
      <c r="AV530" s="442" t="str">
        <f>IF(D530="","",IF(AS530=2,0,IF(AS530=1,'Calc (ex-animal)'!$G$100*(1-'DB additional information '!$K$21/100)*(1-VLOOKUP(D530,'DB technologies'!$N$252:$Y$264,8,FALSE)/100)*'Calc (ex-housing, ex-storage)'!F530/100/VLOOKUP($C$529,'DB animal categories'!$C$191:$AC$200,27,FALSE)*AJ530+M530+N530+O530,IF(AS530=5,('Calc (ex-animal)'!$G$100*(1-'DB additional information '!$K$21/100)+'Calc (ex-animal)'!$H$100*(1-'DB additional information '!$L$21/100))*(1-VLOOKUP(D530,'DB technologies'!$N$252:$Y$264,8,FALSE)/100)*'Calc (ex-housing, ex-storage)'!F530/100/VLOOKUP($C$529,'DB animal categories'!$C$191:$AC$200,27,FALSE)*AJ530+M530+N530+O530,IF(AS530=3,('Calc (ex-animal)'!$G$100*(1-'DB additional information '!$K$21/100)+'Calc (ex-animal)'!$H$100*(1-'DB additional information '!$L$21/100))*(1-VLOOKUP(D530,'DB technologies'!$N$252:$Y$264,8,FALSE)/100)*'Calc (ex-housing, ex-storage)'!F530/100/VLOOKUP($C$529,'DB animal categories'!$C$191:$AC$200,27,FALSE)*AJ530+M530+N530+O530,IF(AS530=4,('Calc (ex-animal)'!$G$100*(1-'DB additional information '!$K$21/100)+'Calc (ex-animal)'!$H$100*(1-'DB additional information '!$L$21/100))*(1-VLOOKUP(D530,'DB technologies'!$N$252:$Y$264,8,FALSE)/100)*'Calc (ex-housing, ex-storage)'!F530/100*VLOOKUP(D530,'DB technologies'!$N$252:$Y$264,12,FALSE)/100/VLOOKUP($C$529,'DB animal categories'!$C$191:$AC$200,27,FALSE)*AJ530+M530+N530+O530,0))))))</f>
        <v/>
      </c>
      <c r="AW530" s="442" t="str">
        <f>IF(AS530="","",IF(AU530=0,0,AU530/AT530*100))</f>
        <v/>
      </c>
      <c r="AX530" s="182" t="str">
        <f>IF(D530="","",IF(AS530=2,0,IF(AS530=1,'Calc (ex-animal)'!$K$100*'Calc (ex-housing, ex-storage)'!F530/100/VLOOKUP($C$529,'DB animal categories'!$C$191:$AC$200,27,FALSE)*AJ530+Q530+R530+S530,IF(AS530=5,('Calc (ex-animal)'!$K$100+'Calc (ex-animal)'!$L$100)*'Calc (ex-housing, ex-storage)'!F530/100/VLOOKUP($C$529,'DB animal categories'!$C$191:$AC$200,27,FALSE)*AJ530+Q530+R530+S530-'Calc (ex-housing, ex-storage)'!AC530,IF(AS530=3,('Calc (ex-animal)'!$K$100+'Calc (ex-animal)'!$L$100)*'Calc (ex-housing, ex-storage)'!F530/100/VLOOKUP($C$529,'DB animal categories'!$C$191:$AC$200,27,FALSE)*AJ530+Q530+R530+S530-'Calc (ex-housing, ex-storage)'!AC530-AD530-AE530,IF(AI530=4,('Calc (ex-animal)'!$K$100+'Calc (ex-animal)'!$L$100)*'Calc (ex-housing, ex-storage)'!F530/100*VLOOKUP(D530,'DB technologies'!$N$252:$Y$264,12,FALSE)/100/VLOOKUP($C$529,'DB animal categories'!$C$191:$AC$200,27,FALSE)*AJ530+Q530+R530+S530-(VLOOKUP(D530,'DB technologies'!$N$252:$Y$264,12,FALSE)/100*AC530)-AD530-AE530,0))))))</f>
        <v/>
      </c>
      <c r="AY530" s="182" t="str">
        <f>IF(D530="","",IF(AS530=2,0,IF(AS530=1,'Calc (ex-animal)'!$N$100*'Calc (ex-housing, ex-storage)'!F530/100/VLOOKUP($C$529,'DB animal categories'!$C$191:$AC$200,27,FALSE)*AJ530+U530+V530+W530,IF(AS530=5,('Calc (ex-animal)'!$N$100+'Calc (ex-animal)'!$O$100)*'Calc (ex-housing, ex-storage)'!F530/100/VLOOKUP($C$529,'DB animal categories'!$C$191:$AC$200,27,FALSE)*AJ530+U530+V530+W530,IF(AS530=3,('Calc (ex-animal)'!$N$100+'Calc (ex-animal)'!$O$100)*'Calc (ex-housing, ex-storage)'!F530/100/VLOOKUP($C$529,'DB animal categories'!$C$191:$AC$200,27,FALSE)*AJ530+U530+V530+W530,IF(AS530=4,('Calc (ex-animal)'!$N$100+'Calc (ex-animal)'!$O$100)*'Calc (ex-housing, ex-storage)'!F530/100*VLOOKUP(D530,'DB technologies'!$N$252:$Y$264,12,FALSE)/100/VLOOKUP($C$529,'DB animal categories'!$C$191:$AC$200,27,FALSE)*AJ530+U530+V530+W530,0))))))</f>
        <v/>
      </c>
      <c r="AZ530" s="182" t="str">
        <f>IF(D530="","",IF(AS530=2,0,IF(AS530=1,'Calc (ex-animal)'!$Q$100*'Calc (ex-housing, ex-storage)'!F530/100/VLOOKUP($C$529,'DB animal categories'!$C$191:$AC$200,27,FALSE)*AJ530+Y530+Z530+AA530,IF(AS530=5,('Calc (ex-animal)'!$Q$100+'Calc (ex-animal)'!$R$100)*'Calc (ex-housing, ex-storage)'!F530/100/VLOOKUP($C$529,'DB animal categories'!$C$191:$AC$200,27,FALSE)*AJ530+Y530+Z530+AA530,IF(AS530=3,('Calc (ex-animal)'!$Q$100+'Calc (ex-animal)'!$R$100)*'Calc (ex-housing, ex-storage)'!F530/100/VLOOKUP($C$529,'DB animal categories'!$C$191:$AC$200,27,FALSE)*AJ530+Y530+Z530+AA530,IF(AS530=4,('Calc (ex-animal)'!$Q$100+'Calc (ex-animal)'!$R$100)*'Calc (ex-housing, ex-storage)'!F530/100*VLOOKUP(D530,'DB technologies'!$N$252:$Y$264,12,FALSE)/100/VLOOKUP($C$529,'DB animal categories'!$C$191:$AC$200,27,FALSE)*AJ530+Y530+Z530+AA530,0))))))</f>
        <v/>
      </c>
      <c r="BA530" s="506"/>
      <c r="BB530" s="506"/>
      <c r="BC530" s="506"/>
    </row>
    <row r="531" spans="1:55" x14ac:dyDescent="0.2">
      <c r="A531" s="748"/>
      <c r="B531" s="695"/>
      <c r="C531" s="251"/>
      <c r="D531" s="1357"/>
      <c r="E531" s="1358"/>
      <c r="F531" s="480" t="str">
        <f>IF('Calc (ex-animal)'!$F$98=1,"",IF($C$529=0,"",IF(D531="","",E531/'Calc (ex-animal)'!$E$100*100)))</f>
        <v/>
      </c>
      <c r="G531" s="485" t="str">
        <f>IF($C$529=0,"",IF('Calc (ex-animal)'!$F$98=1,"",IF(D531="","",SUM(H531:O531))))</f>
        <v/>
      </c>
      <c r="H531" s="423" t="str">
        <f>IF('Calc (ex-animal)'!$F$98=1,"",IF(D531="","",(((VLOOKUP($C$529,'Calc (ex-animal)'!$D$98:$Y$102,6,FALSE)-VLOOKUP($C$529,'Calc (ex-animal)'!$D$98:$Y$102,17,FALSE))*F531/100))*VLOOKUP($C$529,'Calc (ex-animal)'!$D$98:$Y$102,7,FALSE)/100*(1-VLOOKUP(D531,'DB technologies'!$N$252:$Y$264,9,FALSE)/100)))</f>
        <v/>
      </c>
      <c r="I531" s="423" t="str">
        <f>IF(D531="","",((VLOOKUP(D531,'DB technologies'!$N$252:$Y$264,2,FALSE)*VLOOKUP($C$529,'DB animal categories'!$C$191:$AC$200,27,FALSE)*E531/1000)/VLOOKUP($C$529,'DB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'!$S$6/100*(1-VLOOKUP(D531,'DB technologies'!$N$252:$Y$264,9,FALSE)/100)))</f>
        <v/>
      </c>
      <c r="J531" s="434" t="str">
        <f>IF(D531="","",((VLOOKUP(D531,'DB technologies'!$N$252:$Y$264,3,FALSE)*VLOOKUP($C$529,'DB animal categories'!$C$191:$AC$200,27,FALSE)*E531/1000)/VLOOKUP($C$529,'DB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'!$S$7/100*(1-VLOOKUP(D531,'DB technologies'!$N$252:$Y$264,9,FALSE)/100)))</f>
        <v/>
      </c>
      <c r="K531" s="434" t="str">
        <f>IF(D531="","",((VLOOKUP(D531,'DB technologies'!$N$252:$Y$264,4,FALSE)*E531*'DB additional information '!$S$8/100*(1-VLOOKUP(D531,'DB technologies'!$N$252:$Y$264,9,FALSE)/100))/VLOOKUP($C$529,'DB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L531" s="423" t="str">
        <f>IF('Calc (ex-animal)'!$F$98=1,"",IF(D531="","",(((VLOOKUP($C$529,'Calc (ex-animal)'!$D$98:$Y$102,6,FALSE)-VLOOKUP($C$529,'Calc (ex-animal)'!$D$98:$Y$102,17,FALSE))*F531/100))*(1-VLOOKUP($C$529,'Calc (ex-animal)'!$D$98:$Y$102,7,FALSE)/100)*(1-VLOOKUP(D531,'DB technologies'!$N$252:$V$264,8,FALSE)/100)))</f>
        <v/>
      </c>
      <c r="M531" s="434" t="str">
        <f>IF(D531="","",((VLOOKUP(D531,'DB technologies'!$N$252:$Y$264,2,FALSE)*VLOOKUP($C$529,'DB animal categories'!$C$191:$AC$200,27,FALSE)*E531/1000)/VLOOKUP($C$529,'DB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'!$S$6/100)*(1-VLOOKUP(D531,'DB technologies'!$N$252:$Y$264,9,FALSE)/100))</f>
        <v/>
      </c>
      <c r="N531" s="434" t="str">
        <f>IF(D531="","",((VLOOKUP(D531,'DB technologies'!$N$252:$Y$264,3,FALSE)*VLOOKUP($C$529,'DB animal categories'!$C$191:$AC$200,27,FALSE)*E531/1000)/VLOOKUP($C$529,'DB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'!$S$7/100)*(1-VLOOKUP(D531,'DB technologies'!$N$252:$Y$264,9,FALSE)/100))</f>
        <v/>
      </c>
      <c r="O531" s="423" t="str">
        <f>IF(D531="","",((VLOOKUP(D531,'DB technologies'!$N$252:$Y$264,4,FALSE)*E531*(1-'DB additional information '!$S$8/100)*(1-VLOOKUP(D531,'DB technologies'!$N$252:$Y$264,8,FALSE)/100))/VLOOKUP($C$529,'DB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P531" s="438" t="str">
        <f>IF(G531=0,0,IF(E531="","",IF(F531="","",IF($C$529=0,"",IF(D531="","",SUM(H531:K531)/G531*100)))))</f>
        <v/>
      </c>
      <c r="Q531" s="416" t="str">
        <f>IF(D531="","",(VLOOKUP(D531,'DB technologies'!$N$252:$Y$264,2,FALSE)*'DB additional information '!$S$6/100*'DB additional information '!$T$6*VLOOKUP($C$529,'DB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R531" s="416" t="str">
        <f>IF(D531="","",(VLOOKUP(D531,'DB technologies'!$N$252:$Y$264,3,FALSE)*'DB additional information '!$S$7/100*'DB additional information '!$T$7*VLOOKUP($C$529,'DB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S531" s="491" t="str">
        <f>IF(D531="","",(VLOOKUP(D531,'DB technologies'!$N$252:$Y$264,4,FALSE)*('DB additional information '!$S$8/100*'DB additional information '!$T$8*E531/1000/1000)))</f>
        <v/>
      </c>
      <c r="T531" s="264" t="str">
        <f>IF($C$529=0,"",IF('Calc (ex-animal)'!$F$98=1,"",IF(D531="","",((VLOOKUP($C$529,'Calc (ex-animal)'!$D$98:$Y$102,10,FALSE)-VLOOKUP($C$529,'Calc (ex-animal)'!$D$98:$Y$102,18,FALSE))*F531/100+Q531+R531+S531)-AC531-AD531-AE531)))</f>
        <v/>
      </c>
      <c r="U531" s="422" t="str">
        <f>IF(D531="","",(VLOOKUP(D531,'DB technologies'!$N$252:$Y$264,2,FALSE)*'DB additional information '!$S$6/100*'DB additional information '!$U$6*VLOOKUP($C$529,'DB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V531" s="418" t="str">
        <f>IF(D531="","",(VLOOKUP(D531,'DB technologies'!$N$252:$Y$264,3,FALSE)*'DB additional information '!$S$7/100*'DB additional information '!$U$7*VLOOKUP($C$529,'DB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W531" s="417" t="str">
        <f>IF(D531="","",(VLOOKUP(D531,'DB technologies'!$N$252:$Y$264,4,FALSE)*('DB additional information '!$S$8/100*'DB additional information '!$U$8*E531/1000/1000)))</f>
        <v/>
      </c>
      <c r="X531" s="261" t="str">
        <f>IF($C$529=0,"",IF('Calc (ex-animal)'!$F$98=1,"",IF(D531="","",((VLOOKUP($C$529,'Calc (ex-animal)'!$D$98:$Y$102,13,FALSE)-VLOOKUP($C$529,'Calc (ex-animal)'!$D$98:$Y$102,19,FALSE))*F531/100+U531+V531+W531))))</f>
        <v/>
      </c>
      <c r="Y531" s="418" t="str">
        <f>IF(D531="","",(VLOOKUP(D531,'DB technologies'!$N$252:$Y$264,2,FALSE)*'DB additional information '!$S$6/100*'DB additional information '!$V$6*VLOOKUP($C$529,'DB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Z531" s="418" t="str">
        <f>IF(D531="","",(VLOOKUP(D531,'DB technologies'!$N$252:$Y$264,3,FALSE)*'DB additional information '!$S$7/100*'DB additional information '!$V$7*VLOOKUP($C$529,'DB animal categories'!$C$191:$AC$200,27,FALSE)*E531/1000/1000)/VLOOKUP($C$529,'DB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AA531" s="418" t="str">
        <f>IF(D531="","",(VLOOKUP(D531,'DB technologies'!$N$252:$Y$264,4,FALSE)*('DB additional information '!$S$8/100*'DB additional information '!$V$8*E531/1000/1000)))</f>
        <v/>
      </c>
      <c r="AB531" s="261" t="str">
        <f>IF($C$529=0,"",IF('Calc (ex-animal)'!$F$98=1,"",IF(D531="","",((VLOOKUP($C$529,'Calc (ex-animal)'!$D$98:$Y$102,16,FALSE)-VLOOKUP($C$529,'Calc (ex-animal)'!$D$98:$Y$102,20,FALSE))*F531/100+Y531+Z531+AA531))))</f>
        <v/>
      </c>
      <c r="AC531" s="261" t="str">
        <f>IF($C$529=0,"",IF('Calc (ex-animal)'!$F$98=1,"",IF(D531="","",VLOOKUP($C$529,'Calc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categories'!$C$191:$AC$200,26,FALSE)/24)*F531/100*VLOOKUP(D531,'DB technologies'!$N$252:$R$264,5,FALSE)/100)))</f>
        <v/>
      </c>
      <c r="AD531" s="261" t="str">
        <f>IF($C$529=0,"",IF('Calc (ex-animal)'!$F$98=1,"",IF(D531="","",VLOOKUP($C$529,'Calc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categories'!$C$191:$AC$200,26,FALSE)/24)*F531/100*VLOOKUP(D531,'DB technologies'!$N$252:$Y$264,6,FALSE)/100)))</f>
        <v/>
      </c>
      <c r="AE531" s="262" t="str">
        <f>IF($C$529=0,"",IF('Calc (ex-animal)'!$F$98=1,"",IF(D531="","",VLOOKUP($C$529,'Calc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categories'!$C$191:$AC$200,26,FALSE)/24)*F531/100*VLOOKUP(D531,'DB technologies'!$N$252:$Y$264,7,FALSE)/100)))</f>
        <v/>
      </c>
      <c r="AI531" s="181" t="str">
        <f>IF(D531="","",VLOOKUP(D531,'DB technologies'!$N$252:$Y$264,10,FALSE))</f>
        <v/>
      </c>
      <c r="AJ531" s="449" t="e">
        <f>VLOOKUP($C$529,'DB animal categories'!$C$191:$AN$200,27,FALSE)-VLOOKUP($C$529,'DB animal categories'!$C$191:$AN$200,26,FALSE)*VLOOKUP($C$529,'DB animal categories'!$C$191:$AN$200,25,FALSE)/24</f>
        <v>#N/A</v>
      </c>
      <c r="AK531" s="442" t="str">
        <f>IF(AI531="","",AL531+AM531)</f>
        <v/>
      </c>
      <c r="AL531" s="442" t="str">
        <f>IF(D531="","",IF(AI531=2,(('Calc (ex-animal)'!$G$100*'DB additional information '!$K$21/100*(1-VLOOKUP(D531,'DB technologies'!$N$252:$Y$264,9,FALSE)/100)*'Calc (ex-housing, ex-storage)'!F531/100+'Calc (ex-animal)'!$H$100*'DB additional information '!$L$21/100*(1-VLOOKUP(D531,'DB technologies'!$N$252:$Y$264,9,FALSE)/100)*'Calc (ex-housing, ex-storage)'!F531/100))/VLOOKUP($C$529,'DB animal categories'!$C$191:$AC$200,27,FALSE)*AJ531+I531+J531+K531,IF(AI531=1,('Calc (ex-animal)'!$H$100*'DB additional information '!$L$21/100*(1-VLOOKUP(D531,'DB technologies'!$N$252:$Y$264,9,FALSE)/100)*'Calc (ex-housing, ex-storage)'!F531/100)/VLOOKUP($C$529,'DB animal categories'!$C$191:$AC$200,27,FALSE)*AJ531,IF(AI531=4,('Calc (ex-animal)'!$G$100*'DB additional information '!$K$21/100+'Calc (ex-animal)'!$H$100*'DB additional information '!$L$21/100)*(1-VLOOKUP(D531,'DB technologies'!$N$252:$Y$264,9,FALSE)/100)*'Calc (ex-housing, ex-storage)'!F531/100*VLOOKUP(D531,'DB technologies'!$N$252:$Y$264,11,FALSE)/100/VLOOKUP($C$529,'DB animal categories'!$C$191:$AC$200,27,FALSE)*AJ531,0))))</f>
        <v/>
      </c>
      <c r="AM531" s="442" t="str">
        <f>IF(D531="","",IF(AI531=2,(('Calc (ex-animal)'!$G$100*(1-'DB additional information '!$K$21/100)*(1-VLOOKUP(D531,'DB technologies'!$N$252:$Y$264,8,FALSE)/100)*'Calc (ex-housing, ex-storage)'!F531/100+'Calc (ex-animal)'!$H$100*(1-'DB additional information '!$L$21/100)*(1-VLOOKUP(D531,'DB technologies'!$N$252:$Y$264,8,FALSE)/100)*'Calc (ex-housing, ex-storage)'!F531/100))/VLOOKUP($C$529,'DB animal categories'!$C$191:$AC$200,27,FALSE)*AJ531+M531+N531+O531,IF(AI531=1,('Calc (ex-animal)'!$H$100*(1-'DB additional information '!$L$21/100)*(1-VLOOKUP(D531,'DB technologies'!$N$252:$Y$264,8,FALSE)/100)*'Calc (ex-housing, ex-storage)'!F531/100)/VLOOKUP($C$529,'DB animal categories'!$C$191:$AC$200,27,FALSE)*AJ531,IF(AI531=4,('Calc (ex-animal)'!$G$100*(1-'DB additional information '!$K$21/100)+'Calc (ex-animal)'!$H$100*(1-'DB additional information '!$L$21/100))*(1-VLOOKUP(D531,'DB technologies'!$N$252:$Y$264,8,FALSE)/100)*'Calc (ex-housing, ex-storage)'!F531/100*VLOOKUP(D531,'DB technologies'!$N$252:$Y$264,11,FALSE)/100/VLOOKUP($C$529,'DB animal categories'!$C$191:$AC$200,27,FALSE)*AJ531,0))))</f>
        <v/>
      </c>
      <c r="AN531" s="442" t="str">
        <f>IF(AI531="","",IF(AL531=0,0,AL531/AK531*100))</f>
        <v/>
      </c>
      <c r="AO531" s="182" t="str">
        <f>IF(D531="","",IF(AI531=2,(('Calc (ex-animal)'!$L$100*'Calc (ex-housing, ex-storage)'!F531/100+'Calc (ex-animal)'!$K$100*'Calc (ex-housing, ex-storage)'!F531/100))/VLOOKUP($C$529,'DB animal categories'!$C$191:$AC$200,27,FALSE)*AJ531+Q531+R531+S531-AC531,IF(AI531=1,('Calc (ex-animal)'!$L$100*'Calc (ex-housing, ex-storage)'!F531/100)/VLOOKUP($C$529,'DB animal categories'!$C$191:$AC$200,27,FALSE)*AJ531-'Calc (ex-housing, ex-storage)'!AC531,IF(AI531=4,('Calc (ex-animal)'!$L$100+'Calc (ex-animal)'!$K$100)*'Calc (ex-housing, ex-storage)'!F531/100*VLOOKUP(D531,'DB technologies'!$N$252:$Y$264,11,FALSE)/100/VLOOKUP($C$529,'DB animal categories'!$C$191:$AC$200,27,FALSE)*AJ531-AC531*VLOOKUP(D531,'DB technologies'!$N$252:$Y$264,11,FALSE)/100,0))))</f>
        <v/>
      </c>
      <c r="AP531" s="182" t="str">
        <f>IF(D531="","",IF(AO531&lt;-0.01,0,IF(AI531=2,(('Calc (ex-animal)'!$L$100*'Calc (ex-housing, ex-storage)'!F531/100+'Calc (ex-animal)'!$K$100*'Calc (ex-housing, ex-storage)'!F531/100))/VLOOKUP($C$529,'DB animal categories'!$C$191:$AC$200,27,FALSE)*AJ531+Q531+R531+S531-AC531,IF(AI531=1,('Calc (ex-animal)'!$L$100*'Calc (ex-housing, ex-storage)'!F531/100)/VLOOKUP($C$529,'DB animal categories'!$C$191:$AC$200,27,FALSE)*AJ531-'Calc (ex-housing, ex-storage)'!AC531,IF(AI531=4,('Calc (ex-animal)'!$L$100+'Calc (ex-animal)'!$K$100)*'Calc (ex-housing, ex-storage)'!F531/100*VLOOKUP(D531,'DB technologies'!$N$252:$Y$264,11,FALSE)/100/VLOOKUP($C$529,'DB animal categories'!$C$191:$AC$200,27,FALSE)*AJ531-AC531*VLOOKUP(D531,'DB technologies'!$N$252:$Y$264,11,FALSE)/100,0)))))</f>
        <v/>
      </c>
      <c r="AQ531" s="182" t="str">
        <f>IF(D531="","",IF(AI531=2,('Calc (ex-animal)'!$O$100*'Calc (ex-housing, ex-storage)'!F531/100+'Calc (ex-animal)'!$N$100*'Calc (ex-housing, ex-storage)'!F531/100)/VLOOKUP($C$529,'DB animal categories'!$C$191:$AC$200,27,FALSE)*AJ531+U531+V531+W531,IF(AI531=1,'Calc (ex-animal)'!$O$100*'Calc (ex-housing, ex-storage)'!F531/100/VLOOKUP($C$529,'DB animal categories'!$C$191:$AC$200,27,FALSE)*AJ531,IF(AI531=4,('Calc (ex-animal)'!$O$100+'Calc (ex-animal)'!$N$100)*'Calc (ex-housing, ex-storage)'!F531/100*VLOOKUP(D531,'DB technologies'!$N$252:$Y$264,11,FALSE)/100/VLOOKUP($C$529,'DB animal categories'!$C$191:$AC$200,27,FALSE)*AJ531,0))))</f>
        <v/>
      </c>
      <c r="AR531" s="182" t="str">
        <f>IF(D531="","",IF(AI531=2,('Calc (ex-animal)'!$R$100*'Calc (ex-housing, ex-storage)'!F531/100+'Calc (ex-animal)'!$Q$100*'Calc (ex-housing, ex-storage)'!F531/100)/VLOOKUP($C$529,'DB animal categories'!$C$191:$AC$200,27,FALSE)*AJ531+Y531+Z531+AA531,IF(AI531=1,'Calc (ex-animal)'!$R$100*'Calc (ex-housing, ex-storage)'!F531/100/VLOOKUP($C$529,'DB animal categories'!$C$191:$AC$200,27,FALSE)*AJ531,IF(AI531=4,('Calc (ex-animal)'!$R$100+'Calc (ex-animal)'!$Q$100)*'Calc (ex-housing, ex-storage)'!F531/100*VLOOKUP(D531,'DB technologies'!$N$252:$Y$264,11,FALSE)/100/VLOOKUP($C$529,'DB animal categories'!$C$191:$AC$200,27,FALSE)*AJ531,0))))</f>
        <v/>
      </c>
      <c r="AS531" s="181" t="str">
        <f>IF(D531="","",VLOOKUP(D531,'DB technologies'!$N$252:$Y$264,10,FALSE))</f>
        <v/>
      </c>
      <c r="AT531" s="442" t="str">
        <f>IF(AS531="","",AU531+AV531)</f>
        <v/>
      </c>
      <c r="AU531" s="442" t="str">
        <f>IF(D531="","",IF(AS531=2,0,IF(AS531=1,'Calc (ex-animal)'!$G$100*'DB additional information '!$K$21/100*(1-VLOOKUP(D531,'DB technologies'!$N$252:$Y$264,8,FALSE)/100)*'Calc (ex-housing, ex-storage)'!F531/100/VLOOKUP($C$529,'DB animal categories'!$C$191:$AC$200,27,FALSE)*AJ531+I531+J531+K531,IF(AS531=5,(('Calc (ex-animal)'!$G$100*'DB additional information '!$K$21/100+'Calc (ex-animal)'!$H$100*'DB additional information '!$L$21/100))*(1-VLOOKUP(D531,'DB technologies'!$N$252:$Y$264,9,FALSE)/100)*'Calc (ex-housing, ex-storage)'!F531/100/VLOOKUP($C$529,'DB animal categories'!$C$191:$AC$200,27,FALSE)*AJ531+I531+J531+K531,IF(AS531=3,('Calc (ex-animal)'!$G$100*'DB additional information '!$K$21/100+'Calc (ex-animal)'!$H$100*'DB additional information '!$L$21/100)*(1-VLOOKUP(D531,'DB technologies'!$N$252:$Y$264,9,FALSE)/100)*'Calc (ex-housing, ex-storage)'!F531/100/VLOOKUP($C$529,'DB animal categories'!$C$191:$AC$200,27,FALSE)*AJ531+I531+J531+K531,IF(AS531=4,('Calc (ex-animal)'!$G$100*'DB additional information '!$K$21/100+'Calc (ex-animal)'!$H$100*'DB additional information '!$L$21/100)*(1-VLOOKUP(D531,'DB technologies'!$N$252:$Y$264,9,FALSE)/100)*'Calc (ex-housing, ex-storage)'!F531/100*VLOOKUP(D531,'DB technologies'!$N$252:$Y$264,12,FALSE)/100/VLOOKUP($C$529,'DB animal categories'!$C$191:$AC$200,27,FALSE)*AJ531+I531+J531+K531,0))))))</f>
        <v/>
      </c>
      <c r="AV531" s="442" t="str">
        <f>IF(D531="","",IF(AS531=2,0,IF(AS531=1,'Calc (ex-animal)'!$G$100*(1-'DB additional information '!$K$21/100)*(1-VLOOKUP(D531,'DB technologies'!$N$252:$Y$264,8,FALSE)/100)*'Calc (ex-housing, ex-storage)'!F531/100/VLOOKUP($C$529,'DB animal categories'!$C$191:$AC$200,27,FALSE)*AJ531+M531+N531+O531,IF(AS531=5,('Calc (ex-animal)'!$G$100*(1-'DB additional information '!$K$21/100)+'Calc (ex-animal)'!$H$100*(1-'DB additional information '!$L$21/100))*(1-VLOOKUP(D531,'DB technologies'!$N$252:$Y$264,8,FALSE)/100)*'Calc (ex-housing, ex-storage)'!F531/100/VLOOKUP($C$529,'DB animal categories'!$C$191:$AC$200,27,FALSE)*AJ531+M531+N531+O531,IF(AS531=3,('Calc (ex-animal)'!$G$100*(1-'DB additional information '!$K$21/100)+'Calc (ex-animal)'!$H$100*(1-'DB additional information '!$L$21/100))*(1-VLOOKUP(D531,'DB technologies'!$N$252:$Y$264,8,FALSE)/100)*'Calc (ex-housing, ex-storage)'!F531/100/VLOOKUP($C$529,'DB animal categories'!$C$191:$AC$200,27,FALSE)*AJ531+M531+N531+O531,IF(AS531=4,('Calc (ex-animal)'!$G$100*(1-'DB additional information '!$K$21/100)+'Calc (ex-animal)'!$H$100*(1-'DB additional information '!$L$21/100))*(1-VLOOKUP(D531,'DB technologies'!$N$252:$Y$264,8,FALSE)/100)*'Calc (ex-housing, ex-storage)'!F531/100*VLOOKUP(D531,'DB technologies'!$N$252:$Y$264,12,FALSE)/100/VLOOKUP($C$529,'DB animal categories'!$C$191:$AC$200,27,FALSE)*AJ531+M531+N531+O531,0))))))</f>
        <v/>
      </c>
      <c r="AW531" s="442" t="str">
        <f>IF(AS531="","",IF(AU531=0,0,AU531/AT531*100))</f>
        <v/>
      </c>
      <c r="AX531" s="182" t="str">
        <f>IF(D531="","",IF(AS531=2,0,IF(AS531=1,'Calc (ex-animal)'!$K$100*'Calc (ex-housing, ex-storage)'!F531/100/VLOOKUP($C$529,'DB animal categories'!$C$191:$AC$200,27,FALSE)*AJ531+Q531+R531+S531,IF(AS531=5,('Calc (ex-animal)'!$K$100+'Calc (ex-animal)'!$L$100)*'Calc (ex-housing, ex-storage)'!F531/100/VLOOKUP($C$529,'DB animal categories'!$C$191:$AC$200,27,FALSE)*AJ531+Q531+R531+S531-'Calc (ex-housing, ex-storage)'!AC531,IF(AS531=3,('Calc (ex-animal)'!$K$100+'Calc (ex-animal)'!$L$100)*'Calc (ex-housing, ex-storage)'!F531/100/VLOOKUP($C$529,'DB animal categories'!$C$191:$AC$200,27,FALSE)*AJ531+Q531+R531+S531-'Calc (ex-housing, ex-storage)'!AC531-AD531-AE531,IF(AI531=4,('Calc (ex-animal)'!$K$100+'Calc (ex-animal)'!$L$100)*'Calc (ex-housing, ex-storage)'!F531/100*VLOOKUP(D531,'DB technologies'!$N$252:$Y$264,12,FALSE)/100/VLOOKUP($C$529,'DB animal categories'!$C$191:$AC$200,27,FALSE)*AJ531+Q531+R531+S531-(VLOOKUP(D531,'DB technologies'!$N$252:$Y$264,12,FALSE)/100*AC531)-AD531-AE531,0))))))</f>
        <v/>
      </c>
      <c r="AY531" s="182" t="str">
        <f>IF(D531="","",IF(AS531=2,0,IF(AS531=1,'Calc (ex-animal)'!$N$100*'Calc (ex-housing, ex-storage)'!F531/100/VLOOKUP($C$529,'DB animal categories'!$C$191:$AC$200,27,FALSE)*AJ531+U531+V531+W531,IF(AS531=5,('Calc (ex-animal)'!$N$100+'Calc (ex-animal)'!$O$100)*'Calc (ex-housing, ex-storage)'!F531/100/VLOOKUP($C$529,'DB animal categories'!$C$191:$AC$200,27,FALSE)*AJ531+U531+V531+W531,IF(AS531=3,('Calc (ex-animal)'!$N$100+'Calc (ex-animal)'!$O$100)*'Calc (ex-housing, ex-storage)'!F531/100/VLOOKUP($C$529,'DB animal categories'!$C$191:$AC$200,27,FALSE)*AJ531+U531+V531+W531,IF(AS531=4,('Calc (ex-animal)'!$N$100+'Calc (ex-animal)'!$O$100)*'Calc (ex-housing, ex-storage)'!F531/100*VLOOKUP(D531,'DB technologies'!$N$252:$Y$264,12,FALSE)/100/VLOOKUP($C$529,'DB animal categories'!$C$191:$AC$200,27,FALSE)*AJ531+U531+V531+W531,0))))))</f>
        <v/>
      </c>
      <c r="AZ531" s="182" t="str">
        <f>IF(D531="","",IF(AS531=2,0,IF(AS531=1,'Calc (ex-animal)'!$Q$100*'Calc (ex-housing, ex-storage)'!F531/100/VLOOKUP($C$529,'DB animal categories'!$C$191:$AC$200,27,FALSE)*AJ531+Y531+Z531+AA531,IF(AS531=5,('Calc (ex-animal)'!$Q$100+'Calc (ex-animal)'!$R$100)*'Calc (ex-housing, ex-storage)'!F531/100/VLOOKUP($C$529,'DB animal categories'!$C$191:$AC$200,27,FALSE)*AJ531+Y531+Z531+AA531,IF(AS531=3,('Calc (ex-animal)'!$Q$100+'Calc (ex-animal)'!$R$100)*'Calc (ex-housing, ex-storage)'!F531/100/VLOOKUP($C$529,'DB animal categories'!$C$191:$AC$200,27,FALSE)*AJ531+Y531+Z531+AA531,IF(AS531=4,('Calc (ex-animal)'!$Q$100+'Calc (ex-animal)'!$R$100)*'Calc (ex-housing, ex-storage)'!F531/100*VLOOKUP(D531,'DB technologies'!$N$252:$Y$264,12,FALSE)/100/VLOOKUP($C$529,'DB animal categories'!$C$191:$AC$200,27,FALSE)*AJ531+Y531+Z531+AA531,0))))))</f>
        <v/>
      </c>
      <c r="BA531" s="506"/>
      <c r="BB531" s="506"/>
      <c r="BC531" s="506"/>
    </row>
    <row r="532" spans="1:55" x14ac:dyDescent="0.2">
      <c r="A532" s="748"/>
      <c r="B532" s="695"/>
      <c r="C532" s="251"/>
      <c r="D532" s="1357"/>
      <c r="E532" s="1358"/>
      <c r="F532" s="480" t="str">
        <f>IF('Calc (ex-animal)'!$F$98=1,"",IF($C$529=0,"",IF(D532="","",E532/'Calc (ex-animal)'!$E$100*100)))</f>
        <v/>
      </c>
      <c r="G532" s="485" t="str">
        <f>IF($C$529=0,"",IF('Calc (ex-animal)'!$F$98=1,"",IF(D532="","",SUM(H532:O532))))</f>
        <v/>
      </c>
      <c r="H532" s="423" t="str">
        <f>IF('Calc (ex-animal)'!$F$98=1,"",IF(D532="","",(((VLOOKUP($C$529,'Calc (ex-animal)'!$D$98:$Y$102,6,FALSE)-VLOOKUP($C$529,'Calc (ex-animal)'!$D$98:$Y$102,17,FALSE))*F532/100))*VLOOKUP($C$529,'Calc (ex-animal)'!$D$98:$Y$102,7,FALSE)/100*(1-VLOOKUP(D532,'DB technologies'!$N$252:$Y$264,9,FALSE)/100)))</f>
        <v/>
      </c>
      <c r="I532" s="423" t="str">
        <f>IF(D532="","",((VLOOKUP(D532,'DB technologies'!$N$252:$Y$264,2,FALSE)*VLOOKUP($C$529,'DB animal categories'!$C$191:$AC$200,27,FALSE)*E532/1000)/VLOOKUP($C$529,'DB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'!$S$6/100*(1-VLOOKUP(D532,'DB technologies'!$N$252:$Y$264,9,FALSE)/100)))</f>
        <v/>
      </c>
      <c r="J532" s="434" t="str">
        <f>IF(D532="","",((VLOOKUP(D532,'DB technologies'!$N$252:$Y$264,3,FALSE)*VLOOKUP($C$529,'DB animal categories'!$C$191:$AC$200,27,FALSE)*E532/1000)/VLOOKUP($C$529,'DB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'!$S$7/100*(1-VLOOKUP(D532,'DB technologies'!$N$252:$Y$264,9,FALSE)/100)))</f>
        <v/>
      </c>
      <c r="K532" s="434" t="str">
        <f>IF(D532="","",((VLOOKUP(D532,'DB technologies'!$N$252:$Y$264,4,FALSE)*E532*'DB additional information '!$S$8/100*(1-VLOOKUP(D532,'DB technologies'!$N$252:$Y$264,9,FALSE)/100))/VLOOKUP($C$529,'DB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L532" s="423" t="str">
        <f>IF('Calc (ex-animal)'!$F$98=1,"",IF(D532="","",(((VLOOKUP($C$529,'Calc (ex-animal)'!$D$98:$Y$102,6,FALSE)-VLOOKUP($C$529,'Calc (ex-animal)'!$D$98:$Y$102,17,FALSE))*F532/100))*(1-VLOOKUP($C$529,'Calc (ex-animal)'!$D$98:$Y$102,7,FALSE)/100)*(1-VLOOKUP(D532,'DB technologies'!$N$252:$V$264,8,FALSE)/100)))</f>
        <v/>
      </c>
      <c r="M532" s="434" t="str">
        <f>IF(D532="","",((VLOOKUP(D532,'DB technologies'!$N$252:$Y$264,2,FALSE)*VLOOKUP($C$529,'DB animal categories'!$C$191:$AC$200,27,FALSE)*E532/1000)/VLOOKUP($C$529,'DB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'!$S$6/100)*(1-VLOOKUP(D532,'DB technologies'!$N$252:$Y$264,9,FALSE)/100))</f>
        <v/>
      </c>
      <c r="N532" s="434" t="str">
        <f>IF(D532="","",((VLOOKUP(D532,'DB technologies'!$N$252:$Y$264,3,FALSE)*VLOOKUP($C$529,'DB animal categories'!$C$191:$AC$200,27,FALSE)*E532/1000)/VLOOKUP($C$529,'DB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'!$S$7/100)*(1-VLOOKUP(D532,'DB technologies'!$N$252:$Y$264,9,FALSE)/100))</f>
        <v/>
      </c>
      <c r="O532" s="423" t="str">
        <f>IF(D532="","",((VLOOKUP(D532,'DB technologies'!$N$252:$Y$264,4,FALSE)*E532*(1-'DB additional information '!$S$8/100)*(1-VLOOKUP(D532,'DB technologies'!$N$252:$Y$264,8,FALSE)/100))/VLOOKUP($C$529,'DB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P532" s="438" t="str">
        <f>IF(G532=0,0,IF(E532="","",IF(F532="","",IF($C$529=0,"",IF(D532="","",SUM(H532:K532)/G532*100)))))</f>
        <v/>
      </c>
      <c r="Q532" s="416" t="str">
        <f>IF(D532="","",(VLOOKUP(D532,'DB technologies'!$N$252:$Y$264,2,FALSE)*'DB additional information '!$S$6/100*'DB additional information '!$T$6*VLOOKUP($C$529,'DB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R532" s="416" t="str">
        <f>IF(D532="","",(VLOOKUP(D532,'DB technologies'!$N$252:$Y$264,3,FALSE)*'DB additional information '!$S$7/100*'DB additional information '!$T$7*VLOOKUP($C$529,'DB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S532" s="491" t="str">
        <f>IF(D532="","",(VLOOKUP(D532,'DB technologies'!$N$252:$Y$264,4,FALSE)*('DB additional information '!$S$8/100*'DB additional information '!$T$8*E532/1000/1000)))</f>
        <v/>
      </c>
      <c r="T532" s="264" t="str">
        <f>IF($C$529=0,"",IF('Calc (ex-animal)'!$F$98=1,"",IF(D532="","",((VLOOKUP($C$529,'Calc (ex-animal)'!$D$98:$Y$102,10,FALSE)-VLOOKUP($C$529,'Calc (ex-animal)'!$D$98:$Y$102,18,FALSE))*F532/100+Q532+R532+S532)-AC532-AD532-AE532)))</f>
        <v/>
      </c>
      <c r="U532" s="422" t="str">
        <f>IF(D532="","",(VLOOKUP(D532,'DB technologies'!$N$252:$Y$264,2,FALSE)*'DB additional information '!$S$6/100*'DB additional information '!$U$6*VLOOKUP($C$529,'DB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V532" s="418" t="str">
        <f>IF(D532="","",(VLOOKUP(D532,'DB technologies'!$N$252:$Y$264,3,FALSE)*'DB additional information '!$S$7/100*'DB additional information '!$U$7*VLOOKUP($C$529,'DB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W532" s="417" t="str">
        <f>IF(D532="","",(VLOOKUP(D532,'DB technologies'!$N$252:$Y$264,4,FALSE)*('DB additional information '!$S$8/100*'DB additional information '!$U$8*E532/1000/1000)))</f>
        <v/>
      </c>
      <c r="X532" s="261" t="str">
        <f>IF($C$529=0,"",IF('Calc (ex-animal)'!$F$98=1,"",IF(D532="","",((VLOOKUP($C$529,'Calc (ex-animal)'!$D$98:$Y$102,13,FALSE)-VLOOKUP($C$529,'Calc (ex-animal)'!$D$98:$Y$102,19,FALSE))*F532/100+U532+V532+W532))))</f>
        <v/>
      </c>
      <c r="Y532" s="418" t="str">
        <f>IF(D532="","",(VLOOKUP(D532,'DB technologies'!$N$252:$Y$264,2,FALSE)*'DB additional information '!$S$6/100*'DB additional information '!$V$6*VLOOKUP($C$529,'DB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Z532" s="418" t="str">
        <f>IF(D532="","",(VLOOKUP(D532,'DB technologies'!$N$252:$Y$264,3,FALSE)*'DB additional information '!$S$7/100*'DB additional information '!$V$7*VLOOKUP($C$529,'DB animal categories'!$C$191:$AC$200,27,FALSE)*E532/1000/1000)/VLOOKUP($C$529,'DB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AA532" s="418" t="str">
        <f>IF(D532="","",(VLOOKUP(D532,'DB technologies'!$N$252:$Y$264,4,FALSE)*('DB additional information '!$S$8/100*'DB additional information '!$V$8*E532/1000/1000)))</f>
        <v/>
      </c>
      <c r="AB532" s="261" t="str">
        <f>IF($C$529=0,"",IF('Calc (ex-animal)'!$F$98=1,"",IF(D532="","",((VLOOKUP($C$529,'Calc (ex-animal)'!$D$98:$Y$102,16,FALSE)-VLOOKUP($C$529,'Calc (ex-animal)'!$D$98:$Y$102,20,FALSE))*F532/100+Y532+Z532+AA532))))</f>
        <v/>
      </c>
      <c r="AC532" s="261" t="str">
        <f>IF($C$529=0,"",IF('Calc (ex-animal)'!$F$98=1,"",IF(D532="","",VLOOKUP($C$529,'Calc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categories'!$C$191:$AC$200,26,FALSE)/24)*F532/100*VLOOKUP(D532,'DB technologies'!$N$252:$R$264,5,FALSE)/100)))</f>
        <v/>
      </c>
      <c r="AD532" s="261" t="str">
        <f>IF($C$529=0,"",IF('Calc (ex-animal)'!$F$98=1,"",IF(D532="","",VLOOKUP($C$529,'Calc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categories'!$C$191:$AC$200,26,FALSE)/24)*F532/100*VLOOKUP(D532,'DB technologies'!$N$252:$Y$264,6,FALSE)/100)))</f>
        <v/>
      </c>
      <c r="AE532" s="262" t="str">
        <f>IF($C$529=0,"",IF('Calc (ex-animal)'!$F$98=1,"",IF(D532="","",VLOOKUP($C$529,'Calc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categories'!$C$191:$AC$200,26,FALSE)/24)*F532/100*VLOOKUP(D532,'DB technologies'!$N$252:$Y$264,7,FALSE)/100)))</f>
        <v/>
      </c>
      <c r="AI532" s="181" t="str">
        <f>IF(D532="","",VLOOKUP(D532,'DB technologies'!$N$252:$Y$264,10,FALSE))</f>
        <v/>
      </c>
      <c r="AJ532" s="449" t="e">
        <f>VLOOKUP($C$529,'DB animal categories'!$C$191:$AN$200,27,FALSE)-VLOOKUP($C$529,'DB animal categories'!$C$191:$AN$200,26,FALSE)*VLOOKUP($C$529,'DB animal categories'!$C$191:$AN$200,25,FALSE)/24</f>
        <v>#N/A</v>
      </c>
      <c r="AK532" s="442" t="str">
        <f>IF(AI532="","",AL532+AM532)</f>
        <v/>
      </c>
      <c r="AL532" s="442" t="str">
        <f>IF(D532="","",IF(AI532=2,(('Calc (ex-animal)'!$G$100*'DB additional information '!$K$21/100*(1-VLOOKUP(D532,'DB technologies'!$N$252:$Y$264,9,FALSE)/100)*'Calc (ex-housing, ex-storage)'!F532/100+'Calc (ex-animal)'!$H$100*'DB additional information '!$L$21/100*(1-VLOOKUP(D532,'DB technologies'!$N$252:$Y$264,9,FALSE)/100)*'Calc (ex-housing, ex-storage)'!F532/100))/VLOOKUP($C$529,'DB animal categories'!$C$191:$AC$200,27,FALSE)*AJ532+I532+J532+K532,IF(AI532=1,('Calc (ex-animal)'!$H$100*'DB additional information '!$L$21/100*(1-VLOOKUP(D532,'DB technologies'!$N$252:$Y$264,9,FALSE)/100)*'Calc (ex-housing, ex-storage)'!F532/100)/VLOOKUP($C$529,'DB animal categories'!$C$191:$AC$200,27,FALSE)*AJ532,IF(AI532=4,('Calc (ex-animal)'!$G$100*'DB additional information '!$K$21/100+'Calc (ex-animal)'!$H$100*'DB additional information '!$L$21/100)*(1-VLOOKUP(D532,'DB technologies'!$N$252:$Y$264,9,FALSE)/100)*'Calc (ex-housing, ex-storage)'!F532/100*VLOOKUP(D532,'DB technologies'!$N$252:$Y$264,11,FALSE)/100/VLOOKUP($C$529,'DB animal categories'!$C$191:$AC$200,27,FALSE)*AJ532,0))))</f>
        <v/>
      </c>
      <c r="AM532" s="442" t="str">
        <f>IF(D532="","",IF(AI532=2,(('Calc (ex-animal)'!$G$100*(1-'DB additional information '!$K$21/100)*(1-VLOOKUP(D532,'DB technologies'!$N$252:$Y$264,8,FALSE)/100)*'Calc (ex-housing, ex-storage)'!F532/100+'Calc (ex-animal)'!$H$100*(1-'DB additional information '!$L$21/100)*(1-VLOOKUP(D532,'DB technologies'!$N$252:$Y$264,8,FALSE)/100)*'Calc (ex-housing, ex-storage)'!F532/100))/VLOOKUP($C$529,'DB animal categories'!$C$191:$AC$200,27,FALSE)*AJ532+M532+N532+O532,IF(AI532=1,('Calc (ex-animal)'!$H$100*(1-'DB additional information '!$L$21/100)*(1-VLOOKUP(D532,'DB technologies'!$N$252:$Y$264,8,FALSE)/100)*'Calc (ex-housing, ex-storage)'!F532/100)/VLOOKUP($C$529,'DB animal categories'!$C$191:$AC$200,27,FALSE)*AJ532,IF(AI532=4,('Calc (ex-animal)'!$G$100*(1-'DB additional information '!$K$21/100)+'Calc (ex-animal)'!$H$100*(1-'DB additional information '!$L$21/100))*(1-VLOOKUP(D532,'DB technologies'!$N$252:$Y$264,8,FALSE)/100)*'Calc (ex-housing, ex-storage)'!F532/100*VLOOKUP(D532,'DB technologies'!$N$252:$Y$264,11,FALSE)/100/VLOOKUP($C$529,'DB animal categories'!$C$191:$AC$200,27,FALSE)*AJ532,0))))</f>
        <v/>
      </c>
      <c r="AN532" s="442" t="str">
        <f>IF(AI532="","",IF(AL532=0,0,AL532/AK532*100))</f>
        <v/>
      </c>
      <c r="AO532" s="182" t="str">
        <f>IF(D532="","",IF(AI532=2,(('Calc (ex-animal)'!$L$100*'Calc (ex-housing, ex-storage)'!F532/100+'Calc (ex-animal)'!$K$100*'Calc (ex-housing, ex-storage)'!F532/100))/VLOOKUP($C$529,'DB animal categories'!$C$191:$AC$200,27,FALSE)*AJ532+Q532+R532+S532-AC532,IF(AI532=1,('Calc (ex-animal)'!$L$100*'Calc (ex-housing, ex-storage)'!F532/100)/VLOOKUP($C$529,'DB animal categories'!$C$191:$AC$200,27,FALSE)*AJ532-'Calc (ex-housing, ex-storage)'!AC532,IF(AI532=4,('Calc (ex-animal)'!$L$100+'Calc (ex-animal)'!$K$100)*'Calc (ex-housing, ex-storage)'!F532/100*VLOOKUP(D532,'DB technologies'!$N$252:$Y$264,11,FALSE)/100/VLOOKUP($C$529,'DB animal categories'!$C$191:$AC$200,27,FALSE)*AJ532-AC532*VLOOKUP(D532,'DB technologies'!$N$252:$Y$264,11,FALSE)/100,0))))</f>
        <v/>
      </c>
      <c r="AP532" s="182" t="str">
        <f>IF(D532="","",IF(AO532&lt;-0.01,0,IF(AI532=2,(('Calc (ex-animal)'!$L$100*'Calc (ex-housing, ex-storage)'!F532/100+'Calc (ex-animal)'!$K$100*'Calc (ex-housing, ex-storage)'!F532/100))/VLOOKUP($C$529,'DB animal categories'!$C$191:$AC$200,27,FALSE)*AJ532+Q532+R532+S532-AC532,IF(AI532=1,('Calc (ex-animal)'!$L$100*'Calc (ex-housing, ex-storage)'!F532/100)/VLOOKUP($C$529,'DB animal categories'!$C$191:$AC$200,27,FALSE)*AJ532-'Calc (ex-housing, ex-storage)'!AC532,IF(AI532=4,('Calc (ex-animal)'!$L$100+'Calc (ex-animal)'!$K$100)*'Calc (ex-housing, ex-storage)'!F532/100*VLOOKUP(D532,'DB technologies'!$N$252:$Y$264,11,FALSE)/100/VLOOKUP($C$529,'DB animal categories'!$C$191:$AC$200,27,FALSE)*AJ532-AC532*VLOOKUP(D532,'DB technologies'!$N$252:$Y$264,11,FALSE)/100,0)))))</f>
        <v/>
      </c>
      <c r="AQ532" s="182" t="str">
        <f>IF(D532="","",IF(AI532=2,('Calc (ex-animal)'!$O$100*'Calc (ex-housing, ex-storage)'!F532/100+'Calc (ex-animal)'!$N$100*'Calc (ex-housing, ex-storage)'!F532/100)/VLOOKUP($C$529,'DB animal categories'!$C$191:$AC$200,27,FALSE)*AJ532+U532+V532+W532,IF(AI532=1,'Calc (ex-animal)'!$O$100*'Calc (ex-housing, ex-storage)'!F532/100/VLOOKUP($C$529,'DB animal categories'!$C$191:$AC$200,27,FALSE)*AJ532,IF(AI532=4,('Calc (ex-animal)'!$O$100+'Calc (ex-animal)'!$N$100)*'Calc (ex-housing, ex-storage)'!F532/100*VLOOKUP(D532,'DB technologies'!$N$252:$Y$264,11,FALSE)/100/VLOOKUP($C$529,'DB animal categories'!$C$191:$AC$200,27,FALSE)*AJ532,0))))</f>
        <v/>
      </c>
      <c r="AR532" s="182" t="str">
        <f>IF(D532="","",IF(AI532=2,('Calc (ex-animal)'!$R$100*'Calc (ex-housing, ex-storage)'!F532/100+'Calc (ex-animal)'!$Q$100*'Calc (ex-housing, ex-storage)'!F532/100)/VLOOKUP($C$529,'DB animal categories'!$C$191:$AC$200,27,FALSE)*AJ532+Y532+Z532+AA532,IF(AI532=1,'Calc (ex-animal)'!$R$100*'Calc (ex-housing, ex-storage)'!F532/100/VLOOKUP($C$529,'DB animal categories'!$C$191:$AC$200,27,FALSE)*AJ532,IF(AI532=4,('Calc (ex-animal)'!$R$100+'Calc (ex-animal)'!$Q$100)*'Calc (ex-housing, ex-storage)'!F532/100*VLOOKUP(D532,'DB technologies'!$N$252:$Y$264,11,FALSE)/100/VLOOKUP($C$529,'DB animal categories'!$C$191:$AC$200,27,FALSE)*AJ532,0))))</f>
        <v/>
      </c>
      <c r="AS532" s="181" t="str">
        <f>IF(D532="","",VLOOKUP(D532,'DB technologies'!$N$252:$Y$264,10,FALSE))</f>
        <v/>
      </c>
      <c r="AT532" s="442" t="str">
        <f>IF(AS532="","",AU532+AV532)</f>
        <v/>
      </c>
      <c r="AU532" s="442" t="str">
        <f>IF(D532="","",IF(AS532=2,0,IF(AS532=1,'Calc (ex-animal)'!$G$100*'DB additional information '!$K$21/100*(1-VLOOKUP(D532,'DB technologies'!$N$252:$Y$264,8,FALSE)/100)*'Calc (ex-housing, ex-storage)'!F532/100/VLOOKUP($C$529,'DB animal categories'!$C$191:$AC$200,27,FALSE)*AJ532+I532+J532+K532,IF(AS532=5,(('Calc (ex-animal)'!$G$100*'DB additional information '!$K$21/100+'Calc (ex-animal)'!$H$100*'DB additional information '!$L$21/100))*(1-VLOOKUP(D532,'DB technologies'!$N$252:$Y$264,9,FALSE)/100)*'Calc (ex-housing, ex-storage)'!F532/100/VLOOKUP($C$529,'DB animal categories'!$C$191:$AC$200,27,FALSE)*AJ532+I532+J532+K532,IF(AS532=3,('Calc (ex-animal)'!$G$100*'DB additional information '!$K$21/100+'Calc (ex-animal)'!$H$100*'DB additional information '!$L$21/100)*(1-VLOOKUP(D532,'DB technologies'!$N$252:$Y$264,9,FALSE)/100)*'Calc (ex-housing, ex-storage)'!F532/100/VLOOKUP($C$529,'DB animal categories'!$C$191:$AC$200,27,FALSE)*AJ532+I532+J532+K532,IF(AS532=4,('Calc (ex-animal)'!$G$100*'DB additional information '!$K$21/100+'Calc (ex-animal)'!$H$100*'DB additional information '!$L$21/100)*(1-VLOOKUP(D532,'DB technologies'!$N$252:$Y$264,9,FALSE)/100)*'Calc (ex-housing, ex-storage)'!F532/100*VLOOKUP(D532,'DB technologies'!$N$252:$Y$264,12,FALSE)/100/VLOOKUP($C$529,'DB animal categories'!$C$191:$AC$200,27,FALSE)*AJ532+I532+J532+K532,0))))))</f>
        <v/>
      </c>
      <c r="AV532" s="442" t="str">
        <f>IF(D532="","",IF(AS532=2,0,IF(AS532=1,'Calc (ex-animal)'!$G$100*(1-'DB additional information '!$K$21/100)*(1-VLOOKUP(D532,'DB technologies'!$N$252:$Y$264,8,FALSE)/100)*'Calc (ex-housing, ex-storage)'!F532/100/VLOOKUP($C$529,'DB animal categories'!$C$191:$AC$200,27,FALSE)*AJ532+M532+N532+O532,IF(AS532=5,('Calc (ex-animal)'!$G$100*(1-'DB additional information '!$K$21/100)+'Calc (ex-animal)'!$H$100*(1-'DB additional information '!$L$21/100))*(1-VLOOKUP(D532,'DB technologies'!$N$252:$Y$264,8,FALSE)/100)*'Calc (ex-housing, ex-storage)'!F532/100/VLOOKUP($C$529,'DB animal categories'!$C$191:$AC$200,27,FALSE)*AJ532+M532+N532+O532,IF(AS532=3,('Calc (ex-animal)'!$G$100*(1-'DB additional information '!$K$21/100)+'Calc (ex-animal)'!$H$100*(1-'DB additional information '!$L$21/100))*(1-VLOOKUP(D532,'DB technologies'!$N$252:$Y$264,8,FALSE)/100)*'Calc (ex-housing, ex-storage)'!F532/100/VLOOKUP($C$529,'DB animal categories'!$C$191:$AC$200,27,FALSE)*AJ532+M532+N532+O532,IF(AS532=4,('Calc (ex-animal)'!$G$100*(1-'DB additional information '!$K$21/100)+'Calc (ex-animal)'!$H$100*(1-'DB additional information '!$L$21/100))*(1-VLOOKUP(D532,'DB technologies'!$N$252:$Y$264,8,FALSE)/100)*'Calc (ex-housing, ex-storage)'!F532/100*VLOOKUP(D532,'DB technologies'!$N$252:$Y$264,12,FALSE)/100/VLOOKUP($C$529,'DB animal categories'!$C$191:$AC$200,27,FALSE)*AJ532+M532+N532+O532,0))))))</f>
        <v/>
      </c>
      <c r="AW532" s="442" t="str">
        <f>IF(AS532="","",IF(AU532=0,0,AU532/AT532*100))</f>
        <v/>
      </c>
      <c r="AX532" s="182" t="str">
        <f>IF(D532="","",IF(AS532=2,0,IF(AS532=1,'Calc (ex-animal)'!$K$100*'Calc (ex-housing, ex-storage)'!F532/100/VLOOKUP($C$529,'DB animal categories'!$C$191:$AC$200,27,FALSE)*AJ532+Q532+R532+S532,IF(AS532=5,('Calc (ex-animal)'!$K$100+'Calc (ex-animal)'!$L$100)*'Calc (ex-housing, ex-storage)'!F532/100/VLOOKUP($C$529,'DB animal categories'!$C$191:$AC$200,27,FALSE)*AJ532+Q532+R532+S532-'Calc (ex-housing, ex-storage)'!AC532,IF(AS532=3,('Calc (ex-animal)'!$K$100+'Calc (ex-animal)'!$L$100)*'Calc (ex-housing, ex-storage)'!F532/100/VLOOKUP($C$529,'DB animal categories'!$C$191:$AC$200,27,FALSE)*AJ532+Q532+R532+S532-'Calc (ex-housing, ex-storage)'!AC532-AD532-AE532,IF(AI532=4,('Calc (ex-animal)'!$K$100+'Calc (ex-animal)'!$L$100)*'Calc (ex-housing, ex-storage)'!F532/100*VLOOKUP(D532,'DB technologies'!$N$252:$Y$264,12,FALSE)/100/VLOOKUP($C$529,'DB animal categories'!$C$191:$AC$200,27,FALSE)*AJ532+Q532+R532+S532-(VLOOKUP(D532,'DB technologies'!$N$252:$Y$264,12,FALSE)/100*AC532)-AD532-AE532,0))))))</f>
        <v/>
      </c>
      <c r="AY532" s="182" t="str">
        <f>IF(D532="","",IF(AS532=2,0,IF(AS532=1,'Calc (ex-animal)'!$N$100*'Calc (ex-housing, ex-storage)'!F532/100/VLOOKUP($C$529,'DB animal categories'!$C$191:$AC$200,27,FALSE)*AJ532+U532+V532+W532,IF(AS532=5,('Calc (ex-animal)'!$N$100+'Calc (ex-animal)'!$O$100)*'Calc (ex-housing, ex-storage)'!F532/100/VLOOKUP($C$529,'DB animal categories'!$C$191:$AC$200,27,FALSE)*AJ532+U532+V532+W532,IF(AS532=3,('Calc (ex-animal)'!$N$100+'Calc (ex-animal)'!$O$100)*'Calc (ex-housing, ex-storage)'!F532/100/VLOOKUP($C$529,'DB animal categories'!$C$191:$AC$200,27,FALSE)*AJ532+U532+V532+W532,IF(AS532=4,('Calc (ex-animal)'!$N$100+'Calc (ex-animal)'!$O$100)*'Calc (ex-housing, ex-storage)'!F532/100*VLOOKUP(D532,'DB technologies'!$N$252:$Y$264,12,FALSE)/100/VLOOKUP($C$529,'DB animal categories'!$C$191:$AC$200,27,FALSE)*AJ532+U532+V532+W532,0))))))</f>
        <v/>
      </c>
      <c r="AZ532" s="182" t="str">
        <f>IF(D532="","",IF(AS532=2,0,IF(AS532=1,'Calc (ex-animal)'!$Q$100*'Calc (ex-housing, ex-storage)'!F532/100/VLOOKUP($C$529,'DB animal categories'!$C$191:$AC$200,27,FALSE)*AJ532+Y532+Z532+AA532,IF(AS532=5,('Calc (ex-animal)'!$Q$100+'Calc (ex-animal)'!$R$100)*'Calc (ex-housing, ex-storage)'!F532/100/VLOOKUP($C$529,'DB animal categories'!$C$191:$AC$200,27,FALSE)*AJ532+Y532+Z532+AA532,IF(AS532=3,('Calc (ex-animal)'!$Q$100+'Calc (ex-animal)'!$R$100)*'Calc (ex-housing, ex-storage)'!F532/100/VLOOKUP($C$529,'DB animal categories'!$C$191:$AC$200,27,FALSE)*AJ532+Y532+Z532+AA532,IF(AS532=4,('Calc (ex-animal)'!$Q$100+'Calc (ex-animal)'!$R$100)*'Calc (ex-housing, ex-storage)'!F532/100*VLOOKUP(D532,'DB technologies'!$N$252:$Y$264,12,FALSE)/100/VLOOKUP($C$529,'DB animal categories'!$C$191:$AC$200,27,FALSE)*AJ532+Y532+Z532+AA532,0))))))</f>
        <v/>
      </c>
      <c r="BA532" s="506"/>
      <c r="BB532" s="506"/>
      <c r="BC532" s="506"/>
    </row>
    <row r="533" spans="1:55" ht="12" thickBot="1" x14ac:dyDescent="0.25">
      <c r="A533" s="748"/>
      <c r="B533" s="695"/>
      <c r="C533" s="251"/>
      <c r="D533" s="1359"/>
      <c r="E533" s="1360"/>
      <c r="F533" s="481" t="str">
        <f>IF('Calc (ex-animal)'!$F$98=1,"",IF($C$529=0,"",IF(D533="","",E533/'Calc (ex-animal)'!$E$100*100)))</f>
        <v/>
      </c>
      <c r="G533" s="483" t="str">
        <f>IF($C$529=0,"",IF('Calc (ex-animal)'!$F$98=1,"",IF(D533="","",SUM(H533:O533))))</f>
        <v/>
      </c>
      <c r="H533" s="445" t="str">
        <f>IF('Calc (ex-animal)'!$F$98=1,"",IF(D533="","",(((VLOOKUP($C$529,'Calc (ex-animal)'!$D$98:$Y$102,6,FALSE)-VLOOKUP($C$529,'Calc (ex-animal)'!$D$98:$Y$102,17,FALSE))*F533/100))*VLOOKUP($C$529,'Calc (ex-animal)'!$D$98:$Y$102,7,FALSE)/100*(1-VLOOKUP(D533,'DB technologies'!$N$252:$Y$264,9,FALSE)/100)))</f>
        <v/>
      </c>
      <c r="I533" s="445" t="str">
        <f>IF(D533="","",((VLOOKUP(D533,'DB technologies'!$N$252:$Y$264,2,FALSE)*VLOOKUP($C$529,'DB animal categories'!$C$191:$AC$200,27,FALSE)*E533/1000)/VLOOKUP($C$529,'DB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'!$S$6/100*(1-VLOOKUP(D533,'DB technologies'!$N$252:$Y$264,9,FALSE)/100)))</f>
        <v/>
      </c>
      <c r="J533" s="446" t="str">
        <f>IF(D533="","",((VLOOKUP(D533,'DB technologies'!$N$252:$Y$264,3,FALSE)*VLOOKUP($C$529,'DB animal categories'!$C$191:$AC$200,27,FALSE)*E533/1000)/VLOOKUP($C$529,'DB animal categories'!$C$191:$AC$200,27,FALSE)*(VLOOKUP($C$529,'DB animal categories'!$C$191:$AC$200,27,FALSE)-(VLOOKUP($C$529,'DB animal categories'!$C$191:$AC$200,25,FALSE)*VLOOKUP($C$529,'DB animal categories'!$C$191:$AC$200,26,FALSE)/24))*'DB additional information '!$S$7/100*(1-VLOOKUP(D533,'DB technologies'!$N$252:$Y$264,9,FALSE)/100)))</f>
        <v/>
      </c>
      <c r="K533" s="446" t="str">
        <f>IF(D533="","",((VLOOKUP(D533,'DB technologies'!$N$252:$Y$264,4,FALSE)*E533*'DB additional information '!$S$8/100*(1-VLOOKUP(D533,'DB technologies'!$N$252:$Y$264,9,FALSE)/100))/VLOOKUP($C$529,'DB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L533" s="445" t="str">
        <f>IF('Calc (ex-animal)'!$F$98=1,"",IF(D533="","",(((VLOOKUP($C$529,'Calc (ex-animal)'!$D$98:$Y$102,6,FALSE)-VLOOKUP($C$529,'Calc (ex-animal)'!$D$98:$Y$102,17,FALSE))*F533/100))*(1-VLOOKUP($C$529,'Calc (ex-animal)'!$D$98:$Y$102,7,FALSE)/100)*(1-VLOOKUP(D533,'DB technologies'!$N$252:$V$264,8,FALSE)/100)))</f>
        <v/>
      </c>
      <c r="M533" s="446" t="str">
        <f>IF(D533="","",((VLOOKUP(D533,'DB technologies'!$N$252:$Y$264,2,FALSE)*VLOOKUP($C$529,'DB animal categories'!$C$191:$AC$200,27,FALSE)*E533/1000)/VLOOKUP($C$529,'DB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'!$S$6/100)*(1-VLOOKUP(D533,'DB technologies'!$N$252:$Y$264,9,FALSE)/100))</f>
        <v/>
      </c>
      <c r="N533" s="446" t="str">
        <f>IF(D533="","",((VLOOKUP(D533,'DB technologies'!$N$252:$Y$264,3,FALSE)*VLOOKUP($C$529,'DB animal categories'!$C$191:$AC$200,27,FALSE)*E533/1000)/VLOOKUP($C$529,'DB animal categories'!$C$191:$AC$200,27,FALSE)*(VLOOKUP($C$529,'DB animal categories'!$C$191:$AC$200,27,FALSE)-VLOOKUP($C$529,'DB animal categories'!$C$191:$AC$200,25,FALSE)*VLOOKUP($C$529,'DB animal categories'!$C$191:$AC$200,26,FALSE)/24))*(1-'DB additional information '!$S$7/100)*(1-VLOOKUP(D533,'DB technologies'!$N$252:$Y$264,9,FALSE)/100))</f>
        <v/>
      </c>
      <c r="O533" s="445" t="str">
        <f>IF(D533="","",((VLOOKUP(D533,'DB technologies'!$N$252:$Y$264,4,FALSE)*E533*(1-'DB additional information '!$S$8/100)*(1-VLOOKUP(D533,'DB technologies'!$N$252:$Y$264,8,FALSE)/100))/VLOOKUP($C$529,'DB animal categories'!$C$191:$AC$200,27,FALSE)*(VLOOKUP($C$529,'DB animal categories'!$C$191:$AC$200,27,FALSE)-VLOOKUP($C$529,'DB animal categories'!$C$191:$AC$200,25,FALSE)*VLOOKUP($C$529,'DB animal categories'!$C$191:$AC$200,26,FALSE)/24)))</f>
        <v/>
      </c>
      <c r="P533" s="444" t="str">
        <f>IF(G533=0,0,IF(E533="","",IF(F533="","",IF($C$529=0,"",IF(D533="","",SUM(H533:K533)/G533*100)))))</f>
        <v/>
      </c>
      <c r="Q533" s="476" t="str">
        <f>IF(D533="","",(VLOOKUP(D533,'DB technologies'!$N$252:$Y$264,2,FALSE)*'DB additional information '!$S$6/100*'DB additional information '!$T$6*VLOOKUP($C$529,'DB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R533" s="476" t="str">
        <f>IF(D533="","",(VLOOKUP(D533,'DB technologies'!$N$252:$Y$264,3,FALSE)*'DB additional information '!$S$7/100*'DB additional information '!$T$7*VLOOKUP($C$529,'DB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S533" s="494" t="str">
        <f>IF(D533="","",(VLOOKUP(D533,'DB technologies'!$N$252:$Y$264,4,FALSE)*('DB additional information '!$S$8/100*'DB additional information '!$T$8*E533/1000/1000)))</f>
        <v/>
      </c>
      <c r="T533" s="266" t="str">
        <f>IF($C$529=0,"",IF('Calc (ex-animal)'!$F$98=1,"",IF(D533="","",((VLOOKUP($C$529,'Calc (ex-animal)'!$D$98:$Y$102,10,FALSE)-VLOOKUP($C$529,'Calc (ex-animal)'!$D$98:$Y$102,18,FALSE))*F533/100+Q533+R533+S533)-AC533-AD533-AE533)))</f>
        <v/>
      </c>
      <c r="U533" s="477" t="str">
        <f>IF(D533="","",(VLOOKUP(D533,'DB technologies'!$N$252:$Y$264,2,FALSE)*'DB additional information '!$S$6/100*'DB additional information '!$U$6*VLOOKUP($C$529,'DB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V533" s="433" t="str">
        <f>IF(D533="","",(VLOOKUP(D533,'DB technologies'!$N$252:$Y$264,3,FALSE)*'DB additional information '!$S$7/100*'DB additional information '!$U$7*VLOOKUP($C$529,'DB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W533" s="475" t="str">
        <f>IF(D533="","",(VLOOKUP(D533,'DB technologies'!$N$252:$Y$264,4,FALSE)*('DB additional information '!$S$8/100*'DB additional information '!$U$8*E533/1000/1000)))</f>
        <v/>
      </c>
      <c r="X533" s="267" t="str">
        <f>IF($C$529=0,"",IF('Calc (ex-animal)'!$F$98=1,"",IF(D533="","",((VLOOKUP($C$529,'Calc (ex-animal)'!$D$98:$Y$102,13,FALSE)-VLOOKUP($C$529,'Calc (ex-animal)'!$D$98:$Y$102,19,FALSE))*F533/100+U533+V533+W533))))</f>
        <v/>
      </c>
      <c r="Y533" s="433" t="str">
        <f>IF(D533="","",(VLOOKUP(D533,'DB technologies'!$N$252:$Y$264,2,FALSE)*'DB additional information '!$S$6/100*'DB additional information '!$V$6*VLOOKUP($C$529,'DB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Z533" s="433" t="str">
        <f>IF(D533="","",(VLOOKUP(D533,'DB technologies'!$N$252:$Y$264,3,FALSE)*'DB additional information '!$S$7/100*'DB additional information '!$V$7*VLOOKUP($C$529,'DB animal categories'!$C$191:$AC$200,27,FALSE)*E533/1000/1000)/VLOOKUP($C$529,'DB animal categories'!$C$191:$AC$200,27,FALSE)*(VLOOKUP($C$529,'DB animal categories'!$C$191:$AC$200,27,FALSE)-VLOOKUP($C$529,'DB animal categories'!$C$191:$AC$200,25,FALSE)*VLOOKUP($C$529,'DB animal categories'!$C$191:$AC$200,26,FALSE)/24))</f>
        <v/>
      </c>
      <c r="AA533" s="433" t="str">
        <f>IF(D533="","",(VLOOKUP(D533,'DB technologies'!$N$252:$Y$264,4,FALSE)*('DB additional information '!$S$8/100*'DB additional information '!$V$8*E533/1000/1000)))</f>
        <v/>
      </c>
      <c r="AB533" s="267" t="str">
        <f>IF($C$529=0,"",IF('Calc (ex-animal)'!$F$98=1,"",IF(D533="","",((VLOOKUP($C$529,'Calc (ex-animal)'!$D$98:$Y$102,16,FALSE)-VLOOKUP($C$529,'Calc (ex-animal)'!$D$98:$Y$102,20,FALSE))*F533/100+Y533+Z533+AA533))))</f>
        <v/>
      </c>
      <c r="AC533" s="267" t="str">
        <f>IF($C$529=0,"",IF('Calc (ex-animal)'!$F$98=1,"",IF(D533="","",VLOOKUP($C$529,'Calc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categories'!$C$191:$AC$200,26,FALSE)/24)*F533/100*VLOOKUP(D533,'DB technologies'!$N$252:$R$264,5,FALSE)/100)))</f>
        <v/>
      </c>
      <c r="AD533" s="267" t="str">
        <f>IF($C$529=0,"",IF('Calc (ex-animal)'!$F$98=1,"",IF(D533="","",VLOOKUP($C$529,'Calc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categories'!$C$191:$AC$200,26,FALSE)/24)*F533/100*VLOOKUP(D533,'DB technologies'!$N$252:$Y$264,6,FALSE)/100)))</f>
        <v/>
      </c>
      <c r="AE533" s="268" t="str">
        <f>IF($C$529=0,"",IF('Calc (ex-animal)'!$F$98=1,"",IF(D533="","",VLOOKUP($C$529,'Calc (ex-animal)'!$D$98:$Y$102,10,FALSE)/VLOOKUP($C$529,'DB animal categories'!$C$191:$AC$200,27,FALSE)*(VLOOKUP($C$529,'DB animal categories'!$C$191:$AC$200,27,FALSE)-VLOOKUP($C$529,'DB animal categories'!$C$191:$AC$200,25,FALSE)*VLOOKUP($C$529,'DB animal categories'!$C$191:$AC$200,26,FALSE)/24)*F533/100*VLOOKUP(D533,'DB technologies'!$N$252:$Y$264,7,FALSE)/100)))</f>
        <v/>
      </c>
      <c r="AI533" s="183" t="str">
        <f>IF(D533="","",VLOOKUP(D533,'DB technologies'!$N$252:$Y$264,10,FALSE))</f>
        <v/>
      </c>
      <c r="AJ533" s="451" t="e">
        <f>VLOOKUP($C$529,'DB animal categories'!$C$191:$AN$200,27,FALSE)-VLOOKUP($C$529,'DB animal categories'!$C$191:$AN$200,26,FALSE)*VLOOKUP($C$529,'DB animal categories'!$C$191:$AN$200,25,FALSE)/24</f>
        <v>#N/A</v>
      </c>
      <c r="AK533" s="452" t="str">
        <f>IF(AI533="","",AL533+AM533)</f>
        <v/>
      </c>
      <c r="AL533" s="452" t="str">
        <f>IF(D533="","",IF(AI533=2,(('Calc (ex-animal)'!$G$100*'DB additional information '!$K$21/100*(1-VLOOKUP(D533,'DB technologies'!$N$252:$Y$264,9,FALSE)/100)*'Calc (ex-housing, ex-storage)'!F533/100+'Calc (ex-animal)'!$H$100*'DB additional information '!$L$21/100*(1-VLOOKUP(D533,'DB technologies'!$N$252:$Y$264,9,FALSE)/100)*'Calc (ex-housing, ex-storage)'!F533/100))/VLOOKUP($C$529,'DB animal categories'!$C$191:$AC$200,27,FALSE)*AJ533+I533+J533+K533,IF(AI533=1,('Calc (ex-animal)'!$H$100*'DB additional information '!$L$21/100*(1-VLOOKUP(D533,'DB technologies'!$N$252:$Y$264,9,FALSE)/100)*'Calc (ex-housing, ex-storage)'!F533/100)/VLOOKUP($C$529,'DB animal categories'!$C$191:$AC$200,27,FALSE)*AJ533,IF(AI533=4,('Calc (ex-animal)'!$G$100*'DB additional information '!$K$21/100+'Calc (ex-animal)'!$H$100*'DB additional information '!$L$21/100)*(1-VLOOKUP(D533,'DB technologies'!$N$252:$Y$264,9,FALSE)/100)*'Calc (ex-housing, ex-storage)'!F533/100*VLOOKUP(D533,'DB technologies'!$N$252:$Y$264,11,FALSE)/100/VLOOKUP($C$529,'DB animal categories'!$C$191:$AC$200,27,FALSE)*AJ533,0))))</f>
        <v/>
      </c>
      <c r="AM533" s="452" t="str">
        <f>IF(D533="","",IF(AI533=2,(('Calc (ex-animal)'!$G$100*(1-'DB additional information '!$K$21/100)*(1-VLOOKUP(D533,'DB technologies'!$N$252:$Y$264,8,FALSE)/100)*'Calc (ex-housing, ex-storage)'!F533/100+'Calc (ex-animal)'!$H$100*(1-'DB additional information '!$L$21/100)*(1-VLOOKUP(D533,'DB technologies'!$N$252:$Y$264,8,FALSE)/100)*'Calc (ex-housing, ex-storage)'!F533/100))/VLOOKUP($C$529,'DB animal categories'!$C$191:$AC$200,27,FALSE)*AJ533+M533+N533+O533,IF(AI533=1,('Calc (ex-animal)'!$H$100*(1-'DB additional information '!$L$21/100)*(1-VLOOKUP(D533,'DB technologies'!$N$252:$Y$264,8,FALSE)/100)*'Calc (ex-housing, ex-storage)'!F533/100)/VLOOKUP($C$529,'DB animal categories'!$C$191:$AC$200,27,FALSE)*AJ533,IF(AI533=4,('Calc (ex-animal)'!$G$100*(1-'DB additional information '!$K$21/100)+'Calc (ex-animal)'!$H$100*(1-'DB additional information '!$L$21/100))*(1-VLOOKUP(D533,'DB technologies'!$N$252:$Y$264,8,FALSE)/100)*'Calc (ex-housing, ex-storage)'!F533/100*VLOOKUP(D533,'DB technologies'!$N$252:$Y$264,11,FALSE)/100/VLOOKUP($C$529,'DB animal categories'!$C$191:$AC$200,27,FALSE)*AJ533,0))))</f>
        <v/>
      </c>
      <c r="AN533" s="452" t="str">
        <f>IF(AI533="","",IF(AL533=0,0,AL533/AK533*100))</f>
        <v/>
      </c>
      <c r="AO533" s="184" t="str">
        <f>IF(D533="","",IF(AI533=2,(('Calc (ex-animal)'!$L$100*'Calc (ex-housing, ex-storage)'!F533/100+'Calc (ex-animal)'!$K$100*'Calc (ex-housing, ex-storage)'!F533/100))/VLOOKUP($C$529,'DB animal categories'!$C$191:$AC$200,27,FALSE)*AJ533+Q533+R533+S533-AC533,IF(AI533=1,('Calc (ex-animal)'!$L$100*'Calc (ex-housing, ex-storage)'!F533/100)/VLOOKUP($C$529,'DB animal categories'!$C$191:$AC$200,27,FALSE)*AJ533-'Calc (ex-housing, ex-storage)'!AC533,IF(AI533=4,('Calc (ex-animal)'!$L$100+'Calc (ex-animal)'!$K$100)*'Calc (ex-housing, ex-storage)'!F533/100*VLOOKUP(D533,'DB technologies'!$N$252:$Y$264,11,FALSE)/100/VLOOKUP($C$529,'DB animal categories'!$C$191:$AC$200,27,FALSE)*AJ533-AC533*VLOOKUP(D533,'DB technologies'!$N$252:$Y$264,11,FALSE)/100,0))))</f>
        <v/>
      </c>
      <c r="AP533" s="184" t="str">
        <f>IF(D533="","",IF(AO533&lt;-0.01,0,IF(AI533=2,(('Calc (ex-animal)'!$L$100*'Calc (ex-housing, ex-storage)'!F533/100+'Calc (ex-animal)'!$K$100*'Calc (ex-housing, ex-storage)'!F533/100))/VLOOKUP($C$529,'DB animal categories'!$C$191:$AC$200,27,FALSE)*AJ533+Q533+R533+S533-AC533,IF(AI533=1,('Calc (ex-animal)'!$L$100*'Calc (ex-housing, ex-storage)'!F533/100)/VLOOKUP($C$529,'DB animal categories'!$C$191:$AC$200,27,FALSE)*AJ533-'Calc (ex-housing, ex-storage)'!AC533,IF(AI533=4,('Calc (ex-animal)'!$L$100+'Calc (ex-animal)'!$K$100)*'Calc (ex-housing, ex-storage)'!F533/100*VLOOKUP(D533,'DB technologies'!$N$252:$Y$264,11,FALSE)/100/VLOOKUP($C$529,'DB animal categories'!$C$191:$AC$200,27,FALSE)*AJ533-AC533*VLOOKUP(D533,'DB technologies'!$N$252:$Y$264,11,FALSE)/100,0)))))</f>
        <v/>
      </c>
      <c r="AQ533" s="184" t="str">
        <f>IF(D533="","",IF(AI533=2,('Calc (ex-animal)'!$O$100*'Calc (ex-housing, ex-storage)'!F533/100+'Calc (ex-animal)'!$N$100*'Calc (ex-housing, ex-storage)'!F533/100)/VLOOKUP($C$529,'DB animal categories'!$C$191:$AC$200,27,FALSE)*AJ533+U533+V533+W533,IF(AI533=1,'Calc (ex-animal)'!$O$100*'Calc (ex-housing, ex-storage)'!F533/100/VLOOKUP($C$529,'DB animal categories'!$C$191:$AC$200,27,FALSE)*AJ533,IF(AI533=4,('Calc (ex-animal)'!$O$100+'Calc (ex-animal)'!$N$100)*'Calc (ex-housing, ex-storage)'!F533/100*VLOOKUP(D533,'DB technologies'!$N$252:$Y$264,11,FALSE)/100/VLOOKUP($C$529,'DB animal categories'!$C$191:$AC$200,27,FALSE)*AJ533,0))))</f>
        <v/>
      </c>
      <c r="AR533" s="184" t="str">
        <f>IF(D533="","",IF(AI533=2,('Calc (ex-animal)'!$R$100*'Calc (ex-housing, ex-storage)'!F533/100+'Calc (ex-animal)'!$Q$100*'Calc (ex-housing, ex-storage)'!F533/100)/VLOOKUP($C$529,'DB animal categories'!$C$191:$AC$200,27,FALSE)*AJ533+Y533+Z533+AA533,IF(AI533=1,'Calc (ex-animal)'!$R$100*'Calc (ex-housing, ex-storage)'!F533/100/VLOOKUP($C$529,'DB animal categories'!$C$191:$AC$200,27,FALSE)*AJ533,IF(AI533=4,('Calc (ex-animal)'!$R$100+'Calc (ex-animal)'!$Q$100)*'Calc (ex-housing, ex-storage)'!F533/100*VLOOKUP(D533,'DB technologies'!$N$252:$Y$264,11,FALSE)/100/VLOOKUP($C$529,'DB animal categories'!$C$191:$AC$200,27,FALSE)*AJ533,0))))</f>
        <v/>
      </c>
      <c r="AS533" s="183" t="str">
        <f>IF(D533="","",VLOOKUP(D533,'DB technologies'!$N$252:$Y$264,10,FALSE))</f>
        <v/>
      </c>
      <c r="AT533" s="452" t="str">
        <f>IF(AS533="","",AU533+AV533)</f>
        <v/>
      </c>
      <c r="AU533" s="452" t="str">
        <f>IF(D533="","",IF(AS533=2,0,IF(AS533=1,'Calc (ex-animal)'!$G$100*'DB additional information '!$K$21/100*(1-VLOOKUP(D533,'DB technologies'!$N$252:$Y$264,8,FALSE)/100)*'Calc (ex-housing, ex-storage)'!F533/100/VLOOKUP($C$529,'DB animal categories'!$C$191:$AC$200,27,FALSE)*AJ533+I533+J533+K533,IF(AS533=5,(('Calc (ex-animal)'!$G$100*'DB additional information '!$K$21/100+'Calc (ex-animal)'!$H$100*'DB additional information '!$L$21/100))*(1-VLOOKUP(D533,'DB technologies'!$N$252:$Y$264,9,FALSE)/100)*'Calc (ex-housing, ex-storage)'!F533/100/VLOOKUP($C$529,'DB animal categories'!$C$191:$AC$200,27,FALSE)*AJ533+I533+J533+K533,IF(AS533=3,('Calc (ex-animal)'!$G$100*'DB additional information '!$K$21/100+'Calc (ex-animal)'!$H$100*'DB additional information '!$L$21/100)*(1-VLOOKUP(D533,'DB technologies'!$N$252:$Y$264,9,FALSE)/100)*'Calc (ex-housing, ex-storage)'!F533/100/VLOOKUP($C$529,'DB animal categories'!$C$191:$AC$200,27,FALSE)*AJ533+I533+J533+K533,IF(AS533=4,('Calc (ex-animal)'!$G$100*'DB additional information '!$K$21/100+'Calc (ex-animal)'!$H$100*'DB additional information '!$L$21/100)*(1-VLOOKUP(D533,'DB technologies'!$N$252:$Y$264,9,FALSE)/100)*'Calc (ex-housing, ex-storage)'!F533/100*VLOOKUP(D533,'DB technologies'!$N$252:$Y$264,12,FALSE)/100/VLOOKUP($C$529,'DB animal categories'!$C$191:$AC$200,27,FALSE)*AJ533+I533+J533+K533,0))))))</f>
        <v/>
      </c>
      <c r="AV533" s="452" t="str">
        <f>IF(D533="","",IF(AS533=2,0,IF(AS533=1,'Calc (ex-animal)'!$G$100*(1-'DB additional information '!$K$21/100)*(1-VLOOKUP(D533,'DB technologies'!$N$252:$Y$264,8,FALSE)/100)*'Calc (ex-housing, ex-storage)'!F533/100/VLOOKUP($C$529,'DB animal categories'!$C$191:$AC$200,27,FALSE)*AJ533+M533+N533+O533,IF(AS533=5,('Calc (ex-animal)'!$G$100*(1-'DB additional information '!$K$21/100)+'Calc (ex-animal)'!$H$100*(1-'DB additional information '!$L$21/100))*(1-VLOOKUP(D533,'DB technologies'!$N$252:$Y$264,8,FALSE)/100)*'Calc (ex-housing, ex-storage)'!F533/100/VLOOKUP($C$529,'DB animal categories'!$C$191:$AC$200,27,FALSE)*AJ533+M533+N533+O533,IF(AS533=3,('Calc (ex-animal)'!$G$100*(1-'DB additional information '!$K$21/100)+'Calc (ex-animal)'!$H$100*(1-'DB additional information '!$L$21/100))*(1-VLOOKUP(D533,'DB technologies'!$N$252:$Y$264,8,FALSE)/100)*'Calc (ex-housing, ex-storage)'!F533/100/VLOOKUP($C$529,'DB animal categories'!$C$191:$AC$200,27,FALSE)*AJ533+M533+N533+O533,IF(AS533=4,('Calc (ex-animal)'!$G$100*(1-'DB additional information '!$K$21/100)+'Calc (ex-animal)'!$H$100*(1-'DB additional information '!$L$21/100))*(1-VLOOKUP(D533,'DB technologies'!$N$252:$Y$264,8,FALSE)/100)*'Calc (ex-housing, ex-storage)'!F533/100*VLOOKUP(D533,'DB technologies'!$N$252:$Y$264,12,FALSE)/100/VLOOKUP($C$529,'DB animal categories'!$C$191:$AC$200,27,FALSE)*AJ533+M533+N533+O533,0))))))</f>
        <v/>
      </c>
      <c r="AW533" s="452" t="str">
        <f>IF(AS533="","",IF(AU533=0,0,AU533/AT533*100))</f>
        <v/>
      </c>
      <c r="AX533" s="184" t="str">
        <f>IF(D533="","",IF(AS533=2,0,IF(AS533=1,'Calc (ex-animal)'!$K$100*'Calc (ex-housing, ex-storage)'!F533/100/VLOOKUP($C$529,'DB animal categories'!$C$191:$AC$200,27,FALSE)*AJ533+Q533+R533+S533,IF(AS533=5,('Calc (ex-animal)'!$K$100+'Calc (ex-animal)'!$L$100)*'Calc (ex-housing, ex-storage)'!F533/100/VLOOKUP($C$529,'DB animal categories'!$C$191:$AC$200,27,FALSE)*AJ533+Q533+R533+S533-'Calc (ex-housing, ex-storage)'!AC533,IF(AS533=3,('Calc (ex-animal)'!$K$100+'Calc (ex-animal)'!$L$100)*'Calc (ex-housing, ex-storage)'!F533/100/VLOOKUP($C$529,'DB animal categories'!$C$191:$AC$200,27,FALSE)*AJ533+Q533+R533+S533-'Calc (ex-housing, ex-storage)'!AC533-AD533-AE533,IF(AI533=4,('Calc (ex-animal)'!$K$100+'Calc (ex-animal)'!$L$100)*'Calc (ex-housing, ex-storage)'!F533/100*VLOOKUP(D533,'DB technologies'!$N$252:$Y$264,12,FALSE)/100/VLOOKUP($C$529,'DB animal categories'!$C$191:$AC$200,27,FALSE)*AJ533+Q533+R533+S533-(VLOOKUP(D533,'DB technologies'!$N$252:$Y$264,12,FALSE)/100*AC533)-AD533-AE533,0))))))</f>
        <v/>
      </c>
      <c r="AY533" s="184" t="str">
        <f>IF(D533="","",IF(AS533=2,0,IF(AS533=1,'Calc (ex-animal)'!$N$100*'Calc (ex-housing, ex-storage)'!F533/100/VLOOKUP($C$529,'DB animal categories'!$C$191:$AC$200,27,FALSE)*AJ533+U533+V533+W533,IF(AS533=5,('Calc (ex-animal)'!$N$100+'Calc (ex-animal)'!$O$100)*'Calc (ex-housing, ex-storage)'!F533/100/VLOOKUP($C$529,'DB animal categories'!$C$191:$AC$200,27,FALSE)*AJ533+U533+V533+W533,IF(AS533=3,('Calc (ex-animal)'!$N$100+'Calc (ex-animal)'!$O$100)*'Calc (ex-housing, ex-storage)'!F533/100/VLOOKUP($C$529,'DB animal categories'!$C$191:$AC$200,27,FALSE)*AJ533+U533+V533+W533,IF(AS533=4,('Calc (ex-animal)'!$N$100+'Calc (ex-animal)'!$O$100)*'Calc (ex-housing, ex-storage)'!F533/100*VLOOKUP(D533,'DB technologies'!$N$252:$Y$264,12,FALSE)/100/VLOOKUP($C$529,'DB animal categories'!$C$191:$AC$200,27,FALSE)*AJ533+U533+V533+W533,0))))))</f>
        <v/>
      </c>
      <c r="AZ533" s="184" t="str">
        <f>IF(D533="","",IF(AS533=2,0,IF(AS533=1,'Calc (ex-animal)'!$Q$100*'Calc (ex-housing, ex-storage)'!F533/100/VLOOKUP($C$529,'DB animal categories'!$C$191:$AC$200,27,FALSE)*AJ533+Y533+Z533+AA533,IF(AS533=5,('Calc (ex-animal)'!$Q$100+'Calc (ex-animal)'!$R$100)*'Calc (ex-housing, ex-storage)'!F533/100/VLOOKUP($C$529,'DB animal categories'!$C$191:$AC$200,27,FALSE)*AJ533+Y533+Z533+AA533,IF(AS533=3,('Calc (ex-animal)'!$Q$100+'Calc (ex-animal)'!$R$100)*'Calc (ex-housing, ex-storage)'!F533/100/VLOOKUP($C$529,'DB animal categories'!$C$191:$AC$200,27,FALSE)*AJ533+Y533+Z533+AA533,IF(AS533=4,('Calc (ex-animal)'!$Q$100+'Calc (ex-animal)'!$R$100)*'Calc (ex-housing, ex-storage)'!F533/100*VLOOKUP(D533,'DB technologies'!$N$252:$Y$264,12,FALSE)/100/VLOOKUP($C$529,'DB animal categories'!$C$191:$AC$200,27,FALSE)*AJ533+Y533+Z533+AA533,0))))))</f>
        <v/>
      </c>
      <c r="BA533" s="506"/>
      <c r="BB533" s="506"/>
      <c r="BC533" s="506"/>
    </row>
    <row r="534" spans="1:55" ht="12" thickBot="1" x14ac:dyDescent="0.25">
      <c r="A534" s="748"/>
      <c r="B534" s="695"/>
      <c r="C534" s="252"/>
      <c r="D534" s="269" t="s">
        <v>58</v>
      </c>
      <c r="E534" s="270">
        <f>IF(F534&lt;=100,SUM(E529:E533),"ERROR")</f>
        <v>0</v>
      </c>
      <c r="F534" s="284">
        <f>IF(SUM(F529:F533) &lt;=100,SUM(F529:F533),"ERROR, SUM&gt;100%")</f>
        <v>0</v>
      </c>
      <c r="G534" s="550">
        <f>IF('Calc (ex-animal)'!$F$98=1,"",SUM(G529:G533))</f>
        <v>0</v>
      </c>
      <c r="H534" s="418">
        <f>IF('Calc (ex-animal)'!$F$8=1,"",SUM(H529:H533))</f>
        <v>0</v>
      </c>
      <c r="I534" s="418">
        <f>IF('Calc (ex-animal)'!$F$8=1,"",SUM(I529:I533))</f>
        <v>0</v>
      </c>
      <c r="J534" s="418">
        <f>IF('Calc (ex-animal)'!$F$8=1,"",SUM(J529:J533))</f>
        <v>0</v>
      </c>
      <c r="K534" s="418">
        <f>IF('Calc (ex-animal)'!$F$8=1,"",SUM(K529:K533))</f>
        <v>0</v>
      </c>
      <c r="L534" s="418">
        <f>IF('Calc (ex-animal)'!$F$8=1,"",SUM(L529:L533))</f>
        <v>0</v>
      </c>
      <c r="M534" s="551"/>
      <c r="N534" s="551"/>
      <c r="O534" s="551"/>
      <c r="P534" s="552">
        <f>IF(G534=0,0,IF('Calc (ex-animal)'!$F$98=1,"",IF(D534="","",SUM(H534:K534)/G534*100)))</f>
        <v>0</v>
      </c>
      <c r="Q534" s="271"/>
      <c r="R534" s="271"/>
      <c r="S534" s="271"/>
      <c r="T534" s="278">
        <f>IF('Calc (ex-animal)'!$F$100=1,"",SUM(T529:T533))</f>
        <v>0</v>
      </c>
      <c r="U534" s="279"/>
      <c r="V534" s="279"/>
      <c r="W534" s="279"/>
      <c r="X534" s="279">
        <f>IF('Calc (ex-animal)'!$F$100=1,"",SUM(X529:X533))</f>
        <v>0</v>
      </c>
      <c r="Y534" s="279"/>
      <c r="Z534" s="279"/>
      <c r="AA534" s="279"/>
      <c r="AB534" s="279">
        <f>IF('Calc (ex-animal)'!$F$100=1,"",SUM(AB529:AB533))</f>
        <v>0</v>
      </c>
      <c r="AC534" s="279">
        <f>IF('Calc (ex-animal)'!$F$100=1,"",SUM(AC529:AC533))</f>
        <v>0</v>
      </c>
      <c r="AD534" s="279">
        <f>IF('Calc (ex-animal)'!$F$100=1,"",SUM(AD529:AD533))</f>
        <v>0</v>
      </c>
      <c r="AE534" s="280">
        <f>IF('Calc (ex-animal)'!$F$100=1,"",SUM(AE529:AE533))</f>
        <v>0</v>
      </c>
    </row>
    <row r="535" spans="1:55" x14ac:dyDescent="0.2">
      <c r="A535" s="748"/>
      <c r="B535" s="695"/>
      <c r="C535" s="250">
        <f>'Calc (ex-animal)'!D101</f>
        <v>0</v>
      </c>
      <c r="D535" s="1355"/>
      <c r="E535" s="1356"/>
      <c r="F535" s="479" t="str">
        <f>IF('Calc (ex-animal)'!$F$98=1,"",IF($C$535=0,"",IF(D535="","",E535/'Calc (ex-animal)'!$E$101*100)))</f>
        <v/>
      </c>
      <c r="G535" s="484" t="str">
        <f>IF($C$535=0,"",IF('Calc (ex-animal)'!$F$98=1,"",IF(D535="","",SUM(H535:O535))))</f>
        <v/>
      </c>
      <c r="H535" s="471" t="str">
        <f>IF('Calc (ex-animal)'!$F$98=1,"",IF(D535="","",(((VLOOKUP($C$535,'Calc (ex-animal)'!$D$98:$Y$102,6,FALSE)-VLOOKUP($C$535,'Calc (ex-animal)'!$D$98:$Y$102,17,FALSE))*F535/100))*VLOOKUP($C$535,'Calc (ex-animal)'!$D$98:$Y$102,7,FALSE)/100*(1-VLOOKUP(D535,'DB technologies'!$N$252:$Y$264,9,FALSE)/100)))</f>
        <v/>
      </c>
      <c r="I535" s="471" t="str">
        <f>IF(D535="","",((VLOOKUP(D535,'DB technologies'!$N$252:$Y$264,2,FALSE)*VLOOKUP($C$535,'DB animal categories'!$C$191:$AC$200,27,FALSE)*E535/1000)/VLOOKUP($C$535,'DB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'!$S$6/100*(1-VLOOKUP(D535,'DB technologies'!$N$252:$Y$264,9,FALSE)/100)))</f>
        <v/>
      </c>
      <c r="J535" s="472" t="str">
        <f>IF(D535="","",((VLOOKUP(D535,'DB technologies'!$N$252:$Y$264,3,FALSE)*VLOOKUP($C$535,'DB animal categories'!$C$191:$AC$200,27,FALSE)*E535/1000)/VLOOKUP($C$535,'DB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'!$S$7/100*(1-VLOOKUP(D535,'DB technologies'!$N$252:$Y$264,9,FALSE)/100)))</f>
        <v/>
      </c>
      <c r="K535" s="472" t="str">
        <f>IF(D535="","",((VLOOKUP(D535,'DB technologies'!$N$252:$Y$264,4,FALSE)*E535*'DB additional information '!$S$8/100*(1-VLOOKUP(D535,'DB technologies'!$N$252:$Y$264,9,FALSE)/100))/VLOOKUP($C$535,'DB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L535" s="471" t="str">
        <f>IF('Calc (ex-animal)'!$F$98=1,"",IF(D535="","",(((VLOOKUP($C$535,'Calc (ex-animal)'!$D$98:$Y$102,6,FALSE)-VLOOKUP($C$535,'Calc (ex-animal)'!$D$98:$Y$102,17,FALSE))*F535/100))*(1-VLOOKUP($C$535,'Calc (ex-animal)'!$D$98:$Y$102,7,FALSE)/100)*(1-VLOOKUP(D535,'DB technologies'!$N$252:$V$264,8,FALSE)/100)))</f>
        <v/>
      </c>
      <c r="M535" s="472" t="str">
        <f>IF(D535="","",((VLOOKUP(D535,'DB technologies'!$N$252:$Y$264,2,FALSE)*VLOOKUP($C$535,'DB animal categories'!$C$191:$AC$200,27,FALSE)*E535/1000)/VLOOKUP($C$535,'DB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'!$S$6/100)*(1-VLOOKUP(D535,'DB technologies'!$N$252:$Y$264,9,FALSE)/100))</f>
        <v/>
      </c>
      <c r="N535" s="472" t="str">
        <f>IF(D535="","",((VLOOKUP(D535,'DB technologies'!$N$252:$Y$264,3,FALSE)*VLOOKUP($C$535,'DB animal categories'!$C$191:$AC$200,27,FALSE)*E535/1000)/VLOOKUP($C$535,'DB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'!$S$7/100)*(1-VLOOKUP(D535,'DB technologies'!$N$252:$Y$264,9,FALSE)/100))</f>
        <v/>
      </c>
      <c r="O535" s="471" t="str">
        <f>IF(D535="","",((VLOOKUP(D535,'DB technologies'!$N$252:$Y$264,4,FALSE)*E535*(1-'DB additional information '!$S$8/100)*(1-VLOOKUP(D535,'DB technologies'!$N$252:$Y$264,8,FALSE)/100))/VLOOKUP($C$535,'DB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P535" s="443" t="str">
        <f>IF(G535=0,0,IF(E535="","",IF(F535="","",IF($C$535=0,"",IF(D535="","",SUM(H535:K535)/G535*100)))))</f>
        <v/>
      </c>
      <c r="Q535" s="473" t="str">
        <f>IF(D535="","",(VLOOKUP(D535,'DB technologies'!$N$252:$Y$264,2,FALSE)*'DB additional information '!$S$6/100*'DB additional information '!$T$6*VLOOKUP($C$535,'DB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R535" s="473" t="str">
        <f>IF(D535="","",(VLOOKUP(D535,'DB technologies'!$N$252:$Y$264,3,FALSE)*'DB additional information '!$S$7/100*'DB additional information '!$T$7*VLOOKUP($C$535,'DB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S535" s="490" t="str">
        <f>IF(D535="","",(VLOOKUP(D535,'DB technologies'!$N$252:$Y$264,4,FALSE)*('DB additional information '!$S$8/100*'DB additional information '!$T$8*E535/1000/1000)))</f>
        <v/>
      </c>
      <c r="T535" s="263" t="str">
        <f>IF($C$535=0,"",IF('Calc (ex-animal)'!$F$98=1,"",IF(D535="","",((VLOOKUP($C$535,'Calc (ex-animal)'!$D$98:$Y$102,10,FALSE)-VLOOKUP($C$535,'Calc (ex-animal)'!$D$98:$Y$102,18,FALSE))*F535/100+Q535+R535+S535)-AC535-AD535-AE535)))</f>
        <v/>
      </c>
      <c r="U535" s="474" t="str">
        <f>IF(D535="","",(VLOOKUP(D535,'DB technologies'!$N$252:$Y$264,2,FALSE)*'DB additional information '!$S$6/100*'DB additional information '!$U$6*VLOOKUP($C$535,'DB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V535" s="420" t="str">
        <f>IF(D535="","",(VLOOKUP(D535,'DB technologies'!$N$252:$Y$264,3,FALSE)*'DB additional information '!$S$7/100*'DB additional information '!$U$7*VLOOKUP($C$535,'DB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W535" s="415" t="str">
        <f>IF(D535="","",(VLOOKUP(D535,'DB technologies'!$N$252:$Y$264,4,FALSE)*('DB additional information '!$S$8/100*'DB additional information '!$U$8*E535/1000/1000)))</f>
        <v/>
      </c>
      <c r="X535" s="259" t="str">
        <f>IF($C$535=0,"",IF('Calc (ex-animal)'!$F$98=1,"",IF(D535="","",((VLOOKUP($C$535,'Calc (ex-animal)'!$D$98:$Y$102,13,FALSE)-VLOOKUP($C$535,'Calc (ex-animal)'!$D$98:$Y$102,19,FALSE))*F535/100+U535+V535+W535))))</f>
        <v/>
      </c>
      <c r="Y535" s="420" t="str">
        <f>IF(D535="","",(VLOOKUP(D535,'DB technologies'!$N$252:$Y$264,2,FALSE)*'DB additional information '!$S$6/100*'DB additional information '!$V$6*VLOOKUP($C$535,'DB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Z535" s="420" t="str">
        <f>IF(D535="","",(VLOOKUP(D535,'DB technologies'!$N$252:$Y$264,3,FALSE)*'DB additional information '!$S$7/100*'DB additional information '!$V$7*VLOOKUP($C$535,'DB animal categories'!$C$191:$AC$200,27,FALSE)*E535/1000/1000)/VLOOKUP($C$535,'DB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AA535" s="420" t="str">
        <f>IF(D535="","",(VLOOKUP(D535,'DB technologies'!$N$252:$Y$264,4,FALSE)*('DB additional information '!$S$8/100*'DB additional information '!$V$8*E535/1000/1000)))</f>
        <v/>
      </c>
      <c r="AB535" s="259" t="str">
        <f>IF($C$535=0,"",IF('Calc (ex-animal)'!$F$98=1,"",IF(D535="","",((VLOOKUP($C$535,'Calc (ex-animal)'!$D$98:$Y$102,16,FALSE)-VLOOKUP($C$535,'Calc (ex-animal)'!$D$98:$Y$102,20,FALSE))*F535/100+Y535+Z535+AA535))))</f>
        <v/>
      </c>
      <c r="AC535" s="259" t="str">
        <f>IF($C$535=0,"",IF('Calc (ex-animal)'!$F$98=1,"",IF(D535="","",VLOOKUP($C$535,'Calc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categories'!$C$191:$AC$200,26,FALSE)/24)*F535/100*VLOOKUP(D535,'DB technologies'!$N$252:$R$264,5,FALSE)/100)))</f>
        <v/>
      </c>
      <c r="AD535" s="259" t="str">
        <f>IF($C$535=0,"",IF('Calc (ex-animal)'!$F$98=1,"",IF(D535="","",VLOOKUP($C$535,'Calc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categories'!$C$191:$AC$200,26,FALSE)/24)*F535/100*VLOOKUP(D535,'DB technologies'!$N$252:$Y$264,6,FALSE)/100)))</f>
        <v/>
      </c>
      <c r="AE535" s="260" t="str">
        <f>IF($C$535=0,"",IF('Calc (ex-animal)'!$F$98=1,"",IF(D535="","",VLOOKUP($C$535,'Calc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categories'!$C$191:$AC$200,26,FALSE)/24)*F535/100*VLOOKUP(D535,'DB technologies'!$N$252:$Y$264,7,FALSE)/100)))</f>
        <v/>
      </c>
      <c r="AI535" s="179" t="str">
        <f>IF(D535="","",VLOOKUP(D535,'DB technologies'!$N$252:$Y$264,10,FALSE))</f>
        <v/>
      </c>
      <c r="AJ535" s="482" t="e">
        <f>VLOOKUP($C$535,'DB animal categories'!$C$191:$AN$200,27,FALSE)-VLOOKUP($C$535,'DB animal categories'!$C$191:$AN$200,26,FALSE)*VLOOKUP($C$535,'DB animal categories'!$C$191:$AN$200,25,FALSE)/24</f>
        <v>#N/A</v>
      </c>
      <c r="AK535" s="453" t="str">
        <f>IF(AI535="","",AL535+AM535)</f>
        <v/>
      </c>
      <c r="AL535" s="453" t="str">
        <f>IF(D535="","",IF(AI535=2,(('Calc (ex-animal)'!$G$101*'DB additional information '!$K$21/100*(1-VLOOKUP(D535,'DB technologies'!$N$252:$Y$264,9,FALSE)/100)*'Calc (ex-housing, ex-storage)'!F535/100+'Calc (ex-animal)'!$H$101*'DB additional information '!$L$21/100*(1-VLOOKUP(D535,'DB technologies'!$N$252:$Y$264,9,FALSE)/100)*'Calc (ex-housing, ex-storage)'!F535/100))/VLOOKUP($C$535,'DB animal categories'!$C$191:$AC$200,27,FALSE)*AJ535+I535+J535+K535,IF(AI535=1,('Calc (ex-animal)'!$H$101*'DB additional information '!$L$21/100*(1-VLOOKUP(D535,'DB technologies'!$N$252:$Y$264,9,FALSE)/100)*'Calc (ex-housing, ex-storage)'!F535/100)/VLOOKUP($C$535,'DB animal categories'!$C$191:$AC$200,27,FALSE)*AJ535,IF(AI535=4,('Calc (ex-animal)'!$G$101*'DB additional information '!$K$21/100+'Calc (ex-animal)'!$H$101*'DB additional information '!$L$21/100)*(1-VLOOKUP(D535,'DB technologies'!$N$252:$Y$264,9,FALSE)/100)*'Calc (ex-housing, ex-storage)'!F535/100*VLOOKUP(D535,'DB technologies'!$N$252:$Y$264,11,FALSE)/100/VLOOKUP($C$535,'DB animal categories'!$C$191:$AC$200,27,FALSE)*AJ535,0))))</f>
        <v/>
      </c>
      <c r="AM535" s="453" t="str">
        <f>IF(D535="","",IF(AI535=2,(('Calc (ex-animal)'!$G$101*(1-'DB additional information '!$K$21/100)*(1-VLOOKUP(D535,'DB technologies'!$N$252:$Y$264,8,FALSE)/100)*'Calc (ex-housing, ex-storage)'!F535/100+'Calc (ex-animal)'!$H$101*(1-'DB additional information '!$L$21/100)*(1-VLOOKUP(D535,'DB technologies'!$N$252:$Y$264,8,FALSE)/100)*'Calc (ex-housing, ex-storage)'!F535/100))/VLOOKUP($C$535,'DB animal categories'!$C$191:$AC$200,27,FALSE)*AJ535+M535+N535+O535,IF(AI535=1,('Calc (ex-animal)'!$H$101*(1-'DB additional information '!$L$21/100)*(1-VLOOKUP(D535,'DB technologies'!$N$252:$Y$264,8,FALSE)/100)*'Calc (ex-housing, ex-storage)'!F535/100)/VLOOKUP($C$535,'DB animal categories'!$C$191:$AC$200,27,FALSE)*AJ535,IF(AI535=4,('Calc (ex-animal)'!$G$101*(1-'DB additional information '!$K$21/100)+'Calc (ex-animal)'!$H$101*(1-'DB additional information '!$L$21/100))*(1-VLOOKUP(D535,'DB technologies'!$N$252:$Y$264,8,FALSE)/100)*'Calc (ex-housing, ex-storage)'!F535/100*VLOOKUP(D535,'DB technologies'!$N$252:$Y$264,11,FALSE)/100/VLOOKUP($C$535,'DB animal categories'!$C$191:$AC$200,27,FALSE)*AJ535,0))))</f>
        <v/>
      </c>
      <c r="AN535" s="453" t="str">
        <f>IF(AI535="","",IF(AL535=0,0,AL535/AK535*100))</f>
        <v/>
      </c>
      <c r="AO535" s="180" t="str">
        <f>IF(D535="","",IF(AI535=2,(('Calc (ex-animal)'!$L$101*'Calc (ex-housing, ex-storage)'!F535/100+'Calc (ex-animal)'!$K$101*'Calc (ex-housing, ex-storage)'!F535/100))/VLOOKUP($C$535,'DB animal categories'!$C$191:$AC$200,27,FALSE)*AJ535+Q535+R535+S535-AC535,IF(AI535=1,('Calc (ex-animal)'!$L$101*'Calc (ex-housing, ex-storage)'!F535/100)/VLOOKUP($C$535,'DB animal categories'!$C$191:$AC$200,27,FALSE)*AJ535-'Calc (ex-housing, ex-storage)'!AC535,IF(AI535=4,('Calc (ex-animal)'!$L$101+'Calc (ex-animal)'!$K$101)*'Calc (ex-housing, ex-storage)'!F535/100*VLOOKUP(D535,'DB technologies'!$N$252:$Y$264,11,FALSE)/100/VLOOKUP($C$535,'DB animal categories'!$C$191:$AC$200,27,FALSE)*AJ535-AC535*VLOOKUP(D535,'DB technologies'!$N$252:$Y$264,11,FALSE)/100,0))))</f>
        <v/>
      </c>
      <c r="AP535" s="180" t="str">
        <f>IF(D535="","",IF(AO535&lt;-0.01,0,IF(AI535=2,(('Calc (ex-animal)'!$L$101*'Calc (ex-housing, ex-storage)'!F535/100+'Calc (ex-animal)'!$K$101*'Calc (ex-housing, ex-storage)'!F535/100))/VLOOKUP($C$535,'DB animal categories'!$C$191:$AC$200,27,FALSE)*AJ535+Q535+R535+S535-AC535,IF(AI535=1,('Calc (ex-animal)'!$L$101*'Calc (ex-housing, ex-storage)'!F535/100)/VLOOKUP($C$535,'DB animal categories'!$C$191:$AC$200,27,FALSE)*AJ535-'Calc (ex-housing, ex-storage)'!AC535,IF(AI535=4,('Calc (ex-animal)'!$L$101+'Calc (ex-animal)'!$K$101)*'Calc (ex-housing, ex-storage)'!F535/100*VLOOKUP(D535,'DB technologies'!$N$252:$Y$264,11,FALSE)/100/VLOOKUP($C$535,'DB animal categories'!$C$191:$AC$200,27,FALSE)*AJ535-AC535*VLOOKUP(D535,'DB technologies'!$N$252:$Y$264,11,FALSE)/100,0)))))</f>
        <v/>
      </c>
      <c r="AQ535" s="180" t="str">
        <f>IF(D535="","",IF(AI535=2,('Calc (ex-animal)'!$O$101*'Calc (ex-housing, ex-storage)'!F535/100+'Calc (ex-animal)'!$N$101*'Calc (ex-housing, ex-storage)'!F535/100)/VLOOKUP($C$535,'DB animal categories'!$C$191:$AC$200,27,FALSE)*AJ535+U535+V535+W535,IF(AI535=1,'Calc (ex-animal)'!$O$101*'Calc (ex-housing, ex-storage)'!F535/100/VLOOKUP($C$535,'DB animal categories'!$C$191:$AC$200,27,FALSE)*AJ535,IF(AI535=4,('Calc (ex-animal)'!$O$101+'Calc (ex-animal)'!$N$101)*'Calc (ex-housing, ex-storage)'!F535/100*VLOOKUP(D535,'DB technologies'!$N$252:$Y$264,11,FALSE)/100/VLOOKUP($C$535,'DB animal categories'!$C$191:$AC$200,27,FALSE)*AJ535,0))))</f>
        <v/>
      </c>
      <c r="AR535" s="180" t="str">
        <f>IF(D535="","",IF(AI535=2,('Calc (ex-animal)'!$R$101*'Calc (ex-housing, ex-storage)'!F535/100+'Calc (ex-animal)'!$Q$101*'Calc (ex-housing, ex-storage)'!F535/100)/VLOOKUP($C$535,'DB animal categories'!$C$191:$AC$200,27,FALSE)*AJ535+Y535+Z535+AA535,IF(AI535=1,'Calc (ex-animal)'!$R$101*'Calc (ex-housing, ex-storage)'!F535/100/VLOOKUP($C$535,'DB animal categories'!$C$191:$AC$200,27,FALSE)*AJ535,IF(AI535=4,('Calc (ex-animal)'!$R$101+'Calc (ex-animal)'!$Q$101)*'Calc (ex-housing, ex-storage)'!F535/100*VLOOKUP(D535,'DB technologies'!$N$252:$Y$264,11,FALSE)/100/VLOOKUP($C$535,'DB animal categories'!$C$191:$AC$200,27,FALSE)*AJ535,0))))</f>
        <v/>
      </c>
      <c r="AS535" s="179" t="str">
        <f>IF(D535="","",VLOOKUP(D535,'DB technologies'!$N$252:$Y$264,10,FALSE))</f>
        <v/>
      </c>
      <c r="AT535" s="453" t="str">
        <f>IF(AS535="","",AU535+AV535)</f>
        <v/>
      </c>
      <c r="AU535" s="453" t="str">
        <f>IF(D535="","",IF(AS535=2,0,IF(AS535=1,'Calc (ex-animal)'!$G$101*'DB additional information '!$K$21/100*(1-VLOOKUP(D535,'DB technologies'!$N$252:$Y$264,8,FALSE)/100)*'Calc (ex-housing, ex-storage)'!F535/100/VLOOKUP($C$535,'DB animal categories'!$C$191:$AC$200,27,FALSE)*AJ535+I535+J535+K535,IF(AS535=5,(('Calc (ex-animal)'!$G$101*'DB additional information '!$K$21/100+'Calc (ex-animal)'!$H$101*'DB additional information '!$L$21/100))*(1-VLOOKUP(D535,'DB technologies'!$N$252:$Y$264,9,FALSE)/100)*'Calc (ex-housing, ex-storage)'!F535/100/VLOOKUP($C$535,'DB animal categories'!$C$191:$AC$200,27,FALSE)*AJ535+I535+J535+K535,IF(AS535=3,('Calc (ex-animal)'!$G$101*'DB additional information '!$K$21/100+'Calc (ex-animal)'!$H$101*'DB additional information '!$L$21/100)*(1-VLOOKUP(D535,'DB technologies'!$N$252:$Y$264,9,FALSE)/100)*'Calc (ex-housing, ex-storage)'!F535/100/VLOOKUP($C$535,'DB animal categories'!$C$191:$AC$200,27,FALSE)*AJ535+I535+J535+K535,IF(AS535=4,('Calc (ex-animal)'!$G$101*'DB additional information '!$K$21/100+'Calc (ex-animal)'!$H$101*'DB additional information '!$L$21/100)*(1-VLOOKUP(D535,'DB technologies'!$N$252:$Y$264,9,FALSE)/100)*'Calc (ex-housing, ex-storage)'!F535/100*VLOOKUP(D535,'DB technologies'!$N$252:$Y$264,12,FALSE)/100/VLOOKUP($C$535,'DB animal categories'!$C$191:$AC$200,27,FALSE)*AJ535+I535+J535+K535,0))))))</f>
        <v/>
      </c>
      <c r="AV535" s="453" t="str">
        <f>IF(D535="","",IF(AS535=2,0,IF(AS535=1,'Calc (ex-animal)'!$G$101*(1-'DB additional information '!$K$21/100)*(1-VLOOKUP(D535,'DB technologies'!$N$252:$Y$264,8,FALSE)/100)*'Calc (ex-housing, ex-storage)'!F535/100/VLOOKUP($C$535,'DB animal categories'!$C$191:$AC$200,27,FALSE)*AJ535+M535+N535+O535,IF(AS535=5,('Calc (ex-animal)'!$G$101*(1-'DB additional information '!$K$21/100)+'Calc (ex-animal)'!$H$101*(1-'DB additional information '!$L$21/100))*(1-VLOOKUP(D535,'DB technologies'!$N$252:$Y$264,8,FALSE)/100)*'Calc (ex-housing, ex-storage)'!F535/100/VLOOKUP($C$535,'DB animal categories'!$C$191:$AC$200,27,FALSE)*AJ535+M535+N535+O535,IF(AS535=3,('Calc (ex-animal)'!$G$101*(1-'DB additional information '!$K$21/100)+'Calc (ex-animal)'!$H$101*(1-'DB additional information '!$L$21/100))*(1-VLOOKUP(D535,'DB technologies'!$N$252:$Y$264,8,FALSE)/100)*'Calc (ex-housing, ex-storage)'!F535/100/VLOOKUP($C$535,'DB animal categories'!$C$191:$AC$200,27,FALSE)*AJ535+M535+N535+O535,IF(AS535=4,('Calc (ex-animal)'!$G$101*(1-'DB additional information '!$K$21/100)+'Calc (ex-animal)'!$H$101*(1-'DB additional information '!$L$21/100))*(1-VLOOKUP(D535,'DB technologies'!$N$252:$Y$264,8,FALSE)/100)*'Calc (ex-housing, ex-storage)'!F535/100*VLOOKUP(D535,'DB technologies'!$N$252:$Y$264,12,FALSE)/100/VLOOKUP($C$535,'DB animal categories'!$C$191:$AC$200,27,FALSE)*AJ535+M535+N535+O535,0))))))</f>
        <v/>
      </c>
      <c r="AW535" s="453" t="str">
        <f>IF(AS535="","",IF(AU535=0,0,AU535/AT535*100))</f>
        <v/>
      </c>
      <c r="AX535" s="180" t="str">
        <f>IF(D535="","",IF(AS535=2,0,IF(AS535=1,'Calc (ex-animal)'!$K$101*'Calc (ex-housing, ex-storage)'!F535/100/VLOOKUP($C$535,'DB animal categories'!$C$191:$AC$200,27,FALSE)*AJ535+Q535+R535+S535,IF(AS535=5,('Calc (ex-animal)'!$K$101+'Calc (ex-animal)'!$L$101)*'Calc (ex-housing, ex-storage)'!F535/100/VLOOKUP($C$535,'DB animal categories'!$C$191:$AC$200,27,FALSE)*AJ535+Q535+R535+S535-'Calc (ex-housing, ex-storage)'!AC535,IF(AS535=3,('Calc (ex-animal)'!$K$101+'Calc (ex-animal)'!$L$101)*'Calc (ex-housing, ex-storage)'!F535/100/VLOOKUP($C$535,'DB animal categories'!$C$191:$AC$200,27,FALSE)*AJ535+Q535+R535+S535-'Calc (ex-housing, ex-storage)'!AC535-AD535-AE535,IF(AI535=4,('Calc (ex-animal)'!$K$101+'Calc (ex-animal)'!$L$101)*'Calc (ex-housing, ex-storage)'!F535/100*VLOOKUP(D535,'DB technologies'!$N$252:$Y$264,12,FALSE)/100/VLOOKUP($C$535,'DB animal categories'!$C$191:$AC$200,27,FALSE)*AJ535+Q535+R535+S535-(VLOOKUP(D535,'DB technologies'!$N$252:$Y$264,12,FALSE)/100*AC535)-AD535-AE535,0))))))</f>
        <v/>
      </c>
      <c r="AY535" s="180" t="str">
        <f>IF(D535="","",IF(AS535=2,0,IF(AS535=1,'Calc (ex-animal)'!$N$101*'Calc (ex-housing, ex-storage)'!F535/100/VLOOKUP($C$535,'DB animal categories'!$C$191:$AC$200,27,FALSE)*AJ535+U535+V535+W535,IF(AS535=5,('Calc (ex-animal)'!$N$101+'Calc (ex-animal)'!$O$101)*'Calc (ex-housing, ex-storage)'!F535/100/VLOOKUP($C$535,'DB animal categories'!$C$191:$AC$200,27,FALSE)*AJ535+U535+V535+W535,IF(AS535=3,('Calc (ex-animal)'!$N$101+'Calc (ex-animal)'!$O$101)*'Calc (ex-housing, ex-storage)'!F535/100/VLOOKUP($C$535,'DB animal categories'!$C$191:$AC$200,27,FALSE)*AJ535+U535+V535+W535,IF(AS535=4,('Calc (ex-animal)'!$N$101+'Calc (ex-animal)'!$O$101)*'Calc (ex-housing, ex-storage)'!F535/100*VLOOKUP(D535,'DB technologies'!$N$252:$Y$264,12,FALSE)/100/VLOOKUP($C$535,'DB animal categories'!$C$191:$AC$200,27,FALSE)*AJ535+U535+V535+W535,0))))))</f>
        <v/>
      </c>
      <c r="AZ535" s="180" t="str">
        <f>IF(D535="","",IF(AS535=2,0,IF(AS535=1,'Calc (ex-animal)'!$Q$101*'Calc (ex-housing, ex-storage)'!F535/100/VLOOKUP($C$535,'DB animal categories'!$C$191:$AC$200,27,FALSE)*AJ535+Y535+Z535+AA535,IF(AS535=5,('Calc (ex-animal)'!$Q$101+'Calc (ex-animal)'!$R$101)*'Calc (ex-housing, ex-storage)'!F535/100/VLOOKUP($C$535,'DB animal categories'!$C$191:$AC$200,27,FALSE)*AJ535+Y535+Z535+AA535,IF(AS535=3,('Calc (ex-animal)'!$Q$101+'Calc (ex-animal)'!$R$101)*'Calc (ex-housing, ex-storage)'!F535/100/VLOOKUP($C$535,'DB animal categories'!$C$191:$AC$200,27,FALSE)*AJ535+Y535+Z535+AA535,IF(AS535=4,('Calc (ex-animal)'!$Q$101+'Calc (ex-animal)'!$R$101)*'Calc (ex-housing, ex-storage)'!F535/100*VLOOKUP(D535,'DB technologies'!$N$252:$Y$264,12,FALSE)/100/VLOOKUP($C$535,'DB animal categories'!$C$191:$AC$200,27,FALSE)*AJ535+Y535+Z535+AA535,0))))))</f>
        <v/>
      </c>
      <c r="BA535" s="506"/>
      <c r="BB535" s="506"/>
      <c r="BC535" s="506"/>
    </row>
    <row r="536" spans="1:55" x14ac:dyDescent="0.2">
      <c r="A536" s="748"/>
      <c r="B536" s="695"/>
      <c r="C536" s="251"/>
      <c r="D536" s="1357"/>
      <c r="E536" s="1358"/>
      <c r="F536" s="480" t="str">
        <f>IF('Calc (ex-animal)'!$F$98=1,"",IF($C$535=0,"",IF(D536="","",E536/'Calc (ex-animal)'!$E$101*100)))</f>
        <v/>
      </c>
      <c r="G536" s="485" t="str">
        <f>IF($C$535=0,"",IF('Calc (ex-animal)'!$F$98=1,"",IF(D536="","",SUM(H536:O536))))</f>
        <v/>
      </c>
      <c r="H536" s="423" t="str">
        <f>IF('Calc (ex-animal)'!$F$98=1,"",IF(D536="","",(((VLOOKUP($C$535,'Calc (ex-animal)'!$D$98:$Y$102,6,FALSE)-VLOOKUP($C$535,'Calc (ex-animal)'!$D$98:$Y$102,17,FALSE))*F536/100))*VLOOKUP($C$535,'Calc (ex-animal)'!$D$98:$Y$102,7,FALSE)/100*(1-VLOOKUP(D536,'DB technologies'!$N$252:$Y$264,9,FALSE)/100)))</f>
        <v/>
      </c>
      <c r="I536" s="423" t="str">
        <f>IF(D536="","",((VLOOKUP(D536,'DB technologies'!$N$252:$Y$264,2,FALSE)*VLOOKUP($C$535,'DB animal categories'!$C$191:$AC$200,27,FALSE)*E536/1000)/VLOOKUP($C$535,'DB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'!$S$6/100*(1-VLOOKUP(D536,'DB technologies'!$N$252:$Y$264,9,FALSE)/100)))</f>
        <v/>
      </c>
      <c r="J536" s="434" t="str">
        <f>IF(D536="","",((VLOOKUP(D536,'DB technologies'!$N$252:$Y$264,3,FALSE)*VLOOKUP($C$535,'DB animal categories'!$C$191:$AC$200,27,FALSE)*E536/1000)/VLOOKUP($C$535,'DB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'!$S$7/100*(1-VLOOKUP(D536,'DB technologies'!$N$252:$Y$264,9,FALSE)/100)))</f>
        <v/>
      </c>
      <c r="K536" s="434" t="str">
        <f>IF(D536="","",((VLOOKUP(D536,'DB technologies'!$N$252:$Y$264,4,FALSE)*E536*'DB additional information '!$S$8/100*(1-VLOOKUP(D536,'DB technologies'!$N$252:$Y$264,9,FALSE)/100))/VLOOKUP($C$535,'DB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L536" s="423" t="str">
        <f>IF('Calc (ex-animal)'!$F$98=1,"",IF(D536="","",(((VLOOKUP($C$535,'Calc (ex-animal)'!$D$98:$Y$102,6,FALSE)-VLOOKUP($C$535,'Calc (ex-animal)'!$D$98:$Y$102,17,FALSE))*F536/100))*(1-VLOOKUP($C$535,'Calc (ex-animal)'!$D$98:$Y$102,7,FALSE)/100)*(1-VLOOKUP(D536,'DB technologies'!$N$252:$V$264,8,FALSE)/100)))</f>
        <v/>
      </c>
      <c r="M536" s="434" t="str">
        <f>IF(D536="","",((VLOOKUP(D536,'DB technologies'!$N$252:$Y$264,2,FALSE)*VLOOKUP($C$535,'DB animal categories'!$C$191:$AC$200,27,FALSE)*E536/1000)/VLOOKUP($C$535,'DB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'!$S$6/100)*(1-VLOOKUP(D536,'DB technologies'!$N$252:$Y$264,9,FALSE)/100))</f>
        <v/>
      </c>
      <c r="N536" s="434" t="str">
        <f>IF(D536="","",((VLOOKUP(D536,'DB technologies'!$N$252:$Y$264,3,FALSE)*VLOOKUP($C$535,'DB animal categories'!$C$191:$AC$200,27,FALSE)*E536/1000)/VLOOKUP($C$535,'DB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'!$S$7/100)*(1-VLOOKUP(D536,'DB technologies'!$N$252:$Y$264,9,FALSE)/100))</f>
        <v/>
      </c>
      <c r="O536" s="423" t="str">
        <f>IF(D536="","",((VLOOKUP(D536,'DB technologies'!$N$252:$Y$264,4,FALSE)*E536*(1-'DB additional information '!$S$8/100)*(1-VLOOKUP(D536,'DB technologies'!$N$252:$Y$264,8,FALSE)/100))/VLOOKUP($C$535,'DB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P536" s="438" t="str">
        <f>IF(G536=0,0,IF(E536="","",IF(F536="","",IF($C$535=0,"",IF(D536="","",SUM(H536:K536)/G536*100)))))</f>
        <v/>
      </c>
      <c r="Q536" s="416" t="str">
        <f>IF(D536="","",(VLOOKUP(D536,'DB technologies'!$N$252:$Y$264,2,FALSE)*'DB additional information '!$S$6/100*'DB additional information '!$T$6*VLOOKUP($C$535,'DB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R536" s="416" t="str">
        <f>IF(D536="","",(VLOOKUP(D536,'DB technologies'!$N$252:$Y$264,3,FALSE)*'DB additional information '!$S$7/100*'DB additional information '!$T$7*VLOOKUP($C$535,'DB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S536" s="491" t="str">
        <f>IF(D536="","",(VLOOKUP(D536,'DB technologies'!$N$252:$Y$264,4,FALSE)*('DB additional information '!$S$8/100*'DB additional information '!$T$8*E536/1000/1000)))</f>
        <v/>
      </c>
      <c r="T536" s="264" t="str">
        <f>IF($C$535=0,"",IF('Calc (ex-animal)'!$F$98=1,"",IF(D536="","",((VLOOKUP($C$535,'Calc (ex-animal)'!$D$98:$Y$102,10,FALSE)-VLOOKUP($C$535,'Calc (ex-animal)'!$D$98:$Y$102,18,FALSE))*F536/100+Q536+R536+S536)-AC536-AD536-AE536)))</f>
        <v/>
      </c>
      <c r="U536" s="422" t="str">
        <f>IF(D536="","",(VLOOKUP(D536,'DB technologies'!$N$252:$Y$264,2,FALSE)*'DB additional information '!$S$6/100*'DB additional information '!$U$6*VLOOKUP($C$535,'DB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V536" s="418" t="str">
        <f>IF(D536="","",(VLOOKUP(D536,'DB technologies'!$N$252:$Y$264,3,FALSE)*'DB additional information '!$S$7/100*'DB additional information '!$U$7*VLOOKUP($C$535,'DB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W536" s="417" t="str">
        <f>IF(D536="","",(VLOOKUP(D536,'DB technologies'!$N$252:$Y$264,4,FALSE)*('DB additional information '!$S$8/100*'DB additional information '!$U$8*E536/1000/1000)))</f>
        <v/>
      </c>
      <c r="X536" s="261" t="str">
        <f>IF($C$535=0,"",IF('Calc (ex-animal)'!$F$98=1,"",IF(D536="","",((VLOOKUP($C$535,'Calc (ex-animal)'!$D$98:$Y$102,13,FALSE)-VLOOKUP($C$535,'Calc (ex-animal)'!$D$98:$Y$102,19,FALSE))*F536/100+U536+V536+W536))))</f>
        <v/>
      </c>
      <c r="Y536" s="418" t="str">
        <f>IF(D536="","",(VLOOKUP(D536,'DB technologies'!$N$252:$Y$264,2,FALSE)*'DB additional information '!$S$6/100*'DB additional information '!$V$6*VLOOKUP($C$535,'DB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Z536" s="418" t="str">
        <f>IF(D536="","",(VLOOKUP(D536,'DB technologies'!$N$252:$Y$264,3,FALSE)*'DB additional information '!$S$7/100*'DB additional information '!$V$7*VLOOKUP($C$535,'DB animal categories'!$C$191:$AC$200,27,FALSE)*E536/1000/1000)/VLOOKUP($C$535,'DB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AA536" s="418" t="str">
        <f>IF(D536="","",(VLOOKUP(D536,'DB technologies'!$N$252:$Y$264,4,FALSE)*('DB additional information '!$S$8/100*'DB additional information '!$V$8*E536/1000/1000)))</f>
        <v/>
      </c>
      <c r="AB536" s="261" t="str">
        <f>IF($C$535=0,"",IF('Calc (ex-animal)'!$F$98=1,"",IF(D536="","",((VLOOKUP($C$535,'Calc (ex-animal)'!$D$98:$Y$102,16,FALSE)-VLOOKUP($C$535,'Calc (ex-animal)'!$D$98:$Y$102,20,FALSE))*F536/100+Y536+Z536+AA536))))</f>
        <v/>
      </c>
      <c r="AC536" s="261" t="str">
        <f>IF($C$535=0,"",IF('Calc (ex-animal)'!$F$98=1,"",IF(D536="","",VLOOKUP($C$535,'Calc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categories'!$C$191:$AC$200,26,FALSE)/24)*F536/100*VLOOKUP(D536,'DB technologies'!$N$252:$R$264,5,FALSE)/100)))</f>
        <v/>
      </c>
      <c r="AD536" s="261" t="str">
        <f>IF($C$535=0,"",IF('Calc (ex-animal)'!$F$98=1,"",IF(D536="","",VLOOKUP($C$535,'Calc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categories'!$C$191:$AC$200,26,FALSE)/24)*F536/100*VLOOKUP(D536,'DB technologies'!$N$252:$Y$264,6,FALSE)/100)))</f>
        <v/>
      </c>
      <c r="AE536" s="262" t="str">
        <f>IF($C$535=0,"",IF('Calc (ex-animal)'!$F$98=1,"",IF(D536="","",VLOOKUP($C$535,'Calc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categories'!$C$191:$AC$200,26,FALSE)/24)*F536/100*VLOOKUP(D536,'DB technologies'!$N$252:$Y$264,7,FALSE)/100)))</f>
        <v/>
      </c>
      <c r="AI536" s="181" t="str">
        <f>IF(D536="","",VLOOKUP(D536,'DB technologies'!$N$252:$Y$264,10,FALSE))</f>
        <v/>
      </c>
      <c r="AJ536" s="449" t="e">
        <f>VLOOKUP($C$535,'DB animal categories'!$C$191:$AN$200,27,FALSE)-VLOOKUP($C$535,'DB animal categories'!$C$191:$AN$200,26,FALSE)*VLOOKUP($C$535,'DB animal categories'!$C$191:$AN$200,25,FALSE)/24</f>
        <v>#N/A</v>
      </c>
      <c r="AK536" s="442" t="str">
        <f>IF(AI536="","",AL536+AM536)</f>
        <v/>
      </c>
      <c r="AL536" s="442" t="str">
        <f>IF(D536="","",IF(AI536=2,(('Calc (ex-animal)'!$G$101*'DB additional information '!$K$21/100*(1-VLOOKUP(D536,'DB technologies'!$N$252:$Y$264,9,FALSE)/100)*'Calc (ex-housing, ex-storage)'!F536/100+'Calc (ex-animal)'!$H$101*'DB additional information '!$L$21/100*(1-VLOOKUP(D536,'DB technologies'!$N$252:$Y$264,9,FALSE)/100)*'Calc (ex-housing, ex-storage)'!F536/100))/VLOOKUP($C$535,'DB animal categories'!$C$191:$AC$200,27,FALSE)*AJ536+I536+J536+K536,IF(AI536=1,('Calc (ex-animal)'!$H$101*'DB additional information '!$L$21/100*(1-VLOOKUP(D536,'DB technologies'!$N$252:$Y$264,9,FALSE)/100)*'Calc (ex-housing, ex-storage)'!F536/100)/VLOOKUP($C$535,'DB animal categories'!$C$191:$AC$200,27,FALSE)*AJ536,IF(AI536=4,('Calc (ex-animal)'!$G$101*'DB additional information '!$K$21/100+'Calc (ex-animal)'!$H$101*'DB additional information '!$L$21/100)*(1-VLOOKUP(D536,'DB technologies'!$N$252:$Y$264,9,FALSE)/100)*'Calc (ex-housing, ex-storage)'!F536/100*VLOOKUP(D536,'DB technologies'!$N$252:$Y$264,11,FALSE)/100/VLOOKUP($C$535,'DB animal categories'!$C$191:$AC$200,27,FALSE)*AJ536,0))))</f>
        <v/>
      </c>
      <c r="AM536" s="442" t="str">
        <f>IF(D536="","",IF(AI536=2,(('Calc (ex-animal)'!$G$101*(1-'DB additional information '!$K$21/100)*(1-VLOOKUP(D536,'DB technologies'!$N$252:$Y$264,8,FALSE)/100)*'Calc (ex-housing, ex-storage)'!F536/100+'Calc (ex-animal)'!$H$101*(1-'DB additional information '!$L$21/100)*(1-VLOOKUP(D536,'DB technologies'!$N$252:$Y$264,8,FALSE)/100)*'Calc (ex-housing, ex-storage)'!F536/100))/VLOOKUP($C$535,'DB animal categories'!$C$191:$AC$200,27,FALSE)*AJ536+M536+N536+O536,IF(AI536=1,('Calc (ex-animal)'!$H$101*(1-'DB additional information '!$L$21/100)*(1-VLOOKUP(D536,'DB technologies'!$N$252:$Y$264,8,FALSE)/100)*'Calc (ex-housing, ex-storage)'!F536/100)/VLOOKUP($C$535,'DB animal categories'!$C$191:$AC$200,27,FALSE)*AJ536,IF(AI536=4,('Calc (ex-animal)'!$G$101*(1-'DB additional information '!$K$21/100)+'Calc (ex-animal)'!$H$101*(1-'DB additional information '!$L$21/100))*(1-VLOOKUP(D536,'DB technologies'!$N$252:$Y$264,8,FALSE)/100)*'Calc (ex-housing, ex-storage)'!F536/100*VLOOKUP(D536,'DB technologies'!$N$252:$Y$264,11,FALSE)/100/VLOOKUP($C$535,'DB animal categories'!$C$191:$AC$200,27,FALSE)*AJ536,0))))</f>
        <v/>
      </c>
      <c r="AN536" s="442" t="str">
        <f>IF(AI536="","",IF(AL536=0,0,AL536/AK536*100))</f>
        <v/>
      </c>
      <c r="AO536" s="182" t="str">
        <f>IF(D536="","",IF(AI536=2,(('Calc (ex-animal)'!$L$101*'Calc (ex-housing, ex-storage)'!F536/100+'Calc (ex-animal)'!$K$101*'Calc (ex-housing, ex-storage)'!F536/100))/VLOOKUP($C$535,'DB animal categories'!$C$191:$AC$200,27,FALSE)*AJ536+Q536+R536+S536-AC536,IF(AI536=1,('Calc (ex-animal)'!$L$101*'Calc (ex-housing, ex-storage)'!F536/100)/VLOOKUP($C$535,'DB animal categories'!$C$191:$AC$200,27,FALSE)*AJ536-'Calc (ex-housing, ex-storage)'!AC536,IF(AI536=4,('Calc (ex-animal)'!$L$101+'Calc (ex-animal)'!$K$101)*'Calc (ex-housing, ex-storage)'!F536/100*VLOOKUP(D536,'DB technologies'!$N$252:$Y$264,11,FALSE)/100/VLOOKUP($C$535,'DB animal categories'!$C$191:$AC$200,27,FALSE)*AJ536-AC536*VLOOKUP(D536,'DB technologies'!$N$252:$Y$264,11,FALSE)/100,0))))</f>
        <v/>
      </c>
      <c r="AP536" s="182" t="str">
        <f>IF(D536="","",IF(AO536&lt;-0.01,0,IF(AI536=2,(('Calc (ex-animal)'!$L$101*'Calc (ex-housing, ex-storage)'!F536/100+'Calc (ex-animal)'!$K$101*'Calc (ex-housing, ex-storage)'!F536/100))/VLOOKUP($C$535,'DB animal categories'!$C$191:$AC$200,27,FALSE)*AJ536+Q536+R536+S536-AC536,IF(AI536=1,('Calc (ex-animal)'!$L$101*'Calc (ex-housing, ex-storage)'!F536/100)/VLOOKUP($C$535,'DB animal categories'!$C$191:$AC$200,27,FALSE)*AJ536-'Calc (ex-housing, ex-storage)'!AC536,IF(AI536=4,('Calc (ex-animal)'!$L$101+'Calc (ex-animal)'!$K$101)*'Calc (ex-housing, ex-storage)'!F536/100*VLOOKUP(D536,'DB technologies'!$N$252:$Y$264,11,FALSE)/100/VLOOKUP($C$535,'DB animal categories'!$C$191:$AC$200,27,FALSE)*AJ536-AC536*VLOOKUP(D536,'DB technologies'!$N$252:$Y$264,11,FALSE)/100,0)))))</f>
        <v/>
      </c>
      <c r="AQ536" s="182" t="str">
        <f>IF(D536="","",IF(AI536=2,('Calc (ex-animal)'!$O$101*'Calc (ex-housing, ex-storage)'!F536/100+'Calc (ex-animal)'!$N$101*'Calc (ex-housing, ex-storage)'!F536/100)/VLOOKUP($C$535,'DB animal categories'!$C$191:$AC$200,27,FALSE)*AJ536+U536+V536+W536,IF(AI536=1,'Calc (ex-animal)'!$O$101*'Calc (ex-housing, ex-storage)'!F536/100/VLOOKUP($C$535,'DB animal categories'!$C$191:$AC$200,27,FALSE)*AJ536,IF(AI536=4,('Calc (ex-animal)'!$O$101+'Calc (ex-animal)'!$N$101)*'Calc (ex-housing, ex-storage)'!F536/100*VLOOKUP(D536,'DB technologies'!$N$252:$Y$264,11,FALSE)/100/VLOOKUP($C$535,'DB animal categories'!$C$191:$AC$200,27,FALSE)*AJ536,0))))</f>
        <v/>
      </c>
      <c r="AR536" s="182" t="str">
        <f>IF(D536="","",IF(AI536=2,('Calc (ex-animal)'!$R$101*'Calc (ex-housing, ex-storage)'!F536/100+'Calc (ex-animal)'!$Q$101*'Calc (ex-housing, ex-storage)'!F536/100)/VLOOKUP($C$535,'DB animal categories'!$C$191:$AC$200,27,FALSE)*AJ536+Y536+Z536+AA536,IF(AI536=1,'Calc (ex-animal)'!$R$101*'Calc (ex-housing, ex-storage)'!F536/100/VLOOKUP($C$535,'DB animal categories'!$C$191:$AC$200,27,FALSE)*AJ536,IF(AI536=4,('Calc (ex-animal)'!$R$101+'Calc (ex-animal)'!$Q$101)*'Calc (ex-housing, ex-storage)'!F536/100*VLOOKUP(D536,'DB technologies'!$N$252:$Y$264,11,FALSE)/100/VLOOKUP($C$535,'DB animal categories'!$C$191:$AC$200,27,FALSE)*AJ536,0))))</f>
        <v/>
      </c>
      <c r="AS536" s="181" t="str">
        <f>IF(D536="","",VLOOKUP(D536,'DB technologies'!$N$252:$Y$264,10,FALSE))</f>
        <v/>
      </c>
      <c r="AT536" s="442" t="str">
        <f>IF(AS536="","",AU536+AV536)</f>
        <v/>
      </c>
      <c r="AU536" s="442" t="str">
        <f>IF(D536="","",IF(AS536=2,0,IF(AS536=1,'Calc (ex-animal)'!$G$101*'DB additional information '!$K$21/100*(1-VLOOKUP(D536,'DB technologies'!$N$252:$Y$264,8,FALSE)/100)*'Calc (ex-housing, ex-storage)'!F536/100/VLOOKUP($C$535,'DB animal categories'!$C$191:$AC$200,27,FALSE)*AJ536+I536+J536+K536,IF(AS536=5,(('Calc (ex-animal)'!$G$101*'DB additional information '!$K$21/100+'Calc (ex-animal)'!$H$101*'DB additional information '!$L$21/100))*(1-VLOOKUP(D536,'DB technologies'!$N$252:$Y$264,9,FALSE)/100)*'Calc (ex-housing, ex-storage)'!F536/100/VLOOKUP($C$535,'DB animal categories'!$C$191:$AC$200,27,FALSE)*AJ536+I536+J536+K536,IF(AS536=3,('Calc (ex-animal)'!$G$101*'DB additional information '!$K$21/100+'Calc (ex-animal)'!$H$101*'DB additional information '!$L$21/100)*(1-VLOOKUP(D536,'DB technologies'!$N$252:$Y$264,9,FALSE)/100)*'Calc (ex-housing, ex-storage)'!F536/100/VLOOKUP($C$535,'DB animal categories'!$C$191:$AC$200,27,FALSE)*AJ536+I536+J536+K536,IF(AS536=4,('Calc (ex-animal)'!$G$101*'DB additional information '!$K$21/100+'Calc (ex-animal)'!$H$101*'DB additional information '!$L$21/100)*(1-VLOOKUP(D536,'DB technologies'!$N$252:$Y$264,9,FALSE)/100)*'Calc (ex-housing, ex-storage)'!F536/100*VLOOKUP(D536,'DB technologies'!$N$252:$Y$264,12,FALSE)/100/VLOOKUP($C$535,'DB animal categories'!$C$191:$AC$200,27,FALSE)*AJ536+I536+J536+K536,0))))))</f>
        <v/>
      </c>
      <c r="AV536" s="442" t="str">
        <f>IF(D536="","",IF(AS536=2,0,IF(AS536=1,'Calc (ex-animal)'!$G$101*(1-'DB additional information '!$K$21/100)*(1-VLOOKUP(D536,'DB technologies'!$N$252:$Y$264,8,FALSE)/100)*'Calc (ex-housing, ex-storage)'!F536/100/VLOOKUP($C$535,'DB animal categories'!$C$191:$AC$200,27,FALSE)*AJ536+M536+N536+O536,IF(AS536=5,('Calc (ex-animal)'!$G$101*(1-'DB additional information '!$K$21/100)+'Calc (ex-animal)'!$H$101*(1-'DB additional information '!$L$21/100))*(1-VLOOKUP(D536,'DB technologies'!$N$252:$Y$264,8,FALSE)/100)*'Calc (ex-housing, ex-storage)'!F536/100/VLOOKUP($C$535,'DB animal categories'!$C$191:$AC$200,27,FALSE)*AJ536+M536+N536+O536,IF(AS536=3,('Calc (ex-animal)'!$G$101*(1-'DB additional information '!$K$21/100)+'Calc (ex-animal)'!$H$101*(1-'DB additional information '!$L$21/100))*(1-VLOOKUP(D536,'DB technologies'!$N$252:$Y$264,8,FALSE)/100)*'Calc (ex-housing, ex-storage)'!F536/100/VLOOKUP($C$535,'DB animal categories'!$C$191:$AC$200,27,FALSE)*AJ536+M536+N536+O536,IF(AS536=4,('Calc (ex-animal)'!$G$101*(1-'DB additional information '!$K$21/100)+'Calc (ex-animal)'!$H$101*(1-'DB additional information '!$L$21/100))*(1-VLOOKUP(D536,'DB technologies'!$N$252:$Y$264,8,FALSE)/100)*'Calc (ex-housing, ex-storage)'!F536/100*VLOOKUP(D536,'DB technologies'!$N$252:$Y$264,12,FALSE)/100/VLOOKUP($C$535,'DB animal categories'!$C$191:$AC$200,27,FALSE)*AJ536+M536+N536+O536,0))))))</f>
        <v/>
      </c>
      <c r="AW536" s="442" t="str">
        <f>IF(AS536="","",IF(AU536=0,0,AU536/AT536*100))</f>
        <v/>
      </c>
      <c r="AX536" s="182" t="str">
        <f>IF(D536="","",IF(AS536=2,0,IF(AS536=1,'Calc (ex-animal)'!$K$101*'Calc (ex-housing, ex-storage)'!F536/100/VLOOKUP($C$535,'DB animal categories'!$C$191:$AC$200,27,FALSE)*AJ536+Q536+R536+S536,IF(AS536=5,('Calc (ex-animal)'!$K$101+'Calc (ex-animal)'!$L$101)*'Calc (ex-housing, ex-storage)'!F536/100/VLOOKUP($C$535,'DB animal categories'!$C$191:$AC$200,27,FALSE)*AJ536+Q536+R536+S536-'Calc (ex-housing, ex-storage)'!AC536,IF(AS536=3,('Calc (ex-animal)'!$K$101+'Calc (ex-animal)'!$L$101)*'Calc (ex-housing, ex-storage)'!F536/100/VLOOKUP($C$535,'DB animal categories'!$C$191:$AC$200,27,FALSE)*AJ536+Q536+R536+S536-'Calc (ex-housing, ex-storage)'!AC536-AD536-AE536,IF(AI536=4,('Calc (ex-animal)'!$K$101+'Calc (ex-animal)'!$L$101)*'Calc (ex-housing, ex-storage)'!F536/100*VLOOKUP(D536,'DB technologies'!$N$252:$Y$264,12,FALSE)/100/VLOOKUP($C$535,'DB animal categories'!$C$191:$AC$200,27,FALSE)*AJ536+Q536+R536+S536-(VLOOKUP(D536,'DB technologies'!$N$252:$Y$264,12,FALSE)/100*AC536)-AD536-AE536,0))))))</f>
        <v/>
      </c>
      <c r="AY536" s="182" t="str">
        <f>IF(D536="","",IF(AS536=2,0,IF(AS536=1,'Calc (ex-animal)'!$N$101*'Calc (ex-housing, ex-storage)'!F536/100/VLOOKUP($C$535,'DB animal categories'!$C$191:$AC$200,27,FALSE)*AJ536+U536+V536+W536,IF(AS536=5,('Calc (ex-animal)'!$N$101+'Calc (ex-animal)'!$O$101)*'Calc (ex-housing, ex-storage)'!F536/100/VLOOKUP($C$535,'DB animal categories'!$C$191:$AC$200,27,FALSE)*AJ536+U536+V536+W536,IF(AS536=3,('Calc (ex-animal)'!$N$101+'Calc (ex-animal)'!$O$101)*'Calc (ex-housing, ex-storage)'!F536/100/VLOOKUP($C$535,'DB animal categories'!$C$191:$AC$200,27,FALSE)*AJ536+U536+V536+W536,IF(AS536=4,('Calc (ex-animal)'!$N$101+'Calc (ex-animal)'!$O$101)*'Calc (ex-housing, ex-storage)'!F536/100*VLOOKUP(D536,'DB technologies'!$N$252:$Y$264,12,FALSE)/100/VLOOKUP($C$535,'DB animal categories'!$C$191:$AC$200,27,FALSE)*AJ536+U536+V536+W536,0))))))</f>
        <v/>
      </c>
      <c r="AZ536" s="182" t="str">
        <f>IF(D536="","",IF(AS536=2,0,IF(AS536=1,'Calc (ex-animal)'!$Q$101*'Calc (ex-housing, ex-storage)'!F536/100/VLOOKUP($C$535,'DB animal categories'!$C$191:$AC$200,27,FALSE)*AJ536+Y536+Z536+AA536,IF(AS536=5,('Calc (ex-animal)'!$Q$101+'Calc (ex-animal)'!$R$101)*'Calc (ex-housing, ex-storage)'!F536/100/VLOOKUP($C$535,'DB animal categories'!$C$191:$AC$200,27,FALSE)*AJ536+Y536+Z536+AA536,IF(AS536=3,('Calc (ex-animal)'!$Q$101+'Calc (ex-animal)'!$R$101)*'Calc (ex-housing, ex-storage)'!F536/100/VLOOKUP($C$535,'DB animal categories'!$C$191:$AC$200,27,FALSE)*AJ536+Y536+Z536+AA536,IF(AS536=4,('Calc (ex-animal)'!$Q$101+'Calc (ex-animal)'!$R$101)*'Calc (ex-housing, ex-storage)'!F536/100*VLOOKUP(D536,'DB technologies'!$N$252:$Y$264,12,FALSE)/100/VLOOKUP($C$535,'DB animal categories'!$C$191:$AC$200,27,FALSE)*AJ536+Y536+Z536+AA536,0))))))</f>
        <v/>
      </c>
      <c r="BA536" s="506"/>
      <c r="BB536" s="506"/>
      <c r="BC536" s="506"/>
    </row>
    <row r="537" spans="1:55" x14ac:dyDescent="0.2">
      <c r="A537" s="748"/>
      <c r="B537" s="695"/>
      <c r="C537" s="251"/>
      <c r="D537" s="1357"/>
      <c r="E537" s="1358"/>
      <c r="F537" s="480" t="str">
        <f>IF('Calc (ex-animal)'!$F$98=1,"",IF($C$535=0,"",IF(D537="","",E537/'Calc (ex-animal)'!$E$101*100)))</f>
        <v/>
      </c>
      <c r="G537" s="485" t="str">
        <f>IF($C$535=0,"",IF('Calc (ex-animal)'!$F$98=1,"",IF(D537="","",SUM(H537:O537))))</f>
        <v/>
      </c>
      <c r="H537" s="423" t="str">
        <f>IF('Calc (ex-animal)'!$F$98=1,"",IF(D537="","",(((VLOOKUP($C$535,'Calc (ex-animal)'!$D$98:$Y$102,6,FALSE)-VLOOKUP($C$535,'Calc (ex-animal)'!$D$98:$Y$102,17,FALSE))*F537/100))*VLOOKUP($C$535,'Calc (ex-animal)'!$D$98:$Y$102,7,FALSE)/100*(1-VLOOKUP(D537,'DB technologies'!$N$252:$Y$264,9,FALSE)/100)))</f>
        <v/>
      </c>
      <c r="I537" s="423" t="str">
        <f>IF(D537="","",((VLOOKUP(D537,'DB technologies'!$N$252:$Y$264,2,FALSE)*VLOOKUP($C$535,'DB animal categories'!$C$191:$AC$200,27,FALSE)*E537/1000)/VLOOKUP($C$535,'DB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'!$S$6/100*(1-VLOOKUP(D537,'DB technologies'!$N$252:$Y$264,9,FALSE)/100)))</f>
        <v/>
      </c>
      <c r="J537" s="434" t="str">
        <f>IF(D537="","",((VLOOKUP(D537,'DB technologies'!$N$252:$Y$264,3,FALSE)*VLOOKUP($C$535,'DB animal categories'!$C$191:$AC$200,27,FALSE)*E537/1000)/VLOOKUP($C$535,'DB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'!$S$7/100*(1-VLOOKUP(D537,'DB technologies'!$N$252:$Y$264,9,FALSE)/100)))</f>
        <v/>
      </c>
      <c r="K537" s="434" t="str">
        <f>IF(D537="","",((VLOOKUP(D537,'DB technologies'!$N$252:$Y$264,4,FALSE)*E537*'DB additional information '!$S$8/100*(1-VLOOKUP(D537,'DB technologies'!$N$252:$Y$264,9,FALSE)/100))/VLOOKUP($C$535,'DB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L537" s="423" t="str">
        <f>IF('Calc (ex-animal)'!$F$98=1,"",IF(D537="","",(((VLOOKUP($C$535,'Calc (ex-animal)'!$D$98:$Y$102,6,FALSE)-VLOOKUP($C$535,'Calc (ex-animal)'!$D$98:$Y$102,17,FALSE))*F537/100))*(1-VLOOKUP($C$535,'Calc (ex-animal)'!$D$98:$Y$102,7,FALSE)/100)*(1-VLOOKUP(D537,'DB technologies'!$N$252:$V$264,8,FALSE)/100)))</f>
        <v/>
      </c>
      <c r="M537" s="434" t="str">
        <f>IF(D537="","",((VLOOKUP(D537,'DB technologies'!$N$252:$Y$264,2,FALSE)*VLOOKUP($C$535,'DB animal categories'!$C$191:$AC$200,27,FALSE)*E537/1000)/VLOOKUP($C$535,'DB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'!$S$6/100)*(1-VLOOKUP(D537,'DB technologies'!$N$252:$Y$264,9,FALSE)/100))</f>
        <v/>
      </c>
      <c r="N537" s="434" t="str">
        <f>IF(D537="","",((VLOOKUP(D537,'DB technologies'!$N$252:$Y$264,3,FALSE)*VLOOKUP($C$535,'DB animal categories'!$C$191:$AC$200,27,FALSE)*E537/1000)/VLOOKUP($C$535,'DB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'!$S$7/100)*(1-VLOOKUP(D537,'DB technologies'!$N$252:$Y$264,9,FALSE)/100))</f>
        <v/>
      </c>
      <c r="O537" s="423" t="str">
        <f>IF(D537="","",((VLOOKUP(D537,'DB technologies'!$N$252:$Y$264,4,FALSE)*E537*(1-'DB additional information '!$S$8/100)*(1-VLOOKUP(D537,'DB technologies'!$N$252:$Y$264,8,FALSE)/100))/VLOOKUP($C$535,'DB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P537" s="438" t="str">
        <f>IF(G537=0,0,IF(E537="","",IF(F537="","",IF($C$535=0,"",IF(D537="","",SUM(H537:K537)/G537*100)))))</f>
        <v/>
      </c>
      <c r="Q537" s="416" t="str">
        <f>IF(D537="","",(VLOOKUP(D537,'DB technologies'!$N$252:$Y$264,2,FALSE)*'DB additional information '!$S$6/100*'DB additional information '!$T$6*VLOOKUP($C$535,'DB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R537" s="416" t="str">
        <f>IF(D537="","",(VLOOKUP(D537,'DB technologies'!$N$252:$Y$264,3,FALSE)*'DB additional information '!$S$7/100*'DB additional information '!$T$7*VLOOKUP($C$535,'DB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S537" s="491" t="str">
        <f>IF(D537="","",(VLOOKUP(D537,'DB technologies'!$N$252:$Y$264,4,FALSE)*('DB additional information '!$S$8/100*'DB additional information '!$T$8*E537/1000/1000)))</f>
        <v/>
      </c>
      <c r="T537" s="264" t="str">
        <f>IF($C$535=0,"",IF('Calc (ex-animal)'!$F$98=1,"",IF(D537="","",((VLOOKUP($C$535,'Calc (ex-animal)'!$D$98:$Y$102,10,FALSE)-VLOOKUP($C$535,'Calc (ex-animal)'!$D$98:$Y$102,18,FALSE))*F537/100+Q537+R537+S537)-AC537-AD537-AE537)))</f>
        <v/>
      </c>
      <c r="U537" s="422" t="str">
        <f>IF(D537="","",(VLOOKUP(D537,'DB technologies'!$N$252:$Y$264,2,FALSE)*'DB additional information '!$S$6/100*'DB additional information '!$U$6*VLOOKUP($C$535,'DB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V537" s="418" t="str">
        <f>IF(D537="","",(VLOOKUP(D537,'DB technologies'!$N$252:$Y$264,3,FALSE)*'DB additional information '!$S$7/100*'DB additional information '!$U$7*VLOOKUP($C$535,'DB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W537" s="417" t="str">
        <f>IF(D537="","",(VLOOKUP(D537,'DB technologies'!$N$252:$Y$264,4,FALSE)*('DB additional information '!$S$8/100*'DB additional information '!$U$8*E537/1000/1000)))</f>
        <v/>
      </c>
      <c r="X537" s="261" t="str">
        <f>IF($C$535=0,"",IF('Calc (ex-animal)'!$F$98=1,"",IF(D537="","",((VLOOKUP($C$535,'Calc (ex-animal)'!$D$98:$Y$102,13,FALSE)-VLOOKUP($C$535,'Calc (ex-animal)'!$D$98:$Y$102,19,FALSE))*F537/100+U537+V537+W537))))</f>
        <v/>
      </c>
      <c r="Y537" s="418" t="str">
        <f>IF(D537="","",(VLOOKUP(D537,'DB technologies'!$N$252:$Y$264,2,FALSE)*'DB additional information '!$S$6/100*'DB additional information '!$V$6*VLOOKUP($C$535,'DB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Z537" s="418" t="str">
        <f>IF(D537="","",(VLOOKUP(D537,'DB technologies'!$N$252:$Y$264,3,FALSE)*'DB additional information '!$S$7/100*'DB additional information '!$V$7*VLOOKUP($C$535,'DB animal categories'!$C$191:$AC$200,27,FALSE)*E537/1000/1000)/VLOOKUP($C$535,'DB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AA537" s="418" t="str">
        <f>IF(D537="","",(VLOOKUP(D537,'DB technologies'!$N$252:$Y$264,4,FALSE)*('DB additional information '!$S$8/100*'DB additional information '!$V$8*E537/1000/1000)))</f>
        <v/>
      </c>
      <c r="AB537" s="261" t="str">
        <f>IF($C$535=0,"",IF('Calc (ex-animal)'!$F$98=1,"",IF(D537="","",((VLOOKUP($C$535,'Calc (ex-animal)'!$D$98:$Y$102,16,FALSE)-VLOOKUP($C$535,'Calc (ex-animal)'!$D$98:$Y$102,20,FALSE))*F537/100+Y537+Z537+AA537))))</f>
        <v/>
      </c>
      <c r="AC537" s="261" t="str">
        <f>IF($C$535=0,"",IF('Calc (ex-animal)'!$F$98=1,"",IF(D537="","",VLOOKUP($C$535,'Calc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categories'!$C$191:$AC$200,26,FALSE)/24)*F537/100*VLOOKUP(D537,'DB technologies'!$N$252:$R$264,5,FALSE)/100)))</f>
        <v/>
      </c>
      <c r="AD537" s="261" t="str">
        <f>IF($C$535=0,"",IF('Calc (ex-animal)'!$F$98=1,"",IF(D537="","",VLOOKUP($C$535,'Calc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categories'!$C$191:$AC$200,26,FALSE)/24)*F537/100*VLOOKUP(D537,'DB technologies'!$N$252:$Y$264,6,FALSE)/100)))</f>
        <v/>
      </c>
      <c r="AE537" s="262" t="str">
        <f>IF($C$535=0,"",IF('Calc (ex-animal)'!$F$98=1,"",IF(D537="","",VLOOKUP($C$535,'Calc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categories'!$C$191:$AC$200,26,FALSE)/24)*F537/100*VLOOKUP(D537,'DB technologies'!$N$252:$Y$264,7,FALSE)/100)))</f>
        <v/>
      </c>
      <c r="AI537" s="181" t="str">
        <f>IF(D537="","",VLOOKUP(D537,'DB technologies'!$N$252:$Y$264,10,FALSE))</f>
        <v/>
      </c>
      <c r="AJ537" s="449" t="e">
        <f>VLOOKUP($C$535,'DB animal categories'!$C$191:$AN$200,27,FALSE)-VLOOKUP($C$535,'DB animal categories'!$C$191:$AN$200,26,FALSE)*VLOOKUP($C$535,'DB animal categories'!$C$191:$AN$200,25,FALSE)/24</f>
        <v>#N/A</v>
      </c>
      <c r="AK537" s="442" t="str">
        <f>IF(AI537="","",AL537+AM537)</f>
        <v/>
      </c>
      <c r="AL537" s="442" t="str">
        <f>IF(D537="","",IF(AI537=2,(('Calc (ex-animal)'!$G$101*'DB additional information '!$K$21/100*(1-VLOOKUP(D537,'DB technologies'!$N$252:$Y$264,9,FALSE)/100)*'Calc (ex-housing, ex-storage)'!F537/100+'Calc (ex-animal)'!$H$101*'DB additional information '!$L$21/100*(1-VLOOKUP(D537,'DB technologies'!$N$252:$Y$264,9,FALSE)/100)*'Calc (ex-housing, ex-storage)'!F537/100))/VLOOKUP($C$535,'DB animal categories'!$C$191:$AC$200,27,FALSE)*AJ537+I537+J537+K537,IF(AI537=1,('Calc (ex-animal)'!$H$101*'DB additional information '!$L$21/100*(1-VLOOKUP(D537,'DB technologies'!$N$252:$Y$264,9,FALSE)/100)*'Calc (ex-housing, ex-storage)'!F537/100)/VLOOKUP($C$535,'DB animal categories'!$C$191:$AC$200,27,FALSE)*AJ537,IF(AI537=4,('Calc (ex-animal)'!$G$101*'DB additional information '!$K$21/100+'Calc (ex-animal)'!$H$101*'DB additional information '!$L$21/100)*(1-VLOOKUP(D537,'DB technologies'!$N$252:$Y$264,9,FALSE)/100)*'Calc (ex-housing, ex-storage)'!F537/100*VLOOKUP(D537,'DB technologies'!$N$252:$Y$264,11,FALSE)/100/VLOOKUP($C$535,'DB animal categories'!$C$191:$AC$200,27,FALSE)*AJ537,0))))</f>
        <v/>
      </c>
      <c r="AM537" s="442" t="str">
        <f>IF(D537="","",IF(AI537=2,(('Calc (ex-animal)'!$G$101*(1-'DB additional information '!$K$21/100)*(1-VLOOKUP(D537,'DB technologies'!$N$252:$Y$264,8,FALSE)/100)*'Calc (ex-housing, ex-storage)'!F537/100+'Calc (ex-animal)'!$H$101*(1-'DB additional information '!$L$21/100)*(1-VLOOKUP(D537,'DB technologies'!$N$252:$Y$264,8,FALSE)/100)*'Calc (ex-housing, ex-storage)'!F537/100))/VLOOKUP($C$535,'DB animal categories'!$C$191:$AC$200,27,FALSE)*AJ537+M537+N537+O537,IF(AI537=1,('Calc (ex-animal)'!$H$101*(1-'DB additional information '!$L$21/100)*(1-VLOOKUP(D537,'DB technologies'!$N$252:$Y$264,8,FALSE)/100)*'Calc (ex-housing, ex-storage)'!F537/100)/VLOOKUP($C$535,'DB animal categories'!$C$191:$AC$200,27,FALSE)*AJ537,IF(AI537=4,('Calc (ex-animal)'!$G$101*(1-'DB additional information '!$K$21/100)+'Calc (ex-animal)'!$H$101*(1-'DB additional information '!$L$21/100))*(1-VLOOKUP(D537,'DB technologies'!$N$252:$Y$264,8,FALSE)/100)*'Calc (ex-housing, ex-storage)'!F537/100*VLOOKUP(D537,'DB technologies'!$N$252:$Y$264,11,FALSE)/100/VLOOKUP($C$535,'DB animal categories'!$C$191:$AC$200,27,FALSE)*AJ537,0))))</f>
        <v/>
      </c>
      <c r="AN537" s="442" t="str">
        <f>IF(AI537="","",IF(AL537=0,0,AL537/AK537*100))</f>
        <v/>
      </c>
      <c r="AO537" s="182" t="str">
        <f>IF(D537="","",IF(AI537=2,(('Calc (ex-animal)'!$L$101*'Calc (ex-housing, ex-storage)'!F537/100+'Calc (ex-animal)'!$K$101*'Calc (ex-housing, ex-storage)'!F537/100))/VLOOKUP($C$535,'DB animal categories'!$C$191:$AC$200,27,FALSE)*AJ537+Q537+R537+S537-AC537,IF(AI537=1,('Calc (ex-animal)'!$L$101*'Calc (ex-housing, ex-storage)'!F537/100)/VLOOKUP($C$535,'DB animal categories'!$C$191:$AC$200,27,FALSE)*AJ537-'Calc (ex-housing, ex-storage)'!AC537,IF(AI537=4,('Calc (ex-animal)'!$L$101+'Calc (ex-animal)'!$K$101)*'Calc (ex-housing, ex-storage)'!F537/100*VLOOKUP(D537,'DB technologies'!$N$252:$Y$264,11,FALSE)/100/VLOOKUP($C$535,'DB animal categories'!$C$191:$AC$200,27,FALSE)*AJ537-AC537*VLOOKUP(D537,'DB technologies'!$N$252:$Y$264,11,FALSE)/100,0))))</f>
        <v/>
      </c>
      <c r="AP537" s="182" t="str">
        <f>IF(D537="","",IF(AO537&lt;-0.01,0,IF(AI537=2,(('Calc (ex-animal)'!$L$101*'Calc (ex-housing, ex-storage)'!F537/100+'Calc (ex-animal)'!$K$101*'Calc (ex-housing, ex-storage)'!F537/100))/VLOOKUP($C$535,'DB animal categories'!$C$191:$AC$200,27,FALSE)*AJ537+Q537+R537+S537-AC537,IF(AI537=1,('Calc (ex-animal)'!$L$101*'Calc (ex-housing, ex-storage)'!F537/100)/VLOOKUP($C$535,'DB animal categories'!$C$191:$AC$200,27,FALSE)*AJ537-'Calc (ex-housing, ex-storage)'!AC537,IF(AI537=4,('Calc (ex-animal)'!$L$101+'Calc (ex-animal)'!$K$101)*'Calc (ex-housing, ex-storage)'!F537/100*VLOOKUP(D537,'DB technologies'!$N$252:$Y$264,11,FALSE)/100/VLOOKUP($C$535,'DB animal categories'!$C$191:$AC$200,27,FALSE)*AJ537-AC537*VLOOKUP(D537,'DB technologies'!$N$252:$Y$264,11,FALSE)/100,0)))))</f>
        <v/>
      </c>
      <c r="AQ537" s="182" t="str">
        <f>IF(D537="","",IF(AI537=2,('Calc (ex-animal)'!$O$101*'Calc (ex-housing, ex-storage)'!F537/100+'Calc (ex-animal)'!$N$101*'Calc (ex-housing, ex-storage)'!F537/100)/VLOOKUP($C$535,'DB animal categories'!$C$191:$AC$200,27,FALSE)*AJ537+U537+V537+W537,IF(AI537=1,'Calc (ex-animal)'!$O$101*'Calc (ex-housing, ex-storage)'!F537/100/VLOOKUP($C$535,'DB animal categories'!$C$191:$AC$200,27,FALSE)*AJ537,IF(AI537=4,('Calc (ex-animal)'!$O$101+'Calc (ex-animal)'!$N$101)*'Calc (ex-housing, ex-storage)'!F537/100*VLOOKUP(D537,'DB technologies'!$N$252:$Y$264,11,FALSE)/100/VLOOKUP($C$535,'DB animal categories'!$C$191:$AC$200,27,FALSE)*AJ537,0))))</f>
        <v/>
      </c>
      <c r="AR537" s="182" t="str">
        <f>IF(D537="","",IF(AI537=2,('Calc (ex-animal)'!$R$101*'Calc (ex-housing, ex-storage)'!F537/100+'Calc (ex-animal)'!$Q$101*'Calc (ex-housing, ex-storage)'!F537/100)/VLOOKUP($C$535,'DB animal categories'!$C$191:$AC$200,27,FALSE)*AJ537+Y537+Z537+AA537,IF(AI537=1,'Calc (ex-animal)'!$R$101*'Calc (ex-housing, ex-storage)'!F537/100/VLOOKUP($C$535,'DB animal categories'!$C$191:$AC$200,27,FALSE)*AJ537,IF(AI537=4,('Calc (ex-animal)'!$R$101+'Calc (ex-animal)'!$Q$101)*'Calc (ex-housing, ex-storage)'!F537/100*VLOOKUP(D537,'DB technologies'!$N$252:$Y$264,11,FALSE)/100/VLOOKUP($C$535,'DB animal categories'!$C$191:$AC$200,27,FALSE)*AJ537,0))))</f>
        <v/>
      </c>
      <c r="AS537" s="181" t="str">
        <f>IF(D537="","",VLOOKUP(D537,'DB technologies'!$N$252:$Y$264,10,FALSE))</f>
        <v/>
      </c>
      <c r="AT537" s="442" t="str">
        <f>IF(AS537="","",AU537+AV537)</f>
        <v/>
      </c>
      <c r="AU537" s="442" t="str">
        <f>IF(D537="","",IF(AS537=2,0,IF(AS537=1,'Calc (ex-animal)'!$G$101*'DB additional information '!$K$21/100*(1-VLOOKUP(D537,'DB technologies'!$N$252:$Y$264,8,FALSE)/100)*'Calc (ex-housing, ex-storage)'!F537/100/VLOOKUP($C$535,'DB animal categories'!$C$191:$AC$200,27,FALSE)*AJ537+I537+J537+K537,IF(AS537=5,(('Calc (ex-animal)'!$G$101*'DB additional information '!$K$21/100+'Calc (ex-animal)'!$H$101*'DB additional information '!$L$21/100))*(1-VLOOKUP(D537,'DB technologies'!$N$252:$Y$264,9,FALSE)/100)*'Calc (ex-housing, ex-storage)'!F537/100/VLOOKUP($C$535,'DB animal categories'!$C$191:$AC$200,27,FALSE)*AJ537+I537+J537+K537,IF(AS537=3,('Calc (ex-animal)'!$G$101*'DB additional information '!$K$21/100+'Calc (ex-animal)'!$H$101*'DB additional information '!$L$21/100)*(1-VLOOKUP(D537,'DB technologies'!$N$252:$Y$264,9,FALSE)/100)*'Calc (ex-housing, ex-storage)'!F537/100/VLOOKUP($C$535,'DB animal categories'!$C$191:$AC$200,27,FALSE)*AJ537+I537+J537+K537,IF(AS537=4,('Calc (ex-animal)'!$G$101*'DB additional information '!$K$21/100+'Calc (ex-animal)'!$H$101*'DB additional information '!$L$21/100)*(1-VLOOKUP(D537,'DB technologies'!$N$252:$Y$264,9,FALSE)/100)*'Calc (ex-housing, ex-storage)'!F537/100*VLOOKUP(D537,'DB technologies'!$N$252:$Y$264,12,FALSE)/100/VLOOKUP($C$535,'DB animal categories'!$C$191:$AC$200,27,FALSE)*AJ537+I537+J537+K537,0))))))</f>
        <v/>
      </c>
      <c r="AV537" s="442" t="str">
        <f>IF(D537="","",IF(AS537=2,0,IF(AS537=1,'Calc (ex-animal)'!$G$101*(1-'DB additional information '!$K$21/100)*(1-VLOOKUP(D537,'DB technologies'!$N$252:$Y$264,8,FALSE)/100)*'Calc (ex-housing, ex-storage)'!F537/100/VLOOKUP($C$535,'DB animal categories'!$C$191:$AC$200,27,FALSE)*AJ537+M537+N537+O537,IF(AS537=5,('Calc (ex-animal)'!$G$101*(1-'DB additional information '!$K$21/100)+'Calc (ex-animal)'!$H$101*(1-'DB additional information '!$L$21/100))*(1-VLOOKUP(D537,'DB technologies'!$N$252:$Y$264,8,FALSE)/100)*'Calc (ex-housing, ex-storage)'!F537/100/VLOOKUP($C$535,'DB animal categories'!$C$191:$AC$200,27,FALSE)*AJ537+M537+N537+O537,IF(AS537=3,('Calc (ex-animal)'!$G$101*(1-'DB additional information '!$K$21/100)+'Calc (ex-animal)'!$H$101*(1-'DB additional information '!$L$21/100))*(1-VLOOKUP(D537,'DB technologies'!$N$252:$Y$264,8,FALSE)/100)*'Calc (ex-housing, ex-storage)'!F537/100/VLOOKUP($C$535,'DB animal categories'!$C$191:$AC$200,27,FALSE)*AJ537+M537+N537+O537,IF(AS537=4,('Calc (ex-animal)'!$G$101*(1-'DB additional information '!$K$21/100)+'Calc (ex-animal)'!$H$101*(1-'DB additional information '!$L$21/100))*(1-VLOOKUP(D537,'DB technologies'!$N$252:$Y$264,8,FALSE)/100)*'Calc (ex-housing, ex-storage)'!F537/100*VLOOKUP(D537,'DB technologies'!$N$252:$Y$264,12,FALSE)/100/VLOOKUP($C$535,'DB animal categories'!$C$191:$AC$200,27,FALSE)*AJ537+M537+N537+O537,0))))))</f>
        <v/>
      </c>
      <c r="AW537" s="442" t="str">
        <f>IF(AS537="","",IF(AU537=0,0,AU537/AT537*100))</f>
        <v/>
      </c>
      <c r="AX537" s="182" t="str">
        <f>IF(D537="","",IF(AS537=2,0,IF(AS537=1,'Calc (ex-animal)'!$K$101*'Calc (ex-housing, ex-storage)'!F537/100/VLOOKUP($C$535,'DB animal categories'!$C$191:$AC$200,27,FALSE)*AJ537+Q537+R537+S537,IF(AS537=5,('Calc (ex-animal)'!$K$101+'Calc (ex-animal)'!$L$101)*'Calc (ex-housing, ex-storage)'!F537/100/VLOOKUP($C$535,'DB animal categories'!$C$191:$AC$200,27,FALSE)*AJ537+Q537+R537+S537-'Calc (ex-housing, ex-storage)'!AC537,IF(AS537=3,('Calc (ex-animal)'!$K$101+'Calc (ex-animal)'!$L$101)*'Calc (ex-housing, ex-storage)'!F537/100/VLOOKUP($C$535,'DB animal categories'!$C$191:$AC$200,27,FALSE)*AJ537+Q537+R537+S537-'Calc (ex-housing, ex-storage)'!AC537-AD537-AE537,IF(AI537=4,('Calc (ex-animal)'!$K$101+'Calc (ex-animal)'!$L$101)*'Calc (ex-housing, ex-storage)'!F537/100*VLOOKUP(D537,'DB technologies'!$N$252:$Y$264,12,FALSE)/100/VLOOKUP($C$535,'DB animal categories'!$C$191:$AC$200,27,FALSE)*AJ537+Q537+R537+S537-(VLOOKUP(D537,'DB technologies'!$N$252:$Y$264,12,FALSE)/100*AC537)-AD537-AE537,0))))))</f>
        <v/>
      </c>
      <c r="AY537" s="182" t="str">
        <f>IF(D537="","",IF(AS537=2,0,IF(AS537=1,'Calc (ex-animal)'!$N$101*'Calc (ex-housing, ex-storage)'!F537/100/VLOOKUP($C$535,'DB animal categories'!$C$191:$AC$200,27,FALSE)*AJ537+U537+V537+W537,IF(AS537=5,('Calc (ex-animal)'!$N$101+'Calc (ex-animal)'!$O$101)*'Calc (ex-housing, ex-storage)'!F537/100/VLOOKUP($C$535,'DB animal categories'!$C$191:$AC$200,27,FALSE)*AJ537+U537+V537+W537,IF(AS537=3,('Calc (ex-animal)'!$N$101+'Calc (ex-animal)'!$O$101)*'Calc (ex-housing, ex-storage)'!F537/100/VLOOKUP($C$535,'DB animal categories'!$C$191:$AC$200,27,FALSE)*AJ537+U537+V537+W537,IF(AS537=4,('Calc (ex-animal)'!$N$101+'Calc (ex-animal)'!$O$101)*'Calc (ex-housing, ex-storage)'!F537/100*VLOOKUP(D537,'DB technologies'!$N$252:$Y$264,12,FALSE)/100/VLOOKUP($C$535,'DB animal categories'!$C$191:$AC$200,27,FALSE)*AJ537+U537+V537+W537,0))))))</f>
        <v/>
      </c>
      <c r="AZ537" s="182" t="str">
        <f>IF(D537="","",IF(AS537=2,0,IF(AS537=1,'Calc (ex-animal)'!$Q$101*'Calc (ex-housing, ex-storage)'!F537/100/VLOOKUP($C$535,'DB animal categories'!$C$191:$AC$200,27,FALSE)*AJ537+Y537+Z537+AA537,IF(AS537=5,('Calc (ex-animal)'!$Q$101+'Calc (ex-animal)'!$R$101)*'Calc (ex-housing, ex-storage)'!F537/100/VLOOKUP($C$535,'DB animal categories'!$C$191:$AC$200,27,FALSE)*AJ537+Y537+Z537+AA537,IF(AS537=3,('Calc (ex-animal)'!$Q$101+'Calc (ex-animal)'!$R$101)*'Calc (ex-housing, ex-storage)'!F537/100/VLOOKUP($C$535,'DB animal categories'!$C$191:$AC$200,27,FALSE)*AJ537+Y537+Z537+AA537,IF(AS537=4,('Calc (ex-animal)'!$Q$101+'Calc (ex-animal)'!$R$101)*'Calc (ex-housing, ex-storage)'!F537/100*VLOOKUP(D537,'DB technologies'!$N$252:$Y$264,12,FALSE)/100/VLOOKUP($C$535,'DB animal categories'!$C$191:$AC$200,27,FALSE)*AJ537+Y537+Z537+AA537,0))))))</f>
        <v/>
      </c>
      <c r="BA537" s="506"/>
      <c r="BB537" s="506"/>
      <c r="BC537" s="506"/>
    </row>
    <row r="538" spans="1:55" x14ac:dyDescent="0.2">
      <c r="A538" s="748"/>
      <c r="B538" s="695"/>
      <c r="C538" s="251"/>
      <c r="D538" s="1357"/>
      <c r="E538" s="1358"/>
      <c r="F538" s="480" t="str">
        <f>IF('Calc (ex-animal)'!$F$98=1,"",IF($C$535=0,"",IF(D538="","",E538/'Calc (ex-animal)'!$E$101*100)))</f>
        <v/>
      </c>
      <c r="G538" s="485" t="str">
        <f>IF($C$535=0,"",IF('Calc (ex-animal)'!$F$98=1,"",IF(D538="","",SUM(H538:O538))))</f>
        <v/>
      </c>
      <c r="H538" s="423" t="str">
        <f>IF('Calc (ex-animal)'!$F$98=1,"",IF(D538="","",(((VLOOKUP($C$535,'Calc (ex-animal)'!$D$98:$Y$102,6,FALSE)-VLOOKUP($C$535,'Calc (ex-animal)'!$D$98:$Y$102,17,FALSE))*F538/100))*VLOOKUP($C$535,'Calc (ex-animal)'!$D$98:$Y$102,7,FALSE)/100*(1-VLOOKUP(D538,'DB technologies'!$N$252:$Y$264,9,FALSE)/100)))</f>
        <v/>
      </c>
      <c r="I538" s="423" t="str">
        <f>IF(D538="","",((VLOOKUP(D538,'DB technologies'!$N$252:$Y$264,2,FALSE)*VLOOKUP($C$535,'DB animal categories'!$C$191:$AC$200,27,FALSE)*E538/1000)/VLOOKUP($C$535,'DB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'!$S$6/100*(1-VLOOKUP(D538,'DB technologies'!$N$252:$Y$264,9,FALSE)/100)))</f>
        <v/>
      </c>
      <c r="J538" s="434" t="str">
        <f>IF(D538="","",((VLOOKUP(D538,'DB technologies'!$N$252:$Y$264,3,FALSE)*VLOOKUP($C$535,'DB animal categories'!$C$191:$AC$200,27,FALSE)*E538/1000)/VLOOKUP($C$535,'DB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'!$S$7/100*(1-VLOOKUP(D538,'DB technologies'!$N$252:$Y$264,9,FALSE)/100)))</f>
        <v/>
      </c>
      <c r="K538" s="434" t="str">
        <f>IF(D538="","",((VLOOKUP(D538,'DB technologies'!$N$252:$Y$264,4,FALSE)*E538*'DB additional information '!$S$8/100*(1-VLOOKUP(D538,'DB technologies'!$N$252:$Y$264,9,FALSE)/100))/VLOOKUP($C$535,'DB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L538" s="423" t="str">
        <f>IF('Calc (ex-animal)'!$F$98=1,"",IF(D538="","",(((VLOOKUP($C$535,'Calc (ex-animal)'!$D$98:$Y$102,6,FALSE)-VLOOKUP($C$535,'Calc (ex-animal)'!$D$98:$Y$102,17,FALSE))*F538/100))*(1-VLOOKUP($C$535,'Calc (ex-animal)'!$D$98:$Y$102,7,FALSE)/100)*(1-VLOOKUP(D538,'DB technologies'!$N$252:$V$264,8,FALSE)/100)))</f>
        <v/>
      </c>
      <c r="M538" s="434" t="str">
        <f>IF(D538="","",((VLOOKUP(D538,'DB technologies'!$N$252:$Y$264,2,FALSE)*VLOOKUP($C$535,'DB animal categories'!$C$191:$AC$200,27,FALSE)*E538/1000)/VLOOKUP($C$535,'DB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'!$S$6/100)*(1-VLOOKUP(D538,'DB technologies'!$N$252:$Y$264,9,FALSE)/100))</f>
        <v/>
      </c>
      <c r="N538" s="434" t="str">
        <f>IF(D538="","",((VLOOKUP(D538,'DB technologies'!$N$252:$Y$264,3,FALSE)*VLOOKUP($C$535,'DB animal categories'!$C$191:$AC$200,27,FALSE)*E538/1000)/VLOOKUP($C$535,'DB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'!$S$7/100)*(1-VLOOKUP(D538,'DB technologies'!$N$252:$Y$264,9,FALSE)/100))</f>
        <v/>
      </c>
      <c r="O538" s="423" t="str">
        <f>IF(D538="","",((VLOOKUP(D538,'DB technologies'!$N$252:$Y$264,4,FALSE)*E538*(1-'DB additional information '!$S$8/100)*(1-VLOOKUP(D538,'DB technologies'!$N$252:$Y$264,8,FALSE)/100))/VLOOKUP($C$535,'DB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P538" s="438" t="str">
        <f>IF(G538=0,0,IF(E538="","",IF(F538="","",IF($C$535=0,"",IF(D538="","",SUM(H538:K538)/G538*100)))))</f>
        <v/>
      </c>
      <c r="Q538" s="416" t="str">
        <f>IF(D538="","",(VLOOKUP(D538,'DB technologies'!$N$252:$Y$264,2,FALSE)*'DB additional information '!$S$6/100*'DB additional information '!$T$6*VLOOKUP($C$535,'DB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R538" s="416" t="str">
        <f>IF(D538="","",(VLOOKUP(D538,'DB technologies'!$N$252:$Y$264,3,FALSE)*'DB additional information '!$S$7/100*'DB additional information '!$T$7*VLOOKUP($C$535,'DB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S538" s="491" t="str">
        <f>IF(D538="","",(VLOOKUP(D538,'DB technologies'!$N$252:$Y$264,4,FALSE)*('DB additional information '!$S$8/100*'DB additional information '!$T$8*E538/1000/1000)))</f>
        <v/>
      </c>
      <c r="T538" s="264" t="str">
        <f>IF($C$535=0,"",IF('Calc (ex-animal)'!$F$98=1,"",IF(D538="","",((VLOOKUP($C$535,'Calc (ex-animal)'!$D$98:$Y$102,10,FALSE)-VLOOKUP($C$535,'Calc (ex-animal)'!$D$98:$Y$102,18,FALSE))*F538/100+Q538+R538+S538)-AC538-AD538-AE538)))</f>
        <v/>
      </c>
      <c r="U538" s="422" t="str">
        <f>IF(D538="","",(VLOOKUP(D538,'DB technologies'!$N$252:$Y$264,2,FALSE)*'DB additional information '!$S$6/100*'DB additional information '!$U$6*VLOOKUP($C$535,'DB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V538" s="418" t="str">
        <f>IF(D538="","",(VLOOKUP(D538,'DB technologies'!$N$252:$Y$264,3,FALSE)*'DB additional information '!$S$7/100*'DB additional information '!$U$7*VLOOKUP($C$535,'DB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W538" s="417" t="str">
        <f>IF(D538="","",(VLOOKUP(D538,'DB technologies'!$N$252:$Y$264,4,FALSE)*('DB additional information '!$S$8/100*'DB additional information '!$U$8*E538/1000/1000)))</f>
        <v/>
      </c>
      <c r="X538" s="261" t="str">
        <f>IF($C$535=0,"",IF('Calc (ex-animal)'!$F$98=1,"",IF(D538="","",((VLOOKUP($C$535,'Calc (ex-animal)'!$D$98:$Y$102,13,FALSE)-VLOOKUP($C$535,'Calc (ex-animal)'!$D$98:$Y$102,19,FALSE))*F538/100+U538+V538+W538))))</f>
        <v/>
      </c>
      <c r="Y538" s="418" t="str">
        <f>IF(D538="","",(VLOOKUP(D538,'DB technologies'!$N$252:$Y$264,2,FALSE)*'DB additional information '!$S$6/100*'DB additional information '!$V$6*VLOOKUP($C$535,'DB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Z538" s="418" t="str">
        <f>IF(D538="","",(VLOOKUP(D538,'DB technologies'!$N$252:$Y$264,3,FALSE)*'DB additional information '!$S$7/100*'DB additional information '!$V$7*VLOOKUP($C$535,'DB animal categories'!$C$191:$AC$200,27,FALSE)*E538/1000/1000)/VLOOKUP($C$535,'DB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AA538" s="418" t="str">
        <f>IF(D538="","",(VLOOKUP(D538,'DB technologies'!$N$252:$Y$264,4,FALSE)*('DB additional information '!$S$8/100*'DB additional information '!$V$8*E538/1000/1000)))</f>
        <v/>
      </c>
      <c r="AB538" s="261" t="str">
        <f>IF($C$535=0,"",IF('Calc (ex-animal)'!$F$98=1,"",IF(D538="","",((VLOOKUP($C$535,'Calc (ex-animal)'!$D$98:$Y$102,16,FALSE)-VLOOKUP($C$535,'Calc (ex-animal)'!$D$98:$Y$102,20,FALSE))*F538/100+Y538+Z538+AA538))))</f>
        <v/>
      </c>
      <c r="AC538" s="261" t="str">
        <f>IF($C$535=0,"",IF('Calc (ex-animal)'!$F$98=1,"",IF(D538="","",VLOOKUP($C$535,'Calc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categories'!$C$191:$AC$200,26,FALSE)/24)*F538/100*VLOOKUP(D538,'DB technologies'!$N$252:$R$264,5,FALSE)/100)))</f>
        <v/>
      </c>
      <c r="AD538" s="261" t="str">
        <f>IF($C$535=0,"",IF('Calc (ex-animal)'!$F$98=1,"",IF(D538="","",VLOOKUP($C$535,'Calc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categories'!$C$191:$AC$200,26,FALSE)/24)*F538/100*VLOOKUP(D538,'DB technologies'!$N$252:$Y$264,6,FALSE)/100)))</f>
        <v/>
      </c>
      <c r="AE538" s="262" t="str">
        <f>IF($C$535=0,"",IF('Calc (ex-animal)'!$F$98=1,"",IF(D538="","",VLOOKUP($C$535,'Calc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categories'!$C$191:$AC$200,26,FALSE)/24)*F538/100*VLOOKUP(D538,'DB technologies'!$N$252:$Y$264,7,FALSE)/100)))</f>
        <v/>
      </c>
      <c r="AI538" s="181" t="str">
        <f>IF(D538="","",VLOOKUP(D538,'DB technologies'!$N$252:$Y$264,10,FALSE))</f>
        <v/>
      </c>
      <c r="AJ538" s="449" t="e">
        <f>VLOOKUP($C$535,'DB animal categories'!$C$191:$AN$200,27,FALSE)-VLOOKUP($C$535,'DB animal categories'!$C$191:$AN$200,26,FALSE)*VLOOKUP($C$535,'DB animal categories'!$C$191:$AN$200,25,FALSE)/24</f>
        <v>#N/A</v>
      </c>
      <c r="AK538" s="442" t="str">
        <f>IF(AI538="","",AL538+AM538)</f>
        <v/>
      </c>
      <c r="AL538" s="442" t="str">
        <f>IF(D538="","",IF(AI538=2,(('Calc (ex-animal)'!$G$101*'DB additional information '!$K$21/100*(1-VLOOKUP(D538,'DB technologies'!$N$252:$Y$264,9,FALSE)/100)*'Calc (ex-housing, ex-storage)'!F538/100+'Calc (ex-animal)'!$H$101*'DB additional information '!$L$21/100*(1-VLOOKUP(D538,'DB technologies'!$N$252:$Y$264,9,FALSE)/100)*'Calc (ex-housing, ex-storage)'!F538/100))/VLOOKUP($C$535,'DB animal categories'!$C$191:$AC$200,27,FALSE)*AJ538+I538+J538+K538,IF(AI538=1,('Calc (ex-animal)'!$H$101*'DB additional information '!$L$21/100*(1-VLOOKUP(D538,'DB technologies'!$N$252:$Y$264,9,FALSE)/100)*'Calc (ex-housing, ex-storage)'!F538/100)/VLOOKUP($C$535,'DB animal categories'!$C$191:$AC$200,27,FALSE)*AJ538,IF(AI538=4,('Calc (ex-animal)'!$G$101*'DB additional information '!$K$21/100+'Calc (ex-animal)'!$H$101*'DB additional information '!$L$21/100)*(1-VLOOKUP(D538,'DB technologies'!$N$252:$Y$264,9,FALSE)/100)*'Calc (ex-housing, ex-storage)'!F538/100*VLOOKUP(D538,'DB technologies'!$N$252:$Y$264,11,FALSE)/100/VLOOKUP($C$535,'DB animal categories'!$C$191:$AC$200,27,FALSE)*AJ538,0))))</f>
        <v/>
      </c>
      <c r="AM538" s="442" t="str">
        <f>IF(D538="","",IF(AI538=2,(('Calc (ex-animal)'!$G$101*(1-'DB additional information '!$K$21/100)*(1-VLOOKUP(D538,'DB technologies'!$N$252:$Y$264,8,FALSE)/100)*'Calc (ex-housing, ex-storage)'!F538/100+'Calc (ex-animal)'!$H$101*(1-'DB additional information '!$L$21/100)*(1-VLOOKUP(D538,'DB technologies'!$N$252:$Y$264,8,FALSE)/100)*'Calc (ex-housing, ex-storage)'!F538/100))/VLOOKUP($C$535,'DB animal categories'!$C$191:$AC$200,27,FALSE)*AJ538+M538+N538+O538,IF(AI538=1,('Calc (ex-animal)'!$H$101*(1-'DB additional information '!$L$21/100)*(1-VLOOKUP(D538,'DB technologies'!$N$252:$Y$264,8,FALSE)/100)*'Calc (ex-housing, ex-storage)'!F538/100)/VLOOKUP($C$535,'DB animal categories'!$C$191:$AC$200,27,FALSE)*AJ538,IF(AI538=4,('Calc (ex-animal)'!$G$101*(1-'DB additional information '!$K$21/100)+'Calc (ex-animal)'!$H$101*(1-'DB additional information '!$L$21/100))*(1-VLOOKUP(D538,'DB technologies'!$N$252:$Y$264,8,FALSE)/100)*'Calc (ex-housing, ex-storage)'!F538/100*VLOOKUP(D538,'DB technologies'!$N$252:$Y$264,11,FALSE)/100/VLOOKUP($C$535,'DB animal categories'!$C$191:$AC$200,27,FALSE)*AJ538,0))))</f>
        <v/>
      </c>
      <c r="AN538" s="442" t="str">
        <f>IF(AI538="","",IF(AL538=0,0,AL538/AK538*100))</f>
        <v/>
      </c>
      <c r="AO538" s="182" t="str">
        <f>IF(D538="","",IF(AI538=2,(('Calc (ex-animal)'!$L$101*'Calc (ex-housing, ex-storage)'!F538/100+'Calc (ex-animal)'!$K$101*'Calc (ex-housing, ex-storage)'!F538/100))/VLOOKUP($C$535,'DB animal categories'!$C$191:$AC$200,27,FALSE)*AJ538+Q538+R538+S538-AC538,IF(AI538=1,('Calc (ex-animal)'!$L$101*'Calc (ex-housing, ex-storage)'!F538/100)/VLOOKUP($C$535,'DB animal categories'!$C$191:$AC$200,27,FALSE)*AJ538-'Calc (ex-housing, ex-storage)'!AC538,IF(AI538=4,('Calc (ex-animal)'!$L$101+'Calc (ex-animal)'!$K$101)*'Calc (ex-housing, ex-storage)'!F538/100*VLOOKUP(D538,'DB technologies'!$N$252:$Y$264,11,FALSE)/100/VLOOKUP($C$535,'DB animal categories'!$C$191:$AC$200,27,FALSE)*AJ538-AC538*VLOOKUP(D538,'DB technologies'!$N$252:$Y$264,11,FALSE)/100,0))))</f>
        <v/>
      </c>
      <c r="AP538" s="182" t="str">
        <f>IF(D538="","",IF(AO538&lt;-0.01,0,IF(AI538=2,(('Calc (ex-animal)'!$L$101*'Calc (ex-housing, ex-storage)'!F538/100+'Calc (ex-animal)'!$K$101*'Calc (ex-housing, ex-storage)'!F538/100))/VLOOKUP($C$535,'DB animal categories'!$C$191:$AC$200,27,FALSE)*AJ538+Q538+R538+S538-AC538,IF(AI538=1,('Calc (ex-animal)'!$L$101*'Calc (ex-housing, ex-storage)'!F538/100)/VLOOKUP($C$535,'DB animal categories'!$C$191:$AC$200,27,FALSE)*AJ538-'Calc (ex-housing, ex-storage)'!AC538,IF(AI538=4,('Calc (ex-animal)'!$L$101+'Calc (ex-animal)'!$K$101)*'Calc (ex-housing, ex-storage)'!F538/100*VLOOKUP(D538,'DB technologies'!$N$252:$Y$264,11,FALSE)/100/VLOOKUP($C$535,'DB animal categories'!$C$191:$AC$200,27,FALSE)*AJ538-AC538*VLOOKUP(D538,'DB technologies'!$N$252:$Y$264,11,FALSE)/100,0)))))</f>
        <v/>
      </c>
      <c r="AQ538" s="182" t="str">
        <f>IF(D538="","",IF(AI538=2,('Calc (ex-animal)'!$O$101*'Calc (ex-housing, ex-storage)'!F538/100+'Calc (ex-animal)'!$N$101*'Calc (ex-housing, ex-storage)'!F538/100)/VLOOKUP($C$535,'DB animal categories'!$C$191:$AC$200,27,FALSE)*AJ538+U538+V538+W538,IF(AI538=1,'Calc (ex-animal)'!$O$101*'Calc (ex-housing, ex-storage)'!F538/100/VLOOKUP($C$535,'DB animal categories'!$C$191:$AC$200,27,FALSE)*AJ538,IF(AI538=4,('Calc (ex-animal)'!$O$101+'Calc (ex-animal)'!$N$101)*'Calc (ex-housing, ex-storage)'!F538/100*VLOOKUP(D538,'DB technologies'!$N$252:$Y$264,11,FALSE)/100/VLOOKUP($C$535,'DB animal categories'!$C$191:$AC$200,27,FALSE)*AJ538,0))))</f>
        <v/>
      </c>
      <c r="AR538" s="182" t="str">
        <f>IF(D538="","",IF(AI538=2,('Calc (ex-animal)'!$R$101*'Calc (ex-housing, ex-storage)'!F538/100+'Calc (ex-animal)'!$Q$101*'Calc (ex-housing, ex-storage)'!F538/100)/VLOOKUP($C$535,'DB animal categories'!$C$191:$AC$200,27,FALSE)*AJ538+Y538+Z538+AA538,IF(AI538=1,'Calc (ex-animal)'!$R$101*'Calc (ex-housing, ex-storage)'!F538/100/VLOOKUP($C$535,'DB animal categories'!$C$191:$AC$200,27,FALSE)*AJ538,IF(AI538=4,('Calc (ex-animal)'!$R$101+'Calc (ex-animal)'!$Q$101)*'Calc (ex-housing, ex-storage)'!F538/100*VLOOKUP(D538,'DB technologies'!$N$252:$Y$264,11,FALSE)/100/VLOOKUP($C$535,'DB animal categories'!$C$191:$AC$200,27,FALSE)*AJ538,0))))</f>
        <v/>
      </c>
      <c r="AS538" s="181" t="str">
        <f>IF(D538="","",VLOOKUP(D538,'DB technologies'!$N$252:$Y$264,10,FALSE))</f>
        <v/>
      </c>
      <c r="AT538" s="442" t="str">
        <f>IF(AS538="","",AU538+AV538)</f>
        <v/>
      </c>
      <c r="AU538" s="442" t="str">
        <f>IF(D538="","",IF(AS538=2,0,IF(AS538=1,'Calc (ex-animal)'!$G$101*'DB additional information '!$K$21/100*(1-VLOOKUP(D538,'DB technologies'!$N$252:$Y$264,8,FALSE)/100)*'Calc (ex-housing, ex-storage)'!F538/100/VLOOKUP($C$535,'DB animal categories'!$C$191:$AC$200,27,FALSE)*AJ538+I538+J538+K538,IF(AS538=5,(('Calc (ex-animal)'!$G$101*'DB additional information '!$K$21/100+'Calc (ex-animal)'!$H$101*'DB additional information '!$L$21/100))*(1-VLOOKUP(D538,'DB technologies'!$N$252:$Y$264,9,FALSE)/100)*'Calc (ex-housing, ex-storage)'!F538/100/VLOOKUP($C$535,'DB animal categories'!$C$191:$AC$200,27,FALSE)*AJ538+I538+J538+K538,IF(AS538=3,('Calc (ex-animal)'!$G$101*'DB additional information '!$K$21/100+'Calc (ex-animal)'!$H$101*'DB additional information '!$L$21/100)*(1-VLOOKUP(D538,'DB technologies'!$N$252:$Y$264,9,FALSE)/100)*'Calc (ex-housing, ex-storage)'!F538/100/VLOOKUP($C$535,'DB animal categories'!$C$191:$AC$200,27,FALSE)*AJ538+I538+J538+K538,IF(AS538=4,('Calc (ex-animal)'!$G$101*'DB additional information '!$K$21/100+'Calc (ex-animal)'!$H$101*'DB additional information '!$L$21/100)*(1-VLOOKUP(D538,'DB technologies'!$N$252:$Y$264,9,FALSE)/100)*'Calc (ex-housing, ex-storage)'!F538/100*VLOOKUP(D538,'DB technologies'!$N$252:$Y$264,12,FALSE)/100/VLOOKUP($C$535,'DB animal categories'!$C$191:$AC$200,27,FALSE)*AJ538+I538+J538+K538,0))))))</f>
        <v/>
      </c>
      <c r="AV538" s="442" t="str">
        <f>IF(D538="","",IF(AS538=2,0,IF(AS538=1,'Calc (ex-animal)'!$G$101*(1-'DB additional information '!$K$21/100)*(1-VLOOKUP(D538,'DB technologies'!$N$252:$Y$264,8,FALSE)/100)*'Calc (ex-housing, ex-storage)'!F538/100/VLOOKUP($C$535,'DB animal categories'!$C$191:$AC$200,27,FALSE)*AJ538+M538+N538+O538,IF(AS538=5,('Calc (ex-animal)'!$G$101*(1-'DB additional information '!$K$21/100)+'Calc (ex-animal)'!$H$101*(1-'DB additional information '!$L$21/100))*(1-VLOOKUP(D538,'DB technologies'!$N$252:$Y$264,8,FALSE)/100)*'Calc (ex-housing, ex-storage)'!F538/100/VLOOKUP($C$535,'DB animal categories'!$C$191:$AC$200,27,FALSE)*AJ538+M538+N538+O538,IF(AS538=3,('Calc (ex-animal)'!$G$101*(1-'DB additional information '!$K$21/100)+'Calc (ex-animal)'!$H$101*(1-'DB additional information '!$L$21/100))*(1-VLOOKUP(D538,'DB technologies'!$N$252:$Y$264,8,FALSE)/100)*'Calc (ex-housing, ex-storage)'!F538/100/VLOOKUP($C$535,'DB animal categories'!$C$191:$AC$200,27,FALSE)*AJ538+M538+N538+O538,IF(AS538=4,('Calc (ex-animal)'!$G$101*(1-'DB additional information '!$K$21/100)+'Calc (ex-animal)'!$H$101*(1-'DB additional information '!$L$21/100))*(1-VLOOKUP(D538,'DB technologies'!$N$252:$Y$264,8,FALSE)/100)*'Calc (ex-housing, ex-storage)'!F538/100*VLOOKUP(D538,'DB technologies'!$N$252:$Y$264,12,FALSE)/100/VLOOKUP($C$535,'DB animal categories'!$C$191:$AC$200,27,FALSE)*AJ538+M538+N538+O538,0))))))</f>
        <v/>
      </c>
      <c r="AW538" s="442" t="str">
        <f>IF(AS538="","",IF(AU538=0,0,AU538/AT538*100))</f>
        <v/>
      </c>
      <c r="AX538" s="182" t="str">
        <f>IF(D538="","",IF(AS538=2,0,IF(AS538=1,'Calc (ex-animal)'!$K$101*'Calc (ex-housing, ex-storage)'!F538/100/VLOOKUP($C$535,'DB animal categories'!$C$191:$AC$200,27,FALSE)*AJ538+Q538+R538+S538,IF(AS538=5,('Calc (ex-animal)'!$K$101+'Calc (ex-animal)'!$L$101)*'Calc (ex-housing, ex-storage)'!F538/100/VLOOKUP($C$535,'DB animal categories'!$C$191:$AC$200,27,FALSE)*AJ538+Q538+R538+S538-'Calc (ex-housing, ex-storage)'!AC538,IF(AS538=3,('Calc (ex-animal)'!$K$101+'Calc (ex-animal)'!$L$101)*'Calc (ex-housing, ex-storage)'!F538/100/VLOOKUP($C$535,'DB animal categories'!$C$191:$AC$200,27,FALSE)*AJ538+Q538+R538+S538-'Calc (ex-housing, ex-storage)'!AC538-AD538-AE538,IF(AI538=4,('Calc (ex-animal)'!$K$101+'Calc (ex-animal)'!$L$101)*'Calc (ex-housing, ex-storage)'!F538/100*VLOOKUP(D538,'DB technologies'!$N$252:$Y$264,12,FALSE)/100/VLOOKUP($C$535,'DB animal categories'!$C$191:$AC$200,27,FALSE)*AJ538+Q538+R538+S538-(VLOOKUP(D538,'DB technologies'!$N$252:$Y$264,12,FALSE)/100*AC538)-AD538-AE538,0))))))</f>
        <v/>
      </c>
      <c r="AY538" s="182" t="str">
        <f>IF(D538="","",IF(AS538=2,0,IF(AS538=1,'Calc (ex-animal)'!$N$101*'Calc (ex-housing, ex-storage)'!F538/100/VLOOKUP($C$535,'DB animal categories'!$C$191:$AC$200,27,FALSE)*AJ538+U538+V538+W538,IF(AS538=5,('Calc (ex-animal)'!$N$101+'Calc (ex-animal)'!$O$101)*'Calc (ex-housing, ex-storage)'!F538/100/VLOOKUP($C$535,'DB animal categories'!$C$191:$AC$200,27,FALSE)*AJ538+U538+V538+W538,IF(AS538=3,('Calc (ex-animal)'!$N$101+'Calc (ex-animal)'!$O$101)*'Calc (ex-housing, ex-storage)'!F538/100/VLOOKUP($C$535,'DB animal categories'!$C$191:$AC$200,27,FALSE)*AJ538+U538+V538+W538,IF(AS538=4,('Calc (ex-animal)'!$N$101+'Calc (ex-animal)'!$O$101)*'Calc (ex-housing, ex-storage)'!F538/100*VLOOKUP(D538,'DB technologies'!$N$252:$Y$264,12,FALSE)/100/VLOOKUP($C$535,'DB animal categories'!$C$191:$AC$200,27,FALSE)*AJ538+U538+V538+W538,0))))))</f>
        <v/>
      </c>
      <c r="AZ538" s="182" t="str">
        <f>IF(D538="","",IF(AS538=2,0,IF(AS538=1,'Calc (ex-animal)'!$Q$101*'Calc (ex-housing, ex-storage)'!F538/100/VLOOKUP($C$535,'DB animal categories'!$C$191:$AC$200,27,FALSE)*AJ538+Y538+Z538+AA538,IF(AS538=5,('Calc (ex-animal)'!$Q$101+'Calc (ex-animal)'!$R$101)*'Calc (ex-housing, ex-storage)'!F538/100/VLOOKUP($C$535,'DB animal categories'!$C$191:$AC$200,27,FALSE)*AJ538+Y538+Z538+AA538,IF(AS538=3,('Calc (ex-animal)'!$Q$101+'Calc (ex-animal)'!$R$101)*'Calc (ex-housing, ex-storage)'!F538/100/VLOOKUP($C$535,'DB animal categories'!$C$191:$AC$200,27,FALSE)*AJ538+Y538+Z538+AA538,IF(AS538=4,('Calc (ex-animal)'!$Q$101+'Calc (ex-animal)'!$R$101)*'Calc (ex-housing, ex-storage)'!F538/100*VLOOKUP(D538,'DB technologies'!$N$252:$Y$264,12,FALSE)/100/VLOOKUP($C$535,'DB animal categories'!$C$191:$AC$200,27,FALSE)*AJ538+Y538+Z538+AA538,0))))))</f>
        <v/>
      </c>
      <c r="BA538" s="506"/>
      <c r="BB538" s="506"/>
      <c r="BC538" s="506"/>
    </row>
    <row r="539" spans="1:55" ht="12" thickBot="1" x14ac:dyDescent="0.25">
      <c r="A539" s="748"/>
      <c r="B539" s="695"/>
      <c r="C539" s="251"/>
      <c r="D539" s="1359"/>
      <c r="E539" s="1360"/>
      <c r="F539" s="481" t="str">
        <f>IF('Calc (ex-animal)'!$F$98=1,"",IF($C$535=0,"",IF(D539="","",E539/'Calc (ex-animal)'!$E$101*100)))</f>
        <v/>
      </c>
      <c r="G539" s="483" t="str">
        <f>IF($C$535=0,"",IF('Calc (ex-animal)'!$F$98=1,"",IF(D539="","",SUM(H539:O539))))</f>
        <v/>
      </c>
      <c r="H539" s="445" t="str">
        <f>IF('Calc (ex-animal)'!$F$98=1,"",IF(D539="","",(((VLOOKUP($C$535,'Calc (ex-animal)'!$D$98:$Y$102,6,FALSE)-VLOOKUP($C$535,'Calc (ex-animal)'!$D$98:$Y$102,17,FALSE))*F539/100))*VLOOKUP($C$535,'Calc (ex-animal)'!$D$98:$Y$102,7,FALSE)/100*(1-VLOOKUP(D539,'DB technologies'!$N$252:$Y$264,9,FALSE)/100)))</f>
        <v/>
      </c>
      <c r="I539" s="445" t="str">
        <f>IF(D539="","",((VLOOKUP(D539,'DB technologies'!$N$252:$Y$264,2,FALSE)*VLOOKUP($C$535,'DB animal categories'!$C$191:$AC$200,27,FALSE)*E539/1000)/VLOOKUP($C$535,'DB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'!$S$6/100*(1-VLOOKUP(D539,'DB technologies'!$N$252:$Y$264,9,FALSE)/100)))</f>
        <v/>
      </c>
      <c r="J539" s="446" t="str">
        <f>IF(D539="","",((VLOOKUP(D539,'DB technologies'!$N$252:$Y$264,3,FALSE)*VLOOKUP($C$535,'DB animal categories'!$C$191:$AC$200,27,FALSE)*E539/1000)/VLOOKUP($C$535,'DB animal categories'!$C$191:$AC$200,27,FALSE)*(VLOOKUP($C$535,'DB animal categories'!$C$191:$AC$200,27,FALSE)-(VLOOKUP($C$535,'DB animal categories'!$C$191:$AC$200,25,FALSE)*VLOOKUP($C$535,'DB animal categories'!$C$191:$AC$200,26,FALSE)/24))*'DB additional information '!$S$7/100*(1-VLOOKUP(D539,'DB technologies'!$N$252:$Y$264,9,FALSE)/100)))</f>
        <v/>
      </c>
      <c r="K539" s="446" t="str">
        <f>IF(D539="","",((VLOOKUP(D539,'DB technologies'!$N$252:$Y$264,4,FALSE)*E539*'DB additional information '!$S$8/100*(1-VLOOKUP(D539,'DB technologies'!$N$252:$Y$264,9,FALSE)/100))/VLOOKUP($C$535,'DB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L539" s="445" t="str">
        <f>IF('Calc (ex-animal)'!$F$98=1,"",IF(D539="","",(((VLOOKUP($C$535,'Calc (ex-animal)'!$D$98:$Y$102,6,FALSE)-VLOOKUP($C$535,'Calc (ex-animal)'!$D$98:$Y$102,17,FALSE))*F539/100))*(1-VLOOKUP($C$535,'Calc (ex-animal)'!$D$98:$Y$102,7,FALSE)/100)*(1-VLOOKUP(D539,'DB technologies'!$N$252:$V$264,8,FALSE)/100)))</f>
        <v/>
      </c>
      <c r="M539" s="446" t="str">
        <f>IF(D539="","",((VLOOKUP(D539,'DB technologies'!$N$252:$Y$264,2,FALSE)*VLOOKUP($C$535,'DB animal categories'!$C$191:$AC$200,27,FALSE)*E539/1000)/VLOOKUP($C$535,'DB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'!$S$6/100)*(1-VLOOKUP(D539,'DB technologies'!$N$252:$Y$264,9,FALSE)/100))</f>
        <v/>
      </c>
      <c r="N539" s="446" t="str">
        <f>IF(D539="","",((VLOOKUP(D539,'DB technologies'!$N$252:$Y$264,3,FALSE)*VLOOKUP($C$535,'DB animal categories'!$C$191:$AC$200,27,FALSE)*E539/1000)/VLOOKUP($C$535,'DB animal categories'!$C$191:$AC$200,27,FALSE)*(VLOOKUP($C$535,'DB animal categories'!$C$191:$AC$200,27,FALSE)-VLOOKUP($C$535,'DB animal categories'!$C$191:$AC$200,25,FALSE)*VLOOKUP($C$535,'DB animal categories'!$C$191:$AC$200,26,FALSE)/24))*(1-'DB additional information '!$S$7/100)*(1-VLOOKUP(D539,'DB technologies'!$N$252:$Y$264,9,FALSE)/100))</f>
        <v/>
      </c>
      <c r="O539" s="445" t="str">
        <f>IF(D539="","",((VLOOKUP(D539,'DB technologies'!$N$252:$Y$264,4,FALSE)*E539*(1-'DB additional information '!$S$8/100)*(1-VLOOKUP(D539,'DB technologies'!$N$252:$Y$264,8,FALSE)/100))/VLOOKUP($C$535,'DB animal categories'!$C$191:$AC$200,27,FALSE)*(VLOOKUP($C$535,'DB animal categories'!$C$191:$AC$200,27,FALSE)-VLOOKUP($C$535,'DB animal categories'!$C$191:$AC$200,25,FALSE)*VLOOKUP($C$535,'DB animal categories'!$C$191:$AC$200,26,FALSE)/24)))</f>
        <v/>
      </c>
      <c r="P539" s="444" t="str">
        <f>IF(G539=0,0,IF(E539="","",IF(F539="","",IF($C$535=0,"",IF(D539="","",SUM(H539:K539)/G539*100)))))</f>
        <v/>
      </c>
      <c r="Q539" s="476" t="str">
        <f>IF(D539="","",(VLOOKUP(D539,'DB technologies'!$N$252:$Y$264,2,FALSE)*'DB additional information '!$S$6/100*'DB additional information '!$T$6*VLOOKUP($C$535,'DB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R539" s="476" t="str">
        <f>IF(D539="","",(VLOOKUP(D539,'DB technologies'!$N$252:$Y$264,3,FALSE)*'DB additional information '!$S$7/100*'DB additional information '!$T$7*VLOOKUP($C$535,'DB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S539" s="494" t="str">
        <f>IF(D539="","",(VLOOKUP(D539,'DB technologies'!$N$252:$Y$264,4,FALSE)*('DB additional information '!$S$8/100*'DB additional information '!$T$8*E539/1000/1000)))</f>
        <v/>
      </c>
      <c r="T539" s="266" t="str">
        <f>IF($C$535=0,"",IF('Calc (ex-animal)'!$F$98=1,"",IF(D539="","",((VLOOKUP($C$535,'Calc (ex-animal)'!$D$98:$Y$102,10,FALSE)-VLOOKUP($C$535,'Calc (ex-animal)'!$D$98:$Y$102,18,FALSE))*F539/100+Q539+R539+S539)-AC539-AD539-AE539)))</f>
        <v/>
      </c>
      <c r="U539" s="477" t="str">
        <f>IF(D539="","",(VLOOKUP(D539,'DB technologies'!$N$252:$Y$264,2,FALSE)*'DB additional information '!$S$6/100*'DB additional information '!$U$6*VLOOKUP($C$535,'DB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V539" s="433" t="str">
        <f>IF(D539="","",(VLOOKUP(D539,'DB technologies'!$N$252:$Y$264,3,FALSE)*'DB additional information '!$S$7/100*'DB additional information '!$U$7*VLOOKUP($C$535,'DB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W539" s="475" t="str">
        <f>IF(D539="","",(VLOOKUP(D539,'DB technologies'!$N$252:$Y$264,4,FALSE)*('DB additional information '!$S$8/100*'DB additional information '!$U$8*E539/1000/1000)))</f>
        <v/>
      </c>
      <c r="X539" s="267" t="str">
        <f>IF($C$535=0,"",IF('Calc (ex-animal)'!$F$98=1,"",IF(D539="","",((VLOOKUP($C$535,'Calc (ex-animal)'!$D$98:$Y$102,13,FALSE)-VLOOKUP($C$535,'Calc (ex-animal)'!$D$98:$Y$102,19,FALSE))*F539/100+U539+V539+W539))))</f>
        <v/>
      </c>
      <c r="Y539" s="433" t="str">
        <f>IF(D539="","",(VLOOKUP(D539,'DB technologies'!$N$252:$Y$264,2,FALSE)*'DB additional information '!$S$6/100*'DB additional information '!$V$6*VLOOKUP($C$535,'DB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Z539" s="433" t="str">
        <f>IF(D539="","",(VLOOKUP(D539,'DB technologies'!$N$252:$Y$264,3,FALSE)*'DB additional information '!$S$7/100*'DB additional information '!$V$7*VLOOKUP($C$535,'DB animal categories'!$C$191:$AC$200,27,FALSE)*E539/1000/1000)/VLOOKUP($C$535,'DB animal categories'!$C$191:$AC$200,27,FALSE)*(VLOOKUP($C$535,'DB animal categories'!$C$191:$AC$200,27,FALSE)-VLOOKUP($C$535,'DB animal categories'!$C$191:$AC$200,25,FALSE)*VLOOKUP($C$535,'DB animal categories'!$C$191:$AC$200,26,FALSE)/24))</f>
        <v/>
      </c>
      <c r="AA539" s="433" t="str">
        <f>IF(D539="","",(VLOOKUP(D539,'DB technologies'!$N$252:$Y$264,4,FALSE)*('DB additional information '!$S$8/100*'DB additional information '!$V$8*E539/1000/1000)))</f>
        <v/>
      </c>
      <c r="AB539" s="267" t="str">
        <f>IF($C$535=0,"",IF('Calc (ex-animal)'!$F$98=1,"",IF(D539="","",((VLOOKUP($C$535,'Calc (ex-animal)'!$D$98:$Y$102,16,FALSE)-VLOOKUP($C$535,'Calc (ex-animal)'!$D$98:$Y$102,20,FALSE))*F539/100+Y539+Z539+AA539))))</f>
        <v/>
      </c>
      <c r="AC539" s="267" t="str">
        <f>IF($C$535=0,"",IF('Calc (ex-animal)'!$F$98=1,"",IF(D539="","",VLOOKUP($C$535,'Calc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categories'!$C$191:$AC$200,26,FALSE)/24)*F539/100*VLOOKUP(D539,'DB technologies'!$N$252:$R$264,5,FALSE)/100)))</f>
        <v/>
      </c>
      <c r="AD539" s="267" t="str">
        <f>IF($C$535=0,"",IF('Calc (ex-animal)'!$F$98=1,"",IF(D539="","",VLOOKUP($C$535,'Calc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categories'!$C$191:$AC$200,26,FALSE)/24)*F539/100*VLOOKUP(D539,'DB technologies'!$N$252:$Y$264,6,FALSE)/100)))</f>
        <v/>
      </c>
      <c r="AE539" s="268" t="str">
        <f>IF($C$535=0,"",IF('Calc (ex-animal)'!$F$98=1,"",IF(D539="","",VLOOKUP($C$535,'Calc (ex-animal)'!$D$98:$Y$102,10,FALSE)/VLOOKUP($C$535,'DB animal categories'!$C$191:$AC$200,27,FALSE)*(VLOOKUP($C$535,'DB animal categories'!$C$191:$AC$200,27,FALSE)-VLOOKUP($C$535,'DB animal categories'!$C$191:$AC$200,25,FALSE)*VLOOKUP($C$535,'DB animal categories'!$C$191:$AC$200,26,FALSE)/24)*F539/100*VLOOKUP(D539,'DB technologies'!$N$252:$Y$264,7,FALSE)/100)))</f>
        <v/>
      </c>
      <c r="AI539" s="183" t="str">
        <f>IF(D539="","",VLOOKUP(D539,'DB technologies'!$N$252:$Y$264,10,FALSE))</f>
        <v/>
      </c>
      <c r="AJ539" s="451" t="e">
        <f>VLOOKUP($C$535,'DB animal categories'!$C$191:$AN$200,27,FALSE)-VLOOKUP($C$535,'DB animal categories'!$C$191:$AN$200,26,FALSE)*VLOOKUP($C$535,'DB animal categories'!$C$191:$AN$200,25,FALSE)/24</f>
        <v>#N/A</v>
      </c>
      <c r="AK539" s="452" t="str">
        <f>IF(AI539="","",AL539+AM539)</f>
        <v/>
      </c>
      <c r="AL539" s="452" t="str">
        <f>IF(D539="","",IF(AI539=2,(('Calc (ex-animal)'!$G$101*'DB additional information '!$K$21/100*(1-VLOOKUP(D539,'DB technologies'!$N$252:$Y$264,9,FALSE)/100)*'Calc (ex-housing, ex-storage)'!F539/100+'Calc (ex-animal)'!$H$101*'DB additional information '!$L$21/100*(1-VLOOKUP(D539,'DB technologies'!$N$252:$Y$264,9,FALSE)/100)*'Calc (ex-housing, ex-storage)'!F539/100))/VLOOKUP($C$535,'DB animal categories'!$C$191:$AC$200,27,FALSE)*AJ539+I539+J539+K539,IF(AI539=1,('Calc (ex-animal)'!$H$101*'DB additional information '!$L$21/100*(1-VLOOKUP(D539,'DB technologies'!$N$252:$Y$264,9,FALSE)/100)*'Calc (ex-housing, ex-storage)'!F539/100)/VLOOKUP($C$535,'DB animal categories'!$C$191:$AC$200,27,FALSE)*AJ539,IF(AI539=4,('Calc (ex-animal)'!$G$101*'DB additional information '!$K$21/100+'Calc (ex-animal)'!$H$101*'DB additional information '!$L$21/100)*(1-VLOOKUP(D539,'DB technologies'!$N$252:$Y$264,9,FALSE)/100)*'Calc (ex-housing, ex-storage)'!F539/100*VLOOKUP(D539,'DB technologies'!$N$252:$Y$264,11,FALSE)/100/VLOOKUP($C$535,'DB animal categories'!$C$191:$AC$200,27,FALSE)*AJ539,0))))</f>
        <v/>
      </c>
      <c r="AM539" s="452" t="str">
        <f>IF(D539="","",IF(AI539=2,(('Calc (ex-animal)'!$G$101*(1-'DB additional information '!$K$21/100)*(1-VLOOKUP(D539,'DB technologies'!$N$252:$Y$264,8,FALSE)/100)*'Calc (ex-housing, ex-storage)'!F539/100+'Calc (ex-animal)'!$H$101*(1-'DB additional information '!$L$21/100)*(1-VLOOKUP(D539,'DB technologies'!$N$252:$Y$264,8,FALSE)/100)*'Calc (ex-housing, ex-storage)'!F539/100))/VLOOKUP($C$535,'DB animal categories'!$C$191:$AC$200,27,FALSE)*AJ539+M539+N539+O539,IF(AI539=1,('Calc (ex-animal)'!$H$101*(1-'DB additional information '!$L$21/100)*(1-VLOOKUP(D539,'DB technologies'!$N$252:$Y$264,8,FALSE)/100)*'Calc (ex-housing, ex-storage)'!F539/100)/VLOOKUP($C$535,'DB animal categories'!$C$191:$AC$200,27,FALSE)*AJ539,IF(AI539=4,('Calc (ex-animal)'!$G$101*(1-'DB additional information '!$K$21/100)+'Calc (ex-animal)'!$H$101*(1-'DB additional information '!$L$21/100))*(1-VLOOKUP(D539,'DB technologies'!$N$252:$Y$264,8,FALSE)/100)*'Calc (ex-housing, ex-storage)'!F539/100*VLOOKUP(D539,'DB technologies'!$N$252:$Y$264,11,FALSE)/100/VLOOKUP($C$535,'DB animal categories'!$C$191:$AC$200,27,FALSE)*AJ539,0))))</f>
        <v/>
      </c>
      <c r="AN539" s="452" t="str">
        <f>IF(AI539="","",IF(AL539=0,0,AL539/AK539*100))</f>
        <v/>
      </c>
      <c r="AO539" s="184" t="str">
        <f>IF(D539="","",IF(AI539=2,(('Calc (ex-animal)'!$L$101*'Calc (ex-housing, ex-storage)'!F539/100+'Calc (ex-animal)'!$K$101*'Calc (ex-housing, ex-storage)'!F539/100))/VLOOKUP($C$535,'DB animal categories'!$C$191:$AC$200,27,FALSE)*AJ539+Q539+R539+S539-AC539,IF(AI539=1,('Calc (ex-animal)'!$L$101*'Calc (ex-housing, ex-storage)'!F539/100)/VLOOKUP($C$535,'DB animal categories'!$C$191:$AC$200,27,FALSE)*AJ539-'Calc (ex-housing, ex-storage)'!AC539,IF(AI539=4,('Calc (ex-animal)'!$L$101+'Calc (ex-animal)'!$K$101)*'Calc (ex-housing, ex-storage)'!F539/100*VLOOKUP(D539,'DB technologies'!$N$252:$Y$264,11,FALSE)/100/VLOOKUP($C$535,'DB animal categories'!$C$191:$AC$200,27,FALSE)*AJ539-AC539*VLOOKUP(D539,'DB technologies'!$N$252:$Y$264,11,FALSE)/100,0))))</f>
        <v/>
      </c>
      <c r="AP539" s="184" t="str">
        <f>IF(D539="","",IF(AO539&lt;-0.01,0,IF(AI539=2,(('Calc (ex-animal)'!$L$101*'Calc (ex-housing, ex-storage)'!F539/100+'Calc (ex-animal)'!$K$101*'Calc (ex-housing, ex-storage)'!F539/100))/VLOOKUP($C$535,'DB animal categories'!$C$191:$AC$200,27,FALSE)*AJ539+Q539+R539+S539-AC539,IF(AI539=1,('Calc (ex-animal)'!$L$101*'Calc (ex-housing, ex-storage)'!F539/100)/VLOOKUP($C$535,'DB animal categories'!$C$191:$AC$200,27,FALSE)*AJ539-'Calc (ex-housing, ex-storage)'!AC539,IF(AI539=4,('Calc (ex-animal)'!$L$101+'Calc (ex-animal)'!$K$101)*'Calc (ex-housing, ex-storage)'!F539/100*VLOOKUP(D539,'DB technologies'!$N$252:$Y$264,11,FALSE)/100/VLOOKUP($C$535,'DB animal categories'!$C$191:$AC$200,27,FALSE)*AJ539-AC539*VLOOKUP(D539,'DB technologies'!$N$252:$Y$264,11,FALSE)/100,0)))))</f>
        <v/>
      </c>
      <c r="AQ539" s="184" t="str">
        <f>IF(D539="","",IF(AI539=2,('Calc (ex-animal)'!$O$101*'Calc (ex-housing, ex-storage)'!F539/100+'Calc (ex-animal)'!$N$101*'Calc (ex-housing, ex-storage)'!F539/100)/VLOOKUP($C$535,'DB animal categories'!$C$191:$AC$200,27,FALSE)*AJ539+U539+V539+W539,IF(AI539=1,'Calc (ex-animal)'!$O$101*'Calc (ex-housing, ex-storage)'!F539/100/VLOOKUP($C$535,'DB animal categories'!$C$191:$AC$200,27,FALSE)*AJ539,IF(AI539=4,('Calc (ex-animal)'!$O$101+'Calc (ex-animal)'!$N$101)*'Calc (ex-housing, ex-storage)'!F539/100*VLOOKUP(D539,'DB technologies'!$N$252:$Y$264,11,FALSE)/100/VLOOKUP($C$535,'DB animal categories'!$C$191:$AC$200,27,FALSE)*AJ539,0))))</f>
        <v/>
      </c>
      <c r="AR539" s="184" t="str">
        <f>IF(D539="","",IF(AI539=2,('Calc (ex-animal)'!$R$101*'Calc (ex-housing, ex-storage)'!F539/100+'Calc (ex-animal)'!$Q$101*'Calc (ex-housing, ex-storage)'!F539/100)/VLOOKUP($C$535,'DB animal categories'!$C$191:$AC$200,27,FALSE)*AJ539+Y539+Z539+AA539,IF(AI539=1,'Calc (ex-animal)'!$R$101*'Calc (ex-housing, ex-storage)'!F539/100/VLOOKUP($C$535,'DB animal categories'!$C$191:$AC$200,27,FALSE)*AJ539,IF(AI539=4,('Calc (ex-animal)'!$R$101+'Calc (ex-animal)'!$Q$101)*'Calc (ex-housing, ex-storage)'!F539/100*VLOOKUP(D539,'DB technologies'!$N$252:$Y$264,11,FALSE)/100/VLOOKUP($C$535,'DB animal categories'!$C$191:$AC$200,27,FALSE)*AJ539,0))))</f>
        <v/>
      </c>
      <c r="AS539" s="183" t="str">
        <f>IF(D539="","",VLOOKUP(D539,'DB technologies'!$N$252:$Y$264,10,FALSE))</f>
        <v/>
      </c>
      <c r="AT539" s="452" t="str">
        <f>IF(AS539="","",AU539+AV539)</f>
        <v/>
      </c>
      <c r="AU539" s="452" t="str">
        <f>IF(D539="","",IF(AS539=2,0,IF(AS539=1,'Calc (ex-animal)'!$G$101*'DB additional information '!$K$21/100*(1-VLOOKUP(D539,'DB technologies'!$N$252:$Y$264,8,FALSE)/100)*'Calc (ex-housing, ex-storage)'!F539/100/VLOOKUP($C$535,'DB animal categories'!$C$191:$AC$200,27,FALSE)*AJ539+I539+J539+K539,IF(AS539=5,(('Calc (ex-animal)'!$G$101*'DB additional information '!$K$21/100+'Calc (ex-animal)'!$H$101*'DB additional information '!$L$21/100))*(1-VLOOKUP(D539,'DB technologies'!$N$252:$Y$264,9,FALSE)/100)*'Calc (ex-housing, ex-storage)'!F539/100/VLOOKUP($C$535,'DB animal categories'!$C$191:$AC$200,27,FALSE)*AJ539+I539+J539+K539,IF(AS539=3,('Calc (ex-animal)'!$G$101*'DB additional information '!$K$21/100+'Calc (ex-animal)'!$H$101*'DB additional information '!$L$21/100)*(1-VLOOKUP(D539,'DB technologies'!$N$252:$Y$264,9,FALSE)/100)*'Calc (ex-housing, ex-storage)'!F539/100/VLOOKUP($C$535,'DB animal categories'!$C$191:$AC$200,27,FALSE)*AJ539+I539+J539+K539,IF(AS539=4,('Calc (ex-animal)'!$G$101*'DB additional information '!$K$21/100+'Calc (ex-animal)'!$H$101*'DB additional information '!$L$21/100)*(1-VLOOKUP(D539,'DB technologies'!$N$252:$Y$264,9,FALSE)/100)*'Calc (ex-housing, ex-storage)'!F539/100*VLOOKUP(D539,'DB technologies'!$N$252:$Y$264,12,FALSE)/100/VLOOKUP($C$535,'DB animal categories'!$C$191:$AC$200,27,FALSE)*AJ539+I539+J539+K539,0))))))</f>
        <v/>
      </c>
      <c r="AV539" s="452" t="str">
        <f>IF(D539="","",IF(AS539=2,0,IF(AS539=1,'Calc (ex-animal)'!$G$101*(1-'DB additional information '!$K$21/100)*(1-VLOOKUP(D539,'DB technologies'!$N$252:$Y$264,8,FALSE)/100)*'Calc (ex-housing, ex-storage)'!F539/100/VLOOKUP($C$535,'DB animal categories'!$C$191:$AC$200,27,FALSE)*AJ539+M539+N539+O539,IF(AS539=5,('Calc (ex-animal)'!$G$101*(1-'DB additional information '!$K$21/100)+'Calc (ex-animal)'!$H$101*(1-'DB additional information '!$L$21/100))*(1-VLOOKUP(D539,'DB technologies'!$N$252:$Y$264,8,FALSE)/100)*'Calc (ex-housing, ex-storage)'!F539/100/VLOOKUP($C$535,'DB animal categories'!$C$191:$AC$200,27,FALSE)*AJ539+M539+N539+O539,IF(AS539=3,('Calc (ex-animal)'!$G$101*(1-'DB additional information '!$K$21/100)+'Calc (ex-animal)'!$H$101*(1-'DB additional information '!$L$21/100))*(1-VLOOKUP(D539,'DB technologies'!$N$252:$Y$264,8,FALSE)/100)*'Calc (ex-housing, ex-storage)'!F539/100/VLOOKUP($C$535,'DB animal categories'!$C$191:$AC$200,27,FALSE)*AJ539+M539+N539+O539,IF(AS539=4,('Calc (ex-animal)'!$G$101*(1-'DB additional information '!$K$21/100)+'Calc (ex-animal)'!$H$101*(1-'DB additional information '!$L$21/100))*(1-VLOOKUP(D539,'DB technologies'!$N$252:$Y$264,8,FALSE)/100)*'Calc (ex-housing, ex-storage)'!F539/100*VLOOKUP(D539,'DB technologies'!$N$252:$Y$264,12,FALSE)/100/VLOOKUP($C$535,'DB animal categories'!$C$191:$AC$200,27,FALSE)*AJ539+M539+N539+O539,0))))))</f>
        <v/>
      </c>
      <c r="AW539" s="452" t="str">
        <f>IF(AS539="","",IF(AU539=0,0,AU539/AT539*100))</f>
        <v/>
      </c>
      <c r="AX539" s="184" t="str">
        <f>IF(D539="","",IF(AS539=2,0,IF(AS539=1,'Calc (ex-animal)'!$K$101*'Calc (ex-housing, ex-storage)'!F539/100/VLOOKUP($C$535,'DB animal categories'!$C$191:$AC$200,27,FALSE)*AJ539+Q539+R539+S539,IF(AS539=5,('Calc (ex-animal)'!$K$101+'Calc (ex-animal)'!$L$101)*'Calc (ex-housing, ex-storage)'!F539/100/VLOOKUP($C$535,'DB animal categories'!$C$191:$AC$200,27,FALSE)*AJ539+Q539+R539+S539-'Calc (ex-housing, ex-storage)'!AC539,IF(AS539=3,('Calc (ex-animal)'!$K$101+'Calc (ex-animal)'!$L$101)*'Calc (ex-housing, ex-storage)'!F539/100/VLOOKUP($C$535,'DB animal categories'!$C$191:$AC$200,27,FALSE)*AJ539+Q539+R539+S539-'Calc (ex-housing, ex-storage)'!AC539-AD539-AE539,IF(AI539=4,('Calc (ex-animal)'!$K$101+'Calc (ex-animal)'!$L$101)*'Calc (ex-housing, ex-storage)'!F539/100*VLOOKUP(D539,'DB technologies'!$N$252:$Y$264,12,FALSE)/100/VLOOKUP($C$535,'DB animal categories'!$C$191:$AC$200,27,FALSE)*AJ539+Q539+R539+S539-(VLOOKUP(D539,'DB technologies'!$N$252:$Y$264,12,FALSE)/100*AC539)-AD539-AE539,0))))))</f>
        <v/>
      </c>
      <c r="AY539" s="184" t="str">
        <f>IF(D539="","",IF(AS539=2,0,IF(AS539=1,'Calc (ex-animal)'!$N$101*'Calc (ex-housing, ex-storage)'!F539/100/VLOOKUP($C$535,'DB animal categories'!$C$191:$AC$200,27,FALSE)*AJ539+U539+V539+W539,IF(AS539=5,('Calc (ex-animal)'!$N$101+'Calc (ex-animal)'!$O$101)*'Calc (ex-housing, ex-storage)'!F539/100/VLOOKUP($C$535,'DB animal categories'!$C$191:$AC$200,27,FALSE)*AJ539+U539+V539+W539,IF(AS539=3,('Calc (ex-animal)'!$N$101+'Calc (ex-animal)'!$O$101)*'Calc (ex-housing, ex-storage)'!F539/100/VLOOKUP($C$535,'DB animal categories'!$C$191:$AC$200,27,FALSE)*AJ539+U539+V539+W539,IF(AS539=4,('Calc (ex-animal)'!$N$101+'Calc (ex-animal)'!$O$101)*'Calc (ex-housing, ex-storage)'!F539/100*VLOOKUP(D539,'DB technologies'!$N$252:$Y$264,12,FALSE)/100/VLOOKUP($C$535,'DB animal categories'!$C$191:$AC$200,27,FALSE)*AJ539+U539+V539+W539,0))))))</f>
        <v/>
      </c>
      <c r="AZ539" s="184" t="str">
        <f>IF(D539="","",IF(AS539=2,0,IF(AS539=1,'Calc (ex-animal)'!$Q$101*'Calc (ex-housing, ex-storage)'!F539/100/VLOOKUP($C$535,'DB animal categories'!$C$191:$AC$200,27,FALSE)*AJ539+Y539+Z539+AA539,IF(AS539=5,('Calc (ex-animal)'!$Q$101+'Calc (ex-animal)'!$R$101)*'Calc (ex-housing, ex-storage)'!F539/100/VLOOKUP($C$535,'DB animal categories'!$C$191:$AC$200,27,FALSE)*AJ539+Y539+Z539+AA539,IF(AS539=3,('Calc (ex-animal)'!$Q$101+'Calc (ex-animal)'!$R$101)*'Calc (ex-housing, ex-storage)'!F539/100/VLOOKUP($C$535,'DB animal categories'!$C$191:$AC$200,27,FALSE)*AJ539+Y539+Z539+AA539,IF(AS539=4,('Calc (ex-animal)'!$Q$101+'Calc (ex-animal)'!$R$101)*'Calc (ex-housing, ex-storage)'!F539/100*VLOOKUP(D539,'DB technologies'!$N$252:$Y$264,12,FALSE)/100/VLOOKUP($C$535,'DB animal categories'!$C$191:$AC$200,27,FALSE)*AJ539+Y539+Z539+AA539,0))))))</f>
        <v/>
      </c>
      <c r="BA539" s="506"/>
      <c r="BB539" s="506"/>
      <c r="BC539" s="506"/>
    </row>
    <row r="540" spans="1:55" ht="12" thickBot="1" x14ac:dyDescent="0.25">
      <c r="A540" s="748"/>
      <c r="B540" s="695"/>
      <c r="C540" s="252"/>
      <c r="D540" s="269" t="s">
        <v>58</v>
      </c>
      <c r="E540" s="270">
        <f>IF(F540&lt;=100,SUM(E535:E539),"ERROR")</f>
        <v>0</v>
      </c>
      <c r="F540" s="284">
        <f>IF(SUM(F535:F539) &lt;=100,SUM(F535:F539),"ERROR, SUM&gt;100%")</f>
        <v>0</v>
      </c>
      <c r="G540" s="550">
        <f>IF('Calc (ex-animal)'!$F$98=1,"",SUM(G535:G539))</f>
        <v>0</v>
      </c>
      <c r="H540" s="418">
        <f>IF('Calc (ex-animal)'!$F$8=1,"",SUM(H535:H539))</f>
        <v>0</v>
      </c>
      <c r="I540" s="418">
        <f>IF('Calc (ex-animal)'!$F$8=1,"",SUM(I535:I539))</f>
        <v>0</v>
      </c>
      <c r="J540" s="418">
        <f>IF('Calc (ex-animal)'!$F$8=1,"",SUM(J535:J539))</f>
        <v>0</v>
      </c>
      <c r="K540" s="418">
        <f>IF('Calc (ex-animal)'!$F$8=1,"",SUM(K535:K539))</f>
        <v>0</v>
      </c>
      <c r="L540" s="418">
        <f>IF('Calc (ex-animal)'!$F$8=1,"",SUM(L535:L539))</f>
        <v>0</v>
      </c>
      <c r="M540" s="551"/>
      <c r="N540" s="551"/>
      <c r="O540" s="551"/>
      <c r="P540" s="552">
        <f>IF(G540=0,0,IF('Calc (ex-animal)'!$F$98=1,"",IF(D540="","",SUM(H540:K540)/G540*100)))</f>
        <v>0</v>
      </c>
      <c r="Q540" s="271"/>
      <c r="R540" s="271"/>
      <c r="S540" s="271"/>
      <c r="T540" s="278">
        <f>IF('Calc (ex-animal)'!$F$101=1,"",SUM(T535:T539))</f>
        <v>0</v>
      </c>
      <c r="U540" s="279"/>
      <c r="V540" s="279"/>
      <c r="W540" s="279"/>
      <c r="X540" s="279">
        <f>IF('Calc (ex-animal)'!$F$101=1,"",SUM(X535:X539))</f>
        <v>0</v>
      </c>
      <c r="Y540" s="279"/>
      <c r="Z540" s="279"/>
      <c r="AA540" s="279"/>
      <c r="AB540" s="279">
        <f>IF('Calc (ex-animal)'!$F$101=1,"",SUM(AB535:AB539))</f>
        <v>0</v>
      </c>
      <c r="AC540" s="279">
        <f>IF('Calc (ex-animal)'!$F$101=1,"",SUM(AC535:AC539))</f>
        <v>0</v>
      </c>
      <c r="AD540" s="279">
        <f>IF('Calc (ex-animal)'!$F$101=1,"",SUM(AD535:AD539))</f>
        <v>0</v>
      </c>
      <c r="AE540" s="280">
        <f>IF('Calc (ex-animal)'!$F$101=1,"",SUM(AE535:AE539))</f>
        <v>0</v>
      </c>
    </row>
    <row r="541" spans="1:55" x14ac:dyDescent="0.2">
      <c r="A541" s="748"/>
      <c r="B541" s="695"/>
      <c r="C541" s="250">
        <f>'Calc (ex-animal)'!D102</f>
        <v>0</v>
      </c>
      <c r="D541" s="1355"/>
      <c r="E541" s="1356"/>
      <c r="F541" s="479" t="str">
        <f>IF('Calc (ex-animal)'!$F$98=1,"",IF($C$541=0,"",IF(D541="","",E541/'Calc (ex-animal)'!$E$102*100)))</f>
        <v/>
      </c>
      <c r="G541" s="484" t="str">
        <f>IF($C$541=0,"",IF('Calc (ex-animal)'!$F$98=1,"",IF(D541="","",SUM(H541:O541))))</f>
        <v/>
      </c>
      <c r="H541" s="471" t="str">
        <f>IF('Calc (ex-animal)'!$F$98=1,"",IF(D541="","",(((VLOOKUP($C$541,'Calc (ex-animal)'!$D$98:$Y$102,6,FALSE)-VLOOKUP($C$541,'Calc (ex-animal)'!$D$98:$Y$102,17,FALSE))*F541/100))*VLOOKUP($C$541,'Calc (ex-animal)'!$D$98:$Y$102,7,FALSE)/100*(1-VLOOKUP(D541,'DB technologies'!$N$252:$Y$264,9,FALSE)/100)))</f>
        <v/>
      </c>
      <c r="I541" s="471" t="str">
        <f>IF(D541="","",((VLOOKUP(D541,'DB technologies'!$N$252:$Y$264,2,FALSE)*VLOOKUP($C$541,'DB animal categories'!$C$191:$AC$200,27,FALSE)*E541/1000)/VLOOKUP($C$541,'DB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'!$S$6/100*(1-VLOOKUP(D541,'DB technologies'!$N$252:$Y$264,9,FALSE)/100)))</f>
        <v/>
      </c>
      <c r="J541" s="472" t="str">
        <f>IF(D541="","",((VLOOKUP(D541,'DB technologies'!$N$252:$Y$264,3,FALSE)*VLOOKUP($C$541,'DB animal categories'!$C$191:$AC$200,27,FALSE)*E541/1000)/VLOOKUP($C$541,'DB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'!$S$7/100*(1-VLOOKUP(D541,'DB technologies'!$N$252:$Y$264,9,FALSE)/100)))</f>
        <v/>
      </c>
      <c r="K541" s="472" t="str">
        <f>IF(D541="","",((VLOOKUP(D541,'DB technologies'!$N$252:$Y$264,4,FALSE)*E541*'DB additional information '!$S$8/100*(1-VLOOKUP(D541,'DB technologies'!$N$252:$Y$264,9,FALSE)/100))/VLOOKUP($C$541,'DB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L541" s="471" t="str">
        <f>IF('Calc (ex-animal)'!$F$98=1,"",IF(D541="","",(((VLOOKUP($C$541,'Calc (ex-animal)'!$D$98:$Y$102,6,FALSE)-VLOOKUP($C$541,'Calc (ex-animal)'!$D$98:$Y$102,17,FALSE))*F541/100))*(1-VLOOKUP($C$541,'Calc (ex-animal)'!$D$98:$Y$102,7,FALSE)/100)*(1-VLOOKUP(D541,'DB technologies'!$N$252:$V$264,8,FALSE)/100)))</f>
        <v/>
      </c>
      <c r="M541" s="472" t="str">
        <f>IF(D541="","",((VLOOKUP(D541,'DB technologies'!$N$252:$Y$264,2,FALSE)*VLOOKUP($C$541,'DB animal categories'!$C$191:$AC$200,27,FALSE)*E541/1000)/VLOOKUP($C$541,'DB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'!$S$6/100)*(1-VLOOKUP(D541,'DB technologies'!$N$252:$Y$264,9,FALSE)/100))</f>
        <v/>
      </c>
      <c r="N541" s="472" t="str">
        <f>IF(D541="","",((VLOOKUP(D541,'DB technologies'!$N$252:$Y$264,3,FALSE)*VLOOKUP($C$541,'DB animal categories'!$C$191:$AC$200,27,FALSE)*E541/1000)/VLOOKUP($C$541,'DB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'!$S$7/100)*(1-VLOOKUP(D541,'DB technologies'!$N$252:$Y$264,9,FALSE)/100))</f>
        <v/>
      </c>
      <c r="O541" s="471" t="str">
        <f>IF(D541="","",((VLOOKUP(D541,'DB technologies'!$N$252:$Y$264,4,FALSE)*E541*(1-'DB additional information '!$S$8/100)*(1-VLOOKUP(D541,'DB technologies'!$N$252:$Y$264,8,FALSE)/100))/VLOOKUP($C$541,'DB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P541" s="443" t="str">
        <f>IF(G541=0,0,IF(E541="","",IF(F541="","",IF($C$541=0,"",IF(D541="","",SUM(H541:K541)/G541*100)))))</f>
        <v/>
      </c>
      <c r="Q541" s="473" t="str">
        <f>IF(D541="","",(VLOOKUP(D541,'DB technologies'!$N$252:$Y$264,2,FALSE)*'DB additional information '!$S$6/100*'DB additional information '!$T$6*VLOOKUP($C$541,'DB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R541" s="473" t="str">
        <f>IF(D541="","",(VLOOKUP(D541,'DB technologies'!$N$252:$Y$264,3,FALSE)*'DB additional information '!$S$7/100*'DB additional information '!$T$7*VLOOKUP($C$541,'DB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S541" s="490" t="str">
        <f>IF(D541="","",(VLOOKUP(D541,'DB technologies'!$N$252:$Y$264,4,FALSE)*('DB additional information '!$S$8/100*'DB additional information '!$T$8*E541/1000/1000)))</f>
        <v/>
      </c>
      <c r="T541" s="263" t="str">
        <f>IF($C$541=0,"",IF('Calc (ex-animal)'!$F$98=1,"",IF(D541="","",((VLOOKUP($C$541,'Calc (ex-animal)'!$D$98:$Y$102,10,FALSE)-VLOOKUP($C$541,'Calc (ex-animal)'!$D$98:$Y$102,18,FALSE))*F541/100+Q541+R541+S541)-AC541-AD541-AE541)))</f>
        <v/>
      </c>
      <c r="U541" s="474" t="str">
        <f>IF(D541="","",(VLOOKUP(D541,'DB technologies'!$N$252:$Y$264,2,FALSE)*'DB additional information '!$S$6/100*'DB additional information '!$U$6*VLOOKUP($C$541,'DB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V541" s="420" t="str">
        <f>IF(D541="","",(VLOOKUP(D541,'DB technologies'!$N$252:$Y$264,3,FALSE)*'DB additional information '!$S$7/100*'DB additional information '!$U$7*VLOOKUP($C$541,'DB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W541" s="415" t="str">
        <f>IF(D541="","",(VLOOKUP(D541,'DB technologies'!$N$252:$Y$264,4,FALSE)*('DB additional information '!$S$8/100*'DB additional information '!$U$8*E541/1000/1000)))</f>
        <v/>
      </c>
      <c r="X541" s="259" t="str">
        <f>IF($C$541=0,"",IF('Calc (ex-animal)'!$F$98=1,"",IF(D541="","",((VLOOKUP($C$541,'Calc (ex-animal)'!$D$98:$Y$102,13,FALSE)-VLOOKUP($C$541,'Calc (ex-animal)'!$D$98:$Y$102,19,FALSE))*F541/100+U541+V541+W541))))</f>
        <v/>
      </c>
      <c r="Y541" s="420" t="str">
        <f>IF(D541="","",(VLOOKUP(D541,'DB technologies'!$N$252:$Y$264,2,FALSE)*'DB additional information '!$S$6/100*'DB additional information '!$V$6*VLOOKUP($C$541,'DB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Z541" s="420" t="str">
        <f>IF(D541="","",(VLOOKUP(D541,'DB technologies'!$N$252:$Y$264,3,FALSE)*'DB additional information '!$S$7/100*'DB additional information '!$V$7*VLOOKUP($C$541,'DB animal categories'!$C$191:$AC$200,27,FALSE)*E541/1000/1000)/VLOOKUP($C$541,'DB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AA541" s="420" t="str">
        <f>IF(D541="","",(VLOOKUP(D541,'DB technologies'!$N$252:$Y$264,4,FALSE)*('DB additional information '!$S$8/100*'DB additional information '!$V$8*E541/1000/1000)))</f>
        <v/>
      </c>
      <c r="AB541" s="259" t="str">
        <f>IF($C$541=0,"",IF('Calc (ex-animal)'!$F$98=1,"",IF(D541="","",((VLOOKUP($C$541,'Calc (ex-animal)'!$D$98:$Y$102,16,FALSE)-VLOOKUP($C$541,'Calc (ex-animal)'!$D$98:$Y$102,20,FALSE))*F541/100+Y541+Z541+AA541))))</f>
        <v/>
      </c>
      <c r="AC541" s="259" t="str">
        <f>IF($C$541=0,"",IF('Calc (ex-animal)'!$F$98=1,"",IF(D541="","",VLOOKUP($C$541,'Calc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categories'!$C$191:$AC$200,26,FALSE)/24)*F541/100*VLOOKUP(D541,'DB technologies'!$N$252:$R$264,5,FALSE)/100)))</f>
        <v/>
      </c>
      <c r="AD541" s="259" t="str">
        <f>IF($C$541=0,"",IF('Calc (ex-animal)'!$F$98=1,"",IF(D541="","",VLOOKUP($C$541,'Calc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categories'!$C$191:$AC$200,26,FALSE)/24)*F541/100*VLOOKUP(D541,'DB technologies'!$N$252:$Y$264,6,FALSE)/100)))</f>
        <v/>
      </c>
      <c r="AE541" s="260" t="str">
        <f>IF($C$541=0,"",IF('Calc (ex-animal)'!$F$98=1,"",IF(D541="","",VLOOKUP($C$541,'Calc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categories'!$C$191:$AC$200,26,FALSE)/24)*F541/100*VLOOKUP(D541,'DB technologies'!$N$252:$Y$264,7,FALSE)/100)))</f>
        <v/>
      </c>
      <c r="AI541" s="179" t="str">
        <f>IF(D541="","",VLOOKUP(D541,'DB technologies'!$N$252:$Y$264,10,FALSE))</f>
        <v/>
      </c>
      <c r="AJ541" s="482" t="e">
        <f>VLOOKUP($C$541,'DB animal categories'!$C$191:$AN$200,27,FALSE)-VLOOKUP($C$541,'DB animal categories'!$C$191:$AN$200,26,FALSE)*VLOOKUP($C$541,'DB animal categories'!$C$191:$AN$200,25,FALSE)/24</f>
        <v>#N/A</v>
      </c>
      <c r="AK541" s="453" t="str">
        <f>IF(AI541="","",AL541+AM541)</f>
        <v/>
      </c>
      <c r="AL541" s="453" t="str">
        <f>IF(D541="","",IF(AI541=2,(('Calc (ex-animal)'!$G$102*'DB additional information '!$K$21/100*(1-VLOOKUP(D541,'DB technologies'!$N$252:$Y$264,9,FALSE)/100)*'Calc (ex-housing, ex-storage)'!F541/100+'Calc (ex-animal)'!$H$102*'DB additional information '!$L$21/100*(1-VLOOKUP(D541,'DB technologies'!$N$252:$Y$264,9,FALSE)/100)*'Calc (ex-housing, ex-storage)'!F541/100))/VLOOKUP($C$541,'DB animal categories'!$C$191:$AC$200,27,FALSE)*AJ541+I541+J541+K541,IF(AI541=1,('Calc (ex-animal)'!$H$102*'DB additional information '!$L$21/100*(1-VLOOKUP(D541,'DB technologies'!$N$252:$Y$264,9,FALSE)/100)*'Calc (ex-housing, ex-storage)'!F541/100)/VLOOKUP($C$541,'DB animal categories'!$C$191:$AC$200,27,FALSE)*AJ541,IF(AI541=4,('Calc (ex-animal)'!$G$102*'DB additional information '!$K$21/100+'Calc (ex-animal)'!$H$102*'DB additional information '!$L$21/100)*(1-VLOOKUP(D541,'DB technologies'!$N$252:$Y$264,9,FALSE)/100)*'Calc (ex-housing, ex-storage)'!F541/100*VLOOKUP(D541,'DB technologies'!$N$252:$Y$264,11,FALSE)/100/VLOOKUP($C$541,'DB animal categories'!$C$191:$AC$200,27,FALSE)*AJ541,0))))</f>
        <v/>
      </c>
      <c r="AM541" s="453" t="str">
        <f>IF(D541="","",IF(AI541=2,(('Calc (ex-animal)'!$G$102*(1-'DB additional information '!$K$21/100)*(1-VLOOKUP(D541,'DB technologies'!$N$252:$Y$264,8,FALSE)/100)*'Calc (ex-housing, ex-storage)'!F541/100+'Calc (ex-animal)'!$H$102*(1-'DB additional information '!$L$21/100)*(1-VLOOKUP(D541,'DB technologies'!$N$252:$Y$264,8,FALSE)/100)*'Calc (ex-housing, ex-storage)'!F541/100))/VLOOKUP($C$541,'DB animal categories'!$C$191:$AC$200,27,FALSE)*AJ541+M541+N541+O541,IF(AI541=1,('Calc (ex-animal)'!$H$102*(1-'DB additional information '!$L$21/100)*(1-VLOOKUP(D541,'DB technologies'!$N$252:$Y$264,8,FALSE)/100)*'Calc (ex-housing, ex-storage)'!F541/100)/VLOOKUP($C$541,'DB animal categories'!$C$191:$AC$200,27,FALSE)*AJ541,IF(AI541=4,('Calc (ex-animal)'!$G$102*(1-'DB additional information '!$K$21/100)+'Calc (ex-animal)'!$H$102*(1-'DB additional information '!$L$21/100))*(1-VLOOKUP(D541,'DB technologies'!$N$252:$Y$264,8,FALSE)/100)*'Calc (ex-housing, ex-storage)'!F541/100*VLOOKUP(D541,'DB technologies'!$N$252:$Y$264,11,FALSE)/100/VLOOKUP($C$541,'DB animal categories'!$C$191:$AC$200,27,FALSE)*AJ541,0))))</f>
        <v/>
      </c>
      <c r="AN541" s="453" t="str">
        <f>IF(AI541="","",IF(AL541=0,0,AL541/AK541*100))</f>
        <v/>
      </c>
      <c r="AO541" s="180" t="str">
        <f>IF(D541="","",IF(AI541=2,(('Calc (ex-animal)'!$L$102*'Calc (ex-housing, ex-storage)'!F541/100+'Calc (ex-animal)'!$K$102*'Calc (ex-housing, ex-storage)'!F541/100))/VLOOKUP($C$541,'DB animal categories'!$C$191:$AC$200,27,FALSE)*AJ541+Q541+R541+S541-AC541,IF(AI541=1,('Calc (ex-animal)'!$L$102*'Calc (ex-housing, ex-storage)'!F541/100)/VLOOKUP($C$541,'DB animal categories'!$C$191:$AC$200,27,FALSE)*AJ541-'Calc (ex-housing, ex-storage)'!AC541,IF(AI541=4,('Calc (ex-animal)'!$L$102+'Calc (ex-animal)'!$K$102)*'Calc (ex-housing, ex-storage)'!F541/100*VLOOKUP(D541,'DB technologies'!$N$252:$Y$264,11,FALSE)/100/VLOOKUP($C$541,'DB animal categories'!$C$191:$AC$200,27,FALSE)*AJ541-AC541*VLOOKUP(D541,'DB technologies'!$N$252:$Y$264,11,FALSE)/100,0))))</f>
        <v/>
      </c>
      <c r="AP541" s="180" t="str">
        <f>IF(D541="","",IF(AO541&lt;-0.01,0,IF(AI541=2,(('Calc (ex-animal)'!$L$102*'Calc (ex-housing, ex-storage)'!F541/100+'Calc (ex-animal)'!$K$102*'Calc (ex-housing, ex-storage)'!F541/100))/VLOOKUP($C$541,'DB animal categories'!$C$191:$AC$200,27,FALSE)*AJ541+Q541+R541+S541-AC541,IF(AI541=1,('Calc (ex-animal)'!$L$102*'Calc (ex-housing, ex-storage)'!F541/100)/VLOOKUP($C$541,'DB animal categories'!$C$191:$AC$200,27,FALSE)*AJ541-'Calc (ex-housing, ex-storage)'!AC541,IF(AI541=4,('Calc (ex-animal)'!$L$102+'Calc (ex-animal)'!$K$102)*'Calc (ex-housing, ex-storage)'!F541/100*VLOOKUP(D541,'DB technologies'!$N$252:$Y$264,11,FALSE)/100/VLOOKUP($C$541,'DB animal categories'!$C$191:$AC$200,27,FALSE)*AJ541-AC541*VLOOKUP(D541,'DB technologies'!$N$252:$Y$264,11,FALSE)/100,0)))))</f>
        <v/>
      </c>
      <c r="AQ541" s="180" t="str">
        <f>IF(D541="","",IF(AI541=2,('Calc (ex-animal)'!$O$102*'Calc (ex-housing, ex-storage)'!F541/100+'Calc (ex-animal)'!$N$102*'Calc (ex-housing, ex-storage)'!F541/100)/VLOOKUP($C$541,'DB animal categories'!$C$191:$AC$200,27,FALSE)*AJ541+U541+V541+W541,IF(AI541=1,'Calc (ex-animal)'!$O$102*'Calc (ex-housing, ex-storage)'!F541/100/VLOOKUP($C$541,'DB animal categories'!$C$191:$AC$200,27,FALSE)*AJ541,IF(AI541=4,('Calc (ex-animal)'!$O$102+'Calc (ex-animal)'!$N$102)*'Calc (ex-housing, ex-storage)'!F541/100*VLOOKUP(D541,'DB technologies'!$N$252:$Y$264,11,FALSE)/100/VLOOKUP($C$541,'DB animal categories'!$C$191:$AC$200,27,FALSE)*AJ541,0))))</f>
        <v/>
      </c>
      <c r="AR541" s="180" t="str">
        <f>IF(D541="","",IF(AI541=2,('Calc (ex-animal)'!$R$102*'Calc (ex-housing, ex-storage)'!F541/100+'Calc (ex-animal)'!$Q$102*'Calc (ex-housing, ex-storage)'!F541/100)/VLOOKUP($C$541,'DB animal categories'!$C$191:$AC$200,27,FALSE)*AJ541+Y541+Z541+AA541,IF(AI541=1,'Calc (ex-animal)'!$R$102*'Calc (ex-housing, ex-storage)'!F541/100/VLOOKUP($C$541,'DB animal categories'!$C$191:$AC$200,27,FALSE)*AJ541,IF(AI541=4,('Calc (ex-animal)'!$R$102+'Calc (ex-animal)'!$Q$102)*'Calc (ex-housing, ex-storage)'!F541/100*VLOOKUP(D541,'DB technologies'!$N$252:$Y$264,11,FALSE)/100/VLOOKUP($C$541,'DB animal categories'!$C$191:$AC$200,27,FALSE)*AJ541,0))))</f>
        <v/>
      </c>
      <c r="AS541" s="179" t="str">
        <f>IF(D541="","",VLOOKUP(D541,'DB technologies'!$N$252:$Y$264,10,FALSE))</f>
        <v/>
      </c>
      <c r="AT541" s="453" t="str">
        <f>IF(AS541="","",AU541+AV541)</f>
        <v/>
      </c>
      <c r="AU541" s="453" t="str">
        <f>IF(D541="","",IF(AS541=2,0,IF(AS541=1,'Calc (ex-animal)'!$G$102*'DB additional information '!$K$21/100*(1-VLOOKUP(D541,'DB technologies'!$N$252:$Y$264,8,FALSE)/100)*'Calc (ex-housing, ex-storage)'!F541/100/VLOOKUP($C$541,'DB animal categories'!$C$191:$AC$200,27,FALSE)*AJ541+I541+J541+K541,IF(AS541=5,(('Calc (ex-animal)'!$G$102*'DB additional information '!$K$21/100+'Calc (ex-animal)'!$H$102*'DB additional information '!$L$21/100))*(1-VLOOKUP(D541,'DB technologies'!$N$252:$Y$264,9,FALSE)/100)*'Calc (ex-housing, ex-storage)'!F541/100/VLOOKUP($C$541,'DB animal categories'!$C$191:$AC$200,27,FALSE)*AJ541+I541+J541+K541,IF(AS541=3,('Calc (ex-animal)'!$G$102*'DB additional information '!$K$21/100+'Calc (ex-animal)'!$H$102*'DB additional information '!$L$21/100)*(1-VLOOKUP(D541,'DB technologies'!$N$252:$Y$264,9,FALSE)/100)*'Calc (ex-housing, ex-storage)'!F541/100/VLOOKUP($C$541,'DB animal categories'!$C$191:$AC$200,27,FALSE)*AJ541+I541+J541+K541,IF(AS541=4,('Calc (ex-animal)'!$G$102*'DB additional information '!$K$21/100+'Calc (ex-animal)'!$H$102*'DB additional information '!$L$21/100)*(1-VLOOKUP(D541,'DB technologies'!$N$252:$Y$264,9,FALSE)/100)*'Calc (ex-housing, ex-storage)'!F541/100*VLOOKUP(D541,'DB technologies'!$N$252:$Y$264,12,FALSE)/100/VLOOKUP($C$541,'DB animal categories'!$C$191:$AC$200,27,FALSE)*AJ541+I541+J541+K541,0))))))</f>
        <v/>
      </c>
      <c r="AV541" s="453" t="str">
        <f>IF(D541="","",IF(AS541=2,0,IF(AS541=1,'Calc (ex-animal)'!$G$102*(1-'DB additional information '!$K$21/100)*(1-VLOOKUP(D541,'DB technologies'!$N$252:$Y$264,8,FALSE)/100)*'Calc (ex-housing, ex-storage)'!F541/100/VLOOKUP($C$541,'DB animal categories'!$C$191:$AC$200,27,FALSE)*AJ541+M541+N541+O541,IF(AS541=5,('Calc (ex-animal)'!$G$102*(1-'DB additional information '!$K$21/100)+'Calc (ex-animal)'!$H$102*(1-'DB additional information '!$L$21/100))*(1-VLOOKUP(D541,'DB technologies'!$N$252:$Y$264,8,FALSE)/100)*'Calc (ex-housing, ex-storage)'!F541/100/VLOOKUP($C$541,'DB animal categories'!$C$191:$AC$200,27,FALSE)*AJ541+M541+N541+O541,IF(AS541=3,('Calc (ex-animal)'!$G$102*(1-'DB additional information '!$K$21/100)+'Calc (ex-animal)'!$H$102*(1-'DB additional information '!$L$21/100))*(1-VLOOKUP(D541,'DB technologies'!$N$252:$Y$264,8,FALSE)/100)*'Calc (ex-housing, ex-storage)'!F541/100/VLOOKUP($C$541,'DB animal categories'!$C$191:$AC$200,27,FALSE)*AJ541+M541+N541+O541,IF(AS541=4,('Calc (ex-animal)'!$G$102*(1-'DB additional information '!$K$21/100)+'Calc (ex-animal)'!$H$102*(1-'DB additional information '!$L$21/100))*(1-VLOOKUP(D541,'DB technologies'!$N$252:$Y$264,8,FALSE)/100)*'Calc (ex-housing, ex-storage)'!F541/100*VLOOKUP(D541,'DB technologies'!$N$252:$Y$264,12,FALSE)/100/VLOOKUP($C$541,'DB animal categories'!$C$191:$AC$200,27,FALSE)*AJ541+M541+N541+O541,0))))))</f>
        <v/>
      </c>
      <c r="AW541" s="453" t="str">
        <f>IF(AS541="","",IF(AU541=0,0,AU541/AT541*100))</f>
        <v/>
      </c>
      <c r="AX541" s="180" t="str">
        <f>IF(D541="","",IF(AS541=2,0,IF(AS541=1,'Calc (ex-animal)'!$K$102*'Calc (ex-housing, ex-storage)'!F541/100/VLOOKUP($C$541,'DB animal categories'!$C$191:$AC$200,27,FALSE)*AJ541+Q541+R541+S541,IF(AS541=5,('Calc (ex-animal)'!$K$102+'Calc (ex-animal)'!$L$102)*'Calc (ex-housing, ex-storage)'!F541/100/VLOOKUP($C$541,'DB animal categories'!$C$191:$AC$200,27,FALSE)*AJ541+Q541+R541+S541-'Calc (ex-housing, ex-storage)'!AC541,IF(AS541=3,('Calc (ex-animal)'!$K$102+'Calc (ex-animal)'!$L$102)*'Calc (ex-housing, ex-storage)'!F541/100/VLOOKUP($C$541,'DB animal categories'!$C$191:$AC$200,27,FALSE)*AJ541+Q541+R541+S541-'Calc (ex-housing, ex-storage)'!AC541-AD541-AE541,IF(AI541=4,('Calc (ex-animal)'!$K$102+'Calc (ex-animal)'!$L$102)*'Calc (ex-housing, ex-storage)'!F541/100*VLOOKUP(D541,'DB technologies'!$N$252:$Y$264,12,FALSE)/100/VLOOKUP($C$541,'DB animal categories'!$C$191:$AC$200,27,FALSE)*AJ541+Q541+R541+S541-(VLOOKUP(D541,'DB technologies'!$N$252:$Y$264,12,FALSE)/100*AC541)-AD541-AE541,0))))))</f>
        <v/>
      </c>
      <c r="AY541" s="180" t="str">
        <f>IF(D541="","",IF(AS541=2,0,IF(AS541=1,'Calc (ex-animal)'!$N$102*'Calc (ex-housing, ex-storage)'!F541/100/VLOOKUP($C$541,'DB animal categories'!$C$191:$AC$200,27,FALSE)*AJ541+U541+V541+W541,IF(AS541=5,('Calc (ex-animal)'!$N$102+'Calc (ex-animal)'!$O$102)*'Calc (ex-housing, ex-storage)'!F541/100/VLOOKUP($C$541,'DB animal categories'!$C$191:$AC$200,27,FALSE)*AJ541+U541+V541+W541,IF(AS541=3,('Calc (ex-animal)'!$N$102+'Calc (ex-animal)'!$O$102)*'Calc (ex-housing, ex-storage)'!F541/100/VLOOKUP($C$541,'DB animal categories'!$C$191:$AC$200,27,FALSE)*AJ541+U541+V541+W541,IF(AS541=4,('Calc (ex-animal)'!$N$102+'Calc (ex-animal)'!$O$102)*'Calc (ex-housing, ex-storage)'!F541/100*VLOOKUP(D541,'DB technologies'!$N$252:$Y$264,12,FALSE)/100/VLOOKUP($C$541,'DB animal categories'!$C$191:$AC$200,27,FALSE)*AJ541+U541+V541+W541,0))))))</f>
        <v/>
      </c>
      <c r="AZ541" s="180" t="str">
        <f>IF(D541="","",IF(AS541=2,0,IF(AS541=1,'Calc (ex-animal)'!$Q$102*'Calc (ex-housing, ex-storage)'!F541/100/VLOOKUP($C$541,'DB animal categories'!$C$191:$AC$200,27,FALSE)*AJ541+Y541+Z541+AA541,IF(AS541=5,('Calc (ex-animal)'!$Q$102+'Calc (ex-animal)'!$R$102)*'Calc (ex-housing, ex-storage)'!F541/100/VLOOKUP($C$541,'DB animal categories'!$C$191:$AC$200,27,FALSE)*AJ541+Y541+Z541+AA541,IF(AS541=3,('Calc (ex-animal)'!$Q$102+'Calc (ex-animal)'!$R$102)*'Calc (ex-housing, ex-storage)'!F541/100/VLOOKUP($C$541,'DB animal categories'!$C$191:$AC$200,27,FALSE)*AJ541+Y541+Z541+AA541,IF(AS541=4,('Calc (ex-animal)'!$Q$102+'Calc (ex-animal)'!$R$102)*'Calc (ex-housing, ex-storage)'!F541/100*VLOOKUP(D541,'DB technologies'!$N$252:$Y$264,12,FALSE)/100/VLOOKUP($C$541,'DB animal categories'!$C$191:$AC$200,27,FALSE)*AJ541+Y541+Z541+AA541,0))))))</f>
        <v/>
      </c>
      <c r="BA541" s="506"/>
      <c r="BB541" s="506"/>
      <c r="BC541" s="506"/>
    </row>
    <row r="542" spans="1:55" x14ac:dyDescent="0.2">
      <c r="A542" s="748"/>
      <c r="B542" s="695"/>
      <c r="C542" s="251"/>
      <c r="D542" s="1357"/>
      <c r="E542" s="1358"/>
      <c r="F542" s="480" t="str">
        <f>IF('Calc (ex-animal)'!$F$98=1,"",IF($C$541=0,"",IF(D542="","",E542/'Calc (ex-animal)'!$E$102*100)))</f>
        <v/>
      </c>
      <c r="G542" s="485" t="str">
        <f>IF($C$541=0,"",IF('Calc (ex-animal)'!$F$98=1,"",IF(D542="","",SUM(H542:O542))))</f>
        <v/>
      </c>
      <c r="H542" s="423" t="str">
        <f>IF('Calc (ex-animal)'!$F$98=1,"",IF(D542="","",(((VLOOKUP($C$541,'Calc (ex-animal)'!$D$98:$Y$102,6,FALSE)-VLOOKUP($C$541,'Calc (ex-animal)'!$D$98:$Y$102,17,FALSE))*F542/100))*VLOOKUP($C$541,'Calc (ex-animal)'!$D$98:$Y$102,7,FALSE)/100*(1-VLOOKUP(D542,'DB technologies'!$N$252:$Y$264,9,FALSE)/100)))</f>
        <v/>
      </c>
      <c r="I542" s="423" t="str">
        <f>IF(D542="","",((VLOOKUP(D542,'DB technologies'!$N$252:$Y$264,2,FALSE)*VLOOKUP($C$541,'DB animal categories'!$C$191:$AC$200,27,FALSE)*E542/1000)/VLOOKUP($C$541,'DB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'!$S$6/100*(1-VLOOKUP(D542,'DB technologies'!$N$252:$Y$264,9,FALSE)/100)))</f>
        <v/>
      </c>
      <c r="J542" s="434" t="str">
        <f>IF(D542="","",((VLOOKUP(D542,'DB technologies'!$N$252:$Y$264,3,FALSE)*VLOOKUP($C$541,'DB animal categories'!$C$191:$AC$200,27,FALSE)*E542/1000)/VLOOKUP($C$541,'DB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'!$S$7/100*(1-VLOOKUP(D542,'DB technologies'!$N$252:$Y$264,9,FALSE)/100)))</f>
        <v/>
      </c>
      <c r="K542" s="434" t="str">
        <f>IF(D542="","",((VLOOKUP(D542,'DB technologies'!$N$252:$Y$264,4,FALSE)*E542*'DB additional information '!$S$8/100*(1-VLOOKUP(D542,'DB technologies'!$N$252:$Y$264,9,FALSE)/100))/VLOOKUP($C$541,'DB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L542" s="423" t="str">
        <f>IF('Calc (ex-animal)'!$F$98=1,"",IF(D542="","",(((VLOOKUP($C$541,'Calc (ex-animal)'!$D$98:$Y$102,6,FALSE)-VLOOKUP($C$541,'Calc (ex-animal)'!$D$98:$Y$102,17,FALSE))*F542/100))*(1-VLOOKUP($C$541,'Calc (ex-animal)'!$D$98:$Y$102,7,FALSE)/100)*(1-VLOOKUP(D542,'DB technologies'!$N$252:$V$264,8,FALSE)/100)))</f>
        <v/>
      </c>
      <c r="M542" s="434" t="str">
        <f>IF(D542="","",((VLOOKUP(D542,'DB technologies'!$N$252:$Y$264,2,FALSE)*VLOOKUP($C$541,'DB animal categories'!$C$191:$AC$200,27,FALSE)*E542/1000)/VLOOKUP($C$541,'DB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'!$S$6/100)*(1-VLOOKUP(D542,'DB technologies'!$N$252:$Y$264,9,FALSE)/100))</f>
        <v/>
      </c>
      <c r="N542" s="434" t="str">
        <f>IF(D542="","",((VLOOKUP(D542,'DB technologies'!$N$252:$Y$264,3,FALSE)*VLOOKUP($C$541,'DB animal categories'!$C$191:$AC$200,27,FALSE)*E542/1000)/VLOOKUP($C$541,'DB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'!$S$7/100)*(1-VLOOKUP(D542,'DB technologies'!$N$252:$Y$264,9,FALSE)/100))</f>
        <v/>
      </c>
      <c r="O542" s="423" t="str">
        <f>IF(D542="","",((VLOOKUP(D542,'DB technologies'!$N$252:$Y$264,4,FALSE)*E542*(1-'DB additional information '!$S$8/100)*(1-VLOOKUP(D542,'DB technologies'!$N$252:$Y$264,8,FALSE)/100))/VLOOKUP($C$541,'DB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P542" s="438" t="str">
        <f>IF(G542=0,0,IF(E542="","",IF(F542="","",IF($C$541=0,"",IF(D542="","",SUM(H542:K542)/G542*100)))))</f>
        <v/>
      </c>
      <c r="Q542" s="416" t="str">
        <f>IF(D542="","",(VLOOKUP(D542,'DB technologies'!$N$252:$Y$264,2,FALSE)*'DB additional information '!$S$6/100*'DB additional information '!$T$6*VLOOKUP($C$541,'DB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R542" s="416" t="str">
        <f>IF(D542="","",(VLOOKUP(D542,'DB technologies'!$N$252:$Y$264,3,FALSE)*'DB additional information '!$S$7/100*'DB additional information '!$T$7*VLOOKUP($C$541,'DB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S542" s="491" t="str">
        <f>IF(D542="","",(VLOOKUP(D542,'DB technologies'!$N$252:$Y$264,4,FALSE)*('DB additional information '!$S$8/100*'DB additional information '!$T$8*E542/1000/1000)))</f>
        <v/>
      </c>
      <c r="T542" s="264" t="str">
        <f>IF($C$541=0,"",IF('Calc (ex-animal)'!$F$98=1,"",IF(D542="","",((VLOOKUP($C$541,'Calc (ex-animal)'!$D$98:$Y$102,10,FALSE)-VLOOKUP($C$541,'Calc (ex-animal)'!$D$98:$Y$102,18,FALSE))*F542/100+Q542+R542+S542)-AC542-AD542-AE542)))</f>
        <v/>
      </c>
      <c r="U542" s="422" t="str">
        <f>IF(D542="","",(VLOOKUP(D542,'DB technologies'!$N$252:$Y$264,2,FALSE)*'DB additional information '!$S$6/100*'DB additional information '!$U$6*VLOOKUP($C$541,'DB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V542" s="418" t="str">
        <f>IF(D542="","",(VLOOKUP(D542,'DB technologies'!$N$252:$Y$264,3,FALSE)*'DB additional information '!$S$7/100*'DB additional information '!$U$7*VLOOKUP($C$541,'DB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W542" s="417" t="str">
        <f>IF(D542="","",(VLOOKUP(D542,'DB technologies'!$N$252:$Y$264,4,FALSE)*('DB additional information '!$S$8/100*'DB additional information '!$U$8*E542/1000/1000)))</f>
        <v/>
      </c>
      <c r="X542" s="261" t="str">
        <f>IF($C$541=0,"",IF('Calc (ex-animal)'!$F$98=1,"",IF(D542="","",((VLOOKUP($C$541,'Calc (ex-animal)'!$D$98:$Y$102,13,FALSE)-VLOOKUP($C$541,'Calc (ex-animal)'!$D$98:$Y$102,19,FALSE))*F542/100+U542+V542+W542))))</f>
        <v/>
      </c>
      <c r="Y542" s="418" t="str">
        <f>IF(D542="","",(VLOOKUP(D542,'DB technologies'!$N$252:$Y$264,2,FALSE)*'DB additional information '!$S$6/100*'DB additional information '!$V$6*VLOOKUP($C$541,'DB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Z542" s="418" t="str">
        <f>IF(D542="","",(VLOOKUP(D542,'DB technologies'!$N$252:$Y$264,3,FALSE)*'DB additional information '!$S$7/100*'DB additional information '!$V$7*VLOOKUP($C$541,'DB animal categories'!$C$191:$AC$200,27,FALSE)*E542/1000/1000)/VLOOKUP($C$541,'DB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AA542" s="418" t="str">
        <f>IF(D542="","",(VLOOKUP(D542,'DB technologies'!$N$252:$Y$264,4,FALSE)*('DB additional information '!$S$8/100*'DB additional information '!$V$8*E542/1000/1000)))</f>
        <v/>
      </c>
      <c r="AB542" s="261" t="str">
        <f>IF($C$541=0,"",IF('Calc (ex-animal)'!$F$98=1,"",IF(D542="","",((VLOOKUP($C$541,'Calc (ex-animal)'!$D$98:$Y$102,16,FALSE)-VLOOKUP($C$541,'Calc (ex-animal)'!$D$98:$Y$102,20,FALSE))*F542/100+Y542+Z542+AA542))))</f>
        <v/>
      </c>
      <c r="AC542" s="261" t="str">
        <f>IF($C$541=0,"",IF('Calc (ex-animal)'!$F$98=1,"",IF(D542="","",VLOOKUP($C$541,'Calc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categories'!$C$191:$AC$200,26,FALSE)/24)*F542/100*VLOOKUP(D542,'DB technologies'!$N$252:$R$264,5,FALSE)/100)))</f>
        <v/>
      </c>
      <c r="AD542" s="261" t="str">
        <f>IF($C$541=0,"",IF('Calc (ex-animal)'!$F$98=1,"",IF(D542="","",VLOOKUP($C$541,'Calc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categories'!$C$191:$AC$200,26,FALSE)/24)*F542/100*VLOOKUP(D542,'DB technologies'!$N$252:$Y$264,6,FALSE)/100)))</f>
        <v/>
      </c>
      <c r="AE542" s="262" t="str">
        <f>IF($C$541=0,"",IF('Calc (ex-animal)'!$F$98=1,"",IF(D542="","",VLOOKUP($C$541,'Calc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categories'!$C$191:$AC$200,26,FALSE)/24)*F542/100*VLOOKUP(D542,'DB technologies'!$N$252:$Y$264,7,FALSE)/100)))</f>
        <v/>
      </c>
      <c r="AI542" s="181" t="str">
        <f>IF(D542="","",VLOOKUP(D542,'DB technologies'!$N$252:$Y$264,10,FALSE))</f>
        <v/>
      </c>
      <c r="AJ542" s="449" t="e">
        <f>VLOOKUP($C$541,'DB animal categories'!$C$191:$AN$200,27,FALSE)-VLOOKUP($C$541,'DB animal categories'!$C$191:$AN$200,26,FALSE)*VLOOKUP($C$541,'DB animal categories'!$C$191:$AN$200,25,FALSE)/24</f>
        <v>#N/A</v>
      </c>
      <c r="AK542" s="442" t="str">
        <f>IF(AI542="","",AL542+AM542)</f>
        <v/>
      </c>
      <c r="AL542" s="442" t="str">
        <f>IF(D542="","",IF(AI542=2,(('Calc (ex-animal)'!$G$102*'DB additional information '!$K$21/100*(1-VLOOKUP(D542,'DB technologies'!$N$252:$Y$264,9,FALSE)/100)*'Calc (ex-housing, ex-storage)'!F542/100+'Calc (ex-animal)'!$H$102*'DB additional information '!$L$21/100*(1-VLOOKUP(D542,'DB technologies'!$N$252:$Y$264,9,FALSE)/100)*'Calc (ex-housing, ex-storage)'!F542/100))/VLOOKUP($C$541,'DB animal categories'!$C$191:$AC$200,27,FALSE)*AJ542+I542+J542+K542,IF(AI542=1,('Calc (ex-animal)'!$H$102*'DB additional information '!$L$21/100*(1-VLOOKUP(D542,'DB technologies'!$N$252:$Y$264,9,FALSE)/100)*'Calc (ex-housing, ex-storage)'!F542/100)/VLOOKUP($C$541,'DB animal categories'!$C$191:$AC$200,27,FALSE)*AJ542,IF(AI542=4,('Calc (ex-animal)'!$G$102*'DB additional information '!$K$21/100+'Calc (ex-animal)'!$H$102*'DB additional information '!$L$21/100)*(1-VLOOKUP(D542,'DB technologies'!$N$252:$Y$264,9,FALSE)/100)*'Calc (ex-housing, ex-storage)'!F542/100*VLOOKUP(D542,'DB technologies'!$N$252:$Y$264,11,FALSE)/100/VLOOKUP($C$541,'DB animal categories'!$C$191:$AC$200,27,FALSE)*AJ542,0))))</f>
        <v/>
      </c>
      <c r="AM542" s="442" t="str">
        <f>IF(D542="","",IF(AI542=2,(('Calc (ex-animal)'!$G$102*(1-'DB additional information '!$K$21/100)*(1-VLOOKUP(D542,'DB technologies'!$N$252:$Y$264,8,FALSE)/100)*'Calc (ex-housing, ex-storage)'!F542/100+'Calc (ex-animal)'!$H$102*(1-'DB additional information '!$L$21/100)*(1-VLOOKUP(D542,'DB technologies'!$N$252:$Y$264,8,FALSE)/100)*'Calc (ex-housing, ex-storage)'!F542/100))/VLOOKUP($C$541,'DB animal categories'!$C$191:$AC$200,27,FALSE)*AJ542+M542+N542+O542,IF(AI542=1,('Calc (ex-animal)'!$H$102*(1-'DB additional information '!$L$21/100)*(1-VLOOKUP(D542,'DB technologies'!$N$252:$Y$264,8,FALSE)/100)*'Calc (ex-housing, ex-storage)'!F542/100)/VLOOKUP($C$541,'DB animal categories'!$C$191:$AC$200,27,FALSE)*AJ542,IF(AI542=4,('Calc (ex-animal)'!$G$102*(1-'DB additional information '!$K$21/100)+'Calc (ex-animal)'!$H$102*(1-'DB additional information '!$L$21/100))*(1-VLOOKUP(D542,'DB technologies'!$N$252:$Y$264,8,FALSE)/100)*'Calc (ex-housing, ex-storage)'!F542/100*VLOOKUP(D542,'DB technologies'!$N$252:$Y$264,11,FALSE)/100/VLOOKUP($C$541,'DB animal categories'!$C$191:$AC$200,27,FALSE)*AJ542,0))))</f>
        <v/>
      </c>
      <c r="AN542" s="442" t="str">
        <f>IF(AI542="","",IF(AL542=0,0,AL542/AK542*100))</f>
        <v/>
      </c>
      <c r="AO542" s="182" t="str">
        <f>IF(D542="","",IF(AI542=2,(('Calc (ex-animal)'!$L$102*'Calc (ex-housing, ex-storage)'!F542/100+'Calc (ex-animal)'!$K$102*'Calc (ex-housing, ex-storage)'!F542/100))/VLOOKUP($C$541,'DB animal categories'!$C$191:$AC$200,27,FALSE)*AJ542+Q542+R542+S542-AC542,IF(AI542=1,('Calc (ex-animal)'!$L$102*'Calc (ex-housing, ex-storage)'!F542/100)/VLOOKUP($C$541,'DB animal categories'!$C$191:$AC$200,27,FALSE)*AJ542-'Calc (ex-housing, ex-storage)'!AC542,IF(AI542=4,('Calc (ex-animal)'!$L$102+'Calc (ex-animal)'!$K$102)*'Calc (ex-housing, ex-storage)'!F542/100*VLOOKUP(D542,'DB technologies'!$N$252:$Y$264,11,FALSE)/100/VLOOKUP($C$541,'DB animal categories'!$C$191:$AC$200,27,FALSE)*AJ542-AC542*VLOOKUP(D542,'DB technologies'!$N$252:$Y$264,11,FALSE)/100,0))))</f>
        <v/>
      </c>
      <c r="AP542" s="182" t="str">
        <f>IF(D542="","",IF(AO542&lt;-0.01,0,IF(AI542=2,(('Calc (ex-animal)'!$L$102*'Calc (ex-housing, ex-storage)'!F542/100+'Calc (ex-animal)'!$K$102*'Calc (ex-housing, ex-storage)'!F542/100))/VLOOKUP($C$541,'DB animal categories'!$C$191:$AC$200,27,FALSE)*AJ542+Q542+R542+S542-AC542,IF(AI542=1,('Calc (ex-animal)'!$L$102*'Calc (ex-housing, ex-storage)'!F542/100)/VLOOKUP($C$541,'DB animal categories'!$C$191:$AC$200,27,FALSE)*AJ542-'Calc (ex-housing, ex-storage)'!AC542,IF(AI542=4,('Calc (ex-animal)'!$L$102+'Calc (ex-animal)'!$K$102)*'Calc (ex-housing, ex-storage)'!F542/100*VLOOKUP(D542,'DB technologies'!$N$252:$Y$264,11,FALSE)/100/VLOOKUP($C$541,'DB animal categories'!$C$191:$AC$200,27,FALSE)*AJ542-AC542*VLOOKUP(D542,'DB technologies'!$N$252:$Y$264,11,FALSE)/100,0)))))</f>
        <v/>
      </c>
      <c r="AQ542" s="182" t="str">
        <f>IF(D542="","",IF(AI542=2,('Calc (ex-animal)'!$O$102*'Calc (ex-housing, ex-storage)'!F542/100+'Calc (ex-animal)'!$N$102*'Calc (ex-housing, ex-storage)'!F542/100)/VLOOKUP($C$541,'DB animal categories'!$C$191:$AC$200,27,FALSE)*AJ542+U542+V542+W542,IF(AI542=1,'Calc (ex-animal)'!$O$102*'Calc (ex-housing, ex-storage)'!F542/100/VLOOKUP($C$541,'DB animal categories'!$C$191:$AC$200,27,FALSE)*AJ542,IF(AI542=4,('Calc (ex-animal)'!$O$102+'Calc (ex-animal)'!$N$102)*'Calc (ex-housing, ex-storage)'!F542/100*VLOOKUP(D542,'DB technologies'!$N$252:$Y$264,11,FALSE)/100/VLOOKUP($C$541,'DB animal categories'!$C$191:$AC$200,27,FALSE)*AJ542,0))))</f>
        <v/>
      </c>
      <c r="AR542" s="182" t="str">
        <f>IF(D542="","",IF(AI542=2,('Calc (ex-animal)'!$R$102*'Calc (ex-housing, ex-storage)'!F542/100+'Calc (ex-animal)'!$Q$102*'Calc (ex-housing, ex-storage)'!F542/100)/VLOOKUP($C$541,'DB animal categories'!$C$191:$AC$200,27,FALSE)*AJ542+Y542+Z542+AA542,IF(AI542=1,'Calc (ex-animal)'!$R$102*'Calc (ex-housing, ex-storage)'!F542/100/VLOOKUP($C$541,'DB animal categories'!$C$191:$AC$200,27,FALSE)*AJ542,IF(AI542=4,('Calc (ex-animal)'!$R$102+'Calc (ex-animal)'!$Q$102)*'Calc (ex-housing, ex-storage)'!F542/100*VLOOKUP(D542,'DB technologies'!$N$252:$Y$264,11,FALSE)/100/VLOOKUP($C$541,'DB animal categories'!$C$191:$AC$200,27,FALSE)*AJ542,0))))</f>
        <v/>
      </c>
      <c r="AS542" s="181" t="str">
        <f>IF(D542="","",VLOOKUP(D542,'DB technologies'!$N$252:$Y$264,10,FALSE))</f>
        <v/>
      </c>
      <c r="AT542" s="442" t="str">
        <f>IF(AS542="","",AU542+AV542)</f>
        <v/>
      </c>
      <c r="AU542" s="442" t="str">
        <f>IF(D542="","",IF(AS542=2,0,IF(AS542=1,'Calc (ex-animal)'!$G$102*'DB additional information '!$K$21/100*(1-VLOOKUP(D542,'DB technologies'!$N$252:$Y$264,8,FALSE)/100)*'Calc (ex-housing, ex-storage)'!F542/100/VLOOKUP($C$541,'DB animal categories'!$C$191:$AC$200,27,FALSE)*AJ542+I542+J542+K542,IF(AS542=5,(('Calc (ex-animal)'!$G$102*'DB additional information '!$K$21/100+'Calc (ex-animal)'!$H$102*'DB additional information '!$L$21/100))*(1-VLOOKUP(D542,'DB technologies'!$N$252:$Y$264,9,FALSE)/100)*'Calc (ex-housing, ex-storage)'!F542/100/VLOOKUP($C$541,'DB animal categories'!$C$191:$AC$200,27,FALSE)*AJ542+I542+J542+K542,IF(AS542=3,('Calc (ex-animal)'!$G$102*'DB additional information '!$K$21/100+'Calc (ex-animal)'!$H$102*'DB additional information '!$L$21/100)*(1-VLOOKUP(D542,'DB technologies'!$N$252:$Y$264,9,FALSE)/100)*'Calc (ex-housing, ex-storage)'!F542/100/VLOOKUP($C$541,'DB animal categories'!$C$191:$AC$200,27,FALSE)*AJ542+I542+J542+K542,IF(AS542=4,('Calc (ex-animal)'!$G$102*'DB additional information '!$K$21/100+'Calc (ex-animal)'!$H$102*'DB additional information '!$L$21/100)*(1-VLOOKUP(D542,'DB technologies'!$N$252:$Y$264,9,FALSE)/100)*'Calc (ex-housing, ex-storage)'!F542/100*VLOOKUP(D542,'DB technologies'!$N$252:$Y$264,12,FALSE)/100/VLOOKUP($C$541,'DB animal categories'!$C$191:$AC$200,27,FALSE)*AJ542+I542+J542+K542,0))))))</f>
        <v/>
      </c>
      <c r="AV542" s="442" t="str">
        <f>IF(D542="","",IF(AS542=2,0,IF(AS542=1,'Calc (ex-animal)'!$G$102*(1-'DB additional information '!$K$21/100)*(1-VLOOKUP(D542,'DB technologies'!$N$252:$Y$264,8,FALSE)/100)*'Calc (ex-housing, ex-storage)'!F542/100/VLOOKUP($C$541,'DB animal categories'!$C$191:$AC$200,27,FALSE)*AJ542+M542+N542+O542,IF(AS542=5,('Calc (ex-animal)'!$G$102*(1-'DB additional information '!$K$21/100)+'Calc (ex-animal)'!$H$102*(1-'DB additional information '!$L$21/100))*(1-VLOOKUP(D542,'DB technologies'!$N$252:$Y$264,8,FALSE)/100)*'Calc (ex-housing, ex-storage)'!F542/100/VLOOKUP($C$541,'DB animal categories'!$C$191:$AC$200,27,FALSE)*AJ542+M542+N542+O542,IF(AS542=3,('Calc (ex-animal)'!$G$102*(1-'DB additional information '!$K$21/100)+'Calc (ex-animal)'!$H$102*(1-'DB additional information '!$L$21/100))*(1-VLOOKUP(D542,'DB technologies'!$N$252:$Y$264,8,FALSE)/100)*'Calc (ex-housing, ex-storage)'!F542/100/VLOOKUP($C$541,'DB animal categories'!$C$191:$AC$200,27,FALSE)*AJ542+M542+N542+O542,IF(AS542=4,('Calc (ex-animal)'!$G$102*(1-'DB additional information '!$K$21/100)+'Calc (ex-animal)'!$H$102*(1-'DB additional information '!$L$21/100))*(1-VLOOKUP(D542,'DB technologies'!$N$252:$Y$264,8,FALSE)/100)*'Calc (ex-housing, ex-storage)'!F542/100*VLOOKUP(D542,'DB technologies'!$N$252:$Y$264,12,FALSE)/100/VLOOKUP($C$541,'DB animal categories'!$C$191:$AC$200,27,FALSE)*AJ542+M542+N542+O542,0))))))</f>
        <v/>
      </c>
      <c r="AW542" s="442" t="str">
        <f>IF(AS542="","",IF(AU542=0,0,AU542/AT542*100))</f>
        <v/>
      </c>
      <c r="AX542" s="182" t="str">
        <f>IF(D542="","",IF(AS542=2,0,IF(AS542=1,'Calc (ex-animal)'!$K$102*'Calc (ex-housing, ex-storage)'!F542/100/VLOOKUP($C$541,'DB animal categories'!$C$191:$AC$200,27,FALSE)*AJ542+Q542+R542+S542,IF(AS542=5,('Calc (ex-animal)'!$K$102+'Calc (ex-animal)'!$L$102)*'Calc (ex-housing, ex-storage)'!F542/100/VLOOKUP($C$541,'DB animal categories'!$C$191:$AC$200,27,FALSE)*AJ542+Q542+R542+S542-'Calc (ex-housing, ex-storage)'!AC542,IF(AS542=3,('Calc (ex-animal)'!$K$102+'Calc (ex-animal)'!$L$102)*'Calc (ex-housing, ex-storage)'!F542/100/VLOOKUP($C$541,'DB animal categories'!$C$191:$AC$200,27,FALSE)*AJ542+Q542+R542+S542-'Calc (ex-housing, ex-storage)'!AC542-AD542-AE542,IF(AI542=4,('Calc (ex-animal)'!$K$102+'Calc (ex-animal)'!$L$102)*'Calc (ex-housing, ex-storage)'!F542/100*VLOOKUP(D542,'DB technologies'!$N$252:$Y$264,12,FALSE)/100/VLOOKUP($C$541,'DB animal categories'!$C$191:$AC$200,27,FALSE)*AJ542+Q542+R542+S542-(VLOOKUP(D542,'DB technologies'!$N$252:$Y$264,12,FALSE)/100*AC542)-AD542-AE542,0))))))</f>
        <v/>
      </c>
      <c r="AY542" s="182" t="str">
        <f>IF(D542="","",IF(AS542=2,0,IF(AS542=1,'Calc (ex-animal)'!$N$102*'Calc (ex-housing, ex-storage)'!F542/100/VLOOKUP($C$541,'DB animal categories'!$C$191:$AC$200,27,FALSE)*AJ542+U542+V542+W542,IF(AS542=5,('Calc (ex-animal)'!$N$102+'Calc (ex-animal)'!$O$102)*'Calc (ex-housing, ex-storage)'!F542/100/VLOOKUP($C$541,'DB animal categories'!$C$191:$AC$200,27,FALSE)*AJ542+U542+V542+W542,IF(AS542=3,('Calc (ex-animal)'!$N$102+'Calc (ex-animal)'!$O$102)*'Calc (ex-housing, ex-storage)'!F542/100/VLOOKUP($C$541,'DB animal categories'!$C$191:$AC$200,27,FALSE)*AJ542+U542+V542+W542,IF(AS542=4,('Calc (ex-animal)'!$N$102+'Calc (ex-animal)'!$O$102)*'Calc (ex-housing, ex-storage)'!F542/100*VLOOKUP(D542,'DB technologies'!$N$252:$Y$264,12,FALSE)/100/VLOOKUP($C$541,'DB animal categories'!$C$191:$AC$200,27,FALSE)*AJ542+U542+V542+W542,0))))))</f>
        <v/>
      </c>
      <c r="AZ542" s="182" t="str">
        <f>IF(D542="","",IF(AS542=2,0,IF(AS542=1,'Calc (ex-animal)'!$Q$102*'Calc (ex-housing, ex-storage)'!F542/100/VLOOKUP($C$541,'DB animal categories'!$C$191:$AC$200,27,FALSE)*AJ542+Y542+Z542+AA542,IF(AS542=5,('Calc (ex-animal)'!$Q$102+'Calc (ex-animal)'!$R$102)*'Calc (ex-housing, ex-storage)'!F542/100/VLOOKUP($C$541,'DB animal categories'!$C$191:$AC$200,27,FALSE)*AJ542+Y542+Z542+AA542,IF(AS542=3,('Calc (ex-animal)'!$Q$102+'Calc (ex-animal)'!$R$102)*'Calc (ex-housing, ex-storage)'!F542/100/VLOOKUP($C$541,'DB animal categories'!$C$191:$AC$200,27,FALSE)*AJ542+Y542+Z542+AA542,IF(AS542=4,('Calc (ex-animal)'!$Q$102+'Calc (ex-animal)'!$R$102)*'Calc (ex-housing, ex-storage)'!F542/100*VLOOKUP(D542,'DB technologies'!$N$252:$Y$264,12,FALSE)/100/VLOOKUP($C$541,'DB animal categories'!$C$191:$AC$200,27,FALSE)*AJ542+Y542+Z542+AA542,0))))))</f>
        <v/>
      </c>
      <c r="BA542" s="506"/>
      <c r="BB542" s="506"/>
      <c r="BC542" s="506"/>
    </row>
    <row r="543" spans="1:55" x14ac:dyDescent="0.2">
      <c r="A543" s="748"/>
      <c r="B543" s="695"/>
      <c r="C543" s="251"/>
      <c r="D543" s="1357"/>
      <c r="E543" s="1358"/>
      <c r="F543" s="480" t="str">
        <f>IF('Calc (ex-animal)'!$F$98=1,"",IF($C$541=0,"",IF(D543="","",E543/'Calc (ex-animal)'!$E$102*100)))</f>
        <v/>
      </c>
      <c r="G543" s="485" t="str">
        <f>IF($C$541=0,"",IF('Calc (ex-animal)'!$F$98=1,"",IF(D543="","",SUM(H543:O543))))</f>
        <v/>
      </c>
      <c r="H543" s="423" t="str">
        <f>IF('Calc (ex-animal)'!$F$98=1,"",IF(D543="","",(((VLOOKUP($C$541,'Calc (ex-animal)'!$D$98:$Y$102,6,FALSE)-VLOOKUP($C$541,'Calc (ex-animal)'!$D$98:$Y$102,17,FALSE))*F543/100))*VLOOKUP($C$541,'Calc (ex-animal)'!$D$98:$Y$102,7,FALSE)/100*(1-VLOOKUP(D543,'DB technologies'!$N$252:$Y$264,9,FALSE)/100)))</f>
        <v/>
      </c>
      <c r="I543" s="423" t="str">
        <f>IF(D543="","",((VLOOKUP(D543,'DB technologies'!$N$252:$Y$264,2,FALSE)*VLOOKUP($C$541,'DB animal categories'!$C$191:$AC$200,27,FALSE)*E543/1000)/VLOOKUP($C$541,'DB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'!$S$6/100*(1-VLOOKUP(D543,'DB technologies'!$N$252:$Y$264,9,FALSE)/100)))</f>
        <v/>
      </c>
      <c r="J543" s="434" t="str">
        <f>IF(D543="","",((VLOOKUP(D543,'DB technologies'!$N$252:$Y$264,3,FALSE)*VLOOKUP($C$541,'DB animal categories'!$C$191:$AC$200,27,FALSE)*E543/1000)/VLOOKUP($C$541,'DB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'!$S$7/100*(1-VLOOKUP(D543,'DB technologies'!$N$252:$Y$264,9,FALSE)/100)))</f>
        <v/>
      </c>
      <c r="K543" s="434" t="str">
        <f>IF(D543="","",((VLOOKUP(D543,'DB technologies'!$N$252:$Y$264,4,FALSE)*E543*'DB additional information '!$S$8/100*(1-VLOOKUP(D543,'DB technologies'!$N$252:$Y$264,9,FALSE)/100))/VLOOKUP($C$541,'DB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L543" s="423" t="str">
        <f>IF('Calc (ex-animal)'!$F$98=1,"",IF(D543="","",(((VLOOKUP($C$541,'Calc (ex-animal)'!$D$98:$Y$102,6,FALSE)-VLOOKUP($C$541,'Calc (ex-animal)'!$D$98:$Y$102,17,FALSE))*F543/100))*(1-VLOOKUP($C$541,'Calc (ex-animal)'!$D$98:$Y$102,7,FALSE)/100)*(1-VLOOKUP(D543,'DB technologies'!$N$252:$V$264,8,FALSE)/100)))</f>
        <v/>
      </c>
      <c r="M543" s="434" t="str">
        <f>IF(D543="","",((VLOOKUP(D543,'DB technologies'!$N$252:$Y$264,2,FALSE)*VLOOKUP($C$541,'DB animal categories'!$C$191:$AC$200,27,FALSE)*E543/1000)/VLOOKUP($C$541,'DB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'!$S$6/100)*(1-VLOOKUP(D543,'DB technologies'!$N$252:$Y$264,9,FALSE)/100))</f>
        <v/>
      </c>
      <c r="N543" s="434" t="str">
        <f>IF(D543="","",((VLOOKUP(D543,'DB technologies'!$N$252:$Y$264,3,FALSE)*VLOOKUP($C$541,'DB animal categories'!$C$191:$AC$200,27,FALSE)*E543/1000)/VLOOKUP($C$541,'DB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'!$S$7/100)*(1-VLOOKUP(D543,'DB technologies'!$N$252:$Y$264,9,FALSE)/100))</f>
        <v/>
      </c>
      <c r="O543" s="423" t="str">
        <f>IF(D543="","",((VLOOKUP(D543,'DB technologies'!$N$252:$Y$264,4,FALSE)*E543*(1-'DB additional information '!$S$8/100)*(1-VLOOKUP(D543,'DB technologies'!$N$252:$Y$264,8,FALSE)/100))/VLOOKUP($C$541,'DB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P543" s="438" t="str">
        <f>IF(G543=0,0,IF(E543="","",IF(F543="","",IF($C$541=0,"",IF(D543="","",SUM(H543:K543)/G543*100)))))</f>
        <v/>
      </c>
      <c r="Q543" s="416" t="str">
        <f>IF(D543="","",(VLOOKUP(D543,'DB technologies'!$N$252:$Y$264,2,FALSE)*'DB additional information '!$S$6/100*'DB additional information '!$T$6*VLOOKUP($C$541,'DB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R543" s="416" t="str">
        <f>IF(D543="","",(VLOOKUP(D543,'DB technologies'!$N$252:$Y$264,3,FALSE)*'DB additional information '!$S$7/100*'DB additional information '!$T$7*VLOOKUP($C$541,'DB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S543" s="491" t="str">
        <f>IF(D543="","",(VLOOKUP(D543,'DB technologies'!$N$252:$Y$264,4,FALSE)*('DB additional information '!$S$8/100*'DB additional information '!$T$8*E543/1000/1000)))</f>
        <v/>
      </c>
      <c r="T543" s="264" t="str">
        <f>IF($C$541=0,"",IF('Calc (ex-animal)'!$F$98=1,"",IF(D543="","",((VLOOKUP($C$541,'Calc (ex-animal)'!$D$98:$Y$102,10,FALSE)-VLOOKUP($C$541,'Calc (ex-animal)'!$D$98:$Y$102,18,FALSE))*F543/100+Q543+R543+S543)-AC543-AD543-AE543)))</f>
        <v/>
      </c>
      <c r="U543" s="422" t="str">
        <f>IF(D543="","",(VLOOKUP(D543,'DB technologies'!$N$252:$Y$264,2,FALSE)*'DB additional information '!$S$6/100*'DB additional information '!$U$6*VLOOKUP($C$541,'DB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V543" s="418" t="str">
        <f>IF(D543="","",(VLOOKUP(D543,'DB technologies'!$N$252:$Y$264,3,FALSE)*'DB additional information '!$S$7/100*'DB additional information '!$U$7*VLOOKUP($C$541,'DB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W543" s="417" t="str">
        <f>IF(D543="","",(VLOOKUP(D543,'DB technologies'!$N$252:$Y$264,4,FALSE)*('DB additional information '!$S$8/100*'DB additional information '!$U$8*E543/1000/1000)))</f>
        <v/>
      </c>
      <c r="X543" s="261" t="str">
        <f>IF($C$541=0,"",IF('Calc (ex-animal)'!$F$98=1,"",IF(D543="","",((VLOOKUP($C$541,'Calc (ex-animal)'!$D$98:$Y$102,13,FALSE)-VLOOKUP($C$541,'Calc (ex-animal)'!$D$98:$Y$102,19,FALSE))*F543/100+U543+V543+W543))))</f>
        <v/>
      </c>
      <c r="Y543" s="418" t="str">
        <f>IF(D543="","",(VLOOKUP(D543,'DB technologies'!$N$252:$Y$264,2,FALSE)*'DB additional information '!$S$6/100*'DB additional information '!$V$6*VLOOKUP($C$541,'DB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Z543" s="418" t="str">
        <f>IF(D543="","",(VLOOKUP(D543,'DB technologies'!$N$252:$Y$264,3,FALSE)*'DB additional information '!$S$7/100*'DB additional information '!$V$7*VLOOKUP($C$541,'DB animal categories'!$C$191:$AC$200,27,FALSE)*E543/1000/1000)/VLOOKUP($C$541,'DB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AA543" s="418" t="str">
        <f>IF(D543="","",(VLOOKUP(D543,'DB technologies'!$N$252:$Y$264,4,FALSE)*('DB additional information '!$S$8/100*'DB additional information '!$V$8*E543/1000/1000)))</f>
        <v/>
      </c>
      <c r="AB543" s="261" t="str">
        <f>IF($C$541=0,"",IF('Calc (ex-animal)'!$F$98=1,"",IF(D543="","",((VLOOKUP($C$541,'Calc (ex-animal)'!$D$98:$Y$102,16,FALSE)-VLOOKUP($C$541,'Calc (ex-animal)'!$D$98:$Y$102,20,FALSE))*F543/100+Y543+Z543+AA543))))</f>
        <v/>
      </c>
      <c r="AC543" s="261" t="str">
        <f>IF($C$541=0,"",IF('Calc (ex-animal)'!$F$98=1,"",IF(D543="","",VLOOKUP($C$541,'Calc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categories'!$C$191:$AC$200,26,FALSE)/24)*F543/100*VLOOKUP(D543,'DB technologies'!$N$252:$R$264,5,FALSE)/100)))</f>
        <v/>
      </c>
      <c r="AD543" s="261" t="str">
        <f>IF($C$541=0,"",IF('Calc (ex-animal)'!$F$98=1,"",IF(D543="","",VLOOKUP($C$541,'Calc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categories'!$C$191:$AC$200,26,FALSE)/24)*F543/100*VLOOKUP(D543,'DB technologies'!$N$252:$Y$264,6,FALSE)/100)))</f>
        <v/>
      </c>
      <c r="AE543" s="262" t="str">
        <f>IF($C$541=0,"",IF('Calc (ex-animal)'!$F$98=1,"",IF(D543="","",VLOOKUP($C$541,'Calc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categories'!$C$191:$AC$200,26,FALSE)/24)*F543/100*VLOOKUP(D543,'DB technologies'!$N$252:$Y$264,7,FALSE)/100)))</f>
        <v/>
      </c>
      <c r="AI543" s="181" t="str">
        <f>IF(D543="","",VLOOKUP(D543,'DB technologies'!$N$252:$Y$264,10,FALSE))</f>
        <v/>
      </c>
      <c r="AJ543" s="449" t="e">
        <f>VLOOKUP($C$541,'DB animal categories'!$C$191:$AN$200,27,FALSE)-VLOOKUP($C$541,'DB animal categories'!$C$191:$AN$200,26,FALSE)*VLOOKUP($C$541,'DB animal categories'!$C$191:$AN$200,25,FALSE)/24</f>
        <v>#N/A</v>
      </c>
      <c r="AK543" s="442" t="str">
        <f>IF(AI543="","",AL543+AM543)</f>
        <v/>
      </c>
      <c r="AL543" s="442" t="str">
        <f>IF(D543="","",IF(AI543=2,(('Calc (ex-animal)'!$G$102*'DB additional information '!$K$21/100*(1-VLOOKUP(D543,'DB technologies'!$N$252:$Y$264,9,FALSE)/100)*'Calc (ex-housing, ex-storage)'!F543/100+'Calc (ex-animal)'!$H$102*'DB additional information '!$L$21/100*(1-VLOOKUP(D543,'DB technologies'!$N$252:$Y$264,9,FALSE)/100)*'Calc (ex-housing, ex-storage)'!F543/100))/VLOOKUP($C$541,'DB animal categories'!$C$191:$AC$200,27,FALSE)*AJ543+I543+J543+K543,IF(AI543=1,('Calc (ex-animal)'!$H$102*'DB additional information '!$L$21/100*(1-VLOOKUP(D543,'DB technologies'!$N$252:$Y$264,9,FALSE)/100)*'Calc (ex-housing, ex-storage)'!F543/100)/VLOOKUP($C$541,'DB animal categories'!$C$191:$AC$200,27,FALSE)*AJ543,IF(AI543=4,('Calc (ex-animal)'!$G$102*'DB additional information '!$K$21/100+'Calc (ex-animal)'!$H$102*'DB additional information '!$L$21/100)*(1-VLOOKUP(D543,'DB technologies'!$N$252:$Y$264,9,FALSE)/100)*'Calc (ex-housing, ex-storage)'!F543/100*VLOOKUP(D543,'DB technologies'!$N$252:$Y$264,11,FALSE)/100/VLOOKUP($C$541,'DB animal categories'!$C$191:$AC$200,27,FALSE)*AJ543,0))))</f>
        <v/>
      </c>
      <c r="AM543" s="442" t="str">
        <f>IF(D543="","",IF(AI543=2,(('Calc (ex-animal)'!$G$102*(1-'DB additional information '!$K$21/100)*(1-VLOOKUP(D543,'DB technologies'!$N$252:$Y$264,8,FALSE)/100)*'Calc (ex-housing, ex-storage)'!F543/100+'Calc (ex-animal)'!$H$102*(1-'DB additional information '!$L$21/100)*(1-VLOOKUP(D543,'DB technologies'!$N$252:$Y$264,8,FALSE)/100)*'Calc (ex-housing, ex-storage)'!F543/100))/VLOOKUP($C$541,'DB animal categories'!$C$191:$AC$200,27,FALSE)*AJ543+M543+N543+O543,IF(AI543=1,('Calc (ex-animal)'!$H$102*(1-'DB additional information '!$L$21/100)*(1-VLOOKUP(D543,'DB technologies'!$N$252:$Y$264,8,FALSE)/100)*'Calc (ex-housing, ex-storage)'!F543/100)/VLOOKUP($C$541,'DB animal categories'!$C$191:$AC$200,27,FALSE)*AJ543,IF(AI543=4,('Calc (ex-animal)'!$G$102*(1-'DB additional information '!$K$21/100)+'Calc (ex-animal)'!$H$102*(1-'DB additional information '!$L$21/100))*(1-VLOOKUP(D543,'DB technologies'!$N$252:$Y$264,8,FALSE)/100)*'Calc (ex-housing, ex-storage)'!F543/100*VLOOKUP(D543,'DB technologies'!$N$252:$Y$264,11,FALSE)/100/VLOOKUP($C$541,'DB animal categories'!$C$191:$AC$200,27,FALSE)*AJ543,0))))</f>
        <v/>
      </c>
      <c r="AN543" s="442" t="str">
        <f>IF(AI543="","",IF(AL543=0,0,AL543/AK543*100))</f>
        <v/>
      </c>
      <c r="AO543" s="182" t="str">
        <f>IF(D543="","",IF(AI543=2,(('Calc (ex-animal)'!$L$102*'Calc (ex-housing, ex-storage)'!F543/100+'Calc (ex-animal)'!$K$102*'Calc (ex-housing, ex-storage)'!F543/100))/VLOOKUP($C$541,'DB animal categories'!$C$191:$AC$200,27,FALSE)*AJ543+Q543+R543+S543-AC543,IF(AI543=1,('Calc (ex-animal)'!$L$102*'Calc (ex-housing, ex-storage)'!F543/100)/VLOOKUP($C$541,'DB animal categories'!$C$191:$AC$200,27,FALSE)*AJ543-'Calc (ex-housing, ex-storage)'!AC543,IF(AI543=4,('Calc (ex-animal)'!$L$102+'Calc (ex-animal)'!$K$102)*'Calc (ex-housing, ex-storage)'!F543/100*VLOOKUP(D543,'DB technologies'!$N$252:$Y$264,11,FALSE)/100/VLOOKUP($C$541,'DB animal categories'!$C$191:$AC$200,27,FALSE)*AJ543-AC543*VLOOKUP(D543,'DB technologies'!$N$252:$Y$264,11,FALSE)/100,0))))</f>
        <v/>
      </c>
      <c r="AP543" s="182" t="str">
        <f>IF(D543="","",IF(AO543&lt;-0.01,0,IF(AI543=2,(('Calc (ex-animal)'!$L$102*'Calc (ex-housing, ex-storage)'!F543/100+'Calc (ex-animal)'!$K$102*'Calc (ex-housing, ex-storage)'!F543/100))/VLOOKUP($C$541,'DB animal categories'!$C$191:$AC$200,27,FALSE)*AJ543+Q543+R543+S543-AC543,IF(AI543=1,('Calc (ex-animal)'!$L$102*'Calc (ex-housing, ex-storage)'!F543/100)/VLOOKUP($C$541,'DB animal categories'!$C$191:$AC$200,27,FALSE)*AJ543-'Calc (ex-housing, ex-storage)'!AC543,IF(AI543=4,('Calc (ex-animal)'!$L$102+'Calc (ex-animal)'!$K$102)*'Calc (ex-housing, ex-storage)'!F543/100*VLOOKUP(D543,'DB technologies'!$N$252:$Y$264,11,FALSE)/100/VLOOKUP($C$541,'DB animal categories'!$C$191:$AC$200,27,FALSE)*AJ543-AC543*VLOOKUP(D543,'DB technologies'!$N$252:$Y$264,11,FALSE)/100,0)))))</f>
        <v/>
      </c>
      <c r="AQ543" s="182" t="str">
        <f>IF(D543="","",IF(AI543=2,('Calc (ex-animal)'!$O$102*'Calc (ex-housing, ex-storage)'!F543/100+'Calc (ex-animal)'!$N$102*'Calc (ex-housing, ex-storage)'!F543/100)/VLOOKUP($C$541,'DB animal categories'!$C$191:$AC$200,27,FALSE)*AJ543+U543+V543+W543,IF(AI543=1,'Calc (ex-animal)'!$O$102*'Calc (ex-housing, ex-storage)'!F543/100/VLOOKUP($C$541,'DB animal categories'!$C$191:$AC$200,27,FALSE)*AJ543,IF(AI543=4,('Calc (ex-animal)'!$O$102+'Calc (ex-animal)'!$N$102)*'Calc (ex-housing, ex-storage)'!F543/100*VLOOKUP(D543,'DB technologies'!$N$252:$Y$264,11,FALSE)/100/VLOOKUP($C$541,'DB animal categories'!$C$191:$AC$200,27,FALSE)*AJ543,0))))</f>
        <v/>
      </c>
      <c r="AR543" s="182" t="str">
        <f>IF(D543="","",IF(AI543=2,('Calc (ex-animal)'!$R$102*'Calc (ex-housing, ex-storage)'!F543/100+'Calc (ex-animal)'!$Q$102*'Calc (ex-housing, ex-storage)'!F543/100)/VLOOKUP($C$541,'DB animal categories'!$C$191:$AC$200,27,FALSE)*AJ543+Y543+Z543+AA543,IF(AI543=1,'Calc (ex-animal)'!$R$102*'Calc (ex-housing, ex-storage)'!F543/100/VLOOKUP($C$541,'DB animal categories'!$C$191:$AC$200,27,FALSE)*AJ543,IF(AI543=4,('Calc (ex-animal)'!$R$102+'Calc (ex-animal)'!$Q$102)*'Calc (ex-housing, ex-storage)'!F543/100*VLOOKUP(D543,'DB technologies'!$N$252:$Y$264,11,FALSE)/100/VLOOKUP($C$541,'DB animal categories'!$C$191:$AC$200,27,FALSE)*AJ543,0))))</f>
        <v/>
      </c>
      <c r="AS543" s="181" t="str">
        <f>IF(D543="","",VLOOKUP(D543,'DB technologies'!$N$252:$Y$264,10,FALSE))</f>
        <v/>
      </c>
      <c r="AT543" s="442" t="str">
        <f>IF(AS543="","",AU543+AV543)</f>
        <v/>
      </c>
      <c r="AU543" s="442" t="str">
        <f>IF(D543="","",IF(AS543=2,0,IF(AS543=1,'Calc (ex-animal)'!$G$102*'DB additional information '!$K$21/100*(1-VLOOKUP(D543,'DB technologies'!$N$252:$Y$264,8,FALSE)/100)*'Calc (ex-housing, ex-storage)'!F543/100/VLOOKUP($C$541,'DB animal categories'!$C$191:$AC$200,27,FALSE)*AJ543+I543+J543+K543,IF(AS543=5,(('Calc (ex-animal)'!$G$102*'DB additional information '!$K$21/100+'Calc (ex-animal)'!$H$102*'DB additional information '!$L$21/100))*(1-VLOOKUP(D543,'DB technologies'!$N$252:$Y$264,9,FALSE)/100)*'Calc (ex-housing, ex-storage)'!F543/100/VLOOKUP($C$541,'DB animal categories'!$C$191:$AC$200,27,FALSE)*AJ543+I543+J543+K543,IF(AS543=3,('Calc (ex-animal)'!$G$102*'DB additional information '!$K$21/100+'Calc (ex-animal)'!$H$102*'DB additional information '!$L$21/100)*(1-VLOOKUP(D543,'DB technologies'!$N$252:$Y$264,9,FALSE)/100)*'Calc (ex-housing, ex-storage)'!F543/100/VLOOKUP($C$541,'DB animal categories'!$C$191:$AC$200,27,FALSE)*AJ543+I543+J543+K543,IF(AS543=4,('Calc (ex-animal)'!$G$102*'DB additional information '!$K$21/100+'Calc (ex-animal)'!$H$102*'DB additional information '!$L$21/100)*(1-VLOOKUP(D543,'DB technologies'!$N$252:$Y$264,9,FALSE)/100)*'Calc (ex-housing, ex-storage)'!F543/100*VLOOKUP(D543,'DB technologies'!$N$252:$Y$264,12,FALSE)/100/VLOOKUP($C$541,'DB animal categories'!$C$191:$AC$200,27,FALSE)*AJ543+I543+J543+K543,0))))))</f>
        <v/>
      </c>
      <c r="AV543" s="442" t="str">
        <f>IF(D543="","",IF(AS543=2,0,IF(AS543=1,'Calc (ex-animal)'!$G$102*(1-'DB additional information '!$K$21/100)*(1-VLOOKUP(D543,'DB technologies'!$N$252:$Y$264,8,FALSE)/100)*'Calc (ex-housing, ex-storage)'!F543/100/VLOOKUP($C$541,'DB animal categories'!$C$191:$AC$200,27,FALSE)*AJ543+M543+N543+O543,IF(AS543=5,('Calc (ex-animal)'!$G$102*(1-'DB additional information '!$K$21/100)+'Calc (ex-animal)'!$H$102*(1-'DB additional information '!$L$21/100))*(1-VLOOKUP(D543,'DB technologies'!$N$252:$Y$264,8,FALSE)/100)*'Calc (ex-housing, ex-storage)'!F543/100/VLOOKUP($C$541,'DB animal categories'!$C$191:$AC$200,27,FALSE)*AJ543+M543+N543+O543,IF(AS543=3,('Calc (ex-animal)'!$G$102*(1-'DB additional information '!$K$21/100)+'Calc (ex-animal)'!$H$102*(1-'DB additional information '!$L$21/100))*(1-VLOOKUP(D543,'DB technologies'!$N$252:$Y$264,8,FALSE)/100)*'Calc (ex-housing, ex-storage)'!F543/100/VLOOKUP($C$541,'DB animal categories'!$C$191:$AC$200,27,FALSE)*AJ543+M543+N543+O543,IF(AS543=4,('Calc (ex-animal)'!$G$102*(1-'DB additional information '!$K$21/100)+'Calc (ex-animal)'!$H$102*(1-'DB additional information '!$L$21/100))*(1-VLOOKUP(D543,'DB technologies'!$N$252:$Y$264,8,FALSE)/100)*'Calc (ex-housing, ex-storage)'!F543/100*VLOOKUP(D543,'DB technologies'!$N$252:$Y$264,12,FALSE)/100/VLOOKUP($C$541,'DB animal categories'!$C$191:$AC$200,27,FALSE)*AJ543+M543+N543+O543,0))))))</f>
        <v/>
      </c>
      <c r="AW543" s="442" t="str">
        <f>IF(AS543="","",IF(AU543=0,0,AU543/AT543*100))</f>
        <v/>
      </c>
      <c r="AX543" s="182" t="str">
        <f>IF(D543="","",IF(AS543=2,0,IF(AS543=1,'Calc (ex-animal)'!$K$102*'Calc (ex-housing, ex-storage)'!F543/100/VLOOKUP($C$541,'DB animal categories'!$C$191:$AC$200,27,FALSE)*AJ543+Q543+R543+S543,IF(AS543=5,('Calc (ex-animal)'!$K$102+'Calc (ex-animal)'!$L$102)*'Calc (ex-housing, ex-storage)'!F543/100/VLOOKUP($C$541,'DB animal categories'!$C$191:$AC$200,27,FALSE)*AJ543+Q543+R543+S543-'Calc (ex-housing, ex-storage)'!AC543,IF(AS543=3,('Calc (ex-animal)'!$K$102+'Calc (ex-animal)'!$L$102)*'Calc (ex-housing, ex-storage)'!F543/100/VLOOKUP($C$541,'DB animal categories'!$C$191:$AC$200,27,FALSE)*AJ543+Q543+R543+S543-'Calc (ex-housing, ex-storage)'!AC543-AD543-AE543,IF(AI543=4,('Calc (ex-animal)'!$K$102+'Calc (ex-animal)'!$L$102)*'Calc (ex-housing, ex-storage)'!F543/100*VLOOKUP(D543,'DB technologies'!$N$252:$Y$264,12,FALSE)/100/VLOOKUP($C$541,'DB animal categories'!$C$191:$AC$200,27,FALSE)*AJ543+Q543+R543+S543-(VLOOKUP(D543,'DB technologies'!$N$252:$Y$264,12,FALSE)/100*AC543)-AD543-AE543,0))))))</f>
        <v/>
      </c>
      <c r="AY543" s="182" t="str">
        <f>IF(D543="","",IF(AS543=2,0,IF(AS543=1,'Calc (ex-animal)'!$N$102*'Calc (ex-housing, ex-storage)'!F543/100/VLOOKUP($C$541,'DB animal categories'!$C$191:$AC$200,27,FALSE)*AJ543+U543+V543+W543,IF(AS543=5,('Calc (ex-animal)'!$N$102+'Calc (ex-animal)'!$O$102)*'Calc (ex-housing, ex-storage)'!F543/100/VLOOKUP($C$541,'DB animal categories'!$C$191:$AC$200,27,FALSE)*AJ543+U543+V543+W543,IF(AS543=3,('Calc (ex-animal)'!$N$102+'Calc (ex-animal)'!$O$102)*'Calc (ex-housing, ex-storage)'!F543/100/VLOOKUP($C$541,'DB animal categories'!$C$191:$AC$200,27,FALSE)*AJ543+U543+V543+W543,IF(AS543=4,('Calc (ex-animal)'!$N$102+'Calc (ex-animal)'!$O$102)*'Calc (ex-housing, ex-storage)'!F543/100*VLOOKUP(D543,'DB technologies'!$N$252:$Y$264,12,FALSE)/100/VLOOKUP($C$541,'DB animal categories'!$C$191:$AC$200,27,FALSE)*AJ543+U543+V543+W543,0))))))</f>
        <v/>
      </c>
      <c r="AZ543" s="182" t="str">
        <f>IF(D543="","",IF(AS543=2,0,IF(AS543=1,'Calc (ex-animal)'!$Q$102*'Calc (ex-housing, ex-storage)'!F543/100/VLOOKUP($C$541,'DB animal categories'!$C$191:$AC$200,27,FALSE)*AJ543+Y543+Z543+AA543,IF(AS543=5,('Calc (ex-animal)'!$Q$102+'Calc (ex-animal)'!$R$102)*'Calc (ex-housing, ex-storage)'!F543/100/VLOOKUP($C$541,'DB animal categories'!$C$191:$AC$200,27,FALSE)*AJ543+Y543+Z543+AA543,IF(AS543=3,('Calc (ex-animal)'!$Q$102+'Calc (ex-animal)'!$R$102)*'Calc (ex-housing, ex-storage)'!F543/100/VLOOKUP($C$541,'DB animal categories'!$C$191:$AC$200,27,FALSE)*AJ543+Y543+Z543+AA543,IF(AS543=4,('Calc (ex-animal)'!$Q$102+'Calc (ex-animal)'!$R$102)*'Calc (ex-housing, ex-storage)'!F543/100*VLOOKUP(D543,'DB technologies'!$N$252:$Y$264,12,FALSE)/100/VLOOKUP($C$541,'DB animal categories'!$C$191:$AC$200,27,FALSE)*AJ543+Y543+Z543+AA543,0))))))</f>
        <v/>
      </c>
      <c r="BA543" s="506"/>
      <c r="BB543" s="506"/>
      <c r="BC543" s="506"/>
    </row>
    <row r="544" spans="1:55" x14ac:dyDescent="0.2">
      <c r="A544" s="748"/>
      <c r="B544" s="695"/>
      <c r="C544" s="251"/>
      <c r="D544" s="1357"/>
      <c r="E544" s="1358"/>
      <c r="F544" s="480" t="str">
        <f>IF('Calc (ex-animal)'!$F$98=1,"",IF($C$541=0,"",IF(D544="","",E544/'Calc (ex-animal)'!$E$102*100)))</f>
        <v/>
      </c>
      <c r="G544" s="485" t="str">
        <f>IF($C$541=0,"",IF('Calc (ex-animal)'!$F$98=1,"",IF(D544="","",SUM(H544:O544))))</f>
        <v/>
      </c>
      <c r="H544" s="423" t="str">
        <f>IF('Calc (ex-animal)'!$F$98=1,"",IF(D544="","",(((VLOOKUP($C$541,'Calc (ex-animal)'!$D$98:$Y$102,6,FALSE)-VLOOKUP($C$541,'Calc (ex-animal)'!$D$98:$Y$102,17,FALSE))*F544/100))*VLOOKUP($C$541,'Calc (ex-animal)'!$D$98:$Y$102,7,FALSE)/100*(1-VLOOKUP(D544,'DB technologies'!$N$252:$Y$264,9,FALSE)/100)))</f>
        <v/>
      </c>
      <c r="I544" s="423" t="str">
        <f>IF(D544="","",((VLOOKUP(D544,'DB technologies'!$N$252:$Y$264,2,FALSE)*VLOOKUP($C$541,'DB animal categories'!$C$191:$AC$200,27,FALSE)*E544/1000)/VLOOKUP($C$541,'DB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'!$S$6/100*(1-VLOOKUP(D544,'DB technologies'!$N$252:$Y$264,9,FALSE)/100)))</f>
        <v/>
      </c>
      <c r="J544" s="434" t="str">
        <f>IF(D544="","",((VLOOKUP(D544,'DB technologies'!$N$252:$Y$264,3,FALSE)*VLOOKUP($C$541,'DB animal categories'!$C$191:$AC$200,27,FALSE)*E544/1000)/VLOOKUP($C$541,'DB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'!$S$7/100*(1-VLOOKUP(D544,'DB technologies'!$N$252:$Y$264,9,FALSE)/100)))</f>
        <v/>
      </c>
      <c r="K544" s="434" t="str">
        <f>IF(D544="","",((VLOOKUP(D544,'DB technologies'!$N$252:$Y$264,4,FALSE)*E544*'DB additional information '!$S$8/100*(1-VLOOKUP(D544,'DB technologies'!$N$252:$Y$264,9,FALSE)/100))/VLOOKUP($C$541,'DB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L544" s="423" t="str">
        <f>IF('Calc (ex-animal)'!$F$98=1,"",IF(D544="","",(((VLOOKUP($C$541,'Calc (ex-animal)'!$D$98:$Y$102,6,FALSE)-VLOOKUP($C$541,'Calc (ex-animal)'!$D$98:$Y$102,17,FALSE))*F544/100))*(1-VLOOKUP($C$541,'Calc (ex-animal)'!$D$98:$Y$102,7,FALSE)/100)*(1-VLOOKUP(D544,'DB technologies'!$N$252:$V$264,8,FALSE)/100)))</f>
        <v/>
      </c>
      <c r="M544" s="434" t="str">
        <f>IF(D544="","",((VLOOKUP(D544,'DB technologies'!$N$252:$Y$264,2,FALSE)*VLOOKUP($C$541,'DB animal categories'!$C$191:$AC$200,27,FALSE)*E544/1000)/VLOOKUP($C$541,'DB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'!$S$6/100)*(1-VLOOKUP(D544,'DB technologies'!$N$252:$Y$264,9,FALSE)/100))</f>
        <v/>
      </c>
      <c r="N544" s="434" t="str">
        <f>IF(D544="","",((VLOOKUP(D544,'DB technologies'!$N$252:$Y$264,3,FALSE)*VLOOKUP($C$541,'DB animal categories'!$C$191:$AC$200,27,FALSE)*E544/1000)/VLOOKUP($C$541,'DB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'!$S$7/100)*(1-VLOOKUP(D544,'DB technologies'!$N$252:$Y$264,9,FALSE)/100))</f>
        <v/>
      </c>
      <c r="O544" s="423" t="str">
        <f>IF(D544="","",((VLOOKUP(D544,'DB technologies'!$N$252:$Y$264,4,FALSE)*E544*(1-'DB additional information '!$S$8/100)*(1-VLOOKUP(D544,'DB technologies'!$N$252:$Y$264,8,FALSE)/100))/VLOOKUP($C$541,'DB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P544" s="438" t="str">
        <f>IF(G544=0,0,IF(E544="","",IF(F544="","",IF($C$541=0,"",IF(D544="","",SUM(H544:K544)/G544*100)))))</f>
        <v/>
      </c>
      <c r="Q544" s="416" t="str">
        <f>IF(D544="","",(VLOOKUP(D544,'DB technologies'!$N$252:$Y$264,2,FALSE)*'DB additional information '!$S$6/100*'DB additional information '!$T$6*VLOOKUP($C$541,'DB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R544" s="416" t="str">
        <f>IF(D544="","",(VLOOKUP(D544,'DB technologies'!$N$252:$Y$264,3,FALSE)*'DB additional information '!$S$7/100*'DB additional information '!$T$7*VLOOKUP($C$541,'DB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S544" s="491" t="str">
        <f>IF(D544="","",(VLOOKUP(D544,'DB technologies'!$N$252:$Y$264,4,FALSE)*('DB additional information '!$S$8/100*'DB additional information '!$T$8*E544/1000/1000)))</f>
        <v/>
      </c>
      <c r="T544" s="264" t="str">
        <f>IF($C$541=0,"",IF('Calc (ex-animal)'!$F$98=1,"",IF(D544="","",((VLOOKUP($C$541,'Calc (ex-animal)'!$D$98:$Y$102,10,FALSE)-VLOOKUP($C$541,'Calc (ex-animal)'!$D$98:$Y$102,18,FALSE))*F544/100+Q544+R544+S544)-AC544-AD544-AE544)))</f>
        <v/>
      </c>
      <c r="U544" s="422" t="str">
        <f>IF(D544="","",(VLOOKUP(D544,'DB technologies'!$N$252:$Y$264,2,FALSE)*'DB additional information '!$S$6/100*'DB additional information '!$U$6*VLOOKUP($C$541,'DB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V544" s="418" t="str">
        <f>IF(D544="","",(VLOOKUP(D544,'DB technologies'!$N$252:$Y$264,3,FALSE)*'DB additional information '!$S$7/100*'DB additional information '!$U$7*VLOOKUP($C$541,'DB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W544" s="417" t="str">
        <f>IF(D544="","",(VLOOKUP(D544,'DB technologies'!$N$252:$Y$264,4,FALSE)*('DB additional information '!$S$8/100*'DB additional information '!$U$8*E544/1000/1000)))</f>
        <v/>
      </c>
      <c r="X544" s="261" t="str">
        <f>IF($C$541=0,"",IF('Calc (ex-animal)'!$F$98=1,"",IF(D544="","",((VLOOKUP($C$541,'Calc (ex-animal)'!$D$98:$Y$102,13,FALSE)-VLOOKUP($C$541,'Calc (ex-animal)'!$D$98:$Y$102,19,FALSE))*F544/100+U544+V544+W544))))</f>
        <v/>
      </c>
      <c r="Y544" s="418" t="str">
        <f>IF(D544="","",(VLOOKUP(D544,'DB technologies'!$N$252:$Y$264,2,FALSE)*'DB additional information '!$S$6/100*'DB additional information '!$V$6*VLOOKUP($C$541,'DB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Z544" s="418" t="str">
        <f>IF(D544="","",(VLOOKUP(D544,'DB technologies'!$N$252:$Y$264,3,FALSE)*'DB additional information '!$S$7/100*'DB additional information '!$V$7*VLOOKUP($C$541,'DB animal categories'!$C$191:$AC$200,27,FALSE)*E544/1000/1000)/VLOOKUP($C$541,'DB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AA544" s="418" t="str">
        <f>IF(D544="","",(VLOOKUP(D544,'DB technologies'!$N$252:$Y$264,4,FALSE)*('DB additional information '!$S$8/100*'DB additional information '!$V$8*E544/1000/1000)))</f>
        <v/>
      </c>
      <c r="AB544" s="261" t="str">
        <f>IF($C$541=0,"",IF('Calc (ex-animal)'!$F$98=1,"",IF(D544="","",((VLOOKUP($C$541,'Calc (ex-animal)'!$D$98:$Y$102,16,FALSE)-VLOOKUP($C$541,'Calc (ex-animal)'!$D$98:$Y$102,20,FALSE))*F544/100+Y544+Z544+AA544))))</f>
        <v/>
      </c>
      <c r="AC544" s="261" t="str">
        <f>IF($C$541=0,"",IF('Calc (ex-animal)'!$F$98=1,"",IF(D544="","",VLOOKUP($C$541,'Calc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categories'!$C$191:$AC$200,26,FALSE)/24)*F544/100*VLOOKUP(D544,'DB technologies'!$N$252:$R$264,5,FALSE)/100)))</f>
        <v/>
      </c>
      <c r="AD544" s="261" t="str">
        <f>IF($C$541=0,"",IF('Calc (ex-animal)'!$F$98=1,"",IF(D544="","",VLOOKUP($C$541,'Calc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categories'!$C$191:$AC$200,26,FALSE)/24)*F544/100*VLOOKUP(D544,'DB technologies'!$N$252:$Y$264,6,FALSE)/100)))</f>
        <v/>
      </c>
      <c r="AE544" s="262" t="str">
        <f>IF($C$541=0,"",IF('Calc (ex-animal)'!$F$98=1,"",IF(D544="","",VLOOKUP($C$541,'Calc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categories'!$C$191:$AC$200,26,FALSE)/24)*F544/100*VLOOKUP(D544,'DB technologies'!$N$252:$Y$264,7,FALSE)/100)))</f>
        <v/>
      </c>
      <c r="AI544" s="181" t="str">
        <f>IF(D544="","",VLOOKUP(D544,'DB technologies'!$N$252:$Y$264,10,FALSE))</f>
        <v/>
      </c>
      <c r="AJ544" s="449" t="e">
        <f>VLOOKUP($C$541,'DB animal categories'!$C$191:$AN$200,27,FALSE)-VLOOKUP($C$541,'DB animal categories'!$C$191:$AN$200,26,FALSE)*VLOOKUP($C$541,'DB animal categories'!$C$191:$AN$200,25,FALSE)/24</f>
        <v>#N/A</v>
      </c>
      <c r="AK544" s="442" t="str">
        <f>IF(AI544="","",AL544+AM544)</f>
        <v/>
      </c>
      <c r="AL544" s="442" t="str">
        <f>IF(D544="","",IF(AI544=2,(('Calc (ex-animal)'!$G$102*'DB additional information '!$K$21/100*(1-VLOOKUP(D544,'DB technologies'!$N$252:$Y$264,9,FALSE)/100)*'Calc (ex-housing, ex-storage)'!F544/100+'Calc (ex-animal)'!$H$102*'DB additional information '!$L$21/100*(1-VLOOKUP(D544,'DB technologies'!$N$252:$Y$264,9,FALSE)/100)*'Calc (ex-housing, ex-storage)'!F544/100))/VLOOKUP($C$541,'DB animal categories'!$C$191:$AC$200,27,FALSE)*AJ544+I544+J544+K544,IF(AI544=1,('Calc (ex-animal)'!$H$102*'DB additional information '!$L$21/100*(1-VLOOKUP(D544,'DB technologies'!$N$252:$Y$264,9,FALSE)/100)*'Calc (ex-housing, ex-storage)'!F544/100)/VLOOKUP($C$541,'DB animal categories'!$C$191:$AC$200,27,FALSE)*AJ544,IF(AI544=4,('Calc (ex-animal)'!$G$102*'DB additional information '!$K$21/100+'Calc (ex-animal)'!$H$102*'DB additional information '!$L$21/100)*(1-VLOOKUP(D544,'DB technologies'!$N$252:$Y$264,9,FALSE)/100)*'Calc (ex-housing, ex-storage)'!F544/100*VLOOKUP(D544,'DB technologies'!$N$252:$Y$264,11,FALSE)/100/VLOOKUP($C$541,'DB animal categories'!$C$191:$AC$200,27,FALSE)*AJ544,0))))</f>
        <v/>
      </c>
      <c r="AM544" s="442" t="str">
        <f>IF(D544="","",IF(AI544=2,(('Calc (ex-animal)'!$G$102*(1-'DB additional information '!$K$21/100)*(1-VLOOKUP(D544,'DB technologies'!$N$252:$Y$264,8,FALSE)/100)*'Calc (ex-housing, ex-storage)'!F544/100+'Calc (ex-animal)'!$H$102*(1-'DB additional information '!$L$21/100)*(1-VLOOKUP(D544,'DB technologies'!$N$252:$Y$264,8,FALSE)/100)*'Calc (ex-housing, ex-storage)'!F544/100))/VLOOKUP($C$541,'DB animal categories'!$C$191:$AC$200,27,FALSE)*AJ544+M544+N544+O544,IF(AI544=1,('Calc (ex-animal)'!$H$102*(1-'DB additional information '!$L$21/100)*(1-VLOOKUP(D544,'DB technologies'!$N$252:$Y$264,8,FALSE)/100)*'Calc (ex-housing, ex-storage)'!F544/100)/VLOOKUP($C$541,'DB animal categories'!$C$191:$AC$200,27,FALSE)*AJ544,IF(AI544=4,('Calc (ex-animal)'!$G$102*(1-'DB additional information '!$K$21/100)+'Calc (ex-animal)'!$H$102*(1-'DB additional information '!$L$21/100))*(1-VLOOKUP(D544,'DB technologies'!$N$252:$Y$264,8,FALSE)/100)*'Calc (ex-housing, ex-storage)'!F544/100*VLOOKUP(D544,'DB technologies'!$N$252:$Y$264,11,FALSE)/100/VLOOKUP($C$541,'DB animal categories'!$C$191:$AC$200,27,FALSE)*AJ544,0))))</f>
        <v/>
      </c>
      <c r="AN544" s="442" t="str">
        <f>IF(AI544="","",IF(AL544=0,0,AL544/AK544*100))</f>
        <v/>
      </c>
      <c r="AO544" s="182" t="str">
        <f>IF(D544="","",IF(AI544=2,(('Calc (ex-animal)'!$L$102*'Calc (ex-housing, ex-storage)'!F544/100+'Calc (ex-animal)'!$K$102*'Calc (ex-housing, ex-storage)'!F544/100))/VLOOKUP($C$541,'DB animal categories'!$C$191:$AC$200,27,FALSE)*AJ544+Q544+R544+S544-AC544,IF(AI544=1,('Calc (ex-animal)'!$L$102*'Calc (ex-housing, ex-storage)'!F544/100)/VLOOKUP($C$541,'DB animal categories'!$C$191:$AC$200,27,FALSE)*AJ544-'Calc (ex-housing, ex-storage)'!AC544,IF(AI544=4,('Calc (ex-animal)'!$L$102+'Calc (ex-animal)'!$K$102)*'Calc (ex-housing, ex-storage)'!F544/100*VLOOKUP(D544,'DB technologies'!$N$252:$Y$264,11,FALSE)/100/VLOOKUP($C$541,'DB animal categories'!$C$191:$AC$200,27,FALSE)*AJ544-AC544*VLOOKUP(D544,'DB technologies'!$N$252:$Y$264,11,FALSE)/100,0))))</f>
        <v/>
      </c>
      <c r="AP544" s="182" t="str">
        <f>IF(D544="","",IF(AO544&lt;-0.01,0,IF(AI544=2,(('Calc (ex-animal)'!$L$102*'Calc (ex-housing, ex-storage)'!F544/100+'Calc (ex-animal)'!$K$102*'Calc (ex-housing, ex-storage)'!F544/100))/VLOOKUP($C$541,'DB animal categories'!$C$191:$AC$200,27,FALSE)*AJ544+Q544+R544+S544-AC544,IF(AI544=1,('Calc (ex-animal)'!$L$102*'Calc (ex-housing, ex-storage)'!F544/100)/VLOOKUP($C$541,'DB animal categories'!$C$191:$AC$200,27,FALSE)*AJ544-'Calc (ex-housing, ex-storage)'!AC544,IF(AI544=4,('Calc (ex-animal)'!$L$102+'Calc (ex-animal)'!$K$102)*'Calc (ex-housing, ex-storage)'!F544/100*VLOOKUP(D544,'DB technologies'!$N$252:$Y$264,11,FALSE)/100/VLOOKUP($C$541,'DB animal categories'!$C$191:$AC$200,27,FALSE)*AJ544-AC544*VLOOKUP(D544,'DB technologies'!$N$252:$Y$264,11,FALSE)/100,0)))))</f>
        <v/>
      </c>
      <c r="AQ544" s="182" t="str">
        <f>IF(D544="","",IF(AI544=2,('Calc (ex-animal)'!$O$102*'Calc (ex-housing, ex-storage)'!F544/100+'Calc (ex-animal)'!$N$102*'Calc (ex-housing, ex-storage)'!F544/100)/VLOOKUP($C$541,'DB animal categories'!$C$191:$AC$200,27,FALSE)*AJ544+U544+V544+W544,IF(AI544=1,'Calc (ex-animal)'!$O$102*'Calc (ex-housing, ex-storage)'!F544/100/VLOOKUP($C$541,'DB animal categories'!$C$191:$AC$200,27,FALSE)*AJ544,IF(AI544=4,('Calc (ex-animal)'!$O$102+'Calc (ex-animal)'!$N$102)*'Calc (ex-housing, ex-storage)'!F544/100*VLOOKUP(D544,'DB technologies'!$N$252:$Y$264,11,FALSE)/100/VLOOKUP($C$541,'DB animal categories'!$C$191:$AC$200,27,FALSE)*AJ544,0))))</f>
        <v/>
      </c>
      <c r="AR544" s="182" t="str">
        <f>IF(D544="","",IF(AI544=2,('Calc (ex-animal)'!$R$102*'Calc (ex-housing, ex-storage)'!F544/100+'Calc (ex-animal)'!$Q$102*'Calc (ex-housing, ex-storage)'!F544/100)/VLOOKUP($C$541,'DB animal categories'!$C$191:$AC$200,27,FALSE)*AJ544+Y544+Z544+AA544,IF(AI544=1,'Calc (ex-animal)'!$R$102*'Calc (ex-housing, ex-storage)'!F544/100/VLOOKUP($C$541,'DB animal categories'!$C$191:$AC$200,27,FALSE)*AJ544,IF(AI544=4,('Calc (ex-animal)'!$R$102+'Calc (ex-animal)'!$Q$102)*'Calc (ex-housing, ex-storage)'!F544/100*VLOOKUP(D544,'DB technologies'!$N$252:$Y$264,11,FALSE)/100/VLOOKUP($C$541,'DB animal categories'!$C$191:$AC$200,27,FALSE)*AJ544,0))))</f>
        <v/>
      </c>
      <c r="AS544" s="181" t="str">
        <f>IF(D544="","",VLOOKUP(D544,'DB technologies'!$N$252:$Y$264,10,FALSE))</f>
        <v/>
      </c>
      <c r="AT544" s="442" t="str">
        <f>IF(AS544="","",AU544+AV544)</f>
        <v/>
      </c>
      <c r="AU544" s="442" t="str">
        <f>IF(D544="","",IF(AS544=2,0,IF(AS544=1,'Calc (ex-animal)'!$G$102*'DB additional information '!$K$21/100*(1-VLOOKUP(D544,'DB technologies'!$N$252:$Y$264,8,FALSE)/100)*'Calc (ex-housing, ex-storage)'!F544/100/VLOOKUP($C$541,'DB animal categories'!$C$191:$AC$200,27,FALSE)*AJ544+I544+J544+K544,IF(AS544=5,(('Calc (ex-animal)'!$G$102*'DB additional information '!$K$21/100+'Calc (ex-animal)'!$H$102*'DB additional information '!$L$21/100))*(1-VLOOKUP(D544,'DB technologies'!$N$252:$Y$264,9,FALSE)/100)*'Calc (ex-housing, ex-storage)'!F544/100/VLOOKUP($C$541,'DB animal categories'!$C$191:$AC$200,27,FALSE)*AJ544+I544+J544+K544,IF(AS544=3,('Calc (ex-animal)'!$G$102*'DB additional information '!$K$21/100+'Calc (ex-animal)'!$H$102*'DB additional information '!$L$21/100)*(1-VLOOKUP(D544,'DB technologies'!$N$252:$Y$264,9,FALSE)/100)*'Calc (ex-housing, ex-storage)'!F544/100/VLOOKUP($C$541,'DB animal categories'!$C$191:$AC$200,27,FALSE)*AJ544+I544+J544+K544,IF(AS544=4,('Calc (ex-animal)'!$G$102*'DB additional information '!$K$21/100+'Calc (ex-animal)'!$H$102*'DB additional information '!$L$21/100)*(1-VLOOKUP(D544,'DB technologies'!$N$252:$Y$264,9,FALSE)/100)*'Calc (ex-housing, ex-storage)'!F544/100*VLOOKUP(D544,'DB technologies'!$N$252:$Y$264,12,FALSE)/100/VLOOKUP($C$541,'DB animal categories'!$C$191:$AC$200,27,FALSE)*AJ544+I544+J544+K544,0))))))</f>
        <v/>
      </c>
      <c r="AV544" s="442" t="str">
        <f>IF(D544="","",IF(AS544=2,0,IF(AS544=1,'Calc (ex-animal)'!$G$102*(1-'DB additional information '!$K$21/100)*(1-VLOOKUP(D544,'DB technologies'!$N$252:$Y$264,8,FALSE)/100)*'Calc (ex-housing, ex-storage)'!F544/100/VLOOKUP($C$541,'DB animal categories'!$C$191:$AC$200,27,FALSE)*AJ544+M544+N544+O544,IF(AS544=5,('Calc (ex-animal)'!$G$102*(1-'DB additional information '!$K$21/100)+'Calc (ex-animal)'!$H$102*(1-'DB additional information '!$L$21/100))*(1-VLOOKUP(D544,'DB technologies'!$N$252:$Y$264,8,FALSE)/100)*'Calc (ex-housing, ex-storage)'!F544/100/VLOOKUP($C$541,'DB animal categories'!$C$191:$AC$200,27,FALSE)*AJ544+M544+N544+O544,IF(AS544=3,('Calc (ex-animal)'!$G$102*(1-'DB additional information '!$K$21/100)+'Calc (ex-animal)'!$H$102*(1-'DB additional information '!$L$21/100))*(1-VLOOKUP(D544,'DB technologies'!$N$252:$Y$264,8,FALSE)/100)*'Calc (ex-housing, ex-storage)'!F544/100/VLOOKUP($C$541,'DB animal categories'!$C$191:$AC$200,27,FALSE)*AJ544+M544+N544+O544,IF(AS544=4,('Calc (ex-animal)'!$G$102*(1-'DB additional information '!$K$21/100)+'Calc (ex-animal)'!$H$102*(1-'DB additional information '!$L$21/100))*(1-VLOOKUP(D544,'DB technologies'!$N$252:$Y$264,8,FALSE)/100)*'Calc (ex-housing, ex-storage)'!F544/100*VLOOKUP(D544,'DB technologies'!$N$252:$Y$264,12,FALSE)/100/VLOOKUP($C$541,'DB animal categories'!$C$191:$AC$200,27,FALSE)*AJ544+M544+N544+O544,0))))))</f>
        <v/>
      </c>
      <c r="AW544" s="442" t="str">
        <f>IF(AS544="","",IF(AU544=0,0,AU544/AT544*100))</f>
        <v/>
      </c>
      <c r="AX544" s="182" t="str">
        <f>IF(D544="","",IF(AS544=2,0,IF(AS544=1,'Calc (ex-animal)'!$K$102*'Calc (ex-housing, ex-storage)'!F544/100/VLOOKUP($C$541,'DB animal categories'!$C$191:$AC$200,27,FALSE)*AJ544+Q544+R544+S544,IF(AS544=5,('Calc (ex-animal)'!$K$102+'Calc (ex-animal)'!$L$102)*'Calc (ex-housing, ex-storage)'!F544/100/VLOOKUP($C$541,'DB animal categories'!$C$191:$AC$200,27,FALSE)*AJ544+Q544+R544+S544-'Calc (ex-housing, ex-storage)'!AC544,IF(AS544=3,('Calc (ex-animal)'!$K$102+'Calc (ex-animal)'!$L$102)*'Calc (ex-housing, ex-storage)'!F544/100/VLOOKUP($C$541,'DB animal categories'!$C$191:$AC$200,27,FALSE)*AJ544+Q544+R544+S544-'Calc (ex-housing, ex-storage)'!AC544-AD544-AE544,IF(AI544=4,('Calc (ex-animal)'!$K$102+'Calc (ex-animal)'!$L$102)*'Calc (ex-housing, ex-storage)'!F544/100*VLOOKUP(D544,'DB technologies'!$N$252:$Y$264,12,FALSE)/100/VLOOKUP($C$541,'DB animal categories'!$C$191:$AC$200,27,FALSE)*AJ544+Q544+R544+S544-(VLOOKUP(D544,'DB technologies'!$N$252:$Y$264,12,FALSE)/100*AC544)-AD544-AE544,0))))))</f>
        <v/>
      </c>
      <c r="AY544" s="182" t="str">
        <f>IF(D544="","",IF(AS544=2,0,IF(AS544=1,'Calc (ex-animal)'!$N$102*'Calc (ex-housing, ex-storage)'!F544/100/VLOOKUP($C$541,'DB animal categories'!$C$191:$AC$200,27,FALSE)*AJ544+U544+V544+W544,IF(AS544=5,('Calc (ex-animal)'!$N$102+'Calc (ex-animal)'!$O$102)*'Calc (ex-housing, ex-storage)'!F544/100/VLOOKUP($C$541,'DB animal categories'!$C$191:$AC$200,27,FALSE)*AJ544+U544+V544+W544,IF(AS544=3,('Calc (ex-animal)'!$N$102+'Calc (ex-animal)'!$O$102)*'Calc (ex-housing, ex-storage)'!F544/100/VLOOKUP($C$541,'DB animal categories'!$C$191:$AC$200,27,FALSE)*AJ544+U544+V544+W544,IF(AS544=4,('Calc (ex-animal)'!$N$102+'Calc (ex-animal)'!$O$102)*'Calc (ex-housing, ex-storage)'!F544/100*VLOOKUP(D544,'DB technologies'!$N$252:$Y$264,12,FALSE)/100/VLOOKUP($C$541,'DB animal categories'!$C$191:$AC$200,27,FALSE)*AJ544+U544+V544+W544,0))))))</f>
        <v/>
      </c>
      <c r="AZ544" s="182" t="str">
        <f>IF(D544="","",IF(AS544=2,0,IF(AS544=1,'Calc (ex-animal)'!$Q$102*'Calc (ex-housing, ex-storage)'!F544/100/VLOOKUP($C$541,'DB animal categories'!$C$191:$AC$200,27,FALSE)*AJ544+Y544+Z544+AA544,IF(AS544=5,('Calc (ex-animal)'!$Q$102+'Calc (ex-animal)'!$R$102)*'Calc (ex-housing, ex-storage)'!F544/100/VLOOKUP($C$541,'DB animal categories'!$C$191:$AC$200,27,FALSE)*AJ544+Y544+Z544+AA544,IF(AS544=3,('Calc (ex-animal)'!$Q$102+'Calc (ex-animal)'!$R$102)*'Calc (ex-housing, ex-storage)'!F544/100/VLOOKUP($C$541,'DB animal categories'!$C$191:$AC$200,27,FALSE)*AJ544+Y544+Z544+AA544,IF(AS544=4,('Calc (ex-animal)'!$Q$102+'Calc (ex-animal)'!$R$102)*'Calc (ex-housing, ex-storage)'!F544/100*VLOOKUP(D544,'DB technologies'!$N$252:$Y$264,12,FALSE)/100/VLOOKUP($C$541,'DB animal categories'!$C$191:$AC$200,27,FALSE)*AJ544+Y544+Z544+AA544,0))))))</f>
        <v/>
      </c>
      <c r="BA544" s="506"/>
      <c r="BB544" s="506"/>
      <c r="BC544" s="506"/>
    </row>
    <row r="545" spans="1:55" ht="12" thickBot="1" x14ac:dyDescent="0.25">
      <c r="A545" s="748"/>
      <c r="B545" s="695"/>
      <c r="C545" s="251"/>
      <c r="D545" s="1359"/>
      <c r="E545" s="1360"/>
      <c r="F545" s="481" t="str">
        <f>IF('Calc (ex-animal)'!$F$98=1,"",IF($C$541=0,"",IF(D545="","",E545/'Calc (ex-animal)'!$E$102*100)))</f>
        <v/>
      </c>
      <c r="G545" s="483" t="str">
        <f>IF($C$541=0,"",IF('Calc (ex-animal)'!$F$98=1,"",IF(D545="","",SUM(H545:O545))))</f>
        <v/>
      </c>
      <c r="H545" s="445" t="str">
        <f>IF('Calc (ex-animal)'!$F$98=1,"",IF(D545="","",(((VLOOKUP($C$541,'Calc (ex-animal)'!$D$98:$Y$102,6,FALSE)-VLOOKUP($C$541,'Calc (ex-animal)'!$D$98:$Y$102,17,FALSE))*F545/100))*VLOOKUP($C$541,'Calc (ex-animal)'!$D$98:$Y$102,7,FALSE)/100*(1-VLOOKUP(D545,'DB technologies'!$N$252:$Y$264,9,FALSE)/100)))</f>
        <v/>
      </c>
      <c r="I545" s="445" t="str">
        <f>IF(D545="","",((VLOOKUP(D545,'DB technologies'!$N$252:$Y$264,2,FALSE)*VLOOKUP($C$541,'DB animal categories'!$C$191:$AC$200,27,FALSE)*E545/1000)/VLOOKUP($C$541,'DB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'!$S$6/100*(1-VLOOKUP(D545,'DB technologies'!$N$252:$Y$264,9,FALSE)/100)))</f>
        <v/>
      </c>
      <c r="J545" s="446" t="str">
        <f>IF(D545="","",((VLOOKUP(D545,'DB technologies'!$N$252:$Y$264,3,FALSE)*VLOOKUP($C$541,'DB animal categories'!$C$191:$AC$200,27,FALSE)*E545/1000)/VLOOKUP($C$541,'DB animal categories'!$C$191:$AC$200,27,FALSE)*(VLOOKUP($C$541,'DB animal categories'!$C$191:$AC$200,27,FALSE)-(VLOOKUP($C$541,'DB animal categories'!$C$191:$AC$200,25,FALSE)*VLOOKUP($C$541,'DB animal categories'!$C$191:$AC$200,26,FALSE)/24))*'DB additional information '!$S$7/100*(1-VLOOKUP(D545,'DB technologies'!$N$252:$Y$264,9,FALSE)/100)))</f>
        <v/>
      </c>
      <c r="K545" s="446" t="str">
        <f>IF(D545="","",((VLOOKUP(D545,'DB technologies'!$N$252:$Y$264,4,FALSE)*E545*'DB additional information '!$S$8/100*(1-VLOOKUP(D545,'DB technologies'!$N$252:$Y$264,9,FALSE)/100))/VLOOKUP($C$541,'DB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L545" s="445" t="str">
        <f>IF('Calc (ex-animal)'!$F$98=1,"",IF(D545="","",(((VLOOKUP($C$541,'Calc (ex-animal)'!$D$98:$Y$102,6,FALSE)-VLOOKUP($C$541,'Calc (ex-animal)'!$D$98:$Y$102,17,FALSE))*F545/100))*(1-VLOOKUP($C$541,'Calc (ex-animal)'!$D$98:$Y$102,7,FALSE)/100)*(1-VLOOKUP(D545,'DB technologies'!$N$252:$V$264,8,FALSE)/100)))</f>
        <v/>
      </c>
      <c r="M545" s="446" t="str">
        <f>IF(D545="","",((VLOOKUP(D545,'DB technologies'!$N$252:$Y$264,2,FALSE)*VLOOKUP($C$541,'DB animal categories'!$C$191:$AC$200,27,FALSE)*E545/1000)/VLOOKUP($C$541,'DB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'!$S$6/100)*(1-VLOOKUP(D545,'DB technologies'!$N$252:$Y$264,9,FALSE)/100))</f>
        <v/>
      </c>
      <c r="N545" s="446" t="str">
        <f>IF(D545="","",((VLOOKUP(D545,'DB technologies'!$N$252:$Y$264,3,FALSE)*VLOOKUP($C$541,'DB animal categories'!$C$191:$AC$200,27,FALSE)*E545/1000)/VLOOKUP($C$541,'DB animal categories'!$C$191:$AC$200,27,FALSE)*(VLOOKUP($C$541,'DB animal categories'!$C$191:$AC$200,27,FALSE)-VLOOKUP($C$541,'DB animal categories'!$C$191:$AC$200,25,FALSE)*VLOOKUP($C$541,'DB animal categories'!$C$191:$AC$200,26,FALSE)/24))*(1-'DB additional information '!$S$7/100)*(1-VLOOKUP(D545,'DB technologies'!$N$252:$Y$264,9,FALSE)/100))</f>
        <v/>
      </c>
      <c r="O545" s="445" t="str">
        <f>IF(D545="","",((VLOOKUP(D545,'DB technologies'!$N$252:$Y$264,4,FALSE)*E545*(1-'DB additional information '!$S$8/100)*(1-VLOOKUP(D545,'DB technologies'!$N$252:$Y$264,8,FALSE)/100))/VLOOKUP($C$541,'DB animal categories'!$C$191:$AC$200,27,FALSE)*(VLOOKUP($C$541,'DB animal categories'!$C$191:$AC$200,27,FALSE)-VLOOKUP($C$541,'DB animal categories'!$C$191:$AC$200,25,FALSE)*VLOOKUP($C$541,'DB animal categories'!$C$191:$AC$200,26,FALSE)/24)))</f>
        <v/>
      </c>
      <c r="P545" s="444" t="str">
        <f>IF(G545=0,0,IF(E545="","",IF(F545="","",IF($C$541=0,"",IF(D545="","",SUM(H545:K545)/G545*100)))))</f>
        <v/>
      </c>
      <c r="Q545" s="476" t="str">
        <f>IF(D545="","",(VLOOKUP(D545,'DB technologies'!$N$252:$Y$264,2,FALSE)*'DB additional information '!$S$6/100*'DB additional information '!$T$6*VLOOKUP($C$541,'DB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R545" s="476" t="str">
        <f>IF(D545="","",(VLOOKUP(D545,'DB technologies'!$N$252:$Y$264,3,FALSE)*'DB additional information '!$S$7/100*'DB additional information '!$T$7*VLOOKUP($C$541,'DB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S545" s="494" t="str">
        <f>IF(D545="","",(VLOOKUP(D545,'DB technologies'!$N$252:$Y$264,4,FALSE)*('DB additional information '!$S$8/100*'DB additional information '!$T$8*E545/1000/1000)))</f>
        <v/>
      </c>
      <c r="T545" s="266" t="str">
        <f>IF($C$541=0,"",IF('Calc (ex-animal)'!$F$98=1,"",IF(D545="","",((VLOOKUP($C$541,'Calc (ex-animal)'!$D$98:$Y$102,10,FALSE)-VLOOKUP($C$541,'Calc (ex-animal)'!$D$98:$Y$102,18,FALSE))*F545/100+Q545+R545+S545)-AC545-AD545-AE545)))</f>
        <v/>
      </c>
      <c r="U545" s="477" t="str">
        <f>IF(D545="","",(VLOOKUP(D545,'DB technologies'!$N$252:$Y$264,2,FALSE)*'DB additional information '!$S$6/100*'DB additional information '!$U$6*VLOOKUP($C$541,'DB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V545" s="433" t="str">
        <f>IF(D545="","",(VLOOKUP(D545,'DB technologies'!$N$252:$Y$264,3,FALSE)*'DB additional information '!$S$7/100*'DB additional information '!$U$7*VLOOKUP($C$541,'DB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W545" s="475" t="str">
        <f>IF(D545="","",(VLOOKUP(D545,'DB technologies'!$N$252:$Y$264,4,FALSE)*('DB additional information '!$S$8/100*'DB additional information '!$U$8*E545/1000/1000)))</f>
        <v/>
      </c>
      <c r="X545" s="267" t="str">
        <f>IF($C$541=0,"",IF('Calc (ex-animal)'!$F$98=1,"",IF(D545="","",((VLOOKUP($C$541,'Calc (ex-animal)'!$D$98:$Y$102,13,FALSE)-VLOOKUP($C$541,'Calc (ex-animal)'!$D$98:$Y$102,19,FALSE))*F545/100+U545+V545+W545))))</f>
        <v/>
      </c>
      <c r="Y545" s="433" t="str">
        <f>IF(D545="","",(VLOOKUP(D545,'DB technologies'!$N$252:$Y$264,2,FALSE)*'DB additional information '!$S$6/100*'DB additional information '!$V$6*VLOOKUP($C$541,'DB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Z545" s="433" t="str">
        <f>IF(D545="","",(VLOOKUP(D545,'DB technologies'!$N$252:$Y$264,3,FALSE)*'DB additional information '!$S$7/100*'DB additional information '!$V$7*VLOOKUP($C$541,'DB animal categories'!$C$191:$AC$200,27,FALSE)*E545/1000/1000)/VLOOKUP($C$541,'DB animal categories'!$C$191:$AC$200,27,FALSE)*(VLOOKUP($C$541,'DB animal categories'!$C$191:$AC$200,27,FALSE)-VLOOKUP($C$541,'DB animal categories'!$C$191:$AC$200,25,FALSE)*VLOOKUP($C$541,'DB animal categories'!$C$191:$AC$200,26,FALSE)/24))</f>
        <v/>
      </c>
      <c r="AA545" s="433" t="str">
        <f>IF(D545="","",(VLOOKUP(D545,'DB technologies'!$N$252:$Y$264,4,FALSE)*('DB additional information '!$S$8/100*'DB additional information '!$V$8*E545/1000/1000)))</f>
        <v/>
      </c>
      <c r="AB545" s="267" t="str">
        <f>IF($C$541=0,"",IF('Calc (ex-animal)'!$F$98=1,"",IF(D545="","",((VLOOKUP($C$541,'Calc (ex-animal)'!$D$98:$Y$102,16,FALSE)-VLOOKUP($C$541,'Calc (ex-animal)'!$D$98:$Y$102,20,FALSE))*F545/100+Y545+Z545+AA545))))</f>
        <v/>
      </c>
      <c r="AC545" s="267" t="str">
        <f>IF($C$541=0,"",IF('Calc (ex-animal)'!$F$98=1,"",IF(D545="","",VLOOKUP($C$541,'Calc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categories'!$C$191:$AC$200,26,FALSE)/24)*F545/100*VLOOKUP(D545,'DB technologies'!$N$252:$R$264,5,FALSE)/100)))</f>
        <v/>
      </c>
      <c r="AD545" s="267" t="str">
        <f>IF($C$541=0,"",IF('Calc (ex-animal)'!$F$98=1,"",IF(D545="","",VLOOKUP($C$541,'Calc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categories'!$C$191:$AC$200,26,FALSE)/24)*F545/100*VLOOKUP(D545,'DB technologies'!$N$252:$Y$264,6,FALSE)/100)))</f>
        <v/>
      </c>
      <c r="AE545" s="268" t="str">
        <f>IF($C$541=0,"",IF('Calc (ex-animal)'!$F$98=1,"",IF(D545="","",VLOOKUP($C$541,'Calc (ex-animal)'!$D$98:$Y$102,10,FALSE)/VLOOKUP($C$541,'DB animal categories'!$C$191:$AC$200,27,FALSE)*(VLOOKUP($C$541,'DB animal categories'!$C$191:$AC$200,27,FALSE)-VLOOKUP($C$541,'DB animal categories'!$C$191:$AC$200,25,FALSE)*VLOOKUP($C$541,'DB animal categories'!$C$191:$AC$200,26,FALSE)/24)*F545/100*VLOOKUP(D545,'DB technologies'!$N$252:$Y$264,7,FALSE)/100)))</f>
        <v/>
      </c>
      <c r="AI545" s="183" t="str">
        <f>IF(D545="","",VLOOKUP(D545,'DB technologies'!$N$252:$Y$264,10,FALSE))</f>
        <v/>
      </c>
      <c r="AJ545" s="451" t="e">
        <f>VLOOKUP($C$541,'DB animal categories'!$C$191:$AN$200,27,FALSE)-VLOOKUP($C$541,'DB animal categories'!$C$191:$AN$200,26,FALSE)*VLOOKUP($C$541,'DB animal categories'!$C$191:$AN$200,25,FALSE)/24</f>
        <v>#N/A</v>
      </c>
      <c r="AK545" s="452" t="str">
        <f>IF(AI545="","",AL545+AM545)</f>
        <v/>
      </c>
      <c r="AL545" s="452" t="str">
        <f>IF(D545="","",IF(AI545=2,(('Calc (ex-animal)'!$G$102*'DB additional information '!$K$21/100*(1-VLOOKUP(D545,'DB technologies'!$N$252:$Y$264,9,FALSE)/100)*'Calc (ex-housing, ex-storage)'!F545/100+'Calc (ex-animal)'!$H$102*'DB additional information '!$L$21/100*(1-VLOOKUP(D545,'DB technologies'!$N$252:$Y$264,9,FALSE)/100)*'Calc (ex-housing, ex-storage)'!F545/100))/VLOOKUP($C$541,'DB animal categories'!$C$191:$AC$200,27,FALSE)*AJ545+I545+J545+K545,IF(AI545=1,('Calc (ex-animal)'!$H$102*'DB additional information '!$L$21/100*(1-VLOOKUP(D545,'DB technologies'!$N$252:$Y$264,9,FALSE)/100)*'Calc (ex-housing, ex-storage)'!F545/100)/VLOOKUP($C$541,'DB animal categories'!$C$191:$AC$200,27,FALSE)*AJ545,IF(AI545=4,('Calc (ex-animal)'!$G$102*'DB additional information '!$K$21/100+'Calc (ex-animal)'!$H$102*'DB additional information '!$L$21/100)*(1-VLOOKUP(D545,'DB technologies'!$N$252:$Y$264,9,FALSE)/100)*'Calc (ex-housing, ex-storage)'!F545/100*VLOOKUP(D545,'DB technologies'!$N$252:$Y$264,11,FALSE)/100/VLOOKUP($C$541,'DB animal categories'!$C$191:$AC$200,27,FALSE)*AJ545,0))))</f>
        <v/>
      </c>
      <c r="AM545" s="452" t="str">
        <f>IF(D545="","",IF(AI545=2,(('Calc (ex-animal)'!$G$102*(1-'DB additional information '!$K$21/100)*(1-VLOOKUP(D545,'DB technologies'!$N$252:$Y$264,8,FALSE)/100)*'Calc (ex-housing, ex-storage)'!F545/100+'Calc (ex-animal)'!$H$102*(1-'DB additional information '!$L$21/100)*(1-VLOOKUP(D545,'DB technologies'!$N$252:$Y$264,8,FALSE)/100)*'Calc (ex-housing, ex-storage)'!F545/100))/VLOOKUP($C$541,'DB animal categories'!$C$191:$AC$200,27,FALSE)*AJ545+M545+N545+O545,IF(AI545=1,('Calc (ex-animal)'!$H$102*(1-'DB additional information '!$L$21/100)*(1-VLOOKUP(D545,'DB technologies'!$N$252:$Y$264,8,FALSE)/100)*'Calc (ex-housing, ex-storage)'!F545/100)/VLOOKUP($C$541,'DB animal categories'!$C$191:$AC$200,27,FALSE)*AJ545,IF(AI545=4,('Calc (ex-animal)'!$G$102*(1-'DB additional information '!$K$21/100)+'Calc (ex-animal)'!$H$102*(1-'DB additional information '!$L$21/100))*(1-VLOOKUP(D545,'DB technologies'!$N$252:$Y$264,8,FALSE)/100)*'Calc (ex-housing, ex-storage)'!F545/100*VLOOKUP(D545,'DB technologies'!$N$252:$Y$264,11,FALSE)/100/VLOOKUP($C$541,'DB animal categories'!$C$191:$AC$200,27,FALSE)*AJ545,0))))</f>
        <v/>
      </c>
      <c r="AN545" s="452" t="str">
        <f>IF(AI545="","",IF(AL545=0,0,AL545/AK545*100))</f>
        <v/>
      </c>
      <c r="AO545" s="184" t="str">
        <f>IF(D545="","",IF(AI545=2,(('Calc (ex-animal)'!$L$102*'Calc (ex-housing, ex-storage)'!F545/100+'Calc (ex-animal)'!$K$102*'Calc (ex-housing, ex-storage)'!F545/100))/VLOOKUP($C$541,'DB animal categories'!$C$191:$AC$200,27,FALSE)*AJ545+Q545+R545+S545-AC545,IF(AI545=1,('Calc (ex-animal)'!$L$102*'Calc (ex-housing, ex-storage)'!F545/100)/VLOOKUP($C$541,'DB animal categories'!$C$191:$AC$200,27,FALSE)*AJ545-'Calc (ex-housing, ex-storage)'!AC545,IF(AI545=4,('Calc (ex-animal)'!$L$102+'Calc (ex-animal)'!$K$102)*'Calc (ex-housing, ex-storage)'!F545/100*VLOOKUP(D545,'DB technologies'!$N$252:$Y$264,11,FALSE)/100/VLOOKUP($C$541,'DB animal categories'!$C$191:$AC$200,27,FALSE)*AJ545-AC545*VLOOKUP(D545,'DB technologies'!$N$252:$Y$264,11,FALSE)/100,0))))</f>
        <v/>
      </c>
      <c r="AP545" s="184" t="str">
        <f>IF(D545="","",IF(AO545&lt;-0.01,0,IF(AI545=2,(('Calc (ex-animal)'!$L$102*'Calc (ex-housing, ex-storage)'!F545/100+'Calc (ex-animal)'!$K$102*'Calc (ex-housing, ex-storage)'!F545/100))/VLOOKUP($C$541,'DB animal categories'!$C$191:$AC$200,27,FALSE)*AJ545+Q545+R545+S545-AC545,IF(AI545=1,('Calc (ex-animal)'!$L$102*'Calc (ex-housing, ex-storage)'!F545/100)/VLOOKUP($C$541,'DB animal categories'!$C$191:$AC$200,27,FALSE)*AJ545-'Calc (ex-housing, ex-storage)'!AC545,IF(AI545=4,('Calc (ex-animal)'!$L$102+'Calc (ex-animal)'!$K$102)*'Calc (ex-housing, ex-storage)'!F545/100*VLOOKUP(D545,'DB technologies'!$N$252:$Y$264,11,FALSE)/100/VLOOKUP($C$541,'DB animal categories'!$C$191:$AC$200,27,FALSE)*AJ545-AC545*VLOOKUP(D545,'DB technologies'!$N$252:$Y$264,11,FALSE)/100,0)))))</f>
        <v/>
      </c>
      <c r="AQ545" s="184" t="str">
        <f>IF(D545="","",IF(AI545=2,('Calc (ex-animal)'!$O$102*'Calc (ex-housing, ex-storage)'!F545/100+'Calc (ex-animal)'!$N$102*'Calc (ex-housing, ex-storage)'!F545/100)/VLOOKUP($C$541,'DB animal categories'!$C$191:$AC$200,27,FALSE)*AJ545+U545+V545+W545,IF(AI545=1,'Calc (ex-animal)'!$O$102*'Calc (ex-housing, ex-storage)'!F545/100/VLOOKUP($C$541,'DB animal categories'!$C$191:$AC$200,27,FALSE)*AJ545,IF(AI545=4,('Calc (ex-animal)'!$O$102+'Calc (ex-animal)'!$N$102)*'Calc (ex-housing, ex-storage)'!F545/100*VLOOKUP(D545,'DB technologies'!$N$252:$Y$264,11,FALSE)/100/VLOOKUP($C$541,'DB animal categories'!$C$191:$AC$200,27,FALSE)*AJ545,0))))</f>
        <v/>
      </c>
      <c r="AR545" s="184" t="str">
        <f>IF(D545="","",IF(AI545=2,('Calc (ex-animal)'!$R$102*'Calc (ex-housing, ex-storage)'!F545/100+'Calc (ex-animal)'!$Q$102*'Calc (ex-housing, ex-storage)'!F545/100)/VLOOKUP($C$541,'DB animal categories'!$C$191:$AC$200,27,FALSE)*AJ545+Y545+Z545+AA545,IF(AI545=1,'Calc (ex-animal)'!$R$102*'Calc (ex-housing, ex-storage)'!F545/100/VLOOKUP($C$541,'DB animal categories'!$C$191:$AC$200,27,FALSE)*AJ545,IF(AI545=4,('Calc (ex-animal)'!$R$102+'Calc (ex-animal)'!$Q$102)*'Calc (ex-housing, ex-storage)'!F545/100*VLOOKUP(D545,'DB technologies'!$N$252:$Y$264,11,FALSE)/100/VLOOKUP($C$541,'DB animal categories'!$C$191:$AC$200,27,FALSE)*AJ545,0))))</f>
        <v/>
      </c>
      <c r="AS545" s="183" t="str">
        <f>IF(D545="","",VLOOKUP(D545,'DB technologies'!$N$252:$Y$264,10,FALSE))</f>
        <v/>
      </c>
      <c r="AT545" s="452" t="str">
        <f>IF(AS545="","",AU545+AV545)</f>
        <v/>
      </c>
      <c r="AU545" s="452" t="str">
        <f>IF(D545="","",IF(AS545=2,0,IF(AS545=1,'Calc (ex-animal)'!$G$102*'DB additional information '!$K$21/100*(1-VLOOKUP(D545,'DB technologies'!$N$252:$Y$264,8,FALSE)/100)*'Calc (ex-housing, ex-storage)'!F545/100/VLOOKUP($C$541,'DB animal categories'!$C$191:$AC$200,27,FALSE)*AJ545+I545+J545+K545,IF(AS545=5,(('Calc (ex-animal)'!$G$102*'DB additional information '!$K$21/100+'Calc (ex-animal)'!$H$102*'DB additional information '!$L$21/100))*(1-VLOOKUP(D545,'DB technologies'!$N$252:$Y$264,9,FALSE)/100)*'Calc (ex-housing, ex-storage)'!F545/100/VLOOKUP($C$541,'DB animal categories'!$C$191:$AC$200,27,FALSE)*AJ545+I545+J545+K545,IF(AS545=3,('Calc (ex-animal)'!$G$102*'DB additional information '!$K$21/100+'Calc (ex-animal)'!$H$102*'DB additional information '!$L$21/100)*(1-VLOOKUP(D545,'DB technologies'!$N$252:$Y$264,9,FALSE)/100)*'Calc (ex-housing, ex-storage)'!F545/100/VLOOKUP($C$541,'DB animal categories'!$C$191:$AC$200,27,FALSE)*AJ545+I545+J545+K545,IF(AS545=4,('Calc (ex-animal)'!$G$102*'DB additional information '!$K$21/100+'Calc (ex-animal)'!$H$102*'DB additional information '!$L$21/100)*(1-VLOOKUP(D545,'DB technologies'!$N$252:$Y$264,9,FALSE)/100)*'Calc (ex-housing, ex-storage)'!F545/100*VLOOKUP(D545,'DB technologies'!$N$252:$Y$264,12,FALSE)/100/VLOOKUP($C$541,'DB animal categories'!$C$191:$AC$200,27,FALSE)*AJ545+I545+J545+K545,0))))))</f>
        <v/>
      </c>
      <c r="AV545" s="452" t="str">
        <f>IF(D545="","",IF(AS545=2,0,IF(AS545=1,'Calc (ex-animal)'!$G$102*(1-'DB additional information '!$K$21/100)*(1-VLOOKUP(D545,'DB technologies'!$N$252:$Y$264,8,FALSE)/100)*'Calc (ex-housing, ex-storage)'!F545/100/VLOOKUP($C$541,'DB animal categories'!$C$191:$AC$200,27,FALSE)*AJ545+M545+N545+O545,IF(AS545=5,('Calc (ex-animal)'!$G$102*(1-'DB additional information '!$K$21/100)+'Calc (ex-animal)'!$H$102*(1-'DB additional information '!$L$21/100))*(1-VLOOKUP(D545,'DB technologies'!$N$252:$Y$264,8,FALSE)/100)*'Calc (ex-housing, ex-storage)'!F545/100/VLOOKUP($C$541,'DB animal categories'!$C$191:$AC$200,27,FALSE)*AJ545+M545+N545+O545,IF(AS545=3,('Calc (ex-animal)'!$G$102*(1-'DB additional information '!$K$21/100)+'Calc (ex-animal)'!$H$102*(1-'DB additional information '!$L$21/100))*(1-VLOOKUP(D545,'DB technologies'!$N$252:$Y$264,8,FALSE)/100)*'Calc (ex-housing, ex-storage)'!F545/100/VLOOKUP($C$541,'DB animal categories'!$C$191:$AC$200,27,FALSE)*AJ545+M545+N545+O545,IF(AS545=4,('Calc (ex-animal)'!$G$102*(1-'DB additional information '!$K$21/100)+'Calc (ex-animal)'!$H$102*(1-'DB additional information '!$L$21/100))*(1-VLOOKUP(D545,'DB technologies'!$N$252:$Y$264,8,FALSE)/100)*'Calc (ex-housing, ex-storage)'!F545/100*VLOOKUP(D545,'DB technologies'!$N$252:$Y$264,12,FALSE)/100/VLOOKUP($C$541,'DB animal categories'!$C$191:$AC$200,27,FALSE)*AJ545+M545+N545+O545,0))))))</f>
        <v/>
      </c>
      <c r="AW545" s="452" t="str">
        <f>IF(AS545="","",IF(AU545=0,0,AU545/AT545*100))</f>
        <v/>
      </c>
      <c r="AX545" s="184" t="str">
        <f>IF(D545="","",IF(AS545=2,0,IF(AS545=1,'Calc (ex-animal)'!$K$102*'Calc (ex-housing, ex-storage)'!F545/100/VLOOKUP($C$541,'DB animal categories'!$C$191:$AC$200,27,FALSE)*AJ545+Q545+R545+S545,IF(AS545=5,('Calc (ex-animal)'!$K$102+'Calc (ex-animal)'!$L$102)*'Calc (ex-housing, ex-storage)'!F545/100/VLOOKUP($C$541,'DB animal categories'!$C$191:$AC$200,27,FALSE)*AJ545+Q545+R545+S545-'Calc (ex-housing, ex-storage)'!AC545,IF(AS545=3,('Calc (ex-animal)'!$K$102+'Calc (ex-animal)'!$L$102)*'Calc (ex-housing, ex-storage)'!F545/100/VLOOKUP($C$541,'DB animal categories'!$C$191:$AC$200,27,FALSE)*AJ545+Q545+R545+S545-'Calc (ex-housing, ex-storage)'!AC545-AD545-AE545,IF(AI545=4,('Calc (ex-animal)'!$K$102+'Calc (ex-animal)'!$L$102)*'Calc (ex-housing, ex-storage)'!F545/100*VLOOKUP(D545,'DB technologies'!$N$252:$Y$264,12,FALSE)/100/VLOOKUP($C$541,'DB animal categories'!$C$191:$AC$200,27,FALSE)*AJ545+Q545+R545+S545-(VLOOKUP(D545,'DB technologies'!$N$252:$Y$264,12,FALSE)/100*AC545)-AD545-AE545,0))))))</f>
        <v/>
      </c>
      <c r="AY545" s="184" t="str">
        <f>IF(D545="","",IF(AS545=2,0,IF(AS545=1,'Calc (ex-animal)'!$N$102*'Calc (ex-housing, ex-storage)'!F545/100/VLOOKUP($C$541,'DB animal categories'!$C$191:$AC$200,27,FALSE)*AJ545+U545+V545+W545,IF(AS545=5,('Calc (ex-animal)'!$N$102+'Calc (ex-animal)'!$O$102)*'Calc (ex-housing, ex-storage)'!F545/100/VLOOKUP($C$541,'DB animal categories'!$C$191:$AC$200,27,FALSE)*AJ545+U545+V545+W545,IF(AS545=3,('Calc (ex-animal)'!$N$102+'Calc (ex-animal)'!$O$102)*'Calc (ex-housing, ex-storage)'!F545/100/VLOOKUP($C$541,'DB animal categories'!$C$191:$AC$200,27,FALSE)*AJ545+U545+V545+W545,IF(AS545=4,('Calc (ex-animal)'!$N$102+'Calc (ex-animal)'!$O$102)*'Calc (ex-housing, ex-storage)'!F545/100*VLOOKUP(D545,'DB technologies'!$N$252:$Y$264,12,FALSE)/100/VLOOKUP($C$541,'DB animal categories'!$C$191:$AC$200,27,FALSE)*AJ545+U545+V545+W545,0))))))</f>
        <v/>
      </c>
      <c r="AZ545" s="184" t="str">
        <f>IF(D545="","",IF(AS545=2,0,IF(AS545=1,'Calc (ex-animal)'!$Q$102*'Calc (ex-housing, ex-storage)'!F545/100/VLOOKUP($C$541,'DB animal categories'!$C$191:$AC$200,27,FALSE)*AJ545+Y545+Z545+AA545,IF(AS545=5,('Calc (ex-animal)'!$Q$102+'Calc (ex-animal)'!$R$102)*'Calc (ex-housing, ex-storage)'!F545/100/VLOOKUP($C$541,'DB animal categories'!$C$191:$AC$200,27,FALSE)*AJ545+Y545+Z545+AA545,IF(AS545=3,('Calc (ex-animal)'!$Q$102+'Calc (ex-animal)'!$R$102)*'Calc (ex-housing, ex-storage)'!F545/100/VLOOKUP($C$541,'DB animal categories'!$C$191:$AC$200,27,FALSE)*AJ545+Y545+Z545+AA545,IF(AS545=4,('Calc (ex-animal)'!$Q$102+'Calc (ex-animal)'!$R$102)*'Calc (ex-housing, ex-storage)'!F545/100*VLOOKUP(D545,'DB technologies'!$N$252:$Y$264,12,FALSE)/100/VLOOKUP($C$541,'DB animal categories'!$C$191:$AC$200,27,FALSE)*AJ545+Y545+Z545+AA545,0))))))</f>
        <v/>
      </c>
      <c r="BA545" s="506"/>
      <c r="BB545" s="506"/>
      <c r="BC545" s="506"/>
    </row>
    <row r="546" spans="1:55" ht="12" thickBot="1" x14ac:dyDescent="0.25">
      <c r="A546" s="748"/>
      <c r="B546" s="696"/>
      <c r="C546" s="252"/>
      <c r="D546" s="269" t="s">
        <v>58</v>
      </c>
      <c r="E546" s="270">
        <f>IF(F546&lt;=100,SUM(E541:E545),"ERROR")</f>
        <v>0</v>
      </c>
      <c r="F546" s="284">
        <f>IF(SUM(F541:F545) &lt;=100,SUM(F541:F545),"ERROR, SUM&gt;100%")</f>
        <v>0</v>
      </c>
      <c r="G546" s="550">
        <f>IF('Calc (ex-animal)'!$F$98=1,"",SUM(G541:G545))</f>
        <v>0</v>
      </c>
      <c r="H546" s="418">
        <f>IF('Calc (ex-animal)'!$F$8=1,"",SUM(H541:H545))</f>
        <v>0</v>
      </c>
      <c r="I546" s="418">
        <f>IF('Calc (ex-animal)'!$F$8=1,"",SUM(I541:I545))</f>
        <v>0</v>
      </c>
      <c r="J546" s="418">
        <f>IF('Calc (ex-animal)'!$F$8=1,"",SUM(J541:J545))</f>
        <v>0</v>
      </c>
      <c r="K546" s="418">
        <f>IF('Calc (ex-animal)'!$F$8=1,"",SUM(K541:K545))</f>
        <v>0</v>
      </c>
      <c r="L546" s="418">
        <f>IF('Calc (ex-animal)'!$F$8=1,"",SUM(L541:L545))</f>
        <v>0</v>
      </c>
      <c r="M546" s="551"/>
      <c r="N546" s="551"/>
      <c r="O546" s="551"/>
      <c r="P546" s="552">
        <f>IF(G546=0,0,IF('Calc (ex-animal)'!$F$98=1,"",IF(D546="","",SUM(H546:K546)/G546*100)))</f>
        <v>0</v>
      </c>
      <c r="Q546" s="271"/>
      <c r="R546" s="271"/>
      <c r="S546" s="271"/>
      <c r="T546" s="278">
        <f>IF('Calc (ex-animal)'!$F$102=1,"",SUM(T541:T545))</f>
        <v>0</v>
      </c>
      <c r="U546" s="279"/>
      <c r="V546" s="279"/>
      <c r="W546" s="279"/>
      <c r="X546" s="279">
        <f>IF('Calc (ex-animal)'!$F$102=1,"",SUM(X541:X545))</f>
        <v>0</v>
      </c>
      <c r="Y546" s="279"/>
      <c r="Z546" s="279"/>
      <c r="AA546" s="279"/>
      <c r="AB546" s="279">
        <f>IF('Calc (ex-animal)'!$F$102=1,"",SUM(AB541:AB545))</f>
        <v>0</v>
      </c>
      <c r="AC546" s="279">
        <f>IF('Calc (ex-animal)'!$F$102=1,"",SUM(AC541:AC545))</f>
        <v>0</v>
      </c>
      <c r="AD546" s="279">
        <f>IF('Calc (ex-animal)'!$F$102=1,"",SUM(AD541:AD545))</f>
        <v>0</v>
      </c>
      <c r="AE546" s="280">
        <f>IF('Calc (ex-animal)'!$F$102=1,"",SUM(AE541:AE545))</f>
        <v>0</v>
      </c>
    </row>
    <row r="547" spans="1:55" x14ac:dyDescent="0.2">
      <c r="A547" s="748"/>
      <c r="B547" s="694" t="s">
        <v>208</v>
      </c>
      <c r="C547" s="254">
        <f>'Calc (ex-animal)'!D103</f>
        <v>0</v>
      </c>
      <c r="D547" s="1355"/>
      <c r="E547" s="1356"/>
      <c r="F547" s="479" t="str">
        <f>IF('Calc (ex-animal)'!$F$103=1,"",IF($C$547=0,"",IF(D547="","",E547/'Calc (ex-animal)'!$E$103*100)))</f>
        <v/>
      </c>
      <c r="G547" s="484" t="str">
        <f>IF($C$547=0,"",IF('Calc (ex-animal)'!$F$103=1,"",IF(D547="","",SUM(H547:O547))))</f>
        <v/>
      </c>
      <c r="H547" s="471" t="str">
        <f>IF('Calc (ex-animal)'!$F$103=1,"",IF(D547="","",(((VLOOKUP($C$547,'Calc (ex-animal)'!$D$103:$Y$107,6,FALSE)-VLOOKUP($C$547,'Calc (ex-animal)'!$D$103:$Y$107,17,FALSE))*F547/100))*VLOOKUP($C$547,'Calc (ex-animal)'!$D$103:$Y$107,7,FALSE)/100*(1-VLOOKUP(D547,'DB technologies'!$N$266:$Y$278,9,FALSE)/100)))</f>
        <v/>
      </c>
      <c r="I547" s="471" t="str">
        <f>IF(D547="","",((VLOOKUP(D547,'DB technologies'!$N$266:$Y$278,2,FALSE)*VLOOKUP($C$547,'DB animal categories'!$C$201:$AC$210,27,FALSE)*E547/1000)/VLOOKUP($C$547,'DB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'!$S$6/100*(1-VLOOKUP(D547,'DB technologies'!$N$266:$Y$278,9,FALSE)/100)))</f>
        <v/>
      </c>
      <c r="J547" s="472" t="str">
        <f>IF(D547="","",((VLOOKUP(D547,'DB technologies'!$N$266:$Y$278,3,FALSE)*VLOOKUP($C$547,'DB animal categories'!$C$201:$AC$210,27,FALSE)*E547/1000)/VLOOKUP($C$547,'DB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'!$S$7/100*(1-VLOOKUP(D547,'DB technologies'!$N$266:$Y$278,9,FALSE)/100)))</f>
        <v/>
      </c>
      <c r="K547" s="472" t="str">
        <f>IF(D547="","",((VLOOKUP(D547,'DB technologies'!$N$266:$Y$278,4,FALSE)*E547*'DB additional information '!$S$8/100*(1-VLOOKUP(D547,'DB technologies'!$N$266:$Y$278,9,FALSE)/100))/VLOOKUP($C$547,'DB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L547" s="471" t="str">
        <f>IF('Calc (ex-animal)'!$F$103=1,"",IF(D547="","",(((VLOOKUP($C$547,'Calc (ex-animal)'!$D$103:$Y$107,6,FALSE)-VLOOKUP($C$547,'Calc (ex-animal)'!$D$103:$Y$107,17,FALSE))*F547/100))*(1-VLOOKUP($C$547,'Calc (ex-animal)'!$D$103:$Y$107,7,FALSE)/100)*(1-VLOOKUP(D547,'DB technologies'!$N$266:$V$278,8,FALSE)/100)))</f>
        <v/>
      </c>
      <c r="M547" s="472" t="str">
        <f>IF(D547="","",((VLOOKUP(D547,'DB technologies'!$N$266:$Y$278,2,FALSE)*VLOOKUP($C$547,'DB animal categories'!$C$201:$AC$210,27,FALSE)*E547/1000)/VLOOKUP($C$547,'DB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'!$S$6/100)*(1-VLOOKUP(D547,'DB technologies'!$N$266:$Y$278,9,FALSE)/100))</f>
        <v/>
      </c>
      <c r="N547" s="472" t="str">
        <f>IF(D547="","",((VLOOKUP(D547,'DB technologies'!$N$266:$Y$278,3,FALSE)*VLOOKUP($C$547,'DB animal categories'!$C$201:$AC$210,27,FALSE)*E547/1000)/VLOOKUP($C$547,'DB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'!$S$7/100)*(1-VLOOKUP(D547,'DB technologies'!$N$266:$Y$278,9,FALSE)/100))</f>
        <v/>
      </c>
      <c r="O547" s="471" t="str">
        <f>IF(D547="","",((VLOOKUP(D547,'DB technologies'!$N$266:$Y$278,4,FALSE)*E547*(1-'DB additional information '!$S$8/100)*(1-VLOOKUP(D547,'DB technologies'!$N$266:$Y$278,8,FALSE)/100))/VLOOKUP($C$547,'DB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P547" s="443" t="str">
        <f>IF(G547=0,0,IF(E547="","",IF(F547="","",IF($C$547=0,"",IF(D547="","",SUM(H547:K547)/G547*100)))))</f>
        <v/>
      </c>
      <c r="Q547" s="473" t="str">
        <f>IF(D547="","",(VLOOKUP(D547,'DB technologies'!$N$266:$Y$278,2,FALSE)*'DB additional information '!$S$6/100*'DB additional information '!$T$6*VLOOKUP($C$547,'DB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R547" s="473" t="str">
        <f>IF(D547="","",(VLOOKUP(D547,'DB technologies'!$N$266:$Y$278,3,FALSE)*'DB additional information '!$S$7/100*'DB additional information '!$T$7*VLOOKUP($C$547,'DB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S547" s="490" t="str">
        <f>IF(D547="","",(VLOOKUP(D547,'DB technologies'!$N$266:$Y$278,4,FALSE)*('DB additional information '!$S$8/100*'DB additional information '!$T$8*E547/1000/1000)))</f>
        <v/>
      </c>
      <c r="T547" s="263" t="str">
        <f>IF($C$547=0,"",IF('Calc (ex-animal)'!$F$103=1,"",IF(D547="","",((VLOOKUP($C$547,'Calc (ex-animal)'!$D$103:$Y$107,10,FALSE)-VLOOKUP($C$547,'Calc (ex-animal)'!$D$103:$Y$107,18,FALSE))*F547/100+Q547+R547+S547)-AC547-AD547-AE547)))</f>
        <v/>
      </c>
      <c r="U547" s="474" t="str">
        <f>IF(D547="","",(VLOOKUP(D547,'DB technologies'!$N$266:$Y$278,2,FALSE)*'DB additional information '!$S$6/100*'DB additional information '!$U$6*VLOOKUP($C$547,'DB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V547" s="420" t="str">
        <f>IF(D547="","",(VLOOKUP(D547,'DB technologies'!$N$266:$Y$278,3,FALSE)*'DB additional information '!$S$7/100*'DB additional information '!$U$7*VLOOKUP($C$547,'DB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W547" s="415" t="str">
        <f>IF(D547="","",(VLOOKUP(D547,'DB technologies'!$N$266:$Y$278,4,FALSE)*('DB additional information '!$S$8/100*'DB additional information '!$U$8*E547/1000/1000)))</f>
        <v/>
      </c>
      <c r="X547" s="259" t="str">
        <f>IF($C$547=0,"",IF('Calc (ex-animal)'!$F$103=1,"",IF(D547="","",((VLOOKUP($C$547,'Calc (ex-animal)'!$D$103:$Y$107,13,FALSE)-VLOOKUP($C$547,'Calc (ex-animal)'!$D$103:$Y$107,19,FALSE))*F547/100+U547+V547+W547))))</f>
        <v/>
      </c>
      <c r="Y547" s="420" t="str">
        <f>IF(D547="","",(VLOOKUP(D547,'DB technologies'!$N$266:$Y$278,2,FALSE)*'DB additional information '!$S$6/100*'DB additional information '!$V$6*VLOOKUP($C$547,'DB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Z547" s="420" t="str">
        <f>IF(D547="","",(VLOOKUP(D547,'DB technologies'!$N$266:$Y$278,3,FALSE)*'DB additional information '!$S$7/100*'DB additional information '!$V$7*VLOOKUP($C$547,'DB animal categories'!$C$201:$AC$210,27,FALSE)*E547/1000/1000)/VLOOKUP($C$547,'DB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AA547" s="420" t="str">
        <f>IF(D547="","",(VLOOKUP(D547,'DB technologies'!$N$266:$Y$278,4,FALSE)*('DB additional information '!$S$8/100*'DB additional information '!$V$8*E547/1000/1000)))</f>
        <v/>
      </c>
      <c r="AB547" s="259" t="str">
        <f>IF($C$547=0,"",IF('Calc (ex-animal)'!$F$103=1,"",IF(D547="","",((VLOOKUP($C$547,'Calc (ex-animal)'!$D$103:$Y$107,16,FALSE)-VLOOKUP($C$547,'Calc (ex-animal)'!$D$103:$Y$107,20,FALSE))*F547/100+Y547+Z547+AA547))))</f>
        <v/>
      </c>
      <c r="AC547" s="259" t="str">
        <f>IF($C$547=0,"",IF('Calc (ex-animal)'!$F$103=1,"",IF(D547="","",VLOOKUP($C$547,'Calc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categories'!$C$201:$AC$210,26,FALSE)/24)*F547/100*VLOOKUP(D547,'DB technologies'!$N$266:$R$278,5,FALSE)/100)))</f>
        <v/>
      </c>
      <c r="AD547" s="259" t="str">
        <f>IF($C$547=0,"",IF('Calc (ex-animal)'!$F$103=1,"",IF(D547="","",VLOOKUP($C$547,'Calc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categories'!$C$201:$AC$210,26,FALSE)/24)*F547/100*VLOOKUP(D547,'DB technologies'!$N$266:$Y$278,6,FALSE)/100)))</f>
        <v/>
      </c>
      <c r="AE547" s="260" t="str">
        <f>IF($C$547=0,"",IF('Calc (ex-animal)'!$F$103=1,"",IF(D547="","",VLOOKUP($C$547,'Calc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categories'!$C$201:$AC$210,26,FALSE)/24)*F547/100*VLOOKUP(D547,'DB technologies'!$N$266:$Y$278,7,FALSE)/100)))</f>
        <v/>
      </c>
      <c r="AI547" s="179" t="str">
        <f>IF(D547="","",VLOOKUP(D547,'DB technologies'!$N$266:$Y$278,10,FALSE))</f>
        <v/>
      </c>
      <c r="AJ547" s="482" t="e">
        <f>VLOOKUP($C$547,'DB animal categories'!$C$201:$AN$210,27,FALSE)-VLOOKUP($C$547,'DB animal categories'!$C$201:$AN$210,26,FALSE)*VLOOKUP($C$547,'DB animal categories'!$C$201:$AN$210,25,FALSE)/24</f>
        <v>#N/A</v>
      </c>
      <c r="AK547" s="453" t="str">
        <f>IF(AI547="","",AL547+AM547)</f>
        <v/>
      </c>
      <c r="AL547" s="453" t="str">
        <f>IF(D547="","",IF(AI547=2,(('Calc (ex-animal)'!$G$103*'DB additional information '!$K$22/100*(1-VLOOKUP(D547,'DB technologies'!$N$266:$Y$278,9,FALSE)/100)*'Calc (ex-housing, ex-storage)'!F547/100+'Calc (ex-animal)'!$H$103*'DB additional information '!$L$22/100*(1-VLOOKUP(D547,'DB technologies'!$N$266:$Y$278,9,FALSE)/100)*'Calc (ex-housing, ex-storage)'!F547/100))/VLOOKUP($C$547,'DB animal categories'!$C$201:$AC$210,27,FALSE)*AJ547+I547+J547+K547,IF(AI547=1,('Calc (ex-animal)'!$H$103*'DB additional information '!$L$22/100*(1-VLOOKUP(D547,'DB technologies'!$N$266:$Y$278,9,FALSE)/100)*'Calc (ex-housing, ex-storage)'!F547/100)/VLOOKUP($C$547,'DB animal categories'!$C$201:$AC$210,27,FALSE)*AJ547,IF(AI547=4,('Calc (ex-animal)'!$G$103*'DB additional information '!$K$22/100+'Calc (ex-animal)'!$H$103*'DB additional information '!$L$22/100)*(1-VLOOKUP(D547,'DB technologies'!$N$266:$Y$278,9,FALSE)/100)*'Calc (ex-housing, ex-storage)'!F547/100*VLOOKUP(D547,'DB technologies'!$N$266:$Y$278,11,FALSE)/100/VLOOKUP($C$547,'DB animal categories'!$C$201:$AC$210,27,FALSE)*AJ547,0))))</f>
        <v/>
      </c>
      <c r="AM547" s="453" t="str">
        <f>IF(D547="","",IF(AI547=2,(('Calc (ex-animal)'!$G$103*(1-'DB additional information '!$K$22/100)*(1-VLOOKUP(D547,'DB technologies'!$N$266:$Y$278,8,FALSE)/100)*'Calc (ex-housing, ex-storage)'!F547/100+'Calc (ex-animal)'!$H$103*(1-'DB additional information '!$L$22/100)*(1-VLOOKUP(D547,'DB technologies'!$N$266:$Y$278,8,FALSE)/100)*'Calc (ex-housing, ex-storage)'!F547/100))/VLOOKUP($C$547,'DB animal categories'!$C$201:$AC$210,27,FALSE)*AJ547+M547+N547+O547,IF(AI547=1,('Calc (ex-animal)'!$H$103*(1-'DB additional information '!$L$22/100)*(1-VLOOKUP(D547,'DB technologies'!$N$266:$Y$278,8,FALSE)/100)*'Calc (ex-housing, ex-storage)'!F547/100)/VLOOKUP($C$547,'DB animal categories'!$C$201:$AC$210,27,FALSE)*AJ547,IF(AI547=4,('Calc (ex-animal)'!$G$103*(1-'DB additional information '!$K$22/100)+'Calc (ex-animal)'!$H$103*(1-'DB additional information '!$L$22/100))*(1-VLOOKUP(D547,'DB technologies'!$N$266:$Y$278,8,FALSE)/100)*'Calc (ex-housing, ex-storage)'!F547/100*VLOOKUP(D547,'DB technologies'!$N$266:$Y$278,11,FALSE)/100/VLOOKUP($C$547,'DB animal categories'!$C$201:$AC$210,27,FALSE)*AJ547,0))))</f>
        <v/>
      </c>
      <c r="AN547" s="453" t="str">
        <f>IF(AI547="","",IF(AL547=0,0,AL547/AK547*100))</f>
        <v/>
      </c>
      <c r="AO547" s="180" t="str">
        <f>IF(D547="","",IF(AI547=2,(('Calc (ex-animal)'!$L$103*'Calc (ex-housing, ex-storage)'!F547/100+'Calc (ex-animal)'!$K$103*'Calc (ex-housing, ex-storage)'!F547/100))/VLOOKUP($C$547,'DB animal categories'!$C$201:$AC$210,27,FALSE)*AJ547+Q547+R547+S547-AC547,IF(AI547=1,('Calc (ex-animal)'!$L$103*'Calc (ex-housing, ex-storage)'!F547/100)/VLOOKUP($C$547,'DB animal categories'!$C$201:$AC$210,27,FALSE)*AJ547-'Calc (ex-housing, ex-storage)'!AC547,IF(AI547=4,('Calc (ex-animal)'!$L$103+'Calc (ex-animal)'!$K$103)*'Calc (ex-housing, ex-storage)'!F547/100*VLOOKUP(D547,'DB technologies'!$N$266:$Y$278,11,FALSE)/100/VLOOKUP($C$547,'DB animal categories'!$C$201:$AC$210,27,FALSE)*AJ547-AC547*VLOOKUP(D547,'DB technologies'!$N$266:$Y$278,11,FALSE)/100,0))))</f>
        <v/>
      </c>
      <c r="AP547" s="180" t="str">
        <f>IF(D547="","",IF(AO547&lt;-0.01,0,IF(AI547=2,(('Calc (ex-animal)'!$L$103*'Calc (ex-housing, ex-storage)'!F547/100+'Calc (ex-animal)'!$K$103*'Calc (ex-housing, ex-storage)'!F547/100))/VLOOKUP($C$547,'DB animal categories'!$C$201:$AC$210,27,FALSE)*AJ547+Q547+R547+S547-AC547,IF(AI547=1,('Calc (ex-animal)'!$L$103*'Calc (ex-housing, ex-storage)'!F547/100)/VLOOKUP($C$547,'DB animal categories'!$C$201:$AC$210,27,FALSE)*AJ547-'Calc (ex-housing, ex-storage)'!AC547,IF(AI547=4,('Calc (ex-animal)'!$L$103+'Calc (ex-animal)'!$K$103)*'Calc (ex-housing, ex-storage)'!F547/100*VLOOKUP(D547,'DB technologies'!$N$266:$Y$278,11,FALSE)/100/VLOOKUP($C$547,'DB animal categories'!$C$201:$AC$210,27,FALSE)*AJ547-AC547*VLOOKUP(D547,'DB technologies'!$N$266:$Y$278,11,FALSE)/100,0)))))</f>
        <v/>
      </c>
      <c r="AQ547" s="180" t="str">
        <f>IF(D547="","",IF(AI547=2,('Calc (ex-animal)'!$O$103*'Calc (ex-housing, ex-storage)'!F547/100+'Calc (ex-animal)'!$N$103*'Calc (ex-housing, ex-storage)'!F547/100)/VLOOKUP($C$547,'DB animal categories'!$C$201:$AC$210,27,FALSE)*AJ547+U547+V547+W547,IF(AI547=1,'Calc (ex-animal)'!$O$103*'Calc (ex-housing, ex-storage)'!F547/100/VLOOKUP($C$547,'DB animal categories'!$C$201:$AC$210,27,FALSE)*AJ547,IF(AI547=4,('Calc (ex-animal)'!$O$103+'Calc (ex-animal)'!$N$103)*'Calc (ex-housing, ex-storage)'!F547/100*VLOOKUP(D547,'DB technologies'!$N$266:$Y$278,11,FALSE)/100/VLOOKUP($C$547,'DB animal categories'!$C$201:$AC$210,27,FALSE)*AJ547,0))))</f>
        <v/>
      </c>
      <c r="AR547" s="180" t="str">
        <f>IF(D547="","",IF(AI547=2,('Calc (ex-animal)'!$R$103*'Calc (ex-housing, ex-storage)'!F547/100+'Calc (ex-animal)'!$Q$103*'Calc (ex-housing, ex-storage)'!F547/100)/VLOOKUP($C$547,'DB animal categories'!$C$201:$AC$210,27,FALSE)*AJ547+Y547+Z547+AA547,IF(AI547=1,'Calc (ex-animal)'!$R$103*'Calc (ex-housing, ex-storage)'!F547/100/VLOOKUP($C$547,'DB animal categories'!$C$201:$AC$210,27,FALSE)*AJ547,IF(AI547=4,('Calc (ex-animal)'!$R$103+'Calc (ex-animal)'!$Q$103)*'Calc (ex-housing, ex-storage)'!F547/100*VLOOKUP(D547,'DB technologies'!$N$266:$Y$278,11,FALSE)/100/VLOOKUP($C$547,'DB animal categories'!$C$201:$AC$210,27,FALSE)*AJ547,0))))</f>
        <v/>
      </c>
      <c r="AS547" s="179" t="str">
        <f>IF(D547="","",VLOOKUP(D547,'DB technologies'!$N$266:$Y$278,10,FALSE))</f>
        <v/>
      </c>
      <c r="AT547" s="453" t="str">
        <f>IF(AS547="","",AU547+AV547)</f>
        <v/>
      </c>
      <c r="AU547" s="453" t="str">
        <f>IF(D547="","",IF(AS547=2,0,IF(AS547=1,'Calc (ex-animal)'!$G$103*'DB additional information '!$K$22/100*(1-VLOOKUP(D547,'DB technologies'!$N$266:$Y$278,8,FALSE)/100)*'Calc (ex-housing, ex-storage)'!F547/100/VLOOKUP($C$547,'DB animal categories'!$C$201:$AC$210,27,FALSE)*AJ547+I547+J547+K547,IF(AS547=5,(('Calc (ex-animal)'!$G$103*'DB additional information '!$K$22/100+'Calc (ex-animal)'!$H$103*'DB additional information '!$L$22/100))*(1-VLOOKUP(D547,'DB technologies'!$N$266:$Y$278,9,FALSE)/100)*'Calc (ex-housing, ex-storage)'!F547/100/VLOOKUP($C$547,'DB animal categories'!$C$201:$AC$210,27,FALSE)*AJ547+I547+J547+K547,IF(AS547=3,('Calc (ex-animal)'!$G$103*'DB additional information '!$K$22/100+'Calc (ex-animal)'!$H$103*'DB additional information '!$L$22/100)*(1-VLOOKUP(D547,'DB technologies'!$N$266:$Y$278,9,FALSE)/100)*'Calc (ex-housing, ex-storage)'!F547/100/VLOOKUP($C$547,'DB animal categories'!$C$201:$AC$210,27,FALSE)*AJ547+I547+J547+K547,IF(AS547=4,('Calc (ex-animal)'!$G$103*'DB additional information '!$K$22/100+'Calc (ex-animal)'!$H$103*'DB additional information '!$L$22/100)*(1-VLOOKUP(D547,'DB technologies'!$N$266:$Y$278,9,FALSE)/100)*'Calc (ex-housing, ex-storage)'!F547/100*VLOOKUP(D547,'DB technologies'!$N$266:$Y$278,12,FALSE)/100/VLOOKUP($C$547,'DB animal categories'!$C$201:$AC$210,27,FALSE)*AJ547+I547+J547+K547,0))))))</f>
        <v/>
      </c>
      <c r="AV547" s="453" t="str">
        <f>IF(D547="","",IF(AS547=2,0,IF(AS547=1,'Calc (ex-animal)'!$G$103*(1-'DB additional information '!$K$22/100)*(1-VLOOKUP(D547,'DB technologies'!$N$266:$Y$278,8,FALSE)/100)*'Calc (ex-housing, ex-storage)'!F547/100/VLOOKUP($C$547,'DB animal categories'!$C$201:$AC$210,27,FALSE)*AJ547+M547+N547+O547,IF(AS547=5,('Calc (ex-animal)'!$G$103*(1-'DB additional information '!$K$22/100)+'Calc (ex-animal)'!$H$103*(1-'DB additional information '!$L$22/100))*(1-VLOOKUP(D547,'DB technologies'!$N$266:$Y$278,8,FALSE)/100)*'Calc (ex-housing, ex-storage)'!F547/100/VLOOKUP($C$547,'DB animal categories'!$C$201:$AC$210,27,FALSE)*AJ547+M547+N547+O547,IF(AS547=3,('Calc (ex-animal)'!$G$103*(1-'DB additional information '!$K$22/100)+'Calc (ex-animal)'!$H$103*(1-'DB additional information '!$L$22/100))*(1-VLOOKUP(D547,'DB technologies'!$N$266:$Y$278,8,FALSE)/100)*'Calc (ex-housing, ex-storage)'!F547/100/VLOOKUP($C$547,'DB animal categories'!$C$201:$AC$210,27,FALSE)*AJ547+M547+N547+O547,IF(AS547=4,('Calc (ex-animal)'!$G$103*(1-'DB additional information '!$K$22/100)+'Calc (ex-animal)'!$H$103*(1-'DB additional information '!$L$22/100))*(1-VLOOKUP(D547,'DB technologies'!$N$266:$Y$278,8,FALSE)/100)*'Calc (ex-housing, ex-storage)'!F547/100*VLOOKUP(D547,'DB technologies'!$N$266:$Y$278,12,FALSE)/100/VLOOKUP($C$547,'DB animal categories'!$C$201:$AC$210,27,FALSE)*AJ547+M547+N547+O547,0))))))</f>
        <v/>
      </c>
      <c r="AW547" s="453" t="str">
        <f>IF(AS547="","",IF(AU547=0,0,AU547/AT547*100))</f>
        <v/>
      </c>
      <c r="AX547" s="180" t="str">
        <f>IF(D547="","",IF(AS547=2,0,IF(AS547=1,'Calc (ex-animal)'!$K$103*'Calc (ex-housing, ex-storage)'!F547/100/VLOOKUP($C$547,'DB animal categories'!$C$201:$AC$210,27,FALSE)*AJ547+Q547+R547+S547,IF(AS547=5,('Calc (ex-animal)'!$K$103+'Calc (ex-animal)'!$L$103)*'Calc (ex-housing, ex-storage)'!F547/100/VLOOKUP($C$547,'DB animal categories'!$C$201:$AC$210,27,FALSE)*AJ547+Q547+R547+S547-'Calc (ex-housing, ex-storage)'!AC547,IF(AS547=3,('Calc (ex-animal)'!$K$103+'Calc (ex-animal)'!$L$103)*'Calc (ex-housing, ex-storage)'!F547/100/VLOOKUP($C$547,'DB animal categories'!$C$201:$AC$210,27,FALSE)*AJ547+Q547+R547+S547-'Calc (ex-housing, ex-storage)'!AC547-AD547-AE547,IF(AI547=4,('Calc (ex-animal)'!$K$103+'Calc (ex-animal)'!$L$103)*'Calc (ex-housing, ex-storage)'!F547/100*VLOOKUP(D547,'DB technologies'!$N$266:$Y$278,12,FALSE)/100/VLOOKUP($C$547,'DB animal categories'!$C$201:$AC$210,27,FALSE)*AJ547+Q547+R547+S547-(VLOOKUP(D547,'DB technologies'!$N$266:$Y$278,12,FALSE)/100*AC547)-AD547-AE547,0))))))</f>
        <v/>
      </c>
      <c r="AY547" s="180" t="str">
        <f>IF(D547="","",IF(AS547=2,0,IF(AS547=1,'Calc (ex-animal)'!$N$103*'Calc (ex-housing, ex-storage)'!F547/100/VLOOKUP($C$547,'DB animal categories'!$C$201:$AC$210,27,FALSE)*AJ547+U547+V547+W547,IF(AS547=5,('Calc (ex-animal)'!$N$103+'Calc (ex-animal)'!$O$103)*'Calc (ex-housing, ex-storage)'!F547/100/VLOOKUP($C$547,'DB animal categories'!$C$201:$AC$210,27,FALSE)*AJ547+U547+V547+W547,IF(AS547=3,('Calc (ex-animal)'!$N$103+'Calc (ex-animal)'!$O$103)*'Calc (ex-housing, ex-storage)'!F547/100/VLOOKUP($C$547,'DB animal categories'!$C$201:$AC$210,27,FALSE)*AJ547+U547+V547+W547,IF(AS547=4,('Calc (ex-animal)'!$N$103+'Calc (ex-animal)'!$O$103)*'Calc (ex-housing, ex-storage)'!F547/100*VLOOKUP(D547,'DB technologies'!$N$266:$Y$278,12,FALSE)/100/VLOOKUP($C$547,'DB animal categories'!$C$201:$AC$210,27,FALSE)*AJ547+U547+V547+W547,0))))))</f>
        <v/>
      </c>
      <c r="AZ547" s="180" t="str">
        <f>IF(D547="","",IF(AS547=2,0,IF(AS547=1,'Calc (ex-animal)'!$Q$103*'Calc (ex-housing, ex-storage)'!F547/100/VLOOKUP($C$547,'DB animal categories'!$C$201:$AC$210,27,FALSE)*AJ547+Y547+Z547+AA547,IF(AS547=5,('Calc (ex-animal)'!$Q$103+'Calc (ex-animal)'!$R$103)*'Calc (ex-housing, ex-storage)'!F547/100/VLOOKUP($C$547,'DB animal categories'!$C$201:$AC$210,27,FALSE)*AJ547+Y547+Z547+AA547,IF(AS547=3,('Calc (ex-animal)'!$Q$103+'Calc (ex-animal)'!$R$103)*'Calc (ex-housing, ex-storage)'!F547/100/VLOOKUP($C$547,'DB animal categories'!$C$201:$AC$210,27,FALSE)*AJ547+Y547+Z547+AA547,IF(AS547=4,('Calc (ex-animal)'!$Q$103+'Calc (ex-animal)'!$R$103)*'Calc (ex-housing, ex-storage)'!F547/100*VLOOKUP(D547,'DB technologies'!$N$266:$Y$278,12,FALSE)/100/VLOOKUP($C$547,'DB animal categories'!$C$201:$AC$210,27,FALSE)*AJ547+Y547+Z547+AA547,0))))))</f>
        <v/>
      </c>
      <c r="BA547" s="506"/>
      <c r="BB547" s="506"/>
      <c r="BC547" s="506"/>
    </row>
    <row r="548" spans="1:55" x14ac:dyDescent="0.2">
      <c r="A548" s="748"/>
      <c r="B548" s="695"/>
      <c r="C548" s="255"/>
      <c r="D548" s="1357"/>
      <c r="E548" s="1358"/>
      <c r="F548" s="480" t="str">
        <f>IF('Calc (ex-animal)'!$F$103=1,"",IF($C$547=0,"",IF(D548="","",E548/'Calc (ex-animal)'!$E$103*100)))</f>
        <v/>
      </c>
      <c r="G548" s="485" t="str">
        <f>IF($C$547=0,"",IF('Calc (ex-animal)'!$F$103=1,"",IF(D548="","",SUM(H548:O548))))</f>
        <v/>
      </c>
      <c r="H548" s="423" t="str">
        <f>IF('Calc (ex-animal)'!$F$103=1,"",IF(D548="","",(((VLOOKUP($C$547,'Calc (ex-animal)'!$D$103:$Y$107,6,FALSE)-VLOOKUP($C$547,'Calc (ex-animal)'!$D$103:$Y$107,17,FALSE))*F548/100))*VLOOKUP($C$547,'Calc (ex-animal)'!$D$103:$Y$107,7,FALSE)/100*(1-VLOOKUP(D548,'DB technologies'!$N$266:$Y$278,9,FALSE)/100)))</f>
        <v/>
      </c>
      <c r="I548" s="423" t="str">
        <f>IF(D548="","",((VLOOKUP(D548,'DB technologies'!$N$266:$Y$278,2,FALSE)*VLOOKUP($C$547,'DB animal categories'!$C$201:$AC$210,27,FALSE)*E548/1000)/VLOOKUP($C$547,'DB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'!$S$6/100*(1-VLOOKUP(D548,'DB technologies'!$N$266:$Y$278,9,FALSE)/100)))</f>
        <v/>
      </c>
      <c r="J548" s="434" t="str">
        <f>IF(D548="","",((VLOOKUP(D548,'DB technologies'!$N$266:$Y$278,3,FALSE)*VLOOKUP($C$547,'DB animal categories'!$C$201:$AC$210,27,FALSE)*E548/1000)/VLOOKUP($C$547,'DB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'!$S$7/100*(1-VLOOKUP(D548,'DB technologies'!$N$266:$Y$278,9,FALSE)/100)))</f>
        <v/>
      </c>
      <c r="K548" s="434" t="str">
        <f>IF(D548="","",((VLOOKUP(D548,'DB technologies'!$N$266:$Y$278,4,FALSE)*E548*'DB additional information '!$S$8/100*(1-VLOOKUP(D548,'DB technologies'!$N$266:$Y$278,9,FALSE)/100))/VLOOKUP($C$547,'DB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L548" s="423" t="str">
        <f>IF('Calc (ex-animal)'!$F$103=1,"",IF(D548="","",(((VLOOKUP($C$547,'Calc (ex-animal)'!$D$103:$Y$107,6,FALSE)-VLOOKUP($C$547,'Calc (ex-animal)'!$D$103:$Y$107,17,FALSE))*F548/100))*(1-VLOOKUP($C$547,'Calc (ex-animal)'!$D$103:$Y$107,7,FALSE)/100)*(1-VLOOKUP(D548,'DB technologies'!$N$266:$V$278,8,FALSE)/100)))</f>
        <v/>
      </c>
      <c r="M548" s="434" t="str">
        <f>IF(D548="","",((VLOOKUP(D548,'DB technologies'!$N$266:$Y$278,2,FALSE)*VLOOKUP($C$547,'DB animal categories'!$C$201:$AC$210,27,FALSE)*E548/1000)/VLOOKUP($C$547,'DB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'!$S$6/100)*(1-VLOOKUP(D548,'DB technologies'!$N$266:$Y$278,9,FALSE)/100))</f>
        <v/>
      </c>
      <c r="N548" s="434" t="str">
        <f>IF(D548="","",((VLOOKUP(D548,'DB technologies'!$N$266:$Y$278,3,FALSE)*VLOOKUP($C$547,'DB animal categories'!$C$201:$AC$210,27,FALSE)*E548/1000)/VLOOKUP($C$547,'DB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'!$S$7/100)*(1-VLOOKUP(D548,'DB technologies'!$N$266:$Y$278,9,FALSE)/100))</f>
        <v/>
      </c>
      <c r="O548" s="423" t="str">
        <f>IF(D548="","",((VLOOKUP(D548,'DB technologies'!$N$266:$Y$278,4,FALSE)*E548*(1-'DB additional information '!$S$8/100)*(1-VLOOKUP(D548,'DB technologies'!$N$266:$Y$278,8,FALSE)/100))/VLOOKUP($C$547,'DB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P548" s="438" t="str">
        <f>IF(G548=0,0,IF(E548="","",IF(F548="","",IF($C$547=0,"",IF(D548="","",SUM(H548:K548)/G548*100)))))</f>
        <v/>
      </c>
      <c r="Q548" s="416" t="str">
        <f>IF(D548="","",(VLOOKUP(D548,'DB technologies'!$N$266:$Y$278,2,FALSE)*'DB additional information '!$S$6/100*'DB additional information '!$T$6*VLOOKUP($C$547,'DB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R548" s="416" t="str">
        <f>IF(D548="","",(VLOOKUP(D548,'DB technologies'!$N$266:$Y$278,3,FALSE)*'DB additional information '!$S$7/100*'DB additional information '!$T$7*VLOOKUP($C$547,'DB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S548" s="491" t="str">
        <f>IF(D548="","",(VLOOKUP(D548,'DB technologies'!$N$266:$Y$278,4,FALSE)*('DB additional information '!$S$8/100*'DB additional information '!$T$8*E548/1000/1000)))</f>
        <v/>
      </c>
      <c r="T548" s="264" t="str">
        <f>IF($C$547=0,"",IF('Calc (ex-animal)'!$F$103=1,"",IF(D548="","",((VLOOKUP($C$547,'Calc (ex-animal)'!$D$103:$Y$107,10,FALSE)-VLOOKUP($C$547,'Calc (ex-animal)'!$D$103:$Y$107,18,FALSE))*F548/100+Q548+R548+S548)-AC548-AD548-AE548)))</f>
        <v/>
      </c>
      <c r="U548" s="422" t="str">
        <f>IF(D548="","",(VLOOKUP(D548,'DB technologies'!$N$266:$Y$278,2,FALSE)*'DB additional information '!$S$6/100*'DB additional information '!$U$6*VLOOKUP($C$547,'DB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V548" s="418" t="str">
        <f>IF(D548="","",(VLOOKUP(D548,'DB technologies'!$N$266:$Y$278,3,FALSE)*'DB additional information '!$S$7/100*'DB additional information '!$U$7*VLOOKUP($C$547,'DB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W548" s="417" t="str">
        <f>IF(D548="","",(VLOOKUP(D548,'DB technologies'!$N$266:$Y$278,4,FALSE)*('DB additional information '!$S$8/100*'DB additional information '!$U$8*E548/1000/1000)))</f>
        <v/>
      </c>
      <c r="X548" s="261" t="str">
        <f>IF($C$547=0,"",IF('Calc (ex-animal)'!$F$103=1,"",IF(D548="","",((VLOOKUP($C$547,'Calc (ex-animal)'!$D$103:$Y$107,13,FALSE)-VLOOKUP($C$547,'Calc (ex-animal)'!$D$103:$Y$107,19,FALSE))*F548/100+U548+V548+W548))))</f>
        <v/>
      </c>
      <c r="Y548" s="418" t="str">
        <f>IF(D548="","",(VLOOKUP(D548,'DB technologies'!$N$266:$Y$278,2,FALSE)*'DB additional information '!$S$6/100*'DB additional information '!$V$6*VLOOKUP($C$547,'DB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Z548" s="418" t="str">
        <f>IF(D548="","",(VLOOKUP(D548,'DB technologies'!$N$266:$Y$278,3,FALSE)*'DB additional information '!$S$7/100*'DB additional information '!$V$7*VLOOKUP($C$547,'DB animal categories'!$C$201:$AC$210,27,FALSE)*E548/1000/1000)/VLOOKUP($C$547,'DB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AA548" s="418" t="str">
        <f>IF(D548="","",(VLOOKUP(D548,'DB technologies'!$N$266:$Y$278,4,FALSE)*('DB additional information '!$S$8/100*'DB additional information '!$V$8*E548/1000/1000)))</f>
        <v/>
      </c>
      <c r="AB548" s="261" t="str">
        <f>IF($C$547=0,"",IF('Calc (ex-animal)'!$F$103=1,"",IF(D548="","",((VLOOKUP($C$547,'Calc (ex-animal)'!$D$103:$Y$107,16,FALSE)-VLOOKUP($C$547,'Calc (ex-animal)'!$D$103:$Y$107,20,FALSE))*F548/100+Y548+Z548+AA548))))</f>
        <v/>
      </c>
      <c r="AC548" s="261" t="str">
        <f>IF($C$547=0,"",IF('Calc (ex-animal)'!$F$103=1,"",IF(D548="","",VLOOKUP($C$547,'Calc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categories'!$C$201:$AC$210,26,FALSE)/24)*F548/100*VLOOKUP(D548,'DB technologies'!$N$266:$R$278,5,FALSE)/100)))</f>
        <v/>
      </c>
      <c r="AD548" s="261" t="str">
        <f>IF($C$547=0,"",IF('Calc (ex-animal)'!$F$103=1,"",IF(D548="","",VLOOKUP($C$547,'Calc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categories'!$C$201:$AC$210,26,FALSE)/24)*F548/100*VLOOKUP(D548,'DB technologies'!$N$266:$Y$278,6,FALSE)/100)))</f>
        <v/>
      </c>
      <c r="AE548" s="262" t="str">
        <f>IF($C$547=0,"",IF('Calc (ex-animal)'!$F$103=1,"",IF(D548="","",VLOOKUP($C$547,'Calc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categories'!$C$201:$AC$210,26,FALSE)/24)*F548/100*VLOOKUP(D548,'DB technologies'!$N$266:$Y$278,7,FALSE)/100)))</f>
        <v/>
      </c>
      <c r="AI548" s="181" t="str">
        <f>IF(D548="","",VLOOKUP(D548,'DB technologies'!$N$266:$Y$278,10,FALSE))</f>
        <v/>
      </c>
      <c r="AJ548" s="449" t="e">
        <f>VLOOKUP($C$547,'DB animal categories'!$C$201:$AN$210,27,FALSE)-VLOOKUP($C$547,'DB animal categories'!$C$201:$AN$210,26,FALSE)*VLOOKUP($C$547,'DB animal categories'!$C$201:$AN$210,25,FALSE)/24</f>
        <v>#N/A</v>
      </c>
      <c r="AK548" s="442" t="str">
        <f>IF(AI548="","",AL548+AM548)</f>
        <v/>
      </c>
      <c r="AL548" s="442" t="str">
        <f>IF(D548="","",IF(AI548=2,(('Calc (ex-animal)'!$G$103*'DB additional information '!$K$22/100*(1-VLOOKUP(D548,'DB technologies'!$N$266:$Y$278,9,FALSE)/100)*'Calc (ex-housing, ex-storage)'!F548/100+'Calc (ex-animal)'!$H$103*'DB additional information '!$L$22/100*(1-VLOOKUP(D548,'DB technologies'!$N$266:$Y$278,9,FALSE)/100)*'Calc (ex-housing, ex-storage)'!F548/100))/VLOOKUP($C$547,'DB animal categories'!$C$201:$AC$210,27,FALSE)*AJ548+I548+J548+K548,IF(AI548=1,('Calc (ex-animal)'!$H$103*'DB additional information '!$L$22/100*(1-VLOOKUP(D548,'DB technologies'!$N$266:$Y$278,9,FALSE)/100)*'Calc (ex-housing, ex-storage)'!F548/100)/VLOOKUP($C$547,'DB animal categories'!$C$201:$AC$210,27,FALSE)*AJ548,IF(AI548=4,('Calc (ex-animal)'!$G$103*'DB additional information '!$K$22/100+'Calc (ex-animal)'!$H$103*'DB additional information '!$L$22/100)*(1-VLOOKUP(D548,'DB technologies'!$N$266:$Y$278,9,FALSE)/100)*'Calc (ex-housing, ex-storage)'!F548/100*VLOOKUP(D548,'DB technologies'!$N$266:$Y$278,11,FALSE)/100/VLOOKUP($C$547,'DB animal categories'!$C$201:$AC$210,27,FALSE)*AJ548,0))))</f>
        <v/>
      </c>
      <c r="AM548" s="442" t="str">
        <f>IF(D548="","",IF(AI548=2,(('Calc (ex-animal)'!$G$103*(1-'DB additional information '!$K$22/100)*(1-VLOOKUP(D548,'DB technologies'!$N$266:$Y$278,8,FALSE)/100)*'Calc (ex-housing, ex-storage)'!F548/100+'Calc (ex-animal)'!$H$103*(1-'DB additional information '!$L$22/100)*(1-VLOOKUP(D548,'DB technologies'!$N$266:$Y$278,8,FALSE)/100)*'Calc (ex-housing, ex-storage)'!F548/100))/VLOOKUP($C$547,'DB animal categories'!$C$201:$AC$210,27,FALSE)*AJ548+M548+N548+O548,IF(AI548=1,('Calc (ex-animal)'!$H$103*(1-'DB additional information '!$L$22/100)*(1-VLOOKUP(D548,'DB technologies'!$N$266:$Y$278,8,FALSE)/100)*'Calc (ex-housing, ex-storage)'!F548/100)/VLOOKUP($C$547,'DB animal categories'!$C$201:$AC$210,27,FALSE)*AJ548,IF(AI548=4,('Calc (ex-animal)'!$G$103*(1-'DB additional information '!$K$22/100)+'Calc (ex-animal)'!$H$103*(1-'DB additional information '!$L$22/100))*(1-VLOOKUP(D548,'DB technologies'!$N$266:$Y$278,8,FALSE)/100)*'Calc (ex-housing, ex-storage)'!F548/100*VLOOKUP(D548,'DB technologies'!$N$266:$Y$278,11,FALSE)/100/VLOOKUP($C$547,'DB animal categories'!$C$201:$AC$210,27,FALSE)*AJ548,0))))</f>
        <v/>
      </c>
      <c r="AN548" s="442" t="str">
        <f>IF(AI548="","",IF(AL548=0,0,AL548/AK548*100))</f>
        <v/>
      </c>
      <c r="AO548" s="182" t="str">
        <f>IF(D548="","",IF(AI548=2,(('Calc (ex-animal)'!$L$103*'Calc (ex-housing, ex-storage)'!F548/100+'Calc (ex-animal)'!$K$103*'Calc (ex-housing, ex-storage)'!F548/100))/VLOOKUP($C$547,'DB animal categories'!$C$201:$AC$210,27,FALSE)*AJ548+Q548+R548+S548-AC548,IF(AI548=1,('Calc (ex-animal)'!$L$103*'Calc (ex-housing, ex-storage)'!F548/100)/VLOOKUP($C$547,'DB animal categories'!$C$201:$AC$210,27,FALSE)*AJ548-'Calc (ex-housing, ex-storage)'!AC548,IF(AI548=4,('Calc (ex-animal)'!$L$103+'Calc (ex-animal)'!$K$103)*'Calc (ex-housing, ex-storage)'!F548/100*VLOOKUP(D548,'DB technologies'!$N$266:$Y$278,11,FALSE)/100/VLOOKUP($C$547,'DB animal categories'!$C$201:$AC$210,27,FALSE)*AJ548-AC548*VLOOKUP(D548,'DB technologies'!$N$266:$Y$278,11,FALSE)/100,0))))</f>
        <v/>
      </c>
      <c r="AP548" s="182" t="str">
        <f>IF(D548="","",IF(AO548&lt;-0.01,0,IF(AI548=2,(('Calc (ex-animal)'!$L$103*'Calc (ex-housing, ex-storage)'!F548/100+'Calc (ex-animal)'!$K$103*'Calc (ex-housing, ex-storage)'!F548/100))/VLOOKUP($C$547,'DB animal categories'!$C$201:$AC$210,27,FALSE)*AJ548+Q548+R548+S548-AC548,IF(AI548=1,('Calc (ex-animal)'!$L$103*'Calc (ex-housing, ex-storage)'!F548/100)/VLOOKUP($C$547,'DB animal categories'!$C$201:$AC$210,27,FALSE)*AJ548-'Calc (ex-housing, ex-storage)'!AC548,IF(AI548=4,('Calc (ex-animal)'!$L$103+'Calc (ex-animal)'!$K$103)*'Calc (ex-housing, ex-storage)'!F548/100*VLOOKUP(D548,'DB technologies'!$N$266:$Y$278,11,FALSE)/100/VLOOKUP($C$547,'DB animal categories'!$C$201:$AC$210,27,FALSE)*AJ548-AC548*VLOOKUP(D548,'DB technologies'!$N$266:$Y$278,11,FALSE)/100,0)))))</f>
        <v/>
      </c>
      <c r="AQ548" s="182" t="str">
        <f>IF(D548="","",IF(AI548=2,('Calc (ex-animal)'!$O$103*'Calc (ex-housing, ex-storage)'!F548/100+'Calc (ex-animal)'!$N$103*'Calc (ex-housing, ex-storage)'!F548/100)/VLOOKUP($C$547,'DB animal categories'!$C$201:$AC$210,27,FALSE)*AJ548+U548+V548+W548,IF(AI548=1,'Calc (ex-animal)'!$O$103*'Calc (ex-housing, ex-storage)'!F548/100/VLOOKUP($C$547,'DB animal categories'!$C$201:$AC$210,27,FALSE)*AJ548,IF(AI548=4,('Calc (ex-animal)'!$O$103+'Calc (ex-animal)'!$N$103)*'Calc (ex-housing, ex-storage)'!F548/100*VLOOKUP(D548,'DB technologies'!$N$266:$Y$278,11,FALSE)/100/VLOOKUP($C$547,'DB animal categories'!$C$201:$AC$210,27,FALSE)*AJ548,0))))</f>
        <v/>
      </c>
      <c r="AR548" s="182" t="str">
        <f>IF(D548="","",IF(AI548=2,('Calc (ex-animal)'!$R$103*'Calc (ex-housing, ex-storage)'!F548/100+'Calc (ex-animal)'!$Q$103*'Calc (ex-housing, ex-storage)'!F548/100)/VLOOKUP($C$547,'DB animal categories'!$C$201:$AC$210,27,FALSE)*AJ548+Y548+Z548+AA548,IF(AI548=1,'Calc (ex-animal)'!$R$103*'Calc (ex-housing, ex-storage)'!F548/100/VLOOKUP($C$547,'DB animal categories'!$C$201:$AC$210,27,FALSE)*AJ548,IF(AI548=4,('Calc (ex-animal)'!$R$103+'Calc (ex-animal)'!$Q$103)*'Calc (ex-housing, ex-storage)'!F548/100*VLOOKUP(D548,'DB technologies'!$N$266:$Y$278,11,FALSE)/100/VLOOKUP($C$547,'DB animal categories'!$C$201:$AC$210,27,FALSE)*AJ548,0))))</f>
        <v/>
      </c>
      <c r="AS548" s="181" t="str">
        <f>IF(D548="","",VLOOKUP(D548,'DB technologies'!$N$266:$Y$278,10,FALSE))</f>
        <v/>
      </c>
      <c r="AT548" s="442" t="str">
        <f>IF(AS548="","",AU548+AV548)</f>
        <v/>
      </c>
      <c r="AU548" s="442" t="str">
        <f>IF(D548="","",IF(AS548=2,0,IF(AS548=1,'Calc (ex-animal)'!$G$103*'DB additional information '!$K$22/100*(1-VLOOKUP(D548,'DB technologies'!$N$266:$Y$278,8,FALSE)/100)*'Calc (ex-housing, ex-storage)'!F548/100/VLOOKUP($C$547,'DB animal categories'!$C$201:$AC$210,27,FALSE)*AJ548+I548+J548+K548,IF(AS548=5,(('Calc (ex-animal)'!$G$103*'DB additional information '!$K$22/100+'Calc (ex-animal)'!$H$103*'DB additional information '!$L$22/100))*(1-VLOOKUP(D548,'DB technologies'!$N$266:$Y$278,9,FALSE)/100)*'Calc (ex-housing, ex-storage)'!F548/100/VLOOKUP($C$547,'DB animal categories'!$C$201:$AC$210,27,FALSE)*AJ548+I548+J548+K548,IF(AS548=3,('Calc (ex-animal)'!$G$103*'DB additional information '!$K$22/100+'Calc (ex-animal)'!$H$103*'DB additional information '!$L$22/100)*(1-VLOOKUP(D548,'DB technologies'!$N$266:$Y$278,9,FALSE)/100)*'Calc (ex-housing, ex-storage)'!F548/100/VLOOKUP($C$547,'DB animal categories'!$C$201:$AC$210,27,FALSE)*AJ548+I548+J548+K548,IF(AS548=4,('Calc (ex-animal)'!$G$103*'DB additional information '!$K$22/100+'Calc (ex-animal)'!$H$103*'DB additional information '!$L$22/100)*(1-VLOOKUP(D548,'DB technologies'!$N$266:$Y$278,9,FALSE)/100)*'Calc (ex-housing, ex-storage)'!F548/100*VLOOKUP(D548,'DB technologies'!$N$266:$Y$278,12,FALSE)/100/VLOOKUP($C$547,'DB animal categories'!$C$201:$AC$210,27,FALSE)*AJ548+I548+J548+K548,0))))))</f>
        <v/>
      </c>
      <c r="AV548" s="442" t="str">
        <f>IF(D548="","",IF(AS548=2,0,IF(AS548=1,'Calc (ex-animal)'!$G$103*(1-'DB additional information '!$K$22/100)*(1-VLOOKUP(D548,'DB technologies'!$N$266:$Y$278,8,FALSE)/100)*'Calc (ex-housing, ex-storage)'!F548/100/VLOOKUP($C$547,'DB animal categories'!$C$201:$AC$210,27,FALSE)*AJ548+M548+N548+O548,IF(AS548=5,('Calc (ex-animal)'!$G$103*(1-'DB additional information '!$K$22/100)+'Calc (ex-animal)'!$H$103*(1-'DB additional information '!$L$22/100))*(1-VLOOKUP(D548,'DB technologies'!$N$266:$Y$278,8,FALSE)/100)*'Calc (ex-housing, ex-storage)'!F548/100/VLOOKUP($C$547,'DB animal categories'!$C$201:$AC$210,27,FALSE)*AJ548+M548+N548+O548,IF(AS548=3,('Calc (ex-animal)'!$G$103*(1-'DB additional information '!$K$22/100)+'Calc (ex-animal)'!$H$103*(1-'DB additional information '!$L$22/100))*(1-VLOOKUP(D548,'DB technologies'!$N$266:$Y$278,8,FALSE)/100)*'Calc (ex-housing, ex-storage)'!F548/100/VLOOKUP($C$547,'DB animal categories'!$C$201:$AC$210,27,FALSE)*AJ548+M548+N548+O548,IF(AS548=4,('Calc (ex-animal)'!$G$103*(1-'DB additional information '!$K$22/100)+'Calc (ex-animal)'!$H$103*(1-'DB additional information '!$L$22/100))*(1-VLOOKUP(D548,'DB technologies'!$N$266:$Y$278,8,FALSE)/100)*'Calc (ex-housing, ex-storage)'!F548/100*VLOOKUP(D548,'DB technologies'!$N$266:$Y$278,12,FALSE)/100/VLOOKUP($C$547,'DB animal categories'!$C$201:$AC$210,27,FALSE)*AJ548+M548+N548+O548,0))))))</f>
        <v/>
      </c>
      <c r="AW548" s="442" t="str">
        <f>IF(AS548="","",IF(AU548=0,0,AU548/AT548*100))</f>
        <v/>
      </c>
      <c r="AX548" s="182" t="str">
        <f>IF(D548="","",IF(AS548=2,0,IF(AS548=1,'Calc (ex-animal)'!$K$103*'Calc (ex-housing, ex-storage)'!F548/100/VLOOKUP($C$547,'DB animal categories'!$C$201:$AC$210,27,FALSE)*AJ548+Q548+R548+S548,IF(AS548=5,('Calc (ex-animal)'!$K$103+'Calc (ex-animal)'!$L$103)*'Calc (ex-housing, ex-storage)'!F548/100/VLOOKUP($C$547,'DB animal categories'!$C$201:$AC$210,27,FALSE)*AJ548+Q548+R548+S548-'Calc (ex-housing, ex-storage)'!AC548,IF(AS548=3,('Calc (ex-animal)'!$K$103+'Calc (ex-animal)'!$L$103)*'Calc (ex-housing, ex-storage)'!F548/100/VLOOKUP($C$547,'DB animal categories'!$C$201:$AC$210,27,FALSE)*AJ548+Q548+R548+S548-'Calc (ex-housing, ex-storage)'!AC548-AD548-AE548,IF(AI548=4,('Calc (ex-animal)'!$K$103+'Calc (ex-animal)'!$L$103)*'Calc (ex-housing, ex-storage)'!F548/100*VLOOKUP(D548,'DB technologies'!$N$266:$Y$278,12,FALSE)/100/VLOOKUP($C$547,'DB animal categories'!$C$201:$AC$210,27,FALSE)*AJ548+Q548+R548+S548-(VLOOKUP(D548,'DB technologies'!$N$266:$Y$278,12,FALSE)/100*AC548)-AD548-AE548,0))))))</f>
        <v/>
      </c>
      <c r="AY548" s="182" t="str">
        <f>IF(D548="","",IF(AS548=2,0,IF(AS548=1,'Calc (ex-animal)'!$N$103*'Calc (ex-housing, ex-storage)'!F548/100/VLOOKUP($C$547,'DB animal categories'!$C$201:$AC$210,27,FALSE)*AJ548+U548+V548+W548,IF(AS548=5,('Calc (ex-animal)'!$N$103+'Calc (ex-animal)'!$O$103)*'Calc (ex-housing, ex-storage)'!F548/100/VLOOKUP($C$547,'DB animal categories'!$C$201:$AC$210,27,FALSE)*AJ548+U548+V548+W548,IF(AS548=3,('Calc (ex-animal)'!$N$103+'Calc (ex-animal)'!$O$103)*'Calc (ex-housing, ex-storage)'!F548/100/VLOOKUP($C$547,'DB animal categories'!$C$201:$AC$210,27,FALSE)*AJ548+U548+V548+W548,IF(AS548=4,('Calc (ex-animal)'!$N$103+'Calc (ex-animal)'!$O$103)*'Calc (ex-housing, ex-storage)'!F548/100*VLOOKUP(D548,'DB technologies'!$N$266:$Y$278,12,FALSE)/100/VLOOKUP($C$547,'DB animal categories'!$C$201:$AC$210,27,FALSE)*AJ548+U548+V548+W548,0))))))</f>
        <v/>
      </c>
      <c r="AZ548" s="182" t="str">
        <f>IF(D548="","",IF(AS548=2,0,IF(AS548=1,'Calc (ex-animal)'!$Q$103*'Calc (ex-housing, ex-storage)'!F548/100/VLOOKUP($C$547,'DB animal categories'!$C$201:$AC$210,27,FALSE)*AJ548+Y548+Z548+AA548,IF(AS548=5,('Calc (ex-animal)'!$Q$103+'Calc (ex-animal)'!$R$103)*'Calc (ex-housing, ex-storage)'!F548/100/VLOOKUP($C$547,'DB animal categories'!$C$201:$AC$210,27,FALSE)*AJ548+Y548+Z548+AA548,IF(AS548=3,('Calc (ex-animal)'!$Q$103+'Calc (ex-animal)'!$R$103)*'Calc (ex-housing, ex-storage)'!F548/100/VLOOKUP($C$547,'DB animal categories'!$C$201:$AC$210,27,FALSE)*AJ548+Y548+Z548+AA548,IF(AS548=4,('Calc (ex-animal)'!$Q$103+'Calc (ex-animal)'!$R$103)*'Calc (ex-housing, ex-storage)'!F548/100*VLOOKUP(D548,'DB technologies'!$N$266:$Y$278,12,FALSE)/100/VLOOKUP($C$547,'DB animal categories'!$C$201:$AC$210,27,FALSE)*AJ548+Y548+Z548+AA548,0))))))</f>
        <v/>
      </c>
      <c r="BA548" s="506"/>
      <c r="BB548" s="506"/>
      <c r="BC548" s="506"/>
    </row>
    <row r="549" spans="1:55" x14ac:dyDescent="0.2">
      <c r="A549" s="748"/>
      <c r="B549" s="695"/>
      <c r="C549" s="255"/>
      <c r="D549" s="1357"/>
      <c r="E549" s="1358"/>
      <c r="F549" s="480" t="str">
        <f>IF('Calc (ex-animal)'!$F$103=1,"",IF($C$547=0,"",IF(D549="","",E549/'Calc (ex-animal)'!$E$103*100)))</f>
        <v/>
      </c>
      <c r="G549" s="485" t="str">
        <f>IF($C$547=0,"",IF('Calc (ex-animal)'!$F$103=1,"",IF(D549="","",SUM(H549:O549))))</f>
        <v/>
      </c>
      <c r="H549" s="423" t="str">
        <f>IF('Calc (ex-animal)'!$F$103=1,"",IF(D549="","",(((VLOOKUP($C$547,'Calc (ex-animal)'!$D$103:$Y$107,6,FALSE)-VLOOKUP($C$547,'Calc (ex-animal)'!$D$103:$Y$107,17,FALSE))*F549/100))*VLOOKUP($C$547,'Calc (ex-animal)'!$D$103:$Y$107,7,FALSE)/100*(1-VLOOKUP(D549,'DB technologies'!$N$266:$Y$278,9,FALSE)/100)))</f>
        <v/>
      </c>
      <c r="I549" s="423" t="str">
        <f>IF(D549="","",((VLOOKUP(D549,'DB technologies'!$N$266:$Y$278,2,FALSE)*VLOOKUP($C$547,'DB animal categories'!$C$201:$AC$210,27,FALSE)*E549/1000)/VLOOKUP($C$547,'DB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'!$S$6/100*(1-VLOOKUP(D549,'DB technologies'!$N$266:$Y$278,9,FALSE)/100)))</f>
        <v/>
      </c>
      <c r="J549" s="434" t="str">
        <f>IF(D549="","",((VLOOKUP(D549,'DB technologies'!$N$266:$Y$278,3,FALSE)*VLOOKUP($C$547,'DB animal categories'!$C$201:$AC$210,27,FALSE)*E549/1000)/VLOOKUP($C$547,'DB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'!$S$7/100*(1-VLOOKUP(D549,'DB technologies'!$N$266:$Y$278,9,FALSE)/100)))</f>
        <v/>
      </c>
      <c r="K549" s="434" t="str">
        <f>IF(D549="","",((VLOOKUP(D549,'DB technologies'!$N$266:$Y$278,4,FALSE)*E549*'DB additional information '!$S$8/100*(1-VLOOKUP(D549,'DB technologies'!$N$266:$Y$278,9,FALSE)/100))/VLOOKUP($C$547,'DB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L549" s="423" t="str">
        <f>IF('Calc (ex-animal)'!$F$103=1,"",IF(D549="","",(((VLOOKUP($C$547,'Calc (ex-animal)'!$D$103:$Y$107,6,FALSE)-VLOOKUP($C$547,'Calc (ex-animal)'!$D$103:$Y$107,17,FALSE))*F549/100))*(1-VLOOKUP($C$547,'Calc (ex-animal)'!$D$103:$Y$107,7,FALSE)/100)*(1-VLOOKUP(D549,'DB technologies'!$N$266:$V$278,8,FALSE)/100)))</f>
        <v/>
      </c>
      <c r="M549" s="434" t="str">
        <f>IF(D549="","",((VLOOKUP(D549,'DB technologies'!$N$266:$Y$278,2,FALSE)*VLOOKUP($C$547,'DB animal categories'!$C$201:$AC$210,27,FALSE)*E549/1000)/VLOOKUP($C$547,'DB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'!$S$6/100)*(1-VLOOKUP(D549,'DB technologies'!$N$266:$Y$278,9,FALSE)/100))</f>
        <v/>
      </c>
      <c r="N549" s="434" t="str">
        <f>IF(D549="","",((VLOOKUP(D549,'DB technologies'!$N$266:$Y$278,3,FALSE)*VLOOKUP($C$547,'DB animal categories'!$C$201:$AC$210,27,FALSE)*E549/1000)/VLOOKUP($C$547,'DB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'!$S$7/100)*(1-VLOOKUP(D549,'DB technologies'!$N$266:$Y$278,9,FALSE)/100))</f>
        <v/>
      </c>
      <c r="O549" s="423" t="str">
        <f>IF(D549="","",((VLOOKUP(D549,'DB technologies'!$N$266:$Y$278,4,FALSE)*E549*(1-'DB additional information '!$S$8/100)*(1-VLOOKUP(D549,'DB technologies'!$N$266:$Y$278,8,FALSE)/100))/VLOOKUP($C$547,'DB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P549" s="438" t="str">
        <f>IF(G549=0,0,IF(E549="","",IF(F549="","",IF($C$547=0,"",IF(D549="","",SUM(H549:K549)/G549*100)))))</f>
        <v/>
      </c>
      <c r="Q549" s="416" t="str">
        <f>IF(D549="","",(VLOOKUP(D549,'DB technologies'!$N$266:$Y$278,2,FALSE)*'DB additional information '!$S$6/100*'DB additional information '!$T$6*VLOOKUP($C$547,'DB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R549" s="416" t="str">
        <f>IF(D549="","",(VLOOKUP(D549,'DB technologies'!$N$266:$Y$278,3,FALSE)*'DB additional information '!$S$7/100*'DB additional information '!$T$7*VLOOKUP($C$547,'DB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S549" s="491" t="str">
        <f>IF(D549="","",(VLOOKUP(D549,'DB technologies'!$N$266:$Y$278,4,FALSE)*('DB additional information '!$S$8/100*'DB additional information '!$T$8*E549/1000/1000)))</f>
        <v/>
      </c>
      <c r="T549" s="264" t="str">
        <f>IF($C$547=0,"",IF('Calc (ex-animal)'!$F$103=1,"",IF(D549="","",((VLOOKUP($C$547,'Calc (ex-animal)'!$D$103:$Y$107,10,FALSE)-VLOOKUP($C$547,'Calc (ex-animal)'!$D$103:$Y$107,18,FALSE))*F549/100+Q549+R549+S549)-AC549-AD549-AE549)))</f>
        <v/>
      </c>
      <c r="U549" s="422" t="str">
        <f>IF(D549="","",(VLOOKUP(D549,'DB technologies'!$N$266:$Y$278,2,FALSE)*'DB additional information '!$S$6/100*'DB additional information '!$U$6*VLOOKUP($C$547,'DB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V549" s="418" t="str">
        <f>IF(D549="","",(VLOOKUP(D549,'DB technologies'!$N$266:$Y$278,3,FALSE)*'DB additional information '!$S$7/100*'DB additional information '!$U$7*VLOOKUP($C$547,'DB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W549" s="417" t="str">
        <f>IF(D549="","",(VLOOKUP(D549,'DB technologies'!$N$266:$Y$278,4,FALSE)*('DB additional information '!$S$8/100*'DB additional information '!$U$8*E549/1000/1000)))</f>
        <v/>
      </c>
      <c r="X549" s="261" t="str">
        <f>IF($C$547=0,"",IF('Calc (ex-animal)'!$F$103=1,"",IF(D549="","",((VLOOKUP($C$547,'Calc (ex-animal)'!$D$103:$Y$107,13,FALSE)-VLOOKUP($C$547,'Calc (ex-animal)'!$D$103:$Y$107,19,FALSE))*F549/100+U549+V549+W549))))</f>
        <v/>
      </c>
      <c r="Y549" s="418" t="str">
        <f>IF(D549="","",(VLOOKUP(D549,'DB technologies'!$N$266:$Y$278,2,FALSE)*'DB additional information '!$S$6/100*'DB additional information '!$V$6*VLOOKUP($C$547,'DB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Z549" s="418" t="str">
        <f>IF(D549="","",(VLOOKUP(D549,'DB technologies'!$N$266:$Y$278,3,FALSE)*'DB additional information '!$S$7/100*'DB additional information '!$V$7*VLOOKUP($C$547,'DB animal categories'!$C$201:$AC$210,27,FALSE)*E549/1000/1000)/VLOOKUP($C$547,'DB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AA549" s="418" t="str">
        <f>IF(D549="","",(VLOOKUP(D549,'DB technologies'!$N$266:$Y$278,4,FALSE)*('DB additional information '!$S$8/100*'DB additional information '!$V$8*E549/1000/1000)))</f>
        <v/>
      </c>
      <c r="AB549" s="261" t="str">
        <f>IF($C$547=0,"",IF('Calc (ex-animal)'!$F$103=1,"",IF(D549="","",((VLOOKUP($C$547,'Calc (ex-animal)'!$D$103:$Y$107,16,FALSE)-VLOOKUP($C$547,'Calc (ex-animal)'!$D$103:$Y$107,20,FALSE))*F549/100+Y549+Z549+AA549))))</f>
        <v/>
      </c>
      <c r="AC549" s="261" t="str">
        <f>IF($C$547=0,"",IF('Calc (ex-animal)'!$F$103=1,"",IF(D549="","",VLOOKUP($C$547,'Calc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categories'!$C$201:$AC$210,26,FALSE)/24)*F549/100*VLOOKUP(D549,'DB technologies'!$N$266:$R$278,5,FALSE)/100)))</f>
        <v/>
      </c>
      <c r="AD549" s="261" t="str">
        <f>IF($C$547=0,"",IF('Calc (ex-animal)'!$F$103=1,"",IF(D549="","",VLOOKUP($C$547,'Calc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categories'!$C$201:$AC$210,26,FALSE)/24)*F549/100*VLOOKUP(D549,'DB technologies'!$N$266:$Y$278,6,FALSE)/100)))</f>
        <v/>
      </c>
      <c r="AE549" s="262" t="str">
        <f>IF($C$547=0,"",IF('Calc (ex-animal)'!$F$103=1,"",IF(D549="","",VLOOKUP($C$547,'Calc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categories'!$C$201:$AC$210,26,FALSE)/24)*F549/100*VLOOKUP(D549,'DB technologies'!$N$266:$Y$278,7,FALSE)/100)))</f>
        <v/>
      </c>
      <c r="AI549" s="181" t="str">
        <f>IF(D549="","",VLOOKUP(D549,'DB technologies'!$N$266:$Y$278,10,FALSE))</f>
        <v/>
      </c>
      <c r="AJ549" s="449" t="e">
        <f>VLOOKUP($C$547,'DB animal categories'!$C$201:$AN$210,27,FALSE)-VLOOKUP($C$547,'DB animal categories'!$C$201:$AN$210,26,FALSE)*VLOOKUP($C$547,'DB animal categories'!$C$201:$AN$210,25,FALSE)/24</f>
        <v>#N/A</v>
      </c>
      <c r="AK549" s="442" t="str">
        <f>IF(AI549="","",AL549+AM549)</f>
        <v/>
      </c>
      <c r="AL549" s="442" t="str">
        <f>IF(D549="","",IF(AI549=2,(('Calc (ex-animal)'!$G$103*'DB additional information '!$K$22/100*(1-VLOOKUP(D549,'DB technologies'!$N$266:$Y$278,9,FALSE)/100)*'Calc (ex-housing, ex-storage)'!F549/100+'Calc (ex-animal)'!$H$103*'DB additional information '!$L$22/100*(1-VLOOKUP(D549,'DB technologies'!$N$266:$Y$278,9,FALSE)/100)*'Calc (ex-housing, ex-storage)'!F549/100))/VLOOKUP($C$547,'DB animal categories'!$C$201:$AC$210,27,FALSE)*AJ549+I549+J549+K549,IF(AI549=1,('Calc (ex-animal)'!$H$103*'DB additional information '!$L$22/100*(1-VLOOKUP(D549,'DB technologies'!$N$266:$Y$278,9,FALSE)/100)*'Calc (ex-housing, ex-storage)'!F549/100)/VLOOKUP($C$547,'DB animal categories'!$C$201:$AC$210,27,FALSE)*AJ549,IF(AI549=4,('Calc (ex-animal)'!$G$103*'DB additional information '!$K$22/100+'Calc (ex-animal)'!$H$103*'DB additional information '!$L$22/100)*(1-VLOOKUP(D549,'DB technologies'!$N$266:$Y$278,9,FALSE)/100)*'Calc (ex-housing, ex-storage)'!F549/100*VLOOKUP(D549,'DB technologies'!$N$266:$Y$278,11,FALSE)/100/VLOOKUP($C$547,'DB animal categories'!$C$201:$AC$210,27,FALSE)*AJ549,0))))</f>
        <v/>
      </c>
      <c r="AM549" s="442" t="str">
        <f>IF(D549="","",IF(AI549=2,(('Calc (ex-animal)'!$G$103*(1-'DB additional information '!$K$22/100)*(1-VLOOKUP(D549,'DB technologies'!$N$266:$Y$278,8,FALSE)/100)*'Calc (ex-housing, ex-storage)'!F549/100+'Calc (ex-animal)'!$H$103*(1-'DB additional information '!$L$22/100)*(1-VLOOKUP(D549,'DB technologies'!$N$266:$Y$278,8,FALSE)/100)*'Calc (ex-housing, ex-storage)'!F549/100))/VLOOKUP($C$547,'DB animal categories'!$C$201:$AC$210,27,FALSE)*AJ549+M549+N549+O549,IF(AI549=1,('Calc (ex-animal)'!$H$103*(1-'DB additional information '!$L$22/100)*(1-VLOOKUP(D549,'DB technologies'!$N$266:$Y$278,8,FALSE)/100)*'Calc (ex-housing, ex-storage)'!F549/100)/VLOOKUP($C$547,'DB animal categories'!$C$201:$AC$210,27,FALSE)*AJ549,IF(AI549=4,('Calc (ex-animal)'!$G$103*(1-'DB additional information '!$K$22/100)+'Calc (ex-animal)'!$H$103*(1-'DB additional information '!$L$22/100))*(1-VLOOKUP(D549,'DB technologies'!$N$266:$Y$278,8,FALSE)/100)*'Calc (ex-housing, ex-storage)'!F549/100*VLOOKUP(D549,'DB technologies'!$N$266:$Y$278,11,FALSE)/100/VLOOKUP($C$547,'DB animal categories'!$C$201:$AC$210,27,FALSE)*AJ549,0))))</f>
        <v/>
      </c>
      <c r="AN549" s="442" t="str">
        <f>IF(AI549="","",IF(AL549=0,0,AL549/AK549*100))</f>
        <v/>
      </c>
      <c r="AO549" s="182" t="str">
        <f>IF(D549="","",IF(AI549=2,(('Calc (ex-animal)'!$L$103*'Calc (ex-housing, ex-storage)'!F549/100+'Calc (ex-animal)'!$K$103*'Calc (ex-housing, ex-storage)'!F549/100))/VLOOKUP($C$547,'DB animal categories'!$C$201:$AC$210,27,FALSE)*AJ549+Q549+R549+S549-AC549,IF(AI549=1,('Calc (ex-animal)'!$L$103*'Calc (ex-housing, ex-storage)'!F549/100)/VLOOKUP($C$547,'DB animal categories'!$C$201:$AC$210,27,FALSE)*AJ549-'Calc (ex-housing, ex-storage)'!AC549,IF(AI549=4,('Calc (ex-animal)'!$L$103+'Calc (ex-animal)'!$K$103)*'Calc (ex-housing, ex-storage)'!F549/100*VLOOKUP(D549,'DB technologies'!$N$266:$Y$278,11,FALSE)/100/VLOOKUP($C$547,'DB animal categories'!$C$201:$AC$210,27,FALSE)*AJ549-AC549*VLOOKUP(D549,'DB technologies'!$N$266:$Y$278,11,FALSE)/100,0))))</f>
        <v/>
      </c>
      <c r="AP549" s="182" t="str">
        <f>IF(D549="","",IF(AO549&lt;-0.01,0,IF(AI549=2,(('Calc (ex-animal)'!$L$103*'Calc (ex-housing, ex-storage)'!F549/100+'Calc (ex-animal)'!$K$103*'Calc (ex-housing, ex-storage)'!F549/100))/VLOOKUP($C$547,'DB animal categories'!$C$201:$AC$210,27,FALSE)*AJ549+Q549+R549+S549-AC549,IF(AI549=1,('Calc (ex-animal)'!$L$103*'Calc (ex-housing, ex-storage)'!F549/100)/VLOOKUP($C$547,'DB animal categories'!$C$201:$AC$210,27,FALSE)*AJ549-'Calc (ex-housing, ex-storage)'!AC549,IF(AI549=4,('Calc (ex-animal)'!$L$103+'Calc (ex-animal)'!$K$103)*'Calc (ex-housing, ex-storage)'!F549/100*VLOOKUP(D549,'DB technologies'!$N$266:$Y$278,11,FALSE)/100/VLOOKUP($C$547,'DB animal categories'!$C$201:$AC$210,27,FALSE)*AJ549-AC549*VLOOKUP(D549,'DB technologies'!$N$266:$Y$278,11,FALSE)/100,0)))))</f>
        <v/>
      </c>
      <c r="AQ549" s="182" t="str">
        <f>IF(D549="","",IF(AI549=2,('Calc (ex-animal)'!$O$103*'Calc (ex-housing, ex-storage)'!F549/100+'Calc (ex-animal)'!$N$103*'Calc (ex-housing, ex-storage)'!F549/100)/VLOOKUP($C$547,'DB animal categories'!$C$201:$AC$210,27,FALSE)*AJ549+U549+V549+W549,IF(AI549=1,'Calc (ex-animal)'!$O$103*'Calc (ex-housing, ex-storage)'!F549/100/VLOOKUP($C$547,'DB animal categories'!$C$201:$AC$210,27,FALSE)*AJ549,IF(AI549=4,('Calc (ex-animal)'!$O$103+'Calc (ex-animal)'!$N$103)*'Calc (ex-housing, ex-storage)'!F549/100*VLOOKUP(D549,'DB technologies'!$N$266:$Y$278,11,FALSE)/100/VLOOKUP($C$547,'DB animal categories'!$C$201:$AC$210,27,FALSE)*AJ549,0))))</f>
        <v/>
      </c>
      <c r="AR549" s="182" t="str">
        <f>IF(D549="","",IF(AI549=2,('Calc (ex-animal)'!$R$103*'Calc (ex-housing, ex-storage)'!F549/100+'Calc (ex-animal)'!$Q$103*'Calc (ex-housing, ex-storage)'!F549/100)/VLOOKUP($C$547,'DB animal categories'!$C$201:$AC$210,27,FALSE)*AJ549+Y549+Z549+AA549,IF(AI549=1,'Calc (ex-animal)'!$R$103*'Calc (ex-housing, ex-storage)'!F549/100/VLOOKUP($C$547,'DB animal categories'!$C$201:$AC$210,27,FALSE)*AJ549,IF(AI549=4,('Calc (ex-animal)'!$R$103+'Calc (ex-animal)'!$Q$103)*'Calc (ex-housing, ex-storage)'!F549/100*VLOOKUP(D549,'DB technologies'!$N$266:$Y$278,11,FALSE)/100/VLOOKUP($C$547,'DB animal categories'!$C$201:$AC$210,27,FALSE)*AJ549,0))))</f>
        <v/>
      </c>
      <c r="AS549" s="181" t="str">
        <f>IF(D549="","",VLOOKUP(D549,'DB technologies'!$N$266:$Y$278,10,FALSE))</f>
        <v/>
      </c>
      <c r="AT549" s="442" t="str">
        <f>IF(AS549="","",AU549+AV549)</f>
        <v/>
      </c>
      <c r="AU549" s="442" t="str">
        <f>IF(D549="","",IF(AS549=2,0,IF(AS549=1,'Calc (ex-animal)'!$G$103*'DB additional information '!$K$22/100*(1-VLOOKUP(D549,'DB technologies'!$N$266:$Y$278,8,FALSE)/100)*'Calc (ex-housing, ex-storage)'!F549/100/VLOOKUP($C$547,'DB animal categories'!$C$201:$AC$210,27,FALSE)*AJ549+I549+J549+K549,IF(AS549=5,(('Calc (ex-animal)'!$G$103*'DB additional information '!$K$22/100+'Calc (ex-animal)'!$H$103*'DB additional information '!$L$22/100))*(1-VLOOKUP(D549,'DB technologies'!$N$266:$Y$278,9,FALSE)/100)*'Calc (ex-housing, ex-storage)'!F549/100/VLOOKUP($C$547,'DB animal categories'!$C$201:$AC$210,27,FALSE)*AJ549+I549+J549+K549,IF(AS549=3,('Calc (ex-animal)'!$G$103*'DB additional information '!$K$22/100+'Calc (ex-animal)'!$H$103*'DB additional information '!$L$22/100)*(1-VLOOKUP(D549,'DB technologies'!$N$266:$Y$278,9,FALSE)/100)*'Calc (ex-housing, ex-storage)'!F549/100/VLOOKUP($C$547,'DB animal categories'!$C$201:$AC$210,27,FALSE)*AJ549+I549+J549+K549,IF(AS549=4,('Calc (ex-animal)'!$G$103*'DB additional information '!$K$22/100+'Calc (ex-animal)'!$H$103*'DB additional information '!$L$22/100)*(1-VLOOKUP(D549,'DB technologies'!$N$266:$Y$278,9,FALSE)/100)*'Calc (ex-housing, ex-storage)'!F549/100*VLOOKUP(D549,'DB technologies'!$N$266:$Y$278,12,FALSE)/100/VLOOKUP($C$547,'DB animal categories'!$C$201:$AC$210,27,FALSE)*AJ549+I549+J549+K549,0))))))</f>
        <v/>
      </c>
      <c r="AV549" s="442" t="str">
        <f>IF(D549="","",IF(AS549=2,0,IF(AS549=1,'Calc (ex-animal)'!$G$103*(1-'DB additional information '!$K$22/100)*(1-VLOOKUP(D549,'DB technologies'!$N$266:$Y$278,8,FALSE)/100)*'Calc (ex-housing, ex-storage)'!F549/100/VLOOKUP($C$547,'DB animal categories'!$C$201:$AC$210,27,FALSE)*AJ549+M549+N549+O549,IF(AS549=5,('Calc (ex-animal)'!$G$103*(1-'DB additional information '!$K$22/100)+'Calc (ex-animal)'!$H$103*(1-'DB additional information '!$L$22/100))*(1-VLOOKUP(D549,'DB technologies'!$N$266:$Y$278,8,FALSE)/100)*'Calc (ex-housing, ex-storage)'!F549/100/VLOOKUP($C$547,'DB animal categories'!$C$201:$AC$210,27,FALSE)*AJ549+M549+N549+O549,IF(AS549=3,('Calc (ex-animal)'!$G$103*(1-'DB additional information '!$K$22/100)+'Calc (ex-animal)'!$H$103*(1-'DB additional information '!$L$22/100))*(1-VLOOKUP(D549,'DB technologies'!$N$266:$Y$278,8,FALSE)/100)*'Calc (ex-housing, ex-storage)'!F549/100/VLOOKUP($C$547,'DB animal categories'!$C$201:$AC$210,27,FALSE)*AJ549+M549+N549+O549,IF(AS549=4,('Calc (ex-animal)'!$G$103*(1-'DB additional information '!$K$22/100)+'Calc (ex-animal)'!$H$103*(1-'DB additional information '!$L$22/100))*(1-VLOOKUP(D549,'DB technologies'!$N$266:$Y$278,8,FALSE)/100)*'Calc (ex-housing, ex-storage)'!F549/100*VLOOKUP(D549,'DB technologies'!$N$266:$Y$278,12,FALSE)/100/VLOOKUP($C$547,'DB animal categories'!$C$201:$AC$210,27,FALSE)*AJ549+M549+N549+O549,0))))))</f>
        <v/>
      </c>
      <c r="AW549" s="442" t="str">
        <f>IF(AS549="","",IF(AU549=0,0,AU549/AT549*100))</f>
        <v/>
      </c>
      <c r="AX549" s="182" t="str">
        <f>IF(D549="","",IF(AS549=2,0,IF(AS549=1,'Calc (ex-animal)'!$K$103*'Calc (ex-housing, ex-storage)'!F549/100/VLOOKUP($C$547,'DB animal categories'!$C$201:$AC$210,27,FALSE)*AJ549+Q549+R549+S549,IF(AS549=5,('Calc (ex-animal)'!$K$103+'Calc (ex-animal)'!$L$103)*'Calc (ex-housing, ex-storage)'!F549/100/VLOOKUP($C$547,'DB animal categories'!$C$201:$AC$210,27,FALSE)*AJ549+Q549+R549+S549-'Calc (ex-housing, ex-storage)'!AC549,IF(AS549=3,('Calc (ex-animal)'!$K$103+'Calc (ex-animal)'!$L$103)*'Calc (ex-housing, ex-storage)'!F549/100/VLOOKUP($C$547,'DB animal categories'!$C$201:$AC$210,27,FALSE)*AJ549+Q549+R549+S549-'Calc (ex-housing, ex-storage)'!AC549-AD549-AE549,IF(AI549=4,('Calc (ex-animal)'!$K$103+'Calc (ex-animal)'!$L$103)*'Calc (ex-housing, ex-storage)'!F549/100*VLOOKUP(D549,'DB technologies'!$N$266:$Y$278,12,FALSE)/100/VLOOKUP($C$547,'DB animal categories'!$C$201:$AC$210,27,FALSE)*AJ549+Q549+R549+S549-(VLOOKUP(D549,'DB technologies'!$N$266:$Y$278,12,FALSE)/100*AC549)-AD549-AE549,0))))))</f>
        <v/>
      </c>
      <c r="AY549" s="182" t="str">
        <f>IF(D549="","",IF(AS549=2,0,IF(AS549=1,'Calc (ex-animal)'!$N$103*'Calc (ex-housing, ex-storage)'!F549/100/VLOOKUP($C$547,'DB animal categories'!$C$201:$AC$210,27,FALSE)*AJ549+U549+V549+W549,IF(AS549=5,('Calc (ex-animal)'!$N$103+'Calc (ex-animal)'!$O$103)*'Calc (ex-housing, ex-storage)'!F549/100/VLOOKUP($C$547,'DB animal categories'!$C$201:$AC$210,27,FALSE)*AJ549+U549+V549+W549,IF(AS549=3,('Calc (ex-animal)'!$N$103+'Calc (ex-animal)'!$O$103)*'Calc (ex-housing, ex-storage)'!F549/100/VLOOKUP($C$547,'DB animal categories'!$C$201:$AC$210,27,FALSE)*AJ549+U549+V549+W549,IF(AS549=4,('Calc (ex-animal)'!$N$103+'Calc (ex-animal)'!$O$103)*'Calc (ex-housing, ex-storage)'!F549/100*VLOOKUP(D549,'DB technologies'!$N$266:$Y$278,12,FALSE)/100/VLOOKUP($C$547,'DB animal categories'!$C$201:$AC$210,27,FALSE)*AJ549+U549+V549+W549,0))))))</f>
        <v/>
      </c>
      <c r="AZ549" s="182" t="str">
        <f>IF(D549="","",IF(AS549=2,0,IF(AS549=1,'Calc (ex-animal)'!$Q$103*'Calc (ex-housing, ex-storage)'!F549/100/VLOOKUP($C$547,'DB animal categories'!$C$201:$AC$210,27,FALSE)*AJ549+Y549+Z549+AA549,IF(AS549=5,('Calc (ex-animal)'!$Q$103+'Calc (ex-animal)'!$R$103)*'Calc (ex-housing, ex-storage)'!F549/100/VLOOKUP($C$547,'DB animal categories'!$C$201:$AC$210,27,FALSE)*AJ549+Y549+Z549+AA549,IF(AS549=3,('Calc (ex-animal)'!$Q$103+'Calc (ex-animal)'!$R$103)*'Calc (ex-housing, ex-storage)'!F549/100/VLOOKUP($C$547,'DB animal categories'!$C$201:$AC$210,27,FALSE)*AJ549+Y549+Z549+AA549,IF(AS549=4,('Calc (ex-animal)'!$Q$103+'Calc (ex-animal)'!$R$103)*'Calc (ex-housing, ex-storage)'!F549/100*VLOOKUP(D549,'DB technologies'!$N$266:$Y$278,12,FALSE)/100/VLOOKUP($C$547,'DB animal categories'!$C$201:$AC$210,27,FALSE)*AJ549+Y549+Z549+AA549,0))))))</f>
        <v/>
      </c>
      <c r="BA549" s="506"/>
      <c r="BB549" s="506"/>
      <c r="BC549" s="506"/>
    </row>
    <row r="550" spans="1:55" x14ac:dyDescent="0.2">
      <c r="A550" s="748"/>
      <c r="B550" s="695"/>
      <c r="C550" s="255"/>
      <c r="D550" s="1357"/>
      <c r="E550" s="1358"/>
      <c r="F550" s="480" t="str">
        <f>IF('Calc (ex-animal)'!$F$103=1,"",IF($C$547=0,"",IF(D550="","",E550/'Calc (ex-animal)'!$E$103*100)))</f>
        <v/>
      </c>
      <c r="G550" s="485" t="str">
        <f>IF($C$547=0,"",IF('Calc (ex-animal)'!$F$103=1,"",IF(D550="","",SUM(H550:O550))))</f>
        <v/>
      </c>
      <c r="H550" s="423" t="str">
        <f>IF('Calc (ex-animal)'!$F$103=1,"",IF(D550="","",(((VLOOKUP($C$547,'Calc (ex-animal)'!$D$103:$Y$107,6,FALSE)-VLOOKUP($C$547,'Calc (ex-animal)'!$D$103:$Y$107,17,FALSE))*F550/100))*VLOOKUP($C$547,'Calc (ex-animal)'!$D$103:$Y$107,7,FALSE)/100*(1-VLOOKUP(D550,'DB technologies'!$N$266:$Y$278,9,FALSE)/100)))</f>
        <v/>
      </c>
      <c r="I550" s="423" t="str">
        <f>IF(D550="","",((VLOOKUP(D550,'DB technologies'!$N$266:$Y$278,2,FALSE)*VLOOKUP($C$547,'DB animal categories'!$C$201:$AC$210,27,FALSE)*E550/1000)/VLOOKUP($C$547,'DB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'!$S$6/100*(1-VLOOKUP(D550,'DB technologies'!$N$266:$Y$278,9,FALSE)/100)))</f>
        <v/>
      </c>
      <c r="J550" s="434" t="str">
        <f>IF(D550="","",((VLOOKUP(D550,'DB technologies'!$N$266:$Y$278,3,FALSE)*VLOOKUP($C$547,'DB animal categories'!$C$201:$AC$210,27,FALSE)*E550/1000)/VLOOKUP($C$547,'DB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'!$S$7/100*(1-VLOOKUP(D550,'DB technologies'!$N$266:$Y$278,9,FALSE)/100)))</f>
        <v/>
      </c>
      <c r="K550" s="434" t="str">
        <f>IF(D550="","",((VLOOKUP(D550,'DB technologies'!$N$266:$Y$278,4,FALSE)*E550*'DB additional information '!$S$8/100*(1-VLOOKUP(D550,'DB technologies'!$N$266:$Y$278,9,FALSE)/100))/VLOOKUP($C$547,'DB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L550" s="423" t="str">
        <f>IF('Calc (ex-animal)'!$F$103=1,"",IF(D550="","",(((VLOOKUP($C$547,'Calc (ex-animal)'!$D$103:$Y$107,6,FALSE)-VLOOKUP($C$547,'Calc (ex-animal)'!$D$103:$Y$107,17,FALSE))*F550/100))*(1-VLOOKUP($C$547,'Calc (ex-animal)'!$D$103:$Y$107,7,FALSE)/100)*(1-VLOOKUP(D550,'DB technologies'!$N$266:$V$278,8,FALSE)/100)))</f>
        <v/>
      </c>
      <c r="M550" s="434" t="str">
        <f>IF(D550="","",((VLOOKUP(D550,'DB technologies'!$N$266:$Y$278,2,FALSE)*VLOOKUP($C$547,'DB animal categories'!$C$201:$AC$210,27,FALSE)*E550/1000)/VLOOKUP($C$547,'DB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'!$S$6/100)*(1-VLOOKUP(D550,'DB technologies'!$N$266:$Y$278,9,FALSE)/100))</f>
        <v/>
      </c>
      <c r="N550" s="434" t="str">
        <f>IF(D550="","",((VLOOKUP(D550,'DB technologies'!$N$266:$Y$278,3,FALSE)*VLOOKUP($C$547,'DB animal categories'!$C$201:$AC$210,27,FALSE)*E550/1000)/VLOOKUP($C$547,'DB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'!$S$7/100)*(1-VLOOKUP(D550,'DB technologies'!$N$266:$Y$278,9,FALSE)/100))</f>
        <v/>
      </c>
      <c r="O550" s="423" t="str">
        <f>IF(D550="","",((VLOOKUP(D550,'DB technologies'!$N$266:$Y$278,4,FALSE)*E550*(1-'DB additional information '!$S$8/100)*(1-VLOOKUP(D550,'DB technologies'!$N$266:$Y$278,8,FALSE)/100))/VLOOKUP($C$547,'DB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P550" s="438" t="str">
        <f>IF(G550=0,0,IF(E550="","",IF(F550="","",IF($C$547=0,"",IF(D550="","",SUM(H550:K550)/G550*100)))))</f>
        <v/>
      </c>
      <c r="Q550" s="416" t="str">
        <f>IF(D550="","",(VLOOKUP(D550,'DB technologies'!$N$266:$Y$278,2,FALSE)*'DB additional information '!$S$6/100*'DB additional information '!$T$6*VLOOKUP($C$547,'DB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R550" s="416" t="str">
        <f>IF(D550="","",(VLOOKUP(D550,'DB technologies'!$N$266:$Y$278,3,FALSE)*'DB additional information '!$S$7/100*'DB additional information '!$T$7*VLOOKUP($C$547,'DB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S550" s="491" t="str">
        <f>IF(D550="","",(VLOOKUP(D550,'DB technologies'!$N$266:$Y$278,4,FALSE)*('DB additional information '!$S$8/100*'DB additional information '!$T$8*E550/1000/1000)))</f>
        <v/>
      </c>
      <c r="T550" s="264" t="str">
        <f>IF($C$547=0,"",IF('Calc (ex-animal)'!$F$103=1,"",IF(D550="","",((VLOOKUP($C$547,'Calc (ex-animal)'!$D$103:$Y$107,10,FALSE)-VLOOKUP($C$547,'Calc (ex-animal)'!$D$103:$Y$107,18,FALSE))*F550/100+Q550+R550+S550)-AC550-AD550-AE550)))</f>
        <v/>
      </c>
      <c r="U550" s="422" t="str">
        <f>IF(D550="","",(VLOOKUP(D550,'DB technologies'!$N$266:$Y$278,2,FALSE)*'DB additional information '!$S$6/100*'DB additional information '!$U$6*VLOOKUP($C$547,'DB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V550" s="418" t="str">
        <f>IF(D550="","",(VLOOKUP(D550,'DB technologies'!$N$266:$Y$278,3,FALSE)*'DB additional information '!$S$7/100*'DB additional information '!$U$7*VLOOKUP($C$547,'DB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W550" s="417" t="str">
        <f>IF(D550="","",(VLOOKUP(D550,'DB technologies'!$N$266:$Y$278,4,FALSE)*('DB additional information '!$S$8/100*'DB additional information '!$U$8*E550/1000/1000)))</f>
        <v/>
      </c>
      <c r="X550" s="261" t="str">
        <f>IF($C$547=0,"",IF('Calc (ex-animal)'!$F$103=1,"",IF(D550="","",((VLOOKUP($C$547,'Calc (ex-animal)'!$D$103:$Y$107,13,FALSE)-VLOOKUP($C$547,'Calc (ex-animal)'!$D$103:$Y$107,19,FALSE))*F550/100+U550+V550+W550))))</f>
        <v/>
      </c>
      <c r="Y550" s="418" t="str">
        <f>IF(D550="","",(VLOOKUP(D550,'DB technologies'!$N$266:$Y$278,2,FALSE)*'DB additional information '!$S$6/100*'DB additional information '!$V$6*VLOOKUP($C$547,'DB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Z550" s="418" t="str">
        <f>IF(D550="","",(VLOOKUP(D550,'DB technologies'!$N$266:$Y$278,3,FALSE)*'DB additional information '!$S$7/100*'DB additional information '!$V$7*VLOOKUP($C$547,'DB animal categories'!$C$201:$AC$210,27,FALSE)*E550/1000/1000)/VLOOKUP($C$547,'DB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AA550" s="418" t="str">
        <f>IF(D550="","",(VLOOKUP(D550,'DB technologies'!$N$266:$Y$278,4,FALSE)*('DB additional information '!$S$8/100*'DB additional information '!$V$8*E550/1000/1000)))</f>
        <v/>
      </c>
      <c r="AB550" s="261" t="str">
        <f>IF($C$547=0,"",IF('Calc (ex-animal)'!$F$103=1,"",IF(D550="","",((VLOOKUP($C$547,'Calc (ex-animal)'!$D$103:$Y$107,16,FALSE)-VLOOKUP($C$547,'Calc (ex-animal)'!$D$103:$Y$107,20,FALSE))*F550/100+Y550+Z550+AA550))))</f>
        <v/>
      </c>
      <c r="AC550" s="261" t="str">
        <f>IF($C$547=0,"",IF('Calc (ex-animal)'!$F$103=1,"",IF(D550="","",VLOOKUP($C$547,'Calc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categories'!$C$201:$AC$210,26,FALSE)/24)*F550/100*VLOOKUP(D550,'DB technologies'!$N$266:$R$278,5,FALSE)/100)))</f>
        <v/>
      </c>
      <c r="AD550" s="261" t="str">
        <f>IF($C$547=0,"",IF('Calc (ex-animal)'!$F$103=1,"",IF(D550="","",VLOOKUP($C$547,'Calc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categories'!$C$201:$AC$210,26,FALSE)/24)*F550/100*VLOOKUP(D550,'DB technologies'!$N$266:$Y$278,6,FALSE)/100)))</f>
        <v/>
      </c>
      <c r="AE550" s="262" t="str">
        <f>IF($C$547=0,"",IF('Calc (ex-animal)'!$F$103=1,"",IF(D550="","",VLOOKUP($C$547,'Calc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categories'!$C$201:$AC$210,26,FALSE)/24)*F550/100*VLOOKUP(D550,'DB technologies'!$N$266:$Y$278,7,FALSE)/100)))</f>
        <v/>
      </c>
      <c r="AI550" s="181" t="str">
        <f>IF(D550="","",VLOOKUP(D550,'DB technologies'!$N$266:$Y$278,10,FALSE))</f>
        <v/>
      </c>
      <c r="AJ550" s="449" t="e">
        <f>VLOOKUP($C$547,'DB animal categories'!$C$201:$AN$210,27,FALSE)-VLOOKUP($C$547,'DB animal categories'!$C$201:$AN$210,26,FALSE)*VLOOKUP($C$547,'DB animal categories'!$C$201:$AN$210,25,FALSE)/24</f>
        <v>#N/A</v>
      </c>
      <c r="AK550" s="442" t="str">
        <f>IF(AI550="","",AL550+AM550)</f>
        <v/>
      </c>
      <c r="AL550" s="442" t="str">
        <f>IF(D550="","",IF(AI550=2,(('Calc (ex-animal)'!$G$103*'DB additional information '!$K$22/100*(1-VLOOKUP(D550,'DB technologies'!$N$266:$Y$278,9,FALSE)/100)*'Calc (ex-housing, ex-storage)'!F550/100+'Calc (ex-animal)'!$H$103*'DB additional information '!$L$22/100*(1-VLOOKUP(D550,'DB technologies'!$N$266:$Y$278,9,FALSE)/100)*'Calc (ex-housing, ex-storage)'!F550/100))/VLOOKUP($C$547,'DB animal categories'!$C$201:$AC$210,27,FALSE)*AJ550+I550+J550+K550,IF(AI550=1,('Calc (ex-animal)'!$H$103*'DB additional information '!$L$22/100*(1-VLOOKUP(D550,'DB technologies'!$N$266:$Y$278,9,FALSE)/100)*'Calc (ex-housing, ex-storage)'!F550/100)/VLOOKUP($C$547,'DB animal categories'!$C$201:$AC$210,27,FALSE)*AJ550,IF(AI550=4,('Calc (ex-animal)'!$G$103*'DB additional information '!$K$22/100+'Calc (ex-animal)'!$H$103*'DB additional information '!$L$22/100)*(1-VLOOKUP(D550,'DB technologies'!$N$266:$Y$278,9,FALSE)/100)*'Calc (ex-housing, ex-storage)'!F550/100*VLOOKUP(D550,'DB technologies'!$N$266:$Y$278,11,FALSE)/100/VLOOKUP($C$547,'DB animal categories'!$C$201:$AC$210,27,FALSE)*AJ550,0))))</f>
        <v/>
      </c>
      <c r="AM550" s="442" t="str">
        <f>IF(D550="","",IF(AI550=2,(('Calc (ex-animal)'!$G$103*(1-'DB additional information '!$K$22/100)*(1-VLOOKUP(D550,'DB technologies'!$N$266:$Y$278,8,FALSE)/100)*'Calc (ex-housing, ex-storage)'!F550/100+'Calc (ex-animal)'!$H$103*(1-'DB additional information '!$L$22/100)*(1-VLOOKUP(D550,'DB technologies'!$N$266:$Y$278,8,FALSE)/100)*'Calc (ex-housing, ex-storage)'!F550/100))/VLOOKUP($C$547,'DB animal categories'!$C$201:$AC$210,27,FALSE)*AJ550+M550+N550+O550,IF(AI550=1,('Calc (ex-animal)'!$H$103*(1-'DB additional information '!$L$22/100)*(1-VLOOKUP(D550,'DB technologies'!$N$266:$Y$278,8,FALSE)/100)*'Calc (ex-housing, ex-storage)'!F550/100)/VLOOKUP($C$547,'DB animal categories'!$C$201:$AC$210,27,FALSE)*AJ550,IF(AI550=4,('Calc (ex-animal)'!$G$103*(1-'DB additional information '!$K$22/100)+'Calc (ex-animal)'!$H$103*(1-'DB additional information '!$L$22/100))*(1-VLOOKUP(D550,'DB technologies'!$N$266:$Y$278,8,FALSE)/100)*'Calc (ex-housing, ex-storage)'!F550/100*VLOOKUP(D550,'DB technologies'!$N$266:$Y$278,11,FALSE)/100/VLOOKUP($C$547,'DB animal categories'!$C$201:$AC$210,27,FALSE)*AJ550,0))))</f>
        <v/>
      </c>
      <c r="AN550" s="442" t="str">
        <f>IF(AI550="","",IF(AL550=0,0,AL550/AK550*100))</f>
        <v/>
      </c>
      <c r="AO550" s="182" t="str">
        <f>IF(D550="","",IF(AI550=2,(('Calc (ex-animal)'!$L$103*'Calc (ex-housing, ex-storage)'!F550/100+'Calc (ex-animal)'!$K$103*'Calc (ex-housing, ex-storage)'!F550/100))/VLOOKUP($C$547,'DB animal categories'!$C$201:$AC$210,27,FALSE)*AJ550+Q550+R550+S550-AC550,IF(AI550=1,('Calc (ex-animal)'!$L$103*'Calc (ex-housing, ex-storage)'!F550/100)/VLOOKUP($C$547,'DB animal categories'!$C$201:$AC$210,27,FALSE)*AJ550-'Calc (ex-housing, ex-storage)'!AC550,IF(AI550=4,('Calc (ex-animal)'!$L$103+'Calc (ex-animal)'!$K$103)*'Calc (ex-housing, ex-storage)'!F550/100*VLOOKUP(D550,'DB technologies'!$N$266:$Y$278,11,FALSE)/100/VLOOKUP($C$547,'DB animal categories'!$C$201:$AC$210,27,FALSE)*AJ550-AC550*VLOOKUP(D550,'DB technologies'!$N$266:$Y$278,11,FALSE)/100,0))))</f>
        <v/>
      </c>
      <c r="AP550" s="182" t="str">
        <f>IF(D550="","",IF(AO550&lt;-0.01,0,IF(AI550=2,(('Calc (ex-animal)'!$L$103*'Calc (ex-housing, ex-storage)'!F550/100+'Calc (ex-animal)'!$K$103*'Calc (ex-housing, ex-storage)'!F550/100))/VLOOKUP($C$547,'DB animal categories'!$C$201:$AC$210,27,FALSE)*AJ550+Q550+R550+S550-AC550,IF(AI550=1,('Calc (ex-animal)'!$L$103*'Calc (ex-housing, ex-storage)'!F550/100)/VLOOKUP($C$547,'DB animal categories'!$C$201:$AC$210,27,FALSE)*AJ550-'Calc (ex-housing, ex-storage)'!AC550,IF(AI550=4,('Calc (ex-animal)'!$L$103+'Calc (ex-animal)'!$K$103)*'Calc (ex-housing, ex-storage)'!F550/100*VLOOKUP(D550,'DB technologies'!$N$266:$Y$278,11,FALSE)/100/VLOOKUP($C$547,'DB animal categories'!$C$201:$AC$210,27,FALSE)*AJ550-AC550*VLOOKUP(D550,'DB technologies'!$N$266:$Y$278,11,FALSE)/100,0)))))</f>
        <v/>
      </c>
      <c r="AQ550" s="182" t="str">
        <f>IF(D550="","",IF(AI550=2,('Calc (ex-animal)'!$O$103*'Calc (ex-housing, ex-storage)'!F550/100+'Calc (ex-animal)'!$N$103*'Calc (ex-housing, ex-storage)'!F550/100)/VLOOKUP($C$547,'DB animal categories'!$C$201:$AC$210,27,FALSE)*AJ550+U550+V550+W550,IF(AI550=1,'Calc (ex-animal)'!$O$103*'Calc (ex-housing, ex-storage)'!F550/100/VLOOKUP($C$547,'DB animal categories'!$C$201:$AC$210,27,FALSE)*AJ550,IF(AI550=4,('Calc (ex-animal)'!$O$103+'Calc (ex-animal)'!$N$103)*'Calc (ex-housing, ex-storage)'!F550/100*VLOOKUP(D550,'DB technologies'!$N$266:$Y$278,11,FALSE)/100/VLOOKUP($C$547,'DB animal categories'!$C$201:$AC$210,27,FALSE)*AJ550,0))))</f>
        <v/>
      </c>
      <c r="AR550" s="182" t="str">
        <f>IF(D550="","",IF(AI550=2,('Calc (ex-animal)'!$R$103*'Calc (ex-housing, ex-storage)'!F550/100+'Calc (ex-animal)'!$Q$103*'Calc (ex-housing, ex-storage)'!F550/100)/VLOOKUP($C$547,'DB animal categories'!$C$201:$AC$210,27,FALSE)*AJ550+Y550+Z550+AA550,IF(AI550=1,'Calc (ex-animal)'!$R$103*'Calc (ex-housing, ex-storage)'!F550/100/VLOOKUP($C$547,'DB animal categories'!$C$201:$AC$210,27,FALSE)*AJ550,IF(AI550=4,('Calc (ex-animal)'!$R$103+'Calc (ex-animal)'!$Q$103)*'Calc (ex-housing, ex-storage)'!F550/100*VLOOKUP(D550,'DB technologies'!$N$266:$Y$278,11,FALSE)/100/VLOOKUP($C$547,'DB animal categories'!$C$201:$AC$210,27,FALSE)*AJ550,0))))</f>
        <v/>
      </c>
      <c r="AS550" s="181" t="str">
        <f>IF(D550="","",VLOOKUP(D550,'DB technologies'!$N$266:$Y$278,10,FALSE))</f>
        <v/>
      </c>
      <c r="AT550" s="442" t="str">
        <f>IF(AS550="","",AU550+AV550)</f>
        <v/>
      </c>
      <c r="AU550" s="442" t="str">
        <f>IF(D550="","",IF(AS550=2,0,IF(AS550=1,'Calc (ex-animal)'!$G$103*'DB additional information '!$K$22/100*(1-VLOOKUP(D550,'DB technologies'!$N$266:$Y$278,8,FALSE)/100)*'Calc (ex-housing, ex-storage)'!F550/100/VLOOKUP($C$547,'DB animal categories'!$C$201:$AC$210,27,FALSE)*AJ550+I550+J550+K550,IF(AS550=5,(('Calc (ex-animal)'!$G$103*'DB additional information '!$K$22/100+'Calc (ex-animal)'!$H$103*'DB additional information '!$L$22/100))*(1-VLOOKUP(D550,'DB technologies'!$N$266:$Y$278,9,FALSE)/100)*'Calc (ex-housing, ex-storage)'!F550/100/VLOOKUP($C$547,'DB animal categories'!$C$201:$AC$210,27,FALSE)*AJ550+I550+J550+K550,IF(AS550=3,('Calc (ex-animal)'!$G$103*'DB additional information '!$K$22/100+'Calc (ex-animal)'!$H$103*'DB additional information '!$L$22/100)*(1-VLOOKUP(D550,'DB technologies'!$N$266:$Y$278,9,FALSE)/100)*'Calc (ex-housing, ex-storage)'!F550/100/VLOOKUP($C$547,'DB animal categories'!$C$201:$AC$210,27,FALSE)*AJ550+I550+J550+K550,IF(AS550=4,('Calc (ex-animal)'!$G$103*'DB additional information '!$K$22/100+'Calc (ex-animal)'!$H$103*'DB additional information '!$L$22/100)*(1-VLOOKUP(D550,'DB technologies'!$N$266:$Y$278,9,FALSE)/100)*'Calc (ex-housing, ex-storage)'!F550/100*VLOOKUP(D550,'DB technologies'!$N$266:$Y$278,12,FALSE)/100/VLOOKUP($C$547,'DB animal categories'!$C$201:$AC$210,27,FALSE)*AJ550+I550+J550+K550,0))))))</f>
        <v/>
      </c>
      <c r="AV550" s="442" t="str">
        <f>IF(D550="","",IF(AS550=2,0,IF(AS550=1,'Calc (ex-animal)'!$G$103*(1-'DB additional information '!$K$22/100)*(1-VLOOKUP(D550,'DB technologies'!$N$266:$Y$278,8,FALSE)/100)*'Calc (ex-housing, ex-storage)'!F550/100/VLOOKUP($C$547,'DB animal categories'!$C$201:$AC$210,27,FALSE)*AJ550+M550+N550+O550,IF(AS550=5,('Calc (ex-animal)'!$G$103*(1-'DB additional information '!$K$22/100)+'Calc (ex-animal)'!$H$103*(1-'DB additional information '!$L$22/100))*(1-VLOOKUP(D550,'DB technologies'!$N$266:$Y$278,8,FALSE)/100)*'Calc (ex-housing, ex-storage)'!F550/100/VLOOKUP($C$547,'DB animal categories'!$C$201:$AC$210,27,FALSE)*AJ550+M550+N550+O550,IF(AS550=3,('Calc (ex-animal)'!$G$103*(1-'DB additional information '!$K$22/100)+'Calc (ex-animal)'!$H$103*(1-'DB additional information '!$L$22/100))*(1-VLOOKUP(D550,'DB technologies'!$N$266:$Y$278,8,FALSE)/100)*'Calc (ex-housing, ex-storage)'!F550/100/VLOOKUP($C$547,'DB animal categories'!$C$201:$AC$210,27,FALSE)*AJ550+M550+N550+O550,IF(AS550=4,('Calc (ex-animal)'!$G$103*(1-'DB additional information '!$K$22/100)+'Calc (ex-animal)'!$H$103*(1-'DB additional information '!$L$22/100))*(1-VLOOKUP(D550,'DB technologies'!$N$266:$Y$278,8,FALSE)/100)*'Calc (ex-housing, ex-storage)'!F550/100*VLOOKUP(D550,'DB technologies'!$N$266:$Y$278,12,FALSE)/100/VLOOKUP($C$547,'DB animal categories'!$C$201:$AC$210,27,FALSE)*AJ550+M550+N550+O550,0))))))</f>
        <v/>
      </c>
      <c r="AW550" s="442" t="str">
        <f>IF(AS550="","",IF(AU550=0,0,AU550/AT550*100))</f>
        <v/>
      </c>
      <c r="AX550" s="182" t="str">
        <f>IF(D550="","",IF(AS550=2,0,IF(AS550=1,'Calc (ex-animal)'!$K$103*'Calc (ex-housing, ex-storage)'!F550/100/VLOOKUP($C$547,'DB animal categories'!$C$201:$AC$210,27,FALSE)*AJ550+Q550+R550+S550,IF(AS550=5,('Calc (ex-animal)'!$K$103+'Calc (ex-animal)'!$L$103)*'Calc (ex-housing, ex-storage)'!F550/100/VLOOKUP($C$547,'DB animal categories'!$C$201:$AC$210,27,FALSE)*AJ550+Q550+R550+S550-'Calc (ex-housing, ex-storage)'!AC550,IF(AS550=3,('Calc (ex-animal)'!$K$103+'Calc (ex-animal)'!$L$103)*'Calc (ex-housing, ex-storage)'!F550/100/VLOOKUP($C$547,'DB animal categories'!$C$201:$AC$210,27,FALSE)*AJ550+Q550+R550+S550-'Calc (ex-housing, ex-storage)'!AC550-AD550-AE550,IF(AI550=4,('Calc (ex-animal)'!$K$103+'Calc (ex-animal)'!$L$103)*'Calc (ex-housing, ex-storage)'!F550/100*VLOOKUP(D550,'DB technologies'!$N$266:$Y$278,12,FALSE)/100/VLOOKUP($C$547,'DB animal categories'!$C$201:$AC$210,27,FALSE)*AJ550+Q550+R550+S550-(VLOOKUP(D550,'DB technologies'!$N$266:$Y$278,12,FALSE)/100*AC550)-AD550-AE550,0))))))</f>
        <v/>
      </c>
      <c r="AY550" s="182" t="str">
        <f>IF(D550="","",IF(AS550=2,0,IF(AS550=1,'Calc (ex-animal)'!$N$103*'Calc (ex-housing, ex-storage)'!F550/100/VLOOKUP($C$547,'DB animal categories'!$C$201:$AC$210,27,FALSE)*AJ550+U550+V550+W550,IF(AS550=5,('Calc (ex-animal)'!$N$103+'Calc (ex-animal)'!$O$103)*'Calc (ex-housing, ex-storage)'!F550/100/VLOOKUP($C$547,'DB animal categories'!$C$201:$AC$210,27,FALSE)*AJ550+U550+V550+W550,IF(AS550=3,('Calc (ex-animal)'!$N$103+'Calc (ex-animal)'!$O$103)*'Calc (ex-housing, ex-storage)'!F550/100/VLOOKUP($C$547,'DB animal categories'!$C$201:$AC$210,27,FALSE)*AJ550+U550+V550+W550,IF(AS550=4,('Calc (ex-animal)'!$N$103+'Calc (ex-animal)'!$O$103)*'Calc (ex-housing, ex-storage)'!F550/100*VLOOKUP(D550,'DB technologies'!$N$266:$Y$278,12,FALSE)/100/VLOOKUP($C$547,'DB animal categories'!$C$201:$AC$210,27,FALSE)*AJ550+U550+V550+W550,0))))))</f>
        <v/>
      </c>
      <c r="AZ550" s="182" t="str">
        <f>IF(D550="","",IF(AS550=2,0,IF(AS550=1,'Calc (ex-animal)'!$Q$103*'Calc (ex-housing, ex-storage)'!F550/100/VLOOKUP($C$547,'DB animal categories'!$C$201:$AC$210,27,FALSE)*AJ550+Y550+Z550+AA550,IF(AS550=5,('Calc (ex-animal)'!$Q$103+'Calc (ex-animal)'!$R$103)*'Calc (ex-housing, ex-storage)'!F550/100/VLOOKUP($C$547,'DB animal categories'!$C$201:$AC$210,27,FALSE)*AJ550+Y550+Z550+AA550,IF(AS550=3,('Calc (ex-animal)'!$Q$103+'Calc (ex-animal)'!$R$103)*'Calc (ex-housing, ex-storage)'!F550/100/VLOOKUP($C$547,'DB animal categories'!$C$201:$AC$210,27,FALSE)*AJ550+Y550+Z550+AA550,IF(AS550=4,('Calc (ex-animal)'!$Q$103+'Calc (ex-animal)'!$R$103)*'Calc (ex-housing, ex-storage)'!F550/100*VLOOKUP(D550,'DB technologies'!$N$266:$Y$278,12,FALSE)/100/VLOOKUP($C$547,'DB animal categories'!$C$201:$AC$210,27,FALSE)*AJ550+Y550+Z550+AA550,0))))))</f>
        <v/>
      </c>
      <c r="BA550" s="506"/>
      <c r="BB550" s="506"/>
      <c r="BC550" s="506"/>
    </row>
    <row r="551" spans="1:55" ht="12" thickBot="1" x14ac:dyDescent="0.25">
      <c r="A551" s="748"/>
      <c r="B551" s="695"/>
      <c r="C551" s="255"/>
      <c r="D551" s="1359"/>
      <c r="E551" s="1360"/>
      <c r="F551" s="481" t="str">
        <f>IF('Calc (ex-animal)'!$F$103=1,"",IF($C$547=0,"",IF(D551="","",E551/'Calc (ex-animal)'!$E$103*100)))</f>
        <v/>
      </c>
      <c r="G551" s="483" t="str">
        <f>IF($C$547=0,"",IF('Calc (ex-animal)'!$F$103=1,"",IF(D551="","",SUM(H551:O551))))</f>
        <v/>
      </c>
      <c r="H551" s="445" t="str">
        <f>IF('Calc (ex-animal)'!$F$103=1,"",IF(D551="","",(((VLOOKUP($C$547,'Calc (ex-animal)'!$D$103:$Y$107,6,FALSE)-VLOOKUP($C$547,'Calc (ex-animal)'!$D$103:$Y$107,17,FALSE))*F551/100))*VLOOKUP($C$547,'Calc (ex-animal)'!$D$103:$Y$107,7,FALSE)/100*(1-VLOOKUP(D551,'DB technologies'!$N$266:$Y$278,9,FALSE)/100)))</f>
        <v/>
      </c>
      <c r="I551" s="445" t="str">
        <f>IF(D551="","",((VLOOKUP(D551,'DB technologies'!$N$266:$Y$278,2,FALSE)*VLOOKUP($C$547,'DB animal categories'!$C$201:$AC$210,27,FALSE)*E551/1000)/VLOOKUP($C$547,'DB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'!$S$6/100*(1-VLOOKUP(D551,'DB technologies'!$N$266:$Y$278,9,FALSE)/100)))</f>
        <v/>
      </c>
      <c r="J551" s="446" t="str">
        <f>IF(D551="","",((VLOOKUP(D551,'DB technologies'!$N$266:$Y$278,3,FALSE)*VLOOKUP($C$547,'DB animal categories'!$C$201:$AC$210,27,FALSE)*E551/1000)/VLOOKUP($C$547,'DB animal categories'!$C$201:$AC$210,27,FALSE)*(VLOOKUP($C$547,'DB animal categories'!$C$201:$AC$210,27,FALSE)-(VLOOKUP($C$547,'DB animal categories'!$C$201:$AC$210,25,FALSE)*VLOOKUP($C$547,'DB animal categories'!$C$201:$AC$210,26,FALSE)/24))*'DB additional information '!$S$7/100*(1-VLOOKUP(D551,'DB technologies'!$N$266:$Y$278,9,FALSE)/100)))</f>
        <v/>
      </c>
      <c r="K551" s="446" t="str">
        <f>IF(D551="","",((VLOOKUP(D551,'DB technologies'!$N$266:$Y$278,4,FALSE)*E551*'DB additional information '!$S$8/100*(1-VLOOKUP(D551,'DB technologies'!$N$266:$Y$278,9,FALSE)/100))/VLOOKUP($C$547,'DB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L551" s="445" t="str">
        <f>IF('Calc (ex-animal)'!$F$103=1,"",IF(D551="","",(((VLOOKUP($C$547,'Calc (ex-animal)'!$D$103:$Y$107,6,FALSE)-VLOOKUP($C$547,'Calc (ex-animal)'!$D$103:$Y$107,17,FALSE))*F551/100))*(1-VLOOKUP($C$547,'Calc (ex-animal)'!$D$103:$Y$107,7,FALSE)/100)*(1-VLOOKUP(D551,'DB technologies'!$N$266:$V$278,8,FALSE)/100)))</f>
        <v/>
      </c>
      <c r="M551" s="446" t="str">
        <f>IF(D551="","",((VLOOKUP(D551,'DB technologies'!$N$266:$Y$278,2,FALSE)*VLOOKUP($C$547,'DB animal categories'!$C$201:$AC$210,27,FALSE)*E551/1000)/VLOOKUP($C$547,'DB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'!$S$6/100)*(1-VLOOKUP(D551,'DB technologies'!$N$266:$Y$278,9,FALSE)/100))</f>
        <v/>
      </c>
      <c r="N551" s="446" t="str">
        <f>IF(D551="","",((VLOOKUP(D551,'DB technologies'!$N$266:$Y$278,3,FALSE)*VLOOKUP($C$547,'DB animal categories'!$C$201:$AC$210,27,FALSE)*E551/1000)/VLOOKUP($C$547,'DB animal categories'!$C$201:$AC$210,27,FALSE)*(VLOOKUP($C$547,'DB animal categories'!$C$201:$AC$210,27,FALSE)-VLOOKUP($C$547,'DB animal categories'!$C$201:$AC$210,25,FALSE)*VLOOKUP($C$547,'DB animal categories'!$C$201:$AC$210,26,FALSE)/24))*(1-'DB additional information '!$S$7/100)*(1-VLOOKUP(D551,'DB technologies'!$N$266:$Y$278,9,FALSE)/100))</f>
        <v/>
      </c>
      <c r="O551" s="445" t="str">
        <f>IF(D551="","",((VLOOKUP(D551,'DB technologies'!$N$266:$Y$278,4,FALSE)*E551*(1-'DB additional information '!$S$8/100)*(1-VLOOKUP(D551,'DB technologies'!$N$266:$Y$278,8,FALSE)/100))/VLOOKUP($C$547,'DB animal categories'!$C$201:$AC$210,27,FALSE)*(VLOOKUP($C$547,'DB animal categories'!$C$201:$AC$210,27,FALSE)-VLOOKUP($C$547,'DB animal categories'!$C$201:$AC$210,25,FALSE)*VLOOKUP($C$547,'DB animal categories'!$C$201:$AC$210,26,FALSE)/24)))</f>
        <v/>
      </c>
      <c r="P551" s="444" t="str">
        <f>IF(G551=0,0,IF(E551="","",IF(F551="","",IF($C$547=0,"",IF(D551="","",SUM(H551:K551)/G551*100)))))</f>
        <v/>
      </c>
      <c r="Q551" s="476" t="str">
        <f>IF(D551="","",(VLOOKUP(D551,'DB technologies'!$N$266:$Y$278,2,FALSE)*'DB additional information '!$S$6/100*'DB additional information '!$T$6*VLOOKUP($C$547,'DB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R551" s="476" t="str">
        <f>IF(D551="","",(VLOOKUP(D551,'DB technologies'!$N$266:$Y$278,3,FALSE)*'DB additional information '!$S$7/100*'DB additional information '!$T$7*VLOOKUP($C$547,'DB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S551" s="494" t="str">
        <f>IF(D551="","",(VLOOKUP(D551,'DB technologies'!$N$266:$Y$278,4,FALSE)*('DB additional information '!$S$8/100*'DB additional information '!$T$8*E551/1000/1000)))</f>
        <v/>
      </c>
      <c r="T551" s="266" t="str">
        <f>IF($C$547=0,"",IF('Calc (ex-animal)'!$F$103=1,"",IF(D551="","",((VLOOKUP($C$547,'Calc (ex-animal)'!$D$103:$Y$107,10,FALSE)-VLOOKUP($C$547,'Calc (ex-animal)'!$D$103:$Y$107,18,FALSE))*F551/100+Q551+R551+S551)-AC551-AD551-AE551)))</f>
        <v/>
      </c>
      <c r="U551" s="477" t="str">
        <f>IF(D551="","",(VLOOKUP(D551,'DB technologies'!$N$266:$Y$278,2,FALSE)*'DB additional information '!$S$6/100*'DB additional information '!$U$6*VLOOKUP($C$547,'DB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V551" s="433" t="str">
        <f>IF(D551="","",(VLOOKUP(D551,'DB technologies'!$N$266:$Y$278,3,FALSE)*'DB additional information '!$S$7/100*'DB additional information '!$U$7*VLOOKUP($C$547,'DB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W551" s="475" t="str">
        <f>IF(D551="","",(VLOOKUP(D551,'DB technologies'!$N$266:$Y$278,4,FALSE)*('DB additional information '!$S$8/100*'DB additional information '!$U$8*E551/1000/1000)))</f>
        <v/>
      </c>
      <c r="X551" s="267" t="str">
        <f>IF($C$547=0,"",IF('Calc (ex-animal)'!$F$103=1,"",IF(D551="","",((VLOOKUP($C$547,'Calc (ex-animal)'!$D$103:$Y$107,13,FALSE)-VLOOKUP($C$547,'Calc (ex-animal)'!$D$103:$Y$107,19,FALSE))*F551/100+U551+V551+W551))))</f>
        <v/>
      </c>
      <c r="Y551" s="433" t="str">
        <f>IF(D551="","",(VLOOKUP(D551,'DB technologies'!$N$266:$Y$278,2,FALSE)*'DB additional information '!$S$6/100*'DB additional information '!$V$6*VLOOKUP($C$547,'DB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Z551" s="433" t="str">
        <f>IF(D551="","",(VLOOKUP(D551,'DB technologies'!$N$266:$Y$278,3,FALSE)*'DB additional information '!$S$7/100*'DB additional information '!$V$7*VLOOKUP($C$547,'DB animal categories'!$C$201:$AC$210,27,FALSE)*E551/1000/1000)/VLOOKUP($C$547,'DB animal categories'!$C$201:$AC$210,27,FALSE)*(VLOOKUP($C$547,'DB animal categories'!$C$201:$AC$210,27,FALSE)-VLOOKUP($C$547,'DB animal categories'!$C$201:$AC$210,25,FALSE)*VLOOKUP($C$547,'DB animal categories'!$C$201:$AC$210,26,FALSE)/24))</f>
        <v/>
      </c>
      <c r="AA551" s="433" t="str">
        <f>IF(D551="","",(VLOOKUP(D551,'DB technologies'!$N$266:$Y$278,4,FALSE)*('DB additional information '!$S$8/100*'DB additional information '!$V$8*E551/1000/1000)))</f>
        <v/>
      </c>
      <c r="AB551" s="267" t="str">
        <f>IF($C$547=0,"",IF('Calc (ex-animal)'!$F$103=1,"",IF(D551="","",((VLOOKUP($C$547,'Calc (ex-animal)'!$D$103:$Y$107,16,FALSE)-VLOOKUP($C$547,'Calc (ex-animal)'!$D$103:$Y$107,20,FALSE))*F551/100+Y551+Z551+AA551))))</f>
        <v/>
      </c>
      <c r="AC551" s="267" t="str">
        <f>IF($C$547=0,"",IF('Calc (ex-animal)'!$F$103=1,"",IF(D551="","",VLOOKUP($C$547,'Calc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categories'!$C$201:$AC$210,26,FALSE)/24)*F551/100*VLOOKUP(D551,'DB technologies'!$N$266:$R$278,5,FALSE)/100)))</f>
        <v/>
      </c>
      <c r="AD551" s="267" t="str">
        <f>IF($C$547=0,"",IF('Calc (ex-animal)'!$F$103=1,"",IF(D551="","",VLOOKUP($C$547,'Calc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categories'!$C$201:$AC$210,26,FALSE)/24)*F551/100*VLOOKUP(D551,'DB technologies'!$N$266:$Y$278,6,FALSE)/100)))</f>
        <v/>
      </c>
      <c r="AE551" s="268" t="str">
        <f>IF($C$547=0,"",IF('Calc (ex-animal)'!$F$103=1,"",IF(D551="","",VLOOKUP($C$547,'Calc (ex-animal)'!$D$103:$Y$107,10,FALSE)/VLOOKUP($C$547,'DB animal categories'!$C$201:$AC$210,27,FALSE)*(VLOOKUP($C$547,'DB animal categories'!$C$201:$AC$210,27,FALSE)-VLOOKUP($C$547,'DB animal categories'!$C$201:$AC$210,25,FALSE)*VLOOKUP($C$547,'DB animal categories'!$C$201:$AC$210,26,FALSE)/24)*F551/100*VLOOKUP(D551,'DB technologies'!$N$266:$Y$278,7,FALSE)/100)))</f>
        <v/>
      </c>
      <c r="AI551" s="183" t="str">
        <f>IF(D551="","",VLOOKUP(D551,'DB technologies'!$N$266:$Y$278,10,FALSE))</f>
        <v/>
      </c>
      <c r="AJ551" s="451" t="e">
        <f>VLOOKUP($C$547,'DB animal categories'!$C$201:$AN$210,27,FALSE)-VLOOKUP($C$547,'DB animal categories'!$C$201:$AN$210,26,FALSE)*VLOOKUP($C$547,'DB animal categories'!$C$201:$AN$210,25,FALSE)/24</f>
        <v>#N/A</v>
      </c>
      <c r="AK551" s="452" t="str">
        <f>IF(AI551="","",AL551+AM551)</f>
        <v/>
      </c>
      <c r="AL551" s="452" t="str">
        <f>IF(D551="","",IF(AI551=2,(('Calc (ex-animal)'!$G$103*'DB additional information '!$K$22/100*(1-VLOOKUP(D551,'DB technologies'!$N$266:$Y$278,9,FALSE)/100)*'Calc (ex-housing, ex-storage)'!F551/100+'Calc (ex-animal)'!$H$103*'DB additional information '!$L$22/100*(1-VLOOKUP(D551,'DB technologies'!$N$266:$Y$278,9,FALSE)/100)*'Calc (ex-housing, ex-storage)'!F551/100))/VLOOKUP($C$547,'DB animal categories'!$C$201:$AC$210,27,FALSE)*AJ551+I551+J551+K551,IF(AI551=1,('Calc (ex-animal)'!$H$103*'DB additional information '!$L$22/100*(1-VLOOKUP(D551,'DB technologies'!$N$266:$Y$278,9,FALSE)/100)*'Calc (ex-housing, ex-storage)'!F551/100)/VLOOKUP($C$547,'DB animal categories'!$C$201:$AC$210,27,FALSE)*AJ551,IF(AI551=4,('Calc (ex-animal)'!$G$103*'DB additional information '!$K$22/100+'Calc (ex-animal)'!$H$103*'DB additional information '!$L$22/100)*(1-VLOOKUP(D551,'DB technologies'!$N$266:$Y$278,9,FALSE)/100)*'Calc (ex-housing, ex-storage)'!F551/100*VLOOKUP(D551,'DB technologies'!$N$266:$Y$278,11,FALSE)/100/VLOOKUP($C$547,'DB animal categories'!$C$201:$AC$210,27,FALSE)*AJ551,0))))</f>
        <v/>
      </c>
      <c r="AM551" s="452" t="str">
        <f>IF(D551="","",IF(AI551=2,(('Calc (ex-animal)'!$G$103*(1-'DB additional information '!$K$22/100)*(1-VLOOKUP(D551,'DB technologies'!$N$266:$Y$278,8,FALSE)/100)*'Calc (ex-housing, ex-storage)'!F551/100+'Calc (ex-animal)'!$H$103*(1-'DB additional information '!$L$22/100)*(1-VLOOKUP(D551,'DB technologies'!$N$266:$Y$278,8,FALSE)/100)*'Calc (ex-housing, ex-storage)'!F551/100))/VLOOKUP($C$547,'DB animal categories'!$C$201:$AC$210,27,FALSE)*AJ551+M551+N551+O551,IF(AI551=1,('Calc (ex-animal)'!$H$103*(1-'DB additional information '!$L$22/100)*(1-VLOOKUP(D551,'DB technologies'!$N$266:$Y$278,8,FALSE)/100)*'Calc (ex-housing, ex-storage)'!F551/100)/VLOOKUP($C$547,'DB animal categories'!$C$201:$AC$210,27,FALSE)*AJ551,IF(AI551=4,('Calc (ex-animal)'!$G$103*(1-'DB additional information '!$K$22/100)+'Calc (ex-animal)'!$H$103*(1-'DB additional information '!$L$22/100))*(1-VLOOKUP(D551,'DB technologies'!$N$266:$Y$278,8,FALSE)/100)*'Calc (ex-housing, ex-storage)'!F551/100*VLOOKUP(D551,'DB technologies'!$N$266:$Y$278,11,FALSE)/100/VLOOKUP($C$547,'DB animal categories'!$C$201:$AC$210,27,FALSE)*AJ551,0))))</f>
        <v/>
      </c>
      <c r="AN551" s="452" t="str">
        <f>IF(AI551="","",IF(AL551=0,0,AL551/AK551*100))</f>
        <v/>
      </c>
      <c r="AO551" s="184" t="str">
        <f>IF(D551="","",IF(AI551=2,(('Calc (ex-animal)'!$L$103*'Calc (ex-housing, ex-storage)'!F551/100+'Calc (ex-animal)'!$K$103*'Calc (ex-housing, ex-storage)'!F551/100))/VLOOKUP($C$547,'DB animal categories'!$C$201:$AC$210,27,FALSE)*AJ551+Q551+R551+S551-AC551,IF(AI551=1,('Calc (ex-animal)'!$L$103*'Calc (ex-housing, ex-storage)'!F551/100)/VLOOKUP($C$547,'DB animal categories'!$C$201:$AC$210,27,FALSE)*AJ551-'Calc (ex-housing, ex-storage)'!AC551,IF(AI551=4,('Calc (ex-animal)'!$L$103+'Calc (ex-animal)'!$K$103)*'Calc (ex-housing, ex-storage)'!F551/100*VLOOKUP(D551,'DB technologies'!$N$266:$Y$278,11,FALSE)/100/VLOOKUP($C$547,'DB animal categories'!$C$201:$AC$210,27,FALSE)*AJ551-AC551*VLOOKUP(D551,'DB technologies'!$N$266:$Y$278,11,FALSE)/100,0))))</f>
        <v/>
      </c>
      <c r="AP551" s="184" t="str">
        <f>IF(D551="","",IF(AO551&lt;-0.01,0,IF(AI551=2,(('Calc (ex-animal)'!$L$103*'Calc (ex-housing, ex-storage)'!F551/100+'Calc (ex-animal)'!$K$103*'Calc (ex-housing, ex-storage)'!F551/100))/VLOOKUP($C$547,'DB animal categories'!$C$201:$AC$210,27,FALSE)*AJ551+Q551+R551+S551-AC551,IF(AI551=1,('Calc (ex-animal)'!$L$103*'Calc (ex-housing, ex-storage)'!F551/100)/VLOOKUP($C$547,'DB animal categories'!$C$201:$AC$210,27,FALSE)*AJ551-'Calc (ex-housing, ex-storage)'!AC551,IF(AI551=4,('Calc (ex-animal)'!$L$103+'Calc (ex-animal)'!$K$103)*'Calc (ex-housing, ex-storage)'!F551/100*VLOOKUP(D551,'DB technologies'!$N$266:$Y$278,11,FALSE)/100/VLOOKUP($C$547,'DB animal categories'!$C$201:$AC$210,27,FALSE)*AJ551-AC551*VLOOKUP(D551,'DB technologies'!$N$266:$Y$278,11,FALSE)/100,0)))))</f>
        <v/>
      </c>
      <c r="AQ551" s="184" t="str">
        <f>IF(D551="","",IF(AI551=2,('Calc (ex-animal)'!$O$103*'Calc (ex-housing, ex-storage)'!F551/100+'Calc (ex-animal)'!$N$103*'Calc (ex-housing, ex-storage)'!F551/100)/VLOOKUP($C$547,'DB animal categories'!$C$201:$AC$210,27,FALSE)*AJ551+U551+V551+W551,IF(AI551=1,'Calc (ex-animal)'!$O$103*'Calc (ex-housing, ex-storage)'!F551/100/VLOOKUP($C$547,'DB animal categories'!$C$201:$AC$210,27,FALSE)*AJ551,IF(AI551=4,('Calc (ex-animal)'!$O$103+'Calc (ex-animal)'!$N$103)*'Calc (ex-housing, ex-storage)'!F551/100*VLOOKUP(D551,'DB technologies'!$N$266:$Y$278,11,FALSE)/100/VLOOKUP($C$547,'DB animal categories'!$C$201:$AC$210,27,FALSE)*AJ551,0))))</f>
        <v/>
      </c>
      <c r="AR551" s="184" t="str">
        <f>IF(D551="","",IF(AI551=2,('Calc (ex-animal)'!$R$103*'Calc (ex-housing, ex-storage)'!F551/100+'Calc (ex-animal)'!$Q$103*'Calc (ex-housing, ex-storage)'!F551/100)/VLOOKUP($C$547,'DB animal categories'!$C$201:$AC$210,27,FALSE)*AJ551+Y551+Z551+AA551,IF(AI551=1,'Calc (ex-animal)'!$R$103*'Calc (ex-housing, ex-storage)'!F551/100/VLOOKUP($C$547,'DB animal categories'!$C$201:$AC$210,27,FALSE)*AJ551,IF(AI551=4,('Calc (ex-animal)'!$R$103+'Calc (ex-animal)'!$Q$103)*'Calc (ex-housing, ex-storage)'!F551/100*VLOOKUP(D551,'DB technologies'!$N$266:$Y$278,11,FALSE)/100/VLOOKUP($C$547,'DB animal categories'!$C$201:$AC$210,27,FALSE)*AJ551,0))))</f>
        <v/>
      </c>
      <c r="AS551" s="183" t="str">
        <f>IF(D551="","",VLOOKUP(D551,'DB technologies'!$N$266:$Y$278,10,FALSE))</f>
        <v/>
      </c>
      <c r="AT551" s="452" t="str">
        <f>IF(AS551="","",AU551+AV551)</f>
        <v/>
      </c>
      <c r="AU551" s="452" t="str">
        <f>IF(D551="","",IF(AS551=2,0,IF(AS551=1,'Calc (ex-animal)'!$G$103*'DB additional information '!$K$22/100*(1-VLOOKUP(D551,'DB technologies'!$N$266:$Y$278,8,FALSE)/100)*'Calc (ex-housing, ex-storage)'!F551/100/VLOOKUP($C$547,'DB animal categories'!$C$201:$AC$210,27,FALSE)*AJ551+I551+J551+K551,IF(AS551=5,(('Calc (ex-animal)'!$G$103*'DB additional information '!$K$22/100+'Calc (ex-animal)'!$H$103*'DB additional information '!$L$22/100))*(1-VLOOKUP(D551,'DB technologies'!$N$266:$Y$278,9,FALSE)/100)*'Calc (ex-housing, ex-storage)'!F551/100/VLOOKUP($C$547,'DB animal categories'!$C$201:$AC$210,27,FALSE)*AJ551+I551+J551+K551,IF(AS551=3,('Calc (ex-animal)'!$G$103*'DB additional information '!$K$22/100+'Calc (ex-animal)'!$H$103*'DB additional information '!$L$22/100)*(1-VLOOKUP(D551,'DB technologies'!$N$266:$Y$278,9,FALSE)/100)*'Calc (ex-housing, ex-storage)'!F551/100/VLOOKUP($C$547,'DB animal categories'!$C$201:$AC$210,27,FALSE)*AJ551+I551+J551+K551,IF(AS551=4,('Calc (ex-animal)'!$G$103*'DB additional information '!$K$22/100+'Calc (ex-animal)'!$H$103*'DB additional information '!$L$22/100)*(1-VLOOKUP(D551,'DB technologies'!$N$266:$Y$278,9,FALSE)/100)*'Calc (ex-housing, ex-storage)'!F551/100*VLOOKUP(D551,'DB technologies'!$N$266:$Y$278,12,FALSE)/100/VLOOKUP($C$547,'DB animal categories'!$C$201:$AC$210,27,FALSE)*AJ551+I551+J551+K551,0))))))</f>
        <v/>
      </c>
      <c r="AV551" s="452" t="str">
        <f>IF(D551="","",IF(AS551=2,0,IF(AS551=1,'Calc (ex-animal)'!$G$103*(1-'DB additional information '!$K$22/100)*(1-VLOOKUP(D551,'DB technologies'!$N$266:$Y$278,8,FALSE)/100)*'Calc (ex-housing, ex-storage)'!F551/100/VLOOKUP($C$547,'DB animal categories'!$C$201:$AC$210,27,FALSE)*AJ551+M551+N551+O551,IF(AS551=5,('Calc (ex-animal)'!$G$103*(1-'DB additional information '!$K$22/100)+'Calc (ex-animal)'!$H$103*(1-'DB additional information '!$L$22/100))*(1-VLOOKUP(D551,'DB technologies'!$N$266:$Y$278,8,FALSE)/100)*'Calc (ex-housing, ex-storage)'!F551/100/VLOOKUP($C$547,'DB animal categories'!$C$201:$AC$210,27,FALSE)*AJ551+M551+N551+O551,IF(AS551=3,('Calc (ex-animal)'!$G$103*(1-'DB additional information '!$K$22/100)+'Calc (ex-animal)'!$H$103*(1-'DB additional information '!$L$22/100))*(1-VLOOKUP(D551,'DB technologies'!$N$266:$Y$278,8,FALSE)/100)*'Calc (ex-housing, ex-storage)'!F551/100/VLOOKUP($C$547,'DB animal categories'!$C$201:$AC$210,27,FALSE)*AJ551+M551+N551+O551,IF(AS551=4,('Calc (ex-animal)'!$G$103*(1-'DB additional information '!$K$22/100)+'Calc (ex-animal)'!$H$103*(1-'DB additional information '!$L$22/100))*(1-VLOOKUP(D551,'DB technologies'!$N$266:$Y$278,8,FALSE)/100)*'Calc (ex-housing, ex-storage)'!F551/100*VLOOKUP(D551,'DB technologies'!$N$266:$Y$278,12,FALSE)/100/VLOOKUP($C$547,'DB animal categories'!$C$201:$AC$210,27,FALSE)*AJ551+M551+N551+O551,0))))))</f>
        <v/>
      </c>
      <c r="AW551" s="452" t="str">
        <f>IF(AS551="","",IF(AU551=0,0,AU551/AT551*100))</f>
        <v/>
      </c>
      <c r="AX551" s="184" t="str">
        <f>IF(D551="","",IF(AS551=2,0,IF(AS551=1,'Calc (ex-animal)'!$K$103*'Calc (ex-housing, ex-storage)'!F551/100/VLOOKUP($C$547,'DB animal categories'!$C$201:$AC$210,27,FALSE)*AJ551+Q551+R551+S551,IF(AS551=5,('Calc (ex-animal)'!$K$103+'Calc (ex-animal)'!$L$103)*'Calc (ex-housing, ex-storage)'!F551/100/VLOOKUP($C$547,'DB animal categories'!$C$201:$AC$210,27,FALSE)*AJ551+Q551+R551+S551-'Calc (ex-housing, ex-storage)'!AC551,IF(AS551=3,('Calc (ex-animal)'!$K$103+'Calc (ex-animal)'!$L$103)*'Calc (ex-housing, ex-storage)'!F551/100/VLOOKUP($C$547,'DB animal categories'!$C$201:$AC$210,27,FALSE)*AJ551+Q551+R551+S551-'Calc (ex-housing, ex-storage)'!AC551-AD551-AE551,IF(AI551=4,('Calc (ex-animal)'!$K$103+'Calc (ex-animal)'!$L$103)*'Calc (ex-housing, ex-storage)'!F551/100*VLOOKUP(D551,'DB technologies'!$N$266:$Y$278,12,FALSE)/100/VLOOKUP($C$547,'DB animal categories'!$C$201:$AC$210,27,FALSE)*AJ551+Q551+R551+S551-(VLOOKUP(D551,'DB technologies'!$N$266:$Y$278,12,FALSE)/100*AC551)-AD551-AE551,0))))))</f>
        <v/>
      </c>
      <c r="AY551" s="184" t="str">
        <f>IF(D551="","",IF(AS551=2,0,IF(AS551=1,'Calc (ex-animal)'!$N$103*'Calc (ex-housing, ex-storage)'!F551/100/VLOOKUP($C$547,'DB animal categories'!$C$201:$AC$210,27,FALSE)*AJ551+U551+V551+W551,IF(AS551=5,('Calc (ex-animal)'!$N$103+'Calc (ex-animal)'!$O$103)*'Calc (ex-housing, ex-storage)'!F551/100/VLOOKUP($C$547,'DB animal categories'!$C$201:$AC$210,27,FALSE)*AJ551+U551+V551+W551,IF(AS551=3,('Calc (ex-animal)'!$N$103+'Calc (ex-animal)'!$O$103)*'Calc (ex-housing, ex-storage)'!F551/100/VLOOKUP($C$547,'DB animal categories'!$C$201:$AC$210,27,FALSE)*AJ551+U551+V551+W551,IF(AS551=4,('Calc (ex-animal)'!$N$103+'Calc (ex-animal)'!$O$103)*'Calc (ex-housing, ex-storage)'!F551/100*VLOOKUP(D551,'DB technologies'!$N$266:$Y$278,12,FALSE)/100/VLOOKUP($C$547,'DB animal categories'!$C$201:$AC$210,27,FALSE)*AJ551+U551+V551+W551,0))))))</f>
        <v/>
      </c>
      <c r="AZ551" s="184" t="str">
        <f>IF(D551="","",IF(AS551=2,0,IF(AS551=1,'Calc (ex-animal)'!$Q$103*'Calc (ex-housing, ex-storage)'!F551/100/VLOOKUP($C$547,'DB animal categories'!$C$201:$AC$210,27,FALSE)*AJ551+Y551+Z551+AA551,IF(AS551=5,('Calc (ex-animal)'!$Q$103+'Calc (ex-animal)'!$R$103)*'Calc (ex-housing, ex-storage)'!F551/100/VLOOKUP($C$547,'DB animal categories'!$C$201:$AC$210,27,FALSE)*AJ551+Y551+Z551+AA551,IF(AS551=3,('Calc (ex-animal)'!$Q$103+'Calc (ex-animal)'!$R$103)*'Calc (ex-housing, ex-storage)'!F551/100/VLOOKUP($C$547,'DB animal categories'!$C$201:$AC$210,27,FALSE)*AJ551+Y551+Z551+AA551,IF(AS551=4,('Calc (ex-animal)'!$Q$103+'Calc (ex-animal)'!$R$103)*'Calc (ex-housing, ex-storage)'!F551/100*VLOOKUP(D551,'DB technologies'!$N$266:$Y$278,12,FALSE)/100/VLOOKUP($C$547,'DB animal categories'!$C$201:$AC$210,27,FALSE)*AJ551+Y551+Z551+AA551,0))))))</f>
        <v/>
      </c>
      <c r="BA551" s="506"/>
      <c r="BB551" s="506"/>
      <c r="BC551" s="506"/>
    </row>
    <row r="552" spans="1:55" ht="12" thickBot="1" x14ac:dyDescent="0.25">
      <c r="A552" s="748"/>
      <c r="B552" s="695"/>
      <c r="C552" s="252"/>
      <c r="D552" s="269" t="s">
        <v>58</v>
      </c>
      <c r="E552" s="270">
        <f>IF('Calc (ex-animal)'!F103=1,'Calc (ex-animal)'!E103,IF(F552&lt;=100,SUM(E547:E551),"ERROR"))</f>
        <v>0</v>
      </c>
      <c r="F552" s="284">
        <f>IF('Calc (ex-animal)'!F103=1,100,IF(SUM(F547:F551) &lt;=100,SUM(F547:F551),"ERROR, SUM&gt;100%"))</f>
        <v>0</v>
      </c>
      <c r="G552" s="550">
        <f>IF('Calc (ex-animal)'!$F$103=1,"",SUM(G547:G551))</f>
        <v>0</v>
      </c>
      <c r="H552" s="418">
        <f>IF('Calc (ex-animal)'!$F$8=1,"",SUM(H547:H551))</f>
        <v>0</v>
      </c>
      <c r="I552" s="418">
        <f>IF('Calc (ex-animal)'!$F$8=1,"",SUM(I547:I551))</f>
        <v>0</v>
      </c>
      <c r="J552" s="418">
        <f>IF('Calc (ex-animal)'!$F$8=1,"",SUM(J547:J551))</f>
        <v>0</v>
      </c>
      <c r="K552" s="418">
        <f>IF('Calc (ex-animal)'!$F$8=1,"",SUM(K547:K551))</f>
        <v>0</v>
      </c>
      <c r="L552" s="418">
        <f>IF('Calc (ex-animal)'!$F$8=1,"",SUM(L547:L551))</f>
        <v>0</v>
      </c>
      <c r="M552" s="551"/>
      <c r="N552" s="551"/>
      <c r="O552" s="551"/>
      <c r="P552" s="552">
        <f>IF(G552=0,0,IF('Calc (ex-animal)'!$F$103=1,"",IF(D552="","",SUM(H552:K552)/G552*100)))</f>
        <v>0</v>
      </c>
      <c r="Q552" s="271"/>
      <c r="R552" s="271"/>
      <c r="S552" s="271"/>
      <c r="T552" s="278">
        <f>IF('Calc (ex-animal)'!$F$103=1,"",SUM(T547:T551))</f>
        <v>0</v>
      </c>
      <c r="U552" s="279"/>
      <c r="V552" s="279"/>
      <c r="W552" s="279"/>
      <c r="X552" s="279">
        <f>IF('Calc (ex-animal)'!$F$103=1,"",SUM(X547:X551))</f>
        <v>0</v>
      </c>
      <c r="Y552" s="279"/>
      <c r="Z552" s="279"/>
      <c r="AA552" s="279"/>
      <c r="AB552" s="279">
        <f>IF('Calc (ex-animal)'!$F$103=1,"",SUM(AB547:AB551))</f>
        <v>0</v>
      </c>
      <c r="AC552" s="279">
        <f>IF('Calc (ex-animal)'!$F$103=1,"",SUM(AC547:AC551))</f>
        <v>0</v>
      </c>
      <c r="AD552" s="279">
        <f>IF('Calc (ex-animal)'!$F$103=1,"",SUM(AD547:AD551))</f>
        <v>0</v>
      </c>
      <c r="AE552" s="280">
        <f>IF('Calc (ex-animal)'!$F$103=1,"",SUM(AE547:AE551))</f>
        <v>0</v>
      </c>
    </row>
    <row r="553" spans="1:55" x14ac:dyDescent="0.2">
      <c r="A553" s="748"/>
      <c r="B553" s="695"/>
      <c r="C553" s="250">
        <f>'Calc (ex-animal)'!D104</f>
        <v>0</v>
      </c>
      <c r="D553" s="1355"/>
      <c r="E553" s="1356"/>
      <c r="F553" s="479" t="str">
        <f>IF('Calc (ex-animal)'!$F$103=1,"",IF($C$553=0,"",IF(D553="","",E553/'Calc (ex-animal)'!$E$104*100)))</f>
        <v/>
      </c>
      <c r="G553" s="484" t="str">
        <f>IF($C$553=0,"",IF('Calc (ex-animal)'!$F$103=1,"",IF(D553="","",SUM(H553:O553))))</f>
        <v/>
      </c>
      <c r="H553" s="471" t="str">
        <f>IF('Calc (ex-animal)'!$F$103=1,"",IF(D553="","",(((VLOOKUP($C$553,'Calc (ex-animal)'!$D$103:$Y$107,6,FALSE)-VLOOKUP($C$553,'Calc (ex-animal)'!$D$103:$Y$107,17,FALSE))*F553/100))*VLOOKUP($C$553,'Calc (ex-animal)'!$D$103:$Y$107,7,FALSE)/100*(1-VLOOKUP(D553,'DB technologies'!$N$266:$Y$278,9,FALSE)/100)))</f>
        <v/>
      </c>
      <c r="I553" s="471" t="str">
        <f>IF(D553="","",((VLOOKUP(D553,'DB technologies'!$N$266:$Y$278,2,FALSE)*VLOOKUP($C$553,'DB animal categories'!$C$201:$AC$210,27,FALSE)*E553/1000)/VLOOKUP($C$553,'DB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'!$S$6/100*(1-VLOOKUP(D553,'DB technologies'!$N$266:$Y$278,9,FALSE)/100)))</f>
        <v/>
      </c>
      <c r="J553" s="472" t="str">
        <f>IF(D553="","",((VLOOKUP(D553,'DB technologies'!$N$266:$Y$278,3,FALSE)*VLOOKUP($C$553,'DB animal categories'!$C$201:$AC$210,27,FALSE)*E553/1000)/VLOOKUP($C$553,'DB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'!$S$7/100*(1-VLOOKUP(D553,'DB technologies'!$N$266:$Y$278,9,FALSE)/100)))</f>
        <v/>
      </c>
      <c r="K553" s="472" t="str">
        <f>IF(D553="","",((VLOOKUP(D553,'DB technologies'!$N$266:$Y$278,4,FALSE)*E553*'DB additional information '!$S$8/100*(1-VLOOKUP(D553,'DB technologies'!$N$266:$Y$278,9,FALSE)/100))/VLOOKUP($C$553,'DB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L553" s="471" t="str">
        <f>IF('Calc (ex-animal)'!$F$103=1,"",IF(D553="","",(((VLOOKUP($C$553,'Calc (ex-animal)'!$D$103:$Y$107,6,FALSE)-VLOOKUP($C$553,'Calc (ex-animal)'!$D$103:$Y$107,17,FALSE))*F553/100))*(1-VLOOKUP($C$553,'Calc (ex-animal)'!$D$103:$Y$107,7,FALSE)/100)*(1-VLOOKUP(D553,'DB technologies'!$N$266:$V$278,8,FALSE)/100)))</f>
        <v/>
      </c>
      <c r="M553" s="472" t="str">
        <f>IF(D553="","",((VLOOKUP(D553,'DB technologies'!$N$266:$Y$278,2,FALSE)*VLOOKUP($C$553,'DB animal categories'!$C$201:$AC$210,27,FALSE)*E553/1000)/VLOOKUP($C$553,'DB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'!$S$6/100)*(1-VLOOKUP(D553,'DB technologies'!$N$266:$Y$278,9,FALSE)/100))</f>
        <v/>
      </c>
      <c r="N553" s="472" t="str">
        <f>IF(D553="","",((VLOOKUP(D553,'DB technologies'!$N$266:$Y$278,3,FALSE)*VLOOKUP($C$553,'DB animal categories'!$C$201:$AC$210,27,FALSE)*E553/1000)/VLOOKUP($C$553,'DB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'!$S$7/100)*(1-VLOOKUP(D553,'DB technologies'!$N$266:$Y$278,9,FALSE)/100))</f>
        <v/>
      </c>
      <c r="O553" s="471" t="str">
        <f>IF(D553="","",((VLOOKUP(D553,'DB technologies'!$N$266:$Y$278,4,FALSE)*E553*(1-'DB additional information '!$S$8/100)*(1-VLOOKUP(D553,'DB technologies'!$N$266:$Y$278,8,FALSE)/100))/VLOOKUP($C$553,'DB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P553" s="443" t="str">
        <f>IF(G553=0,0,IF(E553="","",IF(F553="","",IF($C$553=0,"",IF(D553="","",SUM(H553:K553)/G553*100)))))</f>
        <v/>
      </c>
      <c r="Q553" s="473" t="str">
        <f>IF(D553="","",(VLOOKUP(D553,'DB technologies'!$N$266:$Y$278,2,FALSE)*'DB additional information '!$S$6/100*'DB additional information '!$T$6*VLOOKUP($C$553,'DB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R553" s="473" t="str">
        <f>IF(D553="","",(VLOOKUP(D553,'DB technologies'!$N$266:$Y$278,3,FALSE)*'DB additional information '!$S$7/100*'DB additional information '!$T$7*VLOOKUP($C$553,'DB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S553" s="490" t="str">
        <f>IF(D553="","",(VLOOKUP(D553,'DB technologies'!$N$266:$Y$278,4,FALSE)*('DB additional information '!$S$8/100*'DB additional information '!$T$8*E553/1000/1000)))</f>
        <v/>
      </c>
      <c r="T553" s="263" t="str">
        <f>IF($C$553=0,"",IF('Calc (ex-animal)'!$F$103=1,"",IF(D553="","",((VLOOKUP($C$553,'Calc (ex-animal)'!$D$103:$Y$107,10,FALSE)-VLOOKUP($C$553,'Calc (ex-animal)'!$D$103:$Y$107,18,FALSE))*F553/100+Q553+R553+S553)-AC553-AD553-AE553)))</f>
        <v/>
      </c>
      <c r="U553" s="474" t="str">
        <f>IF(D553="","",(VLOOKUP(D553,'DB technologies'!$N$266:$Y$278,2,FALSE)*'DB additional information '!$S$6/100*'DB additional information '!$U$6*VLOOKUP($C$553,'DB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V553" s="420" t="str">
        <f>IF(D553="","",(VLOOKUP(D553,'DB technologies'!$N$266:$Y$278,3,FALSE)*'DB additional information '!$S$7/100*'DB additional information '!$U$7*VLOOKUP($C$553,'DB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W553" s="415" t="str">
        <f>IF(D553="","",(VLOOKUP(D553,'DB technologies'!$N$266:$Y$278,4,FALSE)*('DB additional information '!$S$8/100*'DB additional information '!$U$8*E553/1000/1000)))</f>
        <v/>
      </c>
      <c r="X553" s="259" t="str">
        <f>IF($C$553=0,"",IF('Calc (ex-animal)'!$F$103=1,"",IF(D553="","",((VLOOKUP($C$553,'Calc (ex-animal)'!$D$103:$Y$107,13,FALSE)-VLOOKUP($C$553,'Calc (ex-animal)'!$D$103:$Y$107,19,FALSE))*F553/100+U553+V553+W553))))</f>
        <v/>
      </c>
      <c r="Y553" s="420" t="str">
        <f>IF(D553="","",(VLOOKUP(D553,'DB technologies'!$N$266:$Y$278,2,FALSE)*'DB additional information '!$S$6/100*'DB additional information '!$V$6*VLOOKUP($C$553,'DB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Z553" s="420" t="str">
        <f>IF(D553="","",(VLOOKUP(D553,'DB technologies'!$N$266:$Y$278,3,FALSE)*'DB additional information '!$S$7/100*'DB additional information '!$V$7*VLOOKUP($C$553,'DB animal categories'!$C$201:$AC$210,27,FALSE)*E553/1000/1000)/VLOOKUP($C$553,'DB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AA553" s="420" t="str">
        <f>IF(D553="","",(VLOOKUP(D553,'DB technologies'!$N$266:$Y$278,4,FALSE)*('DB additional information '!$S$8/100*'DB additional information '!$V$8*E553/1000/1000)))</f>
        <v/>
      </c>
      <c r="AB553" s="259" t="str">
        <f>IF($C$553=0,"",IF('Calc (ex-animal)'!$F$103=1,"",IF(D553="","",((VLOOKUP($C$553,'Calc (ex-animal)'!$D$103:$Y$107,16,FALSE)-VLOOKUP($C$553,'Calc (ex-animal)'!$D$103:$Y$107,20,FALSE))*F553/100+Y553+Z553+AA553))))</f>
        <v/>
      </c>
      <c r="AC553" s="259" t="str">
        <f>IF($C$553=0,"",IF('Calc (ex-animal)'!$F$103=1,"",IF(D553="","",VLOOKUP($C$553,'Calc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categories'!$C$201:$AC$210,26,FALSE)/24)*F553/100*VLOOKUP(D553,'DB technologies'!$N$266:$R$278,5,FALSE)/100)))</f>
        <v/>
      </c>
      <c r="AD553" s="259" t="str">
        <f>IF($C$553=0,"",IF('Calc (ex-animal)'!$F$103=1,"",IF(D553="","",VLOOKUP($C$553,'Calc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categories'!$C$201:$AC$210,26,FALSE)/24)*F553/100*VLOOKUP(D553,'DB technologies'!$N$266:$Y$278,6,FALSE)/100)))</f>
        <v/>
      </c>
      <c r="AE553" s="260" t="str">
        <f>IF($C$553=0,"",IF('Calc (ex-animal)'!$F$103=1,"",IF(D553="","",VLOOKUP($C$553,'Calc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categories'!$C$201:$AC$210,26,FALSE)/24)*F553/100*VLOOKUP(D553,'DB technologies'!$N$266:$Y$278,7,FALSE)/100)))</f>
        <v/>
      </c>
      <c r="AI553" s="179" t="str">
        <f>IF(D553="","",VLOOKUP(D553,'DB technologies'!$N$266:$Y$278,10,FALSE))</f>
        <v/>
      </c>
      <c r="AJ553" s="482" t="e">
        <f>VLOOKUP($C$553,'DB animal categories'!$C$201:$AN$210,27,FALSE)-VLOOKUP($C$553,'DB animal categories'!$C$201:$AN$210,26,FALSE)*VLOOKUP($C$553,'DB animal categories'!$C$201:$AN$210,25,FALSE)/24</f>
        <v>#N/A</v>
      </c>
      <c r="AK553" s="453" t="str">
        <f>IF(AI553="","",AL553+AM553)</f>
        <v/>
      </c>
      <c r="AL553" s="453" t="str">
        <f>IF(D553="","",IF(AI553=2,(('Calc (ex-animal)'!$G$104*'DB additional information '!$K$22/100*(1-VLOOKUP(D553,'DB technologies'!$N$266:$Y$278,9,FALSE)/100)*'Calc (ex-housing, ex-storage)'!F553/100+'Calc (ex-animal)'!$H$104*'DB additional information '!$L$22/100*(1-VLOOKUP(D553,'DB technologies'!$N$266:$Y$278,9,FALSE)/100)*'Calc (ex-housing, ex-storage)'!F553/100))/VLOOKUP($C$553,'DB animal categories'!$C$201:$AC$210,27,FALSE)*AJ553+I553+J553+K553,IF(AI553=1,('Calc (ex-animal)'!$H$104*'DB additional information '!$L$22/100*(1-VLOOKUP(D553,'DB technologies'!$N$266:$Y$278,9,FALSE)/100)*'Calc (ex-housing, ex-storage)'!F553/100)/VLOOKUP($C$553,'DB animal categories'!$C$201:$AC$210,27,FALSE)*AJ553,IF(AI553=4,('Calc (ex-animal)'!$G$104*'DB additional information '!$K$22/100+'Calc (ex-animal)'!$H$104*'DB additional information '!$L$22/100)*(1-VLOOKUP(D553,'DB technologies'!$N$266:$Y$278,9,FALSE)/100)*'Calc (ex-housing, ex-storage)'!F553/100*VLOOKUP(D553,'DB technologies'!$N$266:$Y$278,11,FALSE)/100/VLOOKUP($C$553,'DB animal categories'!$C$201:$AC$210,27,FALSE)*AJ553,0))))</f>
        <v/>
      </c>
      <c r="AM553" s="453" t="str">
        <f>IF(D553="","",IF(AI553=2,(('Calc (ex-animal)'!$G$104*(1-'DB additional information '!$K$22/100)*(1-VLOOKUP(D553,'DB technologies'!$N$266:$Y$278,8,FALSE)/100)*'Calc (ex-housing, ex-storage)'!F553/100+'Calc (ex-animal)'!$H$104*(1-'DB additional information '!$L$22/100)*(1-VLOOKUP(D553,'DB technologies'!$N$266:$Y$278,8,FALSE)/100)*'Calc (ex-housing, ex-storage)'!F553/100))/VLOOKUP($C$553,'DB animal categories'!$C$201:$AC$210,27,FALSE)*AJ553+M553+N553+O553,IF(AI553=1,('Calc (ex-animal)'!$H$104*(1-'DB additional information '!$L$22/100)*(1-VLOOKUP(D553,'DB technologies'!$N$266:$Y$278,8,FALSE)/100)*'Calc (ex-housing, ex-storage)'!F553/100)/VLOOKUP($C$553,'DB animal categories'!$C$201:$AC$210,27,FALSE)*AJ553,IF(AI553=4,('Calc (ex-animal)'!$G$104*(1-'DB additional information '!$K$22/100)+'Calc (ex-animal)'!$H$104*(1-'DB additional information '!$L$22/100))*(1-VLOOKUP(D553,'DB technologies'!$N$266:$Y$278,8,FALSE)/100)*'Calc (ex-housing, ex-storage)'!F553/100*VLOOKUP(D553,'DB technologies'!$N$266:$Y$278,11,FALSE)/100/VLOOKUP($C$553,'DB animal categories'!$C$201:$AC$210,27,FALSE)*AJ553,0))))</f>
        <v/>
      </c>
      <c r="AN553" s="453" t="str">
        <f>IF(AI553="","",IF(AL553=0,0,AL553/AK553*100))</f>
        <v/>
      </c>
      <c r="AO553" s="180" t="str">
        <f>IF(D553="","",IF(AI553=2,(('Calc (ex-animal)'!$L$104*'Calc (ex-housing, ex-storage)'!F553/100+'Calc (ex-animal)'!$K$104*'Calc (ex-housing, ex-storage)'!F553/100))/VLOOKUP($C$553,'DB animal categories'!$C$201:$AC$210,27,FALSE)*AJ553+Q553+R553+S553-AC553,IF(AI553=1,('Calc (ex-animal)'!$L$104*'Calc (ex-housing, ex-storage)'!F553/100)/VLOOKUP($C$553,'DB animal categories'!$C$201:$AC$210,27,FALSE)*AJ553-'Calc (ex-housing, ex-storage)'!AC553,IF(AI553=4,('Calc (ex-animal)'!$L$104+'Calc (ex-animal)'!$K$104)*'Calc (ex-housing, ex-storage)'!F553/100*VLOOKUP(D553,'DB technologies'!$N$266:$Y$278,11,FALSE)/100/VLOOKUP($C$553,'DB animal categories'!$C$201:$AC$210,27,FALSE)*AJ553-AC553*VLOOKUP(D553,'DB technologies'!$N$266:$Y$278,11,FALSE)/100,0))))</f>
        <v/>
      </c>
      <c r="AP553" s="180" t="str">
        <f>IF(D553="","",IF(AO553&lt;-0.01,0,IF(AI553=2,(('Calc (ex-animal)'!$L$104*'Calc (ex-housing, ex-storage)'!F553/100+'Calc (ex-animal)'!$K$104*'Calc (ex-housing, ex-storage)'!F553/100))/VLOOKUP($C$553,'DB animal categories'!$C$201:$AC$210,27,FALSE)*AJ553+Q553+R553+S553-AC553,IF(AI553=1,('Calc (ex-animal)'!$L$104*'Calc (ex-housing, ex-storage)'!F553/100)/VLOOKUP($C$553,'DB animal categories'!$C$201:$AC$210,27,FALSE)*AJ553-'Calc (ex-housing, ex-storage)'!AC553,IF(AI553=4,('Calc (ex-animal)'!$L$104+'Calc (ex-animal)'!$K$104)*'Calc (ex-housing, ex-storage)'!F553/100*VLOOKUP(D553,'DB technologies'!$N$266:$Y$278,11,FALSE)/100/VLOOKUP($C$553,'DB animal categories'!$C$201:$AC$210,27,FALSE)*AJ553-AC553*VLOOKUP(D553,'DB technologies'!$N$266:$Y$278,11,FALSE)/100,0)))))</f>
        <v/>
      </c>
      <c r="AQ553" s="180" t="str">
        <f>IF(D553="","",IF(AI553=2,('Calc (ex-animal)'!$O$104*'Calc (ex-housing, ex-storage)'!F553/100+'Calc (ex-animal)'!$N$104*'Calc (ex-housing, ex-storage)'!F553/100)/VLOOKUP($C$553,'DB animal categories'!$C$201:$AC$210,27,FALSE)*AJ553+U553+V553+W553,IF(AI553=1,'Calc (ex-animal)'!$O$104*'Calc (ex-housing, ex-storage)'!F553/100/VLOOKUP($C$553,'DB animal categories'!$C$201:$AC$210,27,FALSE)*AJ553,IF(AI553=4,('Calc (ex-animal)'!$O$104+'Calc (ex-animal)'!$N$104)*'Calc (ex-housing, ex-storage)'!F553/100*VLOOKUP(D553,'DB technologies'!$N$266:$Y$278,11,FALSE)/100/VLOOKUP($C$553,'DB animal categories'!$C$201:$AC$210,27,FALSE)*AJ553,0))))</f>
        <v/>
      </c>
      <c r="AR553" s="180" t="str">
        <f>IF(D553="","",IF(AI553=2,('Calc (ex-animal)'!$R$104*'Calc (ex-housing, ex-storage)'!F553/100+'Calc (ex-animal)'!$Q$104*'Calc (ex-housing, ex-storage)'!F553/100)/VLOOKUP($C$553,'DB animal categories'!$C$201:$AC$210,27,FALSE)*AJ553+Y553+Z553+AA553,IF(AI553=1,'Calc (ex-animal)'!$R$104*'Calc (ex-housing, ex-storage)'!F553/100/VLOOKUP($C$553,'DB animal categories'!$C$201:$AC$210,27,FALSE)*AJ553,IF(AI553=4,('Calc (ex-animal)'!$R$104+'Calc (ex-animal)'!$Q$104)*'Calc (ex-housing, ex-storage)'!F553/100*VLOOKUP(D553,'DB technologies'!$N$266:$Y$278,11,FALSE)/100/VLOOKUP($C$553,'DB animal categories'!$C$201:$AC$210,27,FALSE)*AJ553,0))))</f>
        <v/>
      </c>
      <c r="AS553" s="179" t="str">
        <f>IF(D553="","",VLOOKUP(D553,'DB technologies'!$N$266:$Y$278,10,FALSE))</f>
        <v/>
      </c>
      <c r="AT553" s="453" t="str">
        <f>IF(AS553="","",AU553+AV553)</f>
        <v/>
      </c>
      <c r="AU553" s="453" t="str">
        <f>IF(D553="","",IF(AS553=2,0,IF(AS553=1,'Calc (ex-animal)'!$G$104*'DB additional information '!$K$22/100*(1-VLOOKUP(D553,'DB technologies'!$N$266:$Y$278,8,FALSE)/100)*'Calc (ex-housing, ex-storage)'!F553/100/VLOOKUP($C$553,'DB animal categories'!$C$201:$AC$210,27,FALSE)*AJ553+I553+J553+K553,IF(AS553=5,(('Calc (ex-animal)'!$G$104*'DB additional information '!$K$22/100+'Calc (ex-animal)'!$H$104*'DB additional information '!$L$22/100))*(1-VLOOKUP(D553,'DB technologies'!$N$266:$Y$278,9,FALSE)/100)*'Calc (ex-housing, ex-storage)'!F553/100/VLOOKUP($C$553,'DB animal categories'!$C$201:$AC$210,27,FALSE)*AJ553+I553+J553+K553,IF(AS553=3,('Calc (ex-animal)'!$G$104*'DB additional information '!$K$22/100+'Calc (ex-animal)'!$H$104*'DB additional information '!$L$22/100)*(1-VLOOKUP(D553,'DB technologies'!$N$266:$Y$278,9,FALSE)/100)*'Calc (ex-housing, ex-storage)'!F553/100/VLOOKUP($C$553,'DB animal categories'!$C$201:$AC$210,27,FALSE)*AJ553+I553+J553+K553,IF(AS553=4,('Calc (ex-animal)'!$G$104*'DB additional information '!$K$22/100+'Calc (ex-animal)'!$H$104*'DB additional information '!$L$22/100)*(1-VLOOKUP(D553,'DB technologies'!$N$266:$Y$278,9,FALSE)/100)*'Calc (ex-housing, ex-storage)'!F553/100*VLOOKUP(D553,'DB technologies'!$N$266:$Y$278,12,FALSE)/100/VLOOKUP($C$553,'DB animal categories'!$C$201:$AC$210,27,FALSE)*AJ553+I553+J553+K553,0))))))</f>
        <v/>
      </c>
      <c r="AV553" s="453" t="str">
        <f>IF(D553="","",IF(AS553=2,0,IF(AS553=1,'Calc (ex-animal)'!$G$104*(1-'DB additional information '!$K$22/100)*(1-VLOOKUP(D553,'DB technologies'!$N$266:$Y$278,8,FALSE)/100)*'Calc (ex-housing, ex-storage)'!F553/100/VLOOKUP($C$553,'DB animal categories'!$C$201:$AC$210,27,FALSE)*AJ553+M553+N553+O553,IF(AS553=5,('Calc (ex-animal)'!$G$104*(1-'DB additional information '!$K$22/100)+'Calc (ex-animal)'!$H$104*(1-'DB additional information '!$L$22/100))*(1-VLOOKUP(D553,'DB technologies'!$N$266:$Y$278,8,FALSE)/100)*'Calc (ex-housing, ex-storage)'!F553/100/VLOOKUP($C$553,'DB animal categories'!$C$201:$AC$210,27,FALSE)*AJ553+M553+N553+O553,IF(AS553=3,('Calc (ex-animal)'!$G$104*(1-'DB additional information '!$K$22/100)+'Calc (ex-animal)'!$H$104*(1-'DB additional information '!$L$22/100))*(1-VLOOKUP(D553,'DB technologies'!$N$266:$Y$278,8,FALSE)/100)*'Calc (ex-housing, ex-storage)'!F553/100/VLOOKUP($C$553,'DB animal categories'!$C$201:$AC$210,27,FALSE)*AJ553+M553+N553+O553,IF(AS553=4,('Calc (ex-animal)'!$G$104*(1-'DB additional information '!$K$22/100)+'Calc (ex-animal)'!$H$104*(1-'DB additional information '!$L$22/100))*(1-VLOOKUP(D553,'DB technologies'!$N$266:$Y$278,8,FALSE)/100)*'Calc (ex-housing, ex-storage)'!F553/100*VLOOKUP(D553,'DB technologies'!$N$266:$Y$278,12,FALSE)/100/VLOOKUP($C$553,'DB animal categories'!$C$201:$AC$210,27,FALSE)*AJ553+M553+N553+O553,0))))))</f>
        <v/>
      </c>
      <c r="AW553" s="453" t="str">
        <f>IF(AS553="","",IF(AU553=0,0,AU553/AT553*100))</f>
        <v/>
      </c>
      <c r="AX553" s="180" t="str">
        <f>IF(D553="","",IF(AS553=2,0,IF(AS553=1,'Calc (ex-animal)'!$K$104*'Calc (ex-housing, ex-storage)'!F553/100/VLOOKUP($C$553,'DB animal categories'!$C$201:$AC$210,27,FALSE)*AJ553+Q553+R553+S553,IF(AS553=5,('Calc (ex-animal)'!$K$104+'Calc (ex-animal)'!$L$104)*'Calc (ex-housing, ex-storage)'!F553/100/VLOOKUP($C$553,'DB animal categories'!$C$201:$AC$210,27,FALSE)*AJ553+Q553+R553+S553-'Calc (ex-housing, ex-storage)'!AC553,IF(AS553=3,('Calc (ex-animal)'!$K$104+'Calc (ex-animal)'!$L$104)*'Calc (ex-housing, ex-storage)'!F553/100/VLOOKUP($C$553,'DB animal categories'!$C$201:$AC$210,27,FALSE)*AJ553+Q553+R553+S553-'Calc (ex-housing, ex-storage)'!AC553-AD553-AE553,IF(AI553=4,('Calc (ex-animal)'!$K$104+'Calc (ex-animal)'!$L$104)*'Calc (ex-housing, ex-storage)'!F553/100*VLOOKUP(D553,'DB technologies'!$N$266:$Y$278,12,FALSE)/100/VLOOKUP($C$553,'DB animal categories'!$C$201:$AC$210,27,FALSE)*AJ553+Q553+R553+S553-(VLOOKUP(D553,'DB technologies'!$N$266:$Y$278,12,FALSE)/100*AC553)-AD553-AE553,0))))))</f>
        <v/>
      </c>
      <c r="AY553" s="180" t="str">
        <f>IF(D553="","",IF(AS553=2,0,IF(AS553=1,'Calc (ex-animal)'!$N$104*'Calc (ex-housing, ex-storage)'!F553/100/VLOOKUP($C$553,'DB animal categories'!$C$201:$AC$210,27,FALSE)*AJ553+U553+V553+W553,IF(AS553=5,('Calc (ex-animal)'!$N$104+'Calc (ex-animal)'!$O$104)*'Calc (ex-housing, ex-storage)'!F553/100/VLOOKUP($C$553,'DB animal categories'!$C$201:$AC$210,27,FALSE)*AJ553+U553+V553+W553,IF(AS553=3,('Calc (ex-animal)'!$N$104+'Calc (ex-animal)'!$O$104)*'Calc (ex-housing, ex-storage)'!F553/100/VLOOKUP($C$553,'DB animal categories'!$C$201:$AC$210,27,FALSE)*AJ553+U553+V553+W553,IF(AS553=4,('Calc (ex-animal)'!$N$104+'Calc (ex-animal)'!$O$104)*'Calc (ex-housing, ex-storage)'!F553/100*VLOOKUP(D553,'DB technologies'!$N$266:$Y$278,12,FALSE)/100/VLOOKUP($C$553,'DB animal categories'!$C$201:$AC$210,27,FALSE)*AJ553+U553+V553+W553,0))))))</f>
        <v/>
      </c>
      <c r="AZ553" s="180" t="str">
        <f>IF(D553="","",IF(AS553=2,0,IF(AS553=1,'Calc (ex-animal)'!$Q$104*'Calc (ex-housing, ex-storage)'!F553/100/VLOOKUP($C$553,'DB animal categories'!$C$201:$AC$210,27,FALSE)*AJ553+Y553+Z553+AA553,IF(AS553=5,('Calc (ex-animal)'!$Q$104+'Calc (ex-animal)'!$R$104)*'Calc (ex-housing, ex-storage)'!F553/100/VLOOKUP($C$553,'DB animal categories'!$C$201:$AC$210,27,FALSE)*AJ553+Y553+Z553+AA553,IF(AS553=3,('Calc (ex-animal)'!$Q$104+'Calc (ex-animal)'!$R$104)*'Calc (ex-housing, ex-storage)'!F553/100/VLOOKUP($C$553,'DB animal categories'!$C$201:$AC$210,27,FALSE)*AJ553+Y553+Z553+AA553,IF(AS553=4,('Calc (ex-animal)'!$Q$104+'Calc (ex-animal)'!$R$104)*'Calc (ex-housing, ex-storage)'!F553/100*VLOOKUP(D553,'DB technologies'!$N$266:$Y$278,12,FALSE)/100/VLOOKUP($C$553,'DB animal categories'!$C$201:$AC$210,27,FALSE)*AJ553+Y553+Z553+AA553,0))))))</f>
        <v/>
      </c>
      <c r="BA553" s="506"/>
      <c r="BB553" s="506"/>
      <c r="BC553" s="506"/>
    </row>
    <row r="554" spans="1:55" x14ac:dyDescent="0.2">
      <c r="A554" s="748"/>
      <c r="B554" s="695"/>
      <c r="C554" s="251"/>
      <c r="D554" s="1357"/>
      <c r="E554" s="1358"/>
      <c r="F554" s="480" t="str">
        <f>IF('Calc (ex-animal)'!$F$103=1,"",IF($C$553=0,"",IF(D554="","",E554/'Calc (ex-animal)'!$E$104*100)))</f>
        <v/>
      </c>
      <c r="G554" s="485" t="str">
        <f>IF($C$553=0,"",IF('Calc (ex-animal)'!$F$103=1,"",IF(D554="","",SUM(H554:O554))))</f>
        <v/>
      </c>
      <c r="H554" s="423" t="str">
        <f>IF('Calc (ex-animal)'!$F$103=1,"",IF(D554="","",(((VLOOKUP($C$553,'Calc (ex-animal)'!$D$103:$Y$107,6,FALSE)-VLOOKUP($C$553,'Calc (ex-animal)'!$D$103:$Y$107,17,FALSE))*F554/100))*VLOOKUP($C$553,'Calc (ex-animal)'!$D$103:$Y$107,7,FALSE)/100*(1-VLOOKUP(D554,'DB technologies'!$N$266:$Y$278,9,FALSE)/100)))</f>
        <v/>
      </c>
      <c r="I554" s="423" t="str">
        <f>IF(D554="","",((VLOOKUP(D554,'DB technologies'!$N$266:$Y$278,2,FALSE)*VLOOKUP($C$553,'DB animal categories'!$C$201:$AC$210,27,FALSE)*E554/1000)/VLOOKUP($C$553,'DB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'!$S$6/100*(1-VLOOKUP(D554,'DB technologies'!$N$266:$Y$278,9,FALSE)/100)))</f>
        <v/>
      </c>
      <c r="J554" s="434" t="str">
        <f>IF(D554="","",((VLOOKUP(D554,'DB technologies'!$N$266:$Y$278,3,FALSE)*VLOOKUP($C$553,'DB animal categories'!$C$201:$AC$210,27,FALSE)*E554/1000)/VLOOKUP($C$553,'DB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'!$S$7/100*(1-VLOOKUP(D554,'DB technologies'!$N$266:$Y$278,9,FALSE)/100)))</f>
        <v/>
      </c>
      <c r="K554" s="434" t="str">
        <f>IF(D554="","",((VLOOKUP(D554,'DB technologies'!$N$266:$Y$278,4,FALSE)*E554*'DB additional information '!$S$8/100*(1-VLOOKUP(D554,'DB technologies'!$N$266:$Y$278,9,FALSE)/100))/VLOOKUP($C$553,'DB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L554" s="423" t="str">
        <f>IF('Calc (ex-animal)'!$F$103=1,"",IF(D554="","",(((VLOOKUP($C$553,'Calc (ex-animal)'!$D$103:$Y$107,6,FALSE)-VLOOKUP($C$553,'Calc (ex-animal)'!$D$103:$Y$107,17,FALSE))*F554/100))*(1-VLOOKUP($C$553,'Calc (ex-animal)'!$D$103:$Y$107,7,FALSE)/100)*(1-VLOOKUP(D554,'DB technologies'!$N$266:$V$278,8,FALSE)/100)))</f>
        <v/>
      </c>
      <c r="M554" s="434" t="str">
        <f>IF(D554="","",((VLOOKUP(D554,'DB technologies'!$N$266:$Y$278,2,FALSE)*VLOOKUP($C$553,'DB animal categories'!$C$201:$AC$210,27,FALSE)*E554/1000)/VLOOKUP($C$553,'DB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'!$S$6/100)*(1-VLOOKUP(D554,'DB technologies'!$N$266:$Y$278,9,FALSE)/100))</f>
        <v/>
      </c>
      <c r="N554" s="434" t="str">
        <f>IF(D554="","",((VLOOKUP(D554,'DB technologies'!$N$266:$Y$278,3,FALSE)*VLOOKUP($C$553,'DB animal categories'!$C$201:$AC$210,27,FALSE)*E554/1000)/VLOOKUP($C$553,'DB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'!$S$7/100)*(1-VLOOKUP(D554,'DB technologies'!$N$266:$Y$278,9,FALSE)/100))</f>
        <v/>
      </c>
      <c r="O554" s="423" t="str">
        <f>IF(D554="","",((VLOOKUP(D554,'DB technologies'!$N$266:$Y$278,4,FALSE)*E554*(1-'DB additional information '!$S$8/100)*(1-VLOOKUP(D554,'DB technologies'!$N$266:$Y$278,8,FALSE)/100))/VLOOKUP($C$553,'DB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P554" s="438" t="str">
        <f>IF(G554=0,0,IF(E554="","",IF(F554="","",IF($C$553=0,"",IF(D554="","",SUM(H554:K554)/G554*100)))))</f>
        <v/>
      </c>
      <c r="Q554" s="416" t="str">
        <f>IF(D554="","",(VLOOKUP(D554,'DB technologies'!$N$266:$Y$278,2,FALSE)*'DB additional information '!$S$6/100*'DB additional information '!$T$6*VLOOKUP($C$553,'DB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R554" s="416" t="str">
        <f>IF(D554="","",(VLOOKUP(D554,'DB technologies'!$N$266:$Y$278,3,FALSE)*'DB additional information '!$S$7/100*'DB additional information '!$T$7*VLOOKUP($C$553,'DB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S554" s="491" t="str">
        <f>IF(D554="","",(VLOOKUP(D554,'DB technologies'!$N$266:$Y$278,4,FALSE)*('DB additional information '!$S$8/100*'DB additional information '!$T$8*E554/1000/1000)))</f>
        <v/>
      </c>
      <c r="T554" s="264" t="str">
        <f>IF($C$553=0,"",IF('Calc (ex-animal)'!$F$103=1,"",IF(D554="","",((VLOOKUP($C$553,'Calc (ex-animal)'!$D$103:$Y$107,10,FALSE)-VLOOKUP($C$553,'Calc (ex-animal)'!$D$103:$Y$107,18,FALSE))*F554/100+Q554+R554+S554)-AC554-AD554-AE554)))</f>
        <v/>
      </c>
      <c r="U554" s="422" t="str">
        <f>IF(D554="","",(VLOOKUP(D554,'DB technologies'!$N$266:$Y$278,2,FALSE)*'DB additional information '!$S$6/100*'DB additional information '!$U$6*VLOOKUP($C$553,'DB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V554" s="418" t="str">
        <f>IF(D554="","",(VLOOKUP(D554,'DB technologies'!$N$266:$Y$278,3,FALSE)*'DB additional information '!$S$7/100*'DB additional information '!$U$7*VLOOKUP($C$553,'DB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W554" s="417" t="str">
        <f>IF(D554="","",(VLOOKUP(D554,'DB technologies'!$N$266:$Y$278,4,FALSE)*('DB additional information '!$S$8/100*'DB additional information '!$U$8*E554/1000/1000)))</f>
        <v/>
      </c>
      <c r="X554" s="261" t="str">
        <f>IF($C$553=0,"",IF('Calc (ex-animal)'!$F$103=1,"",IF(D554="","",((VLOOKUP($C$553,'Calc (ex-animal)'!$D$103:$Y$107,13,FALSE)-VLOOKUP($C$553,'Calc (ex-animal)'!$D$103:$Y$107,19,FALSE))*F554/100+U554+V554+W554))))</f>
        <v/>
      </c>
      <c r="Y554" s="418" t="str">
        <f>IF(D554="","",(VLOOKUP(D554,'DB technologies'!$N$266:$Y$278,2,FALSE)*'DB additional information '!$S$6/100*'DB additional information '!$V$6*VLOOKUP($C$553,'DB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Z554" s="418" t="str">
        <f>IF(D554="","",(VLOOKUP(D554,'DB technologies'!$N$266:$Y$278,3,FALSE)*'DB additional information '!$S$7/100*'DB additional information '!$V$7*VLOOKUP($C$553,'DB animal categories'!$C$201:$AC$210,27,FALSE)*E554/1000/1000)/VLOOKUP($C$553,'DB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AA554" s="418" t="str">
        <f>IF(D554="","",(VLOOKUP(D554,'DB technologies'!$N$266:$Y$278,4,FALSE)*('DB additional information '!$S$8/100*'DB additional information '!$V$8*E554/1000/1000)))</f>
        <v/>
      </c>
      <c r="AB554" s="261" t="str">
        <f>IF($C$553=0,"",IF('Calc (ex-animal)'!$F$103=1,"",IF(D554="","",((VLOOKUP($C$553,'Calc (ex-animal)'!$D$103:$Y$107,16,FALSE)-VLOOKUP($C$553,'Calc (ex-animal)'!$D$103:$Y$107,20,FALSE))*F554/100+Y554+Z554+AA554))))</f>
        <v/>
      </c>
      <c r="AC554" s="261" t="str">
        <f>IF($C$553=0,"",IF('Calc (ex-animal)'!$F$103=1,"",IF(D554="","",VLOOKUP($C$553,'Calc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categories'!$C$201:$AC$210,26,FALSE)/24)*F554/100*VLOOKUP(D554,'DB technologies'!$N$266:$R$278,5,FALSE)/100)))</f>
        <v/>
      </c>
      <c r="AD554" s="261" t="str">
        <f>IF($C$553=0,"",IF('Calc (ex-animal)'!$F$103=1,"",IF(D554="","",VLOOKUP($C$553,'Calc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categories'!$C$201:$AC$210,26,FALSE)/24)*F554/100*VLOOKUP(D554,'DB technologies'!$N$266:$Y$278,6,FALSE)/100)))</f>
        <v/>
      </c>
      <c r="AE554" s="262" t="str">
        <f>IF($C$553=0,"",IF('Calc (ex-animal)'!$F$103=1,"",IF(D554="","",VLOOKUP($C$553,'Calc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categories'!$C$201:$AC$210,26,FALSE)/24)*F554/100*VLOOKUP(D554,'DB technologies'!$N$266:$Y$278,7,FALSE)/100)))</f>
        <v/>
      </c>
      <c r="AI554" s="181" t="str">
        <f>IF(D554="","",VLOOKUP(D554,'DB technologies'!$N$266:$Y$278,10,FALSE))</f>
        <v/>
      </c>
      <c r="AJ554" s="449" t="e">
        <f>VLOOKUP($C$553,'DB animal categories'!$C$201:$AN$210,27,FALSE)-VLOOKUP($C$553,'DB animal categories'!$C$201:$AN$210,26,FALSE)*VLOOKUP($C$553,'DB animal categories'!$C$201:$AN$210,25,FALSE)/24</f>
        <v>#N/A</v>
      </c>
      <c r="AK554" s="442" t="str">
        <f>IF(AI554="","",AL554+AM554)</f>
        <v/>
      </c>
      <c r="AL554" s="442" t="str">
        <f>IF(D554="","",IF(AI554=2,(('Calc (ex-animal)'!$G$104*'DB additional information '!$K$22/100*(1-VLOOKUP(D554,'DB technologies'!$N$266:$Y$278,9,FALSE)/100)*'Calc (ex-housing, ex-storage)'!F554/100+'Calc (ex-animal)'!$H$104*'DB additional information '!$L$22/100*(1-VLOOKUP(D554,'DB technologies'!$N$266:$Y$278,9,FALSE)/100)*'Calc (ex-housing, ex-storage)'!F554/100))/VLOOKUP($C$553,'DB animal categories'!$C$201:$AC$210,27,FALSE)*AJ554+I554+J554+K554,IF(AI554=1,('Calc (ex-animal)'!$H$104*'DB additional information '!$L$22/100*(1-VLOOKUP(D554,'DB technologies'!$N$266:$Y$278,9,FALSE)/100)*'Calc (ex-housing, ex-storage)'!F554/100)/VLOOKUP($C$553,'DB animal categories'!$C$201:$AC$210,27,FALSE)*AJ554,IF(AI554=4,('Calc (ex-animal)'!$G$104*'DB additional information '!$K$22/100+'Calc (ex-animal)'!$H$104*'DB additional information '!$L$22/100)*(1-VLOOKUP(D554,'DB technologies'!$N$266:$Y$278,9,FALSE)/100)*'Calc (ex-housing, ex-storage)'!F554/100*VLOOKUP(D554,'DB technologies'!$N$266:$Y$278,11,FALSE)/100/VLOOKUP($C$553,'DB animal categories'!$C$201:$AC$210,27,FALSE)*AJ554,0))))</f>
        <v/>
      </c>
      <c r="AM554" s="442" t="str">
        <f>IF(D554="","",IF(AI554=2,(('Calc (ex-animal)'!$G$104*(1-'DB additional information '!$K$22/100)*(1-VLOOKUP(D554,'DB technologies'!$N$266:$Y$278,8,FALSE)/100)*'Calc (ex-housing, ex-storage)'!F554/100+'Calc (ex-animal)'!$H$104*(1-'DB additional information '!$L$22/100)*(1-VLOOKUP(D554,'DB technologies'!$N$266:$Y$278,8,FALSE)/100)*'Calc (ex-housing, ex-storage)'!F554/100))/VLOOKUP($C$553,'DB animal categories'!$C$201:$AC$210,27,FALSE)*AJ554+M554+N554+O554,IF(AI554=1,('Calc (ex-animal)'!$H$104*(1-'DB additional information '!$L$22/100)*(1-VLOOKUP(D554,'DB technologies'!$N$266:$Y$278,8,FALSE)/100)*'Calc (ex-housing, ex-storage)'!F554/100)/VLOOKUP($C$553,'DB animal categories'!$C$201:$AC$210,27,FALSE)*AJ554,IF(AI554=4,('Calc (ex-animal)'!$G$104*(1-'DB additional information '!$K$22/100)+'Calc (ex-animal)'!$H$104*(1-'DB additional information '!$L$22/100))*(1-VLOOKUP(D554,'DB technologies'!$N$266:$Y$278,8,FALSE)/100)*'Calc (ex-housing, ex-storage)'!F554/100*VLOOKUP(D554,'DB technologies'!$N$266:$Y$278,11,FALSE)/100/VLOOKUP($C$553,'DB animal categories'!$C$201:$AC$210,27,FALSE)*AJ554,0))))</f>
        <v/>
      </c>
      <c r="AN554" s="442" t="str">
        <f>IF(AI554="","",IF(AL554=0,0,AL554/AK554*100))</f>
        <v/>
      </c>
      <c r="AO554" s="182" t="str">
        <f>IF(D554="","",IF(AI554=2,(('Calc (ex-animal)'!$L$104*'Calc (ex-housing, ex-storage)'!F554/100+'Calc (ex-animal)'!$K$104*'Calc (ex-housing, ex-storage)'!F554/100))/VLOOKUP($C$553,'DB animal categories'!$C$201:$AC$210,27,FALSE)*AJ554+Q554+R554+S554-AC554,IF(AI554=1,('Calc (ex-animal)'!$L$104*'Calc (ex-housing, ex-storage)'!F554/100)/VLOOKUP($C$553,'DB animal categories'!$C$201:$AC$210,27,FALSE)*AJ554-'Calc (ex-housing, ex-storage)'!AC554,IF(AI554=4,('Calc (ex-animal)'!$L$104+'Calc (ex-animal)'!$K$104)*'Calc (ex-housing, ex-storage)'!F554/100*VLOOKUP(D554,'DB technologies'!$N$266:$Y$278,11,FALSE)/100/VLOOKUP($C$553,'DB animal categories'!$C$201:$AC$210,27,FALSE)*AJ554-AC554*VLOOKUP(D554,'DB technologies'!$N$266:$Y$278,11,FALSE)/100,0))))</f>
        <v/>
      </c>
      <c r="AP554" s="182" t="str">
        <f>IF(D554="","",IF(AO554&lt;-0.01,0,IF(AI554=2,(('Calc (ex-animal)'!$L$104*'Calc (ex-housing, ex-storage)'!F554/100+'Calc (ex-animal)'!$K$104*'Calc (ex-housing, ex-storage)'!F554/100))/VLOOKUP($C$553,'DB animal categories'!$C$201:$AC$210,27,FALSE)*AJ554+Q554+R554+S554-AC554,IF(AI554=1,('Calc (ex-animal)'!$L$104*'Calc (ex-housing, ex-storage)'!F554/100)/VLOOKUP($C$553,'DB animal categories'!$C$201:$AC$210,27,FALSE)*AJ554-'Calc (ex-housing, ex-storage)'!AC554,IF(AI554=4,('Calc (ex-animal)'!$L$104+'Calc (ex-animal)'!$K$104)*'Calc (ex-housing, ex-storage)'!F554/100*VLOOKUP(D554,'DB technologies'!$N$266:$Y$278,11,FALSE)/100/VLOOKUP($C$553,'DB animal categories'!$C$201:$AC$210,27,FALSE)*AJ554-AC554*VLOOKUP(D554,'DB technologies'!$N$266:$Y$278,11,FALSE)/100,0)))))</f>
        <v/>
      </c>
      <c r="AQ554" s="182" t="str">
        <f>IF(D554="","",IF(AI554=2,('Calc (ex-animal)'!$O$104*'Calc (ex-housing, ex-storage)'!F554/100+'Calc (ex-animal)'!$N$104*'Calc (ex-housing, ex-storage)'!F554/100)/VLOOKUP($C$553,'DB animal categories'!$C$201:$AC$210,27,FALSE)*AJ554+U554+V554+W554,IF(AI554=1,'Calc (ex-animal)'!$O$104*'Calc (ex-housing, ex-storage)'!F554/100/VLOOKUP($C$553,'DB animal categories'!$C$201:$AC$210,27,FALSE)*AJ554,IF(AI554=4,('Calc (ex-animal)'!$O$104+'Calc (ex-animal)'!$N$104)*'Calc (ex-housing, ex-storage)'!F554/100*VLOOKUP(D554,'DB technologies'!$N$266:$Y$278,11,FALSE)/100/VLOOKUP($C$553,'DB animal categories'!$C$201:$AC$210,27,FALSE)*AJ554,0))))</f>
        <v/>
      </c>
      <c r="AR554" s="182" t="str">
        <f>IF(D554="","",IF(AI554=2,('Calc (ex-animal)'!$R$104*'Calc (ex-housing, ex-storage)'!F554/100+'Calc (ex-animal)'!$Q$104*'Calc (ex-housing, ex-storage)'!F554/100)/VLOOKUP($C$553,'DB animal categories'!$C$201:$AC$210,27,FALSE)*AJ554+Y554+Z554+AA554,IF(AI554=1,'Calc (ex-animal)'!$R$104*'Calc (ex-housing, ex-storage)'!F554/100/VLOOKUP($C$553,'DB animal categories'!$C$201:$AC$210,27,FALSE)*AJ554,IF(AI554=4,('Calc (ex-animal)'!$R$104+'Calc (ex-animal)'!$Q$104)*'Calc (ex-housing, ex-storage)'!F554/100*VLOOKUP(D554,'DB technologies'!$N$266:$Y$278,11,FALSE)/100/VLOOKUP($C$553,'DB animal categories'!$C$201:$AC$210,27,FALSE)*AJ554,0))))</f>
        <v/>
      </c>
      <c r="AS554" s="181" t="str">
        <f>IF(D554="","",VLOOKUP(D554,'DB technologies'!$N$266:$Y$278,10,FALSE))</f>
        <v/>
      </c>
      <c r="AT554" s="442" t="str">
        <f>IF(AS554="","",AU554+AV554)</f>
        <v/>
      </c>
      <c r="AU554" s="442" t="str">
        <f>IF(D554="","",IF(AS554=2,0,IF(AS554=1,'Calc (ex-animal)'!$G$104*'DB additional information '!$K$22/100*(1-VLOOKUP(D554,'DB technologies'!$N$266:$Y$278,8,FALSE)/100)*'Calc (ex-housing, ex-storage)'!F554/100/VLOOKUP($C$553,'DB animal categories'!$C$201:$AC$210,27,FALSE)*AJ554+I554+J554+K554,IF(AS554=5,(('Calc (ex-animal)'!$G$104*'DB additional information '!$K$22/100+'Calc (ex-animal)'!$H$104*'DB additional information '!$L$22/100))*(1-VLOOKUP(D554,'DB technologies'!$N$266:$Y$278,9,FALSE)/100)*'Calc (ex-housing, ex-storage)'!F554/100/VLOOKUP($C$553,'DB animal categories'!$C$201:$AC$210,27,FALSE)*AJ554+I554+J554+K554,IF(AS554=3,('Calc (ex-animal)'!$G$104*'DB additional information '!$K$22/100+'Calc (ex-animal)'!$H$104*'DB additional information '!$L$22/100)*(1-VLOOKUP(D554,'DB technologies'!$N$266:$Y$278,9,FALSE)/100)*'Calc (ex-housing, ex-storage)'!F554/100/VLOOKUP($C$553,'DB animal categories'!$C$201:$AC$210,27,FALSE)*AJ554+I554+J554+K554,IF(AS554=4,('Calc (ex-animal)'!$G$104*'DB additional information '!$K$22/100+'Calc (ex-animal)'!$H$104*'DB additional information '!$L$22/100)*(1-VLOOKUP(D554,'DB technologies'!$N$266:$Y$278,9,FALSE)/100)*'Calc (ex-housing, ex-storage)'!F554/100*VLOOKUP(D554,'DB technologies'!$N$266:$Y$278,12,FALSE)/100/VLOOKUP($C$553,'DB animal categories'!$C$201:$AC$210,27,FALSE)*AJ554+I554+J554+K554,0))))))</f>
        <v/>
      </c>
      <c r="AV554" s="442" t="str">
        <f>IF(D554="","",IF(AS554=2,0,IF(AS554=1,'Calc (ex-animal)'!$G$104*(1-'DB additional information '!$K$22/100)*(1-VLOOKUP(D554,'DB technologies'!$N$266:$Y$278,8,FALSE)/100)*'Calc (ex-housing, ex-storage)'!F554/100/VLOOKUP($C$553,'DB animal categories'!$C$201:$AC$210,27,FALSE)*AJ554+M554+N554+O554,IF(AS554=5,('Calc (ex-animal)'!$G$104*(1-'DB additional information '!$K$22/100)+'Calc (ex-animal)'!$H$104*(1-'DB additional information '!$L$22/100))*(1-VLOOKUP(D554,'DB technologies'!$N$266:$Y$278,8,FALSE)/100)*'Calc (ex-housing, ex-storage)'!F554/100/VLOOKUP($C$553,'DB animal categories'!$C$201:$AC$210,27,FALSE)*AJ554+M554+N554+O554,IF(AS554=3,('Calc (ex-animal)'!$G$104*(1-'DB additional information '!$K$22/100)+'Calc (ex-animal)'!$H$104*(1-'DB additional information '!$L$22/100))*(1-VLOOKUP(D554,'DB technologies'!$N$266:$Y$278,8,FALSE)/100)*'Calc (ex-housing, ex-storage)'!F554/100/VLOOKUP($C$553,'DB animal categories'!$C$201:$AC$210,27,FALSE)*AJ554+M554+N554+O554,IF(AS554=4,('Calc (ex-animal)'!$G$104*(1-'DB additional information '!$K$22/100)+'Calc (ex-animal)'!$H$104*(1-'DB additional information '!$L$22/100))*(1-VLOOKUP(D554,'DB technologies'!$N$266:$Y$278,8,FALSE)/100)*'Calc (ex-housing, ex-storage)'!F554/100*VLOOKUP(D554,'DB technologies'!$N$266:$Y$278,12,FALSE)/100/VLOOKUP($C$553,'DB animal categories'!$C$201:$AC$210,27,FALSE)*AJ554+M554+N554+O554,0))))))</f>
        <v/>
      </c>
      <c r="AW554" s="442" t="str">
        <f>IF(AS554="","",IF(AU554=0,0,AU554/AT554*100))</f>
        <v/>
      </c>
      <c r="AX554" s="182" t="str">
        <f>IF(D554="","",IF(AS554=2,0,IF(AS554=1,'Calc (ex-animal)'!$K$104*'Calc (ex-housing, ex-storage)'!F554/100/VLOOKUP($C$553,'DB animal categories'!$C$201:$AC$210,27,FALSE)*AJ554+Q554+R554+S554,IF(AS554=5,('Calc (ex-animal)'!$K$104+'Calc (ex-animal)'!$L$104)*'Calc (ex-housing, ex-storage)'!F554/100/VLOOKUP($C$553,'DB animal categories'!$C$201:$AC$210,27,FALSE)*AJ554+Q554+R554+S554-'Calc (ex-housing, ex-storage)'!AC554,IF(AS554=3,('Calc (ex-animal)'!$K$104+'Calc (ex-animal)'!$L$104)*'Calc (ex-housing, ex-storage)'!F554/100/VLOOKUP($C$553,'DB animal categories'!$C$201:$AC$210,27,FALSE)*AJ554+Q554+R554+S554-'Calc (ex-housing, ex-storage)'!AC554-AD554-AE554,IF(AI554=4,('Calc (ex-animal)'!$K$104+'Calc (ex-animal)'!$L$104)*'Calc (ex-housing, ex-storage)'!F554/100*VLOOKUP(D554,'DB technologies'!$N$266:$Y$278,12,FALSE)/100/VLOOKUP($C$553,'DB animal categories'!$C$201:$AC$210,27,FALSE)*AJ554+Q554+R554+S554-(VLOOKUP(D554,'DB technologies'!$N$266:$Y$278,12,FALSE)/100*AC554)-AD554-AE554,0))))))</f>
        <v/>
      </c>
      <c r="AY554" s="182" t="str">
        <f>IF(D554="","",IF(AS554=2,0,IF(AS554=1,'Calc (ex-animal)'!$N$104*'Calc (ex-housing, ex-storage)'!F554/100/VLOOKUP($C$553,'DB animal categories'!$C$201:$AC$210,27,FALSE)*AJ554+U554+V554+W554,IF(AS554=5,('Calc (ex-animal)'!$N$104+'Calc (ex-animal)'!$O$104)*'Calc (ex-housing, ex-storage)'!F554/100/VLOOKUP($C$553,'DB animal categories'!$C$201:$AC$210,27,FALSE)*AJ554+U554+V554+W554,IF(AS554=3,('Calc (ex-animal)'!$N$104+'Calc (ex-animal)'!$O$104)*'Calc (ex-housing, ex-storage)'!F554/100/VLOOKUP($C$553,'DB animal categories'!$C$201:$AC$210,27,FALSE)*AJ554+U554+V554+W554,IF(AS554=4,('Calc (ex-animal)'!$N$104+'Calc (ex-animal)'!$O$104)*'Calc (ex-housing, ex-storage)'!F554/100*VLOOKUP(D554,'DB technologies'!$N$266:$Y$278,12,FALSE)/100/VLOOKUP($C$553,'DB animal categories'!$C$201:$AC$210,27,FALSE)*AJ554+U554+V554+W554,0))))))</f>
        <v/>
      </c>
      <c r="AZ554" s="182" t="str">
        <f>IF(D554="","",IF(AS554=2,0,IF(AS554=1,'Calc (ex-animal)'!$Q$104*'Calc (ex-housing, ex-storage)'!F554/100/VLOOKUP($C$553,'DB animal categories'!$C$201:$AC$210,27,FALSE)*AJ554+Y554+Z554+AA554,IF(AS554=5,('Calc (ex-animal)'!$Q$104+'Calc (ex-animal)'!$R$104)*'Calc (ex-housing, ex-storage)'!F554/100/VLOOKUP($C$553,'DB animal categories'!$C$201:$AC$210,27,FALSE)*AJ554+Y554+Z554+AA554,IF(AS554=3,('Calc (ex-animal)'!$Q$104+'Calc (ex-animal)'!$R$104)*'Calc (ex-housing, ex-storage)'!F554/100/VLOOKUP($C$553,'DB animal categories'!$C$201:$AC$210,27,FALSE)*AJ554+Y554+Z554+AA554,IF(AS554=4,('Calc (ex-animal)'!$Q$104+'Calc (ex-animal)'!$R$104)*'Calc (ex-housing, ex-storage)'!F554/100*VLOOKUP(D554,'DB technologies'!$N$266:$Y$278,12,FALSE)/100/VLOOKUP($C$553,'DB animal categories'!$C$201:$AC$210,27,FALSE)*AJ554+Y554+Z554+AA554,0))))))</f>
        <v/>
      </c>
      <c r="BA554" s="506"/>
      <c r="BB554" s="506"/>
      <c r="BC554" s="506"/>
    </row>
    <row r="555" spans="1:55" x14ac:dyDescent="0.2">
      <c r="A555" s="748"/>
      <c r="B555" s="695"/>
      <c r="C555" s="251"/>
      <c r="D555" s="1357"/>
      <c r="E555" s="1358"/>
      <c r="F555" s="480" t="str">
        <f>IF('Calc (ex-animal)'!$F$103=1,"",IF($C$553=0,"",IF(D555="","",E555/'Calc (ex-animal)'!$E$104*100)))</f>
        <v/>
      </c>
      <c r="G555" s="485" t="str">
        <f>IF($C$553=0,"",IF('Calc (ex-animal)'!$F$103=1,"",IF(D555="","",SUM(H555:O555))))</f>
        <v/>
      </c>
      <c r="H555" s="423" t="str">
        <f>IF('Calc (ex-animal)'!$F$103=1,"",IF(D555="","",(((VLOOKUP($C$553,'Calc (ex-animal)'!$D$103:$Y$107,6,FALSE)-VLOOKUP($C$553,'Calc (ex-animal)'!$D$103:$Y$107,17,FALSE))*F555/100))*VLOOKUP($C$553,'Calc (ex-animal)'!$D$103:$Y$107,7,FALSE)/100*(1-VLOOKUP(D555,'DB technologies'!$N$266:$Y$278,9,FALSE)/100)))</f>
        <v/>
      </c>
      <c r="I555" s="423" t="str">
        <f>IF(D555="","",((VLOOKUP(D555,'DB technologies'!$N$266:$Y$278,2,FALSE)*VLOOKUP($C$553,'DB animal categories'!$C$201:$AC$210,27,FALSE)*E555/1000)/VLOOKUP($C$553,'DB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'!$S$6/100*(1-VLOOKUP(D555,'DB technologies'!$N$266:$Y$278,9,FALSE)/100)))</f>
        <v/>
      </c>
      <c r="J555" s="434" t="str">
        <f>IF(D555="","",((VLOOKUP(D555,'DB technologies'!$N$266:$Y$278,3,FALSE)*VLOOKUP($C$553,'DB animal categories'!$C$201:$AC$210,27,FALSE)*E555/1000)/VLOOKUP($C$553,'DB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'!$S$7/100*(1-VLOOKUP(D555,'DB technologies'!$N$266:$Y$278,9,FALSE)/100)))</f>
        <v/>
      </c>
      <c r="K555" s="434" t="str">
        <f>IF(D555="","",((VLOOKUP(D555,'DB technologies'!$N$266:$Y$278,4,FALSE)*E555*'DB additional information '!$S$8/100*(1-VLOOKUP(D555,'DB technologies'!$N$266:$Y$278,9,FALSE)/100))/VLOOKUP($C$553,'DB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L555" s="423" t="str">
        <f>IF('Calc (ex-animal)'!$F$103=1,"",IF(D555="","",(((VLOOKUP($C$553,'Calc (ex-animal)'!$D$103:$Y$107,6,FALSE)-VLOOKUP($C$553,'Calc (ex-animal)'!$D$103:$Y$107,17,FALSE))*F555/100))*(1-VLOOKUP($C$553,'Calc (ex-animal)'!$D$103:$Y$107,7,FALSE)/100)*(1-VLOOKUP(D555,'DB technologies'!$N$266:$V$278,8,FALSE)/100)))</f>
        <v/>
      </c>
      <c r="M555" s="434" t="str">
        <f>IF(D555="","",((VLOOKUP(D555,'DB technologies'!$N$266:$Y$278,2,FALSE)*VLOOKUP($C$553,'DB animal categories'!$C$201:$AC$210,27,FALSE)*E555/1000)/VLOOKUP($C$553,'DB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'!$S$6/100)*(1-VLOOKUP(D555,'DB technologies'!$N$266:$Y$278,9,FALSE)/100))</f>
        <v/>
      </c>
      <c r="N555" s="434" t="str">
        <f>IF(D555="","",((VLOOKUP(D555,'DB technologies'!$N$266:$Y$278,3,FALSE)*VLOOKUP($C$553,'DB animal categories'!$C$201:$AC$210,27,FALSE)*E555/1000)/VLOOKUP($C$553,'DB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'!$S$7/100)*(1-VLOOKUP(D555,'DB technologies'!$N$266:$Y$278,9,FALSE)/100))</f>
        <v/>
      </c>
      <c r="O555" s="423" t="str">
        <f>IF(D555="","",((VLOOKUP(D555,'DB technologies'!$N$266:$Y$278,4,FALSE)*E555*(1-'DB additional information '!$S$8/100)*(1-VLOOKUP(D555,'DB technologies'!$N$266:$Y$278,8,FALSE)/100))/VLOOKUP($C$553,'DB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P555" s="438" t="str">
        <f>IF(G555=0,0,IF(E555="","",IF(F555="","",IF($C$553=0,"",IF(D555="","",SUM(H555:K555)/G555*100)))))</f>
        <v/>
      </c>
      <c r="Q555" s="416" t="str">
        <f>IF(D555="","",(VLOOKUP(D555,'DB technologies'!$N$266:$Y$278,2,FALSE)*'DB additional information '!$S$6/100*'DB additional information '!$T$6*VLOOKUP($C$553,'DB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R555" s="416" t="str">
        <f>IF(D555="","",(VLOOKUP(D555,'DB technologies'!$N$266:$Y$278,3,FALSE)*'DB additional information '!$S$7/100*'DB additional information '!$T$7*VLOOKUP($C$553,'DB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S555" s="491" t="str">
        <f>IF(D555="","",(VLOOKUP(D555,'DB technologies'!$N$266:$Y$278,4,FALSE)*('DB additional information '!$S$8/100*'DB additional information '!$T$8*E555/1000/1000)))</f>
        <v/>
      </c>
      <c r="T555" s="264" t="str">
        <f>IF($C$553=0,"",IF('Calc (ex-animal)'!$F$103=1,"",IF(D555="","",((VLOOKUP($C$553,'Calc (ex-animal)'!$D$103:$Y$107,10,FALSE)-VLOOKUP($C$553,'Calc (ex-animal)'!$D$103:$Y$107,18,FALSE))*F555/100+Q555+R555+S555)-AC555-AD555-AE555)))</f>
        <v/>
      </c>
      <c r="U555" s="422" t="str">
        <f>IF(D555="","",(VLOOKUP(D555,'DB technologies'!$N$266:$Y$278,2,FALSE)*'DB additional information '!$S$6/100*'DB additional information '!$U$6*VLOOKUP($C$553,'DB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V555" s="418" t="str">
        <f>IF(D555="","",(VLOOKUP(D555,'DB technologies'!$N$266:$Y$278,3,FALSE)*'DB additional information '!$S$7/100*'DB additional information '!$U$7*VLOOKUP($C$553,'DB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W555" s="417" t="str">
        <f>IF(D555="","",(VLOOKUP(D555,'DB technologies'!$N$266:$Y$278,4,FALSE)*('DB additional information '!$S$8/100*'DB additional information '!$U$8*E555/1000/1000)))</f>
        <v/>
      </c>
      <c r="X555" s="261" t="str">
        <f>IF($C$553=0,"",IF('Calc (ex-animal)'!$F$103=1,"",IF(D555="","",((VLOOKUP($C$553,'Calc (ex-animal)'!$D$103:$Y$107,13,FALSE)-VLOOKUP($C$553,'Calc (ex-animal)'!$D$103:$Y$107,19,FALSE))*F555/100+U555+V555+W555))))</f>
        <v/>
      </c>
      <c r="Y555" s="418" t="str">
        <f>IF(D555="","",(VLOOKUP(D555,'DB technologies'!$N$266:$Y$278,2,FALSE)*'DB additional information '!$S$6/100*'DB additional information '!$V$6*VLOOKUP($C$553,'DB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Z555" s="418" t="str">
        <f>IF(D555="","",(VLOOKUP(D555,'DB technologies'!$N$266:$Y$278,3,FALSE)*'DB additional information '!$S$7/100*'DB additional information '!$V$7*VLOOKUP($C$553,'DB animal categories'!$C$201:$AC$210,27,FALSE)*E555/1000/1000)/VLOOKUP($C$553,'DB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AA555" s="418" t="str">
        <f>IF(D555="","",(VLOOKUP(D555,'DB technologies'!$N$266:$Y$278,4,FALSE)*('DB additional information '!$S$8/100*'DB additional information '!$V$8*E555/1000/1000)))</f>
        <v/>
      </c>
      <c r="AB555" s="261" t="str">
        <f>IF($C$553=0,"",IF('Calc (ex-animal)'!$F$103=1,"",IF(D555="","",((VLOOKUP($C$553,'Calc (ex-animal)'!$D$103:$Y$107,16,FALSE)-VLOOKUP($C$553,'Calc (ex-animal)'!$D$103:$Y$107,20,FALSE))*F555/100+Y555+Z555+AA555))))</f>
        <v/>
      </c>
      <c r="AC555" s="261" t="str">
        <f>IF($C$553=0,"",IF('Calc (ex-animal)'!$F$103=1,"",IF(D555="","",VLOOKUP($C$553,'Calc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categories'!$C$201:$AC$210,26,FALSE)/24)*F555/100*VLOOKUP(D555,'DB technologies'!$N$266:$R$278,5,FALSE)/100)))</f>
        <v/>
      </c>
      <c r="AD555" s="261" t="str">
        <f>IF($C$553=0,"",IF('Calc (ex-animal)'!$F$103=1,"",IF(D555="","",VLOOKUP($C$553,'Calc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categories'!$C$201:$AC$210,26,FALSE)/24)*F555/100*VLOOKUP(D555,'DB technologies'!$N$266:$Y$278,6,FALSE)/100)))</f>
        <v/>
      </c>
      <c r="AE555" s="262" t="str">
        <f>IF($C$553=0,"",IF('Calc (ex-animal)'!$F$103=1,"",IF(D555="","",VLOOKUP($C$553,'Calc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categories'!$C$201:$AC$210,26,FALSE)/24)*F555/100*VLOOKUP(D555,'DB technologies'!$N$266:$Y$278,7,FALSE)/100)))</f>
        <v/>
      </c>
      <c r="AI555" s="181" t="str">
        <f>IF(D555="","",VLOOKUP(D555,'DB technologies'!$N$266:$Y$278,10,FALSE))</f>
        <v/>
      </c>
      <c r="AJ555" s="449" t="e">
        <f>VLOOKUP($C$553,'DB animal categories'!$C$201:$AN$210,27,FALSE)-VLOOKUP($C$553,'DB animal categories'!$C$201:$AN$210,26,FALSE)*VLOOKUP($C$553,'DB animal categories'!$C$201:$AN$210,25,FALSE)/24</f>
        <v>#N/A</v>
      </c>
      <c r="AK555" s="442" t="str">
        <f>IF(AI555="","",AL555+AM555)</f>
        <v/>
      </c>
      <c r="AL555" s="442" t="str">
        <f>IF(D555="","",IF(AI555=2,(('Calc (ex-animal)'!$G$104*'DB additional information '!$K$22/100*(1-VLOOKUP(D555,'DB technologies'!$N$266:$Y$278,9,FALSE)/100)*'Calc (ex-housing, ex-storage)'!F555/100+'Calc (ex-animal)'!$H$104*'DB additional information '!$L$22/100*(1-VLOOKUP(D555,'DB technologies'!$N$266:$Y$278,9,FALSE)/100)*'Calc (ex-housing, ex-storage)'!F555/100))/VLOOKUP($C$553,'DB animal categories'!$C$201:$AC$210,27,FALSE)*AJ555+I555+J555+K555,IF(AI555=1,('Calc (ex-animal)'!$H$104*'DB additional information '!$L$22/100*(1-VLOOKUP(D555,'DB technologies'!$N$266:$Y$278,9,FALSE)/100)*'Calc (ex-housing, ex-storage)'!F555/100)/VLOOKUP($C$553,'DB animal categories'!$C$201:$AC$210,27,FALSE)*AJ555,IF(AI555=4,('Calc (ex-animal)'!$G$104*'DB additional information '!$K$22/100+'Calc (ex-animal)'!$H$104*'DB additional information '!$L$22/100)*(1-VLOOKUP(D555,'DB technologies'!$N$266:$Y$278,9,FALSE)/100)*'Calc (ex-housing, ex-storage)'!F555/100*VLOOKUP(D555,'DB technologies'!$N$266:$Y$278,11,FALSE)/100/VLOOKUP($C$553,'DB animal categories'!$C$201:$AC$210,27,FALSE)*AJ555,0))))</f>
        <v/>
      </c>
      <c r="AM555" s="442" t="str">
        <f>IF(D555="","",IF(AI555=2,(('Calc (ex-animal)'!$G$104*(1-'DB additional information '!$K$22/100)*(1-VLOOKUP(D555,'DB technologies'!$N$266:$Y$278,8,FALSE)/100)*'Calc (ex-housing, ex-storage)'!F555/100+'Calc (ex-animal)'!$H$104*(1-'DB additional information '!$L$22/100)*(1-VLOOKUP(D555,'DB technologies'!$N$266:$Y$278,8,FALSE)/100)*'Calc (ex-housing, ex-storage)'!F555/100))/VLOOKUP($C$553,'DB animal categories'!$C$201:$AC$210,27,FALSE)*AJ555+M555+N555+O555,IF(AI555=1,('Calc (ex-animal)'!$H$104*(1-'DB additional information '!$L$22/100)*(1-VLOOKUP(D555,'DB technologies'!$N$266:$Y$278,8,FALSE)/100)*'Calc (ex-housing, ex-storage)'!F555/100)/VLOOKUP($C$553,'DB animal categories'!$C$201:$AC$210,27,FALSE)*AJ555,IF(AI555=4,('Calc (ex-animal)'!$G$104*(1-'DB additional information '!$K$22/100)+'Calc (ex-animal)'!$H$104*(1-'DB additional information '!$L$22/100))*(1-VLOOKUP(D555,'DB technologies'!$N$266:$Y$278,8,FALSE)/100)*'Calc (ex-housing, ex-storage)'!F555/100*VLOOKUP(D555,'DB technologies'!$N$266:$Y$278,11,FALSE)/100/VLOOKUP($C$553,'DB animal categories'!$C$201:$AC$210,27,FALSE)*AJ555,0))))</f>
        <v/>
      </c>
      <c r="AN555" s="442" t="str">
        <f>IF(AI555="","",IF(AL555=0,0,AL555/AK555*100))</f>
        <v/>
      </c>
      <c r="AO555" s="182" t="str">
        <f>IF(D555="","",IF(AI555=2,(('Calc (ex-animal)'!$L$104*'Calc (ex-housing, ex-storage)'!F555/100+'Calc (ex-animal)'!$K$104*'Calc (ex-housing, ex-storage)'!F555/100))/VLOOKUP($C$553,'DB animal categories'!$C$201:$AC$210,27,FALSE)*AJ555+Q555+R555+S555-AC555,IF(AI555=1,('Calc (ex-animal)'!$L$104*'Calc (ex-housing, ex-storage)'!F555/100)/VLOOKUP($C$553,'DB animal categories'!$C$201:$AC$210,27,FALSE)*AJ555-'Calc (ex-housing, ex-storage)'!AC555,IF(AI555=4,('Calc (ex-animal)'!$L$104+'Calc (ex-animal)'!$K$104)*'Calc (ex-housing, ex-storage)'!F555/100*VLOOKUP(D555,'DB technologies'!$N$266:$Y$278,11,FALSE)/100/VLOOKUP($C$553,'DB animal categories'!$C$201:$AC$210,27,FALSE)*AJ555-AC555*VLOOKUP(D555,'DB technologies'!$N$266:$Y$278,11,FALSE)/100,0))))</f>
        <v/>
      </c>
      <c r="AP555" s="182" t="str">
        <f>IF(D555="","",IF(AO555&lt;-0.01,0,IF(AI555=2,(('Calc (ex-animal)'!$L$104*'Calc (ex-housing, ex-storage)'!F555/100+'Calc (ex-animal)'!$K$104*'Calc (ex-housing, ex-storage)'!F555/100))/VLOOKUP($C$553,'DB animal categories'!$C$201:$AC$210,27,FALSE)*AJ555+Q555+R555+S555-AC555,IF(AI555=1,('Calc (ex-animal)'!$L$104*'Calc (ex-housing, ex-storage)'!F555/100)/VLOOKUP($C$553,'DB animal categories'!$C$201:$AC$210,27,FALSE)*AJ555-'Calc (ex-housing, ex-storage)'!AC555,IF(AI555=4,('Calc (ex-animal)'!$L$104+'Calc (ex-animal)'!$K$104)*'Calc (ex-housing, ex-storage)'!F555/100*VLOOKUP(D555,'DB technologies'!$N$266:$Y$278,11,FALSE)/100/VLOOKUP($C$553,'DB animal categories'!$C$201:$AC$210,27,FALSE)*AJ555-AC555*VLOOKUP(D555,'DB technologies'!$N$266:$Y$278,11,FALSE)/100,0)))))</f>
        <v/>
      </c>
      <c r="AQ555" s="182" t="str">
        <f>IF(D555="","",IF(AI555=2,('Calc (ex-animal)'!$O$104*'Calc (ex-housing, ex-storage)'!F555/100+'Calc (ex-animal)'!$N$104*'Calc (ex-housing, ex-storage)'!F555/100)/VLOOKUP($C$553,'DB animal categories'!$C$201:$AC$210,27,FALSE)*AJ555+U555+V555+W555,IF(AI555=1,'Calc (ex-animal)'!$O$104*'Calc (ex-housing, ex-storage)'!F555/100/VLOOKUP($C$553,'DB animal categories'!$C$201:$AC$210,27,FALSE)*AJ555,IF(AI555=4,('Calc (ex-animal)'!$O$104+'Calc (ex-animal)'!$N$104)*'Calc (ex-housing, ex-storage)'!F555/100*VLOOKUP(D555,'DB technologies'!$N$266:$Y$278,11,FALSE)/100/VLOOKUP($C$553,'DB animal categories'!$C$201:$AC$210,27,FALSE)*AJ555,0))))</f>
        <v/>
      </c>
      <c r="AR555" s="182" t="str">
        <f>IF(D555="","",IF(AI555=2,('Calc (ex-animal)'!$R$104*'Calc (ex-housing, ex-storage)'!F555/100+'Calc (ex-animal)'!$Q$104*'Calc (ex-housing, ex-storage)'!F555/100)/VLOOKUP($C$553,'DB animal categories'!$C$201:$AC$210,27,FALSE)*AJ555+Y555+Z555+AA555,IF(AI555=1,'Calc (ex-animal)'!$R$104*'Calc (ex-housing, ex-storage)'!F555/100/VLOOKUP($C$553,'DB animal categories'!$C$201:$AC$210,27,FALSE)*AJ555,IF(AI555=4,('Calc (ex-animal)'!$R$104+'Calc (ex-animal)'!$Q$104)*'Calc (ex-housing, ex-storage)'!F555/100*VLOOKUP(D555,'DB technologies'!$N$266:$Y$278,11,FALSE)/100/VLOOKUP($C$553,'DB animal categories'!$C$201:$AC$210,27,FALSE)*AJ555,0))))</f>
        <v/>
      </c>
      <c r="AS555" s="181" t="str">
        <f>IF(D555="","",VLOOKUP(D555,'DB technologies'!$N$266:$Y$278,10,FALSE))</f>
        <v/>
      </c>
      <c r="AT555" s="442" t="str">
        <f>IF(AS555="","",AU555+AV555)</f>
        <v/>
      </c>
      <c r="AU555" s="442" t="str">
        <f>IF(D555="","",IF(AS555=2,0,IF(AS555=1,'Calc (ex-animal)'!$G$104*'DB additional information '!$K$22/100*(1-VLOOKUP(D555,'DB technologies'!$N$266:$Y$278,8,FALSE)/100)*'Calc (ex-housing, ex-storage)'!F555/100/VLOOKUP($C$553,'DB animal categories'!$C$201:$AC$210,27,FALSE)*AJ555+I555+J555+K555,IF(AS555=5,(('Calc (ex-animal)'!$G$104*'DB additional information '!$K$22/100+'Calc (ex-animal)'!$H$104*'DB additional information '!$L$22/100))*(1-VLOOKUP(D555,'DB technologies'!$N$266:$Y$278,9,FALSE)/100)*'Calc (ex-housing, ex-storage)'!F555/100/VLOOKUP($C$553,'DB animal categories'!$C$201:$AC$210,27,FALSE)*AJ555+I555+J555+K555,IF(AS555=3,('Calc (ex-animal)'!$G$104*'DB additional information '!$K$22/100+'Calc (ex-animal)'!$H$104*'DB additional information '!$L$22/100)*(1-VLOOKUP(D555,'DB technologies'!$N$266:$Y$278,9,FALSE)/100)*'Calc (ex-housing, ex-storage)'!F555/100/VLOOKUP($C$553,'DB animal categories'!$C$201:$AC$210,27,FALSE)*AJ555+I555+J555+K555,IF(AS555=4,('Calc (ex-animal)'!$G$104*'DB additional information '!$K$22/100+'Calc (ex-animal)'!$H$104*'DB additional information '!$L$22/100)*(1-VLOOKUP(D555,'DB technologies'!$N$266:$Y$278,9,FALSE)/100)*'Calc (ex-housing, ex-storage)'!F555/100*VLOOKUP(D555,'DB technologies'!$N$266:$Y$278,12,FALSE)/100/VLOOKUP($C$553,'DB animal categories'!$C$201:$AC$210,27,FALSE)*AJ555+I555+J555+K555,0))))))</f>
        <v/>
      </c>
      <c r="AV555" s="442" t="str">
        <f>IF(D555="","",IF(AS555=2,0,IF(AS555=1,'Calc (ex-animal)'!$G$104*(1-'DB additional information '!$K$22/100)*(1-VLOOKUP(D555,'DB technologies'!$N$266:$Y$278,8,FALSE)/100)*'Calc (ex-housing, ex-storage)'!F555/100/VLOOKUP($C$553,'DB animal categories'!$C$201:$AC$210,27,FALSE)*AJ555+M555+N555+O555,IF(AS555=5,('Calc (ex-animal)'!$G$104*(1-'DB additional information '!$K$22/100)+'Calc (ex-animal)'!$H$104*(1-'DB additional information '!$L$22/100))*(1-VLOOKUP(D555,'DB technologies'!$N$266:$Y$278,8,FALSE)/100)*'Calc (ex-housing, ex-storage)'!F555/100/VLOOKUP($C$553,'DB animal categories'!$C$201:$AC$210,27,FALSE)*AJ555+M555+N555+O555,IF(AS555=3,('Calc (ex-animal)'!$G$104*(1-'DB additional information '!$K$22/100)+'Calc (ex-animal)'!$H$104*(1-'DB additional information '!$L$22/100))*(1-VLOOKUP(D555,'DB technologies'!$N$266:$Y$278,8,FALSE)/100)*'Calc (ex-housing, ex-storage)'!F555/100/VLOOKUP($C$553,'DB animal categories'!$C$201:$AC$210,27,FALSE)*AJ555+M555+N555+O555,IF(AS555=4,('Calc (ex-animal)'!$G$104*(1-'DB additional information '!$K$22/100)+'Calc (ex-animal)'!$H$104*(1-'DB additional information '!$L$22/100))*(1-VLOOKUP(D555,'DB technologies'!$N$266:$Y$278,8,FALSE)/100)*'Calc (ex-housing, ex-storage)'!F555/100*VLOOKUP(D555,'DB technologies'!$N$266:$Y$278,12,FALSE)/100/VLOOKUP($C$553,'DB animal categories'!$C$201:$AC$210,27,FALSE)*AJ555+M555+N555+O555,0))))))</f>
        <v/>
      </c>
      <c r="AW555" s="442" t="str">
        <f>IF(AS555="","",IF(AU555=0,0,AU555/AT555*100))</f>
        <v/>
      </c>
      <c r="AX555" s="182" t="str">
        <f>IF(D555="","",IF(AS555=2,0,IF(AS555=1,'Calc (ex-animal)'!$K$104*'Calc (ex-housing, ex-storage)'!F555/100/VLOOKUP($C$553,'DB animal categories'!$C$201:$AC$210,27,FALSE)*AJ555+Q555+R555+S555,IF(AS555=5,('Calc (ex-animal)'!$K$104+'Calc (ex-animal)'!$L$104)*'Calc (ex-housing, ex-storage)'!F555/100/VLOOKUP($C$553,'DB animal categories'!$C$201:$AC$210,27,FALSE)*AJ555+Q555+R555+S555-'Calc (ex-housing, ex-storage)'!AC555,IF(AS555=3,('Calc (ex-animal)'!$K$104+'Calc (ex-animal)'!$L$104)*'Calc (ex-housing, ex-storage)'!F555/100/VLOOKUP($C$553,'DB animal categories'!$C$201:$AC$210,27,FALSE)*AJ555+Q555+R555+S555-'Calc (ex-housing, ex-storage)'!AC555-AD555-AE555,IF(AI555=4,('Calc (ex-animal)'!$K$104+'Calc (ex-animal)'!$L$104)*'Calc (ex-housing, ex-storage)'!F555/100*VLOOKUP(D555,'DB technologies'!$N$266:$Y$278,12,FALSE)/100/VLOOKUP($C$553,'DB animal categories'!$C$201:$AC$210,27,FALSE)*AJ555+Q555+R555+S555-(VLOOKUP(D555,'DB technologies'!$N$266:$Y$278,12,FALSE)/100*AC555)-AD555-AE555,0))))))</f>
        <v/>
      </c>
      <c r="AY555" s="182" t="str">
        <f>IF(D555="","",IF(AS555=2,0,IF(AS555=1,'Calc (ex-animal)'!$N$104*'Calc (ex-housing, ex-storage)'!F555/100/VLOOKUP($C$553,'DB animal categories'!$C$201:$AC$210,27,FALSE)*AJ555+U555+V555+W555,IF(AS555=5,('Calc (ex-animal)'!$N$104+'Calc (ex-animal)'!$O$104)*'Calc (ex-housing, ex-storage)'!F555/100/VLOOKUP($C$553,'DB animal categories'!$C$201:$AC$210,27,FALSE)*AJ555+U555+V555+W555,IF(AS555=3,('Calc (ex-animal)'!$N$104+'Calc (ex-animal)'!$O$104)*'Calc (ex-housing, ex-storage)'!F555/100/VLOOKUP($C$553,'DB animal categories'!$C$201:$AC$210,27,FALSE)*AJ555+U555+V555+W555,IF(AS555=4,('Calc (ex-animal)'!$N$104+'Calc (ex-animal)'!$O$104)*'Calc (ex-housing, ex-storage)'!F555/100*VLOOKUP(D555,'DB technologies'!$N$266:$Y$278,12,FALSE)/100/VLOOKUP($C$553,'DB animal categories'!$C$201:$AC$210,27,FALSE)*AJ555+U555+V555+W555,0))))))</f>
        <v/>
      </c>
      <c r="AZ555" s="182" t="str">
        <f>IF(D555="","",IF(AS555=2,0,IF(AS555=1,'Calc (ex-animal)'!$Q$104*'Calc (ex-housing, ex-storage)'!F555/100/VLOOKUP($C$553,'DB animal categories'!$C$201:$AC$210,27,FALSE)*AJ555+Y555+Z555+AA555,IF(AS555=5,('Calc (ex-animal)'!$Q$104+'Calc (ex-animal)'!$R$104)*'Calc (ex-housing, ex-storage)'!F555/100/VLOOKUP($C$553,'DB animal categories'!$C$201:$AC$210,27,FALSE)*AJ555+Y555+Z555+AA555,IF(AS555=3,('Calc (ex-animal)'!$Q$104+'Calc (ex-animal)'!$R$104)*'Calc (ex-housing, ex-storage)'!F555/100/VLOOKUP($C$553,'DB animal categories'!$C$201:$AC$210,27,FALSE)*AJ555+Y555+Z555+AA555,IF(AS555=4,('Calc (ex-animal)'!$Q$104+'Calc (ex-animal)'!$R$104)*'Calc (ex-housing, ex-storage)'!F555/100*VLOOKUP(D555,'DB technologies'!$N$266:$Y$278,12,FALSE)/100/VLOOKUP($C$553,'DB animal categories'!$C$201:$AC$210,27,FALSE)*AJ555+Y555+Z555+AA555,0))))))</f>
        <v/>
      </c>
      <c r="BA555" s="506"/>
      <c r="BB555" s="506"/>
      <c r="BC555" s="506"/>
    </row>
    <row r="556" spans="1:55" x14ac:dyDescent="0.2">
      <c r="A556" s="748"/>
      <c r="B556" s="695"/>
      <c r="C556" s="251"/>
      <c r="D556" s="1357"/>
      <c r="E556" s="1358"/>
      <c r="F556" s="480" t="str">
        <f>IF('Calc (ex-animal)'!$F$103=1,"",IF($C$553=0,"",IF(D556="","",E556/'Calc (ex-animal)'!$E$104*100)))</f>
        <v/>
      </c>
      <c r="G556" s="485" t="str">
        <f>IF($C$553=0,"",IF('Calc (ex-animal)'!$F$103=1,"",IF(D556="","",SUM(H556:O556))))</f>
        <v/>
      </c>
      <c r="H556" s="423" t="str">
        <f>IF('Calc (ex-animal)'!$F$103=1,"",IF(D556="","",(((VLOOKUP($C$553,'Calc (ex-animal)'!$D$103:$Y$107,6,FALSE)-VLOOKUP($C$553,'Calc (ex-animal)'!$D$103:$Y$107,17,FALSE))*F556/100))*VLOOKUP($C$553,'Calc (ex-animal)'!$D$103:$Y$107,7,FALSE)/100*(1-VLOOKUP(D556,'DB technologies'!$N$266:$Y$278,9,FALSE)/100)))</f>
        <v/>
      </c>
      <c r="I556" s="423" t="str">
        <f>IF(D556="","",((VLOOKUP(D556,'DB technologies'!$N$266:$Y$278,2,FALSE)*VLOOKUP($C$553,'DB animal categories'!$C$201:$AC$210,27,FALSE)*E556/1000)/VLOOKUP($C$553,'DB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'!$S$6/100*(1-VLOOKUP(D556,'DB technologies'!$N$266:$Y$278,9,FALSE)/100)))</f>
        <v/>
      </c>
      <c r="J556" s="434" t="str">
        <f>IF(D556="","",((VLOOKUP(D556,'DB technologies'!$N$266:$Y$278,3,FALSE)*VLOOKUP($C$553,'DB animal categories'!$C$201:$AC$210,27,FALSE)*E556/1000)/VLOOKUP($C$553,'DB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'!$S$7/100*(1-VLOOKUP(D556,'DB technologies'!$N$266:$Y$278,9,FALSE)/100)))</f>
        <v/>
      </c>
      <c r="K556" s="434" t="str">
        <f>IF(D556="","",((VLOOKUP(D556,'DB technologies'!$N$266:$Y$278,4,FALSE)*E556*'DB additional information '!$S$8/100*(1-VLOOKUP(D556,'DB technologies'!$N$266:$Y$278,9,FALSE)/100))/VLOOKUP($C$553,'DB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L556" s="423" t="str">
        <f>IF('Calc (ex-animal)'!$F$103=1,"",IF(D556="","",(((VLOOKUP($C$553,'Calc (ex-animal)'!$D$103:$Y$107,6,FALSE)-VLOOKUP($C$553,'Calc (ex-animal)'!$D$103:$Y$107,17,FALSE))*F556/100))*(1-VLOOKUP($C$553,'Calc (ex-animal)'!$D$103:$Y$107,7,FALSE)/100)*(1-VLOOKUP(D556,'DB technologies'!$N$266:$V$278,8,FALSE)/100)))</f>
        <v/>
      </c>
      <c r="M556" s="434" t="str">
        <f>IF(D556="","",((VLOOKUP(D556,'DB technologies'!$N$266:$Y$278,2,FALSE)*VLOOKUP($C$553,'DB animal categories'!$C$201:$AC$210,27,FALSE)*E556/1000)/VLOOKUP($C$553,'DB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'!$S$6/100)*(1-VLOOKUP(D556,'DB technologies'!$N$266:$Y$278,9,FALSE)/100))</f>
        <v/>
      </c>
      <c r="N556" s="434" t="str">
        <f>IF(D556="","",((VLOOKUP(D556,'DB technologies'!$N$266:$Y$278,3,FALSE)*VLOOKUP($C$553,'DB animal categories'!$C$201:$AC$210,27,FALSE)*E556/1000)/VLOOKUP($C$553,'DB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'!$S$7/100)*(1-VLOOKUP(D556,'DB technologies'!$N$266:$Y$278,9,FALSE)/100))</f>
        <v/>
      </c>
      <c r="O556" s="423" t="str">
        <f>IF(D556="","",((VLOOKUP(D556,'DB technologies'!$N$266:$Y$278,4,FALSE)*E556*(1-'DB additional information '!$S$8/100)*(1-VLOOKUP(D556,'DB technologies'!$N$266:$Y$278,8,FALSE)/100))/VLOOKUP($C$553,'DB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P556" s="438" t="str">
        <f>IF(G556=0,0,IF(E556="","",IF(F556="","",IF($C$553=0,"",IF(D556="","",SUM(H556:K556)/G556*100)))))</f>
        <v/>
      </c>
      <c r="Q556" s="416" t="str">
        <f>IF(D556="","",(VLOOKUP(D556,'DB technologies'!$N$266:$Y$278,2,FALSE)*'DB additional information '!$S$6/100*'DB additional information '!$T$6*VLOOKUP($C$553,'DB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R556" s="416" t="str">
        <f>IF(D556="","",(VLOOKUP(D556,'DB technologies'!$N$266:$Y$278,3,FALSE)*'DB additional information '!$S$7/100*'DB additional information '!$T$7*VLOOKUP($C$553,'DB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S556" s="491" t="str">
        <f>IF(D556="","",(VLOOKUP(D556,'DB technologies'!$N$266:$Y$278,4,FALSE)*('DB additional information '!$S$8/100*'DB additional information '!$T$8*E556/1000/1000)))</f>
        <v/>
      </c>
      <c r="T556" s="264" t="str">
        <f>IF($C$553=0,"",IF('Calc (ex-animal)'!$F$103=1,"",IF(D556="","",((VLOOKUP($C$553,'Calc (ex-animal)'!$D$103:$Y$107,10,FALSE)-VLOOKUP($C$553,'Calc (ex-animal)'!$D$103:$Y$107,18,FALSE))*F556/100+Q556+R556+S556)-AC556-AD556-AE556)))</f>
        <v/>
      </c>
      <c r="U556" s="422" t="str">
        <f>IF(D556="","",(VLOOKUP(D556,'DB technologies'!$N$266:$Y$278,2,FALSE)*'DB additional information '!$S$6/100*'DB additional information '!$U$6*VLOOKUP($C$553,'DB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V556" s="418" t="str">
        <f>IF(D556="","",(VLOOKUP(D556,'DB technologies'!$N$266:$Y$278,3,FALSE)*'DB additional information '!$S$7/100*'DB additional information '!$U$7*VLOOKUP($C$553,'DB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W556" s="417" t="str">
        <f>IF(D556="","",(VLOOKUP(D556,'DB technologies'!$N$266:$Y$278,4,FALSE)*('DB additional information '!$S$8/100*'DB additional information '!$U$8*E556/1000/1000)))</f>
        <v/>
      </c>
      <c r="X556" s="261" t="str">
        <f>IF($C$553=0,"",IF('Calc (ex-animal)'!$F$103=1,"",IF(D556="","",((VLOOKUP($C$553,'Calc (ex-animal)'!$D$103:$Y$107,13,FALSE)-VLOOKUP($C$553,'Calc (ex-animal)'!$D$103:$Y$107,19,FALSE))*F556/100+U556+V556+W556))))</f>
        <v/>
      </c>
      <c r="Y556" s="418" t="str">
        <f>IF(D556="","",(VLOOKUP(D556,'DB technologies'!$N$266:$Y$278,2,FALSE)*'DB additional information '!$S$6/100*'DB additional information '!$V$6*VLOOKUP($C$553,'DB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Z556" s="418" t="str">
        <f>IF(D556="","",(VLOOKUP(D556,'DB technologies'!$N$266:$Y$278,3,FALSE)*'DB additional information '!$S$7/100*'DB additional information '!$V$7*VLOOKUP($C$553,'DB animal categories'!$C$201:$AC$210,27,FALSE)*E556/1000/1000)/VLOOKUP($C$553,'DB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AA556" s="418" t="str">
        <f>IF(D556="","",(VLOOKUP(D556,'DB technologies'!$N$266:$Y$278,4,FALSE)*('DB additional information '!$S$8/100*'DB additional information '!$V$8*E556/1000/1000)))</f>
        <v/>
      </c>
      <c r="AB556" s="261" t="str">
        <f>IF($C$553=0,"",IF('Calc (ex-animal)'!$F$103=1,"",IF(D556="","",((VLOOKUP($C$553,'Calc (ex-animal)'!$D$103:$Y$107,16,FALSE)-VLOOKUP($C$553,'Calc (ex-animal)'!$D$103:$Y$107,20,FALSE))*F556/100+Y556+Z556+AA556))))</f>
        <v/>
      </c>
      <c r="AC556" s="261" t="str">
        <f>IF($C$553=0,"",IF('Calc (ex-animal)'!$F$103=1,"",IF(D556="","",VLOOKUP($C$553,'Calc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categories'!$C$201:$AC$210,26,FALSE)/24)*F556/100*VLOOKUP(D556,'DB technologies'!$N$266:$R$278,5,FALSE)/100)))</f>
        <v/>
      </c>
      <c r="AD556" s="261" t="str">
        <f>IF($C$553=0,"",IF('Calc (ex-animal)'!$F$103=1,"",IF(D556="","",VLOOKUP($C$553,'Calc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categories'!$C$201:$AC$210,26,FALSE)/24)*F556/100*VLOOKUP(D556,'DB technologies'!$N$266:$Y$278,6,FALSE)/100)))</f>
        <v/>
      </c>
      <c r="AE556" s="262" t="str">
        <f>IF($C$553=0,"",IF('Calc (ex-animal)'!$F$103=1,"",IF(D556="","",VLOOKUP($C$553,'Calc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categories'!$C$201:$AC$210,26,FALSE)/24)*F556/100*VLOOKUP(D556,'DB technologies'!$N$266:$Y$278,7,FALSE)/100)))</f>
        <v/>
      </c>
      <c r="AI556" s="181" t="str">
        <f>IF(D556="","",VLOOKUP(D556,'DB technologies'!$N$266:$Y$278,10,FALSE))</f>
        <v/>
      </c>
      <c r="AJ556" s="449" t="e">
        <f>VLOOKUP($C$553,'DB animal categories'!$C$201:$AN$210,27,FALSE)-VLOOKUP($C$553,'DB animal categories'!$C$201:$AN$210,26,FALSE)*VLOOKUP($C$553,'DB animal categories'!$C$201:$AN$210,25,FALSE)/24</f>
        <v>#N/A</v>
      </c>
      <c r="AK556" s="442" t="str">
        <f>IF(AI556="","",AL556+AM556)</f>
        <v/>
      </c>
      <c r="AL556" s="442" t="str">
        <f>IF(D556="","",IF(AI556=2,(('Calc (ex-animal)'!$G$104*'DB additional information '!$K$22/100*(1-VLOOKUP(D556,'DB technologies'!$N$266:$Y$278,9,FALSE)/100)*'Calc (ex-housing, ex-storage)'!F556/100+'Calc (ex-animal)'!$H$104*'DB additional information '!$L$22/100*(1-VLOOKUP(D556,'DB technologies'!$N$266:$Y$278,9,FALSE)/100)*'Calc (ex-housing, ex-storage)'!F556/100))/VLOOKUP($C$553,'DB animal categories'!$C$201:$AC$210,27,FALSE)*AJ556+I556+J556+K556,IF(AI556=1,('Calc (ex-animal)'!$H$104*'DB additional information '!$L$22/100*(1-VLOOKUP(D556,'DB technologies'!$N$266:$Y$278,9,FALSE)/100)*'Calc (ex-housing, ex-storage)'!F556/100)/VLOOKUP($C$553,'DB animal categories'!$C$201:$AC$210,27,FALSE)*AJ556,IF(AI556=4,('Calc (ex-animal)'!$G$104*'DB additional information '!$K$22/100+'Calc (ex-animal)'!$H$104*'DB additional information '!$L$22/100)*(1-VLOOKUP(D556,'DB technologies'!$N$266:$Y$278,9,FALSE)/100)*'Calc (ex-housing, ex-storage)'!F556/100*VLOOKUP(D556,'DB technologies'!$N$266:$Y$278,11,FALSE)/100/VLOOKUP($C$553,'DB animal categories'!$C$201:$AC$210,27,FALSE)*AJ556,0))))</f>
        <v/>
      </c>
      <c r="AM556" s="442" t="str">
        <f>IF(D556="","",IF(AI556=2,(('Calc (ex-animal)'!$G$104*(1-'DB additional information '!$K$22/100)*(1-VLOOKUP(D556,'DB technologies'!$N$266:$Y$278,8,FALSE)/100)*'Calc (ex-housing, ex-storage)'!F556/100+'Calc (ex-animal)'!$H$104*(1-'DB additional information '!$L$22/100)*(1-VLOOKUP(D556,'DB technologies'!$N$266:$Y$278,8,FALSE)/100)*'Calc (ex-housing, ex-storage)'!F556/100))/VLOOKUP($C$553,'DB animal categories'!$C$201:$AC$210,27,FALSE)*AJ556+M556+N556+O556,IF(AI556=1,('Calc (ex-animal)'!$H$104*(1-'DB additional information '!$L$22/100)*(1-VLOOKUP(D556,'DB technologies'!$N$266:$Y$278,8,FALSE)/100)*'Calc (ex-housing, ex-storage)'!F556/100)/VLOOKUP($C$553,'DB animal categories'!$C$201:$AC$210,27,FALSE)*AJ556,IF(AI556=4,('Calc (ex-animal)'!$G$104*(1-'DB additional information '!$K$22/100)+'Calc (ex-animal)'!$H$104*(1-'DB additional information '!$L$22/100))*(1-VLOOKUP(D556,'DB technologies'!$N$266:$Y$278,8,FALSE)/100)*'Calc (ex-housing, ex-storage)'!F556/100*VLOOKUP(D556,'DB technologies'!$N$266:$Y$278,11,FALSE)/100/VLOOKUP($C$553,'DB animal categories'!$C$201:$AC$210,27,FALSE)*AJ556,0))))</f>
        <v/>
      </c>
      <c r="AN556" s="442" t="str">
        <f>IF(AI556="","",IF(AL556=0,0,AL556/AK556*100))</f>
        <v/>
      </c>
      <c r="AO556" s="182" t="str">
        <f>IF(D556="","",IF(AI556=2,(('Calc (ex-animal)'!$L$104*'Calc (ex-housing, ex-storage)'!F556/100+'Calc (ex-animal)'!$K$104*'Calc (ex-housing, ex-storage)'!F556/100))/VLOOKUP($C$553,'DB animal categories'!$C$201:$AC$210,27,FALSE)*AJ556+Q556+R556+S556-AC556,IF(AI556=1,('Calc (ex-animal)'!$L$104*'Calc (ex-housing, ex-storage)'!F556/100)/VLOOKUP($C$553,'DB animal categories'!$C$201:$AC$210,27,FALSE)*AJ556-'Calc (ex-housing, ex-storage)'!AC556,IF(AI556=4,('Calc (ex-animal)'!$L$104+'Calc (ex-animal)'!$K$104)*'Calc (ex-housing, ex-storage)'!F556/100*VLOOKUP(D556,'DB technologies'!$N$266:$Y$278,11,FALSE)/100/VLOOKUP($C$553,'DB animal categories'!$C$201:$AC$210,27,FALSE)*AJ556-AC556*VLOOKUP(D556,'DB technologies'!$N$266:$Y$278,11,FALSE)/100,0))))</f>
        <v/>
      </c>
      <c r="AP556" s="182" t="str">
        <f>IF(D556="","",IF(AO556&lt;-0.01,0,IF(AI556=2,(('Calc (ex-animal)'!$L$104*'Calc (ex-housing, ex-storage)'!F556/100+'Calc (ex-animal)'!$K$104*'Calc (ex-housing, ex-storage)'!F556/100))/VLOOKUP($C$553,'DB animal categories'!$C$201:$AC$210,27,FALSE)*AJ556+Q556+R556+S556-AC556,IF(AI556=1,('Calc (ex-animal)'!$L$104*'Calc (ex-housing, ex-storage)'!F556/100)/VLOOKUP($C$553,'DB animal categories'!$C$201:$AC$210,27,FALSE)*AJ556-'Calc (ex-housing, ex-storage)'!AC556,IF(AI556=4,('Calc (ex-animal)'!$L$104+'Calc (ex-animal)'!$K$104)*'Calc (ex-housing, ex-storage)'!F556/100*VLOOKUP(D556,'DB technologies'!$N$266:$Y$278,11,FALSE)/100/VLOOKUP($C$553,'DB animal categories'!$C$201:$AC$210,27,FALSE)*AJ556-AC556*VLOOKUP(D556,'DB technologies'!$N$266:$Y$278,11,FALSE)/100,0)))))</f>
        <v/>
      </c>
      <c r="AQ556" s="182" t="str">
        <f>IF(D556="","",IF(AI556=2,('Calc (ex-animal)'!$O$104*'Calc (ex-housing, ex-storage)'!F556/100+'Calc (ex-animal)'!$N$104*'Calc (ex-housing, ex-storage)'!F556/100)/VLOOKUP($C$553,'DB animal categories'!$C$201:$AC$210,27,FALSE)*AJ556+U556+V556+W556,IF(AI556=1,'Calc (ex-animal)'!$O$104*'Calc (ex-housing, ex-storage)'!F556/100/VLOOKUP($C$553,'DB animal categories'!$C$201:$AC$210,27,FALSE)*AJ556,IF(AI556=4,('Calc (ex-animal)'!$O$104+'Calc (ex-animal)'!$N$104)*'Calc (ex-housing, ex-storage)'!F556/100*VLOOKUP(D556,'DB technologies'!$N$266:$Y$278,11,FALSE)/100/VLOOKUP($C$553,'DB animal categories'!$C$201:$AC$210,27,FALSE)*AJ556,0))))</f>
        <v/>
      </c>
      <c r="AR556" s="182" t="str">
        <f>IF(D556="","",IF(AI556=2,('Calc (ex-animal)'!$R$104*'Calc (ex-housing, ex-storage)'!F556/100+'Calc (ex-animal)'!$Q$104*'Calc (ex-housing, ex-storage)'!F556/100)/VLOOKUP($C$553,'DB animal categories'!$C$201:$AC$210,27,FALSE)*AJ556+Y556+Z556+AA556,IF(AI556=1,'Calc (ex-animal)'!$R$104*'Calc (ex-housing, ex-storage)'!F556/100/VLOOKUP($C$553,'DB animal categories'!$C$201:$AC$210,27,FALSE)*AJ556,IF(AI556=4,('Calc (ex-animal)'!$R$104+'Calc (ex-animal)'!$Q$104)*'Calc (ex-housing, ex-storage)'!F556/100*VLOOKUP(D556,'DB technologies'!$N$266:$Y$278,11,FALSE)/100/VLOOKUP($C$553,'DB animal categories'!$C$201:$AC$210,27,FALSE)*AJ556,0))))</f>
        <v/>
      </c>
      <c r="AS556" s="181" t="str">
        <f>IF(D556="","",VLOOKUP(D556,'DB technologies'!$N$266:$Y$278,10,FALSE))</f>
        <v/>
      </c>
      <c r="AT556" s="442" t="str">
        <f>IF(AS556="","",AU556+AV556)</f>
        <v/>
      </c>
      <c r="AU556" s="442" t="str">
        <f>IF(D556="","",IF(AS556=2,0,IF(AS556=1,'Calc (ex-animal)'!$G$104*'DB additional information '!$K$22/100*(1-VLOOKUP(D556,'DB technologies'!$N$266:$Y$278,8,FALSE)/100)*'Calc (ex-housing, ex-storage)'!F556/100/VLOOKUP($C$553,'DB animal categories'!$C$201:$AC$210,27,FALSE)*AJ556+I556+J556+K556,IF(AS556=5,(('Calc (ex-animal)'!$G$104*'DB additional information '!$K$22/100+'Calc (ex-animal)'!$H$104*'DB additional information '!$L$22/100))*(1-VLOOKUP(D556,'DB technologies'!$N$266:$Y$278,9,FALSE)/100)*'Calc (ex-housing, ex-storage)'!F556/100/VLOOKUP($C$553,'DB animal categories'!$C$201:$AC$210,27,FALSE)*AJ556+I556+J556+K556,IF(AS556=3,('Calc (ex-animal)'!$G$104*'DB additional information '!$K$22/100+'Calc (ex-animal)'!$H$104*'DB additional information '!$L$22/100)*(1-VLOOKUP(D556,'DB technologies'!$N$266:$Y$278,9,FALSE)/100)*'Calc (ex-housing, ex-storage)'!F556/100/VLOOKUP($C$553,'DB animal categories'!$C$201:$AC$210,27,FALSE)*AJ556+I556+J556+K556,IF(AS556=4,('Calc (ex-animal)'!$G$104*'DB additional information '!$K$22/100+'Calc (ex-animal)'!$H$104*'DB additional information '!$L$22/100)*(1-VLOOKUP(D556,'DB technologies'!$N$266:$Y$278,9,FALSE)/100)*'Calc (ex-housing, ex-storage)'!F556/100*VLOOKUP(D556,'DB technologies'!$N$266:$Y$278,12,FALSE)/100/VLOOKUP($C$553,'DB animal categories'!$C$201:$AC$210,27,FALSE)*AJ556+I556+J556+K556,0))))))</f>
        <v/>
      </c>
      <c r="AV556" s="442" t="str">
        <f>IF(D556="","",IF(AS556=2,0,IF(AS556=1,'Calc (ex-animal)'!$G$104*(1-'DB additional information '!$K$22/100)*(1-VLOOKUP(D556,'DB technologies'!$N$266:$Y$278,8,FALSE)/100)*'Calc (ex-housing, ex-storage)'!F556/100/VLOOKUP($C$553,'DB animal categories'!$C$201:$AC$210,27,FALSE)*AJ556+M556+N556+O556,IF(AS556=5,('Calc (ex-animal)'!$G$104*(1-'DB additional information '!$K$22/100)+'Calc (ex-animal)'!$H$104*(1-'DB additional information '!$L$22/100))*(1-VLOOKUP(D556,'DB technologies'!$N$266:$Y$278,8,FALSE)/100)*'Calc (ex-housing, ex-storage)'!F556/100/VLOOKUP($C$553,'DB animal categories'!$C$201:$AC$210,27,FALSE)*AJ556+M556+N556+O556,IF(AS556=3,('Calc (ex-animal)'!$G$104*(1-'DB additional information '!$K$22/100)+'Calc (ex-animal)'!$H$104*(1-'DB additional information '!$L$22/100))*(1-VLOOKUP(D556,'DB technologies'!$N$266:$Y$278,8,FALSE)/100)*'Calc (ex-housing, ex-storage)'!F556/100/VLOOKUP($C$553,'DB animal categories'!$C$201:$AC$210,27,FALSE)*AJ556+M556+N556+O556,IF(AS556=4,('Calc (ex-animal)'!$G$104*(1-'DB additional information '!$K$22/100)+'Calc (ex-animal)'!$H$104*(1-'DB additional information '!$L$22/100))*(1-VLOOKUP(D556,'DB technologies'!$N$266:$Y$278,8,FALSE)/100)*'Calc (ex-housing, ex-storage)'!F556/100*VLOOKUP(D556,'DB technologies'!$N$266:$Y$278,12,FALSE)/100/VLOOKUP($C$553,'DB animal categories'!$C$201:$AC$210,27,FALSE)*AJ556+M556+N556+O556,0))))))</f>
        <v/>
      </c>
      <c r="AW556" s="442" t="str">
        <f>IF(AS556="","",IF(AU556=0,0,AU556/AT556*100))</f>
        <v/>
      </c>
      <c r="AX556" s="182" t="str">
        <f>IF(D556="","",IF(AS556=2,0,IF(AS556=1,'Calc (ex-animal)'!$K$104*'Calc (ex-housing, ex-storage)'!F556/100/VLOOKUP($C$553,'DB animal categories'!$C$201:$AC$210,27,FALSE)*AJ556+Q556+R556+S556,IF(AS556=5,('Calc (ex-animal)'!$K$104+'Calc (ex-animal)'!$L$104)*'Calc (ex-housing, ex-storage)'!F556/100/VLOOKUP($C$553,'DB animal categories'!$C$201:$AC$210,27,FALSE)*AJ556+Q556+R556+S556-'Calc (ex-housing, ex-storage)'!AC556,IF(AS556=3,('Calc (ex-animal)'!$K$104+'Calc (ex-animal)'!$L$104)*'Calc (ex-housing, ex-storage)'!F556/100/VLOOKUP($C$553,'DB animal categories'!$C$201:$AC$210,27,FALSE)*AJ556+Q556+R556+S556-'Calc (ex-housing, ex-storage)'!AC556-AD556-AE556,IF(AI556=4,('Calc (ex-animal)'!$K$104+'Calc (ex-animal)'!$L$104)*'Calc (ex-housing, ex-storage)'!F556/100*VLOOKUP(D556,'DB technologies'!$N$266:$Y$278,12,FALSE)/100/VLOOKUP($C$553,'DB animal categories'!$C$201:$AC$210,27,FALSE)*AJ556+Q556+R556+S556-(VLOOKUP(D556,'DB technologies'!$N$266:$Y$278,12,FALSE)/100*AC556)-AD556-AE556,0))))))</f>
        <v/>
      </c>
      <c r="AY556" s="182" t="str">
        <f>IF(D556="","",IF(AS556=2,0,IF(AS556=1,'Calc (ex-animal)'!$N$104*'Calc (ex-housing, ex-storage)'!F556/100/VLOOKUP($C$553,'DB animal categories'!$C$201:$AC$210,27,FALSE)*AJ556+U556+V556+W556,IF(AS556=5,('Calc (ex-animal)'!$N$104+'Calc (ex-animal)'!$O$104)*'Calc (ex-housing, ex-storage)'!F556/100/VLOOKUP($C$553,'DB animal categories'!$C$201:$AC$210,27,FALSE)*AJ556+U556+V556+W556,IF(AS556=3,('Calc (ex-animal)'!$N$104+'Calc (ex-animal)'!$O$104)*'Calc (ex-housing, ex-storage)'!F556/100/VLOOKUP($C$553,'DB animal categories'!$C$201:$AC$210,27,FALSE)*AJ556+U556+V556+W556,IF(AS556=4,('Calc (ex-animal)'!$N$104+'Calc (ex-animal)'!$O$104)*'Calc (ex-housing, ex-storage)'!F556/100*VLOOKUP(D556,'DB technologies'!$N$266:$Y$278,12,FALSE)/100/VLOOKUP($C$553,'DB animal categories'!$C$201:$AC$210,27,FALSE)*AJ556+U556+V556+W556,0))))))</f>
        <v/>
      </c>
      <c r="AZ556" s="182" t="str">
        <f>IF(D556="","",IF(AS556=2,0,IF(AS556=1,'Calc (ex-animal)'!$Q$104*'Calc (ex-housing, ex-storage)'!F556/100/VLOOKUP($C$553,'DB animal categories'!$C$201:$AC$210,27,FALSE)*AJ556+Y556+Z556+AA556,IF(AS556=5,('Calc (ex-animal)'!$Q$104+'Calc (ex-animal)'!$R$104)*'Calc (ex-housing, ex-storage)'!F556/100/VLOOKUP($C$553,'DB animal categories'!$C$201:$AC$210,27,FALSE)*AJ556+Y556+Z556+AA556,IF(AS556=3,('Calc (ex-animal)'!$Q$104+'Calc (ex-animal)'!$R$104)*'Calc (ex-housing, ex-storage)'!F556/100/VLOOKUP($C$553,'DB animal categories'!$C$201:$AC$210,27,FALSE)*AJ556+Y556+Z556+AA556,IF(AS556=4,('Calc (ex-animal)'!$Q$104+'Calc (ex-animal)'!$R$104)*'Calc (ex-housing, ex-storage)'!F556/100*VLOOKUP(D556,'DB technologies'!$N$266:$Y$278,12,FALSE)/100/VLOOKUP($C$553,'DB animal categories'!$C$201:$AC$210,27,FALSE)*AJ556+Y556+Z556+AA556,0))))))</f>
        <v/>
      </c>
      <c r="BA556" s="506"/>
      <c r="BB556" s="506"/>
      <c r="BC556" s="506"/>
    </row>
    <row r="557" spans="1:55" ht="12" thickBot="1" x14ac:dyDescent="0.25">
      <c r="A557" s="748"/>
      <c r="B557" s="695"/>
      <c r="C557" s="251"/>
      <c r="D557" s="1359"/>
      <c r="E557" s="1360"/>
      <c r="F557" s="481" t="str">
        <f>IF('Calc (ex-animal)'!$F$103=1,"",IF($C$553=0,"",IF(D557="","",E557/'Calc (ex-animal)'!$E$104*100)))</f>
        <v/>
      </c>
      <c r="G557" s="483" t="str">
        <f>IF($C$553=0,"",IF('Calc (ex-animal)'!$F$103=1,"",IF(D557="","",SUM(H557:O557))))</f>
        <v/>
      </c>
      <c r="H557" s="445" t="str">
        <f>IF('Calc (ex-animal)'!$F$103=1,"",IF(D557="","",(((VLOOKUP($C$553,'Calc (ex-animal)'!$D$103:$Y$107,6,FALSE)-VLOOKUP($C$553,'Calc (ex-animal)'!$D$103:$Y$107,17,FALSE))*F557/100))*VLOOKUP($C$553,'Calc (ex-animal)'!$D$103:$Y$107,7,FALSE)/100*(1-VLOOKUP(D557,'DB technologies'!$N$266:$Y$278,9,FALSE)/100)))</f>
        <v/>
      </c>
      <c r="I557" s="445" t="str">
        <f>IF(D557="","",((VLOOKUP(D557,'DB technologies'!$N$266:$Y$278,2,FALSE)*VLOOKUP($C$553,'DB animal categories'!$C$201:$AC$210,27,FALSE)*E557/1000)/VLOOKUP($C$553,'DB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'!$S$6/100*(1-VLOOKUP(D557,'DB technologies'!$N$266:$Y$278,9,FALSE)/100)))</f>
        <v/>
      </c>
      <c r="J557" s="446" t="str">
        <f>IF(D557="","",((VLOOKUP(D557,'DB technologies'!$N$266:$Y$278,3,FALSE)*VLOOKUP($C$553,'DB animal categories'!$C$201:$AC$210,27,FALSE)*E557/1000)/VLOOKUP($C$553,'DB animal categories'!$C$201:$AC$210,27,FALSE)*(VLOOKUP($C$553,'DB animal categories'!$C$201:$AC$210,27,FALSE)-(VLOOKUP($C$553,'DB animal categories'!$C$201:$AC$210,25,FALSE)*VLOOKUP($C$553,'DB animal categories'!$C$201:$AC$210,26,FALSE)/24))*'DB additional information '!$S$7/100*(1-VLOOKUP(D557,'DB technologies'!$N$266:$Y$278,9,FALSE)/100)))</f>
        <v/>
      </c>
      <c r="K557" s="446" t="str">
        <f>IF(D557="","",((VLOOKUP(D557,'DB technologies'!$N$266:$Y$278,4,FALSE)*E557*'DB additional information '!$S$8/100*(1-VLOOKUP(D557,'DB technologies'!$N$266:$Y$278,9,FALSE)/100))/VLOOKUP($C$553,'DB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L557" s="445" t="str">
        <f>IF('Calc (ex-animal)'!$F$103=1,"",IF(D557="","",(((VLOOKUP($C$553,'Calc (ex-animal)'!$D$103:$Y$107,6,FALSE)-VLOOKUP($C$553,'Calc (ex-animal)'!$D$103:$Y$107,17,FALSE))*F557/100))*(1-VLOOKUP($C$553,'Calc (ex-animal)'!$D$103:$Y$107,7,FALSE)/100)*(1-VLOOKUP(D557,'DB technologies'!$N$266:$V$278,8,FALSE)/100)))</f>
        <v/>
      </c>
      <c r="M557" s="446" t="str">
        <f>IF(D557="","",((VLOOKUP(D557,'DB technologies'!$N$266:$Y$278,2,FALSE)*VLOOKUP($C$553,'DB animal categories'!$C$201:$AC$210,27,FALSE)*E557/1000)/VLOOKUP($C$553,'DB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'!$S$6/100)*(1-VLOOKUP(D557,'DB technologies'!$N$266:$Y$278,9,FALSE)/100))</f>
        <v/>
      </c>
      <c r="N557" s="446" t="str">
        <f>IF(D557="","",((VLOOKUP(D557,'DB technologies'!$N$266:$Y$278,3,FALSE)*VLOOKUP($C$553,'DB animal categories'!$C$201:$AC$210,27,FALSE)*E557/1000)/VLOOKUP($C$553,'DB animal categories'!$C$201:$AC$210,27,FALSE)*(VLOOKUP($C$553,'DB animal categories'!$C$201:$AC$210,27,FALSE)-VLOOKUP($C$553,'DB animal categories'!$C$201:$AC$210,25,FALSE)*VLOOKUP($C$553,'DB animal categories'!$C$201:$AC$210,26,FALSE)/24))*(1-'DB additional information '!$S$7/100)*(1-VLOOKUP(D557,'DB technologies'!$N$266:$Y$278,9,FALSE)/100))</f>
        <v/>
      </c>
      <c r="O557" s="445" t="str">
        <f>IF(D557="","",((VLOOKUP(D557,'DB technologies'!$N$266:$Y$278,4,FALSE)*E557*(1-'DB additional information '!$S$8/100)*(1-VLOOKUP(D557,'DB technologies'!$N$266:$Y$278,8,FALSE)/100))/VLOOKUP($C$553,'DB animal categories'!$C$201:$AC$210,27,FALSE)*(VLOOKUP($C$553,'DB animal categories'!$C$201:$AC$210,27,FALSE)-VLOOKUP($C$553,'DB animal categories'!$C$201:$AC$210,25,FALSE)*VLOOKUP($C$553,'DB animal categories'!$C$201:$AC$210,26,FALSE)/24)))</f>
        <v/>
      </c>
      <c r="P557" s="444" t="str">
        <f>IF(G557=0,0,IF(E557="","",IF(F557="","",IF($C$553=0,"",IF(D557="","",SUM(H557:K557)/G557*100)))))</f>
        <v/>
      </c>
      <c r="Q557" s="476" t="str">
        <f>IF(D557="","",(VLOOKUP(D557,'DB technologies'!$N$266:$Y$278,2,FALSE)*'DB additional information '!$S$6/100*'DB additional information '!$T$6*VLOOKUP($C$553,'DB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R557" s="476" t="str">
        <f>IF(D557="","",(VLOOKUP(D557,'DB technologies'!$N$266:$Y$278,3,FALSE)*'DB additional information '!$S$7/100*'DB additional information '!$T$7*VLOOKUP($C$553,'DB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S557" s="494" t="str">
        <f>IF(D557="","",(VLOOKUP(D557,'DB technologies'!$N$266:$Y$278,4,FALSE)*('DB additional information '!$S$8/100*'DB additional information '!$T$8*E557/1000/1000)))</f>
        <v/>
      </c>
      <c r="T557" s="266" t="str">
        <f>IF($C$553=0,"",IF('Calc (ex-animal)'!$F$103=1,"",IF(D557="","",((VLOOKUP($C$553,'Calc (ex-animal)'!$D$103:$Y$107,10,FALSE)-VLOOKUP($C$553,'Calc (ex-animal)'!$D$103:$Y$107,18,FALSE))*F557/100+Q557+R557+S557)-AC557-AD557-AE557)))</f>
        <v/>
      </c>
      <c r="U557" s="477" t="str">
        <f>IF(D557="","",(VLOOKUP(D557,'DB technologies'!$N$266:$Y$278,2,FALSE)*'DB additional information '!$S$6/100*'DB additional information '!$U$6*VLOOKUP($C$553,'DB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V557" s="433" t="str">
        <f>IF(D557="","",(VLOOKUP(D557,'DB technologies'!$N$266:$Y$278,3,FALSE)*'DB additional information '!$S$7/100*'DB additional information '!$U$7*VLOOKUP($C$553,'DB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W557" s="475" t="str">
        <f>IF(D557="","",(VLOOKUP(D557,'DB technologies'!$N$266:$Y$278,4,FALSE)*('DB additional information '!$S$8/100*'DB additional information '!$U$8*E557/1000/1000)))</f>
        <v/>
      </c>
      <c r="X557" s="267" t="str">
        <f>IF($C$553=0,"",IF('Calc (ex-animal)'!$F$103=1,"",IF(D557="","",((VLOOKUP($C$553,'Calc (ex-animal)'!$D$103:$Y$107,13,FALSE)-VLOOKUP($C$553,'Calc (ex-animal)'!$D$103:$Y$107,19,FALSE))*F557/100+U557+V557+W557))))</f>
        <v/>
      </c>
      <c r="Y557" s="433" t="str">
        <f>IF(D557="","",(VLOOKUP(D557,'DB technologies'!$N$266:$Y$278,2,FALSE)*'DB additional information '!$S$6/100*'DB additional information '!$V$6*VLOOKUP($C$553,'DB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Z557" s="433" t="str">
        <f>IF(D557="","",(VLOOKUP(D557,'DB technologies'!$N$266:$Y$278,3,FALSE)*'DB additional information '!$S$7/100*'DB additional information '!$V$7*VLOOKUP($C$553,'DB animal categories'!$C$201:$AC$210,27,FALSE)*E557/1000/1000)/VLOOKUP($C$553,'DB animal categories'!$C$201:$AC$210,27,FALSE)*(VLOOKUP($C$553,'DB animal categories'!$C$201:$AC$210,27,FALSE)-VLOOKUP($C$553,'DB animal categories'!$C$201:$AC$210,25,FALSE)*VLOOKUP($C$553,'DB animal categories'!$C$201:$AC$210,26,FALSE)/24))</f>
        <v/>
      </c>
      <c r="AA557" s="433" t="str">
        <f>IF(D557="","",(VLOOKUP(D557,'DB technologies'!$N$266:$Y$278,4,FALSE)*('DB additional information '!$S$8/100*'DB additional information '!$V$8*E557/1000/1000)))</f>
        <v/>
      </c>
      <c r="AB557" s="267" t="str">
        <f>IF($C$553=0,"",IF('Calc (ex-animal)'!$F$103=1,"",IF(D557="","",((VLOOKUP($C$553,'Calc (ex-animal)'!$D$103:$Y$107,16,FALSE)-VLOOKUP($C$553,'Calc (ex-animal)'!$D$103:$Y$107,20,FALSE))*F557/100+Y557+Z557+AA557))))</f>
        <v/>
      </c>
      <c r="AC557" s="267" t="str">
        <f>IF($C$553=0,"",IF('Calc (ex-animal)'!$F$103=1,"",IF(D557="","",VLOOKUP($C$553,'Calc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categories'!$C$201:$AC$210,26,FALSE)/24)*F557/100*VLOOKUP(D557,'DB technologies'!$N$266:$R$278,5,FALSE)/100)))</f>
        <v/>
      </c>
      <c r="AD557" s="267" t="str">
        <f>IF($C$553=0,"",IF('Calc (ex-animal)'!$F$103=1,"",IF(D557="","",VLOOKUP($C$553,'Calc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categories'!$C$201:$AC$210,26,FALSE)/24)*F557/100*VLOOKUP(D557,'DB technologies'!$N$266:$Y$278,6,FALSE)/100)))</f>
        <v/>
      </c>
      <c r="AE557" s="268" t="str">
        <f>IF($C$553=0,"",IF('Calc (ex-animal)'!$F$103=1,"",IF(D557="","",VLOOKUP($C$553,'Calc (ex-animal)'!$D$103:$Y$107,10,FALSE)/VLOOKUP($C$553,'DB animal categories'!$C$201:$AC$210,27,FALSE)*(VLOOKUP($C$553,'DB animal categories'!$C$201:$AC$210,27,FALSE)-VLOOKUP($C$553,'DB animal categories'!$C$201:$AC$210,25,FALSE)*VLOOKUP($C$553,'DB animal categories'!$C$201:$AC$210,26,FALSE)/24)*F557/100*VLOOKUP(D557,'DB technologies'!$N$266:$Y$278,7,FALSE)/100)))</f>
        <v/>
      </c>
      <c r="AI557" s="183" t="str">
        <f>IF(D557="","",VLOOKUP(D557,'DB technologies'!$N$266:$Y$278,10,FALSE))</f>
        <v/>
      </c>
      <c r="AJ557" s="451" t="e">
        <f>VLOOKUP($C$553,'DB animal categories'!$C$201:$AN$210,27,FALSE)-VLOOKUP($C$553,'DB animal categories'!$C$201:$AN$210,26,FALSE)*VLOOKUP($C$553,'DB animal categories'!$C$201:$AN$210,25,FALSE)/24</f>
        <v>#N/A</v>
      </c>
      <c r="AK557" s="452" t="str">
        <f>IF(AI557="","",AL557+AM557)</f>
        <v/>
      </c>
      <c r="AL557" s="452" t="str">
        <f>IF(D557="","",IF(AI557=2,(('Calc (ex-animal)'!$G$104*'DB additional information '!$K$22/100*(1-VLOOKUP(D557,'DB technologies'!$N$266:$Y$278,9,FALSE)/100)*'Calc (ex-housing, ex-storage)'!F557/100+'Calc (ex-animal)'!$H$104*'DB additional information '!$L$22/100*(1-VLOOKUP(D557,'DB technologies'!$N$266:$Y$278,9,FALSE)/100)*'Calc (ex-housing, ex-storage)'!F557/100))/VLOOKUP($C$553,'DB animal categories'!$C$201:$AC$210,27,FALSE)*AJ557+I557+J557+K557,IF(AI557=1,('Calc (ex-animal)'!$H$104*'DB additional information '!$L$22/100*(1-VLOOKUP(D557,'DB technologies'!$N$266:$Y$278,9,FALSE)/100)*'Calc (ex-housing, ex-storage)'!F557/100)/VLOOKUP($C$553,'DB animal categories'!$C$201:$AC$210,27,FALSE)*AJ557,IF(AI557=4,('Calc (ex-animal)'!$G$104*'DB additional information '!$K$22/100+'Calc (ex-animal)'!$H$104*'DB additional information '!$L$22/100)*(1-VLOOKUP(D557,'DB technologies'!$N$266:$Y$278,9,FALSE)/100)*'Calc (ex-housing, ex-storage)'!F557/100*VLOOKUP(D557,'DB technologies'!$N$266:$Y$278,11,FALSE)/100/VLOOKUP($C$553,'DB animal categories'!$C$201:$AC$210,27,FALSE)*AJ557,0))))</f>
        <v/>
      </c>
      <c r="AM557" s="452" t="str">
        <f>IF(D557="","",IF(AI557=2,(('Calc (ex-animal)'!$G$104*(1-'DB additional information '!$K$22/100)*(1-VLOOKUP(D557,'DB technologies'!$N$266:$Y$278,8,FALSE)/100)*'Calc (ex-housing, ex-storage)'!F557/100+'Calc (ex-animal)'!$H$104*(1-'DB additional information '!$L$22/100)*(1-VLOOKUP(D557,'DB technologies'!$N$266:$Y$278,8,FALSE)/100)*'Calc (ex-housing, ex-storage)'!F557/100))/VLOOKUP($C$553,'DB animal categories'!$C$201:$AC$210,27,FALSE)*AJ557+M557+N557+O557,IF(AI557=1,('Calc (ex-animal)'!$H$104*(1-'DB additional information '!$L$22/100)*(1-VLOOKUP(D557,'DB technologies'!$N$266:$Y$278,8,FALSE)/100)*'Calc (ex-housing, ex-storage)'!F557/100)/VLOOKUP($C$553,'DB animal categories'!$C$201:$AC$210,27,FALSE)*AJ557,IF(AI557=4,('Calc (ex-animal)'!$G$104*(1-'DB additional information '!$K$22/100)+'Calc (ex-animal)'!$H$104*(1-'DB additional information '!$L$22/100))*(1-VLOOKUP(D557,'DB technologies'!$N$266:$Y$278,8,FALSE)/100)*'Calc (ex-housing, ex-storage)'!F557/100*VLOOKUP(D557,'DB technologies'!$N$266:$Y$278,11,FALSE)/100/VLOOKUP($C$553,'DB animal categories'!$C$201:$AC$210,27,FALSE)*AJ557,0))))</f>
        <v/>
      </c>
      <c r="AN557" s="452" t="str">
        <f>IF(AI557="","",IF(AL557=0,0,AL557/AK557*100))</f>
        <v/>
      </c>
      <c r="AO557" s="184" t="str">
        <f>IF(D557="","",IF(AI557=2,(('Calc (ex-animal)'!$L$104*'Calc (ex-housing, ex-storage)'!F557/100+'Calc (ex-animal)'!$K$104*'Calc (ex-housing, ex-storage)'!F557/100))/VLOOKUP($C$553,'DB animal categories'!$C$201:$AC$210,27,FALSE)*AJ557+Q557+R557+S557-AC557,IF(AI557=1,('Calc (ex-animal)'!$L$104*'Calc (ex-housing, ex-storage)'!F557/100)/VLOOKUP($C$553,'DB animal categories'!$C$201:$AC$210,27,FALSE)*AJ557-'Calc (ex-housing, ex-storage)'!AC557,IF(AI557=4,('Calc (ex-animal)'!$L$104+'Calc (ex-animal)'!$K$104)*'Calc (ex-housing, ex-storage)'!F557/100*VLOOKUP(D557,'DB technologies'!$N$266:$Y$278,11,FALSE)/100/VLOOKUP($C$553,'DB animal categories'!$C$201:$AC$210,27,FALSE)*AJ557-AC557*VLOOKUP(D557,'DB technologies'!$N$266:$Y$278,11,FALSE)/100,0))))</f>
        <v/>
      </c>
      <c r="AP557" s="184" t="str">
        <f>IF(D557="","",IF(AO557&lt;-0.01,0,IF(AI557=2,(('Calc (ex-animal)'!$L$104*'Calc (ex-housing, ex-storage)'!F557/100+'Calc (ex-animal)'!$K$104*'Calc (ex-housing, ex-storage)'!F557/100))/VLOOKUP($C$553,'DB animal categories'!$C$201:$AC$210,27,FALSE)*AJ557+Q557+R557+S557-AC557,IF(AI557=1,('Calc (ex-animal)'!$L$104*'Calc (ex-housing, ex-storage)'!F557/100)/VLOOKUP($C$553,'DB animal categories'!$C$201:$AC$210,27,FALSE)*AJ557-'Calc (ex-housing, ex-storage)'!AC557,IF(AI557=4,('Calc (ex-animal)'!$L$104+'Calc (ex-animal)'!$K$104)*'Calc (ex-housing, ex-storage)'!F557/100*VLOOKUP(D557,'DB technologies'!$N$266:$Y$278,11,FALSE)/100/VLOOKUP($C$553,'DB animal categories'!$C$201:$AC$210,27,FALSE)*AJ557-AC557*VLOOKUP(D557,'DB technologies'!$N$266:$Y$278,11,FALSE)/100,0)))))</f>
        <v/>
      </c>
      <c r="AQ557" s="184" t="str">
        <f>IF(D557="","",IF(AI557=2,('Calc (ex-animal)'!$O$104*'Calc (ex-housing, ex-storage)'!F557/100+'Calc (ex-animal)'!$N$104*'Calc (ex-housing, ex-storage)'!F557/100)/VLOOKUP($C$553,'DB animal categories'!$C$201:$AC$210,27,FALSE)*AJ557+U557+V557+W557,IF(AI557=1,'Calc (ex-animal)'!$O$104*'Calc (ex-housing, ex-storage)'!F557/100/VLOOKUP($C$553,'DB animal categories'!$C$201:$AC$210,27,FALSE)*AJ557,IF(AI557=4,('Calc (ex-animal)'!$O$104+'Calc (ex-animal)'!$N$104)*'Calc (ex-housing, ex-storage)'!F557/100*VLOOKUP(D557,'DB technologies'!$N$266:$Y$278,11,FALSE)/100/VLOOKUP($C$553,'DB animal categories'!$C$201:$AC$210,27,FALSE)*AJ557,0))))</f>
        <v/>
      </c>
      <c r="AR557" s="184" t="str">
        <f>IF(D557="","",IF(AI557=2,('Calc (ex-animal)'!$R$104*'Calc (ex-housing, ex-storage)'!F557/100+'Calc (ex-animal)'!$Q$104*'Calc (ex-housing, ex-storage)'!F557/100)/VLOOKUP($C$553,'DB animal categories'!$C$201:$AC$210,27,FALSE)*AJ557+Y557+Z557+AA557,IF(AI557=1,'Calc (ex-animal)'!$R$104*'Calc (ex-housing, ex-storage)'!F557/100/VLOOKUP($C$553,'DB animal categories'!$C$201:$AC$210,27,FALSE)*AJ557,IF(AI557=4,('Calc (ex-animal)'!$R$104+'Calc (ex-animal)'!$Q$104)*'Calc (ex-housing, ex-storage)'!F557/100*VLOOKUP(D557,'DB technologies'!$N$266:$Y$278,11,FALSE)/100/VLOOKUP($C$553,'DB animal categories'!$C$201:$AC$210,27,FALSE)*AJ557,0))))</f>
        <v/>
      </c>
      <c r="AS557" s="183" t="str">
        <f>IF(D557="","",VLOOKUP(D557,'DB technologies'!$N$266:$Y$278,10,FALSE))</f>
        <v/>
      </c>
      <c r="AT557" s="452" t="str">
        <f>IF(AS557="","",AU557+AV557)</f>
        <v/>
      </c>
      <c r="AU557" s="452" t="str">
        <f>IF(D557="","",IF(AS557=2,0,IF(AS557=1,'Calc (ex-animal)'!$G$104*'DB additional information '!$K$22/100*(1-VLOOKUP(D557,'DB technologies'!$N$266:$Y$278,8,FALSE)/100)*'Calc (ex-housing, ex-storage)'!F557/100/VLOOKUP($C$553,'DB animal categories'!$C$201:$AC$210,27,FALSE)*AJ557+I557+J557+K557,IF(AS557=5,(('Calc (ex-animal)'!$G$104*'DB additional information '!$K$22/100+'Calc (ex-animal)'!$H$104*'DB additional information '!$L$22/100))*(1-VLOOKUP(D557,'DB technologies'!$N$266:$Y$278,9,FALSE)/100)*'Calc (ex-housing, ex-storage)'!F557/100/VLOOKUP($C$553,'DB animal categories'!$C$201:$AC$210,27,FALSE)*AJ557+I557+J557+K557,IF(AS557=3,('Calc (ex-animal)'!$G$104*'DB additional information '!$K$22/100+'Calc (ex-animal)'!$H$104*'DB additional information '!$L$22/100)*(1-VLOOKUP(D557,'DB technologies'!$N$266:$Y$278,9,FALSE)/100)*'Calc (ex-housing, ex-storage)'!F557/100/VLOOKUP($C$553,'DB animal categories'!$C$201:$AC$210,27,FALSE)*AJ557+I557+J557+K557,IF(AS557=4,('Calc (ex-animal)'!$G$104*'DB additional information '!$K$22/100+'Calc (ex-animal)'!$H$104*'DB additional information '!$L$22/100)*(1-VLOOKUP(D557,'DB technologies'!$N$266:$Y$278,9,FALSE)/100)*'Calc (ex-housing, ex-storage)'!F557/100*VLOOKUP(D557,'DB technologies'!$N$266:$Y$278,12,FALSE)/100/VLOOKUP($C$553,'DB animal categories'!$C$201:$AC$210,27,FALSE)*AJ557+I557+J557+K557,0))))))</f>
        <v/>
      </c>
      <c r="AV557" s="452" t="str">
        <f>IF(D557="","",IF(AS557=2,0,IF(AS557=1,'Calc (ex-animal)'!$G$104*(1-'DB additional information '!$K$22/100)*(1-VLOOKUP(D557,'DB technologies'!$N$266:$Y$278,8,FALSE)/100)*'Calc (ex-housing, ex-storage)'!F557/100/VLOOKUP($C$553,'DB animal categories'!$C$201:$AC$210,27,FALSE)*AJ557+M557+N557+O557,IF(AS557=5,('Calc (ex-animal)'!$G$104*(1-'DB additional information '!$K$22/100)+'Calc (ex-animal)'!$H$104*(1-'DB additional information '!$L$22/100))*(1-VLOOKUP(D557,'DB technologies'!$N$266:$Y$278,8,FALSE)/100)*'Calc (ex-housing, ex-storage)'!F557/100/VLOOKUP($C$553,'DB animal categories'!$C$201:$AC$210,27,FALSE)*AJ557+M557+N557+O557,IF(AS557=3,('Calc (ex-animal)'!$G$104*(1-'DB additional information '!$K$22/100)+'Calc (ex-animal)'!$H$104*(1-'DB additional information '!$L$22/100))*(1-VLOOKUP(D557,'DB technologies'!$N$266:$Y$278,8,FALSE)/100)*'Calc (ex-housing, ex-storage)'!F557/100/VLOOKUP($C$553,'DB animal categories'!$C$201:$AC$210,27,FALSE)*AJ557+M557+N557+O557,IF(AS557=4,('Calc (ex-animal)'!$G$104*(1-'DB additional information '!$K$22/100)+'Calc (ex-animal)'!$H$104*(1-'DB additional information '!$L$22/100))*(1-VLOOKUP(D557,'DB technologies'!$N$266:$Y$278,8,FALSE)/100)*'Calc (ex-housing, ex-storage)'!F557/100*VLOOKUP(D557,'DB technologies'!$N$266:$Y$278,12,FALSE)/100/VLOOKUP($C$553,'DB animal categories'!$C$201:$AC$210,27,FALSE)*AJ557+M557+N557+O557,0))))))</f>
        <v/>
      </c>
      <c r="AW557" s="452" t="str">
        <f>IF(AS557="","",IF(AU557=0,0,AU557/AT557*100))</f>
        <v/>
      </c>
      <c r="AX557" s="184" t="str">
        <f>IF(D557="","",IF(AS557=2,0,IF(AS557=1,'Calc (ex-animal)'!$K$104*'Calc (ex-housing, ex-storage)'!F557/100/VLOOKUP($C$553,'DB animal categories'!$C$201:$AC$210,27,FALSE)*AJ557+Q557+R557+S557,IF(AS557=5,('Calc (ex-animal)'!$K$104+'Calc (ex-animal)'!$L$104)*'Calc (ex-housing, ex-storage)'!F557/100/VLOOKUP($C$553,'DB animal categories'!$C$201:$AC$210,27,FALSE)*AJ557+Q557+R557+S557-'Calc (ex-housing, ex-storage)'!AC557,IF(AS557=3,('Calc (ex-animal)'!$K$104+'Calc (ex-animal)'!$L$104)*'Calc (ex-housing, ex-storage)'!F557/100/VLOOKUP($C$553,'DB animal categories'!$C$201:$AC$210,27,FALSE)*AJ557+Q557+R557+S557-'Calc (ex-housing, ex-storage)'!AC557-AD557-AE557,IF(AI557=4,('Calc (ex-animal)'!$K$104+'Calc (ex-animal)'!$L$104)*'Calc (ex-housing, ex-storage)'!F557/100*VLOOKUP(D557,'DB technologies'!$N$266:$Y$278,12,FALSE)/100/VLOOKUP($C$553,'DB animal categories'!$C$201:$AC$210,27,FALSE)*AJ557+Q557+R557+S557-(VLOOKUP(D557,'DB technologies'!$N$266:$Y$278,12,FALSE)/100*AC557)-AD557-AE557,0))))))</f>
        <v/>
      </c>
      <c r="AY557" s="184" t="str">
        <f>IF(D557="","",IF(AS557=2,0,IF(AS557=1,'Calc (ex-animal)'!$N$104*'Calc (ex-housing, ex-storage)'!F557/100/VLOOKUP($C$553,'DB animal categories'!$C$201:$AC$210,27,FALSE)*AJ557+U557+V557+W557,IF(AS557=5,('Calc (ex-animal)'!$N$104+'Calc (ex-animal)'!$O$104)*'Calc (ex-housing, ex-storage)'!F557/100/VLOOKUP($C$553,'DB animal categories'!$C$201:$AC$210,27,FALSE)*AJ557+U557+V557+W557,IF(AS557=3,('Calc (ex-animal)'!$N$104+'Calc (ex-animal)'!$O$104)*'Calc (ex-housing, ex-storage)'!F557/100/VLOOKUP($C$553,'DB animal categories'!$C$201:$AC$210,27,FALSE)*AJ557+U557+V557+W557,IF(AS557=4,('Calc (ex-animal)'!$N$104+'Calc (ex-animal)'!$O$104)*'Calc (ex-housing, ex-storage)'!F557/100*VLOOKUP(D557,'DB technologies'!$N$266:$Y$278,12,FALSE)/100/VLOOKUP($C$553,'DB animal categories'!$C$201:$AC$210,27,FALSE)*AJ557+U557+V557+W557,0))))))</f>
        <v/>
      </c>
      <c r="AZ557" s="184" t="str">
        <f>IF(D557="","",IF(AS557=2,0,IF(AS557=1,'Calc (ex-animal)'!$Q$104*'Calc (ex-housing, ex-storage)'!F557/100/VLOOKUP($C$553,'DB animal categories'!$C$201:$AC$210,27,FALSE)*AJ557+Y557+Z557+AA557,IF(AS557=5,('Calc (ex-animal)'!$Q$104+'Calc (ex-animal)'!$R$104)*'Calc (ex-housing, ex-storage)'!F557/100/VLOOKUP($C$553,'DB animal categories'!$C$201:$AC$210,27,FALSE)*AJ557+Y557+Z557+AA557,IF(AS557=3,('Calc (ex-animal)'!$Q$104+'Calc (ex-animal)'!$R$104)*'Calc (ex-housing, ex-storage)'!F557/100/VLOOKUP($C$553,'DB animal categories'!$C$201:$AC$210,27,FALSE)*AJ557+Y557+Z557+AA557,IF(AS557=4,('Calc (ex-animal)'!$Q$104+'Calc (ex-animal)'!$R$104)*'Calc (ex-housing, ex-storage)'!F557/100*VLOOKUP(D557,'DB technologies'!$N$266:$Y$278,12,FALSE)/100/VLOOKUP($C$553,'DB animal categories'!$C$201:$AC$210,27,FALSE)*AJ557+Y557+Z557+AA557,0))))))</f>
        <v/>
      </c>
      <c r="BA557" s="506"/>
      <c r="BB557" s="506"/>
      <c r="BC557" s="506"/>
    </row>
    <row r="558" spans="1:55" ht="12" thickBot="1" x14ac:dyDescent="0.25">
      <c r="A558" s="748"/>
      <c r="B558" s="695"/>
      <c r="C558" s="252"/>
      <c r="D558" s="269" t="s">
        <v>58</v>
      </c>
      <c r="E558" s="270">
        <f>IF(F558&lt;=100,SUM(E553:E557),"ERROR")</f>
        <v>0</v>
      </c>
      <c r="F558" s="284">
        <f>IF(SUM(F553:F557) &lt;=100,SUM(F553:F557),"ERROR, SUM&gt;100%")</f>
        <v>0</v>
      </c>
      <c r="G558" s="550">
        <f>IF('Calc (ex-animal)'!$F$103=1,"",SUM(G553:G557))</f>
        <v>0</v>
      </c>
      <c r="H558" s="418">
        <f>IF('Calc (ex-animal)'!$F$8=1,"",SUM(H553:H557))</f>
        <v>0</v>
      </c>
      <c r="I558" s="418">
        <f>IF('Calc (ex-animal)'!$F$8=1,"",SUM(I553:I557))</f>
        <v>0</v>
      </c>
      <c r="J558" s="418">
        <f>IF('Calc (ex-animal)'!$F$8=1,"",SUM(J553:J557))</f>
        <v>0</v>
      </c>
      <c r="K558" s="418">
        <f>IF('Calc (ex-animal)'!$F$8=1,"",SUM(K553:K557))</f>
        <v>0</v>
      </c>
      <c r="L558" s="418">
        <f>IF('Calc (ex-animal)'!$F$8=1,"",SUM(L553:L557))</f>
        <v>0</v>
      </c>
      <c r="M558" s="551"/>
      <c r="N558" s="551"/>
      <c r="O558" s="551"/>
      <c r="P558" s="552">
        <f>IF(G558=0,0,IF('Calc (ex-animal)'!$F$103=1,"",IF(D558="","",SUM(H558:K558)/G558*100)))</f>
        <v>0</v>
      </c>
      <c r="Q558" s="271"/>
      <c r="R558" s="271"/>
      <c r="S558" s="271"/>
      <c r="T558" s="278">
        <f>IF('Calc (ex-animal)'!$F$104=1,"",SUM(T553:T557))</f>
        <v>0</v>
      </c>
      <c r="U558" s="279"/>
      <c r="V558" s="279"/>
      <c r="W558" s="279"/>
      <c r="X558" s="279">
        <f>IF('Calc (ex-animal)'!$F$104=1,"",SUM(X553:X557))</f>
        <v>0</v>
      </c>
      <c r="Y558" s="279"/>
      <c r="Z558" s="279"/>
      <c r="AA558" s="279"/>
      <c r="AB558" s="279">
        <f>IF('Calc (ex-animal)'!$F$104=1,"",SUM(AB553:AB557))</f>
        <v>0</v>
      </c>
      <c r="AC558" s="279">
        <f>IF('Calc (ex-animal)'!$F$104=1,"",SUM(AC553:AC557))</f>
        <v>0</v>
      </c>
      <c r="AD558" s="279">
        <f>IF('Calc (ex-animal)'!$F$104=1,"",SUM(AD553:AD557))</f>
        <v>0</v>
      </c>
      <c r="AE558" s="280">
        <f>IF('Calc (ex-animal)'!$F$104=1,"",SUM(AE553:AE557))</f>
        <v>0</v>
      </c>
    </row>
    <row r="559" spans="1:55" x14ac:dyDescent="0.2">
      <c r="A559" s="748"/>
      <c r="B559" s="695"/>
      <c r="C559" s="250">
        <f>'Calc (ex-animal)'!D105</f>
        <v>0</v>
      </c>
      <c r="D559" s="1355"/>
      <c r="E559" s="1356"/>
      <c r="F559" s="479" t="str">
        <f>IF('Calc (ex-animal)'!$F$103=1,"",IF($C$559=0,"",IF(D559="","",E559/'Calc (ex-animal)'!$E$105*100)))</f>
        <v/>
      </c>
      <c r="G559" s="484" t="str">
        <f>IF($C$559=0,"",IF('Calc (ex-animal)'!$F$103=1,"",IF(D559="","",SUM(H559:O559))))</f>
        <v/>
      </c>
      <c r="H559" s="471" t="str">
        <f>IF('Calc (ex-animal)'!$F$103=1,"",IF(D559="","",(((VLOOKUP($C$559,'Calc (ex-animal)'!$D$103:$Y$107,6,FALSE)-VLOOKUP($C$559,'Calc (ex-animal)'!$D$103:$Y$107,17,FALSE))*F559/100))*VLOOKUP($C$559,'Calc (ex-animal)'!$D$103:$Y$107,7,FALSE)/100*(1-VLOOKUP(D559,'DB technologies'!$N$266:$Y$278,9,FALSE)/100)))</f>
        <v/>
      </c>
      <c r="I559" s="471" t="str">
        <f>IF(D559="","",((VLOOKUP(D559,'DB technologies'!$N$266:$Y$278,2,FALSE)*VLOOKUP($C$559,'DB animal categories'!$C$201:$AC$210,27,FALSE)*E559/1000)/VLOOKUP($C$559,'DB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'!$S$6/100*(1-VLOOKUP(D559,'DB technologies'!$N$266:$Y$278,9,FALSE)/100)))</f>
        <v/>
      </c>
      <c r="J559" s="472" t="str">
        <f>IF(D559="","",((VLOOKUP(D559,'DB technologies'!$N$266:$Y$278,3,FALSE)*VLOOKUP($C$559,'DB animal categories'!$C$201:$AC$210,27,FALSE)*E559/1000)/VLOOKUP($C$559,'DB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'!$S$7/100*(1-VLOOKUP(D559,'DB technologies'!$N$266:$Y$278,9,FALSE)/100)))</f>
        <v/>
      </c>
      <c r="K559" s="472" t="str">
        <f>IF(D559="","",((VLOOKUP(D559,'DB technologies'!$N$266:$Y$278,4,FALSE)*E559*'DB additional information '!$S$8/100*(1-VLOOKUP(D559,'DB technologies'!$N$266:$Y$278,9,FALSE)/100))/VLOOKUP($C$559,'DB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L559" s="471" t="str">
        <f>IF('Calc (ex-animal)'!$F$103=1,"",IF(D559="","",(((VLOOKUP($C$559,'Calc (ex-animal)'!$D$103:$Y$107,6,FALSE)-VLOOKUP($C$559,'Calc (ex-animal)'!$D$103:$Y$107,17,FALSE))*F559/100))*(1-VLOOKUP($C$559,'Calc (ex-animal)'!$D$103:$Y$107,7,FALSE)/100)*(1-VLOOKUP(D559,'DB technologies'!$N$266:$V$278,8,FALSE)/100)))</f>
        <v/>
      </c>
      <c r="M559" s="472" t="str">
        <f>IF(D559="","",((VLOOKUP(D559,'DB technologies'!$N$266:$Y$278,2,FALSE)*VLOOKUP($C$559,'DB animal categories'!$C$201:$AC$210,27,FALSE)*E559/1000)/VLOOKUP($C$559,'DB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'!$S$6/100)*(1-VLOOKUP(D559,'DB technologies'!$N$266:$Y$278,9,FALSE)/100))</f>
        <v/>
      </c>
      <c r="N559" s="472" t="str">
        <f>IF(D559="","",((VLOOKUP(D559,'DB technologies'!$N$266:$Y$278,3,FALSE)*VLOOKUP($C$559,'DB animal categories'!$C$201:$AC$210,27,FALSE)*E559/1000)/VLOOKUP($C$559,'DB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'!$S$7/100)*(1-VLOOKUP(D559,'DB technologies'!$N$266:$Y$278,9,FALSE)/100))</f>
        <v/>
      </c>
      <c r="O559" s="471" t="str">
        <f>IF(D559="","",((VLOOKUP(D559,'DB technologies'!$N$266:$Y$278,4,FALSE)*E559*(1-'DB additional information '!$S$8/100)*(1-VLOOKUP(D559,'DB technologies'!$N$266:$Y$278,8,FALSE)/100))/VLOOKUP($C$559,'DB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P559" s="443" t="str">
        <f>IF(G559=0,0,IF(E559="","",IF(F559="","",IF($C$559=0,"",IF(D559="","",SUM(H559:K559)/G559*100)))))</f>
        <v/>
      </c>
      <c r="Q559" s="473" t="str">
        <f>IF(D559="","",(VLOOKUP(D559,'DB technologies'!$N$266:$Y$278,2,FALSE)*'DB additional information '!$S$6/100*'DB additional information '!$T$6*VLOOKUP($C$559,'DB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R559" s="473" t="str">
        <f>IF(D559="","",(VLOOKUP(D559,'DB technologies'!$N$266:$Y$278,3,FALSE)*'DB additional information '!$S$7/100*'DB additional information '!$T$7*VLOOKUP($C$559,'DB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S559" s="490" t="str">
        <f>IF(D559="","",(VLOOKUP(D559,'DB technologies'!$N$266:$Y$278,4,FALSE)*('DB additional information '!$S$8/100*'DB additional information '!$T$8*E559/1000/1000)))</f>
        <v/>
      </c>
      <c r="T559" s="263" t="str">
        <f>IF($C$559=0,"",IF('Calc (ex-animal)'!$F$103=1,"",IF(D559="","",((VLOOKUP($C$559,'Calc (ex-animal)'!$D$103:$Y$107,10,FALSE)-VLOOKUP($C$559,'Calc (ex-animal)'!$D$103:$Y$107,18,FALSE))*F559/100+Q559+R559+S559)-AC559-AD559-AE559)))</f>
        <v/>
      </c>
      <c r="U559" s="474" t="str">
        <f>IF(D559="","",(VLOOKUP(D559,'DB technologies'!$N$266:$Y$278,2,FALSE)*'DB additional information '!$S$6/100*'DB additional information '!$U$6*VLOOKUP($C$559,'DB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V559" s="420" t="str">
        <f>IF(D559="","",(VLOOKUP(D559,'DB technologies'!$N$266:$Y$278,3,FALSE)*'DB additional information '!$S$7/100*'DB additional information '!$U$7*VLOOKUP($C$559,'DB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W559" s="415" t="str">
        <f>IF(D559="","",(VLOOKUP(D559,'DB technologies'!$N$266:$Y$278,4,FALSE)*('DB additional information '!$S$8/100*'DB additional information '!$U$8*E559/1000/1000)))</f>
        <v/>
      </c>
      <c r="X559" s="259" t="str">
        <f>IF($C$559=0,"",IF('Calc (ex-animal)'!$F$103=1,"",IF(D559="","",((VLOOKUP($C$559,'Calc (ex-animal)'!$D$103:$Y$107,13,FALSE)-VLOOKUP($C$559,'Calc (ex-animal)'!$D$103:$Y$107,19,FALSE))*F559/100+U559+V559+W559))))</f>
        <v/>
      </c>
      <c r="Y559" s="420" t="str">
        <f>IF(D559="","",(VLOOKUP(D559,'DB technologies'!$N$266:$Y$278,2,FALSE)*'DB additional information '!$S$6/100*'DB additional information '!$V$6*VLOOKUP($C$559,'DB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Z559" s="420" t="str">
        <f>IF(D559="","",(VLOOKUP(D559,'DB technologies'!$N$266:$Y$278,3,FALSE)*'DB additional information '!$S$7/100*'DB additional information '!$V$7*VLOOKUP($C$559,'DB animal categories'!$C$201:$AC$210,27,FALSE)*E559/1000/1000)/VLOOKUP($C$559,'DB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AA559" s="420" t="str">
        <f>IF(D559="","",(VLOOKUP(D559,'DB technologies'!$N$266:$Y$278,4,FALSE)*('DB additional information '!$S$8/100*'DB additional information '!$V$8*E559/1000/1000)))</f>
        <v/>
      </c>
      <c r="AB559" s="259" t="str">
        <f>IF($C$559=0,"",IF('Calc (ex-animal)'!$F$103=1,"",IF(D559="","",((VLOOKUP($C$559,'Calc (ex-animal)'!$D$103:$Y$107,16,FALSE)-VLOOKUP($C$559,'Calc (ex-animal)'!$D$103:$Y$107,20,FALSE))*F559/100+Y559+Z559+AA559))))</f>
        <v/>
      </c>
      <c r="AC559" s="259" t="str">
        <f>IF($C$559=0,"",IF('Calc (ex-animal)'!$F$103=1,"",IF(D559="","",VLOOKUP($C$559,'Calc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categories'!$C$201:$AC$210,26,FALSE)/24)*F559/100*VLOOKUP(D559,'DB technologies'!$N$266:$R$278,5,FALSE)/100)))</f>
        <v/>
      </c>
      <c r="AD559" s="259" t="str">
        <f>IF($C$559=0,"",IF('Calc (ex-animal)'!$F$103=1,"",IF(D559="","",VLOOKUP($C$559,'Calc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categories'!$C$201:$AC$210,26,FALSE)/24)*F559/100*VLOOKUP(D559,'DB technologies'!$N$266:$Y$278,6,FALSE)/100)))</f>
        <v/>
      </c>
      <c r="AE559" s="260" t="str">
        <f>IF($C$559=0,"",IF('Calc (ex-animal)'!$F$103=1,"",IF(D559="","",VLOOKUP($C$559,'Calc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categories'!$C$201:$AC$210,26,FALSE)/24)*F559/100*VLOOKUP(D559,'DB technologies'!$N$266:$Y$278,7,FALSE)/100)))</f>
        <v/>
      </c>
      <c r="AI559" s="179" t="str">
        <f>IF(D559="","",VLOOKUP(D559,'DB technologies'!$N$266:$Y$278,10,FALSE))</f>
        <v/>
      </c>
      <c r="AJ559" s="482" t="e">
        <f>VLOOKUP($C$559,'DB animal categories'!$C$201:$AN$210,27,FALSE)-VLOOKUP($C$559,'DB animal categories'!$C$201:$AN$210,26,FALSE)*VLOOKUP($C$559,'DB animal categories'!$C$201:$AN$210,25,FALSE)/24</f>
        <v>#N/A</v>
      </c>
      <c r="AK559" s="453" t="str">
        <f>IF(AI559="","",AL559+AM559)</f>
        <v/>
      </c>
      <c r="AL559" s="453" t="str">
        <f>IF(D559="","",IF(AI559=2,(('Calc (ex-animal)'!$G$105*'DB additional information '!$K$22/100*(1-VLOOKUP(D559,'DB technologies'!$N$266:$Y$278,9,FALSE)/100)*'Calc (ex-housing, ex-storage)'!F559/100+'Calc (ex-animal)'!$H$105*'DB additional information '!$L$22/100*(1-VLOOKUP(D559,'DB technologies'!$N$266:$Y$278,9,FALSE)/100)*'Calc (ex-housing, ex-storage)'!F559/100))/VLOOKUP($C$559,'DB animal categories'!$C$201:$AC$210,27,FALSE)*AJ559+I559+J559+K559,IF(AI559=1,('Calc (ex-animal)'!$H$105*'DB additional information '!$L$22/100*(1-VLOOKUP(D559,'DB technologies'!$N$266:$Y$278,9,FALSE)/100)*'Calc (ex-housing, ex-storage)'!F559/100)/VLOOKUP($C$559,'DB animal categories'!$C$201:$AC$210,27,FALSE)*AJ559,IF(AI559=4,('Calc (ex-animal)'!$G$105*'DB additional information '!$K$22/100+'Calc (ex-animal)'!$H$105*'DB additional information '!$L$22/100)*(1-VLOOKUP(D559,'DB technologies'!$N$266:$Y$278,9,FALSE)/100)*'Calc (ex-housing, ex-storage)'!F559/100*VLOOKUP(D559,'DB technologies'!$N$266:$Y$278,11,FALSE)/100/VLOOKUP($C$559,'DB animal categories'!$C$201:$AC$210,27,FALSE)*AJ559,0))))</f>
        <v/>
      </c>
      <c r="AM559" s="453" t="str">
        <f>IF(D559="","",IF(AI559=2,(('Calc (ex-animal)'!$G$105*(1-'DB additional information '!$K$22/100)*(1-VLOOKUP(D559,'DB technologies'!$N$266:$Y$278,8,FALSE)/100)*'Calc (ex-housing, ex-storage)'!F559/100+'Calc (ex-animal)'!$H$105*(1-'DB additional information '!$L$22/100)*(1-VLOOKUP(D559,'DB technologies'!$N$266:$Y$278,8,FALSE)/100)*'Calc (ex-housing, ex-storage)'!F559/100))/VLOOKUP($C$559,'DB animal categories'!$C$201:$AC$210,27,FALSE)*AJ559+M559+N559+O559,IF(AI559=1,('Calc (ex-animal)'!$H$105*(1-'DB additional information '!$L$22/100)*(1-VLOOKUP(D559,'DB technologies'!$N$266:$Y$278,8,FALSE)/100)*'Calc (ex-housing, ex-storage)'!F559/100)/VLOOKUP($C$559,'DB animal categories'!$C$201:$AC$210,27,FALSE)*AJ559,IF(AI559=4,('Calc (ex-animal)'!$G$105*(1-'DB additional information '!$K$22/100)+'Calc (ex-animal)'!$H$105*(1-'DB additional information '!$L$22/100))*(1-VLOOKUP(D559,'DB technologies'!$N$266:$Y$278,8,FALSE)/100)*'Calc (ex-housing, ex-storage)'!F559/100*VLOOKUP(D559,'DB technologies'!$N$266:$Y$278,11,FALSE)/100/VLOOKUP($C$559,'DB animal categories'!$C$201:$AC$210,27,FALSE)*AJ559,0))))</f>
        <v/>
      </c>
      <c r="AN559" s="453" t="str">
        <f>IF(AI559="","",IF(AL559=0,0,AL559/AK559*100))</f>
        <v/>
      </c>
      <c r="AO559" s="180" t="str">
        <f>IF(D559="","",IF(AI559=2,(('Calc (ex-animal)'!$L$105*'Calc (ex-housing, ex-storage)'!F559/100+'Calc (ex-animal)'!$K$105*'Calc (ex-housing, ex-storage)'!F559/100))/VLOOKUP($C$559,'DB animal categories'!$C$201:$AC$210,27,FALSE)*AJ559+Q559+R559+S559-AC559,IF(AI559=1,('Calc (ex-animal)'!$L$105*'Calc (ex-housing, ex-storage)'!F559/100)/VLOOKUP($C$559,'DB animal categories'!$C$201:$AC$210,27,FALSE)*AJ559-'Calc (ex-housing, ex-storage)'!AC559,IF(AI559=4,('Calc (ex-animal)'!$L$105+'Calc (ex-animal)'!$K$105)*'Calc (ex-housing, ex-storage)'!F559/100*VLOOKUP(D559,'DB technologies'!$N$266:$Y$278,11,FALSE)/100/VLOOKUP($C$559,'DB animal categories'!$C$201:$AC$210,27,FALSE)*AJ559-AC559*VLOOKUP(D559,'DB technologies'!$N$266:$Y$278,11,FALSE)/100,0))))</f>
        <v/>
      </c>
      <c r="AP559" s="180" t="str">
        <f>IF(D559="","",IF(AO559&lt;-0.01,0,IF(AI559=2,(('Calc (ex-animal)'!$L$105*'Calc (ex-housing, ex-storage)'!F559/100+'Calc (ex-animal)'!$K$105*'Calc (ex-housing, ex-storage)'!F559/100))/VLOOKUP($C$559,'DB animal categories'!$C$201:$AC$210,27,FALSE)*AJ559+Q559+R559+S559-AC559,IF(AI559=1,('Calc (ex-animal)'!$L$105*'Calc (ex-housing, ex-storage)'!F559/100)/VLOOKUP($C$559,'DB animal categories'!$C$201:$AC$210,27,FALSE)*AJ559-'Calc (ex-housing, ex-storage)'!AC559,IF(AI559=4,('Calc (ex-animal)'!$L$105+'Calc (ex-animal)'!$K$105)*'Calc (ex-housing, ex-storage)'!F559/100*VLOOKUP(D559,'DB technologies'!$N$266:$Y$278,11,FALSE)/100/VLOOKUP($C$559,'DB animal categories'!$C$201:$AC$210,27,FALSE)*AJ559-AC559*VLOOKUP(D559,'DB technologies'!$N$266:$Y$278,11,FALSE)/100,0)))))</f>
        <v/>
      </c>
      <c r="AQ559" s="180" t="str">
        <f>IF(D559="","",IF(AI559=2,('Calc (ex-animal)'!$O$105*'Calc (ex-housing, ex-storage)'!F559/100+'Calc (ex-animal)'!$N$105*'Calc (ex-housing, ex-storage)'!F559/100)/VLOOKUP($C$559,'DB animal categories'!$C$201:$AC$210,27,FALSE)*AJ559+U559+V559+W559,IF(AI559=1,'Calc (ex-animal)'!$O$105*'Calc (ex-housing, ex-storage)'!F559/100/VLOOKUP($C$559,'DB animal categories'!$C$201:$AC$210,27,FALSE)*AJ559,IF(AI559=4,('Calc (ex-animal)'!$O$105+'Calc (ex-animal)'!$N$105)*'Calc (ex-housing, ex-storage)'!F559/100*VLOOKUP(D559,'DB technologies'!$N$266:$Y$278,11,FALSE)/100/VLOOKUP($C$559,'DB animal categories'!$C$201:$AC$210,27,FALSE)*AJ559,0))))</f>
        <v/>
      </c>
      <c r="AR559" s="180" t="str">
        <f>IF(D559="","",IF(AI559=2,('Calc (ex-animal)'!$R$105*'Calc (ex-housing, ex-storage)'!F559/100+'Calc (ex-animal)'!$Q$105*'Calc (ex-housing, ex-storage)'!F559/100)/VLOOKUP($C$559,'DB animal categories'!$C$201:$AC$210,27,FALSE)*AJ559+Y559+Z559+AA559,IF(AI559=1,'Calc (ex-animal)'!$R$105*'Calc (ex-housing, ex-storage)'!F559/100/VLOOKUP($C$559,'DB animal categories'!$C$201:$AC$210,27,FALSE)*AJ559,IF(AI559=4,('Calc (ex-animal)'!$R$105+'Calc (ex-animal)'!$Q$105)*'Calc (ex-housing, ex-storage)'!F559/100*VLOOKUP(D559,'DB technologies'!$N$266:$Y$278,11,FALSE)/100/VLOOKUP($C$559,'DB animal categories'!$C$201:$AC$210,27,FALSE)*AJ559,0))))</f>
        <v/>
      </c>
      <c r="AS559" s="179" t="str">
        <f>IF(D559="","",VLOOKUP(D559,'DB technologies'!$N$266:$Y$278,10,FALSE))</f>
        <v/>
      </c>
      <c r="AT559" s="453" t="str">
        <f>IF(AS559="","",AU559+AV559)</f>
        <v/>
      </c>
      <c r="AU559" s="453" t="str">
        <f>IF(D559="","",IF(AS559=2,0,IF(AS559=1,'Calc (ex-animal)'!$G$105*'DB additional information '!$K$22/100*(1-VLOOKUP(D559,'DB technologies'!$N$266:$Y$278,8,FALSE)/100)*'Calc (ex-housing, ex-storage)'!F559/100/VLOOKUP($C$559,'DB animal categories'!$C$201:$AC$210,27,FALSE)*AJ559+I559+J559+K559,IF(AS559=5,(('Calc (ex-animal)'!$G$105*'DB additional information '!$K$22/100+'Calc (ex-animal)'!$H$105*'DB additional information '!$L$22/100))*(1-VLOOKUP(D559,'DB technologies'!$N$266:$Y$278,9,FALSE)/100)*'Calc (ex-housing, ex-storage)'!F559/100/VLOOKUP($C$559,'DB animal categories'!$C$201:$AC$210,27,FALSE)*AJ559+I559+J559+K559,IF(AS559=3,('Calc (ex-animal)'!$G$105*'DB additional information '!$K$22/100+'Calc (ex-animal)'!$H$105*'DB additional information '!$L$22/100)*(1-VLOOKUP(D559,'DB technologies'!$N$266:$Y$278,9,FALSE)/100)*'Calc (ex-housing, ex-storage)'!F559/100/VLOOKUP($C$559,'DB animal categories'!$C$201:$AC$210,27,FALSE)*AJ559+I559+J559+K559,IF(AS559=4,('Calc (ex-animal)'!$G$105*'DB additional information '!$K$22/100+'Calc (ex-animal)'!$H$105*'DB additional information '!$L$22/100)*(1-VLOOKUP(D559,'DB technologies'!$N$266:$Y$278,9,FALSE)/100)*'Calc (ex-housing, ex-storage)'!F559/100*VLOOKUP(D559,'DB technologies'!$N$266:$Y$278,12,FALSE)/100/VLOOKUP($C$559,'DB animal categories'!$C$201:$AC$210,27,FALSE)*AJ559+I559+J559+K559,0))))))</f>
        <v/>
      </c>
      <c r="AV559" s="453" t="str">
        <f>IF(D559="","",IF(AS559=2,0,IF(AS559=1,'Calc (ex-animal)'!$G$105*(1-'DB additional information '!$K$22/100)*(1-VLOOKUP(D559,'DB technologies'!$N$266:$Y$278,8,FALSE)/100)*'Calc (ex-housing, ex-storage)'!F559/100/VLOOKUP($C$559,'DB animal categories'!$C$201:$AC$210,27,FALSE)*AJ559+M559+N559+O559,IF(AS559=5,('Calc (ex-animal)'!$G$105*(1-'DB additional information '!$K$22/100)+'Calc (ex-animal)'!$H$105*(1-'DB additional information '!$L$22/100))*(1-VLOOKUP(D559,'DB technologies'!$N$266:$Y$278,8,FALSE)/100)*'Calc (ex-housing, ex-storage)'!F559/100/VLOOKUP($C$559,'DB animal categories'!$C$201:$AC$210,27,FALSE)*AJ559+M559+N559+O559,IF(AS559=3,('Calc (ex-animal)'!$G$105*(1-'DB additional information '!$K$22/100)+'Calc (ex-animal)'!$H$105*(1-'DB additional information '!$L$22/100))*(1-VLOOKUP(D559,'DB technologies'!$N$266:$Y$278,8,FALSE)/100)*'Calc (ex-housing, ex-storage)'!F559/100/VLOOKUP($C$559,'DB animal categories'!$C$201:$AC$210,27,FALSE)*AJ559+M559+N559+O559,IF(AS559=4,('Calc (ex-animal)'!$G$105*(1-'DB additional information '!$K$22/100)+'Calc (ex-animal)'!$H$105*(1-'DB additional information '!$L$22/100))*(1-VLOOKUP(D559,'DB technologies'!$N$266:$Y$278,8,FALSE)/100)*'Calc (ex-housing, ex-storage)'!F559/100*VLOOKUP(D559,'DB technologies'!$N$266:$Y$278,12,FALSE)/100/VLOOKUP($C$559,'DB animal categories'!$C$201:$AC$210,27,FALSE)*AJ559+M559+N559+O559,0))))))</f>
        <v/>
      </c>
      <c r="AW559" s="453" t="str">
        <f>IF(AS559="","",IF(AU559=0,0,AU559/AT559*100))</f>
        <v/>
      </c>
      <c r="AX559" s="180" t="str">
        <f>IF(D559="","",IF(AS559=2,0,IF(AS559=1,'Calc (ex-animal)'!$K$105*'Calc (ex-housing, ex-storage)'!F559/100/VLOOKUP($C$559,'DB animal categories'!$C$201:$AC$210,27,FALSE)*AJ559+Q559+R559+S559,IF(AS559=5,('Calc (ex-animal)'!$K$105+'Calc (ex-animal)'!$L$105)*'Calc (ex-housing, ex-storage)'!F559/100/VLOOKUP($C$559,'DB animal categories'!$C$201:$AC$210,27,FALSE)*AJ559+Q559+R559+S559-'Calc (ex-housing, ex-storage)'!AC559,IF(AS559=3,('Calc (ex-animal)'!$K$105+'Calc (ex-animal)'!$L$105)*'Calc (ex-housing, ex-storage)'!F559/100/VLOOKUP($C$559,'DB animal categories'!$C$201:$AC$210,27,FALSE)*AJ559+Q559+R559+S559-'Calc (ex-housing, ex-storage)'!AC559-AD559-AE559,IF(AI559=4,('Calc (ex-animal)'!$K$105+'Calc (ex-animal)'!$L$105)*'Calc (ex-housing, ex-storage)'!F559/100*VLOOKUP(D559,'DB technologies'!$N$266:$Y$278,12,FALSE)/100/VLOOKUP($C$559,'DB animal categories'!$C$201:$AC$210,27,FALSE)*AJ559+Q559+R559+S559-(VLOOKUP(D559,'DB technologies'!$N$266:$Y$278,12,FALSE)/100*AC559)-AD559-AE559,0))))))</f>
        <v/>
      </c>
      <c r="AY559" s="180" t="str">
        <f>IF(D559="","",IF(AS559=2,0,IF(AS559=1,'Calc (ex-animal)'!$N$105*'Calc (ex-housing, ex-storage)'!F559/100/VLOOKUP($C$559,'DB animal categories'!$C$201:$AC$210,27,FALSE)*AJ559+U559+V559+W559,IF(AS559=5,('Calc (ex-animal)'!$N$105+'Calc (ex-animal)'!$O$105)*'Calc (ex-housing, ex-storage)'!F559/100/VLOOKUP($C$559,'DB animal categories'!$C$201:$AC$210,27,FALSE)*AJ559+U559+V559+W559,IF(AS559=3,('Calc (ex-animal)'!$N$105+'Calc (ex-animal)'!$O$105)*'Calc (ex-housing, ex-storage)'!F559/100/VLOOKUP($C$559,'DB animal categories'!$C$201:$AC$210,27,FALSE)*AJ559+U559+V559+W559,IF(AS559=4,('Calc (ex-animal)'!$N$105+'Calc (ex-animal)'!$O$105)*'Calc (ex-housing, ex-storage)'!F559/100*VLOOKUP(D559,'DB technologies'!$N$266:$Y$278,12,FALSE)/100/VLOOKUP($C$559,'DB animal categories'!$C$201:$AC$210,27,FALSE)*AJ559+U559+V559+W559,0))))))</f>
        <v/>
      </c>
      <c r="AZ559" s="180" t="str">
        <f>IF(D559="","",IF(AS559=2,0,IF(AS559=1,'Calc (ex-animal)'!$Q$105*'Calc (ex-housing, ex-storage)'!F559/100/VLOOKUP($C$559,'DB animal categories'!$C$201:$AC$210,27,FALSE)*AJ559+Y559+Z559+AA559,IF(AS559=5,('Calc (ex-animal)'!$Q$105+'Calc (ex-animal)'!$R$105)*'Calc (ex-housing, ex-storage)'!F559/100/VLOOKUP($C$559,'DB animal categories'!$C$201:$AC$210,27,FALSE)*AJ559+Y559+Z559+AA559,IF(AS559=3,('Calc (ex-animal)'!$Q$105+'Calc (ex-animal)'!$R$105)*'Calc (ex-housing, ex-storage)'!F559/100/VLOOKUP($C$559,'DB animal categories'!$C$201:$AC$210,27,FALSE)*AJ559+Y559+Z559+AA559,IF(AS559=4,('Calc (ex-animal)'!$Q$105+'Calc (ex-animal)'!$R$105)*'Calc (ex-housing, ex-storage)'!F559/100*VLOOKUP(D559,'DB technologies'!$N$266:$Y$278,12,FALSE)/100/VLOOKUP($C$559,'DB animal categories'!$C$201:$AC$210,27,FALSE)*AJ559+Y559+Z559+AA559,0))))))</f>
        <v/>
      </c>
      <c r="BA559" s="506"/>
      <c r="BB559" s="506"/>
      <c r="BC559" s="506"/>
    </row>
    <row r="560" spans="1:55" x14ac:dyDescent="0.2">
      <c r="A560" s="748"/>
      <c r="B560" s="695"/>
      <c r="C560" s="251"/>
      <c r="D560" s="1357"/>
      <c r="E560" s="1358"/>
      <c r="F560" s="480" t="str">
        <f>IF('Calc (ex-animal)'!$F$103=1,"",IF($C$559=0,"",IF(D560="","",E560/'Calc (ex-animal)'!$E$105*100)))</f>
        <v/>
      </c>
      <c r="G560" s="485" t="str">
        <f>IF($C$559=0,"",IF('Calc (ex-animal)'!$F$103=1,"",IF(D560="","",SUM(H560:O560))))</f>
        <v/>
      </c>
      <c r="H560" s="423" t="str">
        <f>IF('Calc (ex-animal)'!$F$103=1,"",IF(D560="","",(((VLOOKUP($C$559,'Calc (ex-animal)'!$D$103:$Y$107,6,FALSE)-VLOOKUP($C$559,'Calc (ex-animal)'!$D$103:$Y$107,17,FALSE))*F560/100))*VLOOKUP($C$559,'Calc (ex-animal)'!$D$103:$Y$107,7,FALSE)/100*(1-VLOOKUP(D560,'DB technologies'!$N$266:$Y$278,9,FALSE)/100)))</f>
        <v/>
      </c>
      <c r="I560" s="423" t="str">
        <f>IF(D560="","",((VLOOKUP(D560,'DB technologies'!$N$266:$Y$278,2,FALSE)*VLOOKUP($C$559,'DB animal categories'!$C$201:$AC$210,27,FALSE)*E560/1000)/VLOOKUP($C$559,'DB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'!$S$6/100*(1-VLOOKUP(D560,'DB technologies'!$N$266:$Y$278,9,FALSE)/100)))</f>
        <v/>
      </c>
      <c r="J560" s="434" t="str">
        <f>IF(D560="","",((VLOOKUP(D560,'DB technologies'!$N$266:$Y$278,3,FALSE)*VLOOKUP($C$559,'DB animal categories'!$C$201:$AC$210,27,FALSE)*E560/1000)/VLOOKUP($C$559,'DB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'!$S$7/100*(1-VLOOKUP(D560,'DB technologies'!$N$266:$Y$278,9,FALSE)/100)))</f>
        <v/>
      </c>
      <c r="K560" s="434" t="str">
        <f>IF(D560="","",((VLOOKUP(D560,'DB technologies'!$N$266:$Y$278,4,FALSE)*E560*'DB additional information '!$S$8/100*(1-VLOOKUP(D560,'DB technologies'!$N$266:$Y$278,9,FALSE)/100))/VLOOKUP($C$559,'DB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L560" s="423" t="str">
        <f>IF('Calc (ex-animal)'!$F$103=1,"",IF(D560="","",(((VLOOKUP($C$559,'Calc (ex-animal)'!$D$103:$Y$107,6,FALSE)-VLOOKUP($C$559,'Calc (ex-animal)'!$D$103:$Y$107,17,FALSE))*F560/100))*(1-VLOOKUP($C$559,'Calc (ex-animal)'!$D$103:$Y$107,7,FALSE)/100)*(1-VLOOKUP(D560,'DB technologies'!$N$266:$V$278,8,FALSE)/100)))</f>
        <v/>
      </c>
      <c r="M560" s="434" t="str">
        <f>IF(D560="","",((VLOOKUP(D560,'DB technologies'!$N$266:$Y$278,2,FALSE)*VLOOKUP($C$559,'DB animal categories'!$C$201:$AC$210,27,FALSE)*E560/1000)/VLOOKUP($C$559,'DB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'!$S$6/100)*(1-VLOOKUP(D560,'DB technologies'!$N$266:$Y$278,9,FALSE)/100))</f>
        <v/>
      </c>
      <c r="N560" s="434" t="str">
        <f>IF(D560="","",((VLOOKUP(D560,'DB technologies'!$N$266:$Y$278,3,FALSE)*VLOOKUP($C$559,'DB animal categories'!$C$201:$AC$210,27,FALSE)*E560/1000)/VLOOKUP($C$559,'DB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'!$S$7/100)*(1-VLOOKUP(D560,'DB technologies'!$N$266:$Y$278,9,FALSE)/100))</f>
        <v/>
      </c>
      <c r="O560" s="423" t="str">
        <f>IF(D560="","",((VLOOKUP(D560,'DB technologies'!$N$266:$Y$278,4,FALSE)*E560*(1-'DB additional information '!$S$8/100)*(1-VLOOKUP(D560,'DB technologies'!$N$266:$Y$278,8,FALSE)/100))/VLOOKUP($C$559,'DB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P560" s="438" t="str">
        <f>IF(G560=0,0,IF(E560="","",IF(F560="","",IF($C$559=0,"",IF(D560="","",SUM(H560:K560)/G560*100)))))</f>
        <v/>
      </c>
      <c r="Q560" s="416" t="str">
        <f>IF(D560="","",(VLOOKUP(D560,'DB technologies'!$N$266:$Y$278,2,FALSE)*'DB additional information '!$S$6/100*'DB additional information '!$T$6*VLOOKUP($C$559,'DB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R560" s="416" t="str">
        <f>IF(D560="","",(VLOOKUP(D560,'DB technologies'!$N$266:$Y$278,3,FALSE)*'DB additional information '!$S$7/100*'DB additional information '!$T$7*VLOOKUP($C$559,'DB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S560" s="491" t="str">
        <f>IF(D560="","",(VLOOKUP(D560,'DB technologies'!$N$266:$Y$278,4,FALSE)*('DB additional information '!$S$8/100*'DB additional information '!$T$8*E560/1000/1000)))</f>
        <v/>
      </c>
      <c r="T560" s="264" t="str">
        <f>IF($C$559=0,"",IF('Calc (ex-animal)'!$F$103=1,"",IF(D560="","",((VLOOKUP($C$559,'Calc (ex-animal)'!$D$103:$Y$107,10,FALSE)-VLOOKUP($C$559,'Calc (ex-animal)'!$D$103:$Y$107,18,FALSE))*F560/100+Q560+R560+S560)-AC560-AD560-AE560)))</f>
        <v/>
      </c>
      <c r="U560" s="422" t="str">
        <f>IF(D560="","",(VLOOKUP(D560,'DB technologies'!$N$266:$Y$278,2,FALSE)*'DB additional information '!$S$6/100*'DB additional information '!$U$6*VLOOKUP($C$559,'DB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V560" s="418" t="str">
        <f>IF(D560="","",(VLOOKUP(D560,'DB technologies'!$N$266:$Y$278,3,FALSE)*'DB additional information '!$S$7/100*'DB additional information '!$U$7*VLOOKUP($C$559,'DB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W560" s="417" t="str">
        <f>IF(D560="","",(VLOOKUP(D560,'DB technologies'!$N$266:$Y$278,4,FALSE)*('DB additional information '!$S$8/100*'DB additional information '!$U$8*E560/1000/1000)))</f>
        <v/>
      </c>
      <c r="X560" s="261" t="str">
        <f>IF($C$559=0,"",IF('Calc (ex-animal)'!$F$103=1,"",IF(D560="","",((VLOOKUP($C$559,'Calc (ex-animal)'!$D$103:$Y$107,13,FALSE)-VLOOKUP($C$559,'Calc (ex-animal)'!$D$103:$Y$107,19,FALSE))*F560/100+U560+V560+W560))))</f>
        <v/>
      </c>
      <c r="Y560" s="418" t="str">
        <f>IF(D560="","",(VLOOKUP(D560,'DB technologies'!$N$266:$Y$278,2,FALSE)*'DB additional information '!$S$6/100*'DB additional information '!$V$6*VLOOKUP($C$559,'DB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Z560" s="418" t="str">
        <f>IF(D560="","",(VLOOKUP(D560,'DB technologies'!$N$266:$Y$278,3,FALSE)*'DB additional information '!$S$7/100*'DB additional information '!$V$7*VLOOKUP($C$559,'DB animal categories'!$C$201:$AC$210,27,FALSE)*E560/1000/1000)/VLOOKUP($C$559,'DB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AA560" s="418" t="str">
        <f>IF(D560="","",(VLOOKUP(D560,'DB technologies'!$N$266:$Y$278,4,FALSE)*('DB additional information '!$S$8/100*'DB additional information '!$V$8*E560/1000/1000)))</f>
        <v/>
      </c>
      <c r="AB560" s="261" t="str">
        <f>IF($C$559=0,"",IF('Calc (ex-animal)'!$F$103=1,"",IF(D560="","",((VLOOKUP($C$559,'Calc (ex-animal)'!$D$103:$Y$107,16,FALSE)-VLOOKUP($C$559,'Calc (ex-animal)'!$D$103:$Y$107,20,FALSE))*F560/100+Y560+Z560+AA560))))</f>
        <v/>
      </c>
      <c r="AC560" s="261" t="str">
        <f>IF($C$559=0,"",IF('Calc (ex-animal)'!$F$103=1,"",IF(D560="","",VLOOKUP($C$559,'Calc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categories'!$C$201:$AC$210,26,FALSE)/24)*F560/100*VLOOKUP(D560,'DB technologies'!$N$266:$R$278,5,FALSE)/100)))</f>
        <v/>
      </c>
      <c r="AD560" s="261" t="str">
        <f>IF($C$559=0,"",IF('Calc (ex-animal)'!$F$103=1,"",IF(D560="","",VLOOKUP($C$559,'Calc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categories'!$C$201:$AC$210,26,FALSE)/24)*F560/100*VLOOKUP(D560,'DB technologies'!$N$266:$Y$278,6,FALSE)/100)))</f>
        <v/>
      </c>
      <c r="AE560" s="262" t="str">
        <f>IF($C$559=0,"",IF('Calc (ex-animal)'!$F$103=1,"",IF(D560="","",VLOOKUP($C$559,'Calc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categories'!$C$201:$AC$210,26,FALSE)/24)*F560/100*VLOOKUP(D560,'DB technologies'!$N$266:$Y$278,7,FALSE)/100)))</f>
        <v/>
      </c>
      <c r="AI560" s="181" t="str">
        <f>IF(D560="","",VLOOKUP(D560,'DB technologies'!$N$266:$Y$278,10,FALSE))</f>
        <v/>
      </c>
      <c r="AJ560" s="449" t="e">
        <f>VLOOKUP($C$559,'DB animal categories'!$C$201:$AN$210,27,FALSE)-VLOOKUP($C$559,'DB animal categories'!$C$201:$AN$210,26,FALSE)*VLOOKUP($C$559,'DB animal categories'!$C$201:$AN$210,25,FALSE)/24</f>
        <v>#N/A</v>
      </c>
      <c r="AK560" s="442" t="str">
        <f>IF(AI560="","",AL560+AM560)</f>
        <v/>
      </c>
      <c r="AL560" s="442" t="str">
        <f>IF(D560="","",IF(AI560=2,(('Calc (ex-animal)'!$G$105*'DB additional information '!$K$22/100*(1-VLOOKUP(D560,'DB technologies'!$N$266:$Y$278,9,FALSE)/100)*'Calc (ex-housing, ex-storage)'!F560/100+'Calc (ex-animal)'!$H$105*'DB additional information '!$L$22/100*(1-VLOOKUP(D560,'DB technologies'!$N$266:$Y$278,9,FALSE)/100)*'Calc (ex-housing, ex-storage)'!F560/100))/VLOOKUP($C$559,'DB animal categories'!$C$201:$AC$210,27,FALSE)*AJ560+I560+J560+K560,IF(AI560=1,('Calc (ex-animal)'!$H$105*'DB additional information '!$L$22/100*(1-VLOOKUP(D560,'DB technologies'!$N$266:$Y$278,9,FALSE)/100)*'Calc (ex-housing, ex-storage)'!F560/100)/VLOOKUP($C$559,'DB animal categories'!$C$201:$AC$210,27,FALSE)*AJ560,IF(AI560=4,('Calc (ex-animal)'!$G$105*'DB additional information '!$K$22/100+'Calc (ex-animal)'!$H$105*'DB additional information '!$L$22/100)*(1-VLOOKUP(D560,'DB technologies'!$N$266:$Y$278,9,FALSE)/100)*'Calc (ex-housing, ex-storage)'!F560/100*VLOOKUP(D560,'DB technologies'!$N$266:$Y$278,11,FALSE)/100/VLOOKUP($C$559,'DB animal categories'!$C$201:$AC$210,27,FALSE)*AJ560,0))))</f>
        <v/>
      </c>
      <c r="AM560" s="442" t="str">
        <f>IF(D560="","",IF(AI560=2,(('Calc (ex-animal)'!$G$105*(1-'DB additional information '!$K$22/100)*(1-VLOOKUP(D560,'DB technologies'!$N$266:$Y$278,8,FALSE)/100)*'Calc (ex-housing, ex-storage)'!F560/100+'Calc (ex-animal)'!$H$105*(1-'DB additional information '!$L$22/100)*(1-VLOOKUP(D560,'DB technologies'!$N$266:$Y$278,8,FALSE)/100)*'Calc (ex-housing, ex-storage)'!F560/100))/VLOOKUP($C$559,'DB animal categories'!$C$201:$AC$210,27,FALSE)*AJ560+M560+N560+O560,IF(AI560=1,('Calc (ex-animal)'!$H$105*(1-'DB additional information '!$L$22/100)*(1-VLOOKUP(D560,'DB technologies'!$N$266:$Y$278,8,FALSE)/100)*'Calc (ex-housing, ex-storage)'!F560/100)/VLOOKUP($C$559,'DB animal categories'!$C$201:$AC$210,27,FALSE)*AJ560,IF(AI560=4,('Calc (ex-animal)'!$G$105*(1-'DB additional information '!$K$22/100)+'Calc (ex-animal)'!$H$105*(1-'DB additional information '!$L$22/100))*(1-VLOOKUP(D560,'DB technologies'!$N$266:$Y$278,8,FALSE)/100)*'Calc (ex-housing, ex-storage)'!F560/100*VLOOKUP(D560,'DB technologies'!$N$266:$Y$278,11,FALSE)/100/VLOOKUP($C$559,'DB animal categories'!$C$201:$AC$210,27,FALSE)*AJ560,0))))</f>
        <v/>
      </c>
      <c r="AN560" s="442" t="str">
        <f>IF(AI560="","",IF(AL560=0,0,AL560/AK560*100))</f>
        <v/>
      </c>
      <c r="AO560" s="182" t="str">
        <f>IF(D560="","",IF(AI560=2,(('Calc (ex-animal)'!$L$105*'Calc (ex-housing, ex-storage)'!F560/100+'Calc (ex-animal)'!$K$105*'Calc (ex-housing, ex-storage)'!F560/100))/VLOOKUP($C$559,'DB animal categories'!$C$201:$AC$210,27,FALSE)*AJ560+Q560+R560+S560-AC560,IF(AI560=1,('Calc (ex-animal)'!$L$105*'Calc (ex-housing, ex-storage)'!F560/100)/VLOOKUP($C$559,'DB animal categories'!$C$201:$AC$210,27,FALSE)*AJ560-'Calc (ex-housing, ex-storage)'!AC560,IF(AI560=4,('Calc (ex-animal)'!$L$105+'Calc (ex-animal)'!$K$105)*'Calc (ex-housing, ex-storage)'!F560/100*VLOOKUP(D560,'DB technologies'!$N$266:$Y$278,11,FALSE)/100/VLOOKUP($C$559,'DB animal categories'!$C$201:$AC$210,27,FALSE)*AJ560-AC560*VLOOKUP(D560,'DB technologies'!$N$266:$Y$278,11,FALSE)/100,0))))</f>
        <v/>
      </c>
      <c r="AP560" s="182" t="str">
        <f>IF(D560="","",IF(AO560&lt;-0.01,0,IF(AI560=2,(('Calc (ex-animal)'!$L$105*'Calc (ex-housing, ex-storage)'!F560/100+'Calc (ex-animal)'!$K$105*'Calc (ex-housing, ex-storage)'!F560/100))/VLOOKUP($C$559,'DB animal categories'!$C$201:$AC$210,27,FALSE)*AJ560+Q560+R560+S560-AC560,IF(AI560=1,('Calc (ex-animal)'!$L$105*'Calc (ex-housing, ex-storage)'!F560/100)/VLOOKUP($C$559,'DB animal categories'!$C$201:$AC$210,27,FALSE)*AJ560-'Calc (ex-housing, ex-storage)'!AC560,IF(AI560=4,('Calc (ex-animal)'!$L$105+'Calc (ex-animal)'!$K$105)*'Calc (ex-housing, ex-storage)'!F560/100*VLOOKUP(D560,'DB technologies'!$N$266:$Y$278,11,FALSE)/100/VLOOKUP($C$559,'DB animal categories'!$C$201:$AC$210,27,FALSE)*AJ560-AC560*VLOOKUP(D560,'DB technologies'!$N$266:$Y$278,11,FALSE)/100,0)))))</f>
        <v/>
      </c>
      <c r="AQ560" s="182" t="str">
        <f>IF(D560="","",IF(AI560=2,('Calc (ex-animal)'!$O$105*'Calc (ex-housing, ex-storage)'!F560/100+'Calc (ex-animal)'!$N$105*'Calc (ex-housing, ex-storage)'!F560/100)/VLOOKUP($C$559,'DB animal categories'!$C$201:$AC$210,27,FALSE)*AJ560+U560+V560+W560,IF(AI560=1,'Calc (ex-animal)'!$O$105*'Calc (ex-housing, ex-storage)'!F560/100/VLOOKUP($C$559,'DB animal categories'!$C$201:$AC$210,27,FALSE)*AJ560,IF(AI560=4,('Calc (ex-animal)'!$O$105+'Calc (ex-animal)'!$N$105)*'Calc (ex-housing, ex-storage)'!F560/100*VLOOKUP(D560,'DB technologies'!$N$266:$Y$278,11,FALSE)/100/VLOOKUP($C$559,'DB animal categories'!$C$201:$AC$210,27,FALSE)*AJ560,0))))</f>
        <v/>
      </c>
      <c r="AR560" s="182" t="str">
        <f>IF(D560="","",IF(AI560=2,('Calc (ex-animal)'!$R$105*'Calc (ex-housing, ex-storage)'!F560/100+'Calc (ex-animal)'!$Q$105*'Calc (ex-housing, ex-storage)'!F560/100)/VLOOKUP($C$559,'DB animal categories'!$C$201:$AC$210,27,FALSE)*AJ560+Y560+Z560+AA560,IF(AI560=1,'Calc (ex-animal)'!$R$105*'Calc (ex-housing, ex-storage)'!F560/100/VLOOKUP($C$559,'DB animal categories'!$C$201:$AC$210,27,FALSE)*AJ560,IF(AI560=4,('Calc (ex-animal)'!$R$105+'Calc (ex-animal)'!$Q$105)*'Calc (ex-housing, ex-storage)'!F560/100*VLOOKUP(D560,'DB technologies'!$N$266:$Y$278,11,FALSE)/100/VLOOKUP($C$559,'DB animal categories'!$C$201:$AC$210,27,FALSE)*AJ560,0))))</f>
        <v/>
      </c>
      <c r="AS560" s="181" t="str">
        <f>IF(D560="","",VLOOKUP(D560,'DB technologies'!$N$266:$Y$278,10,FALSE))</f>
        <v/>
      </c>
      <c r="AT560" s="442" t="str">
        <f>IF(AS560="","",AU560+AV560)</f>
        <v/>
      </c>
      <c r="AU560" s="442" t="str">
        <f>IF(D560="","",IF(AS560=2,0,IF(AS560=1,'Calc (ex-animal)'!$G$105*'DB additional information '!$K$22/100*(1-VLOOKUP(D560,'DB technologies'!$N$266:$Y$278,8,FALSE)/100)*'Calc (ex-housing, ex-storage)'!F560/100/VLOOKUP($C$559,'DB animal categories'!$C$201:$AC$210,27,FALSE)*AJ560+I560+J560+K560,IF(AS560=5,(('Calc (ex-animal)'!$G$105*'DB additional information '!$K$22/100+'Calc (ex-animal)'!$H$105*'DB additional information '!$L$22/100))*(1-VLOOKUP(D560,'DB technologies'!$N$266:$Y$278,9,FALSE)/100)*'Calc (ex-housing, ex-storage)'!F560/100/VLOOKUP($C$559,'DB animal categories'!$C$201:$AC$210,27,FALSE)*AJ560+I560+J560+K560,IF(AS560=3,('Calc (ex-animal)'!$G$105*'DB additional information '!$K$22/100+'Calc (ex-animal)'!$H$105*'DB additional information '!$L$22/100)*(1-VLOOKUP(D560,'DB technologies'!$N$266:$Y$278,9,FALSE)/100)*'Calc (ex-housing, ex-storage)'!F560/100/VLOOKUP($C$559,'DB animal categories'!$C$201:$AC$210,27,FALSE)*AJ560+I560+J560+K560,IF(AS560=4,('Calc (ex-animal)'!$G$105*'DB additional information '!$K$22/100+'Calc (ex-animal)'!$H$105*'DB additional information '!$L$22/100)*(1-VLOOKUP(D560,'DB technologies'!$N$266:$Y$278,9,FALSE)/100)*'Calc (ex-housing, ex-storage)'!F560/100*VLOOKUP(D560,'DB technologies'!$N$266:$Y$278,12,FALSE)/100/VLOOKUP($C$559,'DB animal categories'!$C$201:$AC$210,27,FALSE)*AJ560+I560+J560+K560,0))))))</f>
        <v/>
      </c>
      <c r="AV560" s="442" t="str">
        <f>IF(D560="","",IF(AS560=2,0,IF(AS560=1,'Calc (ex-animal)'!$G$105*(1-'DB additional information '!$K$22/100)*(1-VLOOKUP(D560,'DB technologies'!$N$266:$Y$278,8,FALSE)/100)*'Calc (ex-housing, ex-storage)'!F560/100/VLOOKUP($C$559,'DB animal categories'!$C$201:$AC$210,27,FALSE)*AJ560+M560+N560+O560,IF(AS560=5,('Calc (ex-animal)'!$G$105*(1-'DB additional information '!$K$22/100)+'Calc (ex-animal)'!$H$105*(1-'DB additional information '!$L$22/100))*(1-VLOOKUP(D560,'DB technologies'!$N$266:$Y$278,8,FALSE)/100)*'Calc (ex-housing, ex-storage)'!F560/100/VLOOKUP($C$559,'DB animal categories'!$C$201:$AC$210,27,FALSE)*AJ560+M560+N560+O560,IF(AS560=3,('Calc (ex-animal)'!$G$105*(1-'DB additional information '!$K$22/100)+'Calc (ex-animal)'!$H$105*(1-'DB additional information '!$L$22/100))*(1-VLOOKUP(D560,'DB technologies'!$N$266:$Y$278,8,FALSE)/100)*'Calc (ex-housing, ex-storage)'!F560/100/VLOOKUP($C$559,'DB animal categories'!$C$201:$AC$210,27,FALSE)*AJ560+M560+N560+O560,IF(AS560=4,('Calc (ex-animal)'!$G$105*(1-'DB additional information '!$K$22/100)+'Calc (ex-animal)'!$H$105*(1-'DB additional information '!$L$22/100))*(1-VLOOKUP(D560,'DB technologies'!$N$266:$Y$278,8,FALSE)/100)*'Calc (ex-housing, ex-storage)'!F560/100*VLOOKUP(D560,'DB technologies'!$N$266:$Y$278,12,FALSE)/100/VLOOKUP($C$559,'DB animal categories'!$C$201:$AC$210,27,FALSE)*AJ560+M560+N560+O560,0))))))</f>
        <v/>
      </c>
      <c r="AW560" s="442" t="str">
        <f>IF(AS560="","",IF(AU560=0,0,AU560/AT560*100))</f>
        <v/>
      </c>
      <c r="AX560" s="182" t="str">
        <f>IF(D560="","",IF(AS560=2,0,IF(AS560=1,'Calc (ex-animal)'!$K$105*'Calc (ex-housing, ex-storage)'!F560/100/VLOOKUP($C$559,'DB animal categories'!$C$201:$AC$210,27,FALSE)*AJ560+Q560+R560+S560,IF(AS560=5,('Calc (ex-animal)'!$K$105+'Calc (ex-animal)'!$L$105)*'Calc (ex-housing, ex-storage)'!F560/100/VLOOKUP($C$559,'DB animal categories'!$C$201:$AC$210,27,FALSE)*AJ560+Q560+R560+S560-'Calc (ex-housing, ex-storage)'!AC560,IF(AS560=3,('Calc (ex-animal)'!$K$105+'Calc (ex-animal)'!$L$105)*'Calc (ex-housing, ex-storage)'!F560/100/VLOOKUP($C$559,'DB animal categories'!$C$201:$AC$210,27,FALSE)*AJ560+Q560+R560+S560-'Calc (ex-housing, ex-storage)'!AC560-AD560-AE560,IF(AI560=4,('Calc (ex-animal)'!$K$105+'Calc (ex-animal)'!$L$105)*'Calc (ex-housing, ex-storage)'!F560/100*VLOOKUP(D560,'DB technologies'!$N$266:$Y$278,12,FALSE)/100/VLOOKUP($C$559,'DB animal categories'!$C$201:$AC$210,27,FALSE)*AJ560+Q560+R560+S560-(VLOOKUP(D560,'DB technologies'!$N$266:$Y$278,12,FALSE)/100*AC560)-AD560-AE560,0))))))</f>
        <v/>
      </c>
      <c r="AY560" s="182" t="str">
        <f>IF(D560="","",IF(AS560=2,0,IF(AS560=1,'Calc (ex-animal)'!$N$105*'Calc (ex-housing, ex-storage)'!F560/100/VLOOKUP($C$559,'DB animal categories'!$C$201:$AC$210,27,FALSE)*AJ560+U560+V560+W560,IF(AS560=5,('Calc (ex-animal)'!$N$105+'Calc (ex-animal)'!$O$105)*'Calc (ex-housing, ex-storage)'!F560/100/VLOOKUP($C$559,'DB animal categories'!$C$201:$AC$210,27,FALSE)*AJ560+U560+V560+W560,IF(AS560=3,('Calc (ex-animal)'!$N$105+'Calc (ex-animal)'!$O$105)*'Calc (ex-housing, ex-storage)'!F560/100/VLOOKUP($C$559,'DB animal categories'!$C$201:$AC$210,27,FALSE)*AJ560+U560+V560+W560,IF(AS560=4,('Calc (ex-animal)'!$N$105+'Calc (ex-animal)'!$O$105)*'Calc (ex-housing, ex-storage)'!F560/100*VLOOKUP(D560,'DB technologies'!$N$266:$Y$278,12,FALSE)/100/VLOOKUP($C$559,'DB animal categories'!$C$201:$AC$210,27,FALSE)*AJ560+U560+V560+W560,0))))))</f>
        <v/>
      </c>
      <c r="AZ560" s="182" t="str">
        <f>IF(D560="","",IF(AS560=2,0,IF(AS560=1,'Calc (ex-animal)'!$Q$105*'Calc (ex-housing, ex-storage)'!F560/100/VLOOKUP($C$559,'DB animal categories'!$C$201:$AC$210,27,FALSE)*AJ560+Y560+Z560+AA560,IF(AS560=5,('Calc (ex-animal)'!$Q$105+'Calc (ex-animal)'!$R$105)*'Calc (ex-housing, ex-storage)'!F560/100/VLOOKUP($C$559,'DB animal categories'!$C$201:$AC$210,27,FALSE)*AJ560+Y560+Z560+AA560,IF(AS560=3,('Calc (ex-animal)'!$Q$105+'Calc (ex-animal)'!$R$105)*'Calc (ex-housing, ex-storage)'!F560/100/VLOOKUP($C$559,'DB animal categories'!$C$201:$AC$210,27,FALSE)*AJ560+Y560+Z560+AA560,IF(AS560=4,('Calc (ex-animal)'!$Q$105+'Calc (ex-animal)'!$R$105)*'Calc (ex-housing, ex-storage)'!F560/100*VLOOKUP(D560,'DB technologies'!$N$266:$Y$278,12,FALSE)/100/VLOOKUP($C$559,'DB animal categories'!$C$201:$AC$210,27,FALSE)*AJ560+Y560+Z560+AA560,0))))))</f>
        <v/>
      </c>
      <c r="BA560" s="506"/>
      <c r="BB560" s="506"/>
      <c r="BC560" s="506"/>
    </row>
    <row r="561" spans="1:55" x14ac:dyDescent="0.2">
      <c r="A561" s="748"/>
      <c r="B561" s="695"/>
      <c r="C561" s="251"/>
      <c r="D561" s="1357"/>
      <c r="E561" s="1358"/>
      <c r="F561" s="480" t="str">
        <f>IF('Calc (ex-animal)'!$F$103=1,"",IF($C$559=0,"",IF(D561="","",E561/'Calc (ex-animal)'!$E$105*100)))</f>
        <v/>
      </c>
      <c r="G561" s="485" t="str">
        <f>IF($C$559=0,"",IF('Calc (ex-animal)'!$F$103=1,"",IF(D561="","",SUM(H561:O561))))</f>
        <v/>
      </c>
      <c r="H561" s="423" t="str">
        <f>IF('Calc (ex-animal)'!$F$103=1,"",IF(D561="","",(((VLOOKUP($C$559,'Calc (ex-animal)'!$D$103:$Y$107,6,FALSE)-VLOOKUP($C$559,'Calc (ex-animal)'!$D$103:$Y$107,17,FALSE))*F561/100))*VLOOKUP($C$559,'Calc (ex-animal)'!$D$103:$Y$107,7,FALSE)/100*(1-VLOOKUP(D561,'DB technologies'!$N$266:$Y$278,9,FALSE)/100)))</f>
        <v/>
      </c>
      <c r="I561" s="423" t="str">
        <f>IF(D561="","",((VLOOKUP(D561,'DB technologies'!$N$266:$Y$278,2,FALSE)*VLOOKUP($C$559,'DB animal categories'!$C$201:$AC$210,27,FALSE)*E561/1000)/VLOOKUP($C$559,'DB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'!$S$6/100*(1-VLOOKUP(D561,'DB technologies'!$N$266:$Y$278,9,FALSE)/100)))</f>
        <v/>
      </c>
      <c r="J561" s="434" t="str">
        <f>IF(D561="","",((VLOOKUP(D561,'DB technologies'!$N$266:$Y$278,3,FALSE)*VLOOKUP($C$559,'DB animal categories'!$C$201:$AC$210,27,FALSE)*E561/1000)/VLOOKUP($C$559,'DB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'!$S$7/100*(1-VLOOKUP(D561,'DB technologies'!$N$266:$Y$278,9,FALSE)/100)))</f>
        <v/>
      </c>
      <c r="K561" s="434" t="str">
        <f>IF(D561="","",((VLOOKUP(D561,'DB technologies'!$N$266:$Y$278,4,FALSE)*E561*'DB additional information '!$S$8/100*(1-VLOOKUP(D561,'DB technologies'!$N$266:$Y$278,9,FALSE)/100))/VLOOKUP($C$559,'DB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L561" s="423" t="str">
        <f>IF('Calc (ex-animal)'!$F$103=1,"",IF(D561="","",(((VLOOKUP($C$559,'Calc (ex-animal)'!$D$103:$Y$107,6,FALSE)-VLOOKUP($C$559,'Calc (ex-animal)'!$D$103:$Y$107,17,FALSE))*F561/100))*(1-VLOOKUP($C$559,'Calc (ex-animal)'!$D$103:$Y$107,7,FALSE)/100)*(1-VLOOKUP(D561,'DB technologies'!$N$266:$V$278,8,FALSE)/100)))</f>
        <v/>
      </c>
      <c r="M561" s="434" t="str">
        <f>IF(D561="","",((VLOOKUP(D561,'DB technologies'!$N$266:$Y$278,2,FALSE)*VLOOKUP($C$559,'DB animal categories'!$C$201:$AC$210,27,FALSE)*E561/1000)/VLOOKUP($C$559,'DB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'!$S$6/100)*(1-VLOOKUP(D561,'DB technologies'!$N$266:$Y$278,9,FALSE)/100))</f>
        <v/>
      </c>
      <c r="N561" s="434" t="str">
        <f>IF(D561="","",((VLOOKUP(D561,'DB technologies'!$N$266:$Y$278,3,FALSE)*VLOOKUP($C$559,'DB animal categories'!$C$201:$AC$210,27,FALSE)*E561/1000)/VLOOKUP($C$559,'DB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'!$S$7/100)*(1-VLOOKUP(D561,'DB technologies'!$N$266:$Y$278,9,FALSE)/100))</f>
        <v/>
      </c>
      <c r="O561" s="423" t="str">
        <f>IF(D561="","",((VLOOKUP(D561,'DB technologies'!$N$266:$Y$278,4,FALSE)*E561*(1-'DB additional information '!$S$8/100)*(1-VLOOKUP(D561,'DB technologies'!$N$266:$Y$278,8,FALSE)/100))/VLOOKUP($C$559,'DB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P561" s="438" t="str">
        <f>IF(G561=0,0,IF(E561="","",IF(F561="","",IF($C$559=0,"",IF(D561="","",SUM(H561:K561)/G561*100)))))</f>
        <v/>
      </c>
      <c r="Q561" s="416" t="str">
        <f>IF(D561="","",(VLOOKUP(D561,'DB technologies'!$N$266:$Y$278,2,FALSE)*'DB additional information '!$S$6/100*'DB additional information '!$T$6*VLOOKUP($C$559,'DB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R561" s="416" t="str">
        <f>IF(D561="","",(VLOOKUP(D561,'DB technologies'!$N$266:$Y$278,3,FALSE)*'DB additional information '!$S$7/100*'DB additional information '!$T$7*VLOOKUP($C$559,'DB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S561" s="491" t="str">
        <f>IF(D561="","",(VLOOKUP(D561,'DB technologies'!$N$266:$Y$278,4,FALSE)*('DB additional information '!$S$8/100*'DB additional information '!$T$8*E561/1000/1000)))</f>
        <v/>
      </c>
      <c r="T561" s="264" t="str">
        <f>IF($C$559=0,"",IF('Calc (ex-animal)'!$F$103=1,"",IF(D561="","",((VLOOKUP($C$559,'Calc (ex-animal)'!$D$103:$Y$107,10,FALSE)-VLOOKUP($C$559,'Calc (ex-animal)'!$D$103:$Y$107,18,FALSE))*F561/100+Q561+R561+S561)-AC561-AD561-AE561)))</f>
        <v/>
      </c>
      <c r="U561" s="422" t="str">
        <f>IF(D561="","",(VLOOKUP(D561,'DB technologies'!$N$266:$Y$278,2,FALSE)*'DB additional information '!$S$6/100*'DB additional information '!$U$6*VLOOKUP($C$559,'DB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V561" s="418" t="str">
        <f>IF(D561="","",(VLOOKUP(D561,'DB technologies'!$N$266:$Y$278,3,FALSE)*'DB additional information '!$S$7/100*'DB additional information '!$U$7*VLOOKUP($C$559,'DB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W561" s="417" t="str">
        <f>IF(D561="","",(VLOOKUP(D561,'DB technologies'!$N$266:$Y$278,4,FALSE)*('DB additional information '!$S$8/100*'DB additional information '!$U$8*E561/1000/1000)))</f>
        <v/>
      </c>
      <c r="X561" s="261" t="str">
        <f>IF($C$559=0,"",IF('Calc (ex-animal)'!$F$103=1,"",IF(D561="","",((VLOOKUP($C$559,'Calc (ex-animal)'!$D$103:$Y$107,13,FALSE)-VLOOKUP($C$559,'Calc (ex-animal)'!$D$103:$Y$107,19,FALSE))*F561/100+U561+V561+W561))))</f>
        <v/>
      </c>
      <c r="Y561" s="418" t="str">
        <f>IF(D561="","",(VLOOKUP(D561,'DB technologies'!$N$266:$Y$278,2,FALSE)*'DB additional information '!$S$6/100*'DB additional information '!$V$6*VLOOKUP($C$559,'DB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Z561" s="418" t="str">
        <f>IF(D561="","",(VLOOKUP(D561,'DB technologies'!$N$266:$Y$278,3,FALSE)*'DB additional information '!$S$7/100*'DB additional information '!$V$7*VLOOKUP($C$559,'DB animal categories'!$C$201:$AC$210,27,FALSE)*E561/1000/1000)/VLOOKUP($C$559,'DB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AA561" s="418" t="str">
        <f>IF(D561="","",(VLOOKUP(D561,'DB technologies'!$N$266:$Y$278,4,FALSE)*('DB additional information '!$S$8/100*'DB additional information '!$V$8*E561/1000/1000)))</f>
        <v/>
      </c>
      <c r="AB561" s="261" t="str">
        <f>IF($C$559=0,"",IF('Calc (ex-animal)'!$F$103=1,"",IF(D561="","",((VLOOKUP($C$559,'Calc (ex-animal)'!$D$103:$Y$107,16,FALSE)-VLOOKUP($C$559,'Calc (ex-animal)'!$D$103:$Y$107,20,FALSE))*F561/100+Y561+Z561+AA561))))</f>
        <v/>
      </c>
      <c r="AC561" s="261" t="str">
        <f>IF($C$559=0,"",IF('Calc (ex-animal)'!$F$103=1,"",IF(D561="","",VLOOKUP($C$559,'Calc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categories'!$C$201:$AC$210,26,FALSE)/24)*F561/100*VLOOKUP(D561,'DB technologies'!$N$266:$R$278,5,FALSE)/100)))</f>
        <v/>
      </c>
      <c r="AD561" s="261" t="str">
        <f>IF($C$559=0,"",IF('Calc (ex-animal)'!$F$103=1,"",IF(D561="","",VLOOKUP($C$559,'Calc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categories'!$C$201:$AC$210,26,FALSE)/24)*F561/100*VLOOKUP(D561,'DB technologies'!$N$266:$Y$278,6,FALSE)/100)))</f>
        <v/>
      </c>
      <c r="AE561" s="262" t="str">
        <f>IF($C$559=0,"",IF('Calc (ex-animal)'!$F$103=1,"",IF(D561="","",VLOOKUP($C$559,'Calc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categories'!$C$201:$AC$210,26,FALSE)/24)*F561/100*VLOOKUP(D561,'DB technologies'!$N$266:$Y$278,7,FALSE)/100)))</f>
        <v/>
      </c>
      <c r="AI561" s="181" t="str">
        <f>IF(D561="","",VLOOKUP(D561,'DB technologies'!$N$266:$Y$278,10,FALSE))</f>
        <v/>
      </c>
      <c r="AJ561" s="449" t="e">
        <f>VLOOKUP($C$559,'DB animal categories'!$C$201:$AN$210,27,FALSE)-VLOOKUP($C$559,'DB animal categories'!$C$201:$AN$210,26,FALSE)*VLOOKUP($C$559,'DB animal categories'!$C$201:$AN$210,25,FALSE)/24</f>
        <v>#N/A</v>
      </c>
      <c r="AK561" s="442" t="str">
        <f>IF(AI561="","",AL561+AM561)</f>
        <v/>
      </c>
      <c r="AL561" s="442" t="str">
        <f>IF(D561="","",IF(AI561=2,(('Calc (ex-animal)'!$G$105*'DB additional information '!$K$22/100*(1-VLOOKUP(D561,'DB technologies'!$N$266:$Y$278,9,FALSE)/100)*'Calc (ex-housing, ex-storage)'!F561/100+'Calc (ex-animal)'!$H$105*'DB additional information '!$L$22/100*(1-VLOOKUP(D561,'DB technologies'!$N$266:$Y$278,9,FALSE)/100)*'Calc (ex-housing, ex-storage)'!F561/100))/VLOOKUP($C$559,'DB animal categories'!$C$201:$AC$210,27,FALSE)*AJ561+I561+J561+K561,IF(AI561=1,('Calc (ex-animal)'!$H$105*'DB additional information '!$L$22/100*(1-VLOOKUP(D561,'DB technologies'!$N$266:$Y$278,9,FALSE)/100)*'Calc (ex-housing, ex-storage)'!F561/100)/VLOOKUP($C$559,'DB animal categories'!$C$201:$AC$210,27,FALSE)*AJ561,IF(AI561=4,('Calc (ex-animal)'!$G$105*'DB additional information '!$K$22/100+'Calc (ex-animal)'!$H$105*'DB additional information '!$L$22/100)*(1-VLOOKUP(D561,'DB technologies'!$N$266:$Y$278,9,FALSE)/100)*'Calc (ex-housing, ex-storage)'!F561/100*VLOOKUP(D561,'DB technologies'!$N$266:$Y$278,11,FALSE)/100/VLOOKUP($C$559,'DB animal categories'!$C$201:$AC$210,27,FALSE)*AJ561,0))))</f>
        <v/>
      </c>
      <c r="AM561" s="442" t="str">
        <f>IF(D561="","",IF(AI561=2,(('Calc (ex-animal)'!$G$105*(1-'DB additional information '!$K$22/100)*(1-VLOOKUP(D561,'DB technologies'!$N$266:$Y$278,8,FALSE)/100)*'Calc (ex-housing, ex-storage)'!F561/100+'Calc (ex-animal)'!$H$105*(1-'DB additional information '!$L$22/100)*(1-VLOOKUP(D561,'DB technologies'!$N$266:$Y$278,8,FALSE)/100)*'Calc (ex-housing, ex-storage)'!F561/100))/VLOOKUP($C$559,'DB animal categories'!$C$201:$AC$210,27,FALSE)*AJ561+M561+N561+O561,IF(AI561=1,('Calc (ex-animal)'!$H$105*(1-'DB additional information '!$L$22/100)*(1-VLOOKUP(D561,'DB technologies'!$N$266:$Y$278,8,FALSE)/100)*'Calc (ex-housing, ex-storage)'!F561/100)/VLOOKUP($C$559,'DB animal categories'!$C$201:$AC$210,27,FALSE)*AJ561,IF(AI561=4,('Calc (ex-animal)'!$G$105*(1-'DB additional information '!$K$22/100)+'Calc (ex-animal)'!$H$105*(1-'DB additional information '!$L$22/100))*(1-VLOOKUP(D561,'DB technologies'!$N$266:$Y$278,8,FALSE)/100)*'Calc (ex-housing, ex-storage)'!F561/100*VLOOKUP(D561,'DB technologies'!$N$266:$Y$278,11,FALSE)/100/VLOOKUP($C$559,'DB animal categories'!$C$201:$AC$210,27,FALSE)*AJ561,0))))</f>
        <v/>
      </c>
      <c r="AN561" s="442" t="str">
        <f>IF(AI561="","",IF(AL561=0,0,AL561/AK561*100))</f>
        <v/>
      </c>
      <c r="AO561" s="182" t="str">
        <f>IF(D561="","",IF(AI561=2,(('Calc (ex-animal)'!$L$105*'Calc (ex-housing, ex-storage)'!F561/100+'Calc (ex-animal)'!$K$105*'Calc (ex-housing, ex-storage)'!F561/100))/VLOOKUP($C$559,'DB animal categories'!$C$201:$AC$210,27,FALSE)*AJ561+Q561+R561+S561-AC561,IF(AI561=1,('Calc (ex-animal)'!$L$105*'Calc (ex-housing, ex-storage)'!F561/100)/VLOOKUP($C$559,'DB animal categories'!$C$201:$AC$210,27,FALSE)*AJ561-'Calc (ex-housing, ex-storage)'!AC561,IF(AI561=4,('Calc (ex-animal)'!$L$105+'Calc (ex-animal)'!$K$105)*'Calc (ex-housing, ex-storage)'!F561/100*VLOOKUP(D561,'DB technologies'!$N$266:$Y$278,11,FALSE)/100/VLOOKUP($C$559,'DB animal categories'!$C$201:$AC$210,27,FALSE)*AJ561-AC561*VLOOKUP(D561,'DB technologies'!$N$266:$Y$278,11,FALSE)/100,0))))</f>
        <v/>
      </c>
      <c r="AP561" s="182" t="str">
        <f>IF(D561="","",IF(AO561&lt;-0.01,0,IF(AI561=2,(('Calc (ex-animal)'!$L$105*'Calc (ex-housing, ex-storage)'!F561/100+'Calc (ex-animal)'!$K$105*'Calc (ex-housing, ex-storage)'!F561/100))/VLOOKUP($C$559,'DB animal categories'!$C$201:$AC$210,27,FALSE)*AJ561+Q561+R561+S561-AC561,IF(AI561=1,('Calc (ex-animal)'!$L$105*'Calc (ex-housing, ex-storage)'!F561/100)/VLOOKUP($C$559,'DB animal categories'!$C$201:$AC$210,27,FALSE)*AJ561-'Calc (ex-housing, ex-storage)'!AC561,IF(AI561=4,('Calc (ex-animal)'!$L$105+'Calc (ex-animal)'!$K$105)*'Calc (ex-housing, ex-storage)'!F561/100*VLOOKUP(D561,'DB technologies'!$N$266:$Y$278,11,FALSE)/100/VLOOKUP($C$559,'DB animal categories'!$C$201:$AC$210,27,FALSE)*AJ561-AC561*VLOOKUP(D561,'DB technologies'!$N$266:$Y$278,11,FALSE)/100,0)))))</f>
        <v/>
      </c>
      <c r="AQ561" s="182" t="str">
        <f>IF(D561="","",IF(AI561=2,('Calc (ex-animal)'!$O$105*'Calc (ex-housing, ex-storage)'!F561/100+'Calc (ex-animal)'!$N$105*'Calc (ex-housing, ex-storage)'!F561/100)/VLOOKUP($C$559,'DB animal categories'!$C$201:$AC$210,27,FALSE)*AJ561+U561+V561+W561,IF(AI561=1,'Calc (ex-animal)'!$O$105*'Calc (ex-housing, ex-storage)'!F561/100/VLOOKUP($C$559,'DB animal categories'!$C$201:$AC$210,27,FALSE)*AJ561,IF(AI561=4,('Calc (ex-animal)'!$O$105+'Calc (ex-animal)'!$N$105)*'Calc (ex-housing, ex-storage)'!F561/100*VLOOKUP(D561,'DB technologies'!$N$266:$Y$278,11,FALSE)/100/VLOOKUP($C$559,'DB animal categories'!$C$201:$AC$210,27,FALSE)*AJ561,0))))</f>
        <v/>
      </c>
      <c r="AR561" s="182" t="str">
        <f>IF(D561="","",IF(AI561=2,('Calc (ex-animal)'!$R$105*'Calc (ex-housing, ex-storage)'!F561/100+'Calc (ex-animal)'!$Q$105*'Calc (ex-housing, ex-storage)'!F561/100)/VLOOKUP($C$559,'DB animal categories'!$C$201:$AC$210,27,FALSE)*AJ561+Y561+Z561+AA561,IF(AI561=1,'Calc (ex-animal)'!$R$105*'Calc (ex-housing, ex-storage)'!F561/100/VLOOKUP($C$559,'DB animal categories'!$C$201:$AC$210,27,FALSE)*AJ561,IF(AI561=4,('Calc (ex-animal)'!$R$105+'Calc (ex-animal)'!$Q$105)*'Calc (ex-housing, ex-storage)'!F561/100*VLOOKUP(D561,'DB technologies'!$N$266:$Y$278,11,FALSE)/100/VLOOKUP($C$559,'DB animal categories'!$C$201:$AC$210,27,FALSE)*AJ561,0))))</f>
        <v/>
      </c>
      <c r="AS561" s="181" t="str">
        <f>IF(D561="","",VLOOKUP(D561,'DB technologies'!$N$266:$Y$278,10,FALSE))</f>
        <v/>
      </c>
      <c r="AT561" s="442" t="str">
        <f>IF(AS561="","",AU561+AV561)</f>
        <v/>
      </c>
      <c r="AU561" s="442" t="str">
        <f>IF(D561="","",IF(AS561=2,0,IF(AS561=1,'Calc (ex-animal)'!$G$105*'DB additional information '!$K$22/100*(1-VLOOKUP(D561,'DB technologies'!$N$266:$Y$278,8,FALSE)/100)*'Calc (ex-housing, ex-storage)'!F561/100/VLOOKUP($C$559,'DB animal categories'!$C$201:$AC$210,27,FALSE)*AJ561+I561+J561+K561,IF(AS561=5,(('Calc (ex-animal)'!$G$105*'DB additional information '!$K$22/100+'Calc (ex-animal)'!$H$105*'DB additional information '!$L$22/100))*(1-VLOOKUP(D561,'DB technologies'!$N$266:$Y$278,9,FALSE)/100)*'Calc (ex-housing, ex-storage)'!F561/100/VLOOKUP($C$559,'DB animal categories'!$C$201:$AC$210,27,FALSE)*AJ561+I561+J561+K561,IF(AS561=3,('Calc (ex-animal)'!$G$105*'DB additional information '!$K$22/100+'Calc (ex-animal)'!$H$105*'DB additional information '!$L$22/100)*(1-VLOOKUP(D561,'DB technologies'!$N$266:$Y$278,9,FALSE)/100)*'Calc (ex-housing, ex-storage)'!F561/100/VLOOKUP($C$559,'DB animal categories'!$C$201:$AC$210,27,FALSE)*AJ561+I561+J561+K561,IF(AS561=4,('Calc (ex-animal)'!$G$105*'DB additional information '!$K$22/100+'Calc (ex-animal)'!$H$105*'DB additional information '!$L$22/100)*(1-VLOOKUP(D561,'DB technologies'!$N$266:$Y$278,9,FALSE)/100)*'Calc (ex-housing, ex-storage)'!F561/100*VLOOKUP(D561,'DB technologies'!$N$266:$Y$278,12,FALSE)/100/VLOOKUP($C$559,'DB animal categories'!$C$201:$AC$210,27,FALSE)*AJ561+I561+J561+K561,0))))))</f>
        <v/>
      </c>
      <c r="AV561" s="442" t="str">
        <f>IF(D561="","",IF(AS561=2,0,IF(AS561=1,'Calc (ex-animal)'!$G$105*(1-'DB additional information '!$K$22/100)*(1-VLOOKUP(D561,'DB technologies'!$N$266:$Y$278,8,FALSE)/100)*'Calc (ex-housing, ex-storage)'!F561/100/VLOOKUP($C$559,'DB animal categories'!$C$201:$AC$210,27,FALSE)*AJ561+M561+N561+O561,IF(AS561=5,('Calc (ex-animal)'!$G$105*(1-'DB additional information '!$K$22/100)+'Calc (ex-animal)'!$H$105*(1-'DB additional information '!$L$22/100))*(1-VLOOKUP(D561,'DB technologies'!$N$266:$Y$278,8,FALSE)/100)*'Calc (ex-housing, ex-storage)'!F561/100/VLOOKUP($C$559,'DB animal categories'!$C$201:$AC$210,27,FALSE)*AJ561+M561+N561+O561,IF(AS561=3,('Calc (ex-animal)'!$G$105*(1-'DB additional information '!$K$22/100)+'Calc (ex-animal)'!$H$105*(1-'DB additional information '!$L$22/100))*(1-VLOOKUP(D561,'DB technologies'!$N$266:$Y$278,8,FALSE)/100)*'Calc (ex-housing, ex-storage)'!F561/100/VLOOKUP($C$559,'DB animal categories'!$C$201:$AC$210,27,FALSE)*AJ561+M561+N561+O561,IF(AS561=4,('Calc (ex-animal)'!$G$105*(1-'DB additional information '!$K$22/100)+'Calc (ex-animal)'!$H$105*(1-'DB additional information '!$L$22/100))*(1-VLOOKUP(D561,'DB technologies'!$N$266:$Y$278,8,FALSE)/100)*'Calc (ex-housing, ex-storage)'!F561/100*VLOOKUP(D561,'DB technologies'!$N$266:$Y$278,12,FALSE)/100/VLOOKUP($C$559,'DB animal categories'!$C$201:$AC$210,27,FALSE)*AJ561+M561+N561+O561,0))))))</f>
        <v/>
      </c>
      <c r="AW561" s="442" t="str">
        <f>IF(AS561="","",IF(AU561=0,0,AU561/AT561*100))</f>
        <v/>
      </c>
      <c r="AX561" s="182" t="str">
        <f>IF(D561="","",IF(AS561=2,0,IF(AS561=1,'Calc (ex-animal)'!$K$105*'Calc (ex-housing, ex-storage)'!F561/100/VLOOKUP($C$559,'DB animal categories'!$C$201:$AC$210,27,FALSE)*AJ561+Q561+R561+S561,IF(AS561=5,('Calc (ex-animal)'!$K$105+'Calc (ex-animal)'!$L$105)*'Calc (ex-housing, ex-storage)'!F561/100/VLOOKUP($C$559,'DB animal categories'!$C$201:$AC$210,27,FALSE)*AJ561+Q561+R561+S561-'Calc (ex-housing, ex-storage)'!AC561,IF(AS561=3,('Calc (ex-animal)'!$K$105+'Calc (ex-animal)'!$L$105)*'Calc (ex-housing, ex-storage)'!F561/100/VLOOKUP($C$559,'DB animal categories'!$C$201:$AC$210,27,FALSE)*AJ561+Q561+R561+S561-'Calc (ex-housing, ex-storage)'!AC561-AD561-AE561,IF(AI561=4,('Calc (ex-animal)'!$K$105+'Calc (ex-animal)'!$L$105)*'Calc (ex-housing, ex-storage)'!F561/100*VLOOKUP(D561,'DB technologies'!$N$266:$Y$278,12,FALSE)/100/VLOOKUP($C$559,'DB animal categories'!$C$201:$AC$210,27,FALSE)*AJ561+Q561+R561+S561-(VLOOKUP(D561,'DB technologies'!$N$266:$Y$278,12,FALSE)/100*AC561)-AD561-AE561,0))))))</f>
        <v/>
      </c>
      <c r="AY561" s="182" t="str">
        <f>IF(D561="","",IF(AS561=2,0,IF(AS561=1,'Calc (ex-animal)'!$N$105*'Calc (ex-housing, ex-storage)'!F561/100/VLOOKUP($C$559,'DB animal categories'!$C$201:$AC$210,27,FALSE)*AJ561+U561+V561+W561,IF(AS561=5,('Calc (ex-animal)'!$N$105+'Calc (ex-animal)'!$O$105)*'Calc (ex-housing, ex-storage)'!F561/100/VLOOKUP($C$559,'DB animal categories'!$C$201:$AC$210,27,FALSE)*AJ561+U561+V561+W561,IF(AS561=3,('Calc (ex-animal)'!$N$105+'Calc (ex-animal)'!$O$105)*'Calc (ex-housing, ex-storage)'!F561/100/VLOOKUP($C$559,'DB animal categories'!$C$201:$AC$210,27,FALSE)*AJ561+U561+V561+W561,IF(AS561=4,('Calc (ex-animal)'!$N$105+'Calc (ex-animal)'!$O$105)*'Calc (ex-housing, ex-storage)'!F561/100*VLOOKUP(D561,'DB technologies'!$N$266:$Y$278,12,FALSE)/100/VLOOKUP($C$559,'DB animal categories'!$C$201:$AC$210,27,FALSE)*AJ561+U561+V561+W561,0))))))</f>
        <v/>
      </c>
      <c r="AZ561" s="182" t="str">
        <f>IF(D561="","",IF(AS561=2,0,IF(AS561=1,'Calc (ex-animal)'!$Q$105*'Calc (ex-housing, ex-storage)'!F561/100/VLOOKUP($C$559,'DB animal categories'!$C$201:$AC$210,27,FALSE)*AJ561+Y561+Z561+AA561,IF(AS561=5,('Calc (ex-animal)'!$Q$105+'Calc (ex-animal)'!$R$105)*'Calc (ex-housing, ex-storage)'!F561/100/VLOOKUP($C$559,'DB animal categories'!$C$201:$AC$210,27,FALSE)*AJ561+Y561+Z561+AA561,IF(AS561=3,('Calc (ex-animal)'!$Q$105+'Calc (ex-animal)'!$R$105)*'Calc (ex-housing, ex-storage)'!F561/100/VLOOKUP($C$559,'DB animal categories'!$C$201:$AC$210,27,FALSE)*AJ561+Y561+Z561+AA561,IF(AS561=4,('Calc (ex-animal)'!$Q$105+'Calc (ex-animal)'!$R$105)*'Calc (ex-housing, ex-storage)'!F561/100*VLOOKUP(D561,'DB technologies'!$N$266:$Y$278,12,FALSE)/100/VLOOKUP($C$559,'DB animal categories'!$C$201:$AC$210,27,FALSE)*AJ561+Y561+Z561+AA561,0))))))</f>
        <v/>
      </c>
      <c r="BA561" s="506"/>
      <c r="BB561" s="506"/>
      <c r="BC561" s="506"/>
    </row>
    <row r="562" spans="1:55" x14ac:dyDescent="0.2">
      <c r="A562" s="748"/>
      <c r="B562" s="695"/>
      <c r="C562" s="251"/>
      <c r="D562" s="1357"/>
      <c r="E562" s="1358"/>
      <c r="F562" s="480" t="str">
        <f>IF('Calc (ex-animal)'!$F$103=1,"",IF($C$559=0,"",IF(D562="","",E562/'Calc (ex-animal)'!$E$105*100)))</f>
        <v/>
      </c>
      <c r="G562" s="485" t="str">
        <f>IF($C$559=0,"",IF('Calc (ex-animal)'!$F$103=1,"",IF(D562="","",SUM(H562:O562))))</f>
        <v/>
      </c>
      <c r="H562" s="423" t="str">
        <f>IF('Calc (ex-animal)'!$F$103=1,"",IF(D562="","",(((VLOOKUP($C$559,'Calc (ex-animal)'!$D$103:$Y$107,6,FALSE)-VLOOKUP($C$559,'Calc (ex-animal)'!$D$103:$Y$107,17,FALSE))*F562/100))*VLOOKUP($C$559,'Calc (ex-animal)'!$D$103:$Y$107,7,FALSE)/100*(1-VLOOKUP(D562,'DB technologies'!$N$266:$Y$278,9,FALSE)/100)))</f>
        <v/>
      </c>
      <c r="I562" s="423" t="str">
        <f>IF(D562="","",((VLOOKUP(D562,'DB technologies'!$N$266:$Y$278,2,FALSE)*VLOOKUP($C$559,'DB animal categories'!$C$201:$AC$210,27,FALSE)*E562/1000)/VLOOKUP($C$559,'DB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'!$S$6/100*(1-VLOOKUP(D562,'DB technologies'!$N$266:$Y$278,9,FALSE)/100)))</f>
        <v/>
      </c>
      <c r="J562" s="434" t="str">
        <f>IF(D562="","",((VLOOKUP(D562,'DB technologies'!$N$266:$Y$278,3,FALSE)*VLOOKUP($C$559,'DB animal categories'!$C$201:$AC$210,27,FALSE)*E562/1000)/VLOOKUP($C$559,'DB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'!$S$7/100*(1-VLOOKUP(D562,'DB technologies'!$N$266:$Y$278,9,FALSE)/100)))</f>
        <v/>
      </c>
      <c r="K562" s="434" t="str">
        <f>IF(D562="","",((VLOOKUP(D562,'DB technologies'!$N$266:$Y$278,4,FALSE)*E562*'DB additional information '!$S$8/100*(1-VLOOKUP(D562,'DB technologies'!$N$266:$Y$278,9,FALSE)/100))/VLOOKUP($C$559,'DB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L562" s="423" t="str">
        <f>IF('Calc (ex-animal)'!$F$103=1,"",IF(D562="","",(((VLOOKUP($C$559,'Calc (ex-animal)'!$D$103:$Y$107,6,FALSE)-VLOOKUP($C$559,'Calc (ex-animal)'!$D$103:$Y$107,17,FALSE))*F562/100))*(1-VLOOKUP($C$559,'Calc (ex-animal)'!$D$103:$Y$107,7,FALSE)/100)*(1-VLOOKUP(D562,'DB technologies'!$N$266:$V$278,8,FALSE)/100)))</f>
        <v/>
      </c>
      <c r="M562" s="434" t="str">
        <f>IF(D562="","",((VLOOKUP(D562,'DB technologies'!$N$266:$Y$278,2,FALSE)*VLOOKUP($C$559,'DB animal categories'!$C$201:$AC$210,27,FALSE)*E562/1000)/VLOOKUP($C$559,'DB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'!$S$6/100)*(1-VLOOKUP(D562,'DB technologies'!$N$266:$Y$278,9,FALSE)/100))</f>
        <v/>
      </c>
      <c r="N562" s="434" t="str">
        <f>IF(D562="","",((VLOOKUP(D562,'DB technologies'!$N$266:$Y$278,3,FALSE)*VLOOKUP($C$559,'DB animal categories'!$C$201:$AC$210,27,FALSE)*E562/1000)/VLOOKUP($C$559,'DB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'!$S$7/100)*(1-VLOOKUP(D562,'DB technologies'!$N$266:$Y$278,9,FALSE)/100))</f>
        <v/>
      </c>
      <c r="O562" s="423" t="str">
        <f>IF(D562="","",((VLOOKUP(D562,'DB technologies'!$N$266:$Y$278,4,FALSE)*E562*(1-'DB additional information '!$S$8/100)*(1-VLOOKUP(D562,'DB technologies'!$N$266:$Y$278,8,FALSE)/100))/VLOOKUP($C$559,'DB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P562" s="438" t="str">
        <f>IF(G562=0,0,IF(E562="","",IF(F562="","",IF($C$559=0,"",IF(D562="","",SUM(H562:K562)/G562*100)))))</f>
        <v/>
      </c>
      <c r="Q562" s="416" t="str">
        <f>IF(D562="","",(VLOOKUP(D562,'DB technologies'!$N$266:$Y$278,2,FALSE)*'DB additional information '!$S$6/100*'DB additional information '!$T$6*VLOOKUP($C$559,'DB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R562" s="416" t="str">
        <f>IF(D562="","",(VLOOKUP(D562,'DB technologies'!$N$266:$Y$278,3,FALSE)*'DB additional information '!$S$7/100*'DB additional information '!$T$7*VLOOKUP($C$559,'DB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S562" s="491" t="str">
        <f>IF(D562="","",(VLOOKUP(D562,'DB technologies'!$N$266:$Y$278,4,FALSE)*('DB additional information '!$S$8/100*'DB additional information '!$T$8*E562/1000/1000)))</f>
        <v/>
      </c>
      <c r="T562" s="264" t="str">
        <f>IF($C$559=0,"",IF('Calc (ex-animal)'!$F$103=1,"",IF(D562="","",((VLOOKUP($C$559,'Calc (ex-animal)'!$D$103:$Y$107,10,FALSE)-VLOOKUP($C$559,'Calc (ex-animal)'!$D$103:$Y$107,18,FALSE))*F562/100+Q562+R562+S562)-AC562-AD562-AE562)))</f>
        <v/>
      </c>
      <c r="U562" s="422" t="str">
        <f>IF(D562="","",(VLOOKUP(D562,'DB technologies'!$N$266:$Y$278,2,FALSE)*'DB additional information '!$S$6/100*'DB additional information '!$U$6*VLOOKUP($C$559,'DB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V562" s="418" t="str">
        <f>IF(D562="","",(VLOOKUP(D562,'DB technologies'!$N$266:$Y$278,3,FALSE)*'DB additional information '!$S$7/100*'DB additional information '!$U$7*VLOOKUP($C$559,'DB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W562" s="417" t="str">
        <f>IF(D562="","",(VLOOKUP(D562,'DB technologies'!$N$266:$Y$278,4,FALSE)*('DB additional information '!$S$8/100*'DB additional information '!$U$8*E562/1000/1000)))</f>
        <v/>
      </c>
      <c r="X562" s="261" t="str">
        <f>IF($C$559=0,"",IF('Calc (ex-animal)'!$F$103=1,"",IF(D562="","",((VLOOKUP($C$559,'Calc (ex-animal)'!$D$103:$Y$107,13,FALSE)-VLOOKUP($C$559,'Calc (ex-animal)'!$D$103:$Y$107,19,FALSE))*F562/100+U562+V562+W562))))</f>
        <v/>
      </c>
      <c r="Y562" s="418" t="str">
        <f>IF(D562="","",(VLOOKUP(D562,'DB technologies'!$N$266:$Y$278,2,FALSE)*'DB additional information '!$S$6/100*'DB additional information '!$V$6*VLOOKUP($C$559,'DB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Z562" s="418" t="str">
        <f>IF(D562="","",(VLOOKUP(D562,'DB technologies'!$N$266:$Y$278,3,FALSE)*'DB additional information '!$S$7/100*'DB additional information '!$V$7*VLOOKUP($C$559,'DB animal categories'!$C$201:$AC$210,27,FALSE)*E562/1000/1000)/VLOOKUP($C$559,'DB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AA562" s="418" t="str">
        <f>IF(D562="","",(VLOOKUP(D562,'DB technologies'!$N$266:$Y$278,4,FALSE)*('DB additional information '!$S$8/100*'DB additional information '!$V$8*E562/1000/1000)))</f>
        <v/>
      </c>
      <c r="AB562" s="261" t="str">
        <f>IF($C$559=0,"",IF('Calc (ex-animal)'!$F$103=1,"",IF(D562="","",((VLOOKUP($C$559,'Calc (ex-animal)'!$D$103:$Y$107,16,FALSE)-VLOOKUP($C$559,'Calc (ex-animal)'!$D$103:$Y$107,20,FALSE))*F562/100+Y562+Z562+AA562))))</f>
        <v/>
      </c>
      <c r="AC562" s="261" t="str">
        <f>IF($C$559=0,"",IF('Calc (ex-animal)'!$F$103=1,"",IF(D562="","",VLOOKUP($C$559,'Calc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categories'!$C$201:$AC$210,26,FALSE)/24)*F562/100*VLOOKUP(D562,'DB technologies'!$N$266:$R$278,5,FALSE)/100)))</f>
        <v/>
      </c>
      <c r="AD562" s="261" t="str">
        <f>IF($C$559=0,"",IF('Calc (ex-animal)'!$F$103=1,"",IF(D562="","",VLOOKUP($C$559,'Calc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categories'!$C$201:$AC$210,26,FALSE)/24)*F562/100*VLOOKUP(D562,'DB technologies'!$N$266:$Y$278,6,FALSE)/100)))</f>
        <v/>
      </c>
      <c r="AE562" s="262" t="str">
        <f>IF($C$559=0,"",IF('Calc (ex-animal)'!$F$103=1,"",IF(D562="","",VLOOKUP($C$559,'Calc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categories'!$C$201:$AC$210,26,FALSE)/24)*F562/100*VLOOKUP(D562,'DB technologies'!$N$266:$Y$278,7,FALSE)/100)))</f>
        <v/>
      </c>
      <c r="AI562" s="181" t="str">
        <f>IF(D562="","",VLOOKUP(D562,'DB technologies'!$N$266:$Y$278,10,FALSE))</f>
        <v/>
      </c>
      <c r="AJ562" s="449" t="e">
        <f>VLOOKUP($C$559,'DB animal categories'!$C$201:$AN$210,27,FALSE)-VLOOKUP($C$559,'DB animal categories'!$C$201:$AN$210,26,FALSE)*VLOOKUP($C$559,'DB animal categories'!$C$201:$AN$210,25,FALSE)/24</f>
        <v>#N/A</v>
      </c>
      <c r="AK562" s="442" t="str">
        <f>IF(AI562="","",AL562+AM562)</f>
        <v/>
      </c>
      <c r="AL562" s="442" t="str">
        <f>IF(D562="","",IF(AI562=2,(('Calc (ex-animal)'!$G$105*'DB additional information '!$K$22/100*(1-VLOOKUP(D562,'DB technologies'!$N$266:$Y$278,9,FALSE)/100)*'Calc (ex-housing, ex-storage)'!F562/100+'Calc (ex-animal)'!$H$105*'DB additional information '!$L$22/100*(1-VLOOKUP(D562,'DB technologies'!$N$266:$Y$278,9,FALSE)/100)*'Calc (ex-housing, ex-storage)'!F562/100))/VLOOKUP($C$559,'DB animal categories'!$C$201:$AC$210,27,FALSE)*AJ562+I562+J562+K562,IF(AI562=1,('Calc (ex-animal)'!$H$105*'DB additional information '!$L$22/100*(1-VLOOKUP(D562,'DB technologies'!$N$266:$Y$278,9,FALSE)/100)*'Calc (ex-housing, ex-storage)'!F562/100)/VLOOKUP($C$559,'DB animal categories'!$C$201:$AC$210,27,FALSE)*AJ562,IF(AI562=4,('Calc (ex-animal)'!$G$105*'DB additional information '!$K$22/100+'Calc (ex-animal)'!$H$105*'DB additional information '!$L$22/100)*(1-VLOOKUP(D562,'DB technologies'!$N$266:$Y$278,9,FALSE)/100)*'Calc (ex-housing, ex-storage)'!F562/100*VLOOKUP(D562,'DB technologies'!$N$266:$Y$278,11,FALSE)/100/VLOOKUP($C$559,'DB animal categories'!$C$201:$AC$210,27,FALSE)*AJ562,0))))</f>
        <v/>
      </c>
      <c r="AM562" s="442" t="str">
        <f>IF(D562="","",IF(AI562=2,(('Calc (ex-animal)'!$G$105*(1-'DB additional information '!$K$22/100)*(1-VLOOKUP(D562,'DB technologies'!$N$266:$Y$278,8,FALSE)/100)*'Calc (ex-housing, ex-storage)'!F562/100+'Calc (ex-animal)'!$H$105*(1-'DB additional information '!$L$22/100)*(1-VLOOKUP(D562,'DB technologies'!$N$266:$Y$278,8,FALSE)/100)*'Calc (ex-housing, ex-storage)'!F562/100))/VLOOKUP($C$559,'DB animal categories'!$C$201:$AC$210,27,FALSE)*AJ562+M562+N562+O562,IF(AI562=1,('Calc (ex-animal)'!$H$105*(1-'DB additional information '!$L$22/100)*(1-VLOOKUP(D562,'DB technologies'!$N$266:$Y$278,8,FALSE)/100)*'Calc (ex-housing, ex-storage)'!F562/100)/VLOOKUP($C$559,'DB animal categories'!$C$201:$AC$210,27,FALSE)*AJ562,IF(AI562=4,('Calc (ex-animal)'!$G$105*(1-'DB additional information '!$K$22/100)+'Calc (ex-animal)'!$H$105*(1-'DB additional information '!$L$22/100))*(1-VLOOKUP(D562,'DB technologies'!$N$266:$Y$278,8,FALSE)/100)*'Calc (ex-housing, ex-storage)'!F562/100*VLOOKUP(D562,'DB technologies'!$N$266:$Y$278,11,FALSE)/100/VLOOKUP($C$559,'DB animal categories'!$C$201:$AC$210,27,FALSE)*AJ562,0))))</f>
        <v/>
      </c>
      <c r="AN562" s="442" t="str">
        <f>IF(AI562="","",IF(AL562=0,0,AL562/AK562*100))</f>
        <v/>
      </c>
      <c r="AO562" s="182" t="str">
        <f>IF(D562="","",IF(AI562=2,(('Calc (ex-animal)'!$L$105*'Calc (ex-housing, ex-storage)'!F562/100+'Calc (ex-animal)'!$K$105*'Calc (ex-housing, ex-storage)'!F562/100))/VLOOKUP($C$559,'DB animal categories'!$C$201:$AC$210,27,FALSE)*AJ562+Q562+R562+S562-AC562,IF(AI562=1,('Calc (ex-animal)'!$L$105*'Calc (ex-housing, ex-storage)'!F562/100)/VLOOKUP($C$559,'DB animal categories'!$C$201:$AC$210,27,FALSE)*AJ562-'Calc (ex-housing, ex-storage)'!AC562,IF(AI562=4,('Calc (ex-animal)'!$L$105+'Calc (ex-animal)'!$K$105)*'Calc (ex-housing, ex-storage)'!F562/100*VLOOKUP(D562,'DB technologies'!$N$266:$Y$278,11,FALSE)/100/VLOOKUP($C$559,'DB animal categories'!$C$201:$AC$210,27,FALSE)*AJ562-AC562*VLOOKUP(D562,'DB technologies'!$N$266:$Y$278,11,FALSE)/100,0))))</f>
        <v/>
      </c>
      <c r="AP562" s="182" t="str">
        <f>IF(D562="","",IF(AO562&lt;-0.01,0,IF(AI562=2,(('Calc (ex-animal)'!$L$105*'Calc (ex-housing, ex-storage)'!F562/100+'Calc (ex-animal)'!$K$105*'Calc (ex-housing, ex-storage)'!F562/100))/VLOOKUP($C$559,'DB animal categories'!$C$201:$AC$210,27,FALSE)*AJ562+Q562+R562+S562-AC562,IF(AI562=1,('Calc (ex-animal)'!$L$105*'Calc (ex-housing, ex-storage)'!F562/100)/VLOOKUP($C$559,'DB animal categories'!$C$201:$AC$210,27,FALSE)*AJ562-'Calc (ex-housing, ex-storage)'!AC562,IF(AI562=4,('Calc (ex-animal)'!$L$105+'Calc (ex-animal)'!$K$105)*'Calc (ex-housing, ex-storage)'!F562/100*VLOOKUP(D562,'DB technologies'!$N$266:$Y$278,11,FALSE)/100/VLOOKUP($C$559,'DB animal categories'!$C$201:$AC$210,27,FALSE)*AJ562-AC562*VLOOKUP(D562,'DB technologies'!$N$266:$Y$278,11,FALSE)/100,0)))))</f>
        <v/>
      </c>
      <c r="AQ562" s="182" t="str">
        <f>IF(D562="","",IF(AI562=2,('Calc (ex-animal)'!$O$105*'Calc (ex-housing, ex-storage)'!F562/100+'Calc (ex-animal)'!$N$105*'Calc (ex-housing, ex-storage)'!F562/100)/VLOOKUP($C$559,'DB animal categories'!$C$201:$AC$210,27,FALSE)*AJ562+U562+V562+W562,IF(AI562=1,'Calc (ex-animal)'!$O$105*'Calc (ex-housing, ex-storage)'!F562/100/VLOOKUP($C$559,'DB animal categories'!$C$201:$AC$210,27,FALSE)*AJ562,IF(AI562=4,('Calc (ex-animal)'!$O$105+'Calc (ex-animal)'!$N$105)*'Calc (ex-housing, ex-storage)'!F562/100*VLOOKUP(D562,'DB technologies'!$N$266:$Y$278,11,FALSE)/100/VLOOKUP($C$559,'DB animal categories'!$C$201:$AC$210,27,FALSE)*AJ562,0))))</f>
        <v/>
      </c>
      <c r="AR562" s="182" t="str">
        <f>IF(D562="","",IF(AI562=2,('Calc (ex-animal)'!$R$105*'Calc (ex-housing, ex-storage)'!F562/100+'Calc (ex-animal)'!$Q$105*'Calc (ex-housing, ex-storage)'!F562/100)/VLOOKUP($C$559,'DB animal categories'!$C$201:$AC$210,27,FALSE)*AJ562+Y562+Z562+AA562,IF(AI562=1,'Calc (ex-animal)'!$R$105*'Calc (ex-housing, ex-storage)'!F562/100/VLOOKUP($C$559,'DB animal categories'!$C$201:$AC$210,27,FALSE)*AJ562,IF(AI562=4,('Calc (ex-animal)'!$R$105+'Calc (ex-animal)'!$Q$105)*'Calc (ex-housing, ex-storage)'!F562/100*VLOOKUP(D562,'DB technologies'!$N$266:$Y$278,11,FALSE)/100/VLOOKUP($C$559,'DB animal categories'!$C$201:$AC$210,27,FALSE)*AJ562,0))))</f>
        <v/>
      </c>
      <c r="AS562" s="181" t="str">
        <f>IF(D562="","",VLOOKUP(D562,'DB technologies'!$N$266:$Y$278,10,FALSE))</f>
        <v/>
      </c>
      <c r="AT562" s="442" t="str">
        <f>IF(AS562="","",AU562+AV562)</f>
        <v/>
      </c>
      <c r="AU562" s="442" t="str">
        <f>IF(D562="","",IF(AS562=2,0,IF(AS562=1,'Calc (ex-animal)'!$G$105*'DB additional information '!$K$22/100*(1-VLOOKUP(D562,'DB technologies'!$N$266:$Y$278,8,FALSE)/100)*'Calc (ex-housing, ex-storage)'!F562/100/VLOOKUP($C$559,'DB animal categories'!$C$201:$AC$210,27,FALSE)*AJ562+I562+J562+K562,IF(AS562=5,(('Calc (ex-animal)'!$G$105*'DB additional information '!$K$22/100+'Calc (ex-animal)'!$H$105*'DB additional information '!$L$22/100))*(1-VLOOKUP(D562,'DB technologies'!$N$266:$Y$278,9,FALSE)/100)*'Calc (ex-housing, ex-storage)'!F562/100/VLOOKUP($C$559,'DB animal categories'!$C$201:$AC$210,27,FALSE)*AJ562+I562+J562+K562,IF(AS562=3,('Calc (ex-animal)'!$G$105*'DB additional information '!$K$22/100+'Calc (ex-animal)'!$H$105*'DB additional information '!$L$22/100)*(1-VLOOKUP(D562,'DB technologies'!$N$266:$Y$278,9,FALSE)/100)*'Calc (ex-housing, ex-storage)'!F562/100/VLOOKUP($C$559,'DB animal categories'!$C$201:$AC$210,27,FALSE)*AJ562+I562+J562+K562,IF(AS562=4,('Calc (ex-animal)'!$G$105*'DB additional information '!$K$22/100+'Calc (ex-animal)'!$H$105*'DB additional information '!$L$22/100)*(1-VLOOKUP(D562,'DB technologies'!$N$266:$Y$278,9,FALSE)/100)*'Calc (ex-housing, ex-storage)'!F562/100*VLOOKUP(D562,'DB technologies'!$N$266:$Y$278,12,FALSE)/100/VLOOKUP($C$559,'DB animal categories'!$C$201:$AC$210,27,FALSE)*AJ562+I562+J562+K562,0))))))</f>
        <v/>
      </c>
      <c r="AV562" s="442" t="str">
        <f>IF(D562="","",IF(AS562=2,0,IF(AS562=1,'Calc (ex-animal)'!$G$105*(1-'DB additional information '!$K$22/100)*(1-VLOOKUP(D562,'DB technologies'!$N$266:$Y$278,8,FALSE)/100)*'Calc (ex-housing, ex-storage)'!F562/100/VLOOKUP($C$559,'DB animal categories'!$C$201:$AC$210,27,FALSE)*AJ562+M562+N562+O562,IF(AS562=5,('Calc (ex-animal)'!$G$105*(1-'DB additional information '!$K$22/100)+'Calc (ex-animal)'!$H$105*(1-'DB additional information '!$L$22/100))*(1-VLOOKUP(D562,'DB technologies'!$N$266:$Y$278,8,FALSE)/100)*'Calc (ex-housing, ex-storage)'!F562/100/VLOOKUP($C$559,'DB animal categories'!$C$201:$AC$210,27,FALSE)*AJ562+M562+N562+O562,IF(AS562=3,('Calc (ex-animal)'!$G$105*(1-'DB additional information '!$K$22/100)+'Calc (ex-animal)'!$H$105*(1-'DB additional information '!$L$22/100))*(1-VLOOKUP(D562,'DB technologies'!$N$266:$Y$278,8,FALSE)/100)*'Calc (ex-housing, ex-storage)'!F562/100/VLOOKUP($C$559,'DB animal categories'!$C$201:$AC$210,27,FALSE)*AJ562+M562+N562+O562,IF(AS562=4,('Calc (ex-animal)'!$G$105*(1-'DB additional information '!$K$22/100)+'Calc (ex-animal)'!$H$105*(1-'DB additional information '!$L$22/100))*(1-VLOOKUP(D562,'DB technologies'!$N$266:$Y$278,8,FALSE)/100)*'Calc (ex-housing, ex-storage)'!F562/100*VLOOKUP(D562,'DB technologies'!$N$266:$Y$278,12,FALSE)/100/VLOOKUP($C$559,'DB animal categories'!$C$201:$AC$210,27,FALSE)*AJ562+M562+N562+O562,0))))))</f>
        <v/>
      </c>
      <c r="AW562" s="442" t="str">
        <f>IF(AS562="","",IF(AU562=0,0,AU562/AT562*100))</f>
        <v/>
      </c>
      <c r="AX562" s="182" t="str">
        <f>IF(D562="","",IF(AS562=2,0,IF(AS562=1,'Calc (ex-animal)'!$K$105*'Calc (ex-housing, ex-storage)'!F562/100/VLOOKUP($C$559,'DB animal categories'!$C$201:$AC$210,27,FALSE)*AJ562+Q562+R562+S562,IF(AS562=5,('Calc (ex-animal)'!$K$105+'Calc (ex-animal)'!$L$105)*'Calc (ex-housing, ex-storage)'!F562/100/VLOOKUP($C$559,'DB animal categories'!$C$201:$AC$210,27,FALSE)*AJ562+Q562+R562+S562-'Calc (ex-housing, ex-storage)'!AC562,IF(AS562=3,('Calc (ex-animal)'!$K$105+'Calc (ex-animal)'!$L$105)*'Calc (ex-housing, ex-storage)'!F562/100/VLOOKUP($C$559,'DB animal categories'!$C$201:$AC$210,27,FALSE)*AJ562+Q562+R562+S562-'Calc (ex-housing, ex-storage)'!AC562-AD562-AE562,IF(AI562=4,('Calc (ex-animal)'!$K$105+'Calc (ex-animal)'!$L$105)*'Calc (ex-housing, ex-storage)'!F562/100*VLOOKUP(D562,'DB technologies'!$N$266:$Y$278,12,FALSE)/100/VLOOKUP($C$559,'DB animal categories'!$C$201:$AC$210,27,FALSE)*AJ562+Q562+R562+S562-(VLOOKUP(D562,'DB technologies'!$N$266:$Y$278,12,FALSE)/100*AC562)-AD562-AE562,0))))))</f>
        <v/>
      </c>
      <c r="AY562" s="182" t="str">
        <f>IF(D562="","",IF(AS562=2,0,IF(AS562=1,'Calc (ex-animal)'!$N$105*'Calc (ex-housing, ex-storage)'!F562/100/VLOOKUP($C$559,'DB animal categories'!$C$201:$AC$210,27,FALSE)*AJ562+U562+V562+W562,IF(AS562=5,('Calc (ex-animal)'!$N$105+'Calc (ex-animal)'!$O$105)*'Calc (ex-housing, ex-storage)'!F562/100/VLOOKUP($C$559,'DB animal categories'!$C$201:$AC$210,27,FALSE)*AJ562+U562+V562+W562,IF(AS562=3,('Calc (ex-animal)'!$N$105+'Calc (ex-animal)'!$O$105)*'Calc (ex-housing, ex-storage)'!F562/100/VLOOKUP($C$559,'DB animal categories'!$C$201:$AC$210,27,FALSE)*AJ562+U562+V562+W562,IF(AS562=4,('Calc (ex-animal)'!$N$105+'Calc (ex-animal)'!$O$105)*'Calc (ex-housing, ex-storage)'!F562/100*VLOOKUP(D562,'DB technologies'!$N$266:$Y$278,12,FALSE)/100/VLOOKUP($C$559,'DB animal categories'!$C$201:$AC$210,27,FALSE)*AJ562+U562+V562+W562,0))))))</f>
        <v/>
      </c>
      <c r="AZ562" s="182" t="str">
        <f>IF(D562="","",IF(AS562=2,0,IF(AS562=1,'Calc (ex-animal)'!$Q$105*'Calc (ex-housing, ex-storage)'!F562/100/VLOOKUP($C$559,'DB animal categories'!$C$201:$AC$210,27,FALSE)*AJ562+Y562+Z562+AA562,IF(AS562=5,('Calc (ex-animal)'!$Q$105+'Calc (ex-animal)'!$R$105)*'Calc (ex-housing, ex-storage)'!F562/100/VLOOKUP($C$559,'DB animal categories'!$C$201:$AC$210,27,FALSE)*AJ562+Y562+Z562+AA562,IF(AS562=3,('Calc (ex-animal)'!$Q$105+'Calc (ex-animal)'!$R$105)*'Calc (ex-housing, ex-storage)'!F562/100/VLOOKUP($C$559,'DB animal categories'!$C$201:$AC$210,27,FALSE)*AJ562+Y562+Z562+AA562,IF(AS562=4,('Calc (ex-animal)'!$Q$105+'Calc (ex-animal)'!$R$105)*'Calc (ex-housing, ex-storage)'!F562/100*VLOOKUP(D562,'DB technologies'!$N$266:$Y$278,12,FALSE)/100/VLOOKUP($C$559,'DB animal categories'!$C$201:$AC$210,27,FALSE)*AJ562+Y562+Z562+AA562,0))))))</f>
        <v/>
      </c>
      <c r="BA562" s="506"/>
      <c r="BB562" s="506"/>
      <c r="BC562" s="506"/>
    </row>
    <row r="563" spans="1:55" ht="12" thickBot="1" x14ac:dyDescent="0.25">
      <c r="A563" s="748"/>
      <c r="B563" s="695"/>
      <c r="C563" s="251"/>
      <c r="D563" s="1359"/>
      <c r="E563" s="1360"/>
      <c r="F563" s="481" t="str">
        <f>IF('Calc (ex-animal)'!$F$103=1,"",IF($C$559=0,"",IF(D563="","",E563/'Calc (ex-animal)'!$E$105*100)))</f>
        <v/>
      </c>
      <c r="G563" s="483" t="str">
        <f>IF($C$559=0,"",IF('Calc (ex-animal)'!$F$103=1,"",IF(D563="","",SUM(H563:O563))))</f>
        <v/>
      </c>
      <c r="H563" s="445" t="str">
        <f>IF('Calc (ex-animal)'!$F$103=1,"",IF(D563="","",(((VLOOKUP($C$559,'Calc (ex-animal)'!$D$103:$Y$107,6,FALSE)-VLOOKUP($C$559,'Calc (ex-animal)'!$D$103:$Y$107,17,FALSE))*F563/100))*VLOOKUP($C$559,'Calc (ex-animal)'!$D$103:$Y$107,7,FALSE)/100*(1-VLOOKUP(D563,'DB technologies'!$N$266:$Y$278,9,FALSE)/100)))</f>
        <v/>
      </c>
      <c r="I563" s="445" t="str">
        <f>IF(D563="","",((VLOOKUP(D563,'DB technologies'!$N$266:$Y$278,2,FALSE)*VLOOKUP($C$559,'DB animal categories'!$C$201:$AC$210,27,FALSE)*E563/1000)/VLOOKUP($C$559,'DB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'!$S$6/100*(1-VLOOKUP(D563,'DB technologies'!$N$266:$Y$278,9,FALSE)/100)))</f>
        <v/>
      </c>
      <c r="J563" s="446" t="str">
        <f>IF(D563="","",((VLOOKUP(D563,'DB technologies'!$N$266:$Y$278,3,FALSE)*VLOOKUP($C$559,'DB animal categories'!$C$201:$AC$210,27,FALSE)*E563/1000)/VLOOKUP($C$559,'DB animal categories'!$C$201:$AC$210,27,FALSE)*(VLOOKUP($C$559,'DB animal categories'!$C$201:$AC$210,27,FALSE)-(VLOOKUP($C$559,'DB animal categories'!$C$201:$AC$210,25,FALSE)*VLOOKUP($C$559,'DB animal categories'!$C$201:$AC$210,26,FALSE)/24))*'DB additional information '!$S$7/100*(1-VLOOKUP(D563,'DB technologies'!$N$266:$Y$278,9,FALSE)/100)))</f>
        <v/>
      </c>
      <c r="K563" s="446" t="str">
        <f>IF(D563="","",((VLOOKUP(D563,'DB technologies'!$N$266:$Y$278,4,FALSE)*E563*'DB additional information '!$S$8/100*(1-VLOOKUP(D563,'DB technologies'!$N$266:$Y$278,9,FALSE)/100))/VLOOKUP($C$559,'DB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L563" s="445" t="str">
        <f>IF('Calc (ex-animal)'!$F$103=1,"",IF(D563="","",(((VLOOKUP($C$559,'Calc (ex-animal)'!$D$103:$Y$107,6,FALSE)-VLOOKUP($C$559,'Calc (ex-animal)'!$D$103:$Y$107,17,FALSE))*F563/100))*(1-VLOOKUP($C$559,'Calc (ex-animal)'!$D$103:$Y$107,7,FALSE)/100)*(1-VLOOKUP(D563,'DB technologies'!$N$266:$V$278,8,FALSE)/100)))</f>
        <v/>
      </c>
      <c r="M563" s="446" t="str">
        <f>IF(D563="","",((VLOOKUP(D563,'DB technologies'!$N$266:$Y$278,2,FALSE)*VLOOKUP($C$559,'DB animal categories'!$C$201:$AC$210,27,FALSE)*E563/1000)/VLOOKUP($C$559,'DB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'!$S$6/100)*(1-VLOOKUP(D563,'DB technologies'!$N$266:$Y$278,9,FALSE)/100))</f>
        <v/>
      </c>
      <c r="N563" s="446" t="str">
        <f>IF(D563="","",((VLOOKUP(D563,'DB technologies'!$N$266:$Y$278,3,FALSE)*VLOOKUP($C$559,'DB animal categories'!$C$201:$AC$210,27,FALSE)*E563/1000)/VLOOKUP($C$559,'DB animal categories'!$C$201:$AC$210,27,FALSE)*(VLOOKUP($C$559,'DB animal categories'!$C$201:$AC$210,27,FALSE)-VLOOKUP($C$559,'DB animal categories'!$C$201:$AC$210,25,FALSE)*VLOOKUP($C$559,'DB animal categories'!$C$201:$AC$210,26,FALSE)/24))*(1-'DB additional information '!$S$7/100)*(1-VLOOKUP(D563,'DB technologies'!$N$266:$Y$278,9,FALSE)/100))</f>
        <v/>
      </c>
      <c r="O563" s="445" t="str">
        <f>IF(D563="","",((VLOOKUP(D563,'DB technologies'!$N$266:$Y$278,4,FALSE)*E563*(1-'DB additional information '!$S$8/100)*(1-VLOOKUP(D563,'DB technologies'!$N$266:$Y$278,8,FALSE)/100))/VLOOKUP($C$559,'DB animal categories'!$C$201:$AC$210,27,FALSE)*(VLOOKUP($C$559,'DB animal categories'!$C$201:$AC$210,27,FALSE)-VLOOKUP($C$559,'DB animal categories'!$C$201:$AC$210,25,FALSE)*VLOOKUP($C$559,'DB animal categories'!$C$201:$AC$210,26,FALSE)/24)))</f>
        <v/>
      </c>
      <c r="P563" s="444" t="str">
        <f>IF(G563=0,0,IF(E563="","",IF(F563="","",IF($C$559=0,"",IF(D563="","",SUM(H563:K563)/G563*100)))))</f>
        <v/>
      </c>
      <c r="Q563" s="476" t="str">
        <f>IF(D563="","",(VLOOKUP(D563,'DB technologies'!$N$266:$Y$278,2,FALSE)*'DB additional information '!$S$6/100*'DB additional information '!$T$6*VLOOKUP($C$559,'DB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R563" s="476" t="str">
        <f>IF(D563="","",(VLOOKUP(D563,'DB technologies'!$N$266:$Y$278,3,FALSE)*'DB additional information '!$S$7/100*'DB additional information '!$T$7*VLOOKUP($C$559,'DB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S563" s="494" t="str">
        <f>IF(D563="","",(VLOOKUP(D563,'DB technologies'!$N$266:$Y$278,4,FALSE)*('DB additional information '!$S$8/100*'DB additional information '!$T$8*E563/1000/1000)))</f>
        <v/>
      </c>
      <c r="T563" s="266" t="str">
        <f>IF($C$559=0,"",IF('Calc (ex-animal)'!$F$103=1,"",IF(D563="","",((VLOOKUP($C$559,'Calc (ex-animal)'!$D$103:$Y$107,10,FALSE)-VLOOKUP($C$559,'Calc (ex-animal)'!$D$103:$Y$107,18,FALSE))*F563/100+Q563+R563+S563)-AC563-AD563-AE563)))</f>
        <v/>
      </c>
      <c r="U563" s="477" t="str">
        <f>IF(D563="","",(VLOOKUP(D563,'DB technologies'!$N$266:$Y$278,2,FALSE)*'DB additional information '!$S$6/100*'DB additional information '!$U$6*VLOOKUP($C$559,'DB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V563" s="433" t="str">
        <f>IF(D563="","",(VLOOKUP(D563,'DB technologies'!$N$266:$Y$278,3,FALSE)*'DB additional information '!$S$7/100*'DB additional information '!$U$7*VLOOKUP($C$559,'DB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W563" s="475" t="str">
        <f>IF(D563="","",(VLOOKUP(D563,'DB technologies'!$N$266:$Y$278,4,FALSE)*('DB additional information '!$S$8/100*'DB additional information '!$U$8*E563/1000/1000)))</f>
        <v/>
      </c>
      <c r="X563" s="267" t="str">
        <f>IF($C$559=0,"",IF('Calc (ex-animal)'!$F$103=1,"",IF(D563="","",((VLOOKUP($C$559,'Calc (ex-animal)'!$D$103:$Y$107,13,FALSE)-VLOOKUP($C$559,'Calc (ex-animal)'!$D$103:$Y$107,19,FALSE))*F563/100+U563+V563+W563))))</f>
        <v/>
      </c>
      <c r="Y563" s="433" t="str">
        <f>IF(D563="","",(VLOOKUP(D563,'DB technologies'!$N$266:$Y$278,2,FALSE)*'DB additional information '!$S$6/100*'DB additional information '!$V$6*VLOOKUP($C$559,'DB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Z563" s="433" t="str">
        <f>IF(D563="","",(VLOOKUP(D563,'DB technologies'!$N$266:$Y$278,3,FALSE)*'DB additional information '!$S$7/100*'DB additional information '!$V$7*VLOOKUP($C$559,'DB animal categories'!$C$201:$AC$210,27,FALSE)*E563/1000/1000)/VLOOKUP($C$559,'DB animal categories'!$C$201:$AC$210,27,FALSE)*(VLOOKUP($C$559,'DB animal categories'!$C$201:$AC$210,27,FALSE)-VLOOKUP($C$559,'DB animal categories'!$C$201:$AC$210,25,FALSE)*VLOOKUP($C$559,'DB animal categories'!$C$201:$AC$210,26,FALSE)/24))</f>
        <v/>
      </c>
      <c r="AA563" s="433" t="str">
        <f>IF(D563="","",(VLOOKUP(D563,'DB technologies'!$N$266:$Y$278,4,FALSE)*('DB additional information '!$S$8/100*'DB additional information '!$V$8*E563/1000/1000)))</f>
        <v/>
      </c>
      <c r="AB563" s="267" t="str">
        <f>IF($C$559=0,"",IF('Calc (ex-animal)'!$F$103=1,"",IF(D563="","",((VLOOKUP($C$559,'Calc (ex-animal)'!$D$103:$Y$107,16,FALSE)-VLOOKUP($C$559,'Calc (ex-animal)'!$D$103:$Y$107,20,FALSE))*F563/100+Y563+Z563+AA563))))</f>
        <v/>
      </c>
      <c r="AC563" s="267" t="str">
        <f>IF($C$559=0,"",IF('Calc (ex-animal)'!$F$103=1,"",IF(D563="","",VLOOKUP($C$559,'Calc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categories'!$C$201:$AC$210,26,FALSE)/24)*F563/100*VLOOKUP(D563,'DB technologies'!$N$266:$R$278,5,FALSE)/100)))</f>
        <v/>
      </c>
      <c r="AD563" s="267" t="str">
        <f>IF($C$559=0,"",IF('Calc (ex-animal)'!$F$103=1,"",IF(D563="","",VLOOKUP($C$559,'Calc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categories'!$C$201:$AC$210,26,FALSE)/24)*F563/100*VLOOKUP(D563,'DB technologies'!$N$266:$Y$278,6,FALSE)/100)))</f>
        <v/>
      </c>
      <c r="AE563" s="268" t="str">
        <f>IF($C$559=0,"",IF('Calc (ex-animal)'!$F$103=1,"",IF(D563="","",VLOOKUP($C$559,'Calc (ex-animal)'!$D$103:$Y$107,10,FALSE)/VLOOKUP($C$559,'DB animal categories'!$C$201:$AC$210,27,FALSE)*(VLOOKUP($C$559,'DB animal categories'!$C$201:$AC$210,27,FALSE)-VLOOKUP($C$559,'DB animal categories'!$C$201:$AC$210,25,FALSE)*VLOOKUP($C$559,'DB animal categories'!$C$201:$AC$210,26,FALSE)/24)*F563/100*VLOOKUP(D563,'DB technologies'!$N$266:$Y$278,7,FALSE)/100)))</f>
        <v/>
      </c>
      <c r="AI563" s="183" t="str">
        <f>IF(D563="","",VLOOKUP(D563,'DB technologies'!$N$266:$Y$278,10,FALSE))</f>
        <v/>
      </c>
      <c r="AJ563" s="451" t="e">
        <f>VLOOKUP($C$559,'DB animal categories'!$C$201:$AN$210,27,FALSE)-VLOOKUP($C$559,'DB animal categories'!$C$201:$AN$210,26,FALSE)*VLOOKUP($C$559,'DB animal categories'!$C$201:$AN$210,25,FALSE)/24</f>
        <v>#N/A</v>
      </c>
      <c r="AK563" s="452" t="str">
        <f>IF(AI563="","",AL563+AM563)</f>
        <v/>
      </c>
      <c r="AL563" s="452" t="str">
        <f>IF(D563="","",IF(AI563=2,(('Calc (ex-animal)'!$G$105*'DB additional information '!$K$22/100*(1-VLOOKUP(D563,'DB technologies'!$N$266:$Y$278,9,FALSE)/100)*'Calc (ex-housing, ex-storage)'!F563/100+'Calc (ex-animal)'!$H$105*'DB additional information '!$L$22/100*(1-VLOOKUP(D563,'DB technologies'!$N$266:$Y$278,9,FALSE)/100)*'Calc (ex-housing, ex-storage)'!F563/100))/VLOOKUP($C$559,'DB animal categories'!$C$201:$AC$210,27,FALSE)*AJ563+I563+J563+K563,IF(AI563=1,('Calc (ex-animal)'!$H$105*'DB additional information '!$L$22/100*(1-VLOOKUP(D563,'DB technologies'!$N$266:$Y$278,9,FALSE)/100)*'Calc (ex-housing, ex-storage)'!F563/100)/VLOOKUP($C$559,'DB animal categories'!$C$201:$AC$210,27,FALSE)*AJ563,IF(AI563=4,('Calc (ex-animal)'!$G$105*'DB additional information '!$K$22/100+'Calc (ex-animal)'!$H$105*'DB additional information '!$L$22/100)*(1-VLOOKUP(D563,'DB technologies'!$N$266:$Y$278,9,FALSE)/100)*'Calc (ex-housing, ex-storage)'!F563/100*VLOOKUP(D563,'DB technologies'!$N$266:$Y$278,11,FALSE)/100/VLOOKUP($C$559,'DB animal categories'!$C$201:$AC$210,27,FALSE)*AJ563,0))))</f>
        <v/>
      </c>
      <c r="AM563" s="452" t="str">
        <f>IF(D563="","",IF(AI563=2,(('Calc (ex-animal)'!$G$105*(1-'DB additional information '!$K$22/100)*(1-VLOOKUP(D563,'DB technologies'!$N$266:$Y$278,8,FALSE)/100)*'Calc (ex-housing, ex-storage)'!F563/100+'Calc (ex-animal)'!$H$105*(1-'DB additional information '!$L$22/100)*(1-VLOOKUP(D563,'DB technologies'!$N$266:$Y$278,8,FALSE)/100)*'Calc (ex-housing, ex-storage)'!F563/100))/VLOOKUP($C$559,'DB animal categories'!$C$201:$AC$210,27,FALSE)*AJ563+M563+N563+O563,IF(AI563=1,('Calc (ex-animal)'!$H$105*(1-'DB additional information '!$L$22/100)*(1-VLOOKUP(D563,'DB technologies'!$N$266:$Y$278,8,FALSE)/100)*'Calc (ex-housing, ex-storage)'!F563/100)/VLOOKUP($C$559,'DB animal categories'!$C$201:$AC$210,27,FALSE)*AJ563,IF(AI563=4,('Calc (ex-animal)'!$G$105*(1-'DB additional information '!$K$22/100)+'Calc (ex-animal)'!$H$105*(1-'DB additional information '!$L$22/100))*(1-VLOOKUP(D563,'DB technologies'!$N$266:$Y$278,8,FALSE)/100)*'Calc (ex-housing, ex-storage)'!F563/100*VLOOKUP(D563,'DB technologies'!$N$266:$Y$278,11,FALSE)/100/VLOOKUP($C$559,'DB animal categories'!$C$201:$AC$210,27,FALSE)*AJ563,0))))</f>
        <v/>
      </c>
      <c r="AN563" s="452" t="str">
        <f>IF(AI563="","",IF(AL563=0,0,AL563/AK563*100))</f>
        <v/>
      </c>
      <c r="AO563" s="184" t="str">
        <f>IF(D563="","",IF(AI563=2,(('Calc (ex-animal)'!$L$105*'Calc (ex-housing, ex-storage)'!F563/100+'Calc (ex-animal)'!$K$105*'Calc (ex-housing, ex-storage)'!F563/100))/VLOOKUP($C$559,'DB animal categories'!$C$201:$AC$210,27,FALSE)*AJ563+Q563+R563+S563-AC563,IF(AI563=1,('Calc (ex-animal)'!$L$105*'Calc (ex-housing, ex-storage)'!F563/100)/VLOOKUP($C$559,'DB animal categories'!$C$201:$AC$210,27,FALSE)*AJ563-'Calc (ex-housing, ex-storage)'!AC563,IF(AI563=4,('Calc (ex-animal)'!$L$105+'Calc (ex-animal)'!$K$105)*'Calc (ex-housing, ex-storage)'!F563/100*VLOOKUP(D563,'DB technologies'!$N$266:$Y$278,11,FALSE)/100/VLOOKUP($C$559,'DB animal categories'!$C$201:$AC$210,27,FALSE)*AJ563-AC563*VLOOKUP(D563,'DB technologies'!$N$266:$Y$278,11,FALSE)/100,0))))</f>
        <v/>
      </c>
      <c r="AP563" s="184" t="str">
        <f>IF(D563="","",IF(AO563&lt;-0.01,0,IF(AI563=2,(('Calc (ex-animal)'!$L$105*'Calc (ex-housing, ex-storage)'!F563/100+'Calc (ex-animal)'!$K$105*'Calc (ex-housing, ex-storage)'!F563/100))/VLOOKUP($C$559,'DB animal categories'!$C$201:$AC$210,27,FALSE)*AJ563+Q563+R563+S563-AC563,IF(AI563=1,('Calc (ex-animal)'!$L$105*'Calc (ex-housing, ex-storage)'!F563/100)/VLOOKUP($C$559,'DB animal categories'!$C$201:$AC$210,27,FALSE)*AJ563-'Calc (ex-housing, ex-storage)'!AC563,IF(AI563=4,('Calc (ex-animal)'!$L$105+'Calc (ex-animal)'!$K$105)*'Calc (ex-housing, ex-storage)'!F563/100*VLOOKUP(D563,'DB technologies'!$N$266:$Y$278,11,FALSE)/100/VLOOKUP($C$559,'DB animal categories'!$C$201:$AC$210,27,FALSE)*AJ563-AC563*VLOOKUP(D563,'DB technologies'!$N$266:$Y$278,11,FALSE)/100,0)))))</f>
        <v/>
      </c>
      <c r="AQ563" s="184" t="str">
        <f>IF(D563="","",IF(AI563=2,('Calc (ex-animal)'!$O$105*'Calc (ex-housing, ex-storage)'!F563/100+'Calc (ex-animal)'!$N$105*'Calc (ex-housing, ex-storage)'!F563/100)/VLOOKUP($C$559,'DB animal categories'!$C$201:$AC$210,27,FALSE)*AJ563+U563+V563+W563,IF(AI563=1,'Calc (ex-animal)'!$O$105*'Calc (ex-housing, ex-storage)'!F563/100/VLOOKUP($C$559,'DB animal categories'!$C$201:$AC$210,27,FALSE)*AJ563,IF(AI563=4,('Calc (ex-animal)'!$O$105+'Calc (ex-animal)'!$N$105)*'Calc (ex-housing, ex-storage)'!F563/100*VLOOKUP(D563,'DB technologies'!$N$266:$Y$278,11,FALSE)/100/VLOOKUP($C$559,'DB animal categories'!$C$201:$AC$210,27,FALSE)*AJ563,0))))</f>
        <v/>
      </c>
      <c r="AR563" s="184" t="str">
        <f>IF(D563="","",IF(AI563=2,('Calc (ex-animal)'!$R$105*'Calc (ex-housing, ex-storage)'!F563/100+'Calc (ex-animal)'!$Q$105*'Calc (ex-housing, ex-storage)'!F563/100)/VLOOKUP($C$559,'DB animal categories'!$C$201:$AC$210,27,FALSE)*AJ563+Y563+Z563+AA563,IF(AI563=1,'Calc (ex-animal)'!$R$105*'Calc (ex-housing, ex-storage)'!F563/100/VLOOKUP($C$559,'DB animal categories'!$C$201:$AC$210,27,FALSE)*AJ563,IF(AI563=4,('Calc (ex-animal)'!$R$105+'Calc (ex-animal)'!$Q$105)*'Calc (ex-housing, ex-storage)'!F563/100*VLOOKUP(D563,'DB technologies'!$N$266:$Y$278,11,FALSE)/100/VLOOKUP($C$559,'DB animal categories'!$C$201:$AC$210,27,FALSE)*AJ563,0))))</f>
        <v/>
      </c>
      <c r="AS563" s="183" t="str">
        <f>IF(D563="","",VLOOKUP(D563,'DB technologies'!$N$266:$Y$278,10,FALSE))</f>
        <v/>
      </c>
      <c r="AT563" s="452" t="str">
        <f>IF(AS563="","",AU563+AV563)</f>
        <v/>
      </c>
      <c r="AU563" s="452" t="str">
        <f>IF(D563="","",IF(AS563=2,0,IF(AS563=1,'Calc (ex-animal)'!$G$105*'DB additional information '!$K$22/100*(1-VLOOKUP(D563,'DB technologies'!$N$266:$Y$278,8,FALSE)/100)*'Calc (ex-housing, ex-storage)'!F563/100/VLOOKUP($C$559,'DB animal categories'!$C$201:$AC$210,27,FALSE)*AJ563+I563+J563+K563,IF(AS563=5,(('Calc (ex-animal)'!$G$105*'DB additional information '!$K$22/100+'Calc (ex-animal)'!$H$105*'DB additional information '!$L$22/100))*(1-VLOOKUP(D563,'DB technologies'!$N$266:$Y$278,9,FALSE)/100)*'Calc (ex-housing, ex-storage)'!F563/100/VLOOKUP($C$559,'DB animal categories'!$C$201:$AC$210,27,FALSE)*AJ563+I563+J563+K563,IF(AS563=3,('Calc (ex-animal)'!$G$105*'DB additional information '!$K$22/100+'Calc (ex-animal)'!$H$105*'DB additional information '!$L$22/100)*(1-VLOOKUP(D563,'DB technologies'!$N$266:$Y$278,9,FALSE)/100)*'Calc (ex-housing, ex-storage)'!F563/100/VLOOKUP($C$559,'DB animal categories'!$C$201:$AC$210,27,FALSE)*AJ563+I563+J563+K563,IF(AS563=4,('Calc (ex-animal)'!$G$105*'DB additional information '!$K$22/100+'Calc (ex-animal)'!$H$105*'DB additional information '!$L$22/100)*(1-VLOOKUP(D563,'DB technologies'!$N$266:$Y$278,9,FALSE)/100)*'Calc (ex-housing, ex-storage)'!F563/100*VLOOKUP(D563,'DB technologies'!$N$266:$Y$278,12,FALSE)/100/VLOOKUP($C$559,'DB animal categories'!$C$201:$AC$210,27,FALSE)*AJ563+I563+J563+K563,0))))))</f>
        <v/>
      </c>
      <c r="AV563" s="452" t="str">
        <f>IF(D563="","",IF(AS563=2,0,IF(AS563=1,'Calc (ex-animal)'!$G$105*(1-'DB additional information '!$K$22/100)*(1-VLOOKUP(D563,'DB technologies'!$N$266:$Y$278,8,FALSE)/100)*'Calc (ex-housing, ex-storage)'!F563/100/VLOOKUP($C$559,'DB animal categories'!$C$201:$AC$210,27,FALSE)*AJ563+M563+N563+O563,IF(AS563=5,('Calc (ex-animal)'!$G$105*(1-'DB additional information '!$K$22/100)+'Calc (ex-animal)'!$H$105*(1-'DB additional information '!$L$22/100))*(1-VLOOKUP(D563,'DB technologies'!$N$266:$Y$278,8,FALSE)/100)*'Calc (ex-housing, ex-storage)'!F563/100/VLOOKUP($C$559,'DB animal categories'!$C$201:$AC$210,27,FALSE)*AJ563+M563+N563+O563,IF(AS563=3,('Calc (ex-animal)'!$G$105*(1-'DB additional information '!$K$22/100)+'Calc (ex-animal)'!$H$105*(1-'DB additional information '!$L$22/100))*(1-VLOOKUP(D563,'DB technologies'!$N$266:$Y$278,8,FALSE)/100)*'Calc (ex-housing, ex-storage)'!F563/100/VLOOKUP($C$559,'DB animal categories'!$C$201:$AC$210,27,FALSE)*AJ563+M563+N563+O563,IF(AS563=4,('Calc (ex-animal)'!$G$105*(1-'DB additional information '!$K$22/100)+'Calc (ex-animal)'!$H$105*(1-'DB additional information '!$L$22/100))*(1-VLOOKUP(D563,'DB technologies'!$N$266:$Y$278,8,FALSE)/100)*'Calc (ex-housing, ex-storage)'!F563/100*VLOOKUP(D563,'DB technologies'!$N$266:$Y$278,12,FALSE)/100/VLOOKUP($C$559,'DB animal categories'!$C$201:$AC$210,27,FALSE)*AJ563+M563+N563+O563,0))))))</f>
        <v/>
      </c>
      <c r="AW563" s="452" t="str">
        <f>IF(AS563="","",IF(AU563=0,0,AU563/AT563*100))</f>
        <v/>
      </c>
      <c r="AX563" s="184" t="str">
        <f>IF(D563="","",IF(AS563=2,0,IF(AS563=1,'Calc (ex-animal)'!$K$105*'Calc (ex-housing, ex-storage)'!F563/100/VLOOKUP($C$559,'DB animal categories'!$C$201:$AC$210,27,FALSE)*AJ563+Q563+R563+S563,IF(AS563=5,('Calc (ex-animal)'!$K$105+'Calc (ex-animal)'!$L$105)*'Calc (ex-housing, ex-storage)'!F563/100/VLOOKUP($C$559,'DB animal categories'!$C$201:$AC$210,27,FALSE)*AJ563+Q563+R563+S563-'Calc (ex-housing, ex-storage)'!AC563,IF(AS563=3,('Calc (ex-animal)'!$K$105+'Calc (ex-animal)'!$L$105)*'Calc (ex-housing, ex-storage)'!F563/100/VLOOKUP($C$559,'DB animal categories'!$C$201:$AC$210,27,FALSE)*AJ563+Q563+R563+S563-'Calc (ex-housing, ex-storage)'!AC563-AD563-AE563,IF(AI563=4,('Calc (ex-animal)'!$K$105+'Calc (ex-animal)'!$L$105)*'Calc (ex-housing, ex-storage)'!F563/100*VLOOKUP(D563,'DB technologies'!$N$266:$Y$278,12,FALSE)/100/VLOOKUP($C$559,'DB animal categories'!$C$201:$AC$210,27,FALSE)*AJ563+Q563+R563+S563-(VLOOKUP(D563,'DB technologies'!$N$266:$Y$278,12,FALSE)/100*AC563)-AD563-AE563,0))))))</f>
        <v/>
      </c>
      <c r="AY563" s="184" t="str">
        <f>IF(D563="","",IF(AS563=2,0,IF(AS563=1,'Calc (ex-animal)'!$N$105*'Calc (ex-housing, ex-storage)'!F563/100/VLOOKUP($C$559,'DB animal categories'!$C$201:$AC$210,27,FALSE)*AJ563+U563+V563+W563,IF(AS563=5,('Calc (ex-animal)'!$N$105+'Calc (ex-animal)'!$O$105)*'Calc (ex-housing, ex-storage)'!F563/100/VLOOKUP($C$559,'DB animal categories'!$C$201:$AC$210,27,FALSE)*AJ563+U563+V563+W563,IF(AS563=3,('Calc (ex-animal)'!$N$105+'Calc (ex-animal)'!$O$105)*'Calc (ex-housing, ex-storage)'!F563/100/VLOOKUP($C$559,'DB animal categories'!$C$201:$AC$210,27,FALSE)*AJ563+U563+V563+W563,IF(AS563=4,('Calc (ex-animal)'!$N$105+'Calc (ex-animal)'!$O$105)*'Calc (ex-housing, ex-storage)'!F563/100*VLOOKUP(D563,'DB technologies'!$N$266:$Y$278,12,FALSE)/100/VLOOKUP($C$559,'DB animal categories'!$C$201:$AC$210,27,FALSE)*AJ563+U563+V563+W563,0))))))</f>
        <v/>
      </c>
      <c r="AZ563" s="184" t="str">
        <f>IF(D563="","",IF(AS563=2,0,IF(AS563=1,'Calc (ex-animal)'!$Q$105*'Calc (ex-housing, ex-storage)'!F563/100/VLOOKUP($C$559,'DB animal categories'!$C$201:$AC$210,27,FALSE)*AJ563+Y563+Z563+AA563,IF(AS563=5,('Calc (ex-animal)'!$Q$105+'Calc (ex-animal)'!$R$105)*'Calc (ex-housing, ex-storage)'!F563/100/VLOOKUP($C$559,'DB animal categories'!$C$201:$AC$210,27,FALSE)*AJ563+Y563+Z563+AA563,IF(AS563=3,('Calc (ex-animal)'!$Q$105+'Calc (ex-animal)'!$R$105)*'Calc (ex-housing, ex-storage)'!F563/100/VLOOKUP($C$559,'DB animal categories'!$C$201:$AC$210,27,FALSE)*AJ563+Y563+Z563+AA563,IF(AS563=4,('Calc (ex-animal)'!$Q$105+'Calc (ex-animal)'!$R$105)*'Calc (ex-housing, ex-storage)'!F563/100*VLOOKUP(D563,'DB technologies'!$N$266:$Y$278,12,FALSE)/100/VLOOKUP($C$559,'DB animal categories'!$C$201:$AC$210,27,FALSE)*AJ563+Y563+Z563+AA563,0))))))</f>
        <v/>
      </c>
      <c r="BA563" s="506"/>
      <c r="BB563" s="506"/>
      <c r="BC563" s="506"/>
    </row>
    <row r="564" spans="1:55" ht="12" thickBot="1" x14ac:dyDescent="0.25">
      <c r="A564" s="748"/>
      <c r="B564" s="695"/>
      <c r="C564" s="252"/>
      <c r="D564" s="269" t="s">
        <v>58</v>
      </c>
      <c r="E564" s="270">
        <f>IF(F564&lt;=100,SUM(E559:E563),"ERROR")</f>
        <v>0</v>
      </c>
      <c r="F564" s="284">
        <f>IF(SUM(F559:F563) &lt;=100,SUM(F559:F563),"ERROR, SUM&gt;100%")</f>
        <v>0</v>
      </c>
      <c r="G564" s="550">
        <f>IF('Calc (ex-animal)'!$F$103=1,"",SUM(G559:G563))</f>
        <v>0</v>
      </c>
      <c r="H564" s="418">
        <f>IF('Calc (ex-animal)'!$F$8=1,"",SUM(H559:H563))</f>
        <v>0</v>
      </c>
      <c r="I564" s="418">
        <f>IF('Calc (ex-animal)'!$F$8=1,"",SUM(I559:I563))</f>
        <v>0</v>
      </c>
      <c r="J564" s="418">
        <f>IF('Calc (ex-animal)'!$F$8=1,"",SUM(J559:J563))</f>
        <v>0</v>
      </c>
      <c r="K564" s="418">
        <f>IF('Calc (ex-animal)'!$F$8=1,"",SUM(K559:K563))</f>
        <v>0</v>
      </c>
      <c r="L564" s="418">
        <f>IF('Calc (ex-animal)'!$F$8=1,"",SUM(L559:L563))</f>
        <v>0</v>
      </c>
      <c r="M564" s="551"/>
      <c r="N564" s="551"/>
      <c r="O564" s="551"/>
      <c r="P564" s="552">
        <f>IF(G564=0,0,IF('Calc (ex-animal)'!$F$103=1,"",IF(D564="","",SUM(H564:K564)/G564*100)))</f>
        <v>0</v>
      </c>
      <c r="Q564" s="271"/>
      <c r="R564" s="271"/>
      <c r="S564" s="271"/>
      <c r="T564" s="278">
        <f>IF('Calc (ex-animal)'!$F$105=1,"",SUM(T559:T563))</f>
        <v>0</v>
      </c>
      <c r="U564" s="279"/>
      <c r="V564" s="279"/>
      <c r="W564" s="279"/>
      <c r="X564" s="279">
        <f>IF('Calc (ex-animal)'!$F$105=1,"",SUM(X559:X563))</f>
        <v>0</v>
      </c>
      <c r="Y564" s="279"/>
      <c r="Z564" s="279"/>
      <c r="AA564" s="279"/>
      <c r="AB564" s="279">
        <f>IF('Calc (ex-animal)'!$F$105=1,"",SUM(AB559:AB563))</f>
        <v>0</v>
      </c>
      <c r="AC564" s="279">
        <f>IF('Calc (ex-animal)'!$F$105=1,"",SUM(AC559:AC563))</f>
        <v>0</v>
      </c>
      <c r="AD564" s="279">
        <f>IF('Calc (ex-animal)'!$F$105=1,"",SUM(AD559:AD563))</f>
        <v>0</v>
      </c>
      <c r="AE564" s="280">
        <f>IF('Calc (ex-animal)'!$F$105=1,"",SUM(AE559:AE563))</f>
        <v>0</v>
      </c>
    </row>
    <row r="565" spans="1:55" x14ac:dyDescent="0.2">
      <c r="A565" s="748"/>
      <c r="B565" s="695"/>
      <c r="C565" s="250">
        <f>'Calc (ex-animal)'!D106</f>
        <v>0</v>
      </c>
      <c r="D565" s="1355"/>
      <c r="E565" s="1356"/>
      <c r="F565" s="479" t="str">
        <f>IF('Calc (ex-animal)'!$F$103=1,"",IF($C$565=0,"",IF(D565="","",E565/'Calc (ex-animal)'!$E$106*100)))</f>
        <v/>
      </c>
      <c r="G565" s="484" t="str">
        <f>IF($C$565=0,"",IF('Calc (ex-animal)'!$F$103=1,"",IF(D565="","",SUM(H565:O565))))</f>
        <v/>
      </c>
      <c r="H565" s="471" t="str">
        <f>IF('Calc (ex-animal)'!$F$103=1,"",IF(D565="","",(((VLOOKUP($C$565,'Calc (ex-animal)'!$D$103:$Y$107,6,FALSE)-VLOOKUP($C$565,'Calc (ex-animal)'!$D$103:$Y$107,17,FALSE))*F565/100))*VLOOKUP($C$565,'Calc (ex-animal)'!$D$103:$Y$107,7,FALSE)/100*(1-VLOOKUP(D565,'DB technologies'!$N$266:$Y$278,9,FALSE)/100)))</f>
        <v/>
      </c>
      <c r="I565" s="471" t="str">
        <f>IF(D565="","",((VLOOKUP(D565,'DB technologies'!$N$266:$Y$278,2,FALSE)*VLOOKUP($C$565,'DB animal categories'!$C$201:$AC$210,27,FALSE)*E565/1000)/VLOOKUP($C$565,'DB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'!$S$6/100*(1-VLOOKUP(D565,'DB technologies'!$N$266:$Y$278,9,FALSE)/100)))</f>
        <v/>
      </c>
      <c r="J565" s="472" t="str">
        <f>IF(D565="","",((VLOOKUP(D565,'DB technologies'!$N$266:$Y$278,3,FALSE)*VLOOKUP($C$565,'DB animal categories'!$C$201:$AC$210,27,FALSE)*E565/1000)/VLOOKUP($C$565,'DB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'!$S$7/100*(1-VLOOKUP(D565,'DB technologies'!$N$266:$Y$278,9,FALSE)/100)))</f>
        <v/>
      </c>
      <c r="K565" s="472" t="str">
        <f>IF(D565="","",((VLOOKUP(D565,'DB technologies'!$N$266:$Y$278,4,FALSE)*E565*'DB additional information '!$S$8/100*(1-VLOOKUP(D565,'DB technologies'!$N$266:$Y$278,9,FALSE)/100))/VLOOKUP($C$565,'DB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L565" s="471" t="str">
        <f>IF('Calc (ex-animal)'!$F$103=1,"",IF(D565="","",(((VLOOKUP($C$565,'Calc (ex-animal)'!$D$103:$Y$107,6,FALSE)-VLOOKUP($C$565,'Calc (ex-animal)'!$D$103:$Y$107,17,FALSE))*F565/100))*(1-VLOOKUP($C$565,'Calc (ex-animal)'!$D$103:$Y$107,7,FALSE)/100)*(1-VLOOKUP(D565,'DB technologies'!$N$266:$V$278,8,FALSE)/100)))</f>
        <v/>
      </c>
      <c r="M565" s="472" t="str">
        <f>IF(D565="","",((VLOOKUP(D565,'DB technologies'!$N$266:$Y$278,2,FALSE)*VLOOKUP($C$565,'DB animal categories'!$C$201:$AC$210,27,FALSE)*E565/1000)/VLOOKUP($C$565,'DB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'!$S$6/100)*(1-VLOOKUP(D565,'DB technologies'!$N$266:$Y$278,9,FALSE)/100))</f>
        <v/>
      </c>
      <c r="N565" s="472" t="str">
        <f>IF(D565="","",((VLOOKUP(D565,'DB technologies'!$N$266:$Y$278,3,FALSE)*VLOOKUP($C$565,'DB animal categories'!$C$201:$AC$210,27,FALSE)*E565/1000)/VLOOKUP($C$565,'DB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'!$S$7/100)*(1-VLOOKUP(D565,'DB technologies'!$N$266:$Y$278,9,FALSE)/100))</f>
        <v/>
      </c>
      <c r="O565" s="471" t="str">
        <f>IF(D565="","",((VLOOKUP(D565,'DB technologies'!$N$266:$Y$278,4,FALSE)*E565*(1-'DB additional information '!$S$8/100)*(1-VLOOKUP(D565,'DB technologies'!$N$266:$Y$278,8,FALSE)/100))/VLOOKUP($C$565,'DB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P565" s="443" t="str">
        <f>IF(G565=0,0,IF(E565="","",IF(F565="","",IF($C$565=0,"",IF(D565="","",SUM(H565:K565)/G565*100)))))</f>
        <v/>
      </c>
      <c r="Q565" s="473" t="str">
        <f>IF(D565="","",(VLOOKUP(D565,'DB technologies'!$N$266:$Y$278,2,FALSE)*'DB additional information '!$S$6/100*'DB additional information '!$T$6*VLOOKUP($C$565,'DB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R565" s="473" t="str">
        <f>IF(D565="","",(VLOOKUP(D565,'DB technologies'!$N$266:$Y$278,3,FALSE)*'DB additional information '!$S$7/100*'DB additional information '!$T$7*VLOOKUP($C$565,'DB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S565" s="490" t="str">
        <f>IF(D565="","",(VLOOKUP(D565,'DB technologies'!$N$266:$Y$278,4,FALSE)*('DB additional information '!$S$8/100*'DB additional information '!$T$8*E565/1000/1000)))</f>
        <v/>
      </c>
      <c r="T565" s="263" t="str">
        <f>IF($C$565=0,"",IF('Calc (ex-animal)'!$F$103=1,"",IF(D565="","",((VLOOKUP($C$565,'Calc (ex-animal)'!$D$103:$Y$107,10,FALSE)-VLOOKUP($C$565,'Calc (ex-animal)'!$D$103:$Y$107,18,FALSE))*F565/100+Q565+R565+S565)-AC565-AD565-AE565)))</f>
        <v/>
      </c>
      <c r="U565" s="474" t="str">
        <f>IF(D565="","",(VLOOKUP(D565,'DB technologies'!$N$266:$Y$278,2,FALSE)*'DB additional information '!$S$6/100*'DB additional information '!$U$6*VLOOKUP($C$565,'DB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V565" s="420" t="str">
        <f>IF(D565="","",(VLOOKUP(D565,'DB technologies'!$N$266:$Y$278,3,FALSE)*'DB additional information '!$S$7/100*'DB additional information '!$U$7*VLOOKUP($C$565,'DB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W565" s="415" t="str">
        <f>IF(D565="","",(VLOOKUP(D565,'DB technologies'!$N$266:$Y$278,4,FALSE)*('DB additional information '!$S$8/100*'DB additional information '!$U$8*E565/1000/1000)))</f>
        <v/>
      </c>
      <c r="X565" s="259" t="str">
        <f>IF($C$565=0,"",IF('Calc (ex-animal)'!$F$103=1,"",IF(D565="","",((VLOOKUP($C$565,'Calc (ex-animal)'!$D$103:$Y$107,13,FALSE)-VLOOKUP($C$565,'Calc (ex-animal)'!$D$103:$Y$107,19,FALSE))*F565/100+U565+V565+W565))))</f>
        <v/>
      </c>
      <c r="Y565" s="420" t="str">
        <f>IF(D565="","",(VLOOKUP(D565,'DB technologies'!$N$266:$Y$278,2,FALSE)*'DB additional information '!$S$6/100*'DB additional information '!$V$6*VLOOKUP($C$565,'DB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Z565" s="420" t="str">
        <f>IF(D565="","",(VLOOKUP(D565,'DB technologies'!$N$266:$Y$278,3,FALSE)*'DB additional information '!$S$7/100*'DB additional information '!$V$7*VLOOKUP($C$565,'DB animal categories'!$C$201:$AC$210,27,FALSE)*E565/1000/1000)/VLOOKUP($C$565,'DB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AA565" s="420" t="str">
        <f>IF(D565="","",(VLOOKUP(D565,'DB technologies'!$N$266:$Y$278,4,FALSE)*('DB additional information '!$S$8/100*'DB additional information '!$V$8*E565/1000/1000)))</f>
        <v/>
      </c>
      <c r="AB565" s="259" t="str">
        <f>IF($C$565=0,"",IF('Calc (ex-animal)'!$F$103=1,"",IF(D565="","",((VLOOKUP($C$565,'Calc (ex-animal)'!$D$103:$Y$107,16,FALSE)-VLOOKUP($C$565,'Calc (ex-animal)'!$D$103:$Y$107,20,FALSE))*F565/100+Y565+Z565+AA565))))</f>
        <v/>
      </c>
      <c r="AC565" s="259" t="str">
        <f>IF($C$565=0,"",IF('Calc (ex-animal)'!$F$103=1,"",IF(D565="","",VLOOKUP($C$565,'Calc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categories'!$C$201:$AC$210,26,FALSE)/24)*F565/100*VLOOKUP(D565,'DB technologies'!$N$266:$R$278,5,FALSE)/100)))</f>
        <v/>
      </c>
      <c r="AD565" s="259" t="str">
        <f>IF($C$565=0,"",IF('Calc (ex-animal)'!$F$103=1,"",IF(D565="","",VLOOKUP($C$565,'Calc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categories'!$C$201:$AC$210,26,FALSE)/24)*F565/100*VLOOKUP(D565,'DB technologies'!$N$266:$Y$278,6,FALSE)/100)))</f>
        <v/>
      </c>
      <c r="AE565" s="260" t="str">
        <f>IF($C$565=0,"",IF('Calc (ex-animal)'!$F$103=1,"",IF(D565="","",VLOOKUP($C$565,'Calc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categories'!$C$201:$AC$210,26,FALSE)/24)*F565/100*VLOOKUP(D565,'DB technologies'!$N$266:$Y$278,7,FALSE)/100)))</f>
        <v/>
      </c>
      <c r="AI565" s="179" t="str">
        <f>IF(D565="","",VLOOKUP(D565,'DB technologies'!$N$266:$Y$278,10,FALSE))</f>
        <v/>
      </c>
      <c r="AJ565" s="482" t="e">
        <f>VLOOKUP($C$565,'DB animal categories'!$C$201:$AN$210,27,FALSE)-VLOOKUP($C$565,'DB animal categories'!$C$201:$AN$210,26,FALSE)*VLOOKUP($C$565,'DB animal categories'!$C$201:$AN$210,25,FALSE)/24</f>
        <v>#N/A</v>
      </c>
      <c r="AK565" s="453" t="str">
        <f>IF(AI565="","",AL565+AM565)</f>
        <v/>
      </c>
      <c r="AL565" s="453" t="str">
        <f>IF(D565="","",IF(AI565=2,(('Calc (ex-animal)'!$G$106*'DB additional information '!$K$22/100*(1-VLOOKUP(D565,'DB technologies'!$N$266:$Y$278,9,FALSE)/100)*'Calc (ex-housing, ex-storage)'!F565/100+'Calc (ex-animal)'!$H$106*'DB additional information '!$L$22/100*(1-VLOOKUP(D565,'DB technologies'!$N$266:$Y$278,9,FALSE)/100)*'Calc (ex-housing, ex-storage)'!F565/100))/VLOOKUP($C$565,'DB animal categories'!$C$201:$AC$210,27,FALSE)*AJ565+I565+J565+K565,IF(AI565=1,('Calc (ex-animal)'!$H$106*'DB additional information '!$L$22/100*(1-VLOOKUP(D565,'DB technologies'!$N$266:$Y$278,9,FALSE)/100)*'Calc (ex-housing, ex-storage)'!F565/100)/VLOOKUP($C$565,'DB animal categories'!$C$201:$AC$210,27,FALSE)*AJ565,IF(AI565=4,('Calc (ex-animal)'!$G$106*'DB additional information '!$K$22/100+'Calc (ex-animal)'!$H$106*'DB additional information '!$L$22/100)*(1-VLOOKUP(D565,'DB technologies'!$N$266:$Y$278,9,FALSE)/100)*'Calc (ex-housing, ex-storage)'!F565/100*VLOOKUP(D565,'DB technologies'!$N$266:$Y$278,11,FALSE)/100/VLOOKUP($C$565,'DB animal categories'!$C$201:$AC$210,27,FALSE)*AJ565,0))))</f>
        <v/>
      </c>
      <c r="AM565" s="453" t="str">
        <f>IF(D565="","",IF(AI565=2,(('Calc (ex-animal)'!$G$106*(1-'DB additional information '!$K$22/100)*(1-VLOOKUP(D565,'DB technologies'!$N$266:$Y$278,8,FALSE)/100)*'Calc (ex-housing, ex-storage)'!F565/100+'Calc (ex-animal)'!$H$106*(1-'DB additional information '!$L$22/100)*(1-VLOOKUP(D565,'DB technologies'!$N$266:$Y$278,8,FALSE)/100)*'Calc (ex-housing, ex-storage)'!F565/100))/VLOOKUP($C$565,'DB animal categories'!$C$201:$AC$210,27,FALSE)*AJ565+M565+N565+O565,IF(AI565=1,('Calc (ex-animal)'!$H$106*(1-'DB additional information '!$L$22/100)*(1-VLOOKUP(D565,'DB technologies'!$N$266:$Y$278,8,FALSE)/100)*'Calc (ex-housing, ex-storage)'!F565/100)/VLOOKUP($C$565,'DB animal categories'!$C$201:$AC$210,27,FALSE)*AJ565,IF(AI565=4,('Calc (ex-animal)'!$G$106*(1-'DB additional information '!$K$22/100)+'Calc (ex-animal)'!$H$106*(1-'DB additional information '!$L$22/100))*(1-VLOOKUP(D565,'DB technologies'!$N$266:$Y$278,8,FALSE)/100)*'Calc (ex-housing, ex-storage)'!F565/100*VLOOKUP(D565,'DB technologies'!$N$266:$Y$278,11,FALSE)/100/VLOOKUP($C$565,'DB animal categories'!$C$201:$AC$210,27,FALSE)*AJ565,0))))</f>
        <v/>
      </c>
      <c r="AN565" s="453" t="str">
        <f>IF(AI565="","",IF(AL565=0,0,AL565/AK565*100))</f>
        <v/>
      </c>
      <c r="AO565" s="180" t="str">
        <f>IF(D565="","",IF(AI565=2,(('Calc (ex-animal)'!$L$106*'Calc (ex-housing, ex-storage)'!F565/100+'Calc (ex-animal)'!$K$106*'Calc (ex-housing, ex-storage)'!F565/100))/VLOOKUP($C$565,'DB animal categories'!$C$201:$AC$210,27,FALSE)*AJ565+Q565+R565+S565-AC565,IF(AI565=1,('Calc (ex-animal)'!$L$106*'Calc (ex-housing, ex-storage)'!F565/100)/VLOOKUP($C$565,'DB animal categories'!$C$201:$AC$210,27,FALSE)*AJ565-'Calc (ex-housing, ex-storage)'!AC565,IF(AI565=4,('Calc (ex-animal)'!$L$106+'Calc (ex-animal)'!$K$106)*'Calc (ex-housing, ex-storage)'!F565/100*VLOOKUP(D565,'DB technologies'!$N$266:$Y$278,11,FALSE)/100/VLOOKUP($C$565,'DB animal categories'!$C$201:$AC$210,27,FALSE)*AJ565-AC565*VLOOKUP(D565,'DB technologies'!$N$266:$Y$278,11,FALSE)/100,0))))</f>
        <v/>
      </c>
      <c r="AP565" s="180" t="str">
        <f>IF(D565="","",IF(AO565&lt;-0.01,0,IF(AI565=2,(('Calc (ex-animal)'!$L$106*'Calc (ex-housing, ex-storage)'!F565/100+'Calc (ex-animal)'!$K$106*'Calc (ex-housing, ex-storage)'!F565/100))/VLOOKUP($C$565,'DB animal categories'!$C$201:$AC$210,27,FALSE)*AJ565+Q565+R565+S565-AC565,IF(AI565=1,('Calc (ex-animal)'!$L$106*'Calc (ex-housing, ex-storage)'!F565/100)/VLOOKUP($C$565,'DB animal categories'!$C$201:$AC$210,27,FALSE)*AJ565-'Calc (ex-housing, ex-storage)'!AC565,IF(AI565=4,('Calc (ex-animal)'!$L$106+'Calc (ex-animal)'!$K$106)*'Calc (ex-housing, ex-storage)'!F565/100*VLOOKUP(D565,'DB technologies'!$N$266:$Y$278,11,FALSE)/100/VLOOKUP($C$565,'DB animal categories'!$C$201:$AC$210,27,FALSE)*AJ565-AC565*VLOOKUP(D565,'DB technologies'!$N$266:$Y$278,11,FALSE)/100,0)))))</f>
        <v/>
      </c>
      <c r="AQ565" s="180" t="str">
        <f>IF(D565="","",IF(AI565=2,('Calc (ex-animal)'!$O$106*'Calc (ex-housing, ex-storage)'!F565/100+'Calc (ex-animal)'!$N$106*'Calc (ex-housing, ex-storage)'!F565/100)/VLOOKUP($C$565,'DB animal categories'!$C$201:$AC$210,27,FALSE)*AJ565+U565+V565+W565,IF(AI565=1,'Calc (ex-animal)'!$O$106*'Calc (ex-housing, ex-storage)'!F565/100/VLOOKUP($C$565,'DB animal categories'!$C$201:$AC$210,27,FALSE)*AJ565,IF(AI565=4,('Calc (ex-animal)'!$O$106+'Calc (ex-animal)'!$N$106)*'Calc (ex-housing, ex-storage)'!F565/100*VLOOKUP(D565,'DB technologies'!$N$266:$Y$278,11,FALSE)/100/VLOOKUP($C$565,'DB animal categories'!$C$201:$AC$210,27,FALSE)*AJ565,0))))</f>
        <v/>
      </c>
      <c r="AR565" s="180" t="str">
        <f>IF(D565="","",IF(AI565=2,('Calc (ex-animal)'!$R$106*'Calc (ex-housing, ex-storage)'!F565/100+'Calc (ex-animal)'!$Q$106*'Calc (ex-housing, ex-storage)'!F565/100)/VLOOKUP($C$565,'DB animal categories'!$C$201:$AC$210,27,FALSE)*AJ565+Y565+Z565+AA565,IF(AI565=1,'Calc (ex-animal)'!$R$106*'Calc (ex-housing, ex-storage)'!F565/100/VLOOKUP($C$565,'DB animal categories'!$C$201:$AC$210,27,FALSE)*AJ565,IF(AI565=4,('Calc (ex-animal)'!$R$106+'Calc (ex-animal)'!$Q$106)*'Calc (ex-housing, ex-storage)'!F565/100*VLOOKUP(D565,'DB technologies'!$N$266:$Y$278,11,FALSE)/100/VLOOKUP($C$565,'DB animal categories'!$C$201:$AC$210,27,FALSE)*AJ565,0))))</f>
        <v/>
      </c>
      <c r="AS565" s="179" t="str">
        <f>IF(D565="","",VLOOKUP(D565,'DB technologies'!$N$266:$Y$278,10,FALSE))</f>
        <v/>
      </c>
      <c r="AT565" s="453" t="str">
        <f>IF(AS565="","",AU565+AV565)</f>
        <v/>
      </c>
      <c r="AU565" s="453" t="str">
        <f>IF(D565="","",IF(AS565=2,0,IF(AS565=1,'Calc (ex-animal)'!$G$106*'DB additional information '!$K$22/100*(1-VLOOKUP(D565,'DB technologies'!$N$266:$Y$278,8,FALSE)/100)*'Calc (ex-housing, ex-storage)'!F565/100/VLOOKUP($C$565,'DB animal categories'!$C$201:$AC$210,27,FALSE)*AJ565+I565+J565+K565,IF(AS565=5,(('Calc (ex-animal)'!$G$106*'DB additional information '!$K$22/100+'Calc (ex-animal)'!$H$106*'DB additional information '!$L$22/100))*(1-VLOOKUP(D565,'DB technologies'!$N$266:$Y$278,9,FALSE)/100)*'Calc (ex-housing, ex-storage)'!F565/100/VLOOKUP($C$565,'DB animal categories'!$C$201:$AC$210,27,FALSE)*AJ565+I565+J565+K565,IF(AS565=3,('Calc (ex-animal)'!$G$106*'DB additional information '!$K$22/100+'Calc (ex-animal)'!$H$106*'DB additional information '!$L$22/100)*(1-VLOOKUP(D565,'DB technologies'!$N$266:$Y$278,9,FALSE)/100)*'Calc (ex-housing, ex-storage)'!F565/100/VLOOKUP($C$565,'DB animal categories'!$C$201:$AC$210,27,FALSE)*AJ565+I565+J565+K565,IF(AS565=4,('Calc (ex-animal)'!$G$106*'DB additional information '!$K$22/100+'Calc (ex-animal)'!$H$106*'DB additional information '!$L$22/100)*(1-VLOOKUP(D565,'DB technologies'!$N$266:$Y$278,9,FALSE)/100)*'Calc (ex-housing, ex-storage)'!F565/100*VLOOKUP(D565,'DB technologies'!$N$266:$Y$278,12,FALSE)/100/VLOOKUP($C$565,'DB animal categories'!$C$201:$AC$210,27,FALSE)*AJ565+I565+J565+K565,0))))))</f>
        <v/>
      </c>
      <c r="AV565" s="453" t="str">
        <f>IF(D565="","",IF(AS565=2,0,IF(AS565=1,'Calc (ex-animal)'!$G$106*(1-'DB additional information '!$K$22/100)*(1-VLOOKUP(D565,'DB technologies'!$N$266:$Y$278,8,FALSE)/100)*'Calc (ex-housing, ex-storage)'!F565/100/VLOOKUP($C$565,'DB animal categories'!$C$201:$AC$210,27,FALSE)*AJ565+M565+N565+O565,IF(AS565=5,('Calc (ex-animal)'!$G$106*(1-'DB additional information '!$K$22/100)+'Calc (ex-animal)'!$H$106*(1-'DB additional information '!$L$22/100))*(1-VLOOKUP(D565,'DB technologies'!$N$266:$Y$278,8,FALSE)/100)*'Calc (ex-housing, ex-storage)'!F565/100/VLOOKUP($C$565,'DB animal categories'!$C$201:$AC$210,27,FALSE)*AJ565+M565+N565+O565,IF(AS565=3,('Calc (ex-animal)'!$G$106*(1-'DB additional information '!$K$22/100)+'Calc (ex-animal)'!$H$106*(1-'DB additional information '!$L$22/100))*(1-VLOOKUP(D565,'DB technologies'!$N$266:$Y$278,8,FALSE)/100)*'Calc (ex-housing, ex-storage)'!F565/100/VLOOKUP($C$565,'DB animal categories'!$C$201:$AC$210,27,FALSE)*AJ565+M565+N565+O565,IF(AS565=4,('Calc (ex-animal)'!$G$106*(1-'DB additional information '!$K$22/100)+'Calc (ex-animal)'!$H$106*(1-'DB additional information '!$L$22/100))*(1-VLOOKUP(D565,'DB technologies'!$N$266:$Y$278,8,FALSE)/100)*'Calc (ex-housing, ex-storage)'!F565/100*VLOOKUP(D565,'DB technologies'!$N$266:$Y$278,12,FALSE)/100/VLOOKUP($C$565,'DB animal categories'!$C$201:$AC$210,27,FALSE)*AJ565+M565+N565+O565,0))))))</f>
        <v/>
      </c>
      <c r="AW565" s="453" t="str">
        <f>IF(AS565="","",IF(AU565=0,0,AU565/AT565*100))</f>
        <v/>
      </c>
      <c r="AX565" s="180" t="str">
        <f>IF(D565="","",IF(AS565=2,0,IF(AS565=1,'Calc (ex-animal)'!$K$106*'Calc (ex-housing, ex-storage)'!F565/100/VLOOKUP($C$565,'DB animal categories'!$C$201:$AC$210,27,FALSE)*AJ565+Q565+R565+S565,IF(AS565=5,('Calc (ex-animal)'!$K$106+'Calc (ex-animal)'!$L$106)*'Calc (ex-housing, ex-storage)'!F565/100/VLOOKUP($C$565,'DB animal categories'!$C$201:$AC$210,27,FALSE)*AJ565+Q565+R565+S565-'Calc (ex-housing, ex-storage)'!AC565,IF(AS565=3,('Calc (ex-animal)'!$K$106+'Calc (ex-animal)'!$L$106)*'Calc (ex-housing, ex-storage)'!F565/100/VLOOKUP($C$565,'DB animal categories'!$C$201:$AC$210,27,FALSE)*AJ565+Q565+R565+S565-'Calc (ex-housing, ex-storage)'!AC565-AD565-AE565,IF(AI565=4,('Calc (ex-animal)'!$K$106+'Calc (ex-animal)'!$L$106)*'Calc (ex-housing, ex-storage)'!F565/100*VLOOKUP(D565,'DB technologies'!$N$266:$Y$278,12,FALSE)/100/VLOOKUP($C$565,'DB animal categories'!$C$201:$AC$210,27,FALSE)*AJ565+Q565+R565+S565-(VLOOKUP(D565,'DB technologies'!$N$266:$Y$278,12,FALSE)/100*AC565)-AD565-AE565,0))))))</f>
        <v/>
      </c>
      <c r="AY565" s="180" t="str">
        <f>IF(D565="","",IF(AS565=2,0,IF(AS565=1,'Calc (ex-animal)'!$N$106*'Calc (ex-housing, ex-storage)'!F565/100/VLOOKUP($C$565,'DB animal categories'!$C$201:$AC$210,27,FALSE)*AJ565+U565+V565+W565,IF(AS565=5,('Calc (ex-animal)'!$N$106+'Calc (ex-animal)'!$O$106)*'Calc (ex-housing, ex-storage)'!F565/100/VLOOKUP($C$565,'DB animal categories'!$C$201:$AC$210,27,FALSE)*AJ565+U565+V565+W565,IF(AS565=3,('Calc (ex-animal)'!$N$106+'Calc (ex-animal)'!$O$106)*'Calc (ex-housing, ex-storage)'!F565/100/VLOOKUP($C$565,'DB animal categories'!$C$201:$AC$210,27,FALSE)*AJ565+U565+V565+W565,IF(AS565=4,('Calc (ex-animal)'!$N$106+'Calc (ex-animal)'!$O$106)*'Calc (ex-housing, ex-storage)'!F565/100*VLOOKUP(D565,'DB technologies'!$N$266:$Y$278,12,FALSE)/100/VLOOKUP($C$565,'DB animal categories'!$C$201:$AC$210,27,FALSE)*AJ565+U565+V565+W565,0))))))</f>
        <v/>
      </c>
      <c r="AZ565" s="180" t="str">
        <f>IF(D565="","",IF(AS565=2,0,IF(AS565=1,'Calc (ex-animal)'!$Q$106*'Calc (ex-housing, ex-storage)'!F565/100/VLOOKUP($C$565,'DB animal categories'!$C$201:$AC$210,27,FALSE)*AJ565+Y565+Z565+AA565,IF(AS565=5,('Calc (ex-animal)'!$Q$106+'Calc (ex-animal)'!$R$106)*'Calc (ex-housing, ex-storage)'!F565/100/VLOOKUP($C$565,'DB animal categories'!$C$201:$AC$210,27,FALSE)*AJ565+Y565+Z565+AA565,IF(AS565=3,('Calc (ex-animal)'!$Q$106+'Calc (ex-animal)'!$R$106)*'Calc (ex-housing, ex-storage)'!F565/100/VLOOKUP($C$565,'DB animal categories'!$C$201:$AC$210,27,FALSE)*AJ565+Y565+Z565+AA565,IF(AS565=4,('Calc (ex-animal)'!$Q$106+'Calc (ex-animal)'!$R$106)*'Calc (ex-housing, ex-storage)'!F565/100*VLOOKUP(D565,'DB technologies'!$N$266:$Y$278,12,FALSE)/100/VLOOKUP($C$565,'DB animal categories'!$C$201:$AC$210,27,FALSE)*AJ565+Y565+Z565+AA565,0))))))</f>
        <v/>
      </c>
      <c r="BA565" s="506"/>
      <c r="BB565" s="506"/>
      <c r="BC565" s="506"/>
    </row>
    <row r="566" spans="1:55" x14ac:dyDescent="0.2">
      <c r="A566" s="748"/>
      <c r="B566" s="695"/>
      <c r="C566" s="251"/>
      <c r="D566" s="1357"/>
      <c r="E566" s="1358"/>
      <c r="F566" s="480" t="str">
        <f>IF('Calc (ex-animal)'!$F$103=1,"",IF($C$565=0,"",IF(D566="","",E566/'Calc (ex-animal)'!$E$106*100)))</f>
        <v/>
      </c>
      <c r="G566" s="485" t="str">
        <f>IF($C$565=0,"",IF('Calc (ex-animal)'!$F$103=1,"",IF(D566="","",SUM(H566:O566))))</f>
        <v/>
      </c>
      <c r="H566" s="423" t="str">
        <f>IF('Calc (ex-animal)'!$F$103=1,"",IF(D566="","",(((VLOOKUP($C$565,'Calc (ex-animal)'!$D$103:$Y$107,6,FALSE)-VLOOKUP($C$565,'Calc (ex-animal)'!$D$103:$Y$107,17,FALSE))*F566/100))*VLOOKUP($C$565,'Calc (ex-animal)'!$D$103:$Y$107,7,FALSE)/100*(1-VLOOKUP(D566,'DB technologies'!$N$266:$Y$278,9,FALSE)/100)))</f>
        <v/>
      </c>
      <c r="I566" s="423" t="str">
        <f>IF(D566="","",((VLOOKUP(D566,'DB technologies'!$N$266:$Y$278,2,FALSE)*VLOOKUP($C$565,'DB animal categories'!$C$201:$AC$210,27,FALSE)*E566/1000)/VLOOKUP($C$565,'DB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'!$S$6/100*(1-VLOOKUP(D566,'DB technologies'!$N$266:$Y$278,9,FALSE)/100)))</f>
        <v/>
      </c>
      <c r="J566" s="434" t="str">
        <f>IF(D566="","",((VLOOKUP(D566,'DB technologies'!$N$266:$Y$278,3,FALSE)*VLOOKUP($C$565,'DB animal categories'!$C$201:$AC$210,27,FALSE)*E566/1000)/VLOOKUP($C$565,'DB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'!$S$7/100*(1-VLOOKUP(D566,'DB technologies'!$N$266:$Y$278,9,FALSE)/100)))</f>
        <v/>
      </c>
      <c r="K566" s="434" t="str">
        <f>IF(D566="","",((VLOOKUP(D566,'DB technologies'!$N$266:$Y$278,4,FALSE)*E566*'DB additional information '!$S$8/100*(1-VLOOKUP(D566,'DB technologies'!$N$266:$Y$278,9,FALSE)/100))/VLOOKUP($C$565,'DB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L566" s="423" t="str">
        <f>IF('Calc (ex-animal)'!$F$103=1,"",IF(D566="","",(((VLOOKUP($C$565,'Calc (ex-animal)'!$D$103:$Y$107,6,FALSE)-VLOOKUP($C$565,'Calc (ex-animal)'!$D$103:$Y$107,17,FALSE))*F566/100))*(1-VLOOKUP($C$565,'Calc (ex-animal)'!$D$103:$Y$107,7,FALSE)/100)*(1-VLOOKUP(D566,'DB technologies'!$N$266:$V$278,8,FALSE)/100)))</f>
        <v/>
      </c>
      <c r="M566" s="434" t="str">
        <f>IF(D566="","",((VLOOKUP(D566,'DB technologies'!$N$266:$Y$278,2,FALSE)*VLOOKUP($C$565,'DB animal categories'!$C$201:$AC$210,27,FALSE)*E566/1000)/VLOOKUP($C$565,'DB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'!$S$6/100)*(1-VLOOKUP(D566,'DB technologies'!$N$266:$Y$278,9,FALSE)/100))</f>
        <v/>
      </c>
      <c r="N566" s="434" t="str">
        <f>IF(D566="","",((VLOOKUP(D566,'DB technologies'!$N$266:$Y$278,3,FALSE)*VLOOKUP($C$565,'DB animal categories'!$C$201:$AC$210,27,FALSE)*E566/1000)/VLOOKUP($C$565,'DB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'!$S$7/100)*(1-VLOOKUP(D566,'DB technologies'!$N$266:$Y$278,9,FALSE)/100))</f>
        <v/>
      </c>
      <c r="O566" s="423" t="str">
        <f>IF(D566="","",((VLOOKUP(D566,'DB technologies'!$N$266:$Y$278,4,FALSE)*E566*(1-'DB additional information '!$S$8/100)*(1-VLOOKUP(D566,'DB technologies'!$N$266:$Y$278,8,FALSE)/100))/VLOOKUP($C$565,'DB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P566" s="438" t="str">
        <f>IF(G566=0,0,IF(E566="","",IF(F566="","",IF($C$565=0,"",IF(D566="","",SUM(H566:K566)/G566*100)))))</f>
        <v/>
      </c>
      <c r="Q566" s="416" t="str">
        <f>IF(D566="","",(VLOOKUP(D566,'DB technologies'!$N$266:$Y$278,2,FALSE)*'DB additional information '!$S$6/100*'DB additional information '!$T$6*VLOOKUP($C$565,'DB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R566" s="416" t="str">
        <f>IF(D566="","",(VLOOKUP(D566,'DB technologies'!$N$266:$Y$278,3,FALSE)*'DB additional information '!$S$7/100*'DB additional information '!$T$7*VLOOKUP($C$565,'DB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S566" s="491" t="str">
        <f>IF(D566="","",(VLOOKUP(D566,'DB technologies'!$N$266:$Y$278,4,FALSE)*('DB additional information '!$S$8/100*'DB additional information '!$T$8*E566/1000/1000)))</f>
        <v/>
      </c>
      <c r="T566" s="264" t="str">
        <f>IF($C$565=0,"",IF('Calc (ex-animal)'!$F$103=1,"",IF(D566="","",((VLOOKUP($C$565,'Calc (ex-animal)'!$D$103:$Y$107,10,FALSE)-VLOOKUP($C$565,'Calc (ex-animal)'!$D$103:$Y$107,18,FALSE))*F566/100+Q566+R566+S566)-AC566-AD566-AE566)))</f>
        <v/>
      </c>
      <c r="U566" s="422" t="str">
        <f>IF(D566="","",(VLOOKUP(D566,'DB technologies'!$N$266:$Y$278,2,FALSE)*'DB additional information '!$S$6/100*'DB additional information '!$U$6*VLOOKUP($C$565,'DB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V566" s="418" t="str">
        <f>IF(D566="","",(VLOOKUP(D566,'DB technologies'!$N$266:$Y$278,3,FALSE)*'DB additional information '!$S$7/100*'DB additional information '!$U$7*VLOOKUP($C$565,'DB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W566" s="417" t="str">
        <f>IF(D566="","",(VLOOKUP(D566,'DB technologies'!$N$266:$Y$278,4,FALSE)*('DB additional information '!$S$8/100*'DB additional information '!$U$8*E566/1000/1000)))</f>
        <v/>
      </c>
      <c r="X566" s="261" t="str">
        <f>IF($C$565=0,"",IF('Calc (ex-animal)'!$F$103=1,"",IF(D566="","",((VLOOKUP($C$565,'Calc (ex-animal)'!$D$103:$Y$107,13,FALSE)-VLOOKUP($C$565,'Calc (ex-animal)'!$D$103:$Y$107,19,FALSE))*F566/100+U566+V566+W566))))</f>
        <v/>
      </c>
      <c r="Y566" s="418" t="str">
        <f>IF(D566="","",(VLOOKUP(D566,'DB technologies'!$N$266:$Y$278,2,FALSE)*'DB additional information '!$S$6/100*'DB additional information '!$V$6*VLOOKUP($C$565,'DB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Z566" s="418" t="str">
        <f>IF(D566="","",(VLOOKUP(D566,'DB technologies'!$N$266:$Y$278,3,FALSE)*'DB additional information '!$S$7/100*'DB additional information '!$V$7*VLOOKUP($C$565,'DB animal categories'!$C$201:$AC$210,27,FALSE)*E566/1000/1000)/VLOOKUP($C$565,'DB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AA566" s="418" t="str">
        <f>IF(D566="","",(VLOOKUP(D566,'DB technologies'!$N$266:$Y$278,4,FALSE)*('DB additional information '!$S$8/100*'DB additional information '!$V$8*E566/1000/1000)))</f>
        <v/>
      </c>
      <c r="AB566" s="261" t="str">
        <f>IF($C$565=0,"",IF('Calc (ex-animal)'!$F$103=1,"",IF(D566="","",((VLOOKUP($C$565,'Calc (ex-animal)'!$D$103:$Y$107,16,FALSE)-VLOOKUP($C$565,'Calc (ex-animal)'!$D$103:$Y$107,20,FALSE))*F566/100+Y566+Z566+AA566))))</f>
        <v/>
      </c>
      <c r="AC566" s="261" t="str">
        <f>IF($C$565=0,"",IF('Calc (ex-animal)'!$F$103=1,"",IF(D566="","",VLOOKUP($C$565,'Calc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categories'!$C$201:$AC$210,26,FALSE)/24)*F566/100*VLOOKUP(D566,'DB technologies'!$N$266:$R$278,5,FALSE)/100)))</f>
        <v/>
      </c>
      <c r="AD566" s="261" t="str">
        <f>IF($C$565=0,"",IF('Calc (ex-animal)'!$F$103=1,"",IF(D566="","",VLOOKUP($C$565,'Calc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categories'!$C$201:$AC$210,26,FALSE)/24)*F566/100*VLOOKUP(D566,'DB technologies'!$N$266:$Y$278,6,FALSE)/100)))</f>
        <v/>
      </c>
      <c r="AE566" s="262" t="str">
        <f>IF($C$565=0,"",IF('Calc (ex-animal)'!$F$103=1,"",IF(D566="","",VLOOKUP($C$565,'Calc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categories'!$C$201:$AC$210,26,FALSE)/24)*F566/100*VLOOKUP(D566,'DB technologies'!$N$266:$Y$278,7,FALSE)/100)))</f>
        <v/>
      </c>
      <c r="AI566" s="181" t="str">
        <f>IF(D566="","",VLOOKUP(D566,'DB technologies'!$N$266:$Y$278,10,FALSE))</f>
        <v/>
      </c>
      <c r="AJ566" s="449" t="e">
        <f>VLOOKUP($C$565,'DB animal categories'!$C$201:$AN$210,27,FALSE)-VLOOKUP($C$565,'DB animal categories'!$C$201:$AN$210,26,FALSE)*VLOOKUP($C$565,'DB animal categories'!$C$201:$AN$210,25,FALSE)/24</f>
        <v>#N/A</v>
      </c>
      <c r="AK566" s="442" t="str">
        <f>IF(AI566="","",AL566+AM566)</f>
        <v/>
      </c>
      <c r="AL566" s="442" t="str">
        <f>IF(D566="","",IF(AI566=2,(('Calc (ex-animal)'!$G$106*'DB additional information '!$K$22/100*(1-VLOOKUP(D566,'DB technologies'!$N$266:$Y$278,9,FALSE)/100)*'Calc (ex-housing, ex-storage)'!F566/100+'Calc (ex-animal)'!$H$106*'DB additional information '!$L$22/100*(1-VLOOKUP(D566,'DB technologies'!$N$266:$Y$278,9,FALSE)/100)*'Calc (ex-housing, ex-storage)'!F566/100))/VLOOKUP($C$565,'DB animal categories'!$C$201:$AC$210,27,FALSE)*AJ566+I566+J566+K566,IF(AI566=1,('Calc (ex-animal)'!$H$106*'DB additional information '!$L$22/100*(1-VLOOKUP(D566,'DB technologies'!$N$266:$Y$278,9,FALSE)/100)*'Calc (ex-housing, ex-storage)'!F566/100)/VLOOKUP($C$565,'DB animal categories'!$C$201:$AC$210,27,FALSE)*AJ566,IF(AI566=4,('Calc (ex-animal)'!$G$106*'DB additional information '!$K$22/100+'Calc (ex-animal)'!$H$106*'DB additional information '!$L$22/100)*(1-VLOOKUP(D566,'DB technologies'!$N$266:$Y$278,9,FALSE)/100)*'Calc (ex-housing, ex-storage)'!F566/100*VLOOKUP(D566,'DB technologies'!$N$266:$Y$278,11,FALSE)/100/VLOOKUP($C$565,'DB animal categories'!$C$201:$AC$210,27,FALSE)*AJ566,0))))</f>
        <v/>
      </c>
      <c r="AM566" s="442" t="str">
        <f>IF(D566="","",IF(AI566=2,(('Calc (ex-animal)'!$G$106*(1-'DB additional information '!$K$22/100)*(1-VLOOKUP(D566,'DB technologies'!$N$266:$Y$278,8,FALSE)/100)*'Calc (ex-housing, ex-storage)'!F566/100+'Calc (ex-animal)'!$H$106*(1-'DB additional information '!$L$22/100)*(1-VLOOKUP(D566,'DB technologies'!$N$266:$Y$278,8,FALSE)/100)*'Calc (ex-housing, ex-storage)'!F566/100))/VLOOKUP($C$565,'DB animal categories'!$C$201:$AC$210,27,FALSE)*AJ566+M566+N566+O566,IF(AI566=1,('Calc (ex-animal)'!$H$106*(1-'DB additional information '!$L$22/100)*(1-VLOOKUP(D566,'DB technologies'!$N$266:$Y$278,8,FALSE)/100)*'Calc (ex-housing, ex-storage)'!F566/100)/VLOOKUP($C$565,'DB animal categories'!$C$201:$AC$210,27,FALSE)*AJ566,IF(AI566=4,('Calc (ex-animal)'!$G$106*(1-'DB additional information '!$K$22/100)+'Calc (ex-animal)'!$H$106*(1-'DB additional information '!$L$22/100))*(1-VLOOKUP(D566,'DB technologies'!$N$266:$Y$278,8,FALSE)/100)*'Calc (ex-housing, ex-storage)'!F566/100*VLOOKUP(D566,'DB technologies'!$N$266:$Y$278,11,FALSE)/100/VLOOKUP($C$565,'DB animal categories'!$C$201:$AC$210,27,FALSE)*AJ566,0))))</f>
        <v/>
      </c>
      <c r="AN566" s="442" t="str">
        <f>IF(AI566="","",IF(AL566=0,0,AL566/AK566*100))</f>
        <v/>
      </c>
      <c r="AO566" s="182" t="str">
        <f>IF(D566="","",IF(AI566=2,(('Calc (ex-animal)'!$L$106*'Calc (ex-housing, ex-storage)'!F566/100+'Calc (ex-animal)'!$K$106*'Calc (ex-housing, ex-storage)'!F566/100))/VLOOKUP($C$565,'DB animal categories'!$C$201:$AC$210,27,FALSE)*AJ566+Q566+R566+S566-AC566,IF(AI566=1,('Calc (ex-animal)'!$L$106*'Calc (ex-housing, ex-storage)'!F566/100)/VLOOKUP($C$565,'DB animal categories'!$C$201:$AC$210,27,FALSE)*AJ566-'Calc (ex-housing, ex-storage)'!AC566,IF(AI566=4,('Calc (ex-animal)'!$L$106+'Calc (ex-animal)'!$K$106)*'Calc (ex-housing, ex-storage)'!F566/100*VLOOKUP(D566,'DB technologies'!$N$266:$Y$278,11,FALSE)/100/VLOOKUP($C$565,'DB animal categories'!$C$201:$AC$210,27,FALSE)*AJ566-AC566*VLOOKUP(D566,'DB technologies'!$N$266:$Y$278,11,FALSE)/100,0))))</f>
        <v/>
      </c>
      <c r="AP566" s="182" t="str">
        <f>IF(D566="","",IF(AO566&lt;-0.01,0,IF(AI566=2,(('Calc (ex-animal)'!$L$106*'Calc (ex-housing, ex-storage)'!F566/100+'Calc (ex-animal)'!$K$106*'Calc (ex-housing, ex-storage)'!F566/100))/VLOOKUP($C$565,'DB animal categories'!$C$201:$AC$210,27,FALSE)*AJ566+Q566+R566+S566-AC566,IF(AI566=1,('Calc (ex-animal)'!$L$106*'Calc (ex-housing, ex-storage)'!F566/100)/VLOOKUP($C$565,'DB animal categories'!$C$201:$AC$210,27,FALSE)*AJ566-'Calc (ex-housing, ex-storage)'!AC566,IF(AI566=4,('Calc (ex-animal)'!$L$106+'Calc (ex-animal)'!$K$106)*'Calc (ex-housing, ex-storage)'!F566/100*VLOOKUP(D566,'DB technologies'!$N$266:$Y$278,11,FALSE)/100/VLOOKUP($C$565,'DB animal categories'!$C$201:$AC$210,27,FALSE)*AJ566-AC566*VLOOKUP(D566,'DB technologies'!$N$266:$Y$278,11,FALSE)/100,0)))))</f>
        <v/>
      </c>
      <c r="AQ566" s="182" t="str">
        <f>IF(D566="","",IF(AI566=2,('Calc (ex-animal)'!$O$106*'Calc (ex-housing, ex-storage)'!F566/100+'Calc (ex-animal)'!$N$106*'Calc (ex-housing, ex-storage)'!F566/100)/VLOOKUP($C$565,'DB animal categories'!$C$201:$AC$210,27,FALSE)*AJ566+U566+V566+W566,IF(AI566=1,'Calc (ex-animal)'!$O$106*'Calc (ex-housing, ex-storage)'!F566/100/VLOOKUP($C$565,'DB animal categories'!$C$201:$AC$210,27,FALSE)*AJ566,IF(AI566=4,('Calc (ex-animal)'!$O$106+'Calc (ex-animal)'!$N$106)*'Calc (ex-housing, ex-storage)'!F566/100*VLOOKUP(D566,'DB technologies'!$N$266:$Y$278,11,FALSE)/100/VLOOKUP($C$565,'DB animal categories'!$C$201:$AC$210,27,FALSE)*AJ566,0))))</f>
        <v/>
      </c>
      <c r="AR566" s="182" t="str">
        <f>IF(D566="","",IF(AI566=2,('Calc (ex-animal)'!$R$106*'Calc (ex-housing, ex-storage)'!F566/100+'Calc (ex-animal)'!$Q$106*'Calc (ex-housing, ex-storage)'!F566/100)/VLOOKUP($C$565,'DB animal categories'!$C$201:$AC$210,27,FALSE)*AJ566+Y566+Z566+AA566,IF(AI566=1,'Calc (ex-animal)'!$R$106*'Calc (ex-housing, ex-storage)'!F566/100/VLOOKUP($C$565,'DB animal categories'!$C$201:$AC$210,27,FALSE)*AJ566,IF(AI566=4,('Calc (ex-animal)'!$R$106+'Calc (ex-animal)'!$Q$106)*'Calc (ex-housing, ex-storage)'!F566/100*VLOOKUP(D566,'DB technologies'!$N$266:$Y$278,11,FALSE)/100/VLOOKUP($C$565,'DB animal categories'!$C$201:$AC$210,27,FALSE)*AJ566,0))))</f>
        <v/>
      </c>
      <c r="AS566" s="181" t="str">
        <f>IF(D566="","",VLOOKUP(D566,'DB technologies'!$N$266:$Y$278,10,FALSE))</f>
        <v/>
      </c>
      <c r="AT566" s="442" t="str">
        <f>IF(AS566="","",AU566+AV566)</f>
        <v/>
      </c>
      <c r="AU566" s="442" t="str">
        <f>IF(D566="","",IF(AS566=2,0,IF(AS566=1,'Calc (ex-animal)'!$G$106*'DB additional information '!$K$22/100*(1-VLOOKUP(D566,'DB technologies'!$N$266:$Y$278,8,FALSE)/100)*'Calc (ex-housing, ex-storage)'!F566/100/VLOOKUP($C$565,'DB animal categories'!$C$201:$AC$210,27,FALSE)*AJ566+I566+J566+K566,IF(AS566=5,(('Calc (ex-animal)'!$G$106*'DB additional information '!$K$22/100+'Calc (ex-animal)'!$H$106*'DB additional information '!$L$22/100))*(1-VLOOKUP(D566,'DB technologies'!$N$266:$Y$278,9,FALSE)/100)*'Calc (ex-housing, ex-storage)'!F566/100/VLOOKUP($C$565,'DB animal categories'!$C$201:$AC$210,27,FALSE)*AJ566+I566+J566+K566,IF(AS566=3,('Calc (ex-animal)'!$G$106*'DB additional information '!$K$22/100+'Calc (ex-animal)'!$H$106*'DB additional information '!$L$22/100)*(1-VLOOKUP(D566,'DB technologies'!$N$266:$Y$278,9,FALSE)/100)*'Calc (ex-housing, ex-storage)'!F566/100/VLOOKUP($C$565,'DB animal categories'!$C$201:$AC$210,27,FALSE)*AJ566+I566+J566+K566,IF(AS566=4,('Calc (ex-animal)'!$G$106*'DB additional information '!$K$22/100+'Calc (ex-animal)'!$H$106*'DB additional information '!$L$22/100)*(1-VLOOKUP(D566,'DB technologies'!$N$266:$Y$278,9,FALSE)/100)*'Calc (ex-housing, ex-storage)'!F566/100*VLOOKUP(D566,'DB technologies'!$N$266:$Y$278,12,FALSE)/100/VLOOKUP($C$565,'DB animal categories'!$C$201:$AC$210,27,FALSE)*AJ566+I566+J566+K566,0))))))</f>
        <v/>
      </c>
      <c r="AV566" s="442" t="str">
        <f>IF(D566="","",IF(AS566=2,0,IF(AS566=1,'Calc (ex-animal)'!$G$106*(1-'DB additional information '!$K$22/100)*(1-VLOOKUP(D566,'DB technologies'!$N$266:$Y$278,8,FALSE)/100)*'Calc (ex-housing, ex-storage)'!F566/100/VLOOKUP($C$565,'DB animal categories'!$C$201:$AC$210,27,FALSE)*AJ566+M566+N566+O566,IF(AS566=5,('Calc (ex-animal)'!$G$106*(1-'DB additional information '!$K$22/100)+'Calc (ex-animal)'!$H$106*(1-'DB additional information '!$L$22/100))*(1-VLOOKUP(D566,'DB technologies'!$N$266:$Y$278,8,FALSE)/100)*'Calc (ex-housing, ex-storage)'!F566/100/VLOOKUP($C$565,'DB animal categories'!$C$201:$AC$210,27,FALSE)*AJ566+M566+N566+O566,IF(AS566=3,('Calc (ex-animal)'!$G$106*(1-'DB additional information '!$K$22/100)+'Calc (ex-animal)'!$H$106*(1-'DB additional information '!$L$22/100))*(1-VLOOKUP(D566,'DB technologies'!$N$266:$Y$278,8,FALSE)/100)*'Calc (ex-housing, ex-storage)'!F566/100/VLOOKUP($C$565,'DB animal categories'!$C$201:$AC$210,27,FALSE)*AJ566+M566+N566+O566,IF(AS566=4,('Calc (ex-animal)'!$G$106*(1-'DB additional information '!$K$22/100)+'Calc (ex-animal)'!$H$106*(1-'DB additional information '!$L$22/100))*(1-VLOOKUP(D566,'DB technologies'!$N$266:$Y$278,8,FALSE)/100)*'Calc (ex-housing, ex-storage)'!F566/100*VLOOKUP(D566,'DB technologies'!$N$266:$Y$278,12,FALSE)/100/VLOOKUP($C$565,'DB animal categories'!$C$201:$AC$210,27,FALSE)*AJ566+M566+N566+O566,0))))))</f>
        <v/>
      </c>
      <c r="AW566" s="442" t="str">
        <f>IF(AS566="","",IF(AU566=0,0,AU566/AT566*100))</f>
        <v/>
      </c>
      <c r="AX566" s="182" t="str">
        <f>IF(D566="","",IF(AS566=2,0,IF(AS566=1,'Calc (ex-animal)'!$K$106*'Calc (ex-housing, ex-storage)'!F566/100/VLOOKUP($C$565,'DB animal categories'!$C$201:$AC$210,27,FALSE)*AJ566+Q566+R566+S566,IF(AS566=5,('Calc (ex-animal)'!$K$106+'Calc (ex-animal)'!$L$106)*'Calc (ex-housing, ex-storage)'!F566/100/VLOOKUP($C$565,'DB animal categories'!$C$201:$AC$210,27,FALSE)*AJ566+Q566+R566+S566-'Calc (ex-housing, ex-storage)'!AC566,IF(AS566=3,('Calc (ex-animal)'!$K$106+'Calc (ex-animal)'!$L$106)*'Calc (ex-housing, ex-storage)'!F566/100/VLOOKUP($C$565,'DB animal categories'!$C$201:$AC$210,27,FALSE)*AJ566+Q566+R566+S566-'Calc (ex-housing, ex-storage)'!AC566-AD566-AE566,IF(AI566=4,('Calc (ex-animal)'!$K$106+'Calc (ex-animal)'!$L$106)*'Calc (ex-housing, ex-storage)'!F566/100*VLOOKUP(D566,'DB technologies'!$N$266:$Y$278,12,FALSE)/100/VLOOKUP($C$565,'DB animal categories'!$C$201:$AC$210,27,FALSE)*AJ566+Q566+R566+S566-(VLOOKUP(D566,'DB technologies'!$N$266:$Y$278,12,FALSE)/100*AC566)-AD566-AE566,0))))))</f>
        <v/>
      </c>
      <c r="AY566" s="182" t="str">
        <f>IF(D566="","",IF(AS566=2,0,IF(AS566=1,'Calc (ex-animal)'!$N$106*'Calc (ex-housing, ex-storage)'!F566/100/VLOOKUP($C$565,'DB animal categories'!$C$201:$AC$210,27,FALSE)*AJ566+U566+V566+W566,IF(AS566=5,('Calc (ex-animal)'!$N$106+'Calc (ex-animal)'!$O$106)*'Calc (ex-housing, ex-storage)'!F566/100/VLOOKUP($C$565,'DB animal categories'!$C$201:$AC$210,27,FALSE)*AJ566+U566+V566+W566,IF(AS566=3,('Calc (ex-animal)'!$N$106+'Calc (ex-animal)'!$O$106)*'Calc (ex-housing, ex-storage)'!F566/100/VLOOKUP($C$565,'DB animal categories'!$C$201:$AC$210,27,FALSE)*AJ566+U566+V566+W566,IF(AS566=4,('Calc (ex-animal)'!$N$106+'Calc (ex-animal)'!$O$106)*'Calc (ex-housing, ex-storage)'!F566/100*VLOOKUP(D566,'DB technologies'!$N$266:$Y$278,12,FALSE)/100/VLOOKUP($C$565,'DB animal categories'!$C$201:$AC$210,27,FALSE)*AJ566+U566+V566+W566,0))))))</f>
        <v/>
      </c>
      <c r="AZ566" s="182" t="str">
        <f>IF(D566="","",IF(AS566=2,0,IF(AS566=1,'Calc (ex-animal)'!$Q$106*'Calc (ex-housing, ex-storage)'!F566/100/VLOOKUP($C$565,'DB animal categories'!$C$201:$AC$210,27,FALSE)*AJ566+Y566+Z566+AA566,IF(AS566=5,('Calc (ex-animal)'!$Q$106+'Calc (ex-animal)'!$R$106)*'Calc (ex-housing, ex-storage)'!F566/100/VLOOKUP($C$565,'DB animal categories'!$C$201:$AC$210,27,FALSE)*AJ566+Y566+Z566+AA566,IF(AS566=3,('Calc (ex-animal)'!$Q$106+'Calc (ex-animal)'!$R$106)*'Calc (ex-housing, ex-storage)'!F566/100/VLOOKUP($C$565,'DB animal categories'!$C$201:$AC$210,27,FALSE)*AJ566+Y566+Z566+AA566,IF(AS566=4,('Calc (ex-animal)'!$Q$106+'Calc (ex-animal)'!$R$106)*'Calc (ex-housing, ex-storage)'!F566/100*VLOOKUP(D566,'DB technologies'!$N$266:$Y$278,12,FALSE)/100/VLOOKUP($C$565,'DB animal categories'!$C$201:$AC$210,27,FALSE)*AJ566+Y566+Z566+AA566,0))))))</f>
        <v/>
      </c>
      <c r="BA566" s="506"/>
      <c r="BB566" s="506"/>
      <c r="BC566" s="506"/>
    </row>
    <row r="567" spans="1:55" x14ac:dyDescent="0.2">
      <c r="A567" s="748"/>
      <c r="B567" s="695"/>
      <c r="C567" s="251"/>
      <c r="D567" s="1357"/>
      <c r="E567" s="1358"/>
      <c r="F567" s="480" t="str">
        <f>IF('Calc (ex-animal)'!$F$103=1,"",IF($C$565=0,"",IF(D567="","",E567/'Calc (ex-animal)'!$E$106*100)))</f>
        <v/>
      </c>
      <c r="G567" s="485" t="str">
        <f>IF($C$565=0,"",IF('Calc (ex-animal)'!$F$103=1,"",IF(D567="","",SUM(H567:O567))))</f>
        <v/>
      </c>
      <c r="H567" s="423" t="str">
        <f>IF('Calc (ex-animal)'!$F$103=1,"",IF(D567="","",(((VLOOKUP($C$565,'Calc (ex-animal)'!$D$103:$Y$107,6,FALSE)-VLOOKUP($C$565,'Calc (ex-animal)'!$D$103:$Y$107,17,FALSE))*F567/100))*VLOOKUP($C$565,'Calc (ex-animal)'!$D$103:$Y$107,7,FALSE)/100*(1-VLOOKUP(D567,'DB technologies'!$N$266:$Y$278,9,FALSE)/100)))</f>
        <v/>
      </c>
      <c r="I567" s="423" t="str">
        <f>IF(D567="","",((VLOOKUP(D567,'DB technologies'!$N$266:$Y$278,2,FALSE)*VLOOKUP($C$565,'DB animal categories'!$C$201:$AC$210,27,FALSE)*E567/1000)/VLOOKUP($C$565,'DB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'!$S$6/100*(1-VLOOKUP(D567,'DB technologies'!$N$266:$Y$278,9,FALSE)/100)))</f>
        <v/>
      </c>
      <c r="J567" s="434" t="str">
        <f>IF(D567="","",((VLOOKUP(D567,'DB technologies'!$N$266:$Y$278,3,FALSE)*VLOOKUP($C$565,'DB animal categories'!$C$201:$AC$210,27,FALSE)*E567/1000)/VLOOKUP($C$565,'DB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'!$S$7/100*(1-VLOOKUP(D567,'DB technologies'!$N$266:$Y$278,9,FALSE)/100)))</f>
        <v/>
      </c>
      <c r="K567" s="434" t="str">
        <f>IF(D567="","",((VLOOKUP(D567,'DB technologies'!$N$266:$Y$278,4,FALSE)*E567*'DB additional information '!$S$8/100*(1-VLOOKUP(D567,'DB technologies'!$N$266:$Y$278,9,FALSE)/100))/VLOOKUP($C$565,'DB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L567" s="423" t="str">
        <f>IF('Calc (ex-animal)'!$F$103=1,"",IF(D567="","",(((VLOOKUP($C$565,'Calc (ex-animal)'!$D$103:$Y$107,6,FALSE)-VLOOKUP($C$565,'Calc (ex-animal)'!$D$103:$Y$107,17,FALSE))*F567/100))*(1-VLOOKUP($C$565,'Calc (ex-animal)'!$D$103:$Y$107,7,FALSE)/100)*(1-VLOOKUP(D567,'DB technologies'!$N$266:$V$278,8,FALSE)/100)))</f>
        <v/>
      </c>
      <c r="M567" s="434" t="str">
        <f>IF(D567="","",((VLOOKUP(D567,'DB technologies'!$N$266:$Y$278,2,FALSE)*VLOOKUP($C$565,'DB animal categories'!$C$201:$AC$210,27,FALSE)*E567/1000)/VLOOKUP($C$565,'DB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'!$S$6/100)*(1-VLOOKUP(D567,'DB technologies'!$N$266:$Y$278,9,FALSE)/100))</f>
        <v/>
      </c>
      <c r="N567" s="434" t="str">
        <f>IF(D567="","",((VLOOKUP(D567,'DB technologies'!$N$266:$Y$278,3,FALSE)*VLOOKUP($C$565,'DB animal categories'!$C$201:$AC$210,27,FALSE)*E567/1000)/VLOOKUP($C$565,'DB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'!$S$7/100)*(1-VLOOKUP(D567,'DB technologies'!$N$266:$Y$278,9,FALSE)/100))</f>
        <v/>
      </c>
      <c r="O567" s="423" t="str">
        <f>IF(D567="","",((VLOOKUP(D567,'DB technologies'!$N$266:$Y$278,4,FALSE)*E567*(1-'DB additional information '!$S$8/100)*(1-VLOOKUP(D567,'DB technologies'!$N$266:$Y$278,8,FALSE)/100))/VLOOKUP($C$565,'DB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P567" s="438" t="str">
        <f>IF(G567=0,0,IF(E567="","",IF(F567="","",IF($C$565=0,"",IF(D567="","",SUM(H567:K567)/G567*100)))))</f>
        <v/>
      </c>
      <c r="Q567" s="416" t="str">
        <f>IF(D567="","",(VLOOKUP(D567,'DB technologies'!$N$266:$Y$278,2,FALSE)*'DB additional information '!$S$6/100*'DB additional information '!$T$6*VLOOKUP($C$565,'DB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R567" s="416" t="str">
        <f>IF(D567="","",(VLOOKUP(D567,'DB technologies'!$N$266:$Y$278,3,FALSE)*'DB additional information '!$S$7/100*'DB additional information '!$T$7*VLOOKUP($C$565,'DB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S567" s="491" t="str">
        <f>IF(D567="","",(VLOOKUP(D567,'DB technologies'!$N$266:$Y$278,4,FALSE)*('DB additional information '!$S$8/100*'DB additional information '!$T$8*E567/1000/1000)))</f>
        <v/>
      </c>
      <c r="T567" s="264" t="str">
        <f>IF($C$565=0,"",IF('Calc (ex-animal)'!$F$103=1,"",IF(D567="","",((VLOOKUP($C$565,'Calc (ex-animal)'!$D$103:$Y$107,10,FALSE)-VLOOKUP($C$565,'Calc (ex-animal)'!$D$103:$Y$107,18,FALSE))*F567/100+Q567+R567+S567)-AC567-AD567-AE567)))</f>
        <v/>
      </c>
      <c r="U567" s="422" t="str">
        <f>IF(D567="","",(VLOOKUP(D567,'DB technologies'!$N$266:$Y$278,2,FALSE)*'DB additional information '!$S$6/100*'DB additional information '!$U$6*VLOOKUP($C$565,'DB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V567" s="418" t="str">
        <f>IF(D567="","",(VLOOKUP(D567,'DB technologies'!$N$266:$Y$278,3,FALSE)*'DB additional information '!$S$7/100*'DB additional information '!$U$7*VLOOKUP($C$565,'DB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W567" s="417" t="str">
        <f>IF(D567="","",(VLOOKUP(D567,'DB technologies'!$N$266:$Y$278,4,FALSE)*('DB additional information '!$S$8/100*'DB additional information '!$U$8*E567/1000/1000)))</f>
        <v/>
      </c>
      <c r="X567" s="261" t="str">
        <f>IF($C$565=0,"",IF('Calc (ex-animal)'!$F$103=1,"",IF(D567="","",((VLOOKUP($C$565,'Calc (ex-animal)'!$D$103:$Y$107,13,FALSE)-VLOOKUP($C$565,'Calc (ex-animal)'!$D$103:$Y$107,19,FALSE))*F567/100+U567+V567+W567))))</f>
        <v/>
      </c>
      <c r="Y567" s="418" t="str">
        <f>IF(D567="","",(VLOOKUP(D567,'DB technologies'!$N$266:$Y$278,2,FALSE)*'DB additional information '!$S$6/100*'DB additional information '!$V$6*VLOOKUP($C$565,'DB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Z567" s="418" t="str">
        <f>IF(D567="","",(VLOOKUP(D567,'DB technologies'!$N$266:$Y$278,3,FALSE)*'DB additional information '!$S$7/100*'DB additional information '!$V$7*VLOOKUP($C$565,'DB animal categories'!$C$201:$AC$210,27,FALSE)*E567/1000/1000)/VLOOKUP($C$565,'DB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AA567" s="418" t="str">
        <f>IF(D567="","",(VLOOKUP(D567,'DB technologies'!$N$266:$Y$278,4,FALSE)*('DB additional information '!$S$8/100*'DB additional information '!$V$8*E567/1000/1000)))</f>
        <v/>
      </c>
      <c r="AB567" s="261" t="str">
        <f>IF($C$565=0,"",IF('Calc (ex-animal)'!$F$103=1,"",IF(D567="","",((VLOOKUP($C$565,'Calc (ex-animal)'!$D$103:$Y$107,16,FALSE)-VLOOKUP($C$565,'Calc (ex-animal)'!$D$103:$Y$107,20,FALSE))*F567/100+Y567+Z567+AA567))))</f>
        <v/>
      </c>
      <c r="AC567" s="261" t="str">
        <f>IF($C$565=0,"",IF('Calc (ex-animal)'!$F$103=1,"",IF(D567="","",VLOOKUP($C$565,'Calc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categories'!$C$201:$AC$210,26,FALSE)/24)*F567/100*VLOOKUP(D567,'DB technologies'!$N$266:$R$278,5,FALSE)/100)))</f>
        <v/>
      </c>
      <c r="AD567" s="261" t="str">
        <f>IF($C$565=0,"",IF('Calc (ex-animal)'!$F$103=1,"",IF(D567="","",VLOOKUP($C$565,'Calc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categories'!$C$201:$AC$210,26,FALSE)/24)*F567/100*VLOOKUP(D567,'DB technologies'!$N$266:$Y$278,6,FALSE)/100)))</f>
        <v/>
      </c>
      <c r="AE567" s="262" t="str">
        <f>IF($C$565=0,"",IF('Calc (ex-animal)'!$F$103=1,"",IF(D567="","",VLOOKUP($C$565,'Calc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categories'!$C$201:$AC$210,26,FALSE)/24)*F567/100*VLOOKUP(D567,'DB technologies'!$N$266:$Y$278,7,FALSE)/100)))</f>
        <v/>
      </c>
      <c r="AI567" s="181" t="str">
        <f>IF(D567="","",VLOOKUP(D567,'DB technologies'!$N$266:$Y$278,10,FALSE))</f>
        <v/>
      </c>
      <c r="AJ567" s="449" t="e">
        <f>VLOOKUP($C$565,'DB animal categories'!$C$201:$AN$210,27,FALSE)-VLOOKUP($C$565,'DB animal categories'!$C$201:$AN$210,26,FALSE)*VLOOKUP($C$565,'DB animal categories'!$C$201:$AN$210,25,FALSE)/24</f>
        <v>#N/A</v>
      </c>
      <c r="AK567" s="442" t="str">
        <f>IF(AI567="","",AL567+AM567)</f>
        <v/>
      </c>
      <c r="AL567" s="442" t="str">
        <f>IF(D567="","",IF(AI567=2,(('Calc (ex-animal)'!$G$106*'DB additional information '!$K$22/100*(1-VLOOKUP(D567,'DB technologies'!$N$266:$Y$278,9,FALSE)/100)*'Calc (ex-housing, ex-storage)'!F567/100+'Calc (ex-animal)'!$H$106*'DB additional information '!$L$22/100*(1-VLOOKUP(D567,'DB technologies'!$N$266:$Y$278,9,FALSE)/100)*'Calc (ex-housing, ex-storage)'!F567/100))/VLOOKUP($C$565,'DB animal categories'!$C$201:$AC$210,27,FALSE)*AJ567+I567+J567+K567,IF(AI567=1,('Calc (ex-animal)'!$H$106*'DB additional information '!$L$22/100*(1-VLOOKUP(D567,'DB technologies'!$N$266:$Y$278,9,FALSE)/100)*'Calc (ex-housing, ex-storage)'!F567/100)/VLOOKUP($C$565,'DB animal categories'!$C$201:$AC$210,27,FALSE)*AJ567,IF(AI567=4,('Calc (ex-animal)'!$G$106*'DB additional information '!$K$22/100+'Calc (ex-animal)'!$H$106*'DB additional information '!$L$22/100)*(1-VLOOKUP(D567,'DB technologies'!$N$266:$Y$278,9,FALSE)/100)*'Calc (ex-housing, ex-storage)'!F567/100*VLOOKUP(D567,'DB technologies'!$N$266:$Y$278,11,FALSE)/100/VLOOKUP($C$565,'DB animal categories'!$C$201:$AC$210,27,FALSE)*AJ567,0))))</f>
        <v/>
      </c>
      <c r="AM567" s="442" t="str">
        <f>IF(D567="","",IF(AI567=2,(('Calc (ex-animal)'!$G$106*(1-'DB additional information '!$K$22/100)*(1-VLOOKUP(D567,'DB technologies'!$N$266:$Y$278,8,FALSE)/100)*'Calc (ex-housing, ex-storage)'!F567/100+'Calc (ex-animal)'!$H$106*(1-'DB additional information '!$L$22/100)*(1-VLOOKUP(D567,'DB technologies'!$N$266:$Y$278,8,FALSE)/100)*'Calc (ex-housing, ex-storage)'!F567/100))/VLOOKUP($C$565,'DB animal categories'!$C$201:$AC$210,27,FALSE)*AJ567+M567+N567+O567,IF(AI567=1,('Calc (ex-animal)'!$H$106*(1-'DB additional information '!$L$22/100)*(1-VLOOKUP(D567,'DB technologies'!$N$266:$Y$278,8,FALSE)/100)*'Calc (ex-housing, ex-storage)'!F567/100)/VLOOKUP($C$565,'DB animal categories'!$C$201:$AC$210,27,FALSE)*AJ567,IF(AI567=4,('Calc (ex-animal)'!$G$106*(1-'DB additional information '!$K$22/100)+'Calc (ex-animal)'!$H$106*(1-'DB additional information '!$L$22/100))*(1-VLOOKUP(D567,'DB technologies'!$N$266:$Y$278,8,FALSE)/100)*'Calc (ex-housing, ex-storage)'!F567/100*VLOOKUP(D567,'DB technologies'!$N$266:$Y$278,11,FALSE)/100/VLOOKUP($C$565,'DB animal categories'!$C$201:$AC$210,27,FALSE)*AJ567,0))))</f>
        <v/>
      </c>
      <c r="AN567" s="442" t="str">
        <f>IF(AI567="","",IF(AL567=0,0,AL567/AK567*100))</f>
        <v/>
      </c>
      <c r="AO567" s="182" t="str">
        <f>IF(D567="","",IF(AI567=2,(('Calc (ex-animal)'!$L$106*'Calc (ex-housing, ex-storage)'!F567/100+'Calc (ex-animal)'!$K$106*'Calc (ex-housing, ex-storage)'!F567/100))/VLOOKUP($C$565,'DB animal categories'!$C$201:$AC$210,27,FALSE)*AJ567+Q567+R567+S567-AC567,IF(AI567=1,('Calc (ex-animal)'!$L$106*'Calc (ex-housing, ex-storage)'!F567/100)/VLOOKUP($C$565,'DB animal categories'!$C$201:$AC$210,27,FALSE)*AJ567-'Calc (ex-housing, ex-storage)'!AC567,IF(AI567=4,('Calc (ex-animal)'!$L$106+'Calc (ex-animal)'!$K$106)*'Calc (ex-housing, ex-storage)'!F567/100*VLOOKUP(D567,'DB technologies'!$N$266:$Y$278,11,FALSE)/100/VLOOKUP($C$565,'DB animal categories'!$C$201:$AC$210,27,FALSE)*AJ567-AC567*VLOOKUP(D567,'DB technologies'!$N$266:$Y$278,11,FALSE)/100,0))))</f>
        <v/>
      </c>
      <c r="AP567" s="182" t="str">
        <f>IF(D567="","",IF(AO567&lt;-0.01,0,IF(AI567=2,(('Calc (ex-animal)'!$L$106*'Calc (ex-housing, ex-storage)'!F567/100+'Calc (ex-animal)'!$K$106*'Calc (ex-housing, ex-storage)'!F567/100))/VLOOKUP($C$565,'DB animal categories'!$C$201:$AC$210,27,FALSE)*AJ567+Q567+R567+S567-AC567,IF(AI567=1,('Calc (ex-animal)'!$L$106*'Calc (ex-housing, ex-storage)'!F567/100)/VLOOKUP($C$565,'DB animal categories'!$C$201:$AC$210,27,FALSE)*AJ567-'Calc (ex-housing, ex-storage)'!AC567,IF(AI567=4,('Calc (ex-animal)'!$L$106+'Calc (ex-animal)'!$K$106)*'Calc (ex-housing, ex-storage)'!F567/100*VLOOKUP(D567,'DB technologies'!$N$266:$Y$278,11,FALSE)/100/VLOOKUP($C$565,'DB animal categories'!$C$201:$AC$210,27,FALSE)*AJ567-AC567*VLOOKUP(D567,'DB technologies'!$N$266:$Y$278,11,FALSE)/100,0)))))</f>
        <v/>
      </c>
      <c r="AQ567" s="182" t="str">
        <f>IF(D567="","",IF(AI567=2,('Calc (ex-animal)'!$O$106*'Calc (ex-housing, ex-storage)'!F567/100+'Calc (ex-animal)'!$N$106*'Calc (ex-housing, ex-storage)'!F567/100)/VLOOKUP($C$565,'DB animal categories'!$C$201:$AC$210,27,FALSE)*AJ567+U567+V567+W567,IF(AI567=1,'Calc (ex-animal)'!$O$106*'Calc (ex-housing, ex-storage)'!F567/100/VLOOKUP($C$565,'DB animal categories'!$C$201:$AC$210,27,FALSE)*AJ567,IF(AI567=4,('Calc (ex-animal)'!$O$106+'Calc (ex-animal)'!$N$106)*'Calc (ex-housing, ex-storage)'!F567/100*VLOOKUP(D567,'DB technologies'!$N$266:$Y$278,11,FALSE)/100/VLOOKUP($C$565,'DB animal categories'!$C$201:$AC$210,27,FALSE)*AJ567,0))))</f>
        <v/>
      </c>
      <c r="AR567" s="182" t="str">
        <f>IF(D567="","",IF(AI567=2,('Calc (ex-animal)'!$R$106*'Calc (ex-housing, ex-storage)'!F567/100+'Calc (ex-animal)'!$Q$106*'Calc (ex-housing, ex-storage)'!F567/100)/VLOOKUP($C$565,'DB animal categories'!$C$201:$AC$210,27,FALSE)*AJ567+Y567+Z567+AA567,IF(AI567=1,'Calc (ex-animal)'!$R$106*'Calc (ex-housing, ex-storage)'!F567/100/VLOOKUP($C$565,'DB animal categories'!$C$201:$AC$210,27,FALSE)*AJ567,IF(AI567=4,('Calc (ex-animal)'!$R$106+'Calc (ex-animal)'!$Q$106)*'Calc (ex-housing, ex-storage)'!F567/100*VLOOKUP(D567,'DB technologies'!$N$266:$Y$278,11,FALSE)/100/VLOOKUP($C$565,'DB animal categories'!$C$201:$AC$210,27,FALSE)*AJ567,0))))</f>
        <v/>
      </c>
      <c r="AS567" s="181" t="str">
        <f>IF(D567="","",VLOOKUP(D567,'DB technologies'!$N$266:$Y$278,10,FALSE))</f>
        <v/>
      </c>
      <c r="AT567" s="442" t="str">
        <f>IF(AS567="","",AU567+AV567)</f>
        <v/>
      </c>
      <c r="AU567" s="442" t="str">
        <f>IF(D567="","",IF(AS567=2,0,IF(AS567=1,'Calc (ex-animal)'!$G$106*'DB additional information '!$K$22/100*(1-VLOOKUP(D567,'DB technologies'!$N$266:$Y$278,8,FALSE)/100)*'Calc (ex-housing, ex-storage)'!F567/100/VLOOKUP($C$565,'DB animal categories'!$C$201:$AC$210,27,FALSE)*AJ567+I567+J567+K567,IF(AS567=5,(('Calc (ex-animal)'!$G$106*'DB additional information '!$K$22/100+'Calc (ex-animal)'!$H$106*'DB additional information '!$L$22/100))*(1-VLOOKUP(D567,'DB technologies'!$N$266:$Y$278,9,FALSE)/100)*'Calc (ex-housing, ex-storage)'!F567/100/VLOOKUP($C$565,'DB animal categories'!$C$201:$AC$210,27,FALSE)*AJ567+I567+J567+K567,IF(AS567=3,('Calc (ex-animal)'!$G$106*'DB additional information '!$K$22/100+'Calc (ex-animal)'!$H$106*'DB additional information '!$L$22/100)*(1-VLOOKUP(D567,'DB technologies'!$N$266:$Y$278,9,FALSE)/100)*'Calc (ex-housing, ex-storage)'!F567/100/VLOOKUP($C$565,'DB animal categories'!$C$201:$AC$210,27,FALSE)*AJ567+I567+J567+K567,IF(AS567=4,('Calc (ex-animal)'!$G$106*'DB additional information '!$K$22/100+'Calc (ex-animal)'!$H$106*'DB additional information '!$L$22/100)*(1-VLOOKUP(D567,'DB technologies'!$N$266:$Y$278,9,FALSE)/100)*'Calc (ex-housing, ex-storage)'!F567/100*VLOOKUP(D567,'DB technologies'!$N$266:$Y$278,12,FALSE)/100/VLOOKUP($C$565,'DB animal categories'!$C$201:$AC$210,27,FALSE)*AJ567+I567+J567+K567,0))))))</f>
        <v/>
      </c>
      <c r="AV567" s="442" t="str">
        <f>IF(D567="","",IF(AS567=2,0,IF(AS567=1,'Calc (ex-animal)'!$G$106*(1-'DB additional information '!$K$22/100)*(1-VLOOKUP(D567,'DB technologies'!$N$266:$Y$278,8,FALSE)/100)*'Calc (ex-housing, ex-storage)'!F567/100/VLOOKUP($C$565,'DB animal categories'!$C$201:$AC$210,27,FALSE)*AJ567+M567+N567+O567,IF(AS567=5,('Calc (ex-animal)'!$G$106*(1-'DB additional information '!$K$22/100)+'Calc (ex-animal)'!$H$106*(1-'DB additional information '!$L$22/100))*(1-VLOOKUP(D567,'DB technologies'!$N$266:$Y$278,8,FALSE)/100)*'Calc (ex-housing, ex-storage)'!F567/100/VLOOKUP($C$565,'DB animal categories'!$C$201:$AC$210,27,FALSE)*AJ567+M567+N567+O567,IF(AS567=3,('Calc (ex-animal)'!$G$106*(1-'DB additional information '!$K$22/100)+'Calc (ex-animal)'!$H$106*(1-'DB additional information '!$L$22/100))*(1-VLOOKUP(D567,'DB technologies'!$N$266:$Y$278,8,FALSE)/100)*'Calc (ex-housing, ex-storage)'!F567/100/VLOOKUP($C$565,'DB animal categories'!$C$201:$AC$210,27,FALSE)*AJ567+M567+N567+O567,IF(AS567=4,('Calc (ex-animal)'!$G$106*(1-'DB additional information '!$K$22/100)+'Calc (ex-animal)'!$H$106*(1-'DB additional information '!$L$22/100))*(1-VLOOKUP(D567,'DB technologies'!$N$266:$Y$278,8,FALSE)/100)*'Calc (ex-housing, ex-storage)'!F567/100*VLOOKUP(D567,'DB technologies'!$N$266:$Y$278,12,FALSE)/100/VLOOKUP($C$565,'DB animal categories'!$C$201:$AC$210,27,FALSE)*AJ567+M567+N567+O567,0))))))</f>
        <v/>
      </c>
      <c r="AW567" s="442" t="str">
        <f>IF(AS567="","",IF(AU567=0,0,AU567/AT567*100))</f>
        <v/>
      </c>
      <c r="AX567" s="182" t="str">
        <f>IF(D567="","",IF(AS567=2,0,IF(AS567=1,'Calc (ex-animal)'!$K$106*'Calc (ex-housing, ex-storage)'!F567/100/VLOOKUP($C$565,'DB animal categories'!$C$201:$AC$210,27,FALSE)*AJ567+Q567+R567+S567,IF(AS567=5,('Calc (ex-animal)'!$K$106+'Calc (ex-animal)'!$L$106)*'Calc (ex-housing, ex-storage)'!F567/100/VLOOKUP($C$565,'DB animal categories'!$C$201:$AC$210,27,FALSE)*AJ567+Q567+R567+S567-'Calc (ex-housing, ex-storage)'!AC567,IF(AS567=3,('Calc (ex-animal)'!$K$106+'Calc (ex-animal)'!$L$106)*'Calc (ex-housing, ex-storage)'!F567/100/VLOOKUP($C$565,'DB animal categories'!$C$201:$AC$210,27,FALSE)*AJ567+Q567+R567+S567-'Calc (ex-housing, ex-storage)'!AC567-AD567-AE567,IF(AI567=4,('Calc (ex-animal)'!$K$106+'Calc (ex-animal)'!$L$106)*'Calc (ex-housing, ex-storage)'!F567/100*VLOOKUP(D567,'DB technologies'!$N$266:$Y$278,12,FALSE)/100/VLOOKUP($C$565,'DB animal categories'!$C$201:$AC$210,27,FALSE)*AJ567+Q567+R567+S567-(VLOOKUP(D567,'DB technologies'!$N$266:$Y$278,12,FALSE)/100*AC567)-AD567-AE567,0))))))</f>
        <v/>
      </c>
      <c r="AY567" s="182" t="str">
        <f>IF(D567="","",IF(AS567=2,0,IF(AS567=1,'Calc (ex-animal)'!$N$106*'Calc (ex-housing, ex-storage)'!F567/100/VLOOKUP($C$565,'DB animal categories'!$C$201:$AC$210,27,FALSE)*AJ567+U567+V567+W567,IF(AS567=5,('Calc (ex-animal)'!$N$106+'Calc (ex-animal)'!$O$106)*'Calc (ex-housing, ex-storage)'!F567/100/VLOOKUP($C$565,'DB animal categories'!$C$201:$AC$210,27,FALSE)*AJ567+U567+V567+W567,IF(AS567=3,('Calc (ex-animal)'!$N$106+'Calc (ex-animal)'!$O$106)*'Calc (ex-housing, ex-storage)'!F567/100/VLOOKUP($C$565,'DB animal categories'!$C$201:$AC$210,27,FALSE)*AJ567+U567+V567+W567,IF(AS567=4,('Calc (ex-animal)'!$N$106+'Calc (ex-animal)'!$O$106)*'Calc (ex-housing, ex-storage)'!F567/100*VLOOKUP(D567,'DB technologies'!$N$266:$Y$278,12,FALSE)/100/VLOOKUP($C$565,'DB animal categories'!$C$201:$AC$210,27,FALSE)*AJ567+U567+V567+W567,0))))))</f>
        <v/>
      </c>
      <c r="AZ567" s="182" t="str">
        <f>IF(D567="","",IF(AS567=2,0,IF(AS567=1,'Calc (ex-animal)'!$Q$106*'Calc (ex-housing, ex-storage)'!F567/100/VLOOKUP($C$565,'DB animal categories'!$C$201:$AC$210,27,FALSE)*AJ567+Y567+Z567+AA567,IF(AS567=5,('Calc (ex-animal)'!$Q$106+'Calc (ex-animal)'!$R$106)*'Calc (ex-housing, ex-storage)'!F567/100/VLOOKUP($C$565,'DB animal categories'!$C$201:$AC$210,27,FALSE)*AJ567+Y567+Z567+AA567,IF(AS567=3,('Calc (ex-animal)'!$Q$106+'Calc (ex-animal)'!$R$106)*'Calc (ex-housing, ex-storage)'!F567/100/VLOOKUP($C$565,'DB animal categories'!$C$201:$AC$210,27,FALSE)*AJ567+Y567+Z567+AA567,IF(AS567=4,('Calc (ex-animal)'!$Q$106+'Calc (ex-animal)'!$R$106)*'Calc (ex-housing, ex-storage)'!F567/100*VLOOKUP(D567,'DB technologies'!$N$266:$Y$278,12,FALSE)/100/VLOOKUP($C$565,'DB animal categories'!$C$201:$AC$210,27,FALSE)*AJ567+Y567+Z567+AA567,0))))))</f>
        <v/>
      </c>
      <c r="BA567" s="506"/>
      <c r="BB567" s="506"/>
      <c r="BC567" s="506"/>
    </row>
    <row r="568" spans="1:55" x14ac:dyDescent="0.2">
      <c r="A568" s="748"/>
      <c r="B568" s="695"/>
      <c r="C568" s="251"/>
      <c r="D568" s="1357"/>
      <c r="E568" s="1358"/>
      <c r="F568" s="480" t="str">
        <f>IF('Calc (ex-animal)'!$F$103=1,"",IF($C$565=0,"",IF(D568="","",E568/'Calc (ex-animal)'!$E$106*100)))</f>
        <v/>
      </c>
      <c r="G568" s="485" t="str">
        <f>IF($C$565=0,"",IF('Calc (ex-animal)'!$F$103=1,"",IF(D568="","",SUM(H568:O568))))</f>
        <v/>
      </c>
      <c r="H568" s="423" t="str">
        <f>IF('Calc (ex-animal)'!$F$103=1,"",IF(D568="","",(((VLOOKUP($C$565,'Calc (ex-animal)'!$D$103:$Y$107,6,FALSE)-VLOOKUP($C$565,'Calc (ex-animal)'!$D$103:$Y$107,17,FALSE))*F568/100))*VLOOKUP($C$565,'Calc (ex-animal)'!$D$103:$Y$107,7,FALSE)/100*(1-VLOOKUP(D568,'DB technologies'!$N$266:$Y$278,9,FALSE)/100)))</f>
        <v/>
      </c>
      <c r="I568" s="423" t="str">
        <f>IF(D568="","",((VLOOKUP(D568,'DB technologies'!$N$266:$Y$278,2,FALSE)*VLOOKUP($C$565,'DB animal categories'!$C$201:$AC$210,27,FALSE)*E568/1000)/VLOOKUP($C$565,'DB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'!$S$6/100*(1-VLOOKUP(D568,'DB technologies'!$N$266:$Y$278,9,FALSE)/100)))</f>
        <v/>
      </c>
      <c r="J568" s="434" t="str">
        <f>IF(D568="","",((VLOOKUP(D568,'DB technologies'!$N$266:$Y$278,3,FALSE)*VLOOKUP($C$565,'DB animal categories'!$C$201:$AC$210,27,FALSE)*E568/1000)/VLOOKUP($C$565,'DB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'!$S$7/100*(1-VLOOKUP(D568,'DB technologies'!$N$266:$Y$278,9,FALSE)/100)))</f>
        <v/>
      </c>
      <c r="K568" s="434" t="str">
        <f>IF(D568="","",((VLOOKUP(D568,'DB technologies'!$N$266:$Y$278,4,FALSE)*E568*'DB additional information '!$S$8/100*(1-VLOOKUP(D568,'DB technologies'!$N$266:$Y$278,9,FALSE)/100))/VLOOKUP($C$565,'DB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L568" s="423" t="str">
        <f>IF('Calc (ex-animal)'!$F$103=1,"",IF(D568="","",(((VLOOKUP($C$565,'Calc (ex-animal)'!$D$103:$Y$107,6,FALSE)-VLOOKUP($C$565,'Calc (ex-animal)'!$D$103:$Y$107,17,FALSE))*F568/100))*(1-VLOOKUP($C$565,'Calc (ex-animal)'!$D$103:$Y$107,7,FALSE)/100)*(1-VLOOKUP(D568,'DB technologies'!$N$266:$V$278,8,FALSE)/100)))</f>
        <v/>
      </c>
      <c r="M568" s="434" t="str">
        <f>IF(D568="","",((VLOOKUP(D568,'DB technologies'!$N$266:$Y$278,2,FALSE)*VLOOKUP($C$565,'DB animal categories'!$C$201:$AC$210,27,FALSE)*E568/1000)/VLOOKUP($C$565,'DB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'!$S$6/100)*(1-VLOOKUP(D568,'DB technologies'!$N$266:$Y$278,9,FALSE)/100))</f>
        <v/>
      </c>
      <c r="N568" s="434" t="str">
        <f>IF(D568="","",((VLOOKUP(D568,'DB technologies'!$N$266:$Y$278,3,FALSE)*VLOOKUP($C$565,'DB animal categories'!$C$201:$AC$210,27,FALSE)*E568/1000)/VLOOKUP($C$565,'DB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'!$S$7/100)*(1-VLOOKUP(D568,'DB technologies'!$N$266:$Y$278,9,FALSE)/100))</f>
        <v/>
      </c>
      <c r="O568" s="423" t="str">
        <f>IF(D568="","",((VLOOKUP(D568,'DB technologies'!$N$266:$Y$278,4,FALSE)*E568*(1-'DB additional information '!$S$8/100)*(1-VLOOKUP(D568,'DB technologies'!$N$266:$Y$278,8,FALSE)/100))/VLOOKUP($C$565,'DB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P568" s="438" t="str">
        <f>IF(G568=0,0,IF(E568="","",IF(F568="","",IF($C$565=0,"",IF(D568="","",SUM(H568:K568)/G568*100)))))</f>
        <v/>
      </c>
      <c r="Q568" s="416" t="str">
        <f>IF(D568="","",(VLOOKUP(D568,'DB technologies'!$N$266:$Y$278,2,FALSE)*'DB additional information '!$S$6/100*'DB additional information '!$T$6*VLOOKUP($C$565,'DB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R568" s="416" t="str">
        <f>IF(D568="","",(VLOOKUP(D568,'DB technologies'!$N$266:$Y$278,3,FALSE)*'DB additional information '!$S$7/100*'DB additional information '!$T$7*VLOOKUP($C$565,'DB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S568" s="491" t="str">
        <f>IF(D568="","",(VLOOKUP(D568,'DB technologies'!$N$266:$Y$278,4,FALSE)*('DB additional information '!$S$8/100*'DB additional information '!$T$8*E568/1000/1000)))</f>
        <v/>
      </c>
      <c r="T568" s="264" t="str">
        <f>IF($C$565=0,"",IF('Calc (ex-animal)'!$F$103=1,"",IF(D568="","",((VLOOKUP($C$565,'Calc (ex-animal)'!$D$103:$Y$107,10,FALSE)-VLOOKUP($C$565,'Calc (ex-animal)'!$D$103:$Y$107,18,FALSE))*F568/100+Q568+R568+S568)-AC568-AD568-AE568)))</f>
        <v/>
      </c>
      <c r="U568" s="422" t="str">
        <f>IF(D568="","",(VLOOKUP(D568,'DB technologies'!$N$266:$Y$278,2,FALSE)*'DB additional information '!$S$6/100*'DB additional information '!$U$6*VLOOKUP($C$565,'DB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V568" s="418" t="str">
        <f>IF(D568="","",(VLOOKUP(D568,'DB technologies'!$N$266:$Y$278,3,FALSE)*'DB additional information '!$S$7/100*'DB additional information '!$U$7*VLOOKUP($C$565,'DB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W568" s="417" t="str">
        <f>IF(D568="","",(VLOOKUP(D568,'DB technologies'!$N$266:$Y$278,4,FALSE)*('DB additional information '!$S$8/100*'DB additional information '!$U$8*E568/1000/1000)))</f>
        <v/>
      </c>
      <c r="X568" s="261" t="str">
        <f>IF($C$565=0,"",IF('Calc (ex-animal)'!$F$103=1,"",IF(D568="","",((VLOOKUP($C$565,'Calc (ex-animal)'!$D$103:$Y$107,13,FALSE)-VLOOKUP($C$565,'Calc (ex-animal)'!$D$103:$Y$107,19,FALSE))*F568/100+U568+V568+W568))))</f>
        <v/>
      </c>
      <c r="Y568" s="418" t="str">
        <f>IF(D568="","",(VLOOKUP(D568,'DB technologies'!$N$266:$Y$278,2,FALSE)*'DB additional information '!$S$6/100*'DB additional information '!$V$6*VLOOKUP($C$565,'DB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Z568" s="418" t="str">
        <f>IF(D568="","",(VLOOKUP(D568,'DB technologies'!$N$266:$Y$278,3,FALSE)*'DB additional information '!$S$7/100*'DB additional information '!$V$7*VLOOKUP($C$565,'DB animal categories'!$C$201:$AC$210,27,FALSE)*E568/1000/1000)/VLOOKUP($C$565,'DB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AA568" s="418" t="str">
        <f>IF(D568="","",(VLOOKUP(D568,'DB technologies'!$N$266:$Y$278,4,FALSE)*('DB additional information '!$S$8/100*'DB additional information '!$V$8*E568/1000/1000)))</f>
        <v/>
      </c>
      <c r="AB568" s="261" t="str">
        <f>IF($C$565=0,"",IF('Calc (ex-animal)'!$F$103=1,"",IF(D568="","",((VLOOKUP($C$565,'Calc (ex-animal)'!$D$103:$Y$107,16,FALSE)-VLOOKUP($C$565,'Calc (ex-animal)'!$D$103:$Y$107,20,FALSE))*F568/100+Y568+Z568+AA568))))</f>
        <v/>
      </c>
      <c r="AC568" s="261" t="str">
        <f>IF($C$565=0,"",IF('Calc (ex-animal)'!$F$103=1,"",IF(D568="","",VLOOKUP($C$565,'Calc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categories'!$C$201:$AC$210,26,FALSE)/24)*F568/100*VLOOKUP(D568,'DB technologies'!$N$266:$R$278,5,FALSE)/100)))</f>
        <v/>
      </c>
      <c r="AD568" s="261" t="str">
        <f>IF($C$565=0,"",IF('Calc (ex-animal)'!$F$103=1,"",IF(D568="","",VLOOKUP($C$565,'Calc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categories'!$C$201:$AC$210,26,FALSE)/24)*F568/100*VLOOKUP(D568,'DB technologies'!$N$266:$Y$278,6,FALSE)/100)))</f>
        <v/>
      </c>
      <c r="AE568" s="262" t="str">
        <f>IF($C$565=0,"",IF('Calc (ex-animal)'!$F$103=1,"",IF(D568="","",VLOOKUP($C$565,'Calc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categories'!$C$201:$AC$210,26,FALSE)/24)*F568/100*VLOOKUP(D568,'DB technologies'!$N$266:$Y$278,7,FALSE)/100)))</f>
        <v/>
      </c>
      <c r="AI568" s="181" t="str">
        <f>IF(D568="","",VLOOKUP(D568,'DB technologies'!$N$266:$Y$278,10,FALSE))</f>
        <v/>
      </c>
      <c r="AJ568" s="449" t="e">
        <f>VLOOKUP($C$565,'DB animal categories'!$C$201:$AN$210,27,FALSE)-VLOOKUP($C$565,'DB animal categories'!$C$201:$AN$210,26,FALSE)*VLOOKUP($C$565,'DB animal categories'!$C$201:$AN$210,25,FALSE)/24</f>
        <v>#N/A</v>
      </c>
      <c r="AK568" s="442" t="str">
        <f>IF(AI568="","",AL568+AM568)</f>
        <v/>
      </c>
      <c r="AL568" s="442" t="str">
        <f>IF(D568="","",IF(AI568=2,(('Calc (ex-animal)'!$G$106*'DB additional information '!$K$22/100*(1-VLOOKUP(D568,'DB technologies'!$N$266:$Y$278,9,FALSE)/100)*'Calc (ex-housing, ex-storage)'!F568/100+'Calc (ex-animal)'!$H$106*'DB additional information '!$L$22/100*(1-VLOOKUP(D568,'DB technologies'!$N$266:$Y$278,9,FALSE)/100)*'Calc (ex-housing, ex-storage)'!F568/100))/VLOOKUP($C$565,'DB animal categories'!$C$201:$AC$210,27,FALSE)*AJ568+I568+J568+K568,IF(AI568=1,('Calc (ex-animal)'!$H$106*'DB additional information '!$L$22/100*(1-VLOOKUP(D568,'DB technologies'!$N$266:$Y$278,9,FALSE)/100)*'Calc (ex-housing, ex-storage)'!F568/100)/VLOOKUP($C$565,'DB animal categories'!$C$201:$AC$210,27,FALSE)*AJ568,IF(AI568=4,('Calc (ex-animal)'!$G$106*'DB additional information '!$K$22/100+'Calc (ex-animal)'!$H$106*'DB additional information '!$L$22/100)*(1-VLOOKUP(D568,'DB technologies'!$N$266:$Y$278,9,FALSE)/100)*'Calc (ex-housing, ex-storage)'!F568/100*VLOOKUP(D568,'DB technologies'!$N$266:$Y$278,11,FALSE)/100/VLOOKUP($C$565,'DB animal categories'!$C$201:$AC$210,27,FALSE)*AJ568,0))))</f>
        <v/>
      </c>
      <c r="AM568" s="442" t="str">
        <f>IF(D568="","",IF(AI568=2,(('Calc (ex-animal)'!$G$106*(1-'DB additional information '!$K$22/100)*(1-VLOOKUP(D568,'DB technologies'!$N$266:$Y$278,8,FALSE)/100)*'Calc (ex-housing, ex-storage)'!F568/100+'Calc (ex-animal)'!$H$106*(1-'DB additional information '!$L$22/100)*(1-VLOOKUP(D568,'DB technologies'!$N$266:$Y$278,8,FALSE)/100)*'Calc (ex-housing, ex-storage)'!F568/100))/VLOOKUP($C$565,'DB animal categories'!$C$201:$AC$210,27,FALSE)*AJ568+M568+N568+O568,IF(AI568=1,('Calc (ex-animal)'!$H$106*(1-'DB additional information '!$L$22/100)*(1-VLOOKUP(D568,'DB technologies'!$N$266:$Y$278,8,FALSE)/100)*'Calc (ex-housing, ex-storage)'!F568/100)/VLOOKUP($C$565,'DB animal categories'!$C$201:$AC$210,27,FALSE)*AJ568,IF(AI568=4,('Calc (ex-animal)'!$G$106*(1-'DB additional information '!$K$22/100)+'Calc (ex-animal)'!$H$106*(1-'DB additional information '!$L$22/100))*(1-VLOOKUP(D568,'DB technologies'!$N$266:$Y$278,8,FALSE)/100)*'Calc (ex-housing, ex-storage)'!F568/100*VLOOKUP(D568,'DB technologies'!$N$266:$Y$278,11,FALSE)/100/VLOOKUP($C$565,'DB animal categories'!$C$201:$AC$210,27,FALSE)*AJ568,0))))</f>
        <v/>
      </c>
      <c r="AN568" s="442" t="str">
        <f>IF(AI568="","",IF(AL568=0,0,AL568/AK568*100))</f>
        <v/>
      </c>
      <c r="AO568" s="182" t="str">
        <f>IF(D568="","",IF(AI568=2,(('Calc (ex-animal)'!$L$106*'Calc (ex-housing, ex-storage)'!F568/100+'Calc (ex-animal)'!$K$106*'Calc (ex-housing, ex-storage)'!F568/100))/VLOOKUP($C$565,'DB animal categories'!$C$201:$AC$210,27,FALSE)*AJ568+Q568+R568+S568-AC568,IF(AI568=1,('Calc (ex-animal)'!$L$106*'Calc (ex-housing, ex-storage)'!F568/100)/VLOOKUP($C$565,'DB animal categories'!$C$201:$AC$210,27,FALSE)*AJ568-'Calc (ex-housing, ex-storage)'!AC568,IF(AI568=4,('Calc (ex-animal)'!$L$106+'Calc (ex-animal)'!$K$106)*'Calc (ex-housing, ex-storage)'!F568/100*VLOOKUP(D568,'DB technologies'!$N$266:$Y$278,11,FALSE)/100/VLOOKUP($C$565,'DB animal categories'!$C$201:$AC$210,27,FALSE)*AJ568-AC568*VLOOKUP(D568,'DB technologies'!$N$266:$Y$278,11,FALSE)/100,0))))</f>
        <v/>
      </c>
      <c r="AP568" s="182" t="str">
        <f>IF(D568="","",IF(AO568&lt;-0.01,0,IF(AI568=2,(('Calc (ex-animal)'!$L$106*'Calc (ex-housing, ex-storage)'!F568/100+'Calc (ex-animal)'!$K$106*'Calc (ex-housing, ex-storage)'!F568/100))/VLOOKUP($C$565,'DB animal categories'!$C$201:$AC$210,27,FALSE)*AJ568+Q568+R568+S568-AC568,IF(AI568=1,('Calc (ex-animal)'!$L$106*'Calc (ex-housing, ex-storage)'!F568/100)/VLOOKUP($C$565,'DB animal categories'!$C$201:$AC$210,27,FALSE)*AJ568-'Calc (ex-housing, ex-storage)'!AC568,IF(AI568=4,('Calc (ex-animal)'!$L$106+'Calc (ex-animal)'!$K$106)*'Calc (ex-housing, ex-storage)'!F568/100*VLOOKUP(D568,'DB technologies'!$N$266:$Y$278,11,FALSE)/100/VLOOKUP($C$565,'DB animal categories'!$C$201:$AC$210,27,FALSE)*AJ568-AC568*VLOOKUP(D568,'DB technologies'!$N$266:$Y$278,11,FALSE)/100,0)))))</f>
        <v/>
      </c>
      <c r="AQ568" s="182" t="str">
        <f>IF(D568="","",IF(AI568=2,('Calc (ex-animal)'!$O$106*'Calc (ex-housing, ex-storage)'!F568/100+'Calc (ex-animal)'!$N$106*'Calc (ex-housing, ex-storage)'!F568/100)/VLOOKUP($C$565,'DB animal categories'!$C$201:$AC$210,27,FALSE)*AJ568+U568+V568+W568,IF(AI568=1,'Calc (ex-animal)'!$O$106*'Calc (ex-housing, ex-storage)'!F568/100/VLOOKUP($C$565,'DB animal categories'!$C$201:$AC$210,27,FALSE)*AJ568,IF(AI568=4,('Calc (ex-animal)'!$O$106+'Calc (ex-animal)'!$N$106)*'Calc (ex-housing, ex-storage)'!F568/100*VLOOKUP(D568,'DB technologies'!$N$266:$Y$278,11,FALSE)/100/VLOOKUP($C$565,'DB animal categories'!$C$201:$AC$210,27,FALSE)*AJ568,0))))</f>
        <v/>
      </c>
      <c r="AR568" s="182" t="str">
        <f>IF(D568="","",IF(AI568=2,('Calc (ex-animal)'!$R$106*'Calc (ex-housing, ex-storage)'!F568/100+'Calc (ex-animal)'!$Q$106*'Calc (ex-housing, ex-storage)'!F568/100)/VLOOKUP($C$565,'DB animal categories'!$C$201:$AC$210,27,FALSE)*AJ568+Y568+Z568+AA568,IF(AI568=1,'Calc (ex-animal)'!$R$106*'Calc (ex-housing, ex-storage)'!F568/100/VLOOKUP($C$565,'DB animal categories'!$C$201:$AC$210,27,FALSE)*AJ568,IF(AI568=4,('Calc (ex-animal)'!$R$106+'Calc (ex-animal)'!$Q$106)*'Calc (ex-housing, ex-storage)'!F568/100*VLOOKUP(D568,'DB technologies'!$N$266:$Y$278,11,FALSE)/100/VLOOKUP($C$565,'DB animal categories'!$C$201:$AC$210,27,FALSE)*AJ568,0))))</f>
        <v/>
      </c>
      <c r="AS568" s="181" t="str">
        <f>IF(D568="","",VLOOKUP(D568,'DB technologies'!$N$266:$Y$278,10,FALSE))</f>
        <v/>
      </c>
      <c r="AT568" s="442" t="str">
        <f>IF(AS568="","",AU568+AV568)</f>
        <v/>
      </c>
      <c r="AU568" s="442" t="str">
        <f>IF(D568="","",IF(AS568=2,0,IF(AS568=1,'Calc (ex-animal)'!$G$106*'DB additional information '!$K$22/100*(1-VLOOKUP(D568,'DB technologies'!$N$266:$Y$278,8,FALSE)/100)*'Calc (ex-housing, ex-storage)'!F568/100/VLOOKUP($C$565,'DB animal categories'!$C$201:$AC$210,27,FALSE)*AJ568+I568+J568+K568,IF(AS568=5,(('Calc (ex-animal)'!$G$106*'DB additional information '!$K$22/100+'Calc (ex-animal)'!$H$106*'DB additional information '!$L$22/100))*(1-VLOOKUP(D568,'DB technologies'!$N$266:$Y$278,9,FALSE)/100)*'Calc (ex-housing, ex-storage)'!F568/100/VLOOKUP($C$565,'DB animal categories'!$C$201:$AC$210,27,FALSE)*AJ568+I568+J568+K568,IF(AS568=3,('Calc (ex-animal)'!$G$106*'DB additional information '!$K$22/100+'Calc (ex-animal)'!$H$106*'DB additional information '!$L$22/100)*(1-VLOOKUP(D568,'DB technologies'!$N$266:$Y$278,9,FALSE)/100)*'Calc (ex-housing, ex-storage)'!F568/100/VLOOKUP($C$565,'DB animal categories'!$C$201:$AC$210,27,FALSE)*AJ568+I568+J568+K568,IF(AS568=4,('Calc (ex-animal)'!$G$106*'DB additional information '!$K$22/100+'Calc (ex-animal)'!$H$106*'DB additional information '!$L$22/100)*(1-VLOOKUP(D568,'DB technologies'!$N$266:$Y$278,9,FALSE)/100)*'Calc (ex-housing, ex-storage)'!F568/100*VLOOKUP(D568,'DB technologies'!$N$266:$Y$278,12,FALSE)/100/VLOOKUP($C$565,'DB animal categories'!$C$201:$AC$210,27,FALSE)*AJ568+I568+J568+K568,0))))))</f>
        <v/>
      </c>
      <c r="AV568" s="442" t="str">
        <f>IF(D568="","",IF(AS568=2,0,IF(AS568=1,'Calc (ex-animal)'!$G$106*(1-'DB additional information '!$K$22/100)*(1-VLOOKUP(D568,'DB technologies'!$N$266:$Y$278,8,FALSE)/100)*'Calc (ex-housing, ex-storage)'!F568/100/VLOOKUP($C$565,'DB animal categories'!$C$201:$AC$210,27,FALSE)*AJ568+M568+N568+O568,IF(AS568=5,('Calc (ex-animal)'!$G$106*(1-'DB additional information '!$K$22/100)+'Calc (ex-animal)'!$H$106*(1-'DB additional information '!$L$22/100))*(1-VLOOKUP(D568,'DB technologies'!$N$266:$Y$278,8,FALSE)/100)*'Calc (ex-housing, ex-storage)'!F568/100/VLOOKUP($C$565,'DB animal categories'!$C$201:$AC$210,27,FALSE)*AJ568+M568+N568+O568,IF(AS568=3,('Calc (ex-animal)'!$G$106*(1-'DB additional information '!$K$22/100)+'Calc (ex-animal)'!$H$106*(1-'DB additional information '!$L$22/100))*(1-VLOOKUP(D568,'DB technologies'!$N$266:$Y$278,8,FALSE)/100)*'Calc (ex-housing, ex-storage)'!F568/100/VLOOKUP($C$565,'DB animal categories'!$C$201:$AC$210,27,FALSE)*AJ568+M568+N568+O568,IF(AS568=4,('Calc (ex-animal)'!$G$106*(1-'DB additional information '!$K$22/100)+'Calc (ex-animal)'!$H$106*(1-'DB additional information '!$L$22/100))*(1-VLOOKUP(D568,'DB technologies'!$N$266:$Y$278,8,FALSE)/100)*'Calc (ex-housing, ex-storage)'!F568/100*VLOOKUP(D568,'DB technologies'!$N$266:$Y$278,12,FALSE)/100/VLOOKUP($C$565,'DB animal categories'!$C$201:$AC$210,27,FALSE)*AJ568+M568+N568+O568,0))))))</f>
        <v/>
      </c>
      <c r="AW568" s="442" t="str">
        <f>IF(AS568="","",IF(AU568=0,0,AU568/AT568*100))</f>
        <v/>
      </c>
      <c r="AX568" s="182" t="str">
        <f>IF(D568="","",IF(AS568=2,0,IF(AS568=1,'Calc (ex-animal)'!$K$106*'Calc (ex-housing, ex-storage)'!F568/100/VLOOKUP($C$565,'DB animal categories'!$C$201:$AC$210,27,FALSE)*AJ568+Q568+R568+S568,IF(AS568=5,('Calc (ex-animal)'!$K$106+'Calc (ex-animal)'!$L$106)*'Calc (ex-housing, ex-storage)'!F568/100/VLOOKUP($C$565,'DB animal categories'!$C$201:$AC$210,27,FALSE)*AJ568+Q568+R568+S568-'Calc (ex-housing, ex-storage)'!AC568,IF(AS568=3,('Calc (ex-animal)'!$K$106+'Calc (ex-animal)'!$L$106)*'Calc (ex-housing, ex-storage)'!F568/100/VLOOKUP($C$565,'DB animal categories'!$C$201:$AC$210,27,FALSE)*AJ568+Q568+R568+S568-'Calc (ex-housing, ex-storage)'!AC568-AD568-AE568,IF(AI568=4,('Calc (ex-animal)'!$K$106+'Calc (ex-animal)'!$L$106)*'Calc (ex-housing, ex-storage)'!F568/100*VLOOKUP(D568,'DB technologies'!$N$266:$Y$278,12,FALSE)/100/VLOOKUP($C$565,'DB animal categories'!$C$201:$AC$210,27,FALSE)*AJ568+Q568+R568+S568-(VLOOKUP(D568,'DB technologies'!$N$266:$Y$278,12,FALSE)/100*AC568)-AD568-AE568,0))))))</f>
        <v/>
      </c>
      <c r="AY568" s="182" t="str">
        <f>IF(D568="","",IF(AS568=2,0,IF(AS568=1,'Calc (ex-animal)'!$N$106*'Calc (ex-housing, ex-storage)'!F568/100/VLOOKUP($C$565,'DB animal categories'!$C$201:$AC$210,27,FALSE)*AJ568+U568+V568+W568,IF(AS568=5,('Calc (ex-animal)'!$N$106+'Calc (ex-animal)'!$O$106)*'Calc (ex-housing, ex-storage)'!F568/100/VLOOKUP($C$565,'DB animal categories'!$C$201:$AC$210,27,FALSE)*AJ568+U568+V568+W568,IF(AS568=3,('Calc (ex-animal)'!$N$106+'Calc (ex-animal)'!$O$106)*'Calc (ex-housing, ex-storage)'!F568/100/VLOOKUP($C$565,'DB animal categories'!$C$201:$AC$210,27,FALSE)*AJ568+U568+V568+W568,IF(AS568=4,('Calc (ex-animal)'!$N$106+'Calc (ex-animal)'!$O$106)*'Calc (ex-housing, ex-storage)'!F568/100*VLOOKUP(D568,'DB technologies'!$N$266:$Y$278,12,FALSE)/100/VLOOKUP($C$565,'DB animal categories'!$C$201:$AC$210,27,FALSE)*AJ568+U568+V568+W568,0))))))</f>
        <v/>
      </c>
      <c r="AZ568" s="182" t="str">
        <f>IF(D568="","",IF(AS568=2,0,IF(AS568=1,'Calc (ex-animal)'!$Q$106*'Calc (ex-housing, ex-storage)'!F568/100/VLOOKUP($C$565,'DB animal categories'!$C$201:$AC$210,27,FALSE)*AJ568+Y568+Z568+AA568,IF(AS568=5,('Calc (ex-animal)'!$Q$106+'Calc (ex-animal)'!$R$106)*'Calc (ex-housing, ex-storage)'!F568/100/VLOOKUP($C$565,'DB animal categories'!$C$201:$AC$210,27,FALSE)*AJ568+Y568+Z568+AA568,IF(AS568=3,('Calc (ex-animal)'!$Q$106+'Calc (ex-animal)'!$R$106)*'Calc (ex-housing, ex-storage)'!F568/100/VLOOKUP($C$565,'DB animal categories'!$C$201:$AC$210,27,FALSE)*AJ568+Y568+Z568+AA568,IF(AS568=4,('Calc (ex-animal)'!$Q$106+'Calc (ex-animal)'!$R$106)*'Calc (ex-housing, ex-storage)'!F568/100*VLOOKUP(D568,'DB technologies'!$N$266:$Y$278,12,FALSE)/100/VLOOKUP($C$565,'DB animal categories'!$C$201:$AC$210,27,FALSE)*AJ568+Y568+Z568+AA568,0))))))</f>
        <v/>
      </c>
      <c r="BA568" s="506"/>
      <c r="BB568" s="506"/>
      <c r="BC568" s="506"/>
    </row>
    <row r="569" spans="1:55" ht="12" thickBot="1" x14ac:dyDescent="0.25">
      <c r="A569" s="748"/>
      <c r="B569" s="695"/>
      <c r="C569" s="251"/>
      <c r="D569" s="1359"/>
      <c r="E569" s="1360"/>
      <c r="F569" s="481" t="str">
        <f>IF('Calc (ex-animal)'!$F$103=1,"",IF($C$565=0,"",IF(D569="","",E569/'Calc (ex-animal)'!$E$106*100)))</f>
        <v/>
      </c>
      <c r="G569" s="483" t="str">
        <f>IF($C$565=0,"",IF('Calc (ex-animal)'!$F$103=1,"",IF(D569="","",SUM(H569:O569))))</f>
        <v/>
      </c>
      <c r="H569" s="445" t="str">
        <f>IF('Calc (ex-animal)'!$F$103=1,"",IF(D569="","",(((VLOOKUP($C$565,'Calc (ex-animal)'!$D$103:$Y$107,6,FALSE)-VLOOKUP($C$565,'Calc (ex-animal)'!$D$103:$Y$107,17,FALSE))*F569/100))*VLOOKUP($C$565,'Calc (ex-animal)'!$D$103:$Y$107,7,FALSE)/100*(1-VLOOKUP(D569,'DB technologies'!$N$266:$Y$278,9,FALSE)/100)))</f>
        <v/>
      </c>
      <c r="I569" s="445" t="str">
        <f>IF(D569="","",((VLOOKUP(D569,'DB technologies'!$N$266:$Y$278,2,FALSE)*VLOOKUP($C$565,'DB animal categories'!$C$201:$AC$210,27,FALSE)*E569/1000)/VLOOKUP($C$565,'DB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'!$S$6/100*(1-VLOOKUP(D569,'DB technologies'!$N$266:$Y$278,9,FALSE)/100)))</f>
        <v/>
      </c>
      <c r="J569" s="446" t="str">
        <f>IF(D569="","",((VLOOKUP(D569,'DB technologies'!$N$266:$Y$278,3,FALSE)*VLOOKUP($C$565,'DB animal categories'!$C$201:$AC$210,27,FALSE)*E569/1000)/VLOOKUP($C$565,'DB animal categories'!$C$201:$AC$210,27,FALSE)*(VLOOKUP($C$565,'DB animal categories'!$C$201:$AC$210,27,FALSE)-(VLOOKUP($C$565,'DB animal categories'!$C$201:$AC$210,25,FALSE)*VLOOKUP($C$565,'DB animal categories'!$C$201:$AC$210,26,FALSE)/24))*'DB additional information '!$S$7/100*(1-VLOOKUP(D569,'DB technologies'!$N$266:$Y$278,9,FALSE)/100)))</f>
        <v/>
      </c>
      <c r="K569" s="446" t="str">
        <f>IF(D569="","",((VLOOKUP(D569,'DB technologies'!$N$266:$Y$278,4,FALSE)*E569*'DB additional information '!$S$8/100*(1-VLOOKUP(D569,'DB technologies'!$N$266:$Y$278,9,FALSE)/100))/VLOOKUP($C$565,'DB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L569" s="445" t="str">
        <f>IF('Calc (ex-animal)'!$F$103=1,"",IF(D569="","",(((VLOOKUP($C$565,'Calc (ex-animal)'!$D$103:$Y$107,6,FALSE)-VLOOKUP($C$565,'Calc (ex-animal)'!$D$103:$Y$107,17,FALSE))*F569/100))*(1-VLOOKUP($C$565,'Calc (ex-animal)'!$D$103:$Y$107,7,FALSE)/100)*(1-VLOOKUP(D569,'DB technologies'!$N$266:$V$278,8,FALSE)/100)))</f>
        <v/>
      </c>
      <c r="M569" s="446" t="str">
        <f>IF(D569="","",((VLOOKUP(D569,'DB technologies'!$N$266:$Y$278,2,FALSE)*VLOOKUP($C$565,'DB animal categories'!$C$201:$AC$210,27,FALSE)*E569/1000)/VLOOKUP($C$565,'DB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'!$S$6/100)*(1-VLOOKUP(D569,'DB technologies'!$N$266:$Y$278,9,FALSE)/100))</f>
        <v/>
      </c>
      <c r="N569" s="446" t="str">
        <f>IF(D569="","",((VLOOKUP(D569,'DB technologies'!$N$266:$Y$278,3,FALSE)*VLOOKUP($C$565,'DB animal categories'!$C$201:$AC$210,27,FALSE)*E569/1000)/VLOOKUP($C$565,'DB animal categories'!$C$201:$AC$210,27,FALSE)*(VLOOKUP($C$565,'DB animal categories'!$C$201:$AC$210,27,FALSE)-VLOOKUP($C$565,'DB animal categories'!$C$201:$AC$210,25,FALSE)*VLOOKUP($C$565,'DB animal categories'!$C$201:$AC$210,26,FALSE)/24))*(1-'DB additional information '!$S$7/100)*(1-VLOOKUP(D569,'DB technologies'!$N$266:$Y$278,9,FALSE)/100))</f>
        <v/>
      </c>
      <c r="O569" s="445" t="str">
        <f>IF(D569="","",((VLOOKUP(D569,'DB technologies'!$N$266:$Y$278,4,FALSE)*E569*(1-'DB additional information '!$S$8/100)*(1-VLOOKUP(D569,'DB technologies'!$N$266:$Y$278,8,FALSE)/100))/VLOOKUP($C$565,'DB animal categories'!$C$201:$AC$210,27,FALSE)*(VLOOKUP($C$565,'DB animal categories'!$C$201:$AC$210,27,FALSE)-VLOOKUP($C$565,'DB animal categories'!$C$201:$AC$210,25,FALSE)*VLOOKUP($C$565,'DB animal categories'!$C$201:$AC$210,26,FALSE)/24)))</f>
        <v/>
      </c>
      <c r="P569" s="444" t="str">
        <f>IF(G569=0,0,IF(E569="","",IF(F569="","",IF($C$565=0,"",IF(D569="","",SUM(H569:K569)/G569*100)))))</f>
        <v/>
      </c>
      <c r="Q569" s="476" t="str">
        <f>IF(D569="","",(VLOOKUP(D569,'DB technologies'!$N$266:$Y$278,2,FALSE)*'DB additional information '!$S$6/100*'DB additional information '!$T$6*VLOOKUP($C$565,'DB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R569" s="476" t="str">
        <f>IF(D569="","",(VLOOKUP(D569,'DB technologies'!$N$266:$Y$278,3,FALSE)*'DB additional information '!$S$7/100*'DB additional information '!$T$7*VLOOKUP($C$565,'DB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S569" s="494" t="str">
        <f>IF(D569="","",(VLOOKUP(D569,'DB technologies'!$N$266:$Y$278,4,FALSE)*('DB additional information '!$S$8/100*'DB additional information '!$T$8*E569/1000/1000)))</f>
        <v/>
      </c>
      <c r="T569" s="266" t="str">
        <f>IF($C$565=0,"",IF('Calc (ex-animal)'!$F$103=1,"",IF(D569="","",((VLOOKUP($C$565,'Calc (ex-animal)'!$D$103:$Y$107,10,FALSE)-VLOOKUP($C$565,'Calc (ex-animal)'!$D$103:$Y$107,18,FALSE))*F569/100+Q569+R569+S569)-AC569-AD569-AE569)))</f>
        <v/>
      </c>
      <c r="U569" s="477" t="str">
        <f>IF(D569="","",(VLOOKUP(D569,'DB technologies'!$N$266:$Y$278,2,FALSE)*'DB additional information '!$S$6/100*'DB additional information '!$U$6*VLOOKUP($C$565,'DB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V569" s="433" t="str">
        <f>IF(D569="","",(VLOOKUP(D569,'DB technologies'!$N$266:$Y$278,3,FALSE)*'DB additional information '!$S$7/100*'DB additional information '!$U$7*VLOOKUP($C$565,'DB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W569" s="475" t="str">
        <f>IF(D569="","",(VLOOKUP(D569,'DB technologies'!$N$266:$Y$278,4,FALSE)*('DB additional information '!$S$8/100*'DB additional information '!$U$8*E569/1000/1000)))</f>
        <v/>
      </c>
      <c r="X569" s="267" t="str">
        <f>IF($C$565=0,"",IF('Calc (ex-animal)'!$F$103=1,"",IF(D569="","",((VLOOKUP($C$565,'Calc (ex-animal)'!$D$103:$Y$107,13,FALSE)-VLOOKUP($C$565,'Calc (ex-animal)'!$D$103:$Y$107,19,FALSE))*F569/100+U569+V569+W569))))</f>
        <v/>
      </c>
      <c r="Y569" s="433" t="str">
        <f>IF(D569="","",(VLOOKUP(D569,'DB technologies'!$N$266:$Y$278,2,FALSE)*'DB additional information '!$S$6/100*'DB additional information '!$V$6*VLOOKUP($C$565,'DB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Z569" s="433" t="str">
        <f>IF(D569="","",(VLOOKUP(D569,'DB technologies'!$N$266:$Y$278,3,FALSE)*'DB additional information '!$S$7/100*'DB additional information '!$V$7*VLOOKUP($C$565,'DB animal categories'!$C$201:$AC$210,27,FALSE)*E569/1000/1000)/VLOOKUP($C$565,'DB animal categories'!$C$201:$AC$210,27,FALSE)*(VLOOKUP($C$565,'DB animal categories'!$C$201:$AC$210,27,FALSE)-VLOOKUP($C$565,'DB animal categories'!$C$201:$AC$210,25,FALSE)*VLOOKUP($C$565,'DB animal categories'!$C$201:$AC$210,26,FALSE)/24))</f>
        <v/>
      </c>
      <c r="AA569" s="433" t="str">
        <f>IF(D569="","",(VLOOKUP(D569,'DB technologies'!$N$266:$Y$278,4,FALSE)*('DB additional information '!$S$8/100*'DB additional information '!$V$8*E569/1000/1000)))</f>
        <v/>
      </c>
      <c r="AB569" s="267" t="str">
        <f>IF($C$565=0,"",IF('Calc (ex-animal)'!$F$103=1,"",IF(D569="","",((VLOOKUP($C$565,'Calc (ex-animal)'!$D$103:$Y$107,16,FALSE)-VLOOKUP($C$565,'Calc (ex-animal)'!$D$103:$Y$107,20,FALSE))*F569/100+Y569+Z569+AA569))))</f>
        <v/>
      </c>
      <c r="AC569" s="267" t="str">
        <f>IF($C$565=0,"",IF('Calc (ex-animal)'!$F$103=1,"",IF(D569="","",VLOOKUP($C$565,'Calc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categories'!$C$201:$AC$210,26,FALSE)/24)*F569/100*VLOOKUP(D569,'DB technologies'!$N$266:$R$278,5,FALSE)/100)))</f>
        <v/>
      </c>
      <c r="AD569" s="267" t="str">
        <f>IF($C$565=0,"",IF('Calc (ex-animal)'!$F$103=1,"",IF(D569="","",VLOOKUP($C$565,'Calc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categories'!$C$201:$AC$210,26,FALSE)/24)*F569/100*VLOOKUP(D569,'DB technologies'!$N$266:$Y$278,6,FALSE)/100)))</f>
        <v/>
      </c>
      <c r="AE569" s="268" t="str">
        <f>IF($C$565=0,"",IF('Calc (ex-animal)'!$F$103=1,"",IF(D569="","",VLOOKUP($C$565,'Calc (ex-animal)'!$D$103:$Y$107,10,FALSE)/VLOOKUP($C$565,'DB animal categories'!$C$201:$AC$210,27,FALSE)*(VLOOKUP($C$565,'DB animal categories'!$C$201:$AC$210,27,FALSE)-VLOOKUP($C$565,'DB animal categories'!$C$201:$AC$210,25,FALSE)*VLOOKUP($C$565,'DB animal categories'!$C$201:$AC$210,26,FALSE)/24)*F569/100*VLOOKUP(D569,'DB technologies'!$N$266:$Y$278,7,FALSE)/100)))</f>
        <v/>
      </c>
      <c r="AI569" s="183" t="str">
        <f>IF(D569="","",VLOOKUP(D569,'DB technologies'!$N$266:$Y$278,10,FALSE))</f>
        <v/>
      </c>
      <c r="AJ569" s="451" t="e">
        <f>VLOOKUP($C$565,'DB animal categories'!$C$201:$AN$210,27,FALSE)-VLOOKUP($C$565,'DB animal categories'!$C$201:$AN$210,26,FALSE)*VLOOKUP($C$565,'DB animal categories'!$C$201:$AN$210,25,FALSE)/24</f>
        <v>#N/A</v>
      </c>
      <c r="AK569" s="452" t="str">
        <f>IF(AI569="","",AL569+AM569)</f>
        <v/>
      </c>
      <c r="AL569" s="452" t="str">
        <f>IF(D569="","",IF(AI569=2,(('Calc (ex-animal)'!$G$106*'DB additional information '!$K$22/100*(1-VLOOKUP(D569,'DB technologies'!$N$266:$Y$278,9,FALSE)/100)*'Calc (ex-housing, ex-storage)'!F569/100+'Calc (ex-animal)'!$H$106*'DB additional information '!$L$22/100*(1-VLOOKUP(D569,'DB technologies'!$N$266:$Y$278,9,FALSE)/100)*'Calc (ex-housing, ex-storage)'!F569/100))/VLOOKUP($C$565,'DB animal categories'!$C$201:$AC$210,27,FALSE)*AJ569+I569+J569+K569,IF(AI569=1,('Calc (ex-animal)'!$H$106*'DB additional information '!$L$22/100*(1-VLOOKUP(D569,'DB technologies'!$N$266:$Y$278,9,FALSE)/100)*'Calc (ex-housing, ex-storage)'!F569/100)/VLOOKUP($C$565,'DB animal categories'!$C$201:$AC$210,27,FALSE)*AJ569,IF(AI569=4,('Calc (ex-animal)'!$G$106*'DB additional information '!$K$22/100+'Calc (ex-animal)'!$H$106*'DB additional information '!$L$22/100)*(1-VLOOKUP(D569,'DB technologies'!$N$266:$Y$278,9,FALSE)/100)*'Calc (ex-housing, ex-storage)'!F569/100*VLOOKUP(D569,'DB technologies'!$N$266:$Y$278,11,FALSE)/100/VLOOKUP($C$565,'DB animal categories'!$C$201:$AC$210,27,FALSE)*AJ569,0))))</f>
        <v/>
      </c>
      <c r="AM569" s="452" t="str">
        <f>IF(D569="","",IF(AI569=2,(('Calc (ex-animal)'!$G$106*(1-'DB additional information '!$K$22/100)*(1-VLOOKUP(D569,'DB technologies'!$N$266:$Y$278,8,FALSE)/100)*'Calc (ex-housing, ex-storage)'!F569/100+'Calc (ex-animal)'!$H$106*(1-'DB additional information '!$L$22/100)*(1-VLOOKUP(D569,'DB technologies'!$N$266:$Y$278,8,FALSE)/100)*'Calc (ex-housing, ex-storage)'!F569/100))/VLOOKUP($C$565,'DB animal categories'!$C$201:$AC$210,27,FALSE)*AJ569+M569+N569+O569,IF(AI569=1,('Calc (ex-animal)'!$H$106*(1-'DB additional information '!$L$22/100)*(1-VLOOKUP(D569,'DB technologies'!$N$266:$Y$278,8,FALSE)/100)*'Calc (ex-housing, ex-storage)'!F569/100)/VLOOKUP($C$565,'DB animal categories'!$C$201:$AC$210,27,FALSE)*AJ569,IF(AI569=4,('Calc (ex-animal)'!$G$106*(1-'DB additional information '!$K$22/100)+'Calc (ex-animal)'!$H$106*(1-'DB additional information '!$L$22/100))*(1-VLOOKUP(D569,'DB technologies'!$N$266:$Y$278,8,FALSE)/100)*'Calc (ex-housing, ex-storage)'!F569/100*VLOOKUP(D569,'DB technologies'!$N$266:$Y$278,11,FALSE)/100/VLOOKUP($C$565,'DB animal categories'!$C$201:$AC$210,27,FALSE)*AJ569,0))))</f>
        <v/>
      </c>
      <c r="AN569" s="452" t="str">
        <f>IF(AI569="","",IF(AL569=0,0,AL569/AK569*100))</f>
        <v/>
      </c>
      <c r="AO569" s="184" t="str">
        <f>IF(D569="","",IF(AI569=2,(('Calc (ex-animal)'!$L$106*'Calc (ex-housing, ex-storage)'!F569/100+'Calc (ex-animal)'!$K$106*'Calc (ex-housing, ex-storage)'!F569/100))/VLOOKUP($C$565,'DB animal categories'!$C$201:$AC$210,27,FALSE)*AJ569+Q569+R569+S569-AC569,IF(AI569=1,('Calc (ex-animal)'!$L$106*'Calc (ex-housing, ex-storage)'!F569/100)/VLOOKUP($C$565,'DB animal categories'!$C$201:$AC$210,27,FALSE)*AJ569-'Calc (ex-housing, ex-storage)'!AC569,IF(AI569=4,('Calc (ex-animal)'!$L$106+'Calc (ex-animal)'!$K$106)*'Calc (ex-housing, ex-storage)'!F569/100*VLOOKUP(D569,'DB technologies'!$N$266:$Y$278,11,FALSE)/100/VLOOKUP($C$565,'DB animal categories'!$C$201:$AC$210,27,FALSE)*AJ569-AC569*VLOOKUP(D569,'DB technologies'!$N$266:$Y$278,11,FALSE)/100,0))))</f>
        <v/>
      </c>
      <c r="AP569" s="184" t="str">
        <f>IF(D569="","",IF(AO569&lt;-0.01,0,IF(AI569=2,(('Calc (ex-animal)'!$L$106*'Calc (ex-housing, ex-storage)'!F569/100+'Calc (ex-animal)'!$K$106*'Calc (ex-housing, ex-storage)'!F569/100))/VLOOKUP($C$565,'DB animal categories'!$C$201:$AC$210,27,FALSE)*AJ569+Q569+R569+S569-AC569,IF(AI569=1,('Calc (ex-animal)'!$L$106*'Calc (ex-housing, ex-storage)'!F569/100)/VLOOKUP($C$565,'DB animal categories'!$C$201:$AC$210,27,FALSE)*AJ569-'Calc (ex-housing, ex-storage)'!AC569,IF(AI569=4,('Calc (ex-animal)'!$L$106+'Calc (ex-animal)'!$K$106)*'Calc (ex-housing, ex-storage)'!F569/100*VLOOKUP(D569,'DB technologies'!$N$266:$Y$278,11,FALSE)/100/VLOOKUP($C$565,'DB animal categories'!$C$201:$AC$210,27,FALSE)*AJ569-AC569*VLOOKUP(D569,'DB technologies'!$N$266:$Y$278,11,FALSE)/100,0)))))</f>
        <v/>
      </c>
      <c r="AQ569" s="184" t="str">
        <f>IF(D569="","",IF(AI569=2,('Calc (ex-animal)'!$O$106*'Calc (ex-housing, ex-storage)'!F569/100+'Calc (ex-animal)'!$N$106*'Calc (ex-housing, ex-storage)'!F569/100)/VLOOKUP($C$565,'DB animal categories'!$C$201:$AC$210,27,FALSE)*AJ569+U569+V569+W569,IF(AI569=1,'Calc (ex-animal)'!$O$106*'Calc (ex-housing, ex-storage)'!F569/100/VLOOKUP($C$565,'DB animal categories'!$C$201:$AC$210,27,FALSE)*AJ569,IF(AI569=4,('Calc (ex-animal)'!$O$106+'Calc (ex-animal)'!$N$106)*'Calc (ex-housing, ex-storage)'!F569/100*VLOOKUP(D569,'DB technologies'!$N$266:$Y$278,11,FALSE)/100/VLOOKUP($C$565,'DB animal categories'!$C$201:$AC$210,27,FALSE)*AJ569,0))))</f>
        <v/>
      </c>
      <c r="AR569" s="184" t="str">
        <f>IF(D569="","",IF(AI569=2,('Calc (ex-animal)'!$R$106*'Calc (ex-housing, ex-storage)'!F569/100+'Calc (ex-animal)'!$Q$106*'Calc (ex-housing, ex-storage)'!F569/100)/VLOOKUP($C$565,'DB animal categories'!$C$201:$AC$210,27,FALSE)*AJ569+Y569+Z569+AA569,IF(AI569=1,'Calc (ex-animal)'!$R$106*'Calc (ex-housing, ex-storage)'!F569/100/VLOOKUP($C$565,'DB animal categories'!$C$201:$AC$210,27,FALSE)*AJ569,IF(AI569=4,('Calc (ex-animal)'!$R$106+'Calc (ex-animal)'!$Q$106)*'Calc (ex-housing, ex-storage)'!F569/100*VLOOKUP(D569,'DB technologies'!$N$266:$Y$278,11,FALSE)/100/VLOOKUP($C$565,'DB animal categories'!$C$201:$AC$210,27,FALSE)*AJ569,0))))</f>
        <v/>
      </c>
      <c r="AS569" s="183" t="str">
        <f>IF(D569="","",VLOOKUP(D569,'DB technologies'!$N$266:$Y$278,10,FALSE))</f>
        <v/>
      </c>
      <c r="AT569" s="452" t="str">
        <f>IF(AS569="","",AU569+AV569)</f>
        <v/>
      </c>
      <c r="AU569" s="452" t="str">
        <f>IF(D569="","",IF(AS569=2,0,IF(AS569=1,'Calc (ex-animal)'!$G$106*'DB additional information '!$K$22/100*(1-VLOOKUP(D569,'DB technologies'!$N$266:$Y$278,8,FALSE)/100)*'Calc (ex-housing, ex-storage)'!F569/100/VLOOKUP($C$565,'DB animal categories'!$C$201:$AC$210,27,FALSE)*AJ569+I569+J569+K569,IF(AS569=5,(('Calc (ex-animal)'!$G$106*'DB additional information '!$K$22/100+'Calc (ex-animal)'!$H$106*'DB additional information '!$L$22/100))*(1-VLOOKUP(D569,'DB technologies'!$N$266:$Y$278,9,FALSE)/100)*'Calc (ex-housing, ex-storage)'!F569/100/VLOOKUP($C$565,'DB animal categories'!$C$201:$AC$210,27,FALSE)*AJ569+I569+J569+K569,IF(AS569=3,('Calc (ex-animal)'!$G$106*'DB additional information '!$K$22/100+'Calc (ex-animal)'!$H$106*'DB additional information '!$L$22/100)*(1-VLOOKUP(D569,'DB technologies'!$N$266:$Y$278,9,FALSE)/100)*'Calc (ex-housing, ex-storage)'!F569/100/VLOOKUP($C$565,'DB animal categories'!$C$201:$AC$210,27,FALSE)*AJ569+I569+J569+K569,IF(AS569=4,('Calc (ex-animal)'!$G$106*'DB additional information '!$K$22/100+'Calc (ex-animal)'!$H$106*'DB additional information '!$L$22/100)*(1-VLOOKUP(D569,'DB technologies'!$N$266:$Y$278,9,FALSE)/100)*'Calc (ex-housing, ex-storage)'!F569/100*VLOOKUP(D569,'DB technologies'!$N$266:$Y$278,12,FALSE)/100/VLOOKUP($C$565,'DB animal categories'!$C$201:$AC$210,27,FALSE)*AJ569+I569+J569+K569,0))))))</f>
        <v/>
      </c>
      <c r="AV569" s="452" t="str">
        <f>IF(D569="","",IF(AS569=2,0,IF(AS569=1,'Calc (ex-animal)'!$G$106*(1-'DB additional information '!$K$22/100)*(1-VLOOKUP(D569,'DB technologies'!$N$266:$Y$278,8,FALSE)/100)*'Calc (ex-housing, ex-storage)'!F569/100/VLOOKUP($C$565,'DB animal categories'!$C$201:$AC$210,27,FALSE)*AJ569+M569+N569+O569,IF(AS569=5,('Calc (ex-animal)'!$G$106*(1-'DB additional information '!$K$22/100)+'Calc (ex-animal)'!$H$106*(1-'DB additional information '!$L$22/100))*(1-VLOOKUP(D569,'DB technologies'!$N$266:$Y$278,8,FALSE)/100)*'Calc (ex-housing, ex-storage)'!F569/100/VLOOKUP($C$565,'DB animal categories'!$C$201:$AC$210,27,FALSE)*AJ569+M569+N569+O569,IF(AS569=3,('Calc (ex-animal)'!$G$106*(1-'DB additional information '!$K$22/100)+'Calc (ex-animal)'!$H$106*(1-'DB additional information '!$L$22/100))*(1-VLOOKUP(D569,'DB technologies'!$N$266:$Y$278,8,FALSE)/100)*'Calc (ex-housing, ex-storage)'!F569/100/VLOOKUP($C$565,'DB animal categories'!$C$201:$AC$210,27,FALSE)*AJ569+M569+N569+O569,IF(AS569=4,('Calc (ex-animal)'!$G$106*(1-'DB additional information '!$K$22/100)+'Calc (ex-animal)'!$H$106*(1-'DB additional information '!$L$22/100))*(1-VLOOKUP(D569,'DB technologies'!$N$266:$Y$278,8,FALSE)/100)*'Calc (ex-housing, ex-storage)'!F569/100*VLOOKUP(D569,'DB technologies'!$N$266:$Y$278,12,FALSE)/100/VLOOKUP($C$565,'DB animal categories'!$C$201:$AC$210,27,FALSE)*AJ569+M569+N569+O569,0))))))</f>
        <v/>
      </c>
      <c r="AW569" s="452" t="str">
        <f>IF(AS569="","",IF(AU569=0,0,AU569/AT569*100))</f>
        <v/>
      </c>
      <c r="AX569" s="184" t="str">
        <f>IF(D569="","",IF(AS569=2,0,IF(AS569=1,'Calc (ex-animal)'!$K$106*'Calc (ex-housing, ex-storage)'!F569/100/VLOOKUP($C$565,'DB animal categories'!$C$201:$AC$210,27,FALSE)*AJ569+Q569+R569+S569,IF(AS569=5,('Calc (ex-animal)'!$K$106+'Calc (ex-animal)'!$L$106)*'Calc (ex-housing, ex-storage)'!F569/100/VLOOKUP($C$565,'DB animal categories'!$C$201:$AC$210,27,FALSE)*AJ569+Q569+R569+S569-'Calc (ex-housing, ex-storage)'!AC569,IF(AS569=3,('Calc (ex-animal)'!$K$106+'Calc (ex-animal)'!$L$106)*'Calc (ex-housing, ex-storage)'!F569/100/VLOOKUP($C$565,'DB animal categories'!$C$201:$AC$210,27,FALSE)*AJ569+Q569+R569+S569-'Calc (ex-housing, ex-storage)'!AC569-AD569-AE569,IF(AI569=4,('Calc (ex-animal)'!$K$106+'Calc (ex-animal)'!$L$106)*'Calc (ex-housing, ex-storage)'!F569/100*VLOOKUP(D569,'DB technologies'!$N$266:$Y$278,12,FALSE)/100/VLOOKUP($C$565,'DB animal categories'!$C$201:$AC$210,27,FALSE)*AJ569+Q569+R569+S569-(VLOOKUP(D569,'DB technologies'!$N$266:$Y$278,12,FALSE)/100*AC569)-AD569-AE569,0))))))</f>
        <v/>
      </c>
      <c r="AY569" s="184" t="str">
        <f>IF(D569="","",IF(AS569=2,0,IF(AS569=1,'Calc (ex-animal)'!$N$106*'Calc (ex-housing, ex-storage)'!F569/100/VLOOKUP($C$565,'DB animal categories'!$C$201:$AC$210,27,FALSE)*AJ569+U569+V569+W569,IF(AS569=5,('Calc (ex-animal)'!$N$106+'Calc (ex-animal)'!$O$106)*'Calc (ex-housing, ex-storage)'!F569/100/VLOOKUP($C$565,'DB animal categories'!$C$201:$AC$210,27,FALSE)*AJ569+U569+V569+W569,IF(AS569=3,('Calc (ex-animal)'!$N$106+'Calc (ex-animal)'!$O$106)*'Calc (ex-housing, ex-storage)'!F569/100/VLOOKUP($C$565,'DB animal categories'!$C$201:$AC$210,27,FALSE)*AJ569+U569+V569+W569,IF(AS569=4,('Calc (ex-animal)'!$N$106+'Calc (ex-animal)'!$O$106)*'Calc (ex-housing, ex-storage)'!F569/100*VLOOKUP(D569,'DB technologies'!$N$266:$Y$278,12,FALSE)/100/VLOOKUP($C$565,'DB animal categories'!$C$201:$AC$210,27,FALSE)*AJ569+U569+V569+W569,0))))))</f>
        <v/>
      </c>
      <c r="AZ569" s="184" t="str">
        <f>IF(D569="","",IF(AS569=2,0,IF(AS569=1,'Calc (ex-animal)'!$Q$106*'Calc (ex-housing, ex-storage)'!F569/100/VLOOKUP($C$565,'DB animal categories'!$C$201:$AC$210,27,FALSE)*AJ569+Y569+Z569+AA569,IF(AS569=5,('Calc (ex-animal)'!$Q$106+'Calc (ex-animal)'!$R$106)*'Calc (ex-housing, ex-storage)'!F569/100/VLOOKUP($C$565,'DB animal categories'!$C$201:$AC$210,27,FALSE)*AJ569+Y569+Z569+AA569,IF(AS569=3,('Calc (ex-animal)'!$Q$106+'Calc (ex-animal)'!$R$106)*'Calc (ex-housing, ex-storage)'!F569/100/VLOOKUP($C$565,'DB animal categories'!$C$201:$AC$210,27,FALSE)*AJ569+Y569+Z569+AA569,IF(AS569=4,('Calc (ex-animal)'!$Q$106+'Calc (ex-animal)'!$R$106)*'Calc (ex-housing, ex-storage)'!F569/100*VLOOKUP(D569,'DB technologies'!$N$266:$Y$278,12,FALSE)/100/VLOOKUP($C$565,'DB animal categories'!$C$201:$AC$210,27,FALSE)*AJ569+Y569+Z569+AA569,0))))))</f>
        <v/>
      </c>
      <c r="BA569" s="506"/>
      <c r="BB569" s="506"/>
      <c r="BC569" s="506"/>
    </row>
    <row r="570" spans="1:55" ht="12" thickBot="1" x14ac:dyDescent="0.25">
      <c r="A570" s="748"/>
      <c r="B570" s="695"/>
      <c r="C570" s="252"/>
      <c r="D570" s="269" t="s">
        <v>58</v>
      </c>
      <c r="E570" s="270">
        <f>IF(F570&lt;=100,SUM(E565:E569),"ERROR")</f>
        <v>0</v>
      </c>
      <c r="F570" s="284">
        <f>IF(SUM(F565:F569) &lt;=100,SUM(F565:F569),"ERROR, SUM&gt;100%")</f>
        <v>0</v>
      </c>
      <c r="G570" s="550">
        <f>IF('Calc (ex-animal)'!$F$103=1,"",SUM(G565:G569))</f>
        <v>0</v>
      </c>
      <c r="H570" s="418">
        <f>IF('Calc (ex-animal)'!$F$8=1,"",SUM(H565:H569))</f>
        <v>0</v>
      </c>
      <c r="I570" s="418">
        <f>IF('Calc (ex-animal)'!$F$8=1,"",SUM(I565:I569))</f>
        <v>0</v>
      </c>
      <c r="J570" s="418">
        <f>IF('Calc (ex-animal)'!$F$8=1,"",SUM(J565:J569))</f>
        <v>0</v>
      </c>
      <c r="K570" s="418">
        <f>IF('Calc (ex-animal)'!$F$8=1,"",SUM(K565:K569))</f>
        <v>0</v>
      </c>
      <c r="L570" s="418">
        <f>IF('Calc (ex-animal)'!$F$8=1,"",SUM(L565:L569))</f>
        <v>0</v>
      </c>
      <c r="M570" s="551"/>
      <c r="N570" s="551"/>
      <c r="O570" s="551"/>
      <c r="P570" s="552">
        <f>IF(G570=0,0,IF('Calc (ex-animal)'!$F$103=1,"",IF(D570="","",SUM(H570:K570)/G570*100)))</f>
        <v>0</v>
      </c>
      <c r="Q570" s="271"/>
      <c r="R570" s="271"/>
      <c r="S570" s="271"/>
      <c r="T570" s="278">
        <f>IF('Calc (ex-animal)'!$F$106=1,"",SUM(T565:T569))</f>
        <v>0</v>
      </c>
      <c r="U570" s="279"/>
      <c r="V570" s="279"/>
      <c r="W570" s="279"/>
      <c r="X570" s="279">
        <f>IF('Calc (ex-animal)'!$F$106=1,"",SUM(X565:X569))</f>
        <v>0</v>
      </c>
      <c r="Y570" s="279"/>
      <c r="Z570" s="279"/>
      <c r="AA570" s="279"/>
      <c r="AB570" s="279">
        <f>IF('Calc (ex-animal)'!$F$106=1,"",SUM(AB565:AB569))</f>
        <v>0</v>
      </c>
      <c r="AC570" s="279">
        <f>IF('Calc (ex-animal)'!$F$106=1,"",SUM(AC565:AC569))</f>
        <v>0</v>
      </c>
      <c r="AD570" s="279">
        <f>IF('Calc (ex-animal)'!$F$106=1,"",SUM(AD565:AD569))</f>
        <v>0</v>
      </c>
      <c r="AE570" s="280">
        <f>IF('Calc (ex-animal)'!$F$106=1,"",SUM(AE565:AE569))</f>
        <v>0</v>
      </c>
    </row>
    <row r="571" spans="1:55" x14ac:dyDescent="0.2">
      <c r="A571" s="748"/>
      <c r="B571" s="695"/>
      <c r="C571" s="250">
        <f>'Calc (ex-animal)'!D107</f>
        <v>0</v>
      </c>
      <c r="D571" s="1355"/>
      <c r="E571" s="1356"/>
      <c r="F571" s="479" t="str">
        <f>IF('Calc (ex-animal)'!$F$103=1,"",IF($C$571=0,"",IF(D571="","",E571/'Calc (ex-animal)'!$E$107*100)))</f>
        <v/>
      </c>
      <c r="G571" s="484" t="str">
        <f>IF($C$571=0,"",IF('Calc (ex-animal)'!$F$103=1,"",IF(D571="","",SUM(H571:O571))))</f>
        <v/>
      </c>
      <c r="H571" s="471" t="str">
        <f>IF('Calc (ex-animal)'!$F$103=1,"",IF(D571="","",(((VLOOKUP($C$571,'Calc (ex-animal)'!$D$103:$Y$107,6,FALSE)-VLOOKUP($C$571,'Calc (ex-animal)'!$D$103:$Y$107,17,FALSE))*F571/100))*VLOOKUP($C$571,'Calc (ex-animal)'!$D$103:$Y$107,7,FALSE)/100*(1-VLOOKUP(D571,'DB technologies'!$N$266:$Y$278,9,FALSE)/100)))</f>
        <v/>
      </c>
      <c r="I571" s="471" t="str">
        <f>IF(D571="","",((VLOOKUP(D571,'DB technologies'!$N$266:$Y$278,2,FALSE)*VLOOKUP($C$571,'DB animal categories'!$C$201:$AC$210,27,FALSE)*E571/1000)/VLOOKUP($C$571,'DB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'!$S$6/100*(1-VLOOKUP(D571,'DB technologies'!$N$266:$Y$278,9,FALSE)/100)))</f>
        <v/>
      </c>
      <c r="J571" s="472" t="str">
        <f>IF(D571="","",((VLOOKUP(D571,'DB technologies'!$N$266:$Y$278,3,FALSE)*VLOOKUP($C$571,'DB animal categories'!$C$201:$AC$210,27,FALSE)*E571/1000)/VLOOKUP($C$571,'DB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'!$S$7/100*(1-VLOOKUP(D571,'DB technologies'!$N$266:$Y$278,9,FALSE)/100)))</f>
        <v/>
      </c>
      <c r="K571" s="472" t="str">
        <f>IF(D571="","",((VLOOKUP(D571,'DB technologies'!$N$266:$Y$278,4,FALSE)*E571*'DB additional information '!$S$8/100*(1-VLOOKUP(D571,'DB technologies'!$N$266:$Y$278,9,FALSE)/100))/VLOOKUP($C$571,'DB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L571" s="471" t="str">
        <f>IF('Calc (ex-animal)'!$F$103=1,"",IF(D571="","",(((VLOOKUP($C$571,'Calc (ex-animal)'!$D$103:$Y$107,6,FALSE)-VLOOKUP($C$571,'Calc (ex-animal)'!$D$103:$Y$107,17,FALSE))*F571/100))*(1-VLOOKUP($C$571,'Calc (ex-animal)'!$D$103:$Y$107,7,FALSE)/100)*(1-VLOOKUP(D571,'DB technologies'!$N$266:$V$278,8,FALSE)/100)))</f>
        <v/>
      </c>
      <c r="M571" s="472" t="str">
        <f>IF(D571="","",((VLOOKUP(D571,'DB technologies'!$N$266:$Y$278,2,FALSE)*VLOOKUP($C$571,'DB animal categories'!$C$201:$AC$210,27,FALSE)*E571/1000)/VLOOKUP($C$571,'DB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'!$S$6/100)*(1-VLOOKUP(D571,'DB technologies'!$N$266:$Y$278,9,FALSE)/100))</f>
        <v/>
      </c>
      <c r="N571" s="472" t="str">
        <f>IF(D571="","",((VLOOKUP(D571,'DB technologies'!$N$266:$Y$278,3,FALSE)*VLOOKUP($C$571,'DB animal categories'!$C$201:$AC$210,27,FALSE)*E571/1000)/VLOOKUP($C$571,'DB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'!$S$7/100)*(1-VLOOKUP(D571,'DB technologies'!$N$266:$Y$278,9,FALSE)/100))</f>
        <v/>
      </c>
      <c r="O571" s="471" t="str">
        <f>IF(D571="","",((VLOOKUP(D571,'DB technologies'!$N$266:$Y$278,4,FALSE)*E571*(1-'DB additional information '!$S$8/100)*(1-VLOOKUP(D571,'DB technologies'!$N$266:$Y$278,8,FALSE)/100))/VLOOKUP($C$571,'DB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P571" s="443" t="str">
        <f>IF(G571=0,0,IF(E571="","",IF(F571="","",IF($C$571=0,"",IF(D571="","",SUM(H571:K571)/G571*100)))))</f>
        <v/>
      </c>
      <c r="Q571" s="473" t="str">
        <f>IF(D571="","",(VLOOKUP(D571,'DB technologies'!$N$266:$Y$278,2,FALSE)*'DB additional information '!$S$6/100*'DB additional information '!$T$6*VLOOKUP($C$571,'DB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R571" s="473" t="str">
        <f>IF(D571="","",(VLOOKUP(D571,'DB technologies'!$N$266:$Y$278,3,FALSE)*'DB additional information '!$S$7/100*'DB additional information '!$T$7*VLOOKUP($C$571,'DB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S571" s="490" t="str">
        <f>IF(D571="","",(VLOOKUP(D571,'DB technologies'!$N$266:$Y$278,4,FALSE)*('DB additional information '!$S$8/100*'DB additional information '!$T$8*E571/1000/1000)))</f>
        <v/>
      </c>
      <c r="T571" s="263" t="str">
        <f>IF($C$571=0,"",IF('Calc (ex-animal)'!$F$103=1,"",IF(D571="","",((VLOOKUP($C$571,'Calc (ex-animal)'!$D$103:$Y$107,10,FALSE)-VLOOKUP($C$571,'Calc (ex-animal)'!$D$103:$Y$107,18,FALSE))*F571/100+Q571+R571+S571)-AC571-AD571-AE571)))</f>
        <v/>
      </c>
      <c r="U571" s="474" t="str">
        <f>IF(D571="","",(VLOOKUP(D571,'DB technologies'!$N$266:$Y$278,2,FALSE)*'DB additional information '!$S$6/100*'DB additional information '!$U$6*VLOOKUP($C$571,'DB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V571" s="420" t="str">
        <f>IF(D571="","",(VLOOKUP(D571,'DB technologies'!$N$266:$Y$278,3,FALSE)*'DB additional information '!$S$7/100*'DB additional information '!$U$7*VLOOKUP($C$571,'DB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W571" s="415" t="str">
        <f>IF(D571="","",(VLOOKUP(D571,'DB technologies'!$N$266:$Y$278,4,FALSE)*('DB additional information '!$S$8/100*'DB additional information '!$U$8*E571/1000/1000)))</f>
        <v/>
      </c>
      <c r="X571" s="259" t="str">
        <f>IF($C$571=0,"",IF('Calc (ex-animal)'!$F$103=1,"",IF(D571="","",((VLOOKUP($C$571,'Calc (ex-animal)'!$D$103:$Y$107,13,FALSE)-VLOOKUP($C$571,'Calc (ex-animal)'!$D$103:$Y$107,19,FALSE))*F571/100+U571+V571+W571))))</f>
        <v/>
      </c>
      <c r="Y571" s="420" t="str">
        <f>IF(D571="","",(VLOOKUP(D571,'DB technologies'!$N$266:$Y$278,2,FALSE)*'DB additional information '!$S$6/100*'DB additional information '!$V$6*VLOOKUP($C$571,'DB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Z571" s="420" t="str">
        <f>IF(D571="","",(VLOOKUP(D571,'DB technologies'!$N$266:$Y$278,3,FALSE)*'DB additional information '!$S$7/100*'DB additional information '!$V$7*VLOOKUP($C$571,'DB animal categories'!$C$201:$AC$210,27,FALSE)*E571/1000/1000)/VLOOKUP($C$571,'DB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AA571" s="420" t="str">
        <f>IF(D571="","",(VLOOKUP(D571,'DB technologies'!$N$266:$Y$278,4,FALSE)*('DB additional information '!$S$8/100*'DB additional information '!$V$8*E571/1000/1000)))</f>
        <v/>
      </c>
      <c r="AB571" s="259" t="str">
        <f>IF($C$571=0,"",IF('Calc (ex-animal)'!$F$103=1,"",IF(D571="","",((VLOOKUP($C$571,'Calc (ex-animal)'!$D$103:$Y$107,16,FALSE)-VLOOKUP($C$571,'Calc (ex-animal)'!$D$103:$Y$107,20,FALSE))*F571/100+Y571+Z571+AA571))))</f>
        <v/>
      </c>
      <c r="AC571" s="259" t="str">
        <f>IF($C$571=0,"",IF('Calc (ex-animal)'!$F$103=1,"",IF(D571="","",VLOOKUP($C$571,'Calc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categories'!$C$201:$AC$210,26,FALSE)/24)*F571/100*VLOOKUP(D571,'DB technologies'!$N$266:$R$278,5,FALSE)/100)))</f>
        <v/>
      </c>
      <c r="AD571" s="259" t="str">
        <f>IF($C$571=0,"",IF('Calc (ex-animal)'!$F$103=1,"",IF(D571="","",VLOOKUP($C$571,'Calc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categories'!$C$201:$AC$210,26,FALSE)/24)*F571/100*VLOOKUP(D571,'DB technologies'!$N$266:$Y$278,6,FALSE)/100)))</f>
        <v/>
      </c>
      <c r="AE571" s="260" t="str">
        <f>IF($C$571=0,"",IF('Calc (ex-animal)'!$F$103=1,"",IF(D571="","",VLOOKUP($C$571,'Calc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categories'!$C$201:$AC$210,26,FALSE)/24)*F571/100*VLOOKUP(D571,'DB technologies'!$N$266:$Y$278,7,FALSE)/100)))</f>
        <v/>
      </c>
      <c r="AI571" s="179" t="str">
        <f>IF(D571="","",VLOOKUP(D571,'DB technologies'!$N$266:$Y$278,10,FALSE))</f>
        <v/>
      </c>
      <c r="AJ571" s="482" t="e">
        <f>VLOOKUP($C$571,'DB animal categories'!$C$201:$AN$210,27,FALSE)-VLOOKUP($C$571,'DB animal categories'!$C$201:$AN$210,26,FALSE)*VLOOKUP($C$571,'DB animal categories'!$C$201:$AN$210,25,FALSE)/24</f>
        <v>#N/A</v>
      </c>
      <c r="AK571" s="453" t="str">
        <f>IF(AI571="","",AL571+AM571)</f>
        <v/>
      </c>
      <c r="AL571" s="453" t="str">
        <f>IF(D571="","",IF(AI571=2,(('Calc (ex-animal)'!$G$107*'DB additional information '!$K$22/100*(1-VLOOKUP(D571,'DB technologies'!$N$266:$Y$278,9,FALSE)/100)*'Calc (ex-housing, ex-storage)'!F571/100+'Calc (ex-animal)'!$H$107*'DB additional information '!$L$22/100*(1-VLOOKUP(D571,'DB technologies'!$N$266:$Y$278,9,FALSE)/100)*'Calc (ex-housing, ex-storage)'!F571/100))/VLOOKUP($C$571,'DB animal categories'!$C$201:$AC$210,27,FALSE)*AJ571+I571+J571+K571,IF(AI571=1,('Calc (ex-animal)'!$H$107*'DB additional information '!$L$22/100*(1-VLOOKUP(D571,'DB technologies'!$N$266:$Y$278,9,FALSE)/100)*'Calc (ex-housing, ex-storage)'!F571/100)/VLOOKUP($C$571,'DB animal categories'!$C$201:$AC$210,27,FALSE)*AJ571,IF(AI571=4,('Calc (ex-animal)'!$G$107*'DB additional information '!$K$22/100+'Calc (ex-animal)'!$H$107*'DB additional information '!$L$22/100)*(1-VLOOKUP(D571,'DB technologies'!$N$266:$Y$278,9,FALSE)/100)*'Calc (ex-housing, ex-storage)'!F571/100*VLOOKUP(D571,'DB technologies'!$N$266:$Y$278,11,FALSE)/100/VLOOKUP($C$571,'DB animal categories'!$C$201:$AC$210,27,FALSE)*AJ571,0))))</f>
        <v/>
      </c>
      <c r="AM571" s="453" t="str">
        <f>IF(D571="","",IF(AI571=2,(('Calc (ex-animal)'!$G$107*(1-'DB additional information '!$K$22/100)*(1-VLOOKUP(D571,'DB technologies'!$N$266:$Y$278,8,FALSE)/100)*'Calc (ex-housing, ex-storage)'!F571/100+'Calc (ex-animal)'!$H$107*(1-'DB additional information '!$L$22/100)*(1-VLOOKUP(D571,'DB technologies'!$N$266:$Y$278,8,FALSE)/100)*'Calc (ex-housing, ex-storage)'!F571/100))/VLOOKUP($C$571,'DB animal categories'!$C$201:$AC$210,27,FALSE)*AJ571+M571+N571+O571,IF(AI571=1,('Calc (ex-animal)'!$H$107*(1-'DB additional information '!$L$22/100)*(1-VLOOKUP(D571,'DB technologies'!$N$266:$Y$278,8,FALSE)/100)*'Calc (ex-housing, ex-storage)'!F571/100)/VLOOKUP($C$571,'DB animal categories'!$C$201:$AC$210,27,FALSE)*AJ571,IF(AI571=4,('Calc (ex-animal)'!$G$107*(1-'DB additional information '!$K$22/100)+'Calc (ex-animal)'!$H$107*(1-'DB additional information '!$L$22/100))*(1-VLOOKUP(D571,'DB technologies'!$N$266:$Y$278,8,FALSE)/100)*'Calc (ex-housing, ex-storage)'!F571/100*VLOOKUP(D571,'DB technologies'!$N$266:$Y$278,11,FALSE)/100/VLOOKUP($C$571,'DB animal categories'!$C$201:$AC$210,27,FALSE)*AJ571,0))))</f>
        <v/>
      </c>
      <c r="AN571" s="453" t="str">
        <f>IF(AI571="","",IF(AL571=0,0,AL571/AK571*100))</f>
        <v/>
      </c>
      <c r="AO571" s="180" t="str">
        <f>IF(D571="","",IF(AI571=2,(('Calc (ex-animal)'!$L$107*'Calc (ex-housing, ex-storage)'!F571/100+'Calc (ex-animal)'!$K$107*'Calc (ex-housing, ex-storage)'!F571/100))/VLOOKUP($C$571,'DB animal categories'!$C$201:$AC$210,27,FALSE)*AJ571+Q571+R571+S571-AC571,IF(AI571=1,('Calc (ex-animal)'!$L$107*'Calc (ex-housing, ex-storage)'!F571/100)/VLOOKUP($C$571,'DB animal categories'!$C$201:$AC$210,27,FALSE)*AJ571-'Calc (ex-housing, ex-storage)'!AC571,IF(AI571=4,('Calc (ex-animal)'!$L$107+'Calc (ex-animal)'!$K$107)*'Calc (ex-housing, ex-storage)'!F571/100*VLOOKUP(D571,'DB technologies'!$N$266:$Y$278,11,FALSE)/100/VLOOKUP($C$571,'DB animal categories'!$C$201:$AC$210,27,FALSE)*AJ571-AC571*VLOOKUP(D571,'DB technologies'!$N$266:$Y$278,11,FALSE)/100,0))))</f>
        <v/>
      </c>
      <c r="AP571" s="180" t="str">
        <f>IF(D571="","",IF(AO571&lt;-0.01,0,IF(AI571=2,(('Calc (ex-animal)'!$L$107*'Calc (ex-housing, ex-storage)'!F571/100+'Calc (ex-animal)'!$K$107*'Calc (ex-housing, ex-storage)'!F571/100))/VLOOKUP($C$571,'DB animal categories'!$C$201:$AC$210,27,FALSE)*AJ571+Q571+R571+S571-AC571,IF(AI571=1,('Calc (ex-animal)'!$L$107*'Calc (ex-housing, ex-storage)'!F571/100)/VLOOKUP($C$571,'DB animal categories'!$C$201:$AC$210,27,FALSE)*AJ571-'Calc (ex-housing, ex-storage)'!AC571,IF(AI571=4,('Calc (ex-animal)'!$L$107+'Calc (ex-animal)'!$K$107)*'Calc (ex-housing, ex-storage)'!F571/100*VLOOKUP(D571,'DB technologies'!$N$266:$Y$278,11,FALSE)/100/VLOOKUP($C$571,'DB animal categories'!$C$201:$AC$210,27,FALSE)*AJ571-AC571*VLOOKUP(D571,'DB technologies'!$N$266:$Y$278,11,FALSE)/100,0)))))</f>
        <v/>
      </c>
      <c r="AQ571" s="180" t="str">
        <f>IF(D571="","",IF(AI571=2,('Calc (ex-animal)'!$O$107*'Calc (ex-housing, ex-storage)'!F571/100+'Calc (ex-animal)'!$N$107*'Calc (ex-housing, ex-storage)'!F571/100)/VLOOKUP($C$571,'DB animal categories'!$C$201:$AC$210,27,FALSE)*AJ571+U571+V571+W571,IF(AI571=1,'Calc (ex-animal)'!$O$107*'Calc (ex-housing, ex-storage)'!F571/100/VLOOKUP($C$571,'DB animal categories'!$C$201:$AC$210,27,FALSE)*AJ571,IF(AI571=4,('Calc (ex-animal)'!$O$107+'Calc (ex-animal)'!$N$107)*'Calc (ex-housing, ex-storage)'!F571/100*VLOOKUP(D571,'DB technologies'!$N$266:$Y$278,11,FALSE)/100/VLOOKUP($C$571,'DB animal categories'!$C$201:$AC$210,27,FALSE)*AJ571,0))))</f>
        <v/>
      </c>
      <c r="AR571" s="180" t="str">
        <f>IF(D571="","",IF(AI571=2,('Calc (ex-animal)'!$R$107*'Calc (ex-housing, ex-storage)'!F571/100+'Calc (ex-animal)'!$Q$107*'Calc (ex-housing, ex-storage)'!F571/100)/VLOOKUP($C$571,'DB animal categories'!$C$201:$AC$210,27,FALSE)*AJ571+Y571+Z571+AA571,IF(AI571=1,'Calc (ex-animal)'!$R$107*'Calc (ex-housing, ex-storage)'!F571/100/VLOOKUP($C$571,'DB animal categories'!$C$201:$AC$210,27,FALSE)*AJ571,IF(AI571=4,('Calc (ex-animal)'!$R$107+'Calc (ex-animal)'!$Q$107)*'Calc (ex-housing, ex-storage)'!F571/100*VLOOKUP(D571,'DB technologies'!$N$266:$Y$278,11,FALSE)/100/VLOOKUP($C$571,'DB animal categories'!$C$201:$AC$210,27,FALSE)*AJ571,0))))</f>
        <v/>
      </c>
      <c r="AS571" s="179" t="str">
        <f>IF(D571="","",VLOOKUP(D571,'DB technologies'!$N$266:$Y$278,10,FALSE))</f>
        <v/>
      </c>
      <c r="AT571" s="453" t="str">
        <f>IF(AS571="","",AU571+AV571)</f>
        <v/>
      </c>
      <c r="AU571" s="453" t="str">
        <f>IF(D571="","",IF(AS571=2,0,IF(AS571=1,'Calc (ex-animal)'!$G$107*'DB additional information '!$K$22/100*(1-VLOOKUP(D571,'DB technologies'!$N$266:$Y$278,8,FALSE)/100)*'Calc (ex-housing, ex-storage)'!F571/100/VLOOKUP($C$571,'DB animal categories'!$C$201:$AC$210,27,FALSE)*AJ571+I571+J571+K571,IF(AS571=5,(('Calc (ex-animal)'!$G$107*'DB additional information '!$K$22/100+'Calc (ex-animal)'!$H$107*'DB additional information '!$L$22/100))*(1-VLOOKUP(D571,'DB technologies'!$N$266:$Y$278,9,FALSE)/100)*'Calc (ex-housing, ex-storage)'!F571/100/VLOOKUP($C$571,'DB animal categories'!$C$201:$AC$210,27,FALSE)*AJ571+I571+J571+K571,IF(AS571=3,('Calc (ex-animal)'!$G$107*'DB additional information '!$K$22/100+'Calc (ex-animal)'!$H$107*'DB additional information '!$L$22/100)*(1-VLOOKUP(D571,'DB technologies'!$N$266:$Y$278,9,FALSE)/100)*'Calc (ex-housing, ex-storage)'!F571/100/VLOOKUP($C$571,'DB animal categories'!$C$201:$AC$210,27,FALSE)*AJ571+I571+J571+K571,IF(AS571=4,('Calc (ex-animal)'!$G$107*'DB additional information '!$K$22/100+'Calc (ex-animal)'!$H$107*'DB additional information '!$L$22/100)*(1-VLOOKUP(D571,'DB technologies'!$N$266:$Y$278,9,FALSE)/100)*'Calc (ex-housing, ex-storage)'!F571/100*VLOOKUP(D571,'DB technologies'!$N$266:$Y$278,12,FALSE)/100/VLOOKUP($C$571,'DB animal categories'!$C$201:$AC$210,27,FALSE)*AJ571+I571+J571+K571,0))))))</f>
        <v/>
      </c>
      <c r="AV571" s="453" t="str">
        <f>IF(D571="","",IF(AS571=2,0,IF(AS571=1,'Calc (ex-animal)'!$G$107*(1-'DB additional information '!$K$22/100)*(1-VLOOKUP(D571,'DB technologies'!$N$266:$Y$278,8,FALSE)/100)*'Calc (ex-housing, ex-storage)'!F571/100/VLOOKUP($C$571,'DB animal categories'!$C$201:$AC$210,27,FALSE)*AJ571+M571+N571+O571,IF(AS571=5,('Calc (ex-animal)'!$G$107*(1-'DB additional information '!$K$22/100)+'Calc (ex-animal)'!$H$107*(1-'DB additional information '!$L$22/100))*(1-VLOOKUP(D571,'DB technologies'!$N$266:$Y$278,8,FALSE)/100)*'Calc (ex-housing, ex-storage)'!F571/100/VLOOKUP($C$571,'DB animal categories'!$C$201:$AC$210,27,FALSE)*AJ571+M571+N571+O571,IF(AS571=3,('Calc (ex-animal)'!$G$107*(1-'DB additional information '!$K$22/100)+'Calc (ex-animal)'!$H$107*(1-'DB additional information '!$L$22/100))*(1-VLOOKUP(D571,'DB technologies'!$N$266:$Y$278,8,FALSE)/100)*'Calc (ex-housing, ex-storage)'!F571/100/VLOOKUP($C$571,'DB animal categories'!$C$201:$AC$210,27,FALSE)*AJ571+M571+N571+O571,IF(AS571=4,('Calc (ex-animal)'!$G$107*(1-'DB additional information '!$K$22/100)+'Calc (ex-animal)'!$H$107*(1-'DB additional information '!$L$22/100))*(1-VLOOKUP(D571,'DB technologies'!$N$266:$Y$278,8,FALSE)/100)*'Calc (ex-housing, ex-storage)'!F571/100*VLOOKUP(D571,'DB technologies'!$N$266:$Y$278,12,FALSE)/100/VLOOKUP($C$571,'DB animal categories'!$C$201:$AC$210,27,FALSE)*AJ571+M571+N571+O571,0))))))</f>
        <v/>
      </c>
      <c r="AW571" s="453" t="str">
        <f>IF(AS571="","",IF(AU571=0,0,AU571/AT571*100))</f>
        <v/>
      </c>
      <c r="AX571" s="180" t="str">
        <f>IF(D571="","",IF(AS571=2,0,IF(AS571=1,'Calc (ex-animal)'!$K$107*'Calc (ex-housing, ex-storage)'!F571/100/VLOOKUP($C$571,'DB animal categories'!$C$201:$AC$210,27,FALSE)*AJ571+Q571+R571+S571,IF(AS571=5,('Calc (ex-animal)'!$K$107+'Calc (ex-animal)'!$L$107)*'Calc (ex-housing, ex-storage)'!F571/100/VLOOKUP($C$571,'DB animal categories'!$C$201:$AC$210,27,FALSE)*AJ571+Q571+R571+S571-'Calc (ex-housing, ex-storage)'!AC571,IF(AS571=3,('Calc (ex-animal)'!$K$107+'Calc (ex-animal)'!$L$107)*'Calc (ex-housing, ex-storage)'!F571/100/VLOOKUP($C$571,'DB animal categories'!$C$201:$AC$210,27,FALSE)*AJ571+Q571+R571+S571-'Calc (ex-housing, ex-storage)'!AC571-AD571-AE571,IF(AI571=4,('Calc (ex-animal)'!$K$107+'Calc (ex-animal)'!$L$107)*'Calc (ex-housing, ex-storage)'!F571/100*VLOOKUP(D571,'DB technologies'!$N$266:$Y$278,12,FALSE)/100/VLOOKUP($C$571,'DB animal categories'!$C$201:$AC$210,27,FALSE)*AJ571+Q571+R571+S571-(VLOOKUP(D571,'DB technologies'!$N$266:$Y$278,12,FALSE)/100*AC571)-AD571-AE571,0))))))</f>
        <v/>
      </c>
      <c r="AY571" s="180" t="str">
        <f>IF(D571="","",IF(AS571=2,0,IF(AS571=1,'Calc (ex-animal)'!$N$107*'Calc (ex-housing, ex-storage)'!F571/100/VLOOKUP($C$571,'DB animal categories'!$C$201:$AC$210,27,FALSE)*AJ571+U571+V571+W571,IF(AS571=5,('Calc (ex-animal)'!$N$107+'Calc (ex-animal)'!$O$107)*'Calc (ex-housing, ex-storage)'!F571/100/VLOOKUP($C$571,'DB animal categories'!$C$201:$AC$210,27,FALSE)*AJ571+U571+V571+W571,IF(AS571=3,('Calc (ex-animal)'!$N$107+'Calc (ex-animal)'!$O$107)*'Calc (ex-housing, ex-storage)'!F571/100/VLOOKUP($C$571,'DB animal categories'!$C$201:$AC$210,27,FALSE)*AJ571+U571+V571+W571,IF(AS571=4,('Calc (ex-animal)'!$N$107+'Calc (ex-animal)'!$O$107)*'Calc (ex-housing, ex-storage)'!F571/100*VLOOKUP(D571,'DB technologies'!$N$266:$Y$278,12,FALSE)/100/VLOOKUP($C$571,'DB animal categories'!$C$201:$AC$210,27,FALSE)*AJ571+U571+V571+W571,0))))))</f>
        <v/>
      </c>
      <c r="AZ571" s="180" t="str">
        <f>IF(D571="","",IF(AS571=2,0,IF(AS571=1,'Calc (ex-animal)'!$Q$107*'Calc (ex-housing, ex-storage)'!F571/100/VLOOKUP($C$571,'DB animal categories'!$C$201:$AC$210,27,FALSE)*AJ571+Y571+Z571+AA571,IF(AS571=5,('Calc (ex-animal)'!$Q$107+'Calc (ex-animal)'!$R$107)*'Calc (ex-housing, ex-storage)'!F571/100/VLOOKUP($C$571,'DB animal categories'!$C$201:$AC$210,27,FALSE)*AJ571+Y571+Z571+AA571,IF(AS571=3,('Calc (ex-animal)'!$Q$107+'Calc (ex-animal)'!$R$107)*'Calc (ex-housing, ex-storage)'!F571/100/VLOOKUP($C$571,'DB animal categories'!$C$201:$AC$210,27,FALSE)*AJ571+Y571+Z571+AA571,IF(AS571=4,('Calc (ex-animal)'!$Q$107+'Calc (ex-animal)'!$R$107)*'Calc (ex-housing, ex-storage)'!F571/100*VLOOKUP(D571,'DB technologies'!$N$266:$Y$278,12,FALSE)/100/VLOOKUP($C$571,'DB animal categories'!$C$201:$AC$210,27,FALSE)*AJ571+Y571+Z571+AA571,0))))))</f>
        <v/>
      </c>
      <c r="BA571" s="506"/>
      <c r="BB571" s="506"/>
      <c r="BC571" s="506"/>
    </row>
    <row r="572" spans="1:55" x14ac:dyDescent="0.2">
      <c r="A572" s="748"/>
      <c r="B572" s="695"/>
      <c r="C572" s="251"/>
      <c r="D572" s="1357"/>
      <c r="E572" s="1358"/>
      <c r="F572" s="480" t="str">
        <f>IF('Calc (ex-animal)'!$F$103=1,"",IF($C$571=0,"",IF(D572="","",E572/'Calc (ex-animal)'!$E$107*100)))</f>
        <v/>
      </c>
      <c r="G572" s="485" t="str">
        <f>IF($C$571=0,"",IF('Calc (ex-animal)'!$F$103=1,"",IF(D572="","",SUM(H572:O572))))</f>
        <v/>
      </c>
      <c r="H572" s="423" t="str">
        <f>IF('Calc (ex-animal)'!$F$103=1,"",IF(D572="","",(((VLOOKUP($C$571,'Calc (ex-animal)'!$D$103:$Y$107,6,FALSE)-VLOOKUP($C$571,'Calc (ex-animal)'!$D$103:$Y$107,17,FALSE))*F572/100))*VLOOKUP($C$571,'Calc (ex-animal)'!$D$103:$Y$107,7,FALSE)/100*(1-VLOOKUP(D572,'DB technologies'!$N$266:$Y$278,9,FALSE)/100)))</f>
        <v/>
      </c>
      <c r="I572" s="423" t="str">
        <f>IF(D572="","",((VLOOKUP(D572,'DB technologies'!$N$266:$Y$278,2,FALSE)*VLOOKUP($C$571,'DB animal categories'!$C$201:$AC$210,27,FALSE)*E572/1000)/VLOOKUP($C$571,'DB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'!$S$6/100*(1-VLOOKUP(D572,'DB technologies'!$N$266:$Y$278,9,FALSE)/100)))</f>
        <v/>
      </c>
      <c r="J572" s="434" t="str">
        <f>IF(D572="","",((VLOOKUP(D572,'DB technologies'!$N$266:$Y$278,3,FALSE)*VLOOKUP($C$571,'DB animal categories'!$C$201:$AC$210,27,FALSE)*E572/1000)/VLOOKUP($C$571,'DB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'!$S$7/100*(1-VLOOKUP(D572,'DB technologies'!$N$266:$Y$278,9,FALSE)/100)))</f>
        <v/>
      </c>
      <c r="K572" s="434" t="str">
        <f>IF(D572="","",((VLOOKUP(D572,'DB technologies'!$N$266:$Y$278,4,FALSE)*E572*'DB additional information '!$S$8/100*(1-VLOOKUP(D572,'DB technologies'!$N$266:$Y$278,9,FALSE)/100))/VLOOKUP($C$571,'DB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L572" s="423" t="str">
        <f>IF('Calc (ex-animal)'!$F$103=1,"",IF(D572="","",(((VLOOKUP($C$571,'Calc (ex-animal)'!$D$103:$Y$107,6,FALSE)-VLOOKUP($C$571,'Calc (ex-animal)'!$D$103:$Y$107,17,FALSE))*F572/100))*(1-VLOOKUP($C$571,'Calc (ex-animal)'!$D$103:$Y$107,7,FALSE)/100)*(1-VLOOKUP(D572,'DB technologies'!$N$266:$V$278,8,FALSE)/100)))</f>
        <v/>
      </c>
      <c r="M572" s="434" t="str">
        <f>IF(D572="","",((VLOOKUP(D572,'DB technologies'!$N$266:$Y$278,2,FALSE)*VLOOKUP($C$571,'DB animal categories'!$C$201:$AC$210,27,FALSE)*E572/1000)/VLOOKUP($C$571,'DB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'!$S$6/100)*(1-VLOOKUP(D572,'DB technologies'!$N$266:$Y$278,9,FALSE)/100))</f>
        <v/>
      </c>
      <c r="N572" s="434" t="str">
        <f>IF(D572="","",((VLOOKUP(D572,'DB technologies'!$N$266:$Y$278,3,FALSE)*VLOOKUP($C$571,'DB animal categories'!$C$201:$AC$210,27,FALSE)*E572/1000)/VLOOKUP($C$571,'DB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'!$S$7/100)*(1-VLOOKUP(D572,'DB technologies'!$N$266:$Y$278,9,FALSE)/100))</f>
        <v/>
      </c>
      <c r="O572" s="423" t="str">
        <f>IF(D572="","",((VLOOKUP(D572,'DB technologies'!$N$266:$Y$278,4,FALSE)*E572*(1-'DB additional information '!$S$8/100)*(1-VLOOKUP(D572,'DB technologies'!$N$266:$Y$278,8,FALSE)/100))/VLOOKUP($C$571,'DB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P572" s="438" t="str">
        <f>IF(G572=0,0,IF(E572="","",IF(F572="","",IF($C$571=0,"",IF(D572="","",SUM(H572:K572)/G572*100)))))</f>
        <v/>
      </c>
      <c r="Q572" s="416" t="str">
        <f>IF(D572="","",(VLOOKUP(D572,'DB technologies'!$N$266:$Y$278,2,FALSE)*'DB additional information '!$S$6/100*'DB additional information '!$T$6*VLOOKUP($C$571,'DB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R572" s="416" t="str">
        <f>IF(D572="","",(VLOOKUP(D572,'DB technologies'!$N$266:$Y$278,3,FALSE)*'DB additional information '!$S$7/100*'DB additional information '!$T$7*VLOOKUP($C$571,'DB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S572" s="491" t="str">
        <f>IF(D572="","",(VLOOKUP(D572,'DB technologies'!$N$266:$Y$278,4,FALSE)*('DB additional information '!$S$8/100*'DB additional information '!$T$8*E572/1000/1000)))</f>
        <v/>
      </c>
      <c r="T572" s="264" t="str">
        <f>IF($C$571=0,"",IF('Calc (ex-animal)'!$F$103=1,"",IF(D572="","",((VLOOKUP($C$571,'Calc (ex-animal)'!$D$103:$Y$107,10,FALSE)-VLOOKUP($C$571,'Calc (ex-animal)'!$D$103:$Y$107,18,FALSE))*F572/100+Q572+R572+S572)-AC572-AD572-AE572)))</f>
        <v/>
      </c>
      <c r="U572" s="422" t="str">
        <f>IF(D572="","",(VLOOKUP(D572,'DB technologies'!$N$266:$Y$278,2,FALSE)*'DB additional information '!$S$6/100*'DB additional information '!$U$6*VLOOKUP($C$571,'DB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V572" s="418" t="str">
        <f>IF(D572="","",(VLOOKUP(D572,'DB technologies'!$N$266:$Y$278,3,FALSE)*'DB additional information '!$S$7/100*'DB additional information '!$U$7*VLOOKUP($C$571,'DB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W572" s="417" t="str">
        <f>IF(D572="","",(VLOOKUP(D572,'DB technologies'!$N$266:$Y$278,4,FALSE)*('DB additional information '!$S$8/100*'DB additional information '!$U$8*E572/1000/1000)))</f>
        <v/>
      </c>
      <c r="X572" s="261" t="str">
        <f>IF($C$571=0,"",IF('Calc (ex-animal)'!$F$103=1,"",IF(D572="","",((VLOOKUP($C$571,'Calc (ex-animal)'!$D$103:$Y$107,13,FALSE)-VLOOKUP($C$571,'Calc (ex-animal)'!$D$103:$Y$107,19,FALSE))*F572/100+U572+V572+W572))))</f>
        <v/>
      </c>
      <c r="Y572" s="418" t="str">
        <f>IF(D572="","",(VLOOKUP(D572,'DB technologies'!$N$266:$Y$278,2,FALSE)*'DB additional information '!$S$6/100*'DB additional information '!$V$6*VLOOKUP($C$571,'DB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Z572" s="418" t="str">
        <f>IF(D572="","",(VLOOKUP(D572,'DB technologies'!$N$266:$Y$278,3,FALSE)*'DB additional information '!$S$7/100*'DB additional information '!$V$7*VLOOKUP($C$571,'DB animal categories'!$C$201:$AC$210,27,FALSE)*E572/1000/1000)/VLOOKUP($C$571,'DB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AA572" s="418" t="str">
        <f>IF(D572="","",(VLOOKUP(D572,'DB technologies'!$N$266:$Y$278,4,FALSE)*('DB additional information '!$S$8/100*'DB additional information '!$V$8*E572/1000/1000)))</f>
        <v/>
      </c>
      <c r="AB572" s="261" t="str">
        <f>IF($C$571=0,"",IF('Calc (ex-animal)'!$F$103=1,"",IF(D572="","",((VLOOKUP($C$571,'Calc (ex-animal)'!$D$103:$Y$107,16,FALSE)-VLOOKUP($C$571,'Calc (ex-animal)'!$D$103:$Y$107,20,FALSE))*F572/100+Y572+Z572+AA572))))</f>
        <v/>
      </c>
      <c r="AC572" s="261" t="str">
        <f>IF($C$571=0,"",IF('Calc (ex-animal)'!$F$103=1,"",IF(D572="","",VLOOKUP($C$571,'Calc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categories'!$C$201:$AC$210,26,FALSE)/24)*F572/100*VLOOKUP(D572,'DB technologies'!$N$266:$R$278,5,FALSE)/100)))</f>
        <v/>
      </c>
      <c r="AD572" s="261" t="str">
        <f>IF($C$571=0,"",IF('Calc (ex-animal)'!$F$103=1,"",IF(D572="","",VLOOKUP($C$571,'Calc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categories'!$C$201:$AC$210,26,FALSE)/24)*F572/100*VLOOKUP(D572,'DB technologies'!$N$266:$Y$278,6,FALSE)/100)))</f>
        <v/>
      </c>
      <c r="AE572" s="262" t="str">
        <f>IF($C$571=0,"",IF('Calc (ex-animal)'!$F$103=1,"",IF(D572="","",VLOOKUP($C$571,'Calc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categories'!$C$201:$AC$210,26,FALSE)/24)*F572/100*VLOOKUP(D572,'DB technologies'!$N$266:$Y$278,7,FALSE)/100)))</f>
        <v/>
      </c>
      <c r="AI572" s="181" t="str">
        <f>IF(D572="","",VLOOKUP(D572,'DB technologies'!$N$266:$Y$278,10,FALSE))</f>
        <v/>
      </c>
      <c r="AJ572" s="449" t="e">
        <f>VLOOKUP($C$571,'DB animal categories'!$C$201:$AN$210,27,FALSE)-VLOOKUP($C$571,'DB animal categories'!$C$201:$AN$210,26,FALSE)*VLOOKUP($C$571,'DB animal categories'!$C$201:$AN$210,25,FALSE)/24</f>
        <v>#N/A</v>
      </c>
      <c r="AK572" s="442" t="str">
        <f>IF(AI572="","",AL572+AM572)</f>
        <v/>
      </c>
      <c r="AL572" s="442" t="str">
        <f>IF(D572="","",IF(AI572=2,(('Calc (ex-animal)'!$G$107*'DB additional information '!$K$22/100*(1-VLOOKUP(D572,'DB technologies'!$N$266:$Y$278,9,FALSE)/100)*'Calc (ex-housing, ex-storage)'!F572/100+'Calc (ex-animal)'!$H$107*'DB additional information '!$L$22/100*(1-VLOOKUP(D572,'DB technologies'!$N$266:$Y$278,9,FALSE)/100)*'Calc (ex-housing, ex-storage)'!F572/100))/VLOOKUP($C$571,'DB animal categories'!$C$201:$AC$210,27,FALSE)*AJ572+I572+J572+K572,IF(AI572=1,('Calc (ex-animal)'!$H$107*'DB additional information '!$L$22/100*(1-VLOOKUP(D572,'DB technologies'!$N$266:$Y$278,9,FALSE)/100)*'Calc (ex-housing, ex-storage)'!F572/100)/VLOOKUP($C$571,'DB animal categories'!$C$201:$AC$210,27,FALSE)*AJ572,IF(AI572=4,('Calc (ex-animal)'!$G$107*'DB additional information '!$K$22/100+'Calc (ex-animal)'!$H$107*'DB additional information '!$L$22/100)*(1-VLOOKUP(D572,'DB technologies'!$N$266:$Y$278,9,FALSE)/100)*'Calc (ex-housing, ex-storage)'!F572/100*VLOOKUP(D572,'DB technologies'!$N$266:$Y$278,11,FALSE)/100/VLOOKUP($C$571,'DB animal categories'!$C$201:$AC$210,27,FALSE)*AJ572,0))))</f>
        <v/>
      </c>
      <c r="AM572" s="442" t="str">
        <f>IF(D572="","",IF(AI572=2,(('Calc (ex-animal)'!$G$107*(1-'DB additional information '!$K$22/100)*(1-VLOOKUP(D572,'DB technologies'!$N$266:$Y$278,8,FALSE)/100)*'Calc (ex-housing, ex-storage)'!F572/100+'Calc (ex-animal)'!$H$107*(1-'DB additional information '!$L$22/100)*(1-VLOOKUP(D572,'DB technologies'!$N$266:$Y$278,8,FALSE)/100)*'Calc (ex-housing, ex-storage)'!F572/100))/VLOOKUP($C$571,'DB animal categories'!$C$201:$AC$210,27,FALSE)*AJ572+M572+N572+O572,IF(AI572=1,('Calc (ex-animal)'!$H$107*(1-'DB additional information '!$L$22/100)*(1-VLOOKUP(D572,'DB technologies'!$N$266:$Y$278,8,FALSE)/100)*'Calc (ex-housing, ex-storage)'!F572/100)/VLOOKUP($C$571,'DB animal categories'!$C$201:$AC$210,27,FALSE)*AJ572,IF(AI572=4,('Calc (ex-animal)'!$G$107*(1-'DB additional information '!$K$22/100)+'Calc (ex-animal)'!$H$107*(1-'DB additional information '!$L$22/100))*(1-VLOOKUP(D572,'DB technologies'!$N$266:$Y$278,8,FALSE)/100)*'Calc (ex-housing, ex-storage)'!F572/100*VLOOKUP(D572,'DB technologies'!$N$266:$Y$278,11,FALSE)/100/VLOOKUP($C$571,'DB animal categories'!$C$201:$AC$210,27,FALSE)*AJ572,0))))</f>
        <v/>
      </c>
      <c r="AN572" s="442" t="str">
        <f>IF(AI572="","",IF(AL572=0,0,AL572/AK572*100))</f>
        <v/>
      </c>
      <c r="AO572" s="182" t="str">
        <f>IF(D572="","",IF(AI572=2,(('Calc (ex-animal)'!$L$107*'Calc (ex-housing, ex-storage)'!F572/100+'Calc (ex-animal)'!$K$107*'Calc (ex-housing, ex-storage)'!F572/100))/VLOOKUP($C$571,'DB animal categories'!$C$201:$AC$210,27,FALSE)*AJ572+Q572+R572+S572-AC572,IF(AI572=1,('Calc (ex-animal)'!$L$107*'Calc (ex-housing, ex-storage)'!F572/100)/VLOOKUP($C$571,'DB animal categories'!$C$201:$AC$210,27,FALSE)*AJ572-'Calc (ex-housing, ex-storage)'!AC572,IF(AI572=4,('Calc (ex-animal)'!$L$107+'Calc (ex-animal)'!$K$107)*'Calc (ex-housing, ex-storage)'!F572/100*VLOOKUP(D572,'DB technologies'!$N$266:$Y$278,11,FALSE)/100/VLOOKUP($C$571,'DB animal categories'!$C$201:$AC$210,27,FALSE)*AJ572-AC572*VLOOKUP(D572,'DB technologies'!$N$266:$Y$278,11,FALSE)/100,0))))</f>
        <v/>
      </c>
      <c r="AP572" s="182" t="str">
        <f>IF(D572="","",IF(AO572&lt;-0.01,0,IF(AI572=2,(('Calc (ex-animal)'!$L$107*'Calc (ex-housing, ex-storage)'!F572/100+'Calc (ex-animal)'!$K$107*'Calc (ex-housing, ex-storage)'!F572/100))/VLOOKUP($C$571,'DB animal categories'!$C$201:$AC$210,27,FALSE)*AJ572+Q572+R572+S572-AC572,IF(AI572=1,('Calc (ex-animal)'!$L$107*'Calc (ex-housing, ex-storage)'!F572/100)/VLOOKUP($C$571,'DB animal categories'!$C$201:$AC$210,27,FALSE)*AJ572-'Calc (ex-housing, ex-storage)'!AC572,IF(AI572=4,('Calc (ex-animal)'!$L$107+'Calc (ex-animal)'!$K$107)*'Calc (ex-housing, ex-storage)'!F572/100*VLOOKUP(D572,'DB technologies'!$N$266:$Y$278,11,FALSE)/100/VLOOKUP($C$571,'DB animal categories'!$C$201:$AC$210,27,FALSE)*AJ572-AC572*VLOOKUP(D572,'DB technologies'!$N$266:$Y$278,11,FALSE)/100,0)))))</f>
        <v/>
      </c>
      <c r="AQ572" s="182" t="str">
        <f>IF(D572="","",IF(AI572=2,('Calc (ex-animal)'!$O$107*'Calc (ex-housing, ex-storage)'!F572/100+'Calc (ex-animal)'!$N$107*'Calc (ex-housing, ex-storage)'!F572/100)/VLOOKUP($C$571,'DB animal categories'!$C$201:$AC$210,27,FALSE)*AJ572+U572+V572+W572,IF(AI572=1,'Calc (ex-animal)'!$O$107*'Calc (ex-housing, ex-storage)'!F572/100/VLOOKUP($C$571,'DB animal categories'!$C$201:$AC$210,27,FALSE)*AJ572,IF(AI572=4,('Calc (ex-animal)'!$O$107+'Calc (ex-animal)'!$N$107)*'Calc (ex-housing, ex-storage)'!F572/100*VLOOKUP(D572,'DB technologies'!$N$266:$Y$278,11,FALSE)/100/VLOOKUP($C$571,'DB animal categories'!$C$201:$AC$210,27,FALSE)*AJ572,0))))</f>
        <v/>
      </c>
      <c r="AR572" s="182" t="str">
        <f>IF(D572="","",IF(AI572=2,('Calc (ex-animal)'!$R$107*'Calc (ex-housing, ex-storage)'!F572/100+'Calc (ex-animal)'!$Q$107*'Calc (ex-housing, ex-storage)'!F572/100)/VLOOKUP($C$571,'DB animal categories'!$C$201:$AC$210,27,FALSE)*AJ572+Y572+Z572+AA572,IF(AI572=1,'Calc (ex-animal)'!$R$107*'Calc (ex-housing, ex-storage)'!F572/100/VLOOKUP($C$571,'DB animal categories'!$C$201:$AC$210,27,FALSE)*AJ572,IF(AI572=4,('Calc (ex-animal)'!$R$107+'Calc (ex-animal)'!$Q$107)*'Calc (ex-housing, ex-storage)'!F572/100*VLOOKUP(D572,'DB technologies'!$N$266:$Y$278,11,FALSE)/100/VLOOKUP($C$571,'DB animal categories'!$C$201:$AC$210,27,FALSE)*AJ572,0))))</f>
        <v/>
      </c>
      <c r="AS572" s="181" t="str">
        <f>IF(D572="","",VLOOKUP(D572,'DB technologies'!$N$266:$Y$278,10,FALSE))</f>
        <v/>
      </c>
      <c r="AT572" s="442" t="str">
        <f>IF(AS572="","",AU572+AV572)</f>
        <v/>
      </c>
      <c r="AU572" s="442" t="str">
        <f>IF(D572="","",IF(AS572=2,0,IF(AS572=1,'Calc (ex-animal)'!$G$107*'DB additional information '!$K$22/100*(1-VLOOKUP(D572,'DB technologies'!$N$266:$Y$278,8,FALSE)/100)*'Calc (ex-housing, ex-storage)'!F572/100/VLOOKUP($C$571,'DB animal categories'!$C$201:$AC$210,27,FALSE)*AJ572+I572+J572+K572,IF(AS572=5,(('Calc (ex-animal)'!$G$107*'DB additional information '!$K$22/100+'Calc (ex-animal)'!$H$107*'DB additional information '!$L$22/100))*(1-VLOOKUP(D572,'DB technologies'!$N$266:$Y$278,9,FALSE)/100)*'Calc (ex-housing, ex-storage)'!F572/100/VLOOKUP($C$571,'DB animal categories'!$C$201:$AC$210,27,FALSE)*AJ572+I572+J572+K572,IF(AS572=3,('Calc (ex-animal)'!$G$107*'DB additional information '!$K$22/100+'Calc (ex-animal)'!$H$107*'DB additional information '!$L$22/100)*(1-VLOOKUP(D572,'DB technologies'!$N$266:$Y$278,9,FALSE)/100)*'Calc (ex-housing, ex-storage)'!F572/100/VLOOKUP($C$571,'DB animal categories'!$C$201:$AC$210,27,FALSE)*AJ572+I572+J572+K572,IF(AS572=4,('Calc (ex-animal)'!$G$107*'DB additional information '!$K$22/100+'Calc (ex-animal)'!$H$107*'DB additional information '!$L$22/100)*(1-VLOOKUP(D572,'DB technologies'!$N$266:$Y$278,9,FALSE)/100)*'Calc (ex-housing, ex-storage)'!F572/100*VLOOKUP(D572,'DB technologies'!$N$266:$Y$278,12,FALSE)/100/VLOOKUP($C$571,'DB animal categories'!$C$201:$AC$210,27,FALSE)*AJ572+I572+J572+K572,0))))))</f>
        <v/>
      </c>
      <c r="AV572" s="442" t="str">
        <f>IF(D572="","",IF(AS572=2,0,IF(AS572=1,'Calc (ex-animal)'!$G$107*(1-'DB additional information '!$K$22/100)*(1-VLOOKUP(D572,'DB technologies'!$N$266:$Y$278,8,FALSE)/100)*'Calc (ex-housing, ex-storage)'!F572/100/VLOOKUP($C$571,'DB animal categories'!$C$201:$AC$210,27,FALSE)*AJ572+M572+N572+O572,IF(AS572=5,('Calc (ex-animal)'!$G$107*(1-'DB additional information '!$K$22/100)+'Calc (ex-animal)'!$H$107*(1-'DB additional information '!$L$22/100))*(1-VLOOKUP(D572,'DB technologies'!$N$266:$Y$278,8,FALSE)/100)*'Calc (ex-housing, ex-storage)'!F572/100/VLOOKUP($C$571,'DB animal categories'!$C$201:$AC$210,27,FALSE)*AJ572+M572+N572+O572,IF(AS572=3,('Calc (ex-animal)'!$G$107*(1-'DB additional information '!$K$22/100)+'Calc (ex-animal)'!$H$107*(1-'DB additional information '!$L$22/100))*(1-VLOOKUP(D572,'DB technologies'!$N$266:$Y$278,8,FALSE)/100)*'Calc (ex-housing, ex-storage)'!F572/100/VLOOKUP($C$571,'DB animal categories'!$C$201:$AC$210,27,FALSE)*AJ572+M572+N572+O572,IF(AS572=4,('Calc (ex-animal)'!$G$107*(1-'DB additional information '!$K$22/100)+'Calc (ex-animal)'!$H$107*(1-'DB additional information '!$L$22/100))*(1-VLOOKUP(D572,'DB technologies'!$N$266:$Y$278,8,FALSE)/100)*'Calc (ex-housing, ex-storage)'!F572/100*VLOOKUP(D572,'DB technologies'!$N$266:$Y$278,12,FALSE)/100/VLOOKUP($C$571,'DB animal categories'!$C$201:$AC$210,27,FALSE)*AJ572+M572+N572+O572,0))))))</f>
        <v/>
      </c>
      <c r="AW572" s="442" t="str">
        <f>IF(AS572="","",IF(AU572=0,0,AU572/AT572*100))</f>
        <v/>
      </c>
      <c r="AX572" s="182" t="str">
        <f>IF(D572="","",IF(AS572=2,0,IF(AS572=1,'Calc (ex-animal)'!$K$107*'Calc (ex-housing, ex-storage)'!F572/100/VLOOKUP($C$571,'DB animal categories'!$C$201:$AC$210,27,FALSE)*AJ572+Q572+R572+S572,IF(AS572=5,('Calc (ex-animal)'!$K$107+'Calc (ex-animal)'!$L$107)*'Calc (ex-housing, ex-storage)'!F572/100/VLOOKUP($C$571,'DB animal categories'!$C$201:$AC$210,27,FALSE)*AJ572+Q572+R572+S572-'Calc (ex-housing, ex-storage)'!AC572,IF(AS572=3,('Calc (ex-animal)'!$K$107+'Calc (ex-animal)'!$L$107)*'Calc (ex-housing, ex-storage)'!F572/100/VLOOKUP($C$571,'DB animal categories'!$C$201:$AC$210,27,FALSE)*AJ572+Q572+R572+S572-'Calc (ex-housing, ex-storage)'!AC572-AD572-AE572,IF(AI572=4,('Calc (ex-animal)'!$K$107+'Calc (ex-animal)'!$L$107)*'Calc (ex-housing, ex-storage)'!F572/100*VLOOKUP(D572,'DB technologies'!$N$266:$Y$278,12,FALSE)/100/VLOOKUP($C$571,'DB animal categories'!$C$201:$AC$210,27,FALSE)*AJ572+Q572+R572+S572-(VLOOKUP(D572,'DB technologies'!$N$266:$Y$278,12,FALSE)/100*AC572)-AD572-AE572,0))))))</f>
        <v/>
      </c>
      <c r="AY572" s="182" t="str">
        <f>IF(D572="","",IF(AS572=2,0,IF(AS572=1,'Calc (ex-animal)'!$N$107*'Calc (ex-housing, ex-storage)'!F572/100/VLOOKUP($C$571,'DB animal categories'!$C$201:$AC$210,27,FALSE)*AJ572+U572+V572+W572,IF(AS572=5,('Calc (ex-animal)'!$N$107+'Calc (ex-animal)'!$O$107)*'Calc (ex-housing, ex-storage)'!F572/100/VLOOKUP($C$571,'DB animal categories'!$C$201:$AC$210,27,FALSE)*AJ572+U572+V572+W572,IF(AS572=3,('Calc (ex-animal)'!$N$107+'Calc (ex-animal)'!$O$107)*'Calc (ex-housing, ex-storage)'!F572/100/VLOOKUP($C$571,'DB animal categories'!$C$201:$AC$210,27,FALSE)*AJ572+U572+V572+W572,IF(AS572=4,('Calc (ex-animal)'!$N$107+'Calc (ex-animal)'!$O$107)*'Calc (ex-housing, ex-storage)'!F572/100*VLOOKUP(D572,'DB technologies'!$N$266:$Y$278,12,FALSE)/100/VLOOKUP($C$571,'DB animal categories'!$C$201:$AC$210,27,FALSE)*AJ572+U572+V572+W572,0))))))</f>
        <v/>
      </c>
      <c r="AZ572" s="182" t="str">
        <f>IF(D572="","",IF(AS572=2,0,IF(AS572=1,'Calc (ex-animal)'!$Q$107*'Calc (ex-housing, ex-storage)'!F572/100/VLOOKUP($C$571,'DB animal categories'!$C$201:$AC$210,27,FALSE)*AJ572+Y572+Z572+AA572,IF(AS572=5,('Calc (ex-animal)'!$Q$107+'Calc (ex-animal)'!$R$107)*'Calc (ex-housing, ex-storage)'!F572/100/VLOOKUP($C$571,'DB animal categories'!$C$201:$AC$210,27,FALSE)*AJ572+Y572+Z572+AA572,IF(AS572=3,('Calc (ex-animal)'!$Q$107+'Calc (ex-animal)'!$R$107)*'Calc (ex-housing, ex-storage)'!F572/100/VLOOKUP($C$571,'DB animal categories'!$C$201:$AC$210,27,FALSE)*AJ572+Y572+Z572+AA572,IF(AS572=4,('Calc (ex-animal)'!$Q$107+'Calc (ex-animal)'!$R$107)*'Calc (ex-housing, ex-storage)'!F572/100*VLOOKUP(D572,'DB technologies'!$N$266:$Y$278,12,FALSE)/100/VLOOKUP($C$571,'DB animal categories'!$C$201:$AC$210,27,FALSE)*AJ572+Y572+Z572+AA572,0))))))</f>
        <v/>
      </c>
      <c r="BA572" s="506"/>
      <c r="BB572" s="506"/>
      <c r="BC572" s="506"/>
    </row>
    <row r="573" spans="1:55" x14ac:dyDescent="0.2">
      <c r="A573" s="748"/>
      <c r="B573" s="695"/>
      <c r="C573" s="251"/>
      <c r="D573" s="1357"/>
      <c r="E573" s="1358"/>
      <c r="F573" s="480" t="str">
        <f>IF('Calc (ex-animal)'!$F$103=1,"",IF($C$571=0,"",IF(D573="","",E573/'Calc (ex-animal)'!$E$107*100)))</f>
        <v/>
      </c>
      <c r="G573" s="485" t="str">
        <f>IF($C$571=0,"",IF('Calc (ex-animal)'!$F$103=1,"",IF(D573="","",SUM(H573:O573))))</f>
        <v/>
      </c>
      <c r="H573" s="423" t="str">
        <f>IF('Calc (ex-animal)'!$F$103=1,"",IF(D573="","",(((VLOOKUP($C$571,'Calc (ex-animal)'!$D$103:$Y$107,6,FALSE)-VLOOKUP($C$571,'Calc (ex-animal)'!$D$103:$Y$107,17,FALSE))*F573/100))*VLOOKUP($C$571,'Calc (ex-animal)'!$D$103:$Y$107,7,FALSE)/100*(1-VLOOKUP(D573,'DB technologies'!$N$266:$Y$278,9,FALSE)/100)))</f>
        <v/>
      </c>
      <c r="I573" s="423" t="str">
        <f>IF(D573="","",((VLOOKUP(D573,'DB technologies'!$N$266:$Y$278,2,FALSE)*VLOOKUP($C$571,'DB animal categories'!$C$201:$AC$210,27,FALSE)*E573/1000)/VLOOKUP($C$571,'DB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'!$S$6/100*(1-VLOOKUP(D573,'DB technologies'!$N$266:$Y$278,9,FALSE)/100)))</f>
        <v/>
      </c>
      <c r="J573" s="434" t="str">
        <f>IF(D573="","",((VLOOKUP(D573,'DB technologies'!$N$266:$Y$278,3,FALSE)*VLOOKUP($C$571,'DB animal categories'!$C$201:$AC$210,27,FALSE)*E573/1000)/VLOOKUP($C$571,'DB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'!$S$7/100*(1-VLOOKUP(D573,'DB technologies'!$N$266:$Y$278,9,FALSE)/100)))</f>
        <v/>
      </c>
      <c r="K573" s="434" t="str">
        <f>IF(D573="","",((VLOOKUP(D573,'DB technologies'!$N$266:$Y$278,4,FALSE)*E573*'DB additional information '!$S$8/100*(1-VLOOKUP(D573,'DB technologies'!$N$266:$Y$278,9,FALSE)/100))/VLOOKUP($C$571,'DB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L573" s="423" t="str">
        <f>IF('Calc (ex-animal)'!$F$103=1,"",IF(D573="","",(((VLOOKUP($C$571,'Calc (ex-animal)'!$D$103:$Y$107,6,FALSE)-VLOOKUP($C$571,'Calc (ex-animal)'!$D$103:$Y$107,17,FALSE))*F573/100))*(1-VLOOKUP($C$571,'Calc (ex-animal)'!$D$103:$Y$107,7,FALSE)/100)*(1-VLOOKUP(D573,'DB technologies'!$N$266:$V$278,8,FALSE)/100)))</f>
        <v/>
      </c>
      <c r="M573" s="434" t="str">
        <f>IF(D573="","",((VLOOKUP(D573,'DB technologies'!$N$266:$Y$278,2,FALSE)*VLOOKUP($C$571,'DB animal categories'!$C$201:$AC$210,27,FALSE)*E573/1000)/VLOOKUP($C$571,'DB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'!$S$6/100)*(1-VLOOKUP(D573,'DB technologies'!$N$266:$Y$278,9,FALSE)/100))</f>
        <v/>
      </c>
      <c r="N573" s="434" t="str">
        <f>IF(D573="","",((VLOOKUP(D573,'DB technologies'!$N$266:$Y$278,3,FALSE)*VLOOKUP($C$571,'DB animal categories'!$C$201:$AC$210,27,FALSE)*E573/1000)/VLOOKUP($C$571,'DB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'!$S$7/100)*(1-VLOOKUP(D573,'DB technologies'!$N$266:$Y$278,9,FALSE)/100))</f>
        <v/>
      </c>
      <c r="O573" s="423" t="str">
        <f>IF(D573="","",((VLOOKUP(D573,'DB technologies'!$N$266:$Y$278,4,FALSE)*E573*(1-'DB additional information '!$S$8/100)*(1-VLOOKUP(D573,'DB technologies'!$N$266:$Y$278,8,FALSE)/100))/VLOOKUP($C$571,'DB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P573" s="438" t="str">
        <f>IF(G573=0,0,IF(E573="","",IF(F573="","",IF($C$571=0,"",IF(D573="","",SUM(H573:K573)/G573*100)))))</f>
        <v/>
      </c>
      <c r="Q573" s="416" t="str">
        <f>IF(D573="","",(VLOOKUP(D573,'DB technologies'!$N$266:$Y$278,2,FALSE)*'DB additional information '!$S$6/100*'DB additional information '!$T$6*VLOOKUP($C$571,'DB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R573" s="416" t="str">
        <f>IF(D573="","",(VLOOKUP(D573,'DB technologies'!$N$266:$Y$278,3,FALSE)*'DB additional information '!$S$7/100*'DB additional information '!$T$7*VLOOKUP($C$571,'DB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S573" s="491" t="str">
        <f>IF(D573="","",(VLOOKUP(D573,'DB technologies'!$N$266:$Y$278,4,FALSE)*('DB additional information '!$S$8/100*'DB additional information '!$T$8*E573/1000/1000)))</f>
        <v/>
      </c>
      <c r="T573" s="264" t="str">
        <f>IF($C$571=0,"",IF('Calc (ex-animal)'!$F$103=1,"",IF(D573="","",((VLOOKUP($C$571,'Calc (ex-animal)'!$D$103:$Y$107,10,FALSE)-VLOOKUP($C$571,'Calc (ex-animal)'!$D$103:$Y$107,18,FALSE))*F573/100+Q573+R573+S573)-AC573-AD573-AE573)))</f>
        <v/>
      </c>
      <c r="U573" s="422" t="str">
        <f>IF(D573="","",(VLOOKUP(D573,'DB technologies'!$N$266:$Y$278,2,FALSE)*'DB additional information '!$S$6/100*'DB additional information '!$U$6*VLOOKUP($C$571,'DB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V573" s="418" t="str">
        <f>IF(D573="","",(VLOOKUP(D573,'DB technologies'!$N$266:$Y$278,3,FALSE)*'DB additional information '!$S$7/100*'DB additional information '!$U$7*VLOOKUP($C$571,'DB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W573" s="417" t="str">
        <f>IF(D573="","",(VLOOKUP(D573,'DB technologies'!$N$266:$Y$278,4,FALSE)*('DB additional information '!$S$8/100*'DB additional information '!$U$8*E573/1000/1000)))</f>
        <v/>
      </c>
      <c r="X573" s="261" t="str">
        <f>IF($C$571=0,"",IF('Calc (ex-animal)'!$F$103=1,"",IF(D573="","",((VLOOKUP($C$571,'Calc (ex-animal)'!$D$103:$Y$107,13,FALSE)-VLOOKUP($C$571,'Calc (ex-animal)'!$D$103:$Y$107,19,FALSE))*F573/100+U573+V573+W573))))</f>
        <v/>
      </c>
      <c r="Y573" s="418" t="str">
        <f>IF(D573="","",(VLOOKUP(D573,'DB technologies'!$N$266:$Y$278,2,FALSE)*'DB additional information '!$S$6/100*'DB additional information '!$V$6*VLOOKUP($C$571,'DB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Z573" s="418" t="str">
        <f>IF(D573="","",(VLOOKUP(D573,'DB technologies'!$N$266:$Y$278,3,FALSE)*'DB additional information '!$S$7/100*'DB additional information '!$V$7*VLOOKUP($C$571,'DB animal categories'!$C$201:$AC$210,27,FALSE)*E573/1000/1000)/VLOOKUP($C$571,'DB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AA573" s="418" t="str">
        <f>IF(D573="","",(VLOOKUP(D573,'DB technologies'!$N$266:$Y$278,4,FALSE)*('DB additional information '!$S$8/100*'DB additional information '!$V$8*E573/1000/1000)))</f>
        <v/>
      </c>
      <c r="AB573" s="261" t="str">
        <f>IF($C$571=0,"",IF('Calc (ex-animal)'!$F$103=1,"",IF(D573="","",((VLOOKUP($C$571,'Calc (ex-animal)'!$D$103:$Y$107,16,FALSE)-VLOOKUP($C$571,'Calc (ex-animal)'!$D$103:$Y$107,20,FALSE))*F573/100+Y573+Z573+AA573))))</f>
        <v/>
      </c>
      <c r="AC573" s="261" t="str">
        <f>IF($C$571=0,"",IF('Calc (ex-animal)'!$F$103=1,"",IF(D573="","",VLOOKUP($C$571,'Calc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categories'!$C$201:$AC$210,26,FALSE)/24)*F573/100*VLOOKUP(D573,'DB technologies'!$N$266:$R$278,5,FALSE)/100)))</f>
        <v/>
      </c>
      <c r="AD573" s="261" t="str">
        <f>IF($C$571=0,"",IF('Calc (ex-animal)'!$F$103=1,"",IF(D573="","",VLOOKUP($C$571,'Calc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categories'!$C$201:$AC$210,26,FALSE)/24)*F573/100*VLOOKUP(D573,'DB technologies'!$N$266:$Y$278,6,FALSE)/100)))</f>
        <v/>
      </c>
      <c r="AE573" s="262" t="str">
        <f>IF($C$571=0,"",IF('Calc (ex-animal)'!$F$103=1,"",IF(D573="","",VLOOKUP($C$571,'Calc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categories'!$C$201:$AC$210,26,FALSE)/24)*F573/100*VLOOKUP(D573,'DB technologies'!$N$266:$Y$278,7,FALSE)/100)))</f>
        <v/>
      </c>
      <c r="AI573" s="181" t="str">
        <f>IF(D573="","",VLOOKUP(D573,'DB technologies'!$N$266:$Y$278,10,FALSE))</f>
        <v/>
      </c>
      <c r="AJ573" s="449" t="e">
        <f>VLOOKUP($C$571,'DB animal categories'!$C$201:$AN$210,27,FALSE)-VLOOKUP($C$571,'DB animal categories'!$C$201:$AN$210,26,FALSE)*VLOOKUP($C$571,'DB animal categories'!$C$201:$AN$210,25,FALSE)/24</f>
        <v>#N/A</v>
      </c>
      <c r="AK573" s="442" t="str">
        <f>IF(AI573="","",AL573+AM573)</f>
        <v/>
      </c>
      <c r="AL573" s="442" t="str">
        <f>IF(D573="","",IF(AI573=2,(('Calc (ex-animal)'!$G$107*'DB additional information '!$K$22/100*(1-VLOOKUP(D573,'DB technologies'!$N$266:$Y$278,9,FALSE)/100)*'Calc (ex-housing, ex-storage)'!F573/100+'Calc (ex-animal)'!$H$107*'DB additional information '!$L$22/100*(1-VLOOKUP(D573,'DB technologies'!$N$266:$Y$278,9,FALSE)/100)*'Calc (ex-housing, ex-storage)'!F573/100))/VLOOKUP($C$571,'DB animal categories'!$C$201:$AC$210,27,FALSE)*AJ573+I573+J573+K573,IF(AI573=1,('Calc (ex-animal)'!$H$107*'DB additional information '!$L$22/100*(1-VLOOKUP(D573,'DB technologies'!$N$266:$Y$278,9,FALSE)/100)*'Calc (ex-housing, ex-storage)'!F573/100)/VLOOKUP($C$571,'DB animal categories'!$C$201:$AC$210,27,FALSE)*AJ573,IF(AI573=4,('Calc (ex-animal)'!$G$107*'DB additional information '!$K$22/100+'Calc (ex-animal)'!$H$107*'DB additional information '!$L$22/100)*(1-VLOOKUP(D573,'DB technologies'!$N$266:$Y$278,9,FALSE)/100)*'Calc (ex-housing, ex-storage)'!F573/100*VLOOKUP(D573,'DB technologies'!$N$266:$Y$278,11,FALSE)/100/VLOOKUP($C$571,'DB animal categories'!$C$201:$AC$210,27,FALSE)*AJ573,0))))</f>
        <v/>
      </c>
      <c r="AM573" s="442" t="str">
        <f>IF(D573="","",IF(AI573=2,(('Calc (ex-animal)'!$G$107*(1-'DB additional information '!$K$22/100)*(1-VLOOKUP(D573,'DB technologies'!$N$266:$Y$278,8,FALSE)/100)*'Calc (ex-housing, ex-storage)'!F573/100+'Calc (ex-animal)'!$H$107*(1-'DB additional information '!$L$22/100)*(1-VLOOKUP(D573,'DB technologies'!$N$266:$Y$278,8,FALSE)/100)*'Calc (ex-housing, ex-storage)'!F573/100))/VLOOKUP($C$571,'DB animal categories'!$C$201:$AC$210,27,FALSE)*AJ573+M573+N573+O573,IF(AI573=1,('Calc (ex-animal)'!$H$107*(1-'DB additional information '!$L$22/100)*(1-VLOOKUP(D573,'DB technologies'!$N$266:$Y$278,8,FALSE)/100)*'Calc (ex-housing, ex-storage)'!F573/100)/VLOOKUP($C$571,'DB animal categories'!$C$201:$AC$210,27,FALSE)*AJ573,IF(AI573=4,('Calc (ex-animal)'!$G$107*(1-'DB additional information '!$K$22/100)+'Calc (ex-animal)'!$H$107*(1-'DB additional information '!$L$22/100))*(1-VLOOKUP(D573,'DB technologies'!$N$266:$Y$278,8,FALSE)/100)*'Calc (ex-housing, ex-storage)'!F573/100*VLOOKUP(D573,'DB technologies'!$N$266:$Y$278,11,FALSE)/100/VLOOKUP($C$571,'DB animal categories'!$C$201:$AC$210,27,FALSE)*AJ573,0))))</f>
        <v/>
      </c>
      <c r="AN573" s="442" t="str">
        <f>IF(AI573="","",IF(AL573=0,0,AL573/AK573*100))</f>
        <v/>
      </c>
      <c r="AO573" s="182" t="str">
        <f>IF(D573="","",IF(AI573=2,(('Calc (ex-animal)'!$L$107*'Calc (ex-housing, ex-storage)'!F573/100+'Calc (ex-animal)'!$K$107*'Calc (ex-housing, ex-storage)'!F573/100))/VLOOKUP($C$571,'DB animal categories'!$C$201:$AC$210,27,FALSE)*AJ573+Q573+R573+S573-AC573,IF(AI573=1,('Calc (ex-animal)'!$L$107*'Calc (ex-housing, ex-storage)'!F573/100)/VLOOKUP($C$571,'DB animal categories'!$C$201:$AC$210,27,FALSE)*AJ573-'Calc (ex-housing, ex-storage)'!AC573,IF(AI573=4,('Calc (ex-animal)'!$L$107+'Calc (ex-animal)'!$K$107)*'Calc (ex-housing, ex-storage)'!F573/100*VLOOKUP(D573,'DB technologies'!$N$266:$Y$278,11,FALSE)/100/VLOOKUP($C$571,'DB animal categories'!$C$201:$AC$210,27,FALSE)*AJ573-AC573*VLOOKUP(D573,'DB technologies'!$N$266:$Y$278,11,FALSE)/100,0))))</f>
        <v/>
      </c>
      <c r="AP573" s="182" t="str">
        <f>IF(D573="","",IF(AO573&lt;-0.01,0,IF(AI573=2,(('Calc (ex-animal)'!$L$107*'Calc (ex-housing, ex-storage)'!F573/100+'Calc (ex-animal)'!$K$107*'Calc (ex-housing, ex-storage)'!F573/100))/VLOOKUP($C$571,'DB animal categories'!$C$201:$AC$210,27,FALSE)*AJ573+Q573+R573+S573-AC573,IF(AI573=1,('Calc (ex-animal)'!$L$107*'Calc (ex-housing, ex-storage)'!F573/100)/VLOOKUP($C$571,'DB animal categories'!$C$201:$AC$210,27,FALSE)*AJ573-'Calc (ex-housing, ex-storage)'!AC573,IF(AI573=4,('Calc (ex-animal)'!$L$107+'Calc (ex-animal)'!$K$107)*'Calc (ex-housing, ex-storage)'!F573/100*VLOOKUP(D573,'DB technologies'!$N$266:$Y$278,11,FALSE)/100/VLOOKUP($C$571,'DB animal categories'!$C$201:$AC$210,27,FALSE)*AJ573-AC573*VLOOKUP(D573,'DB technologies'!$N$266:$Y$278,11,FALSE)/100,0)))))</f>
        <v/>
      </c>
      <c r="AQ573" s="182" t="str">
        <f>IF(D573="","",IF(AI573=2,('Calc (ex-animal)'!$O$107*'Calc (ex-housing, ex-storage)'!F573/100+'Calc (ex-animal)'!$N$107*'Calc (ex-housing, ex-storage)'!F573/100)/VLOOKUP($C$571,'DB animal categories'!$C$201:$AC$210,27,FALSE)*AJ573+U573+V573+W573,IF(AI573=1,'Calc (ex-animal)'!$O$107*'Calc (ex-housing, ex-storage)'!F573/100/VLOOKUP($C$571,'DB animal categories'!$C$201:$AC$210,27,FALSE)*AJ573,IF(AI573=4,('Calc (ex-animal)'!$O$107+'Calc (ex-animal)'!$N$107)*'Calc (ex-housing, ex-storage)'!F573/100*VLOOKUP(D573,'DB technologies'!$N$266:$Y$278,11,FALSE)/100/VLOOKUP($C$571,'DB animal categories'!$C$201:$AC$210,27,FALSE)*AJ573,0))))</f>
        <v/>
      </c>
      <c r="AR573" s="182" t="str">
        <f>IF(D573="","",IF(AI573=2,('Calc (ex-animal)'!$R$107*'Calc (ex-housing, ex-storage)'!F573/100+'Calc (ex-animal)'!$Q$107*'Calc (ex-housing, ex-storage)'!F573/100)/VLOOKUP($C$571,'DB animal categories'!$C$201:$AC$210,27,FALSE)*AJ573+Y573+Z573+AA573,IF(AI573=1,'Calc (ex-animal)'!$R$107*'Calc (ex-housing, ex-storage)'!F573/100/VLOOKUP($C$571,'DB animal categories'!$C$201:$AC$210,27,FALSE)*AJ573,IF(AI573=4,('Calc (ex-animal)'!$R$107+'Calc (ex-animal)'!$Q$107)*'Calc (ex-housing, ex-storage)'!F573/100*VLOOKUP(D573,'DB technologies'!$N$266:$Y$278,11,FALSE)/100/VLOOKUP($C$571,'DB animal categories'!$C$201:$AC$210,27,FALSE)*AJ573,0))))</f>
        <v/>
      </c>
      <c r="AS573" s="181" t="str">
        <f>IF(D573="","",VLOOKUP(D573,'DB technologies'!$N$266:$Y$278,10,FALSE))</f>
        <v/>
      </c>
      <c r="AT573" s="442" t="str">
        <f>IF(AS573="","",AU573+AV573)</f>
        <v/>
      </c>
      <c r="AU573" s="442" t="str">
        <f>IF(D573="","",IF(AS573=2,0,IF(AS573=1,'Calc (ex-animal)'!$G$107*'DB additional information '!$K$22/100*(1-VLOOKUP(D573,'DB technologies'!$N$266:$Y$278,8,FALSE)/100)*'Calc (ex-housing, ex-storage)'!F573/100/VLOOKUP($C$571,'DB animal categories'!$C$201:$AC$210,27,FALSE)*AJ573+I573+J573+K573,IF(AS573=5,(('Calc (ex-animal)'!$G$107*'DB additional information '!$K$22/100+'Calc (ex-animal)'!$H$107*'DB additional information '!$L$22/100))*(1-VLOOKUP(D573,'DB technologies'!$N$266:$Y$278,9,FALSE)/100)*'Calc (ex-housing, ex-storage)'!F573/100/VLOOKUP($C$571,'DB animal categories'!$C$201:$AC$210,27,FALSE)*AJ573+I573+J573+K573,IF(AS573=3,('Calc (ex-animal)'!$G$107*'DB additional information '!$K$22/100+'Calc (ex-animal)'!$H$107*'DB additional information '!$L$22/100)*(1-VLOOKUP(D573,'DB technologies'!$N$266:$Y$278,9,FALSE)/100)*'Calc (ex-housing, ex-storage)'!F573/100/VLOOKUP($C$571,'DB animal categories'!$C$201:$AC$210,27,FALSE)*AJ573+I573+J573+K573,IF(AS573=4,('Calc (ex-animal)'!$G$107*'DB additional information '!$K$22/100+'Calc (ex-animal)'!$H$107*'DB additional information '!$L$22/100)*(1-VLOOKUP(D573,'DB technologies'!$N$266:$Y$278,9,FALSE)/100)*'Calc (ex-housing, ex-storage)'!F573/100*VLOOKUP(D573,'DB technologies'!$N$266:$Y$278,12,FALSE)/100/VLOOKUP($C$571,'DB animal categories'!$C$201:$AC$210,27,FALSE)*AJ573+I573+J573+K573,0))))))</f>
        <v/>
      </c>
      <c r="AV573" s="442" t="str">
        <f>IF(D573="","",IF(AS573=2,0,IF(AS573=1,'Calc (ex-animal)'!$G$107*(1-'DB additional information '!$K$22/100)*(1-VLOOKUP(D573,'DB technologies'!$N$266:$Y$278,8,FALSE)/100)*'Calc (ex-housing, ex-storage)'!F573/100/VLOOKUP($C$571,'DB animal categories'!$C$201:$AC$210,27,FALSE)*AJ573+M573+N573+O573,IF(AS573=5,('Calc (ex-animal)'!$G$107*(1-'DB additional information '!$K$22/100)+'Calc (ex-animal)'!$H$107*(1-'DB additional information '!$L$22/100))*(1-VLOOKUP(D573,'DB technologies'!$N$266:$Y$278,8,FALSE)/100)*'Calc (ex-housing, ex-storage)'!F573/100/VLOOKUP($C$571,'DB animal categories'!$C$201:$AC$210,27,FALSE)*AJ573+M573+N573+O573,IF(AS573=3,('Calc (ex-animal)'!$G$107*(1-'DB additional information '!$K$22/100)+'Calc (ex-animal)'!$H$107*(1-'DB additional information '!$L$22/100))*(1-VLOOKUP(D573,'DB technologies'!$N$266:$Y$278,8,FALSE)/100)*'Calc (ex-housing, ex-storage)'!F573/100/VLOOKUP($C$571,'DB animal categories'!$C$201:$AC$210,27,FALSE)*AJ573+M573+N573+O573,IF(AS573=4,('Calc (ex-animal)'!$G$107*(1-'DB additional information '!$K$22/100)+'Calc (ex-animal)'!$H$107*(1-'DB additional information '!$L$22/100))*(1-VLOOKUP(D573,'DB technologies'!$N$266:$Y$278,8,FALSE)/100)*'Calc (ex-housing, ex-storage)'!F573/100*VLOOKUP(D573,'DB technologies'!$N$266:$Y$278,12,FALSE)/100/VLOOKUP($C$571,'DB animal categories'!$C$201:$AC$210,27,FALSE)*AJ573+M573+N573+O573,0))))))</f>
        <v/>
      </c>
      <c r="AW573" s="442" t="str">
        <f>IF(AS573="","",IF(AU573=0,0,AU573/AT573*100))</f>
        <v/>
      </c>
      <c r="AX573" s="182" t="str">
        <f>IF(D573="","",IF(AS573=2,0,IF(AS573=1,'Calc (ex-animal)'!$K$107*'Calc (ex-housing, ex-storage)'!F573/100/VLOOKUP($C$571,'DB animal categories'!$C$201:$AC$210,27,FALSE)*AJ573+Q573+R573+S573,IF(AS573=5,('Calc (ex-animal)'!$K$107+'Calc (ex-animal)'!$L$107)*'Calc (ex-housing, ex-storage)'!F573/100/VLOOKUP($C$571,'DB animal categories'!$C$201:$AC$210,27,FALSE)*AJ573+Q573+R573+S573-'Calc (ex-housing, ex-storage)'!AC573,IF(AS573=3,('Calc (ex-animal)'!$K$107+'Calc (ex-animal)'!$L$107)*'Calc (ex-housing, ex-storage)'!F573/100/VLOOKUP($C$571,'DB animal categories'!$C$201:$AC$210,27,FALSE)*AJ573+Q573+R573+S573-'Calc (ex-housing, ex-storage)'!AC573-AD573-AE573,IF(AI573=4,('Calc (ex-animal)'!$K$107+'Calc (ex-animal)'!$L$107)*'Calc (ex-housing, ex-storage)'!F573/100*VLOOKUP(D573,'DB technologies'!$N$266:$Y$278,12,FALSE)/100/VLOOKUP($C$571,'DB animal categories'!$C$201:$AC$210,27,FALSE)*AJ573+Q573+R573+S573-(VLOOKUP(D573,'DB technologies'!$N$266:$Y$278,12,FALSE)/100*AC573)-AD573-AE573,0))))))</f>
        <v/>
      </c>
      <c r="AY573" s="182" t="str">
        <f>IF(D573="","",IF(AS573=2,0,IF(AS573=1,'Calc (ex-animal)'!$N$107*'Calc (ex-housing, ex-storage)'!F573/100/VLOOKUP($C$571,'DB animal categories'!$C$201:$AC$210,27,FALSE)*AJ573+U573+V573+W573,IF(AS573=5,('Calc (ex-animal)'!$N$107+'Calc (ex-animal)'!$O$107)*'Calc (ex-housing, ex-storage)'!F573/100/VLOOKUP($C$571,'DB animal categories'!$C$201:$AC$210,27,FALSE)*AJ573+U573+V573+W573,IF(AS573=3,('Calc (ex-animal)'!$N$107+'Calc (ex-animal)'!$O$107)*'Calc (ex-housing, ex-storage)'!F573/100/VLOOKUP($C$571,'DB animal categories'!$C$201:$AC$210,27,FALSE)*AJ573+U573+V573+W573,IF(AS573=4,('Calc (ex-animal)'!$N$107+'Calc (ex-animal)'!$O$107)*'Calc (ex-housing, ex-storage)'!F573/100*VLOOKUP(D573,'DB technologies'!$N$266:$Y$278,12,FALSE)/100/VLOOKUP($C$571,'DB animal categories'!$C$201:$AC$210,27,FALSE)*AJ573+U573+V573+W573,0))))))</f>
        <v/>
      </c>
      <c r="AZ573" s="182" t="str">
        <f>IF(D573="","",IF(AS573=2,0,IF(AS573=1,'Calc (ex-animal)'!$Q$107*'Calc (ex-housing, ex-storage)'!F573/100/VLOOKUP($C$571,'DB animal categories'!$C$201:$AC$210,27,FALSE)*AJ573+Y573+Z573+AA573,IF(AS573=5,('Calc (ex-animal)'!$Q$107+'Calc (ex-animal)'!$R$107)*'Calc (ex-housing, ex-storage)'!F573/100/VLOOKUP($C$571,'DB animal categories'!$C$201:$AC$210,27,FALSE)*AJ573+Y573+Z573+AA573,IF(AS573=3,('Calc (ex-animal)'!$Q$107+'Calc (ex-animal)'!$R$107)*'Calc (ex-housing, ex-storage)'!F573/100/VLOOKUP($C$571,'DB animal categories'!$C$201:$AC$210,27,FALSE)*AJ573+Y573+Z573+AA573,IF(AS573=4,('Calc (ex-animal)'!$Q$107+'Calc (ex-animal)'!$R$107)*'Calc (ex-housing, ex-storage)'!F573/100*VLOOKUP(D573,'DB technologies'!$N$266:$Y$278,12,FALSE)/100/VLOOKUP($C$571,'DB animal categories'!$C$201:$AC$210,27,FALSE)*AJ573+Y573+Z573+AA573,0))))))</f>
        <v/>
      </c>
      <c r="BA573" s="506"/>
      <c r="BB573" s="506"/>
      <c r="BC573" s="506"/>
    </row>
    <row r="574" spans="1:55" x14ac:dyDescent="0.2">
      <c r="A574" s="748"/>
      <c r="B574" s="695"/>
      <c r="C574" s="251"/>
      <c r="D574" s="1357"/>
      <c r="E574" s="1358"/>
      <c r="F574" s="480" t="str">
        <f>IF('Calc (ex-animal)'!$F$103=1,"",IF($C$571=0,"",IF(D574="","",E574/'Calc (ex-animal)'!$E$107*100)))</f>
        <v/>
      </c>
      <c r="G574" s="485" t="str">
        <f>IF($C$571=0,"",IF('Calc (ex-animal)'!$F$103=1,"",IF(D574="","",SUM(H574:O574))))</f>
        <v/>
      </c>
      <c r="H574" s="423" t="str">
        <f>IF('Calc (ex-animal)'!$F$103=1,"",IF(D574="","",(((VLOOKUP($C$571,'Calc (ex-animal)'!$D$103:$Y$107,6,FALSE)-VLOOKUP($C$571,'Calc (ex-animal)'!$D$103:$Y$107,17,FALSE))*F574/100))*VLOOKUP($C$571,'Calc (ex-animal)'!$D$103:$Y$107,7,FALSE)/100*(1-VLOOKUP(D574,'DB technologies'!$N$266:$Y$278,9,FALSE)/100)))</f>
        <v/>
      </c>
      <c r="I574" s="423" t="str">
        <f>IF(D574="","",((VLOOKUP(D574,'DB technologies'!$N$266:$Y$278,2,FALSE)*VLOOKUP($C$571,'DB animal categories'!$C$201:$AC$210,27,FALSE)*E574/1000)/VLOOKUP($C$571,'DB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'!$S$6/100*(1-VLOOKUP(D574,'DB technologies'!$N$266:$Y$278,9,FALSE)/100)))</f>
        <v/>
      </c>
      <c r="J574" s="434" t="str">
        <f>IF(D574="","",((VLOOKUP(D574,'DB technologies'!$N$266:$Y$278,3,FALSE)*VLOOKUP($C$571,'DB animal categories'!$C$201:$AC$210,27,FALSE)*E574/1000)/VLOOKUP($C$571,'DB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'!$S$7/100*(1-VLOOKUP(D574,'DB technologies'!$N$266:$Y$278,9,FALSE)/100)))</f>
        <v/>
      </c>
      <c r="K574" s="434" t="str">
        <f>IF(D574="","",((VLOOKUP(D574,'DB technologies'!$N$266:$Y$278,4,FALSE)*E574*'DB additional information '!$S$8/100*(1-VLOOKUP(D574,'DB technologies'!$N$266:$Y$278,9,FALSE)/100))/VLOOKUP($C$571,'DB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L574" s="423" t="str">
        <f>IF('Calc (ex-animal)'!$F$103=1,"",IF(D574="","",(((VLOOKUP($C$571,'Calc (ex-animal)'!$D$103:$Y$107,6,FALSE)-VLOOKUP($C$571,'Calc (ex-animal)'!$D$103:$Y$107,17,FALSE))*F574/100))*(1-VLOOKUP($C$571,'Calc (ex-animal)'!$D$103:$Y$107,7,FALSE)/100)*(1-VLOOKUP(D574,'DB technologies'!$N$266:$V$278,8,FALSE)/100)))</f>
        <v/>
      </c>
      <c r="M574" s="434" t="str">
        <f>IF(D574="","",((VLOOKUP(D574,'DB technologies'!$N$266:$Y$278,2,FALSE)*VLOOKUP($C$571,'DB animal categories'!$C$201:$AC$210,27,FALSE)*E574/1000)/VLOOKUP($C$571,'DB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'!$S$6/100)*(1-VLOOKUP(D574,'DB technologies'!$N$266:$Y$278,9,FALSE)/100))</f>
        <v/>
      </c>
      <c r="N574" s="434" t="str">
        <f>IF(D574="","",((VLOOKUP(D574,'DB technologies'!$N$266:$Y$278,3,FALSE)*VLOOKUP($C$571,'DB animal categories'!$C$201:$AC$210,27,FALSE)*E574/1000)/VLOOKUP($C$571,'DB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'!$S$7/100)*(1-VLOOKUP(D574,'DB technologies'!$N$266:$Y$278,9,FALSE)/100))</f>
        <v/>
      </c>
      <c r="O574" s="423" t="str">
        <f>IF(D574="","",((VLOOKUP(D574,'DB technologies'!$N$266:$Y$278,4,FALSE)*E574*(1-'DB additional information '!$S$8/100)*(1-VLOOKUP(D574,'DB technologies'!$N$266:$Y$278,8,FALSE)/100))/VLOOKUP($C$571,'DB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P574" s="438" t="str">
        <f>IF(G574=0,0,IF(E574="","",IF(F574="","",IF($C$571=0,"",IF(D574="","",SUM(H574:K574)/G574*100)))))</f>
        <v/>
      </c>
      <c r="Q574" s="416" t="str">
        <f>IF(D574="","",(VLOOKUP(D574,'DB technologies'!$N$266:$Y$278,2,FALSE)*'DB additional information '!$S$6/100*'DB additional information '!$T$6*VLOOKUP($C$571,'DB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R574" s="416" t="str">
        <f>IF(D574="","",(VLOOKUP(D574,'DB technologies'!$N$266:$Y$278,3,FALSE)*'DB additional information '!$S$7/100*'DB additional information '!$T$7*VLOOKUP($C$571,'DB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S574" s="491" t="str">
        <f>IF(D574="","",(VLOOKUP(D574,'DB technologies'!$N$266:$Y$278,4,FALSE)*('DB additional information '!$S$8/100*'DB additional information '!$T$8*E574/1000/1000)))</f>
        <v/>
      </c>
      <c r="T574" s="264" t="str">
        <f>IF($C$571=0,"",IF('Calc (ex-animal)'!$F$103=1,"",IF(D574="","",((VLOOKUP($C$571,'Calc (ex-animal)'!$D$103:$Y$107,10,FALSE)-VLOOKUP($C$571,'Calc (ex-animal)'!$D$103:$Y$107,18,FALSE))*F574/100+Q574+R574+S574)-AC574-AD574-AE574)))</f>
        <v/>
      </c>
      <c r="U574" s="422" t="str">
        <f>IF(D574="","",(VLOOKUP(D574,'DB technologies'!$N$266:$Y$278,2,FALSE)*'DB additional information '!$S$6/100*'DB additional information '!$U$6*VLOOKUP($C$571,'DB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V574" s="418" t="str">
        <f>IF(D574="","",(VLOOKUP(D574,'DB technologies'!$N$266:$Y$278,3,FALSE)*'DB additional information '!$S$7/100*'DB additional information '!$U$7*VLOOKUP($C$571,'DB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W574" s="417" t="str">
        <f>IF(D574="","",(VLOOKUP(D574,'DB technologies'!$N$266:$Y$278,4,FALSE)*('DB additional information '!$S$8/100*'DB additional information '!$U$8*E574/1000/1000)))</f>
        <v/>
      </c>
      <c r="X574" s="261" t="str">
        <f>IF($C$571=0,"",IF('Calc (ex-animal)'!$F$103=1,"",IF(D574="","",((VLOOKUP($C$571,'Calc (ex-animal)'!$D$103:$Y$107,13,FALSE)-VLOOKUP($C$571,'Calc (ex-animal)'!$D$103:$Y$107,19,FALSE))*F574/100+U574+V574+W574))))</f>
        <v/>
      </c>
      <c r="Y574" s="418" t="str">
        <f>IF(D574="","",(VLOOKUP(D574,'DB technologies'!$N$266:$Y$278,2,FALSE)*'DB additional information '!$S$6/100*'DB additional information '!$V$6*VLOOKUP($C$571,'DB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Z574" s="418" t="str">
        <f>IF(D574="","",(VLOOKUP(D574,'DB technologies'!$N$266:$Y$278,3,FALSE)*'DB additional information '!$S$7/100*'DB additional information '!$V$7*VLOOKUP($C$571,'DB animal categories'!$C$201:$AC$210,27,FALSE)*E574/1000/1000)/VLOOKUP($C$571,'DB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AA574" s="418" t="str">
        <f>IF(D574="","",(VLOOKUP(D574,'DB technologies'!$N$266:$Y$278,4,FALSE)*('DB additional information '!$S$8/100*'DB additional information '!$V$8*E574/1000/1000)))</f>
        <v/>
      </c>
      <c r="AB574" s="261" t="str">
        <f>IF($C$571=0,"",IF('Calc (ex-animal)'!$F$103=1,"",IF(D574="","",((VLOOKUP($C$571,'Calc (ex-animal)'!$D$103:$Y$107,16,FALSE)-VLOOKUP($C$571,'Calc (ex-animal)'!$D$103:$Y$107,20,FALSE))*F574/100+Y574+Z574+AA574))))</f>
        <v/>
      </c>
      <c r="AC574" s="261" t="str">
        <f>IF($C$571=0,"",IF('Calc (ex-animal)'!$F$103=1,"",IF(D574="","",VLOOKUP($C$571,'Calc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categories'!$C$201:$AC$210,26,FALSE)/24)*F574/100*VLOOKUP(D574,'DB technologies'!$N$266:$R$278,5,FALSE)/100)))</f>
        <v/>
      </c>
      <c r="AD574" s="261" t="str">
        <f>IF($C$571=0,"",IF('Calc (ex-animal)'!$F$103=1,"",IF(D574="","",VLOOKUP($C$571,'Calc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categories'!$C$201:$AC$210,26,FALSE)/24)*F574/100*VLOOKUP(D574,'DB technologies'!$N$266:$Y$278,6,FALSE)/100)))</f>
        <v/>
      </c>
      <c r="AE574" s="262" t="str">
        <f>IF($C$571=0,"",IF('Calc (ex-animal)'!$F$103=1,"",IF(D574="","",VLOOKUP($C$571,'Calc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categories'!$C$201:$AC$210,26,FALSE)/24)*F574/100*VLOOKUP(D574,'DB technologies'!$N$266:$Y$278,7,FALSE)/100)))</f>
        <v/>
      </c>
      <c r="AI574" s="181" t="str">
        <f>IF(D574="","",VLOOKUP(D574,'DB technologies'!$N$266:$Y$278,10,FALSE))</f>
        <v/>
      </c>
      <c r="AJ574" s="449" t="e">
        <f>VLOOKUP($C$571,'DB animal categories'!$C$201:$AN$210,27,FALSE)-VLOOKUP($C$571,'DB animal categories'!$C$201:$AN$210,26,FALSE)*VLOOKUP($C$571,'DB animal categories'!$C$201:$AN$210,25,FALSE)/24</f>
        <v>#N/A</v>
      </c>
      <c r="AK574" s="442" t="str">
        <f>IF(AI574="","",AL574+AM574)</f>
        <v/>
      </c>
      <c r="AL574" s="442" t="str">
        <f>IF(D574="","",IF(AI574=2,(('Calc (ex-animal)'!$G$107*'DB additional information '!$K$22/100*(1-VLOOKUP(D574,'DB technologies'!$N$266:$Y$278,9,FALSE)/100)*'Calc (ex-housing, ex-storage)'!F574/100+'Calc (ex-animal)'!$H$107*'DB additional information '!$L$22/100*(1-VLOOKUP(D574,'DB technologies'!$N$266:$Y$278,9,FALSE)/100)*'Calc (ex-housing, ex-storage)'!F574/100))/VLOOKUP($C$571,'DB animal categories'!$C$201:$AC$210,27,FALSE)*AJ574+I574+J574+K574,IF(AI574=1,('Calc (ex-animal)'!$H$107*'DB additional information '!$L$22/100*(1-VLOOKUP(D574,'DB technologies'!$N$266:$Y$278,9,FALSE)/100)*'Calc (ex-housing, ex-storage)'!F574/100)/VLOOKUP($C$571,'DB animal categories'!$C$201:$AC$210,27,FALSE)*AJ574,IF(AI574=4,('Calc (ex-animal)'!$G$107*'DB additional information '!$K$22/100+'Calc (ex-animal)'!$H$107*'DB additional information '!$L$22/100)*(1-VLOOKUP(D574,'DB technologies'!$N$266:$Y$278,9,FALSE)/100)*'Calc (ex-housing, ex-storage)'!F574/100*VLOOKUP(D574,'DB technologies'!$N$266:$Y$278,11,FALSE)/100/VLOOKUP($C$571,'DB animal categories'!$C$201:$AC$210,27,FALSE)*AJ574,0))))</f>
        <v/>
      </c>
      <c r="AM574" s="442" t="str">
        <f>IF(D574="","",IF(AI574=2,(('Calc (ex-animal)'!$G$107*(1-'DB additional information '!$K$22/100)*(1-VLOOKUP(D574,'DB technologies'!$N$266:$Y$278,8,FALSE)/100)*'Calc (ex-housing, ex-storage)'!F574/100+'Calc (ex-animal)'!$H$107*(1-'DB additional information '!$L$22/100)*(1-VLOOKUP(D574,'DB technologies'!$N$266:$Y$278,8,FALSE)/100)*'Calc (ex-housing, ex-storage)'!F574/100))/VLOOKUP($C$571,'DB animal categories'!$C$201:$AC$210,27,FALSE)*AJ574+M574+N574+O574,IF(AI574=1,('Calc (ex-animal)'!$H$107*(1-'DB additional information '!$L$22/100)*(1-VLOOKUP(D574,'DB technologies'!$N$266:$Y$278,8,FALSE)/100)*'Calc (ex-housing, ex-storage)'!F574/100)/VLOOKUP($C$571,'DB animal categories'!$C$201:$AC$210,27,FALSE)*AJ574,IF(AI574=4,('Calc (ex-animal)'!$G$107*(1-'DB additional information '!$K$22/100)+'Calc (ex-animal)'!$H$107*(1-'DB additional information '!$L$22/100))*(1-VLOOKUP(D574,'DB technologies'!$N$266:$Y$278,8,FALSE)/100)*'Calc (ex-housing, ex-storage)'!F574/100*VLOOKUP(D574,'DB technologies'!$N$266:$Y$278,11,FALSE)/100/VLOOKUP($C$571,'DB animal categories'!$C$201:$AC$210,27,FALSE)*AJ574,0))))</f>
        <v/>
      </c>
      <c r="AN574" s="442" t="str">
        <f>IF(AI574="","",IF(AL574=0,0,AL574/AK574*100))</f>
        <v/>
      </c>
      <c r="AO574" s="182" t="str">
        <f>IF(D574="","",IF(AI574=2,(('Calc (ex-animal)'!$L$107*'Calc (ex-housing, ex-storage)'!F574/100+'Calc (ex-animal)'!$K$107*'Calc (ex-housing, ex-storage)'!F574/100))/VLOOKUP($C$571,'DB animal categories'!$C$201:$AC$210,27,FALSE)*AJ574+Q574+R574+S574-AC574,IF(AI574=1,('Calc (ex-animal)'!$L$107*'Calc (ex-housing, ex-storage)'!F574/100)/VLOOKUP($C$571,'DB animal categories'!$C$201:$AC$210,27,FALSE)*AJ574-'Calc (ex-housing, ex-storage)'!AC574,IF(AI574=4,('Calc (ex-animal)'!$L$107+'Calc (ex-animal)'!$K$107)*'Calc (ex-housing, ex-storage)'!F574/100*VLOOKUP(D574,'DB technologies'!$N$266:$Y$278,11,FALSE)/100/VLOOKUP($C$571,'DB animal categories'!$C$201:$AC$210,27,FALSE)*AJ574-AC574*VLOOKUP(D574,'DB technologies'!$N$266:$Y$278,11,FALSE)/100,0))))</f>
        <v/>
      </c>
      <c r="AP574" s="182" t="str">
        <f>IF(D574="","",IF(AO574&lt;-0.01,0,IF(AI574=2,(('Calc (ex-animal)'!$L$107*'Calc (ex-housing, ex-storage)'!F574/100+'Calc (ex-animal)'!$K$107*'Calc (ex-housing, ex-storage)'!F574/100))/VLOOKUP($C$571,'DB animal categories'!$C$201:$AC$210,27,FALSE)*AJ574+Q574+R574+S574-AC574,IF(AI574=1,('Calc (ex-animal)'!$L$107*'Calc (ex-housing, ex-storage)'!F574/100)/VLOOKUP($C$571,'DB animal categories'!$C$201:$AC$210,27,FALSE)*AJ574-'Calc (ex-housing, ex-storage)'!AC574,IF(AI574=4,('Calc (ex-animal)'!$L$107+'Calc (ex-animal)'!$K$107)*'Calc (ex-housing, ex-storage)'!F574/100*VLOOKUP(D574,'DB technologies'!$N$266:$Y$278,11,FALSE)/100/VLOOKUP($C$571,'DB animal categories'!$C$201:$AC$210,27,FALSE)*AJ574-AC574*VLOOKUP(D574,'DB technologies'!$N$266:$Y$278,11,FALSE)/100,0)))))</f>
        <v/>
      </c>
      <c r="AQ574" s="182" t="str">
        <f>IF(D574="","",IF(AI574=2,('Calc (ex-animal)'!$O$107*'Calc (ex-housing, ex-storage)'!F574/100+'Calc (ex-animal)'!$N$107*'Calc (ex-housing, ex-storage)'!F574/100)/VLOOKUP($C$571,'DB animal categories'!$C$201:$AC$210,27,FALSE)*AJ574+U574+V574+W574,IF(AI574=1,'Calc (ex-animal)'!$O$107*'Calc (ex-housing, ex-storage)'!F574/100/VLOOKUP($C$571,'DB animal categories'!$C$201:$AC$210,27,FALSE)*AJ574,IF(AI574=4,('Calc (ex-animal)'!$O$107+'Calc (ex-animal)'!$N$107)*'Calc (ex-housing, ex-storage)'!F574/100*VLOOKUP(D574,'DB technologies'!$N$266:$Y$278,11,FALSE)/100/VLOOKUP($C$571,'DB animal categories'!$C$201:$AC$210,27,FALSE)*AJ574,0))))</f>
        <v/>
      </c>
      <c r="AR574" s="182" t="str">
        <f>IF(D574="","",IF(AI574=2,('Calc (ex-animal)'!$R$107*'Calc (ex-housing, ex-storage)'!F574/100+'Calc (ex-animal)'!$Q$107*'Calc (ex-housing, ex-storage)'!F574/100)/VLOOKUP($C$571,'DB animal categories'!$C$201:$AC$210,27,FALSE)*AJ574+Y574+Z574+AA574,IF(AI574=1,'Calc (ex-animal)'!$R$107*'Calc (ex-housing, ex-storage)'!F574/100/VLOOKUP($C$571,'DB animal categories'!$C$201:$AC$210,27,FALSE)*AJ574,IF(AI574=4,('Calc (ex-animal)'!$R$107+'Calc (ex-animal)'!$Q$107)*'Calc (ex-housing, ex-storage)'!F574/100*VLOOKUP(D574,'DB technologies'!$N$266:$Y$278,11,FALSE)/100/VLOOKUP($C$571,'DB animal categories'!$C$201:$AC$210,27,FALSE)*AJ574,0))))</f>
        <v/>
      </c>
      <c r="AS574" s="181" t="str">
        <f>IF(D574="","",VLOOKUP(D574,'DB technologies'!$N$266:$Y$278,10,FALSE))</f>
        <v/>
      </c>
      <c r="AT574" s="442" t="str">
        <f>IF(AS574="","",AU574+AV574)</f>
        <v/>
      </c>
      <c r="AU574" s="442" t="str">
        <f>IF(D574="","",IF(AS574=2,0,IF(AS574=1,'Calc (ex-animal)'!$G$107*'DB additional information '!$K$22/100*(1-VLOOKUP(D574,'DB technologies'!$N$266:$Y$278,8,FALSE)/100)*'Calc (ex-housing, ex-storage)'!F574/100/VLOOKUP($C$571,'DB animal categories'!$C$201:$AC$210,27,FALSE)*AJ574+I574+J574+K574,IF(AS574=5,(('Calc (ex-animal)'!$G$107*'DB additional information '!$K$22/100+'Calc (ex-animal)'!$H$107*'DB additional information '!$L$22/100))*(1-VLOOKUP(D574,'DB technologies'!$N$266:$Y$278,9,FALSE)/100)*'Calc (ex-housing, ex-storage)'!F574/100/VLOOKUP($C$571,'DB animal categories'!$C$201:$AC$210,27,FALSE)*AJ574+I574+J574+K574,IF(AS574=3,('Calc (ex-animal)'!$G$107*'DB additional information '!$K$22/100+'Calc (ex-animal)'!$H$107*'DB additional information '!$L$22/100)*(1-VLOOKUP(D574,'DB technologies'!$N$266:$Y$278,9,FALSE)/100)*'Calc (ex-housing, ex-storage)'!F574/100/VLOOKUP($C$571,'DB animal categories'!$C$201:$AC$210,27,FALSE)*AJ574+I574+J574+K574,IF(AS574=4,('Calc (ex-animal)'!$G$107*'DB additional information '!$K$22/100+'Calc (ex-animal)'!$H$107*'DB additional information '!$L$22/100)*(1-VLOOKUP(D574,'DB technologies'!$N$266:$Y$278,9,FALSE)/100)*'Calc (ex-housing, ex-storage)'!F574/100*VLOOKUP(D574,'DB technologies'!$N$266:$Y$278,12,FALSE)/100/VLOOKUP($C$571,'DB animal categories'!$C$201:$AC$210,27,FALSE)*AJ574+I574+J574+K574,0))))))</f>
        <v/>
      </c>
      <c r="AV574" s="442" t="str">
        <f>IF(D574="","",IF(AS574=2,0,IF(AS574=1,'Calc (ex-animal)'!$G$107*(1-'DB additional information '!$K$22/100)*(1-VLOOKUP(D574,'DB technologies'!$N$266:$Y$278,8,FALSE)/100)*'Calc (ex-housing, ex-storage)'!F574/100/VLOOKUP($C$571,'DB animal categories'!$C$201:$AC$210,27,FALSE)*AJ574+M574+N574+O574,IF(AS574=5,('Calc (ex-animal)'!$G$107*(1-'DB additional information '!$K$22/100)+'Calc (ex-animal)'!$H$107*(1-'DB additional information '!$L$22/100))*(1-VLOOKUP(D574,'DB technologies'!$N$266:$Y$278,8,FALSE)/100)*'Calc (ex-housing, ex-storage)'!F574/100/VLOOKUP($C$571,'DB animal categories'!$C$201:$AC$210,27,FALSE)*AJ574+M574+N574+O574,IF(AS574=3,('Calc (ex-animal)'!$G$107*(1-'DB additional information '!$K$22/100)+'Calc (ex-animal)'!$H$107*(1-'DB additional information '!$L$22/100))*(1-VLOOKUP(D574,'DB technologies'!$N$266:$Y$278,8,FALSE)/100)*'Calc (ex-housing, ex-storage)'!F574/100/VLOOKUP($C$571,'DB animal categories'!$C$201:$AC$210,27,FALSE)*AJ574+M574+N574+O574,IF(AS574=4,('Calc (ex-animal)'!$G$107*(1-'DB additional information '!$K$22/100)+'Calc (ex-animal)'!$H$107*(1-'DB additional information '!$L$22/100))*(1-VLOOKUP(D574,'DB technologies'!$N$266:$Y$278,8,FALSE)/100)*'Calc (ex-housing, ex-storage)'!F574/100*VLOOKUP(D574,'DB technologies'!$N$266:$Y$278,12,FALSE)/100/VLOOKUP($C$571,'DB animal categories'!$C$201:$AC$210,27,FALSE)*AJ574+M574+N574+O574,0))))))</f>
        <v/>
      </c>
      <c r="AW574" s="442" t="str">
        <f>IF(AS574="","",IF(AU574=0,0,AU574/AT574*100))</f>
        <v/>
      </c>
      <c r="AX574" s="182" t="str">
        <f>IF(D574="","",IF(AS574=2,0,IF(AS574=1,'Calc (ex-animal)'!$K$107*'Calc (ex-housing, ex-storage)'!F574/100/VLOOKUP($C$571,'DB animal categories'!$C$201:$AC$210,27,FALSE)*AJ574+Q574+R574+S574,IF(AS574=5,('Calc (ex-animal)'!$K$107+'Calc (ex-animal)'!$L$107)*'Calc (ex-housing, ex-storage)'!F574/100/VLOOKUP($C$571,'DB animal categories'!$C$201:$AC$210,27,FALSE)*AJ574+Q574+R574+S574-'Calc (ex-housing, ex-storage)'!AC574,IF(AS574=3,('Calc (ex-animal)'!$K$107+'Calc (ex-animal)'!$L$107)*'Calc (ex-housing, ex-storage)'!F574/100/VLOOKUP($C$571,'DB animal categories'!$C$201:$AC$210,27,FALSE)*AJ574+Q574+R574+S574-'Calc (ex-housing, ex-storage)'!AC574-AD574-AE574,IF(AI574=4,('Calc (ex-animal)'!$K$107+'Calc (ex-animal)'!$L$107)*'Calc (ex-housing, ex-storage)'!F574/100*VLOOKUP(D574,'DB technologies'!$N$266:$Y$278,12,FALSE)/100/VLOOKUP($C$571,'DB animal categories'!$C$201:$AC$210,27,FALSE)*AJ574+Q574+R574+S574-(VLOOKUP(D574,'DB technologies'!$N$266:$Y$278,12,FALSE)/100*AC574)-AD574-AE574,0))))))</f>
        <v/>
      </c>
      <c r="AY574" s="182" t="str">
        <f>IF(D574="","",IF(AS574=2,0,IF(AS574=1,'Calc (ex-animal)'!$N$107*'Calc (ex-housing, ex-storage)'!F574/100/VLOOKUP($C$571,'DB animal categories'!$C$201:$AC$210,27,FALSE)*AJ574+U574+V574+W574,IF(AS574=5,('Calc (ex-animal)'!$N$107+'Calc (ex-animal)'!$O$107)*'Calc (ex-housing, ex-storage)'!F574/100/VLOOKUP($C$571,'DB animal categories'!$C$201:$AC$210,27,FALSE)*AJ574+U574+V574+W574,IF(AS574=3,('Calc (ex-animal)'!$N$107+'Calc (ex-animal)'!$O$107)*'Calc (ex-housing, ex-storage)'!F574/100/VLOOKUP($C$571,'DB animal categories'!$C$201:$AC$210,27,FALSE)*AJ574+U574+V574+W574,IF(AS574=4,('Calc (ex-animal)'!$N$107+'Calc (ex-animal)'!$O$107)*'Calc (ex-housing, ex-storage)'!F574/100*VLOOKUP(D574,'DB technologies'!$N$266:$Y$278,12,FALSE)/100/VLOOKUP($C$571,'DB animal categories'!$C$201:$AC$210,27,FALSE)*AJ574+U574+V574+W574,0))))))</f>
        <v/>
      </c>
      <c r="AZ574" s="182" t="str">
        <f>IF(D574="","",IF(AS574=2,0,IF(AS574=1,'Calc (ex-animal)'!$Q$107*'Calc (ex-housing, ex-storage)'!F574/100/VLOOKUP($C$571,'DB animal categories'!$C$201:$AC$210,27,FALSE)*AJ574+Y574+Z574+AA574,IF(AS574=5,('Calc (ex-animal)'!$Q$107+'Calc (ex-animal)'!$R$107)*'Calc (ex-housing, ex-storage)'!F574/100/VLOOKUP($C$571,'DB animal categories'!$C$201:$AC$210,27,FALSE)*AJ574+Y574+Z574+AA574,IF(AS574=3,('Calc (ex-animal)'!$Q$107+'Calc (ex-animal)'!$R$107)*'Calc (ex-housing, ex-storage)'!F574/100/VLOOKUP($C$571,'DB animal categories'!$C$201:$AC$210,27,FALSE)*AJ574+Y574+Z574+AA574,IF(AS574=4,('Calc (ex-animal)'!$Q$107+'Calc (ex-animal)'!$R$107)*'Calc (ex-housing, ex-storage)'!F574/100*VLOOKUP(D574,'DB technologies'!$N$266:$Y$278,12,FALSE)/100/VLOOKUP($C$571,'DB animal categories'!$C$201:$AC$210,27,FALSE)*AJ574+Y574+Z574+AA574,0))))))</f>
        <v/>
      </c>
      <c r="BA574" s="506"/>
      <c r="BB574" s="506"/>
      <c r="BC574" s="506"/>
    </row>
    <row r="575" spans="1:55" ht="12" thickBot="1" x14ac:dyDescent="0.25">
      <c r="A575" s="748"/>
      <c r="B575" s="695"/>
      <c r="C575" s="251"/>
      <c r="D575" s="1359"/>
      <c r="E575" s="1360"/>
      <c r="F575" s="481" t="str">
        <f>IF('Calc (ex-animal)'!$F$103=1,"",IF($C$571=0,"",IF(D575="","",E575/'Calc (ex-animal)'!$E$107*100)))</f>
        <v/>
      </c>
      <c r="G575" s="483" t="str">
        <f>IF($C$571=0,"",IF('Calc (ex-animal)'!$F$103=1,"",IF(D575="","",SUM(H575:O575))))</f>
        <v/>
      </c>
      <c r="H575" s="445" t="str">
        <f>IF('Calc (ex-animal)'!$F$103=1,"",IF(D575="","",(((VLOOKUP($C$571,'Calc (ex-animal)'!$D$103:$Y$107,6,FALSE)-VLOOKUP($C$571,'Calc (ex-animal)'!$D$103:$Y$107,17,FALSE))*F575/100))*VLOOKUP($C$571,'Calc (ex-animal)'!$D$103:$Y$107,7,FALSE)/100*(1-VLOOKUP(D575,'DB technologies'!$N$266:$Y$278,9,FALSE)/100)))</f>
        <v/>
      </c>
      <c r="I575" s="445" t="str">
        <f>IF(D575="","",((VLOOKUP(D575,'DB technologies'!$N$266:$Y$278,2,FALSE)*VLOOKUP($C$571,'DB animal categories'!$C$201:$AC$210,27,FALSE)*E575/1000)/VLOOKUP($C$571,'DB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'!$S$6/100*(1-VLOOKUP(D575,'DB technologies'!$N$266:$Y$278,9,FALSE)/100)))</f>
        <v/>
      </c>
      <c r="J575" s="446" t="str">
        <f>IF(D575="","",((VLOOKUP(D575,'DB technologies'!$N$266:$Y$278,3,FALSE)*VLOOKUP($C$571,'DB animal categories'!$C$201:$AC$210,27,FALSE)*E575/1000)/VLOOKUP($C$571,'DB animal categories'!$C$201:$AC$210,27,FALSE)*(VLOOKUP($C$571,'DB animal categories'!$C$201:$AC$210,27,FALSE)-(VLOOKUP($C$571,'DB animal categories'!$C$201:$AC$210,25,FALSE)*VLOOKUP($C$571,'DB animal categories'!$C$201:$AC$210,26,FALSE)/24))*'DB additional information '!$S$7/100*(1-VLOOKUP(D575,'DB technologies'!$N$266:$Y$278,9,FALSE)/100)))</f>
        <v/>
      </c>
      <c r="K575" s="446" t="str">
        <f>IF(D575="","",((VLOOKUP(D575,'DB technologies'!$N$266:$Y$278,4,FALSE)*E575*'DB additional information '!$S$8/100*(1-VLOOKUP(D575,'DB technologies'!$N$266:$Y$278,9,FALSE)/100))/VLOOKUP($C$571,'DB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L575" s="445" t="str">
        <f>IF('Calc (ex-animal)'!$F$103=1,"",IF(D575="","",(((VLOOKUP($C$571,'Calc (ex-animal)'!$D$103:$Y$107,6,FALSE)-VLOOKUP($C$571,'Calc (ex-animal)'!$D$103:$Y$107,17,FALSE))*F575/100))*(1-VLOOKUP($C$571,'Calc (ex-animal)'!$D$103:$Y$107,7,FALSE)/100)*(1-VLOOKUP(D575,'DB technologies'!$N$266:$V$278,8,FALSE)/100)))</f>
        <v/>
      </c>
      <c r="M575" s="446" t="str">
        <f>IF(D575="","",((VLOOKUP(D575,'DB technologies'!$N$266:$Y$278,2,FALSE)*VLOOKUP($C$571,'DB animal categories'!$C$201:$AC$210,27,FALSE)*E575/1000)/VLOOKUP($C$571,'DB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'!$S$6/100)*(1-VLOOKUP(D575,'DB technologies'!$N$266:$Y$278,9,FALSE)/100))</f>
        <v/>
      </c>
      <c r="N575" s="446" t="str">
        <f>IF(D575="","",((VLOOKUP(D575,'DB technologies'!$N$266:$Y$278,3,FALSE)*VLOOKUP($C$571,'DB animal categories'!$C$201:$AC$210,27,FALSE)*E575/1000)/VLOOKUP($C$571,'DB animal categories'!$C$201:$AC$210,27,FALSE)*(VLOOKUP($C$571,'DB animal categories'!$C$201:$AC$210,27,FALSE)-VLOOKUP($C$571,'DB animal categories'!$C$201:$AC$210,25,FALSE)*VLOOKUP($C$571,'DB animal categories'!$C$201:$AC$210,26,FALSE)/24))*(1-'DB additional information '!$S$7/100)*(1-VLOOKUP(D575,'DB technologies'!$N$266:$Y$278,9,FALSE)/100))</f>
        <v/>
      </c>
      <c r="O575" s="445" t="str">
        <f>IF(D575="","",((VLOOKUP(D575,'DB technologies'!$N$266:$Y$278,4,FALSE)*E575*(1-'DB additional information '!$S$8/100)*(1-VLOOKUP(D575,'DB technologies'!$N$266:$Y$278,8,FALSE)/100))/VLOOKUP($C$571,'DB animal categories'!$C$201:$AC$210,27,FALSE)*(VLOOKUP($C$571,'DB animal categories'!$C$201:$AC$210,27,FALSE)-VLOOKUP($C$571,'DB animal categories'!$C$201:$AC$210,25,FALSE)*VLOOKUP($C$571,'DB animal categories'!$C$201:$AC$210,26,FALSE)/24)))</f>
        <v/>
      </c>
      <c r="P575" s="444" t="str">
        <f>IF(G575=0,0,IF(E575="","",IF(F575="","",IF($C$571=0,"",IF(D575="","",SUM(H575:K575)/G575*100)))))</f>
        <v/>
      </c>
      <c r="Q575" s="476" t="str">
        <f>IF(D575="","",(VLOOKUP(D575,'DB technologies'!$N$266:$Y$278,2,FALSE)*'DB additional information '!$S$6/100*'DB additional information '!$T$6*VLOOKUP($C$571,'DB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R575" s="476" t="str">
        <f>IF(D575="","",(VLOOKUP(D575,'DB technologies'!$N$266:$Y$278,3,FALSE)*'DB additional information '!$S$7/100*'DB additional information '!$T$7*VLOOKUP($C$571,'DB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S575" s="494" t="str">
        <f>IF(D575="","",(VLOOKUP(D575,'DB technologies'!$N$266:$Y$278,4,FALSE)*('DB additional information '!$S$8/100*'DB additional information '!$T$8*E575/1000/1000)))</f>
        <v/>
      </c>
      <c r="T575" s="266" t="str">
        <f>IF($C$571=0,"",IF('Calc (ex-animal)'!$F$103=1,"",IF(D575="","",((VLOOKUP($C$571,'Calc (ex-animal)'!$D$103:$Y$107,10,FALSE)-VLOOKUP($C$571,'Calc (ex-animal)'!$D$103:$Y$107,18,FALSE))*F575/100+Q575+R575+S575)-AC575-AD575-AE575)))</f>
        <v/>
      </c>
      <c r="U575" s="477" t="str">
        <f>IF(D575="","",(VLOOKUP(D575,'DB technologies'!$N$266:$Y$278,2,FALSE)*'DB additional information '!$S$6/100*'DB additional information '!$U$6*VLOOKUP($C$571,'DB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V575" s="433" t="str">
        <f>IF(D575="","",(VLOOKUP(D575,'DB technologies'!$N$266:$Y$278,3,FALSE)*'DB additional information '!$S$7/100*'DB additional information '!$U$7*VLOOKUP($C$571,'DB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W575" s="475" t="str">
        <f>IF(D575="","",(VLOOKUP(D575,'DB technologies'!$N$266:$Y$278,4,FALSE)*('DB additional information '!$S$8/100*'DB additional information '!$U$8*E575/1000/1000)))</f>
        <v/>
      </c>
      <c r="X575" s="267" t="str">
        <f>IF($C$571=0,"",IF('Calc (ex-animal)'!$F$103=1,"",IF(D575="","",((VLOOKUP($C$571,'Calc (ex-animal)'!$D$103:$Y$107,13,FALSE)-VLOOKUP($C$571,'Calc (ex-animal)'!$D$103:$Y$107,19,FALSE))*F575/100+U575+V575+W575))))</f>
        <v/>
      </c>
      <c r="Y575" s="433" t="str">
        <f>IF(D575="","",(VLOOKUP(D575,'DB technologies'!$N$266:$Y$278,2,FALSE)*'DB additional information '!$S$6/100*'DB additional information '!$V$6*VLOOKUP($C$571,'DB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Z575" s="433" t="str">
        <f>IF(D575="","",(VLOOKUP(D575,'DB technologies'!$N$266:$Y$278,3,FALSE)*'DB additional information '!$S$7/100*'DB additional information '!$V$7*VLOOKUP($C$571,'DB animal categories'!$C$201:$AC$210,27,FALSE)*E575/1000/1000)/VLOOKUP($C$571,'DB animal categories'!$C$201:$AC$210,27,FALSE)*(VLOOKUP($C$571,'DB animal categories'!$C$201:$AC$210,27,FALSE)-VLOOKUP($C$571,'DB animal categories'!$C$201:$AC$210,25,FALSE)*VLOOKUP($C$571,'DB animal categories'!$C$201:$AC$210,26,FALSE)/24))</f>
        <v/>
      </c>
      <c r="AA575" s="433" t="str">
        <f>IF(D575="","",(VLOOKUP(D575,'DB technologies'!$N$266:$Y$278,4,FALSE)*('DB additional information '!$S$8/100*'DB additional information '!$V$8*E575/1000/1000)))</f>
        <v/>
      </c>
      <c r="AB575" s="267" t="str">
        <f>IF($C$571=0,"",IF('Calc (ex-animal)'!$F$103=1,"",IF(D575="","",((VLOOKUP($C$571,'Calc (ex-animal)'!$D$103:$Y$107,16,FALSE)-VLOOKUP($C$571,'Calc (ex-animal)'!$D$103:$Y$107,20,FALSE))*F575/100+Y575+Z575+AA575))))</f>
        <v/>
      </c>
      <c r="AC575" s="267" t="str">
        <f>IF($C$571=0,"",IF('Calc (ex-animal)'!$F$103=1,"",IF(D575="","",VLOOKUP($C$571,'Calc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categories'!$C$201:$AC$210,26,FALSE)/24)*F575/100*VLOOKUP(D575,'DB technologies'!$N$266:$R$278,5,FALSE)/100)))</f>
        <v/>
      </c>
      <c r="AD575" s="267" t="str">
        <f>IF($C$571=0,"",IF('Calc (ex-animal)'!$F$103=1,"",IF(D575="","",VLOOKUP($C$571,'Calc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categories'!$C$201:$AC$210,26,FALSE)/24)*F575/100*VLOOKUP(D575,'DB technologies'!$N$266:$Y$278,6,FALSE)/100)))</f>
        <v/>
      </c>
      <c r="AE575" s="268" t="str">
        <f>IF($C$571=0,"",IF('Calc (ex-animal)'!$F$103=1,"",IF(D575="","",VLOOKUP($C$571,'Calc (ex-animal)'!$D$103:$Y$107,10,FALSE)/VLOOKUP($C$571,'DB animal categories'!$C$201:$AC$210,27,FALSE)*(VLOOKUP($C$571,'DB animal categories'!$C$201:$AC$210,27,FALSE)-VLOOKUP($C$571,'DB animal categories'!$C$201:$AC$210,25,FALSE)*VLOOKUP($C$571,'DB animal categories'!$C$201:$AC$210,26,FALSE)/24)*F575/100*VLOOKUP(D575,'DB technologies'!$N$266:$Y$278,7,FALSE)/100)))</f>
        <v/>
      </c>
      <c r="AI575" s="183" t="str">
        <f>IF(D575="","",VLOOKUP(D575,'DB technologies'!$N$266:$Y$278,10,FALSE))</f>
        <v/>
      </c>
      <c r="AJ575" s="451" t="e">
        <f>VLOOKUP($C$571,'DB animal categories'!$C$201:$AN$210,27,FALSE)-VLOOKUP($C$571,'DB animal categories'!$C$201:$AN$210,26,FALSE)*VLOOKUP($C$571,'DB animal categories'!$C$201:$AN$210,25,FALSE)/24</f>
        <v>#N/A</v>
      </c>
      <c r="AK575" s="452" t="str">
        <f>IF(AI575="","",AL575+AM575)</f>
        <v/>
      </c>
      <c r="AL575" s="452" t="str">
        <f>IF(D575="","",IF(AI575=2,(('Calc (ex-animal)'!$G$107*'DB additional information '!$K$22/100*(1-VLOOKUP(D575,'DB technologies'!$N$266:$Y$278,9,FALSE)/100)*'Calc (ex-housing, ex-storage)'!F575/100+'Calc (ex-animal)'!$H$107*'DB additional information '!$L$22/100*(1-VLOOKUP(D575,'DB technologies'!$N$266:$Y$278,9,FALSE)/100)*'Calc (ex-housing, ex-storage)'!F575/100))/VLOOKUP($C$571,'DB animal categories'!$C$201:$AC$210,27,FALSE)*AJ575+I575+J575+K575,IF(AI575=1,('Calc (ex-animal)'!$H$107*'DB additional information '!$L$22/100*(1-VLOOKUP(D575,'DB technologies'!$N$266:$Y$278,9,FALSE)/100)*'Calc (ex-housing, ex-storage)'!F575/100)/VLOOKUP($C$571,'DB animal categories'!$C$201:$AC$210,27,FALSE)*AJ575,IF(AI575=4,('Calc (ex-animal)'!$G$107*'DB additional information '!$K$22/100+'Calc (ex-animal)'!$H$107*'DB additional information '!$L$22/100)*(1-VLOOKUP(D575,'DB technologies'!$N$266:$Y$278,9,FALSE)/100)*'Calc (ex-housing, ex-storage)'!F575/100*VLOOKUP(D575,'DB technologies'!$N$266:$Y$278,11,FALSE)/100/VLOOKUP($C$571,'DB animal categories'!$C$201:$AC$210,27,FALSE)*AJ575,0))))</f>
        <v/>
      </c>
      <c r="AM575" s="452" t="str">
        <f>IF(D575="","",IF(AI575=2,(('Calc (ex-animal)'!$G$107*(1-'DB additional information '!$K$22/100)*(1-VLOOKUP(D575,'DB technologies'!$N$266:$Y$278,8,FALSE)/100)*'Calc (ex-housing, ex-storage)'!F575/100+'Calc (ex-animal)'!$H$107*(1-'DB additional information '!$L$22/100)*(1-VLOOKUP(D575,'DB technologies'!$N$266:$Y$278,8,FALSE)/100)*'Calc (ex-housing, ex-storage)'!F575/100))/VLOOKUP($C$571,'DB animal categories'!$C$201:$AC$210,27,FALSE)*AJ575+M575+N575+O575,IF(AI575=1,('Calc (ex-animal)'!$H$107*(1-'DB additional information '!$L$22/100)*(1-VLOOKUP(D575,'DB technologies'!$N$266:$Y$278,8,FALSE)/100)*'Calc (ex-housing, ex-storage)'!F575/100)/VLOOKUP($C$571,'DB animal categories'!$C$201:$AC$210,27,FALSE)*AJ575,IF(AI575=4,('Calc (ex-animal)'!$G$107*(1-'DB additional information '!$K$22/100)+'Calc (ex-animal)'!$H$107*(1-'DB additional information '!$L$22/100))*(1-VLOOKUP(D575,'DB technologies'!$N$266:$Y$278,8,FALSE)/100)*'Calc (ex-housing, ex-storage)'!F575/100*VLOOKUP(D575,'DB technologies'!$N$266:$Y$278,11,FALSE)/100/VLOOKUP($C$571,'DB animal categories'!$C$201:$AC$210,27,FALSE)*AJ575,0))))</f>
        <v/>
      </c>
      <c r="AN575" s="452" t="str">
        <f>IF(AI575="","",IF(AL575=0,0,AL575/AK575*100))</f>
        <v/>
      </c>
      <c r="AO575" s="184" t="str">
        <f>IF(D575="","",IF(AI575=2,(('Calc (ex-animal)'!$L$107*'Calc (ex-housing, ex-storage)'!F575/100+'Calc (ex-animal)'!$K$107*'Calc (ex-housing, ex-storage)'!F575/100))/VLOOKUP($C$571,'DB animal categories'!$C$201:$AC$210,27,FALSE)*AJ575+Q575+R575+S575-AC575,IF(AI575=1,('Calc (ex-animal)'!$L$107*'Calc (ex-housing, ex-storage)'!F575/100)/VLOOKUP($C$571,'DB animal categories'!$C$201:$AC$210,27,FALSE)*AJ575-'Calc (ex-housing, ex-storage)'!AC575,IF(AI575=4,('Calc (ex-animal)'!$L$107+'Calc (ex-animal)'!$K$107)*'Calc (ex-housing, ex-storage)'!F575/100*VLOOKUP(D575,'DB technologies'!$N$266:$Y$278,11,FALSE)/100/VLOOKUP($C$571,'DB animal categories'!$C$201:$AC$210,27,FALSE)*AJ575-AC575*VLOOKUP(D575,'DB technologies'!$N$266:$Y$278,11,FALSE)/100,0))))</f>
        <v/>
      </c>
      <c r="AP575" s="184" t="str">
        <f>IF(D575="","",IF(AO575&lt;-0.01,0,IF(AI575=2,(('Calc (ex-animal)'!$L$107*'Calc (ex-housing, ex-storage)'!F575/100+'Calc (ex-animal)'!$K$107*'Calc (ex-housing, ex-storage)'!F575/100))/VLOOKUP($C$571,'DB animal categories'!$C$201:$AC$210,27,FALSE)*AJ575+Q575+R575+S575-AC575,IF(AI575=1,('Calc (ex-animal)'!$L$107*'Calc (ex-housing, ex-storage)'!F575/100)/VLOOKUP($C$571,'DB animal categories'!$C$201:$AC$210,27,FALSE)*AJ575-'Calc (ex-housing, ex-storage)'!AC575,IF(AI575=4,('Calc (ex-animal)'!$L$107+'Calc (ex-animal)'!$K$107)*'Calc (ex-housing, ex-storage)'!F575/100*VLOOKUP(D575,'DB technologies'!$N$266:$Y$278,11,FALSE)/100/VLOOKUP($C$571,'DB animal categories'!$C$201:$AC$210,27,FALSE)*AJ575-AC575*VLOOKUP(D575,'DB technologies'!$N$266:$Y$278,11,FALSE)/100,0)))))</f>
        <v/>
      </c>
      <c r="AQ575" s="184" t="str">
        <f>IF(D575="","",IF(AI575=2,('Calc (ex-animal)'!$O$107*'Calc (ex-housing, ex-storage)'!F575/100+'Calc (ex-animal)'!$N$107*'Calc (ex-housing, ex-storage)'!F575/100)/VLOOKUP($C$571,'DB animal categories'!$C$201:$AC$210,27,FALSE)*AJ575+U575+V575+W575,IF(AI575=1,'Calc (ex-animal)'!$O$107*'Calc (ex-housing, ex-storage)'!F575/100/VLOOKUP($C$571,'DB animal categories'!$C$201:$AC$210,27,FALSE)*AJ575,IF(AI575=4,('Calc (ex-animal)'!$O$107+'Calc (ex-animal)'!$N$107)*'Calc (ex-housing, ex-storage)'!F575/100*VLOOKUP(D575,'DB technologies'!$N$266:$Y$278,11,FALSE)/100/VLOOKUP($C$571,'DB animal categories'!$C$201:$AC$210,27,FALSE)*AJ575,0))))</f>
        <v/>
      </c>
      <c r="AR575" s="184" t="str">
        <f>IF(D575="","",IF(AI575=2,('Calc (ex-animal)'!$R$107*'Calc (ex-housing, ex-storage)'!F575/100+'Calc (ex-animal)'!$Q$107*'Calc (ex-housing, ex-storage)'!F575/100)/VLOOKUP($C$571,'DB animal categories'!$C$201:$AC$210,27,FALSE)*AJ575+Y575+Z575+AA575,IF(AI575=1,'Calc (ex-animal)'!$R$107*'Calc (ex-housing, ex-storage)'!F575/100/VLOOKUP($C$571,'DB animal categories'!$C$201:$AC$210,27,FALSE)*AJ575,IF(AI575=4,('Calc (ex-animal)'!$R$107+'Calc (ex-animal)'!$Q$107)*'Calc (ex-housing, ex-storage)'!F575/100*VLOOKUP(D575,'DB technologies'!$N$266:$Y$278,11,FALSE)/100/VLOOKUP($C$571,'DB animal categories'!$C$201:$AC$210,27,FALSE)*AJ575,0))))</f>
        <v/>
      </c>
      <c r="AS575" s="183" t="str">
        <f>IF(D575="","",VLOOKUP(D575,'DB technologies'!$N$266:$Y$278,10,FALSE))</f>
        <v/>
      </c>
      <c r="AT575" s="452" t="str">
        <f>IF(AS575="","",AU575+AV575)</f>
        <v/>
      </c>
      <c r="AU575" s="452" t="str">
        <f>IF(D575="","",IF(AS575=2,0,IF(AS575=1,'Calc (ex-animal)'!$G$107*'DB additional information '!$K$22/100*(1-VLOOKUP(D575,'DB technologies'!$N$266:$Y$278,8,FALSE)/100)*'Calc (ex-housing, ex-storage)'!F575/100/VLOOKUP($C$571,'DB animal categories'!$C$201:$AC$210,27,FALSE)*AJ575+I575+J575+K575,IF(AS575=5,(('Calc (ex-animal)'!$G$107*'DB additional information '!$K$22/100+'Calc (ex-animal)'!$H$107*'DB additional information '!$L$22/100))*(1-VLOOKUP(D575,'DB technologies'!$N$266:$Y$278,9,FALSE)/100)*'Calc (ex-housing, ex-storage)'!F575/100/VLOOKUP($C$571,'DB animal categories'!$C$201:$AC$210,27,FALSE)*AJ575+I575+J575+K575,IF(AS575=3,('Calc (ex-animal)'!$G$107*'DB additional information '!$K$22/100+'Calc (ex-animal)'!$H$107*'DB additional information '!$L$22/100)*(1-VLOOKUP(D575,'DB technologies'!$N$266:$Y$278,9,FALSE)/100)*'Calc (ex-housing, ex-storage)'!F575/100/VLOOKUP($C$571,'DB animal categories'!$C$201:$AC$210,27,FALSE)*AJ575+I575+J575+K575,IF(AS575=4,('Calc (ex-animal)'!$G$107*'DB additional information '!$K$22/100+'Calc (ex-animal)'!$H$107*'DB additional information '!$L$22/100)*(1-VLOOKUP(D575,'DB technologies'!$N$266:$Y$278,9,FALSE)/100)*'Calc (ex-housing, ex-storage)'!F575/100*VLOOKUP(D575,'DB technologies'!$N$266:$Y$278,12,FALSE)/100/VLOOKUP($C$571,'DB animal categories'!$C$201:$AC$210,27,FALSE)*AJ575+I575+J575+K575,0))))))</f>
        <v/>
      </c>
      <c r="AV575" s="452" t="str">
        <f>IF(D575="","",IF(AS575=2,0,IF(AS575=1,'Calc (ex-animal)'!$G$107*(1-'DB additional information '!$K$22/100)*(1-VLOOKUP(D575,'DB technologies'!$N$266:$Y$278,8,FALSE)/100)*'Calc (ex-housing, ex-storage)'!F575/100/VLOOKUP($C$571,'DB animal categories'!$C$201:$AC$210,27,FALSE)*AJ575+M575+N575+O575,IF(AS575=5,('Calc (ex-animal)'!$G$107*(1-'DB additional information '!$K$22/100)+'Calc (ex-animal)'!$H$107*(1-'DB additional information '!$L$22/100))*(1-VLOOKUP(D575,'DB technologies'!$N$266:$Y$278,8,FALSE)/100)*'Calc (ex-housing, ex-storage)'!F575/100/VLOOKUP($C$571,'DB animal categories'!$C$201:$AC$210,27,FALSE)*AJ575+M575+N575+O575,IF(AS575=3,('Calc (ex-animal)'!$G$107*(1-'DB additional information '!$K$22/100)+'Calc (ex-animal)'!$H$107*(1-'DB additional information '!$L$22/100))*(1-VLOOKUP(D575,'DB technologies'!$N$266:$Y$278,8,FALSE)/100)*'Calc (ex-housing, ex-storage)'!F575/100/VLOOKUP($C$571,'DB animal categories'!$C$201:$AC$210,27,FALSE)*AJ575+M575+N575+O575,IF(AS575=4,('Calc (ex-animal)'!$G$107*(1-'DB additional information '!$K$22/100)+'Calc (ex-animal)'!$H$107*(1-'DB additional information '!$L$22/100))*(1-VLOOKUP(D575,'DB technologies'!$N$266:$Y$278,8,FALSE)/100)*'Calc (ex-housing, ex-storage)'!F575/100*VLOOKUP(D575,'DB technologies'!$N$266:$Y$278,12,FALSE)/100/VLOOKUP($C$571,'DB animal categories'!$C$201:$AC$210,27,FALSE)*AJ575+M575+N575+O575,0))))))</f>
        <v/>
      </c>
      <c r="AW575" s="452" t="str">
        <f>IF(AS575="","",IF(AU575=0,0,AU575/AT575*100))</f>
        <v/>
      </c>
      <c r="AX575" s="184" t="str">
        <f>IF(D575="","",IF(AS575=2,0,IF(AS575=1,'Calc (ex-animal)'!$K$107*'Calc (ex-housing, ex-storage)'!F575/100/VLOOKUP($C$571,'DB animal categories'!$C$201:$AC$210,27,FALSE)*AJ575+Q575+R575+S575,IF(AS575=5,('Calc (ex-animal)'!$K$107+'Calc (ex-animal)'!$L$107)*'Calc (ex-housing, ex-storage)'!F575/100/VLOOKUP($C$571,'DB animal categories'!$C$201:$AC$210,27,FALSE)*AJ575+Q575+R575+S575-'Calc (ex-housing, ex-storage)'!AC575,IF(AS575=3,('Calc (ex-animal)'!$K$107+'Calc (ex-animal)'!$L$107)*'Calc (ex-housing, ex-storage)'!F575/100/VLOOKUP($C$571,'DB animal categories'!$C$201:$AC$210,27,FALSE)*AJ575+Q575+R575+S575-'Calc (ex-housing, ex-storage)'!AC575-AD575-AE575,IF(AI575=4,('Calc (ex-animal)'!$K$107+'Calc (ex-animal)'!$L$107)*'Calc (ex-housing, ex-storage)'!F575/100*VLOOKUP(D575,'DB technologies'!$N$266:$Y$278,12,FALSE)/100/VLOOKUP($C$571,'DB animal categories'!$C$201:$AC$210,27,FALSE)*AJ575+Q575+R575+S575-(VLOOKUP(D575,'DB technologies'!$N$266:$Y$278,12,FALSE)/100*AC575)-AD575-AE575,0))))))</f>
        <v/>
      </c>
      <c r="AY575" s="184" t="str">
        <f>IF(D575="","",IF(AS575=2,0,IF(AS575=1,'Calc (ex-animal)'!$N$107*'Calc (ex-housing, ex-storage)'!F575/100/VLOOKUP($C$571,'DB animal categories'!$C$201:$AC$210,27,FALSE)*AJ575+U575+V575+W575,IF(AS575=5,('Calc (ex-animal)'!$N$107+'Calc (ex-animal)'!$O$107)*'Calc (ex-housing, ex-storage)'!F575/100/VLOOKUP($C$571,'DB animal categories'!$C$201:$AC$210,27,FALSE)*AJ575+U575+V575+W575,IF(AS575=3,('Calc (ex-animal)'!$N$107+'Calc (ex-animal)'!$O$107)*'Calc (ex-housing, ex-storage)'!F575/100/VLOOKUP($C$571,'DB animal categories'!$C$201:$AC$210,27,FALSE)*AJ575+U575+V575+W575,IF(AS575=4,('Calc (ex-animal)'!$N$107+'Calc (ex-animal)'!$O$107)*'Calc (ex-housing, ex-storage)'!F575/100*VLOOKUP(D575,'DB technologies'!$N$266:$Y$278,12,FALSE)/100/VLOOKUP($C$571,'DB animal categories'!$C$201:$AC$210,27,FALSE)*AJ575+U575+V575+W575,0))))))</f>
        <v/>
      </c>
      <c r="AZ575" s="184" t="str">
        <f>IF(D575="","",IF(AS575=2,0,IF(AS575=1,'Calc (ex-animal)'!$Q$107*'Calc (ex-housing, ex-storage)'!F575/100/VLOOKUP($C$571,'DB animal categories'!$C$201:$AC$210,27,FALSE)*AJ575+Y575+Z575+AA575,IF(AS575=5,('Calc (ex-animal)'!$Q$107+'Calc (ex-animal)'!$R$107)*'Calc (ex-housing, ex-storage)'!F575/100/VLOOKUP($C$571,'DB animal categories'!$C$201:$AC$210,27,FALSE)*AJ575+Y575+Z575+AA575,IF(AS575=3,('Calc (ex-animal)'!$Q$107+'Calc (ex-animal)'!$R$107)*'Calc (ex-housing, ex-storage)'!F575/100/VLOOKUP($C$571,'DB animal categories'!$C$201:$AC$210,27,FALSE)*AJ575+Y575+Z575+AA575,IF(AS575=4,('Calc (ex-animal)'!$Q$107+'Calc (ex-animal)'!$R$107)*'Calc (ex-housing, ex-storage)'!F575/100*VLOOKUP(D575,'DB technologies'!$N$266:$Y$278,12,FALSE)/100/VLOOKUP($C$571,'DB animal categories'!$C$201:$AC$210,27,FALSE)*AJ575+Y575+Z575+AA575,0))))))</f>
        <v/>
      </c>
      <c r="BA575" s="506"/>
      <c r="BB575" s="506"/>
      <c r="BC575" s="506"/>
    </row>
    <row r="576" spans="1:55" ht="12" thickBot="1" x14ac:dyDescent="0.25">
      <c r="A576" s="748"/>
      <c r="B576" s="696"/>
      <c r="C576" s="252"/>
      <c r="D576" s="269" t="s">
        <v>58</v>
      </c>
      <c r="E576" s="270">
        <f>IF(F576&lt;=100,SUM(E571:E575),"ERROR")</f>
        <v>0</v>
      </c>
      <c r="F576" s="284">
        <f>IF(SUM(F571:F575) &lt;=100,SUM(F571:F575),"ERROR, SUM&gt;100%")</f>
        <v>0</v>
      </c>
      <c r="G576" s="550">
        <f>IF('Calc (ex-animal)'!$F$103=1,"",SUM(G571:G575))</f>
        <v>0</v>
      </c>
      <c r="H576" s="418">
        <f>IF('Calc (ex-animal)'!$F$8=1,"",SUM(H571:H575))</f>
        <v>0</v>
      </c>
      <c r="I576" s="418">
        <f>IF('Calc (ex-animal)'!$F$8=1,"",SUM(I571:I575))</f>
        <v>0</v>
      </c>
      <c r="J576" s="418">
        <f>IF('Calc (ex-animal)'!$F$8=1,"",SUM(J571:J575))</f>
        <v>0</v>
      </c>
      <c r="K576" s="418">
        <f>IF('Calc (ex-animal)'!$F$8=1,"",SUM(K571:K575))</f>
        <v>0</v>
      </c>
      <c r="L576" s="418">
        <f>IF('Calc (ex-animal)'!$F$8=1,"",SUM(L571:L575))</f>
        <v>0</v>
      </c>
      <c r="M576" s="551"/>
      <c r="N576" s="551"/>
      <c r="O576" s="551"/>
      <c r="P576" s="552">
        <f>IF(G576=0,0,IF('Calc (ex-animal)'!$F$103=1,"",IF(D576="","",SUM(H576:K576)/G576*100)))</f>
        <v>0</v>
      </c>
      <c r="Q576" s="271"/>
      <c r="R576" s="271"/>
      <c r="S576" s="271"/>
      <c r="T576" s="278">
        <f>IF('Calc (ex-animal)'!$F$107=1,"",SUM(T571:T575))</f>
        <v>0</v>
      </c>
      <c r="U576" s="279"/>
      <c r="V576" s="279"/>
      <c r="W576" s="279"/>
      <c r="X576" s="279">
        <f>IF('Calc (ex-animal)'!$F$107=1,"",SUM(X571:X575))</f>
        <v>0</v>
      </c>
      <c r="Y576" s="279"/>
      <c r="Z576" s="279"/>
      <c r="AA576" s="279"/>
      <c r="AB576" s="279">
        <f>IF('Calc (ex-animal)'!$F$107=1,"",SUM(AB571:AB575))</f>
        <v>0</v>
      </c>
      <c r="AC576" s="279">
        <f>IF('Calc (ex-animal)'!$F$107=1,"",SUM(AC571:AC575))</f>
        <v>0</v>
      </c>
      <c r="AD576" s="279">
        <f>IF('Calc (ex-animal)'!$F$107=1,"",SUM(AD571:AD575))</f>
        <v>0</v>
      </c>
      <c r="AE576" s="280">
        <f>IF('Calc (ex-animal)'!$F$107=1,"",SUM(AE571:AE575))</f>
        <v>0</v>
      </c>
    </row>
    <row r="577" spans="1:55" x14ac:dyDescent="0.2">
      <c r="A577" s="748"/>
      <c r="B577" s="694" t="s">
        <v>210</v>
      </c>
      <c r="C577" s="254">
        <f>'Calc (ex-animal)'!D108</f>
        <v>0</v>
      </c>
      <c r="D577" s="1355"/>
      <c r="E577" s="1356"/>
      <c r="F577" s="479" t="str">
        <f>IF('Calc (ex-animal)'!$F$108=1,"",IF($C$577=0,"",IF(D577="","",E577/'Calc (ex-animal)'!$E$108*100)))</f>
        <v/>
      </c>
      <c r="G577" s="484" t="str">
        <f>IF($C$577=0,"",IF('Calc (ex-animal)'!$F$108=1,"",IF(D577="","",SUM(H577:O577))))</f>
        <v/>
      </c>
      <c r="H577" s="471" t="str">
        <f>IF('Calc (ex-animal)'!$F$108=1,"",IF(D577="","",(((VLOOKUP($C$577,'Calc (ex-animal)'!$D$108:$Y$112,6,FALSE)-VLOOKUP($C$577,'Calc (ex-animal)'!$D$108:$Y$112,17,FALSE))*F577/100))*VLOOKUP($C$577,'Calc (ex-animal)'!$D$108:$Y$112,7,FALSE)/100*(1-VLOOKUP(D577,'DB technologies'!$N$280:$Y$292,9,FALSE)/100)))</f>
        <v/>
      </c>
      <c r="I577" s="471" t="str">
        <f>IF(D577="","",((VLOOKUP(D577,'DB technologies'!$N$280:$Y$292,2,FALSE)*VLOOKUP($C$577,'DB animal categories'!$C$211:$AC$220,27,FALSE)*E577/1000)/VLOOKUP($C$577,'DB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'!$S$6/100*(1-VLOOKUP(D577,'DB technologies'!$N$280:$Y$292,9,FALSE)/100)))</f>
        <v/>
      </c>
      <c r="J577" s="472" t="str">
        <f>IF(D577="","",((VLOOKUP(D577,'DB technologies'!$N$280:$Y$292,3,FALSE)*VLOOKUP($C$577,'DB animal categories'!$C$211:$AC$220,27,FALSE)*E577/1000)/VLOOKUP($C$577,'DB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'!$S$7/100*(1-VLOOKUP(D577,'DB technologies'!$N$280:$Y$292,9,FALSE)/100)))</f>
        <v/>
      </c>
      <c r="K577" s="472" t="str">
        <f>IF(D577="","",((VLOOKUP(D577,'DB technologies'!$N$280:$Y$292,4,FALSE)*E577*'DB additional information '!$S$8/100*(1-VLOOKUP(D577,'DB technologies'!$N$280:$Y$292,9,FALSE)/100))/VLOOKUP($C$577,'DB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L577" s="471" t="str">
        <f>IF('Calc (ex-animal)'!$F$108=1,"",IF(D577="","",(((VLOOKUP($C$577,'Calc (ex-animal)'!$D$108:$Y$112,6,FALSE)-VLOOKUP($C$577,'Calc (ex-animal)'!$D$108:$Y$112,17,FALSE))*F577/100))*(1-VLOOKUP($C$577,'Calc (ex-animal)'!$D$108:$Y$112,7,FALSE)/100)*(1-VLOOKUP(D577,'DB technologies'!$N$280:$V$292,8,FALSE)/100)))</f>
        <v/>
      </c>
      <c r="M577" s="472" t="str">
        <f>IF(D577="","",((VLOOKUP(D577,'DB technologies'!$N$280:$Y$292,2,FALSE)*VLOOKUP($C$577,'DB animal categories'!$C$211:$AC$220,27,FALSE)*E577/1000)/VLOOKUP($C$577,'DB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'!$S$6/100)*(1-VLOOKUP(D577,'DB technologies'!$N$280:$Y$292,9,FALSE)/100))</f>
        <v/>
      </c>
      <c r="N577" s="472" t="str">
        <f>IF(D577="","",((VLOOKUP(D577,'DB technologies'!$N$280:$Y$292,3,FALSE)*VLOOKUP($C$577,'DB animal categories'!$C$211:$AC$220,27,FALSE)*E577/1000)/VLOOKUP($C$577,'DB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'!$S$7/100)*(1-VLOOKUP(D577,'DB technologies'!$N$280:$Y$292,9,FALSE)/100))</f>
        <v/>
      </c>
      <c r="O577" s="471" t="str">
        <f>IF(D577="","",((VLOOKUP(D577,'DB technologies'!$N$280:$Y$292,4,FALSE)*E577*(1-'DB additional information '!$S$8/100)*(1-VLOOKUP(D577,'DB technologies'!$N$280:$Y$292,8,FALSE)/100))/VLOOKUP($C$577,'DB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P577" s="443" t="str">
        <f>IF(G577=0,0,IF(E577="","",IF(F577="","",IF($C$577=0,"",IF(D577="","",SUM(H577:K577)/G577*100)))))</f>
        <v/>
      </c>
      <c r="Q577" s="473" t="str">
        <f>IF(D577="","",(VLOOKUP(D577,'DB technologies'!$N$280:$Y$292,2,FALSE)*'DB additional information '!$S$6/100*'DB additional information '!$T$6*VLOOKUP($C$577,'DB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R577" s="473" t="str">
        <f>IF(D577="","",(VLOOKUP(D577,'DB technologies'!$N$280:$Y$292,3,FALSE)*'DB additional information '!$S$7/100*'DB additional information '!$T$7*VLOOKUP($C$577,'DB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S577" s="490" t="str">
        <f>IF(D577="","",(VLOOKUP(D577,'DB technologies'!$N$280:$Y$292,4,FALSE)*('DB additional information '!$S$8/100*'DB additional information '!$T$8*E577/1000/1000)))</f>
        <v/>
      </c>
      <c r="T577" s="263" t="str">
        <f>IF($C$577=0,"",IF('Calc (ex-animal)'!$F$108=1,"",IF(D577="","",((VLOOKUP($C$577,'Calc (ex-animal)'!$D$108:$Y$112,10,FALSE)-VLOOKUP($C$577,'Calc (ex-animal)'!$D$108:$Y$112,18,FALSE))*F577/100+Q577+R577+S577)-AC577-AD577-AE577)))</f>
        <v/>
      </c>
      <c r="U577" s="474" t="str">
        <f>IF(D577="","",(VLOOKUP(D577,'DB technologies'!$N$280:$Y$292,2,FALSE)*'DB additional information '!$S$6/100*'DB additional information '!$U$6*VLOOKUP($C$577,'DB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V577" s="420" t="str">
        <f>IF(D577="","",(VLOOKUP(D577,'DB technologies'!$N$280:$Y$292,3,FALSE)*'DB additional information '!$S$7/100*'DB additional information '!$U$7*VLOOKUP($C$577,'DB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W577" s="415" t="str">
        <f>IF(D577="","",(VLOOKUP(D577,'DB technologies'!$N$280:$Y$292,4,FALSE)*('DB additional information '!$S$8/100*'DB additional information '!$U$8*E577/1000/1000)))</f>
        <v/>
      </c>
      <c r="X577" s="259" t="str">
        <f>IF($C$577=0,"",IF('Calc (ex-animal)'!$F$108=1,"",IF(D577="","",((VLOOKUP($C$577,'Calc (ex-animal)'!$D$108:$Y$112,13,FALSE)-VLOOKUP($C$577,'Calc (ex-animal)'!$D$108:$Y$112,19,FALSE))*F577/100+U577+V577+W577))))</f>
        <v/>
      </c>
      <c r="Y577" s="420" t="str">
        <f>IF(D577="","",(VLOOKUP(D577,'DB technologies'!$N$280:$Y$292,2,FALSE)*'DB additional information '!$S$6/100*'DB additional information '!$V$6*VLOOKUP($C$577,'DB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Z577" s="420" t="str">
        <f>IF(D577="","",(VLOOKUP(D577,'DB technologies'!$N$280:$Y$292,3,FALSE)*'DB additional information '!$S$7/100*'DB additional information '!$V$7*VLOOKUP($C$577,'DB animal categories'!$C$211:$AC$220,27,FALSE)*E577/1000/1000)/VLOOKUP($C$577,'DB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AA577" s="420" t="str">
        <f>IF(D577="","",(VLOOKUP(D577,'DB technologies'!$N$280:$Y$292,4,FALSE)*('DB additional information '!$S$8/100*'DB additional information '!$V$8*E577/1000/1000)))</f>
        <v/>
      </c>
      <c r="AB577" s="259" t="str">
        <f>IF($C$577=0,"",IF('Calc (ex-animal)'!$F$108=1,"",IF(D577="","",((VLOOKUP($C$577,'Calc (ex-animal)'!$D$108:$Y$112,16,FALSE)-VLOOKUP($C$577,'Calc (ex-animal)'!$D$108:$Y$112,20,FALSE))*F577/100+Y577+Z577+AA577))))</f>
        <v/>
      </c>
      <c r="AC577" s="259" t="str">
        <f>IF($C$577=0,"",IF('Calc (ex-animal)'!$F$108=1,"",IF(D577="","",VLOOKUP($C$577,'Calc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categories'!$C$211:$AC$220,26,FALSE)/24)*F577/100*VLOOKUP(D577,'DB technologies'!$N$280:$R$292,5,FALSE)/100)))</f>
        <v/>
      </c>
      <c r="AD577" s="259" t="str">
        <f>IF($C$577=0,"",IF('Calc (ex-animal)'!$F$108=1,"",IF(D577="","",VLOOKUP($C$577,'Calc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categories'!$C$211:$AC$220,26,FALSE)/24)*F577/100*VLOOKUP(D577,'DB technologies'!$N$280:$Y$292,6,FALSE)/100)))</f>
        <v/>
      </c>
      <c r="AE577" s="260" t="str">
        <f>IF($C$577=0,"",IF('Calc (ex-animal)'!$F$108=1,"",IF(D577="","",VLOOKUP($C$577,'Calc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categories'!$C$211:$AC$220,26,FALSE)/24)*F577/100*VLOOKUP(D577,'DB technologies'!$N$280:$Y$292,7,FALSE)/100)))</f>
        <v/>
      </c>
      <c r="AI577" s="179" t="str">
        <f>IF(D577="","",VLOOKUP(D577,'DB technologies'!$N$280:$Y$292,10,FALSE))</f>
        <v/>
      </c>
      <c r="AJ577" s="482" t="e">
        <f>VLOOKUP($C$577,'DB animal categories'!$C$211:$AN$220,27,FALSE)-VLOOKUP($C$577,'DB animal categories'!$C$211:$AN$220,26,FALSE)*VLOOKUP($C$577,'DB animal categories'!$C$211:$AN$220,25,FALSE)/24</f>
        <v>#N/A</v>
      </c>
      <c r="AK577" s="453" t="str">
        <f>IF(AI577="","",AL577+AM577)</f>
        <v/>
      </c>
      <c r="AL577" s="453" t="str">
        <f>IF(D577="","",IF(AI577=2,(('Calc (ex-animal)'!$G$108*'DB additional information '!$K$23/100*(1-VLOOKUP(D577,'DB technologies'!$N$280:$Y$292,9,FALSE)/100)*'Calc (ex-housing, ex-storage)'!F577/100+'Calc (ex-animal)'!$H$108*'DB additional information '!$L$23/100*(1-VLOOKUP(D577,'DB technologies'!$N$280:$Y$292,9,FALSE)/100)*'Calc (ex-housing, ex-storage)'!F577/100))/VLOOKUP($C$577,'DB animal categories'!$C$211:$AC$220,27,FALSE)*AJ577+I577+J577+K577,IF(AI577=1,('Calc (ex-animal)'!$H$108*'DB additional information '!$L$23/100*(1-VLOOKUP(D577,'DB technologies'!$N$280:$Y$292,9,FALSE)/100)*'Calc (ex-housing, ex-storage)'!F577/100)/VLOOKUP($C$577,'DB animal categories'!$C$211:$AC$220,27,FALSE)*AJ577,IF(AI577=4,('Calc (ex-animal)'!$G$108*'DB additional information '!$K$23/100+'Calc (ex-animal)'!$H$108*'DB additional information '!$L$23/100)*(1-VLOOKUP(D577,'DB technologies'!$N$280:$Y$292,9,FALSE)/100)*'Calc (ex-housing, ex-storage)'!F577/100*VLOOKUP(D577,'DB technologies'!$N$280:$Y$292,11,FALSE)/100/VLOOKUP($C$577,'DB animal categories'!$C$211:$AC$220,27,FALSE)*AJ577,0))))</f>
        <v/>
      </c>
      <c r="AM577" s="453" t="str">
        <f>IF(D577="","",IF(AI577=2,(('Calc (ex-animal)'!$G$108*(1-'DB additional information '!$K$23/100)*(1-VLOOKUP(D577,'DB technologies'!$N$280:$Y$292,8,FALSE)/100)*'Calc (ex-housing, ex-storage)'!F577/100+'Calc (ex-animal)'!$H$108*(1-'DB additional information '!$L$23/100)*(1-VLOOKUP(D577,'DB technologies'!$N$280:$Y$292,8,FALSE)/100)*'Calc (ex-housing, ex-storage)'!F577/100))/VLOOKUP($C$577,'DB animal categories'!$C$211:$AC$220,27,FALSE)*AJ577+M577+N577+O577,IF(AI577=1,('Calc (ex-animal)'!$H$108*(1-'DB additional information '!$L$23/100)*(1-VLOOKUP(D577,'DB technologies'!$N$280:$Y$292,8,FALSE)/100)*'Calc (ex-housing, ex-storage)'!F577/100)/VLOOKUP($C$577,'DB animal categories'!$C$211:$AC$220,27,FALSE)*AJ577,IF(AI577=4,('Calc (ex-animal)'!$G$108*(1-'DB additional information '!$K$23/100)+'Calc (ex-animal)'!$H$108*(1-'DB additional information '!$L$23/100))*(1-VLOOKUP(D577,'DB technologies'!$N$280:$Y$292,8,FALSE)/100)*'Calc (ex-housing, ex-storage)'!F577/100*VLOOKUP(D577,'DB technologies'!$N$280:$Y$292,11,FALSE)/100/VLOOKUP($C$577,'DB animal categories'!$C$211:$AC$220,27,FALSE)*AJ577,0))))</f>
        <v/>
      </c>
      <c r="AN577" s="453" t="str">
        <f>IF(AI577="","",IF(AL577=0,0,AL577/AK577*100))</f>
        <v/>
      </c>
      <c r="AO577" s="180" t="str">
        <f>IF(D577="","",IF(AI577=2,(('Calc (ex-animal)'!$L$108*'Calc (ex-housing, ex-storage)'!F577/100+'Calc (ex-animal)'!$K$108*'Calc (ex-housing, ex-storage)'!F577/100))/VLOOKUP($C$577,'DB animal categories'!$C$211:$AC$220,27,FALSE)*AJ577+Q577+R577+S577-AC577,IF(AI577=1,('Calc (ex-animal)'!$L$108*'Calc (ex-housing, ex-storage)'!F577/100)/VLOOKUP($C$577,'DB animal categories'!$C$211:$AC$220,27,FALSE)*AJ577-'Calc (ex-housing, ex-storage)'!AC577,IF(AI577=4,('Calc (ex-animal)'!$L$108+'Calc (ex-animal)'!$K$108)*'Calc (ex-housing, ex-storage)'!F577/100*VLOOKUP(D577,'DB technologies'!$N$280:$Y$292,11,FALSE)/100/VLOOKUP($C$577,'DB animal categories'!$C$211:$AC$220,27,FALSE)*AJ577-AC577*VLOOKUP(D577,'DB technologies'!$N$280:$Y$292,11,FALSE)/100,0))))</f>
        <v/>
      </c>
      <c r="AP577" s="180" t="str">
        <f>IF(D577="","",IF(AO577&lt;-0.01,0,IF(AI577=2,(('Calc (ex-animal)'!$L$108*'Calc (ex-housing, ex-storage)'!F577/100+'Calc (ex-animal)'!$K$108*'Calc (ex-housing, ex-storage)'!F577/100))/VLOOKUP($C$577,'DB animal categories'!$C$211:$AC$220,27,FALSE)*AJ577+Q577+R577+S577-AC577,IF(AI577=1,('Calc (ex-animal)'!$L$108*'Calc (ex-housing, ex-storage)'!F577/100)/VLOOKUP($C$577,'DB animal categories'!$C$211:$AC$220,27,FALSE)*AJ577-'Calc (ex-housing, ex-storage)'!AC577,IF(AI577=4,('Calc (ex-animal)'!$L$108+'Calc (ex-animal)'!$K$108)*'Calc (ex-housing, ex-storage)'!F577/100*VLOOKUP(D577,'DB technologies'!$N$280:$Y$292,11,FALSE)/100/VLOOKUP($C$577,'DB animal categories'!$C$211:$AC$220,27,FALSE)*AJ577-AC577*VLOOKUP(D577,'DB technologies'!$N$280:$Y$292,11,FALSE)/100,0)))))</f>
        <v/>
      </c>
      <c r="AQ577" s="180" t="str">
        <f>IF(D577="","",IF(AI577=2,('Calc (ex-animal)'!$O$108*'Calc (ex-housing, ex-storage)'!F577/100+'Calc (ex-animal)'!$N$108*'Calc (ex-housing, ex-storage)'!F577/100)/VLOOKUP($C$577,'DB animal categories'!$C$211:$AC$220,27,FALSE)*AJ577+U577+V577+W577,IF(AI577=1,'Calc (ex-animal)'!$O$108*'Calc (ex-housing, ex-storage)'!F577/100/VLOOKUP($C$577,'DB animal categories'!$C$211:$AC$220,27,FALSE)*AJ577,IF(AI577=4,('Calc (ex-animal)'!$O$108+'Calc (ex-animal)'!$N$108)*'Calc (ex-housing, ex-storage)'!F577/100*VLOOKUP(D577,'DB technologies'!$N$280:$Y$292,11,FALSE)/100/VLOOKUP($C$577,'DB animal categories'!$C$211:$AC$220,27,FALSE)*AJ577,0))))</f>
        <v/>
      </c>
      <c r="AR577" s="180" t="str">
        <f>IF(D577="","",IF(AI577=2,('Calc (ex-animal)'!$R$108*'Calc (ex-housing, ex-storage)'!F577/100+'Calc (ex-animal)'!$Q$108*'Calc (ex-housing, ex-storage)'!F577/100)/VLOOKUP($C$577,'DB animal categories'!$C$211:$AC$220,27,FALSE)*AJ577+Y577+Z577+AA577,IF(AI577=1,'Calc (ex-animal)'!$R$108*'Calc (ex-housing, ex-storage)'!F577/100/VLOOKUP($C$577,'DB animal categories'!$C$211:$AC$220,27,FALSE)*AJ577,IF(AI577=4,('Calc (ex-animal)'!$R$108+'Calc (ex-animal)'!$Q$108)*'Calc (ex-housing, ex-storage)'!F577/100*VLOOKUP(D577,'DB technologies'!$N$280:$Y$292,11,FALSE)/100/VLOOKUP($C$577,'DB animal categories'!$C$211:$AC$220,27,FALSE)*AJ577,0))))</f>
        <v/>
      </c>
      <c r="AS577" s="179" t="str">
        <f>IF(D577="","",VLOOKUP(D577,'DB technologies'!$N$280:$Y$292,10,FALSE))</f>
        <v/>
      </c>
      <c r="AT577" s="453" t="str">
        <f>IF(AS577="","",AU577+AV577)</f>
        <v/>
      </c>
      <c r="AU577" s="453" t="str">
        <f>IF(D577="","",IF(AS577=2,0,IF(AS577=1,'Calc (ex-animal)'!$G$108*'DB additional information '!$K$23/100*(1-VLOOKUP(D577,'DB technologies'!$N$280:$Y$292,8,FALSE)/100)*'Calc (ex-housing, ex-storage)'!F577/100/VLOOKUP($C$577,'DB animal categories'!$C$211:$AC$220,27,FALSE)*AJ577+I577+J577+K577,IF(AS577=5,(('Calc (ex-animal)'!$G$108*'DB additional information '!$K$23/100+'Calc (ex-animal)'!$H$108*'DB additional information '!$L$23/100))*(1-VLOOKUP(D577,'DB technologies'!$N$280:$Y$292,9,FALSE)/100)*'Calc (ex-housing, ex-storage)'!F577/100/VLOOKUP($C$577,'DB animal categories'!$C$211:$AC$220,27,FALSE)*AJ577+I577+J577+K577,IF(AS577=3,('Calc (ex-animal)'!$G$108*'DB additional information '!$K$23/100+'Calc (ex-animal)'!$H$108*'DB additional information '!$L$23/100)*(1-VLOOKUP(D577,'DB technologies'!$N$280:$Y$292,9,FALSE)/100)*'Calc (ex-housing, ex-storage)'!F577/100/VLOOKUP($C$577,'DB animal categories'!$C$211:$AC$220,27,FALSE)*AJ577+I577+J577+K577,IF(AS577=4,('Calc (ex-animal)'!$G$108*'DB additional information '!$K$23/100+'Calc (ex-animal)'!$H$108*'DB additional information '!$L$23/100)*(1-VLOOKUP(D577,'DB technologies'!$N$280:$Y$292,9,FALSE)/100)*'Calc (ex-housing, ex-storage)'!F577/100*VLOOKUP(D577,'DB technologies'!$N$280:$Y$292,12,FALSE)/100/VLOOKUP($C$577,'DB animal categories'!$C$211:$AC$220,27,FALSE)*AJ577+I577+J577+K577,0))))))</f>
        <v/>
      </c>
      <c r="AV577" s="453" t="str">
        <f>IF(D577="","",IF(AS577=2,0,IF(AS577=1,'Calc (ex-animal)'!$G$108*(1-'DB additional information '!$K$23/100)*(1-VLOOKUP(D577,'DB technologies'!$N$280:$Y$292,8,FALSE)/100)*'Calc (ex-housing, ex-storage)'!F577/100/VLOOKUP($C$577,'DB animal categories'!$C$211:$AC$220,27,FALSE)*AJ577+M577+N577+O577,IF(AS577=5,('Calc (ex-animal)'!$G$108*(1-'DB additional information '!$K$23/100)+'Calc (ex-animal)'!$H$108*(1-'DB additional information '!$L$23/100))*(1-VLOOKUP(D577,'DB technologies'!$N$280:$Y$292,8,FALSE)/100)*'Calc (ex-housing, ex-storage)'!F577/100/VLOOKUP($C$577,'DB animal categories'!$C$211:$AC$220,27,FALSE)*AJ577+M577+N577+O577,IF(AS577=3,('Calc (ex-animal)'!$G$108*(1-'DB additional information '!$K$23/100)+'Calc (ex-animal)'!$H$108*(1-'DB additional information '!$L$23/100))*(1-VLOOKUP(D577,'DB technologies'!$N$280:$Y$292,8,FALSE)/100)*'Calc (ex-housing, ex-storage)'!F577/100/VLOOKUP($C$577,'DB animal categories'!$C$211:$AC$220,27,FALSE)*AJ577+M577+N577+O577,IF(AS577=4,('Calc (ex-animal)'!$G$108*(1-'DB additional information '!$K$23/100)+'Calc (ex-animal)'!$H$108*(1-'DB additional information '!$L$23/100))*(1-VLOOKUP(D577,'DB technologies'!$N$280:$Y$292,8,FALSE)/100)*'Calc (ex-housing, ex-storage)'!F577/100*VLOOKUP(D577,'DB technologies'!$N$280:$Y$292,12,FALSE)/100/VLOOKUP($C$577,'DB animal categories'!$C$211:$AC$220,27,FALSE)*AJ577+M577+N577+O577,0))))))</f>
        <v/>
      </c>
      <c r="AW577" s="453" t="str">
        <f>IF(AS577="","",IF(AU577=0,0,AU577/AT577*100))</f>
        <v/>
      </c>
      <c r="AX577" s="180" t="str">
        <f>IF(D577="","",IF(AS577=2,0,IF(AS577=1,'Calc (ex-animal)'!$K$108*'Calc (ex-housing, ex-storage)'!F577/100/VLOOKUP($C$577,'DB animal categories'!$C$211:$AC$220,27,FALSE)*AJ577+Q577+R577+S577,IF(AS577=5,('Calc (ex-animal)'!$K$108+'Calc (ex-animal)'!$L$108)*'Calc (ex-housing, ex-storage)'!F577/100/VLOOKUP($C$577,'DB animal categories'!$C$211:$AC$220,27,FALSE)*AJ577+Q577+R577+S577-'Calc (ex-housing, ex-storage)'!AC577,IF(AS577=3,('Calc (ex-animal)'!$K$108+'Calc (ex-animal)'!$L$108)*'Calc (ex-housing, ex-storage)'!F577/100/VLOOKUP($C$577,'DB animal categories'!$C$211:$AC$220,27,FALSE)*AJ577+Q577+R577+S577-'Calc (ex-housing, ex-storage)'!AC577-AD577-AE577,IF(AI577=4,('Calc (ex-animal)'!$K$108+'Calc (ex-animal)'!$L$108)*'Calc (ex-housing, ex-storage)'!F577/100*VLOOKUP(D577,'DB technologies'!$N$280:$Y$292,12,FALSE)/100/VLOOKUP($C$577,'DB animal categories'!$C$211:$AC$220,27,FALSE)*AJ577+Q577+R577+S577-(VLOOKUP(D577,'DB technologies'!$N$280:$Y$292,12,FALSE)/100*AC577)-AD577-AE577,0))))))</f>
        <v/>
      </c>
      <c r="AY577" s="180" t="str">
        <f>IF(D577="","",IF(AS577=2,0,IF(AS577=1,'Calc (ex-animal)'!$N$108*'Calc (ex-housing, ex-storage)'!F577/100/VLOOKUP($C$577,'DB animal categories'!$C$211:$AC$220,27,FALSE)*AJ577+U577+V577+W577,IF(AS577=5,('Calc (ex-animal)'!$N$108+'Calc (ex-animal)'!$O$108)*'Calc (ex-housing, ex-storage)'!F577/100/VLOOKUP($C$577,'DB animal categories'!$C$211:$AC$220,27,FALSE)*AJ577+U577+V577+W577,IF(AS577=3,('Calc (ex-animal)'!$N$108+'Calc (ex-animal)'!$O$108)*'Calc (ex-housing, ex-storage)'!F577/100/VLOOKUP($C$577,'DB animal categories'!$C$211:$AC$220,27,FALSE)*AJ577+U577+V577+W577,IF(AS577=4,('Calc (ex-animal)'!$N$108+'Calc (ex-animal)'!$O$108)*'Calc (ex-housing, ex-storage)'!F577/100*VLOOKUP(D577,'DB technologies'!$N$280:$Y$292,12,FALSE)/100/VLOOKUP($C$577,'DB animal categories'!$C$211:$AC$220,27,FALSE)*AJ577+U577+V577+W577,0))))))</f>
        <v/>
      </c>
      <c r="AZ577" s="180" t="str">
        <f>IF(D577="","",IF(AS577=2,0,IF(AS577=1,'Calc (ex-animal)'!$Q$108*'Calc (ex-housing, ex-storage)'!F577/100/VLOOKUP($C$577,'DB animal categories'!$C$211:$AC$220,27,FALSE)*AJ577+Y577+Z577+AA577,IF(AS577=5,('Calc (ex-animal)'!$Q$108+'Calc (ex-animal)'!$R$108)*'Calc (ex-housing, ex-storage)'!F577/100/VLOOKUP($C$577,'DB animal categories'!$C$211:$AC$220,27,FALSE)*AJ577+Y577+Z577+AA577,IF(AS577=3,('Calc (ex-animal)'!$Q$108+'Calc (ex-animal)'!$R$108)*'Calc (ex-housing, ex-storage)'!F577/100/VLOOKUP($C$577,'DB animal categories'!$C$211:$AC$220,27,FALSE)*AJ577+Y577+Z577+AA577,IF(AS577=4,('Calc (ex-animal)'!$Q$108+'Calc (ex-animal)'!$R$108)*'Calc (ex-housing, ex-storage)'!F577/100*VLOOKUP(D577,'DB technologies'!$N$280:$Y$292,12,FALSE)/100/VLOOKUP($C$577,'DB animal categories'!$C$211:$AC$220,27,FALSE)*AJ577+Y577+Z577+AA577,0))))))</f>
        <v/>
      </c>
      <c r="BA577" s="506"/>
      <c r="BB577" s="506"/>
      <c r="BC577" s="506"/>
    </row>
    <row r="578" spans="1:55" x14ac:dyDescent="0.2">
      <c r="A578" s="748"/>
      <c r="B578" s="695"/>
      <c r="C578" s="255"/>
      <c r="D578" s="1357"/>
      <c r="E578" s="1358"/>
      <c r="F578" s="480" t="str">
        <f>IF('Calc (ex-animal)'!$F$108=1,"",IF($C$577=0,"",IF(D578="","",E578/'Calc (ex-animal)'!$E$108*100)))</f>
        <v/>
      </c>
      <c r="G578" s="485" t="str">
        <f>IF($C$577=0,"",IF('Calc (ex-animal)'!$F$108=1,"",IF(D578="","",SUM(H578:O578))))</f>
        <v/>
      </c>
      <c r="H578" s="423" t="str">
        <f>IF('Calc (ex-animal)'!$F$108=1,"",IF(D578="","",(((VLOOKUP($C$577,'Calc (ex-animal)'!$D$108:$Y$112,6,FALSE)-VLOOKUP($C$577,'Calc (ex-animal)'!$D$108:$Y$112,17,FALSE))*F578/100))*VLOOKUP($C$577,'Calc (ex-animal)'!$D$108:$Y$112,7,FALSE)/100*(1-VLOOKUP(D578,'DB technologies'!$N$280:$Y$292,9,FALSE)/100)))</f>
        <v/>
      </c>
      <c r="I578" s="423" t="str">
        <f>IF(D578="","",((VLOOKUP(D578,'DB technologies'!$N$280:$Y$292,2,FALSE)*VLOOKUP($C$577,'DB animal categories'!$C$211:$AC$220,27,FALSE)*E578/1000)/VLOOKUP($C$577,'DB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'!$S$6/100*(1-VLOOKUP(D578,'DB technologies'!$N$280:$Y$292,9,FALSE)/100)))</f>
        <v/>
      </c>
      <c r="J578" s="434" t="str">
        <f>IF(D578="","",((VLOOKUP(D578,'DB technologies'!$N$280:$Y$292,3,FALSE)*VLOOKUP($C$577,'DB animal categories'!$C$211:$AC$220,27,FALSE)*E578/1000)/VLOOKUP($C$577,'DB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'!$S$7/100*(1-VLOOKUP(D578,'DB technologies'!$N$280:$Y$292,9,FALSE)/100)))</f>
        <v/>
      </c>
      <c r="K578" s="434" t="str">
        <f>IF(D578="","",((VLOOKUP(D578,'DB technologies'!$N$280:$Y$292,4,FALSE)*E578*'DB additional information '!$S$8/100*(1-VLOOKUP(D578,'DB technologies'!$N$280:$Y$292,9,FALSE)/100))/VLOOKUP($C$577,'DB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L578" s="423" t="str">
        <f>IF('Calc (ex-animal)'!$F$108=1,"",IF(D578="","",(((VLOOKUP($C$577,'Calc (ex-animal)'!$D$108:$Y$112,6,FALSE)-VLOOKUP($C$577,'Calc (ex-animal)'!$D$108:$Y$112,17,FALSE))*F578/100))*(1-VLOOKUP($C$577,'Calc (ex-animal)'!$D$108:$Y$112,7,FALSE)/100)*(1-VLOOKUP(D578,'DB technologies'!$N$280:$V$292,8,FALSE)/100)))</f>
        <v/>
      </c>
      <c r="M578" s="434" t="str">
        <f>IF(D578="","",((VLOOKUP(D578,'DB technologies'!$N$280:$Y$292,2,FALSE)*VLOOKUP($C$577,'DB animal categories'!$C$211:$AC$220,27,FALSE)*E578/1000)/VLOOKUP($C$577,'DB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'!$S$6/100)*(1-VLOOKUP(D578,'DB technologies'!$N$280:$Y$292,9,FALSE)/100))</f>
        <v/>
      </c>
      <c r="N578" s="434" t="str">
        <f>IF(D578="","",((VLOOKUP(D578,'DB technologies'!$N$280:$Y$292,3,FALSE)*VLOOKUP($C$577,'DB animal categories'!$C$211:$AC$220,27,FALSE)*E578/1000)/VLOOKUP($C$577,'DB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'!$S$7/100)*(1-VLOOKUP(D578,'DB technologies'!$N$280:$Y$292,9,FALSE)/100))</f>
        <v/>
      </c>
      <c r="O578" s="423" t="str">
        <f>IF(D578="","",((VLOOKUP(D578,'DB technologies'!$N$280:$Y$292,4,FALSE)*E578*(1-'DB additional information '!$S$8/100)*(1-VLOOKUP(D578,'DB technologies'!$N$280:$Y$292,8,FALSE)/100))/VLOOKUP($C$577,'DB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P578" s="438" t="str">
        <f>IF(G578=0,0,IF(E578="","",IF(F578="","",IF($C$577=0,"",IF(D578="","",SUM(H578:K578)/G578*100)))))</f>
        <v/>
      </c>
      <c r="Q578" s="416" t="str">
        <f>IF(D578="","",(VLOOKUP(D578,'DB technologies'!$N$280:$Y$292,2,FALSE)*'DB additional information '!$S$6/100*'DB additional information '!$T$6*VLOOKUP($C$577,'DB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R578" s="416" t="str">
        <f>IF(D578="","",(VLOOKUP(D578,'DB technologies'!$N$280:$Y$292,3,FALSE)*'DB additional information '!$S$7/100*'DB additional information '!$T$7*VLOOKUP($C$577,'DB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S578" s="491" t="str">
        <f>IF(D578="","",(VLOOKUP(D578,'DB technologies'!$N$280:$Y$292,4,FALSE)*('DB additional information '!$S$8/100*'DB additional information '!$T$8*E578/1000/1000)))</f>
        <v/>
      </c>
      <c r="T578" s="264" t="str">
        <f>IF($C$577=0,"",IF('Calc (ex-animal)'!$F$108=1,"",IF(D578="","",((VLOOKUP($C$577,'Calc (ex-animal)'!$D$108:$Y$112,10,FALSE)-VLOOKUP($C$577,'Calc (ex-animal)'!$D$108:$Y$112,18,FALSE))*F578/100+Q578+R578+S578)-AC578-AD578-AE578)))</f>
        <v/>
      </c>
      <c r="U578" s="422" t="str">
        <f>IF(D578="","",(VLOOKUP(D578,'DB technologies'!$N$280:$Y$292,2,FALSE)*'DB additional information '!$S$6/100*'DB additional information '!$U$6*VLOOKUP($C$577,'DB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V578" s="418" t="str">
        <f>IF(D578="","",(VLOOKUP(D578,'DB technologies'!$N$280:$Y$292,3,FALSE)*'DB additional information '!$S$7/100*'DB additional information '!$U$7*VLOOKUP($C$577,'DB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W578" s="417" t="str">
        <f>IF(D578="","",(VLOOKUP(D578,'DB technologies'!$N$280:$Y$292,4,FALSE)*('DB additional information '!$S$8/100*'DB additional information '!$U$8*E578/1000/1000)))</f>
        <v/>
      </c>
      <c r="X578" s="261" t="str">
        <f>IF($C$577=0,"",IF('Calc (ex-animal)'!$F$108=1,"",IF(D578="","",((VLOOKUP($C$577,'Calc (ex-animal)'!$D$108:$Y$112,13,FALSE)-VLOOKUP($C$577,'Calc (ex-animal)'!$D$108:$Y$112,19,FALSE))*F578/100+U578+V578+W578))))</f>
        <v/>
      </c>
      <c r="Y578" s="418" t="str">
        <f>IF(D578="","",(VLOOKUP(D578,'DB technologies'!$N$280:$Y$292,2,FALSE)*'DB additional information '!$S$6/100*'DB additional information '!$V$6*VLOOKUP($C$577,'DB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Z578" s="418" t="str">
        <f>IF(D578="","",(VLOOKUP(D578,'DB technologies'!$N$280:$Y$292,3,FALSE)*'DB additional information '!$S$7/100*'DB additional information '!$V$7*VLOOKUP($C$577,'DB animal categories'!$C$211:$AC$220,27,FALSE)*E578/1000/1000)/VLOOKUP($C$577,'DB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AA578" s="418" t="str">
        <f>IF(D578="","",(VLOOKUP(D578,'DB technologies'!$N$280:$Y$292,4,FALSE)*('DB additional information '!$S$8/100*'DB additional information '!$V$8*E578/1000/1000)))</f>
        <v/>
      </c>
      <c r="AB578" s="261" t="str">
        <f>IF($C$577=0,"",IF('Calc (ex-animal)'!$F$108=1,"",IF(D578="","",((VLOOKUP($C$577,'Calc (ex-animal)'!$D$108:$Y$112,16,FALSE)-VLOOKUP($C$577,'Calc (ex-animal)'!$D$108:$Y$112,20,FALSE))*F578/100+Y578+Z578+AA578))))</f>
        <v/>
      </c>
      <c r="AC578" s="261" t="str">
        <f>IF($C$577=0,"",IF('Calc (ex-animal)'!$F$108=1,"",IF(D578="","",VLOOKUP($C$577,'Calc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categories'!$C$211:$AC$220,26,FALSE)/24)*F578/100*VLOOKUP(D578,'DB technologies'!$N$280:$R$292,5,FALSE)/100)))</f>
        <v/>
      </c>
      <c r="AD578" s="261" t="str">
        <f>IF($C$577=0,"",IF('Calc (ex-animal)'!$F$108=1,"",IF(D578="","",VLOOKUP($C$577,'Calc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categories'!$C$211:$AC$220,26,FALSE)/24)*F578/100*VLOOKUP(D578,'DB technologies'!$N$280:$Y$292,6,FALSE)/100)))</f>
        <v/>
      </c>
      <c r="AE578" s="262" t="str">
        <f>IF($C$577=0,"",IF('Calc (ex-animal)'!$F$108=1,"",IF(D578="","",VLOOKUP($C$577,'Calc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categories'!$C$211:$AC$220,26,FALSE)/24)*F578/100*VLOOKUP(D578,'DB technologies'!$N$280:$Y$292,7,FALSE)/100)))</f>
        <v/>
      </c>
      <c r="AI578" s="181" t="str">
        <f>IF(D578="","",VLOOKUP(D578,'DB technologies'!$N$280:$Y$292,10,FALSE))</f>
        <v/>
      </c>
      <c r="AJ578" s="449" t="e">
        <f>VLOOKUP($C$577,'DB animal categories'!$C$211:$AN$220,27,FALSE)-VLOOKUP($C$577,'DB animal categories'!$C$211:$AN$220,26,FALSE)*VLOOKUP($C$577,'DB animal categories'!$C$211:$AN$220,25,FALSE)/24</f>
        <v>#N/A</v>
      </c>
      <c r="AK578" s="442" t="str">
        <f>IF(AI578="","",AL578+AM578)</f>
        <v/>
      </c>
      <c r="AL578" s="442" t="str">
        <f>IF(D578="","",IF(AI578=2,(('Calc (ex-animal)'!$G$108*'DB additional information '!$K$23/100*(1-VLOOKUP(D578,'DB technologies'!$N$280:$Y$292,9,FALSE)/100)*'Calc (ex-housing, ex-storage)'!F578/100+'Calc (ex-animal)'!$H$108*'DB additional information '!$L$23/100*(1-VLOOKUP(D578,'DB technologies'!$N$280:$Y$292,9,FALSE)/100)*'Calc (ex-housing, ex-storage)'!F578/100))/VLOOKUP($C$577,'DB animal categories'!$C$211:$AC$220,27,FALSE)*AJ578+I578+J578+K578,IF(AI578=1,('Calc (ex-animal)'!$H$108*'DB additional information '!$L$23/100*(1-VLOOKUP(D578,'DB technologies'!$N$280:$Y$292,9,FALSE)/100)*'Calc (ex-housing, ex-storage)'!F578/100)/VLOOKUP($C$577,'DB animal categories'!$C$211:$AC$220,27,FALSE)*AJ578,IF(AI578=4,('Calc (ex-animal)'!$G$108*'DB additional information '!$K$23/100+'Calc (ex-animal)'!$H$108*'DB additional information '!$L$23/100)*(1-VLOOKUP(D578,'DB technologies'!$N$280:$Y$292,9,FALSE)/100)*'Calc (ex-housing, ex-storage)'!F578/100*VLOOKUP(D578,'DB technologies'!$N$280:$Y$292,11,FALSE)/100/VLOOKUP($C$577,'DB animal categories'!$C$211:$AC$220,27,FALSE)*AJ578,0))))</f>
        <v/>
      </c>
      <c r="AM578" s="442" t="str">
        <f>IF(D578="","",IF(AI578=2,(('Calc (ex-animal)'!$G$108*(1-'DB additional information '!$K$23/100)*(1-VLOOKUP(D578,'DB technologies'!$N$280:$Y$292,8,FALSE)/100)*'Calc (ex-housing, ex-storage)'!F578/100+'Calc (ex-animal)'!$H$108*(1-'DB additional information '!$L$23/100)*(1-VLOOKUP(D578,'DB technologies'!$N$280:$Y$292,8,FALSE)/100)*'Calc (ex-housing, ex-storage)'!F578/100))/VLOOKUP($C$577,'DB animal categories'!$C$211:$AC$220,27,FALSE)*AJ578+M578+N578+O578,IF(AI578=1,('Calc (ex-animal)'!$H$108*(1-'DB additional information '!$L$23/100)*(1-VLOOKUP(D578,'DB technologies'!$N$280:$Y$292,8,FALSE)/100)*'Calc (ex-housing, ex-storage)'!F578/100)/VLOOKUP($C$577,'DB animal categories'!$C$211:$AC$220,27,FALSE)*AJ578,IF(AI578=4,('Calc (ex-animal)'!$G$108*(1-'DB additional information '!$K$23/100)+'Calc (ex-animal)'!$H$108*(1-'DB additional information '!$L$23/100))*(1-VLOOKUP(D578,'DB technologies'!$N$280:$Y$292,8,FALSE)/100)*'Calc (ex-housing, ex-storage)'!F578/100*VLOOKUP(D578,'DB technologies'!$N$280:$Y$292,11,FALSE)/100/VLOOKUP($C$577,'DB animal categories'!$C$211:$AC$220,27,FALSE)*AJ578,0))))</f>
        <v/>
      </c>
      <c r="AN578" s="442" t="str">
        <f>IF(AI578="","",IF(AL578=0,0,AL578/AK578*100))</f>
        <v/>
      </c>
      <c r="AO578" s="182" t="str">
        <f>IF(D578="","",IF(AI578=2,(('Calc (ex-animal)'!$L$108*'Calc (ex-housing, ex-storage)'!F578/100+'Calc (ex-animal)'!$K$108*'Calc (ex-housing, ex-storage)'!F578/100))/VLOOKUP($C$577,'DB animal categories'!$C$211:$AC$220,27,FALSE)*AJ578+Q578+R578+S578-AC578,IF(AI578=1,('Calc (ex-animal)'!$L$108*'Calc (ex-housing, ex-storage)'!F578/100)/VLOOKUP($C$577,'DB animal categories'!$C$211:$AC$220,27,FALSE)*AJ578-'Calc (ex-housing, ex-storage)'!AC578,IF(AI578=4,('Calc (ex-animal)'!$L$108+'Calc (ex-animal)'!$K$108)*'Calc (ex-housing, ex-storage)'!F578/100*VLOOKUP(D578,'DB technologies'!$N$280:$Y$292,11,FALSE)/100/VLOOKUP($C$577,'DB animal categories'!$C$211:$AC$220,27,FALSE)*AJ578-AC578*VLOOKUP(D578,'DB technologies'!$N$280:$Y$292,11,FALSE)/100,0))))</f>
        <v/>
      </c>
      <c r="AP578" s="182" t="str">
        <f>IF(D578="","",IF(AO578&lt;-0.01,0,IF(AI578=2,(('Calc (ex-animal)'!$L$108*'Calc (ex-housing, ex-storage)'!F578/100+'Calc (ex-animal)'!$K$108*'Calc (ex-housing, ex-storage)'!F578/100))/VLOOKUP($C$577,'DB animal categories'!$C$211:$AC$220,27,FALSE)*AJ578+Q578+R578+S578-AC578,IF(AI578=1,('Calc (ex-animal)'!$L$108*'Calc (ex-housing, ex-storage)'!F578/100)/VLOOKUP($C$577,'DB animal categories'!$C$211:$AC$220,27,FALSE)*AJ578-'Calc (ex-housing, ex-storage)'!AC578,IF(AI578=4,('Calc (ex-animal)'!$L$108+'Calc (ex-animal)'!$K$108)*'Calc (ex-housing, ex-storage)'!F578/100*VLOOKUP(D578,'DB technologies'!$N$280:$Y$292,11,FALSE)/100/VLOOKUP($C$577,'DB animal categories'!$C$211:$AC$220,27,FALSE)*AJ578-AC578*VLOOKUP(D578,'DB technologies'!$N$280:$Y$292,11,FALSE)/100,0)))))</f>
        <v/>
      </c>
      <c r="AQ578" s="182" t="str">
        <f>IF(D578="","",IF(AI578=2,('Calc (ex-animal)'!$O$108*'Calc (ex-housing, ex-storage)'!F578/100+'Calc (ex-animal)'!$N$108*'Calc (ex-housing, ex-storage)'!F578/100)/VLOOKUP($C$577,'DB animal categories'!$C$211:$AC$220,27,FALSE)*AJ578+U578+V578+W578,IF(AI578=1,'Calc (ex-animal)'!$O$108*'Calc (ex-housing, ex-storage)'!F578/100/VLOOKUP($C$577,'DB animal categories'!$C$211:$AC$220,27,FALSE)*AJ578,IF(AI578=4,('Calc (ex-animal)'!$O$108+'Calc (ex-animal)'!$N$108)*'Calc (ex-housing, ex-storage)'!F578/100*VLOOKUP(D578,'DB technologies'!$N$280:$Y$292,11,FALSE)/100/VLOOKUP($C$577,'DB animal categories'!$C$211:$AC$220,27,FALSE)*AJ578,0))))</f>
        <v/>
      </c>
      <c r="AR578" s="182" t="str">
        <f>IF(D578="","",IF(AI578=2,('Calc (ex-animal)'!$R$108*'Calc (ex-housing, ex-storage)'!F578/100+'Calc (ex-animal)'!$Q$108*'Calc (ex-housing, ex-storage)'!F578/100)/VLOOKUP($C$577,'DB animal categories'!$C$211:$AC$220,27,FALSE)*AJ578+Y578+Z578+AA578,IF(AI578=1,'Calc (ex-animal)'!$R$108*'Calc (ex-housing, ex-storage)'!F578/100/VLOOKUP($C$577,'DB animal categories'!$C$211:$AC$220,27,FALSE)*AJ578,IF(AI578=4,('Calc (ex-animal)'!$R$108+'Calc (ex-animal)'!$Q$108)*'Calc (ex-housing, ex-storage)'!F578/100*VLOOKUP(D578,'DB technologies'!$N$280:$Y$292,11,FALSE)/100/VLOOKUP($C$577,'DB animal categories'!$C$211:$AC$220,27,FALSE)*AJ578,0))))</f>
        <v/>
      </c>
      <c r="AS578" s="181" t="str">
        <f>IF(D578="","",VLOOKUP(D578,'DB technologies'!$N$280:$Y$292,10,FALSE))</f>
        <v/>
      </c>
      <c r="AT578" s="442" t="str">
        <f>IF(AS578="","",AU578+AV578)</f>
        <v/>
      </c>
      <c r="AU578" s="442" t="str">
        <f>IF(D578="","",IF(AS578=2,0,IF(AS578=1,'Calc (ex-animal)'!$G$108*'DB additional information '!$K$23/100*(1-VLOOKUP(D578,'DB technologies'!$N$280:$Y$292,8,FALSE)/100)*'Calc (ex-housing, ex-storage)'!F578/100/VLOOKUP($C$577,'DB animal categories'!$C$211:$AC$220,27,FALSE)*AJ578+I578+J578+K578,IF(AS578=5,(('Calc (ex-animal)'!$G$108*'DB additional information '!$K$23/100+'Calc (ex-animal)'!$H$108*'DB additional information '!$L$23/100))*(1-VLOOKUP(D578,'DB technologies'!$N$280:$Y$292,9,FALSE)/100)*'Calc (ex-housing, ex-storage)'!F578/100/VLOOKUP($C$577,'DB animal categories'!$C$211:$AC$220,27,FALSE)*AJ578+I578+J578+K578,IF(AS578=3,('Calc (ex-animal)'!$G$108*'DB additional information '!$K$23/100+'Calc (ex-animal)'!$H$108*'DB additional information '!$L$23/100)*(1-VLOOKUP(D578,'DB technologies'!$N$280:$Y$292,9,FALSE)/100)*'Calc (ex-housing, ex-storage)'!F578/100/VLOOKUP($C$577,'DB animal categories'!$C$211:$AC$220,27,FALSE)*AJ578+I578+J578+K578,IF(AS578=4,('Calc (ex-animal)'!$G$108*'DB additional information '!$K$23/100+'Calc (ex-animal)'!$H$108*'DB additional information '!$L$23/100)*(1-VLOOKUP(D578,'DB technologies'!$N$280:$Y$292,9,FALSE)/100)*'Calc (ex-housing, ex-storage)'!F578/100*VLOOKUP(D578,'DB technologies'!$N$280:$Y$292,12,FALSE)/100/VLOOKUP($C$577,'DB animal categories'!$C$211:$AC$220,27,FALSE)*AJ578+I578+J578+K578,0))))))</f>
        <v/>
      </c>
      <c r="AV578" s="442" t="str">
        <f>IF(D578="","",IF(AS578=2,0,IF(AS578=1,'Calc (ex-animal)'!$G$108*(1-'DB additional information '!$K$23/100)*(1-VLOOKUP(D578,'DB technologies'!$N$280:$Y$292,8,FALSE)/100)*'Calc (ex-housing, ex-storage)'!F578/100/VLOOKUP($C$577,'DB animal categories'!$C$211:$AC$220,27,FALSE)*AJ578+M578+N578+O578,IF(AS578=5,('Calc (ex-animal)'!$G$108*(1-'DB additional information '!$K$23/100)+'Calc (ex-animal)'!$H$108*(1-'DB additional information '!$L$23/100))*(1-VLOOKUP(D578,'DB technologies'!$N$280:$Y$292,8,FALSE)/100)*'Calc (ex-housing, ex-storage)'!F578/100/VLOOKUP($C$577,'DB animal categories'!$C$211:$AC$220,27,FALSE)*AJ578+M578+N578+O578,IF(AS578=3,('Calc (ex-animal)'!$G$108*(1-'DB additional information '!$K$23/100)+'Calc (ex-animal)'!$H$108*(1-'DB additional information '!$L$23/100))*(1-VLOOKUP(D578,'DB technologies'!$N$280:$Y$292,8,FALSE)/100)*'Calc (ex-housing, ex-storage)'!F578/100/VLOOKUP($C$577,'DB animal categories'!$C$211:$AC$220,27,FALSE)*AJ578+M578+N578+O578,IF(AS578=4,('Calc (ex-animal)'!$G$108*(1-'DB additional information '!$K$23/100)+'Calc (ex-animal)'!$H$108*(1-'DB additional information '!$L$23/100))*(1-VLOOKUP(D578,'DB technologies'!$N$280:$Y$292,8,FALSE)/100)*'Calc (ex-housing, ex-storage)'!F578/100*VLOOKUP(D578,'DB technologies'!$N$280:$Y$292,12,FALSE)/100/VLOOKUP($C$577,'DB animal categories'!$C$211:$AC$220,27,FALSE)*AJ578+M578+N578+O578,0))))))</f>
        <v/>
      </c>
      <c r="AW578" s="442" t="str">
        <f>IF(AS578="","",IF(AU578=0,0,AU578/AT578*100))</f>
        <v/>
      </c>
      <c r="AX578" s="182" t="str">
        <f>IF(D578="","",IF(AS578=2,0,IF(AS578=1,'Calc (ex-animal)'!$K$108*'Calc (ex-housing, ex-storage)'!F578/100/VLOOKUP($C$577,'DB animal categories'!$C$211:$AC$220,27,FALSE)*AJ578+Q578+R578+S578,IF(AS578=5,('Calc (ex-animal)'!$K$108+'Calc (ex-animal)'!$L$108)*'Calc (ex-housing, ex-storage)'!F578/100/VLOOKUP($C$577,'DB animal categories'!$C$211:$AC$220,27,FALSE)*AJ578+Q578+R578+S578-'Calc (ex-housing, ex-storage)'!AC578,IF(AS578=3,('Calc (ex-animal)'!$K$108+'Calc (ex-animal)'!$L$108)*'Calc (ex-housing, ex-storage)'!F578/100/VLOOKUP($C$577,'DB animal categories'!$C$211:$AC$220,27,FALSE)*AJ578+Q578+R578+S578-'Calc (ex-housing, ex-storage)'!AC578-AD578-AE578,IF(AI578=4,('Calc (ex-animal)'!$K$108+'Calc (ex-animal)'!$L$108)*'Calc (ex-housing, ex-storage)'!F578/100*VLOOKUP(D578,'DB technologies'!$N$280:$Y$292,12,FALSE)/100/VLOOKUP($C$577,'DB animal categories'!$C$211:$AC$220,27,FALSE)*AJ578+Q578+R578+S578-(VLOOKUP(D578,'DB technologies'!$N$280:$Y$292,12,FALSE)/100*AC578)-AD578-AE578,0))))))</f>
        <v/>
      </c>
      <c r="AY578" s="182" t="str">
        <f>IF(D578="","",IF(AS578=2,0,IF(AS578=1,'Calc (ex-animal)'!$N$108*'Calc (ex-housing, ex-storage)'!F578/100/VLOOKUP($C$577,'DB animal categories'!$C$211:$AC$220,27,FALSE)*AJ578+U578+V578+W578,IF(AS578=5,('Calc (ex-animal)'!$N$108+'Calc (ex-animal)'!$O$108)*'Calc (ex-housing, ex-storage)'!F578/100/VLOOKUP($C$577,'DB animal categories'!$C$211:$AC$220,27,FALSE)*AJ578+U578+V578+W578,IF(AS578=3,('Calc (ex-animal)'!$N$108+'Calc (ex-animal)'!$O$108)*'Calc (ex-housing, ex-storage)'!F578/100/VLOOKUP($C$577,'DB animal categories'!$C$211:$AC$220,27,FALSE)*AJ578+U578+V578+W578,IF(AS578=4,('Calc (ex-animal)'!$N$108+'Calc (ex-animal)'!$O$108)*'Calc (ex-housing, ex-storage)'!F578/100*VLOOKUP(D578,'DB technologies'!$N$280:$Y$292,12,FALSE)/100/VLOOKUP($C$577,'DB animal categories'!$C$211:$AC$220,27,FALSE)*AJ578+U578+V578+W578,0))))))</f>
        <v/>
      </c>
      <c r="AZ578" s="182" t="str">
        <f>IF(D578="","",IF(AS578=2,0,IF(AS578=1,'Calc (ex-animal)'!$Q$108*'Calc (ex-housing, ex-storage)'!F578/100/VLOOKUP($C$577,'DB animal categories'!$C$211:$AC$220,27,FALSE)*AJ578+Y578+Z578+AA578,IF(AS578=5,('Calc (ex-animal)'!$Q$108+'Calc (ex-animal)'!$R$108)*'Calc (ex-housing, ex-storage)'!F578/100/VLOOKUP($C$577,'DB animal categories'!$C$211:$AC$220,27,FALSE)*AJ578+Y578+Z578+AA578,IF(AS578=3,('Calc (ex-animal)'!$Q$108+'Calc (ex-animal)'!$R$108)*'Calc (ex-housing, ex-storage)'!F578/100/VLOOKUP($C$577,'DB animal categories'!$C$211:$AC$220,27,FALSE)*AJ578+Y578+Z578+AA578,IF(AS578=4,('Calc (ex-animal)'!$Q$108+'Calc (ex-animal)'!$R$108)*'Calc (ex-housing, ex-storage)'!F578/100*VLOOKUP(D578,'DB technologies'!$N$280:$Y$292,12,FALSE)/100/VLOOKUP($C$577,'DB animal categories'!$C$211:$AC$220,27,FALSE)*AJ578+Y578+Z578+AA578,0))))))</f>
        <v/>
      </c>
      <c r="BA578" s="506"/>
      <c r="BB578" s="506"/>
      <c r="BC578" s="506"/>
    </row>
    <row r="579" spans="1:55" x14ac:dyDescent="0.2">
      <c r="A579" s="748"/>
      <c r="B579" s="695"/>
      <c r="C579" s="255"/>
      <c r="D579" s="1357"/>
      <c r="E579" s="1358"/>
      <c r="F579" s="480" t="str">
        <f>IF('Calc (ex-animal)'!$F$108=1,"",IF($C$577=0,"",IF(D579="","",E579/'Calc (ex-animal)'!$E$108*100)))</f>
        <v/>
      </c>
      <c r="G579" s="485" t="str">
        <f>IF($C$577=0,"",IF('Calc (ex-animal)'!$F$108=1,"",IF(D579="","",SUM(H579:O579))))</f>
        <v/>
      </c>
      <c r="H579" s="423" t="str">
        <f>IF('Calc (ex-animal)'!$F$108=1,"",IF(D579="","",(((VLOOKUP($C$577,'Calc (ex-animal)'!$D$108:$Y$112,6,FALSE)-VLOOKUP($C$577,'Calc (ex-animal)'!$D$108:$Y$112,17,FALSE))*F579/100))*VLOOKUP($C$577,'Calc (ex-animal)'!$D$108:$Y$112,7,FALSE)/100*(1-VLOOKUP(D579,'DB technologies'!$N$280:$Y$292,9,FALSE)/100)))</f>
        <v/>
      </c>
      <c r="I579" s="423" t="str">
        <f>IF(D579="","",((VLOOKUP(D579,'DB technologies'!$N$280:$Y$292,2,FALSE)*VLOOKUP($C$577,'DB animal categories'!$C$211:$AC$220,27,FALSE)*E579/1000)/VLOOKUP($C$577,'DB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'!$S$6/100*(1-VLOOKUP(D579,'DB technologies'!$N$280:$Y$292,9,FALSE)/100)))</f>
        <v/>
      </c>
      <c r="J579" s="434" t="str">
        <f>IF(D579="","",((VLOOKUP(D579,'DB technologies'!$N$280:$Y$292,3,FALSE)*VLOOKUP($C$577,'DB animal categories'!$C$211:$AC$220,27,FALSE)*E579/1000)/VLOOKUP($C$577,'DB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'!$S$7/100*(1-VLOOKUP(D579,'DB technologies'!$N$280:$Y$292,9,FALSE)/100)))</f>
        <v/>
      </c>
      <c r="K579" s="434" t="str">
        <f>IF(D579="","",((VLOOKUP(D579,'DB technologies'!$N$280:$Y$292,4,FALSE)*E579*'DB additional information '!$S$8/100*(1-VLOOKUP(D579,'DB technologies'!$N$280:$Y$292,9,FALSE)/100))/VLOOKUP($C$577,'DB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L579" s="423" t="str">
        <f>IF('Calc (ex-animal)'!$F$108=1,"",IF(D579="","",(((VLOOKUP($C$577,'Calc (ex-animal)'!$D$108:$Y$112,6,FALSE)-VLOOKUP($C$577,'Calc (ex-animal)'!$D$108:$Y$112,17,FALSE))*F579/100))*(1-VLOOKUP($C$577,'Calc (ex-animal)'!$D$108:$Y$112,7,FALSE)/100)*(1-VLOOKUP(D579,'DB technologies'!$N$280:$V$292,8,FALSE)/100)))</f>
        <v/>
      </c>
      <c r="M579" s="434" t="str">
        <f>IF(D579="","",((VLOOKUP(D579,'DB technologies'!$N$280:$Y$292,2,FALSE)*VLOOKUP($C$577,'DB animal categories'!$C$211:$AC$220,27,FALSE)*E579/1000)/VLOOKUP($C$577,'DB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'!$S$6/100)*(1-VLOOKUP(D579,'DB technologies'!$N$280:$Y$292,9,FALSE)/100))</f>
        <v/>
      </c>
      <c r="N579" s="434" t="str">
        <f>IF(D579="","",((VLOOKUP(D579,'DB technologies'!$N$280:$Y$292,3,FALSE)*VLOOKUP($C$577,'DB animal categories'!$C$211:$AC$220,27,FALSE)*E579/1000)/VLOOKUP($C$577,'DB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'!$S$7/100)*(1-VLOOKUP(D579,'DB technologies'!$N$280:$Y$292,9,FALSE)/100))</f>
        <v/>
      </c>
      <c r="O579" s="423" t="str">
        <f>IF(D579="","",((VLOOKUP(D579,'DB technologies'!$N$280:$Y$292,4,FALSE)*E579*(1-'DB additional information '!$S$8/100)*(1-VLOOKUP(D579,'DB technologies'!$N$280:$Y$292,8,FALSE)/100))/VLOOKUP($C$577,'DB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P579" s="438" t="str">
        <f>IF(G579=0,0,IF(E579="","",IF(F579="","",IF($C$577=0,"",IF(D579="","",SUM(H579:K579)/G579*100)))))</f>
        <v/>
      </c>
      <c r="Q579" s="416" t="str">
        <f>IF(D579="","",(VLOOKUP(D579,'DB technologies'!$N$280:$Y$292,2,FALSE)*'DB additional information '!$S$6/100*'DB additional information '!$T$6*VLOOKUP($C$577,'DB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R579" s="416" t="str">
        <f>IF(D579="","",(VLOOKUP(D579,'DB technologies'!$N$280:$Y$292,3,FALSE)*'DB additional information '!$S$7/100*'DB additional information '!$T$7*VLOOKUP($C$577,'DB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S579" s="491" t="str">
        <f>IF(D579="","",(VLOOKUP(D579,'DB technologies'!$N$280:$Y$292,4,FALSE)*('DB additional information '!$S$8/100*'DB additional information '!$T$8*E579/1000/1000)))</f>
        <v/>
      </c>
      <c r="T579" s="264" t="str">
        <f>IF($C$577=0,"",IF('Calc (ex-animal)'!$F$108=1,"",IF(D579="","",((VLOOKUP($C$577,'Calc (ex-animal)'!$D$108:$Y$112,10,FALSE)-VLOOKUP($C$577,'Calc (ex-animal)'!$D$108:$Y$112,18,FALSE))*F579/100+Q579+R579+S579)-AC579-AD579-AE579)))</f>
        <v/>
      </c>
      <c r="U579" s="422" t="str">
        <f>IF(D579="","",(VLOOKUP(D579,'DB technologies'!$N$280:$Y$292,2,FALSE)*'DB additional information '!$S$6/100*'DB additional information '!$U$6*VLOOKUP($C$577,'DB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V579" s="418" t="str">
        <f>IF(D579="","",(VLOOKUP(D579,'DB technologies'!$N$280:$Y$292,3,FALSE)*'DB additional information '!$S$7/100*'DB additional information '!$U$7*VLOOKUP($C$577,'DB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W579" s="417" t="str">
        <f>IF(D579="","",(VLOOKUP(D579,'DB technologies'!$N$280:$Y$292,4,FALSE)*('DB additional information '!$S$8/100*'DB additional information '!$U$8*E579/1000/1000)))</f>
        <v/>
      </c>
      <c r="X579" s="261" t="str">
        <f>IF($C$577=0,"",IF('Calc (ex-animal)'!$F$108=1,"",IF(D579="","",((VLOOKUP($C$577,'Calc (ex-animal)'!$D$108:$Y$112,13,FALSE)-VLOOKUP($C$577,'Calc (ex-animal)'!$D$108:$Y$112,19,FALSE))*F579/100+U579+V579+W579))))</f>
        <v/>
      </c>
      <c r="Y579" s="418" t="str">
        <f>IF(D579="","",(VLOOKUP(D579,'DB technologies'!$N$280:$Y$292,2,FALSE)*'DB additional information '!$S$6/100*'DB additional information '!$V$6*VLOOKUP($C$577,'DB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Z579" s="418" t="str">
        <f>IF(D579="","",(VLOOKUP(D579,'DB technologies'!$N$280:$Y$292,3,FALSE)*'DB additional information '!$S$7/100*'DB additional information '!$V$7*VLOOKUP($C$577,'DB animal categories'!$C$211:$AC$220,27,FALSE)*E579/1000/1000)/VLOOKUP($C$577,'DB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AA579" s="418" t="str">
        <f>IF(D579="","",(VLOOKUP(D579,'DB technologies'!$N$280:$Y$292,4,FALSE)*('DB additional information '!$S$8/100*'DB additional information '!$V$8*E579/1000/1000)))</f>
        <v/>
      </c>
      <c r="AB579" s="261" t="str">
        <f>IF($C$577=0,"",IF('Calc (ex-animal)'!$F$108=1,"",IF(D579="","",((VLOOKUP($C$577,'Calc (ex-animal)'!$D$108:$Y$112,16,FALSE)-VLOOKUP($C$577,'Calc (ex-animal)'!$D$108:$Y$112,20,FALSE))*F579/100+Y579+Z579+AA579))))</f>
        <v/>
      </c>
      <c r="AC579" s="261" t="str">
        <f>IF($C$577=0,"",IF('Calc (ex-animal)'!$F$108=1,"",IF(D579="","",VLOOKUP($C$577,'Calc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categories'!$C$211:$AC$220,26,FALSE)/24)*F579/100*VLOOKUP(D579,'DB technologies'!$N$280:$R$292,5,FALSE)/100)))</f>
        <v/>
      </c>
      <c r="AD579" s="261" t="str">
        <f>IF($C$577=0,"",IF('Calc (ex-animal)'!$F$108=1,"",IF(D579="","",VLOOKUP($C$577,'Calc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categories'!$C$211:$AC$220,26,FALSE)/24)*F579/100*VLOOKUP(D579,'DB technologies'!$N$280:$Y$292,6,FALSE)/100)))</f>
        <v/>
      </c>
      <c r="AE579" s="262" t="str">
        <f>IF($C$577=0,"",IF('Calc (ex-animal)'!$F$108=1,"",IF(D579="","",VLOOKUP($C$577,'Calc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categories'!$C$211:$AC$220,26,FALSE)/24)*F579/100*VLOOKUP(D579,'DB technologies'!$N$280:$Y$292,7,FALSE)/100)))</f>
        <v/>
      </c>
      <c r="AI579" s="181" t="str">
        <f>IF(D579="","",VLOOKUP(D579,'DB technologies'!$N$280:$Y$292,10,FALSE))</f>
        <v/>
      </c>
      <c r="AJ579" s="449" t="e">
        <f>VLOOKUP($C$577,'DB animal categories'!$C$211:$AN$220,27,FALSE)-VLOOKUP($C$577,'DB animal categories'!$C$211:$AN$220,26,FALSE)*VLOOKUP($C$577,'DB animal categories'!$C$211:$AN$220,25,FALSE)/24</f>
        <v>#N/A</v>
      </c>
      <c r="AK579" s="442" t="str">
        <f>IF(AI579="","",AL579+AM579)</f>
        <v/>
      </c>
      <c r="AL579" s="442" t="str">
        <f>IF(D579="","",IF(AI579=2,(('Calc (ex-animal)'!$G$108*'DB additional information '!$K$23/100*(1-VLOOKUP(D579,'DB technologies'!$N$280:$Y$292,9,FALSE)/100)*'Calc (ex-housing, ex-storage)'!F579/100+'Calc (ex-animal)'!$H$108*'DB additional information '!$L$23/100*(1-VLOOKUP(D579,'DB technologies'!$N$280:$Y$292,9,FALSE)/100)*'Calc (ex-housing, ex-storage)'!F579/100))/VLOOKUP($C$577,'DB animal categories'!$C$211:$AC$220,27,FALSE)*AJ579+I579+J579+K579,IF(AI579=1,('Calc (ex-animal)'!$H$108*'DB additional information '!$L$23/100*(1-VLOOKUP(D579,'DB technologies'!$N$280:$Y$292,9,FALSE)/100)*'Calc (ex-housing, ex-storage)'!F579/100)/VLOOKUP($C$577,'DB animal categories'!$C$211:$AC$220,27,FALSE)*AJ579,IF(AI579=4,('Calc (ex-animal)'!$G$108*'DB additional information '!$K$23/100+'Calc (ex-animal)'!$H$108*'DB additional information '!$L$23/100)*(1-VLOOKUP(D579,'DB technologies'!$N$280:$Y$292,9,FALSE)/100)*'Calc (ex-housing, ex-storage)'!F579/100*VLOOKUP(D579,'DB technologies'!$N$280:$Y$292,11,FALSE)/100/VLOOKUP($C$577,'DB animal categories'!$C$211:$AC$220,27,FALSE)*AJ579,0))))</f>
        <v/>
      </c>
      <c r="AM579" s="442" t="str">
        <f>IF(D579="","",IF(AI579=2,(('Calc (ex-animal)'!$G$108*(1-'DB additional information '!$K$23/100)*(1-VLOOKUP(D579,'DB technologies'!$N$280:$Y$292,8,FALSE)/100)*'Calc (ex-housing, ex-storage)'!F579/100+'Calc (ex-animal)'!$H$108*(1-'DB additional information '!$L$23/100)*(1-VLOOKUP(D579,'DB technologies'!$N$280:$Y$292,8,FALSE)/100)*'Calc (ex-housing, ex-storage)'!F579/100))/VLOOKUP($C$577,'DB animal categories'!$C$211:$AC$220,27,FALSE)*AJ579+M579+N579+O579,IF(AI579=1,('Calc (ex-animal)'!$H$108*(1-'DB additional information '!$L$23/100)*(1-VLOOKUP(D579,'DB technologies'!$N$280:$Y$292,8,FALSE)/100)*'Calc (ex-housing, ex-storage)'!F579/100)/VLOOKUP($C$577,'DB animal categories'!$C$211:$AC$220,27,FALSE)*AJ579,IF(AI579=4,('Calc (ex-animal)'!$G$108*(1-'DB additional information '!$K$23/100)+'Calc (ex-animal)'!$H$108*(1-'DB additional information '!$L$23/100))*(1-VLOOKUP(D579,'DB technologies'!$N$280:$Y$292,8,FALSE)/100)*'Calc (ex-housing, ex-storage)'!F579/100*VLOOKUP(D579,'DB technologies'!$N$280:$Y$292,11,FALSE)/100/VLOOKUP($C$577,'DB animal categories'!$C$211:$AC$220,27,FALSE)*AJ579,0))))</f>
        <v/>
      </c>
      <c r="AN579" s="442" t="str">
        <f>IF(AI579="","",IF(AL579=0,0,AL579/AK579*100))</f>
        <v/>
      </c>
      <c r="AO579" s="182" t="str">
        <f>IF(D579="","",IF(AI579=2,(('Calc (ex-animal)'!$L$108*'Calc (ex-housing, ex-storage)'!F579/100+'Calc (ex-animal)'!$K$108*'Calc (ex-housing, ex-storage)'!F579/100))/VLOOKUP($C$577,'DB animal categories'!$C$211:$AC$220,27,FALSE)*AJ579+Q579+R579+S579-AC579,IF(AI579=1,('Calc (ex-animal)'!$L$108*'Calc (ex-housing, ex-storage)'!F579/100)/VLOOKUP($C$577,'DB animal categories'!$C$211:$AC$220,27,FALSE)*AJ579-'Calc (ex-housing, ex-storage)'!AC579,IF(AI579=4,('Calc (ex-animal)'!$L$108+'Calc (ex-animal)'!$K$108)*'Calc (ex-housing, ex-storage)'!F579/100*VLOOKUP(D579,'DB technologies'!$N$280:$Y$292,11,FALSE)/100/VLOOKUP($C$577,'DB animal categories'!$C$211:$AC$220,27,FALSE)*AJ579-AC579*VLOOKUP(D579,'DB technologies'!$N$280:$Y$292,11,FALSE)/100,0))))</f>
        <v/>
      </c>
      <c r="AP579" s="182" t="str">
        <f>IF(D579="","",IF(AO579&lt;-0.01,0,IF(AI579=2,(('Calc (ex-animal)'!$L$108*'Calc (ex-housing, ex-storage)'!F579/100+'Calc (ex-animal)'!$K$108*'Calc (ex-housing, ex-storage)'!F579/100))/VLOOKUP($C$577,'DB animal categories'!$C$211:$AC$220,27,FALSE)*AJ579+Q579+R579+S579-AC579,IF(AI579=1,('Calc (ex-animal)'!$L$108*'Calc (ex-housing, ex-storage)'!F579/100)/VLOOKUP($C$577,'DB animal categories'!$C$211:$AC$220,27,FALSE)*AJ579-'Calc (ex-housing, ex-storage)'!AC579,IF(AI579=4,('Calc (ex-animal)'!$L$108+'Calc (ex-animal)'!$K$108)*'Calc (ex-housing, ex-storage)'!F579/100*VLOOKUP(D579,'DB technologies'!$N$280:$Y$292,11,FALSE)/100/VLOOKUP($C$577,'DB animal categories'!$C$211:$AC$220,27,FALSE)*AJ579-AC579*VLOOKUP(D579,'DB technologies'!$N$280:$Y$292,11,FALSE)/100,0)))))</f>
        <v/>
      </c>
      <c r="AQ579" s="182" t="str">
        <f>IF(D579="","",IF(AI579=2,('Calc (ex-animal)'!$O$108*'Calc (ex-housing, ex-storage)'!F579/100+'Calc (ex-animal)'!$N$108*'Calc (ex-housing, ex-storage)'!F579/100)/VLOOKUP($C$577,'DB animal categories'!$C$211:$AC$220,27,FALSE)*AJ579+U579+V579+W579,IF(AI579=1,'Calc (ex-animal)'!$O$108*'Calc (ex-housing, ex-storage)'!F579/100/VLOOKUP($C$577,'DB animal categories'!$C$211:$AC$220,27,FALSE)*AJ579,IF(AI579=4,('Calc (ex-animal)'!$O$108+'Calc (ex-animal)'!$N$108)*'Calc (ex-housing, ex-storage)'!F579/100*VLOOKUP(D579,'DB technologies'!$N$280:$Y$292,11,FALSE)/100/VLOOKUP($C$577,'DB animal categories'!$C$211:$AC$220,27,FALSE)*AJ579,0))))</f>
        <v/>
      </c>
      <c r="AR579" s="182" t="str">
        <f>IF(D579="","",IF(AI579=2,('Calc (ex-animal)'!$R$108*'Calc (ex-housing, ex-storage)'!F579/100+'Calc (ex-animal)'!$Q$108*'Calc (ex-housing, ex-storage)'!F579/100)/VLOOKUP($C$577,'DB animal categories'!$C$211:$AC$220,27,FALSE)*AJ579+Y579+Z579+AA579,IF(AI579=1,'Calc (ex-animal)'!$R$108*'Calc (ex-housing, ex-storage)'!F579/100/VLOOKUP($C$577,'DB animal categories'!$C$211:$AC$220,27,FALSE)*AJ579,IF(AI579=4,('Calc (ex-animal)'!$R$108+'Calc (ex-animal)'!$Q$108)*'Calc (ex-housing, ex-storage)'!F579/100*VLOOKUP(D579,'DB technologies'!$N$280:$Y$292,11,FALSE)/100/VLOOKUP($C$577,'DB animal categories'!$C$211:$AC$220,27,FALSE)*AJ579,0))))</f>
        <v/>
      </c>
      <c r="AS579" s="181" t="str">
        <f>IF(D579="","",VLOOKUP(D579,'DB technologies'!$N$280:$Y$292,10,FALSE))</f>
        <v/>
      </c>
      <c r="AT579" s="442" t="str">
        <f>IF(AS579="","",AU579+AV579)</f>
        <v/>
      </c>
      <c r="AU579" s="442" t="str">
        <f>IF(D579="","",IF(AS579=2,0,IF(AS579=1,'Calc (ex-animal)'!$G$108*'DB additional information '!$K$23/100*(1-VLOOKUP(D579,'DB technologies'!$N$280:$Y$292,8,FALSE)/100)*'Calc (ex-housing, ex-storage)'!F579/100/VLOOKUP($C$577,'DB animal categories'!$C$211:$AC$220,27,FALSE)*AJ579+I579+J579+K579,IF(AS579=5,(('Calc (ex-animal)'!$G$108*'DB additional information '!$K$23/100+'Calc (ex-animal)'!$H$108*'DB additional information '!$L$23/100))*(1-VLOOKUP(D579,'DB technologies'!$N$280:$Y$292,9,FALSE)/100)*'Calc (ex-housing, ex-storage)'!F579/100/VLOOKUP($C$577,'DB animal categories'!$C$211:$AC$220,27,FALSE)*AJ579+I579+J579+K579,IF(AS579=3,('Calc (ex-animal)'!$G$108*'DB additional information '!$K$23/100+'Calc (ex-animal)'!$H$108*'DB additional information '!$L$23/100)*(1-VLOOKUP(D579,'DB technologies'!$N$280:$Y$292,9,FALSE)/100)*'Calc (ex-housing, ex-storage)'!F579/100/VLOOKUP($C$577,'DB animal categories'!$C$211:$AC$220,27,FALSE)*AJ579+I579+J579+K579,IF(AS579=4,('Calc (ex-animal)'!$G$108*'DB additional information '!$K$23/100+'Calc (ex-animal)'!$H$108*'DB additional information '!$L$23/100)*(1-VLOOKUP(D579,'DB technologies'!$N$280:$Y$292,9,FALSE)/100)*'Calc (ex-housing, ex-storage)'!F579/100*VLOOKUP(D579,'DB technologies'!$N$280:$Y$292,12,FALSE)/100/VLOOKUP($C$577,'DB animal categories'!$C$211:$AC$220,27,FALSE)*AJ579+I579+J579+K579,0))))))</f>
        <v/>
      </c>
      <c r="AV579" s="442" t="str">
        <f>IF(D579="","",IF(AS579=2,0,IF(AS579=1,'Calc (ex-animal)'!$G$108*(1-'DB additional information '!$K$23/100)*(1-VLOOKUP(D579,'DB technologies'!$N$280:$Y$292,8,FALSE)/100)*'Calc (ex-housing, ex-storage)'!F579/100/VLOOKUP($C$577,'DB animal categories'!$C$211:$AC$220,27,FALSE)*AJ579+M579+N579+O579,IF(AS579=5,('Calc (ex-animal)'!$G$108*(1-'DB additional information '!$K$23/100)+'Calc (ex-animal)'!$H$108*(1-'DB additional information '!$L$23/100))*(1-VLOOKUP(D579,'DB technologies'!$N$280:$Y$292,8,FALSE)/100)*'Calc (ex-housing, ex-storage)'!F579/100/VLOOKUP($C$577,'DB animal categories'!$C$211:$AC$220,27,FALSE)*AJ579+M579+N579+O579,IF(AS579=3,('Calc (ex-animal)'!$G$108*(1-'DB additional information '!$K$23/100)+'Calc (ex-animal)'!$H$108*(1-'DB additional information '!$L$23/100))*(1-VLOOKUP(D579,'DB technologies'!$N$280:$Y$292,8,FALSE)/100)*'Calc (ex-housing, ex-storage)'!F579/100/VLOOKUP($C$577,'DB animal categories'!$C$211:$AC$220,27,FALSE)*AJ579+M579+N579+O579,IF(AS579=4,('Calc (ex-animal)'!$G$108*(1-'DB additional information '!$K$23/100)+'Calc (ex-animal)'!$H$108*(1-'DB additional information '!$L$23/100))*(1-VLOOKUP(D579,'DB technologies'!$N$280:$Y$292,8,FALSE)/100)*'Calc (ex-housing, ex-storage)'!F579/100*VLOOKUP(D579,'DB technologies'!$N$280:$Y$292,12,FALSE)/100/VLOOKUP($C$577,'DB animal categories'!$C$211:$AC$220,27,FALSE)*AJ579+M579+N579+O579,0))))))</f>
        <v/>
      </c>
      <c r="AW579" s="442" t="str">
        <f>IF(AS579="","",IF(AU579=0,0,AU579/AT579*100))</f>
        <v/>
      </c>
      <c r="AX579" s="182" t="str">
        <f>IF(D579="","",IF(AS579=2,0,IF(AS579=1,'Calc (ex-animal)'!$K$108*'Calc (ex-housing, ex-storage)'!F579/100/VLOOKUP($C$577,'DB animal categories'!$C$211:$AC$220,27,FALSE)*AJ579+Q579+R579+S579,IF(AS579=5,('Calc (ex-animal)'!$K$108+'Calc (ex-animal)'!$L$108)*'Calc (ex-housing, ex-storage)'!F579/100/VLOOKUP($C$577,'DB animal categories'!$C$211:$AC$220,27,FALSE)*AJ579+Q579+R579+S579-'Calc (ex-housing, ex-storage)'!AC579,IF(AS579=3,('Calc (ex-animal)'!$K$108+'Calc (ex-animal)'!$L$108)*'Calc (ex-housing, ex-storage)'!F579/100/VLOOKUP($C$577,'DB animal categories'!$C$211:$AC$220,27,FALSE)*AJ579+Q579+R579+S579-'Calc (ex-housing, ex-storage)'!AC579-AD579-AE579,IF(AI579=4,('Calc (ex-animal)'!$K$108+'Calc (ex-animal)'!$L$108)*'Calc (ex-housing, ex-storage)'!F579/100*VLOOKUP(D579,'DB technologies'!$N$280:$Y$292,12,FALSE)/100/VLOOKUP($C$577,'DB animal categories'!$C$211:$AC$220,27,FALSE)*AJ579+Q579+R579+S579-(VLOOKUP(D579,'DB technologies'!$N$280:$Y$292,12,FALSE)/100*AC579)-AD579-AE579,0))))))</f>
        <v/>
      </c>
      <c r="AY579" s="182" t="str">
        <f>IF(D579="","",IF(AS579=2,0,IF(AS579=1,'Calc (ex-animal)'!$N$108*'Calc (ex-housing, ex-storage)'!F579/100/VLOOKUP($C$577,'DB animal categories'!$C$211:$AC$220,27,FALSE)*AJ579+U579+V579+W579,IF(AS579=5,('Calc (ex-animal)'!$N$108+'Calc (ex-animal)'!$O$108)*'Calc (ex-housing, ex-storage)'!F579/100/VLOOKUP($C$577,'DB animal categories'!$C$211:$AC$220,27,FALSE)*AJ579+U579+V579+W579,IF(AS579=3,('Calc (ex-animal)'!$N$108+'Calc (ex-animal)'!$O$108)*'Calc (ex-housing, ex-storage)'!F579/100/VLOOKUP($C$577,'DB animal categories'!$C$211:$AC$220,27,FALSE)*AJ579+U579+V579+W579,IF(AS579=4,('Calc (ex-animal)'!$N$108+'Calc (ex-animal)'!$O$108)*'Calc (ex-housing, ex-storage)'!F579/100*VLOOKUP(D579,'DB technologies'!$N$280:$Y$292,12,FALSE)/100/VLOOKUP($C$577,'DB animal categories'!$C$211:$AC$220,27,FALSE)*AJ579+U579+V579+W579,0))))))</f>
        <v/>
      </c>
      <c r="AZ579" s="182" t="str">
        <f>IF(D579="","",IF(AS579=2,0,IF(AS579=1,'Calc (ex-animal)'!$Q$108*'Calc (ex-housing, ex-storage)'!F579/100/VLOOKUP($C$577,'DB animal categories'!$C$211:$AC$220,27,FALSE)*AJ579+Y579+Z579+AA579,IF(AS579=5,('Calc (ex-animal)'!$Q$108+'Calc (ex-animal)'!$R$108)*'Calc (ex-housing, ex-storage)'!F579/100/VLOOKUP($C$577,'DB animal categories'!$C$211:$AC$220,27,FALSE)*AJ579+Y579+Z579+AA579,IF(AS579=3,('Calc (ex-animal)'!$Q$108+'Calc (ex-animal)'!$R$108)*'Calc (ex-housing, ex-storage)'!F579/100/VLOOKUP($C$577,'DB animal categories'!$C$211:$AC$220,27,FALSE)*AJ579+Y579+Z579+AA579,IF(AS579=4,('Calc (ex-animal)'!$Q$108+'Calc (ex-animal)'!$R$108)*'Calc (ex-housing, ex-storage)'!F579/100*VLOOKUP(D579,'DB technologies'!$N$280:$Y$292,12,FALSE)/100/VLOOKUP($C$577,'DB animal categories'!$C$211:$AC$220,27,FALSE)*AJ579+Y579+Z579+AA579,0))))))</f>
        <v/>
      </c>
      <c r="BA579" s="506"/>
      <c r="BB579" s="506"/>
      <c r="BC579" s="506"/>
    </row>
    <row r="580" spans="1:55" x14ac:dyDescent="0.2">
      <c r="A580" s="748"/>
      <c r="B580" s="695"/>
      <c r="C580" s="255"/>
      <c r="D580" s="1357"/>
      <c r="E580" s="1358"/>
      <c r="F580" s="480" t="str">
        <f>IF('Calc (ex-animal)'!$F$108=1,"",IF($C$577=0,"",IF(D580="","",E580/'Calc (ex-animal)'!$E$108*100)))</f>
        <v/>
      </c>
      <c r="G580" s="485" t="str">
        <f>IF($C$577=0,"",IF('Calc (ex-animal)'!$F$108=1,"",IF(D580="","",SUM(H580:O580))))</f>
        <v/>
      </c>
      <c r="H580" s="423" t="str">
        <f>IF('Calc (ex-animal)'!$F$108=1,"",IF(D580="","",(((VLOOKUP($C$577,'Calc (ex-animal)'!$D$108:$Y$112,6,FALSE)-VLOOKUP($C$577,'Calc (ex-animal)'!$D$108:$Y$112,17,FALSE))*F580/100))*VLOOKUP($C$577,'Calc (ex-animal)'!$D$108:$Y$112,7,FALSE)/100*(1-VLOOKUP(D580,'DB technologies'!$N$280:$Y$292,9,FALSE)/100)))</f>
        <v/>
      </c>
      <c r="I580" s="423" t="str">
        <f>IF(D580="","",((VLOOKUP(D580,'DB technologies'!$N$280:$Y$292,2,FALSE)*VLOOKUP($C$577,'DB animal categories'!$C$211:$AC$220,27,FALSE)*E580/1000)/VLOOKUP($C$577,'DB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'!$S$6/100*(1-VLOOKUP(D580,'DB technologies'!$N$280:$Y$292,9,FALSE)/100)))</f>
        <v/>
      </c>
      <c r="J580" s="434" t="str">
        <f>IF(D580="","",((VLOOKUP(D580,'DB technologies'!$N$280:$Y$292,3,FALSE)*VLOOKUP($C$577,'DB animal categories'!$C$211:$AC$220,27,FALSE)*E580/1000)/VLOOKUP($C$577,'DB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'!$S$7/100*(1-VLOOKUP(D580,'DB technologies'!$N$280:$Y$292,9,FALSE)/100)))</f>
        <v/>
      </c>
      <c r="K580" s="434" t="str">
        <f>IF(D580="","",((VLOOKUP(D580,'DB technologies'!$N$280:$Y$292,4,FALSE)*E580*'DB additional information '!$S$8/100*(1-VLOOKUP(D580,'DB technologies'!$N$280:$Y$292,9,FALSE)/100))/VLOOKUP($C$577,'DB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L580" s="423" t="str">
        <f>IF('Calc (ex-animal)'!$F$108=1,"",IF(D580="","",(((VLOOKUP($C$577,'Calc (ex-animal)'!$D$108:$Y$112,6,FALSE)-VLOOKUP($C$577,'Calc (ex-animal)'!$D$108:$Y$112,17,FALSE))*F580/100))*(1-VLOOKUP($C$577,'Calc (ex-animal)'!$D$108:$Y$112,7,FALSE)/100)*(1-VLOOKUP(D580,'DB technologies'!$N$280:$V$292,8,FALSE)/100)))</f>
        <v/>
      </c>
      <c r="M580" s="434" t="str">
        <f>IF(D580="","",((VLOOKUP(D580,'DB technologies'!$N$280:$Y$292,2,FALSE)*VLOOKUP($C$577,'DB animal categories'!$C$211:$AC$220,27,FALSE)*E580/1000)/VLOOKUP($C$577,'DB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'!$S$6/100)*(1-VLOOKUP(D580,'DB technologies'!$N$280:$Y$292,9,FALSE)/100))</f>
        <v/>
      </c>
      <c r="N580" s="434" t="str">
        <f>IF(D580="","",((VLOOKUP(D580,'DB technologies'!$N$280:$Y$292,3,FALSE)*VLOOKUP($C$577,'DB animal categories'!$C$211:$AC$220,27,FALSE)*E580/1000)/VLOOKUP($C$577,'DB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'!$S$7/100)*(1-VLOOKUP(D580,'DB technologies'!$N$280:$Y$292,9,FALSE)/100))</f>
        <v/>
      </c>
      <c r="O580" s="423" t="str">
        <f>IF(D580="","",((VLOOKUP(D580,'DB technologies'!$N$280:$Y$292,4,FALSE)*E580*(1-'DB additional information '!$S$8/100)*(1-VLOOKUP(D580,'DB technologies'!$N$280:$Y$292,8,FALSE)/100))/VLOOKUP($C$577,'DB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P580" s="438" t="str">
        <f>IF(G580=0,0,IF(E580="","",IF(F580="","",IF($C$577=0,"",IF(D580="","",SUM(H580:K580)/G580*100)))))</f>
        <v/>
      </c>
      <c r="Q580" s="416" t="str">
        <f>IF(D580="","",(VLOOKUP(D580,'DB technologies'!$N$280:$Y$292,2,FALSE)*'DB additional information '!$S$6/100*'DB additional information '!$T$6*VLOOKUP($C$577,'DB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R580" s="416" t="str">
        <f>IF(D580="","",(VLOOKUP(D580,'DB technologies'!$N$280:$Y$292,3,FALSE)*'DB additional information '!$S$7/100*'DB additional information '!$T$7*VLOOKUP($C$577,'DB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S580" s="491" t="str">
        <f>IF(D580="","",(VLOOKUP(D580,'DB technologies'!$N$280:$Y$292,4,FALSE)*('DB additional information '!$S$8/100*'DB additional information '!$T$8*E580/1000/1000)))</f>
        <v/>
      </c>
      <c r="T580" s="264" t="str">
        <f>IF($C$577=0,"",IF('Calc (ex-animal)'!$F$108=1,"",IF(D580="","",((VLOOKUP($C$577,'Calc (ex-animal)'!$D$108:$Y$112,10,FALSE)-VLOOKUP($C$577,'Calc (ex-animal)'!$D$108:$Y$112,18,FALSE))*F580/100+Q580+R580+S580)-AC580-AD580-AE580)))</f>
        <v/>
      </c>
      <c r="U580" s="422" t="str">
        <f>IF(D580="","",(VLOOKUP(D580,'DB technologies'!$N$280:$Y$292,2,FALSE)*'DB additional information '!$S$6/100*'DB additional information '!$U$6*VLOOKUP($C$577,'DB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V580" s="418" t="str">
        <f>IF(D580="","",(VLOOKUP(D580,'DB technologies'!$N$280:$Y$292,3,FALSE)*'DB additional information '!$S$7/100*'DB additional information '!$U$7*VLOOKUP($C$577,'DB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W580" s="417" t="str">
        <f>IF(D580="","",(VLOOKUP(D580,'DB technologies'!$N$280:$Y$292,4,FALSE)*('DB additional information '!$S$8/100*'DB additional information '!$U$8*E580/1000/1000)))</f>
        <v/>
      </c>
      <c r="X580" s="261" t="str">
        <f>IF($C$577=0,"",IF('Calc (ex-animal)'!$F$108=1,"",IF(D580="","",((VLOOKUP($C$577,'Calc (ex-animal)'!$D$108:$Y$112,13,FALSE)-VLOOKUP($C$577,'Calc (ex-animal)'!$D$108:$Y$112,19,FALSE))*F580/100+U580+V580+W580))))</f>
        <v/>
      </c>
      <c r="Y580" s="418" t="str">
        <f>IF(D580="","",(VLOOKUP(D580,'DB technologies'!$N$280:$Y$292,2,FALSE)*'DB additional information '!$S$6/100*'DB additional information '!$V$6*VLOOKUP($C$577,'DB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Z580" s="418" t="str">
        <f>IF(D580="","",(VLOOKUP(D580,'DB technologies'!$N$280:$Y$292,3,FALSE)*'DB additional information '!$S$7/100*'DB additional information '!$V$7*VLOOKUP($C$577,'DB animal categories'!$C$211:$AC$220,27,FALSE)*E580/1000/1000)/VLOOKUP($C$577,'DB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AA580" s="418" t="str">
        <f>IF(D580="","",(VLOOKUP(D580,'DB technologies'!$N$280:$Y$292,4,FALSE)*('DB additional information '!$S$8/100*'DB additional information '!$V$8*E580/1000/1000)))</f>
        <v/>
      </c>
      <c r="AB580" s="261" t="str">
        <f>IF($C$577=0,"",IF('Calc (ex-animal)'!$F$108=1,"",IF(D580="","",((VLOOKUP($C$577,'Calc (ex-animal)'!$D$108:$Y$112,16,FALSE)-VLOOKUP($C$577,'Calc (ex-animal)'!$D$108:$Y$112,20,FALSE))*F580/100+Y580+Z580+AA580))))</f>
        <v/>
      </c>
      <c r="AC580" s="261" t="str">
        <f>IF($C$577=0,"",IF('Calc (ex-animal)'!$F$108=1,"",IF(D580="","",VLOOKUP($C$577,'Calc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categories'!$C$211:$AC$220,26,FALSE)/24)*F580/100*VLOOKUP(D580,'DB technologies'!$N$280:$R$292,5,FALSE)/100)))</f>
        <v/>
      </c>
      <c r="AD580" s="261" t="str">
        <f>IF($C$577=0,"",IF('Calc (ex-animal)'!$F$108=1,"",IF(D580="","",VLOOKUP($C$577,'Calc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categories'!$C$211:$AC$220,26,FALSE)/24)*F580/100*VLOOKUP(D580,'DB technologies'!$N$280:$Y$292,6,FALSE)/100)))</f>
        <v/>
      </c>
      <c r="AE580" s="262" t="str">
        <f>IF($C$577=0,"",IF('Calc (ex-animal)'!$F$108=1,"",IF(D580="","",VLOOKUP($C$577,'Calc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categories'!$C$211:$AC$220,26,FALSE)/24)*F580/100*VLOOKUP(D580,'DB technologies'!$N$280:$Y$292,7,FALSE)/100)))</f>
        <v/>
      </c>
      <c r="AI580" s="181" t="str">
        <f>IF(D580="","",VLOOKUP(D580,'DB technologies'!$N$280:$Y$292,10,FALSE))</f>
        <v/>
      </c>
      <c r="AJ580" s="449" t="e">
        <f>VLOOKUP($C$577,'DB animal categories'!$C$211:$AN$220,27,FALSE)-VLOOKUP($C$577,'DB animal categories'!$C$211:$AN$220,26,FALSE)*VLOOKUP($C$577,'DB animal categories'!$C$211:$AN$220,25,FALSE)/24</f>
        <v>#N/A</v>
      </c>
      <c r="AK580" s="442" t="str">
        <f>IF(AI580="","",AL580+AM580)</f>
        <v/>
      </c>
      <c r="AL580" s="442" t="str">
        <f>IF(D580="","",IF(AI580=2,(('Calc (ex-animal)'!$G$108*'DB additional information '!$K$23/100*(1-VLOOKUP(D580,'DB technologies'!$N$280:$Y$292,9,FALSE)/100)*'Calc (ex-housing, ex-storage)'!F580/100+'Calc (ex-animal)'!$H$108*'DB additional information '!$L$23/100*(1-VLOOKUP(D580,'DB technologies'!$N$280:$Y$292,9,FALSE)/100)*'Calc (ex-housing, ex-storage)'!F580/100))/VLOOKUP($C$577,'DB animal categories'!$C$211:$AC$220,27,FALSE)*AJ580+I580+J580+K580,IF(AI580=1,('Calc (ex-animal)'!$H$108*'DB additional information '!$L$23/100*(1-VLOOKUP(D580,'DB technologies'!$N$280:$Y$292,9,FALSE)/100)*'Calc (ex-housing, ex-storage)'!F580/100)/VLOOKUP($C$577,'DB animal categories'!$C$211:$AC$220,27,FALSE)*AJ580,IF(AI580=4,('Calc (ex-animal)'!$G$108*'DB additional information '!$K$23/100+'Calc (ex-animal)'!$H$108*'DB additional information '!$L$23/100)*(1-VLOOKUP(D580,'DB technologies'!$N$280:$Y$292,9,FALSE)/100)*'Calc (ex-housing, ex-storage)'!F580/100*VLOOKUP(D580,'DB technologies'!$N$280:$Y$292,11,FALSE)/100/VLOOKUP($C$577,'DB animal categories'!$C$211:$AC$220,27,FALSE)*AJ580,0))))</f>
        <v/>
      </c>
      <c r="AM580" s="442" t="str">
        <f>IF(D580="","",IF(AI580=2,(('Calc (ex-animal)'!$G$108*(1-'DB additional information '!$K$23/100)*(1-VLOOKUP(D580,'DB technologies'!$N$280:$Y$292,8,FALSE)/100)*'Calc (ex-housing, ex-storage)'!F580/100+'Calc (ex-animal)'!$H$108*(1-'DB additional information '!$L$23/100)*(1-VLOOKUP(D580,'DB technologies'!$N$280:$Y$292,8,FALSE)/100)*'Calc (ex-housing, ex-storage)'!F580/100))/VLOOKUP($C$577,'DB animal categories'!$C$211:$AC$220,27,FALSE)*AJ580+M580+N580+O580,IF(AI580=1,('Calc (ex-animal)'!$H$108*(1-'DB additional information '!$L$23/100)*(1-VLOOKUP(D580,'DB technologies'!$N$280:$Y$292,8,FALSE)/100)*'Calc (ex-housing, ex-storage)'!F580/100)/VLOOKUP($C$577,'DB animal categories'!$C$211:$AC$220,27,FALSE)*AJ580,IF(AI580=4,('Calc (ex-animal)'!$G$108*(1-'DB additional information '!$K$23/100)+'Calc (ex-animal)'!$H$108*(1-'DB additional information '!$L$23/100))*(1-VLOOKUP(D580,'DB technologies'!$N$280:$Y$292,8,FALSE)/100)*'Calc (ex-housing, ex-storage)'!F580/100*VLOOKUP(D580,'DB technologies'!$N$280:$Y$292,11,FALSE)/100/VLOOKUP($C$577,'DB animal categories'!$C$211:$AC$220,27,FALSE)*AJ580,0))))</f>
        <v/>
      </c>
      <c r="AN580" s="442" t="str">
        <f>IF(AI580="","",IF(AL580=0,0,AL580/AK580*100))</f>
        <v/>
      </c>
      <c r="AO580" s="182" t="str">
        <f>IF(D580="","",IF(AI580=2,(('Calc (ex-animal)'!$L$108*'Calc (ex-housing, ex-storage)'!F580/100+'Calc (ex-animal)'!$K$108*'Calc (ex-housing, ex-storage)'!F580/100))/VLOOKUP($C$577,'DB animal categories'!$C$211:$AC$220,27,FALSE)*AJ580+Q580+R580+S580-AC580,IF(AI580=1,('Calc (ex-animal)'!$L$108*'Calc (ex-housing, ex-storage)'!F580/100)/VLOOKUP($C$577,'DB animal categories'!$C$211:$AC$220,27,FALSE)*AJ580-'Calc (ex-housing, ex-storage)'!AC580,IF(AI580=4,('Calc (ex-animal)'!$L$108+'Calc (ex-animal)'!$K$108)*'Calc (ex-housing, ex-storage)'!F580/100*VLOOKUP(D580,'DB technologies'!$N$280:$Y$292,11,FALSE)/100/VLOOKUP($C$577,'DB animal categories'!$C$211:$AC$220,27,FALSE)*AJ580-AC580*VLOOKUP(D580,'DB technologies'!$N$280:$Y$292,11,FALSE)/100,0))))</f>
        <v/>
      </c>
      <c r="AP580" s="182" t="str">
        <f>IF(D580="","",IF(AO580&lt;-0.01,0,IF(AI580=2,(('Calc (ex-animal)'!$L$108*'Calc (ex-housing, ex-storage)'!F580/100+'Calc (ex-animal)'!$K$108*'Calc (ex-housing, ex-storage)'!F580/100))/VLOOKUP($C$577,'DB animal categories'!$C$211:$AC$220,27,FALSE)*AJ580+Q580+R580+S580-AC580,IF(AI580=1,('Calc (ex-animal)'!$L$108*'Calc (ex-housing, ex-storage)'!F580/100)/VLOOKUP($C$577,'DB animal categories'!$C$211:$AC$220,27,FALSE)*AJ580-'Calc (ex-housing, ex-storage)'!AC580,IF(AI580=4,('Calc (ex-animal)'!$L$108+'Calc (ex-animal)'!$K$108)*'Calc (ex-housing, ex-storage)'!F580/100*VLOOKUP(D580,'DB technologies'!$N$280:$Y$292,11,FALSE)/100/VLOOKUP($C$577,'DB animal categories'!$C$211:$AC$220,27,FALSE)*AJ580-AC580*VLOOKUP(D580,'DB technologies'!$N$280:$Y$292,11,FALSE)/100,0)))))</f>
        <v/>
      </c>
      <c r="AQ580" s="182" t="str">
        <f>IF(D580="","",IF(AI580=2,('Calc (ex-animal)'!$O$108*'Calc (ex-housing, ex-storage)'!F580/100+'Calc (ex-animal)'!$N$108*'Calc (ex-housing, ex-storage)'!F580/100)/VLOOKUP($C$577,'DB animal categories'!$C$211:$AC$220,27,FALSE)*AJ580+U580+V580+W580,IF(AI580=1,'Calc (ex-animal)'!$O$108*'Calc (ex-housing, ex-storage)'!F580/100/VLOOKUP($C$577,'DB animal categories'!$C$211:$AC$220,27,FALSE)*AJ580,IF(AI580=4,('Calc (ex-animal)'!$O$108+'Calc (ex-animal)'!$N$108)*'Calc (ex-housing, ex-storage)'!F580/100*VLOOKUP(D580,'DB technologies'!$N$280:$Y$292,11,FALSE)/100/VLOOKUP($C$577,'DB animal categories'!$C$211:$AC$220,27,FALSE)*AJ580,0))))</f>
        <v/>
      </c>
      <c r="AR580" s="182" t="str">
        <f>IF(D580="","",IF(AI580=2,('Calc (ex-animal)'!$R$108*'Calc (ex-housing, ex-storage)'!F580/100+'Calc (ex-animal)'!$Q$108*'Calc (ex-housing, ex-storage)'!F580/100)/VLOOKUP($C$577,'DB animal categories'!$C$211:$AC$220,27,FALSE)*AJ580+Y580+Z580+AA580,IF(AI580=1,'Calc (ex-animal)'!$R$108*'Calc (ex-housing, ex-storage)'!F580/100/VLOOKUP($C$577,'DB animal categories'!$C$211:$AC$220,27,FALSE)*AJ580,IF(AI580=4,('Calc (ex-animal)'!$R$108+'Calc (ex-animal)'!$Q$108)*'Calc (ex-housing, ex-storage)'!F580/100*VLOOKUP(D580,'DB technologies'!$N$280:$Y$292,11,FALSE)/100/VLOOKUP($C$577,'DB animal categories'!$C$211:$AC$220,27,FALSE)*AJ580,0))))</f>
        <v/>
      </c>
      <c r="AS580" s="181" t="str">
        <f>IF(D580="","",VLOOKUP(D580,'DB technologies'!$N$280:$Y$292,10,FALSE))</f>
        <v/>
      </c>
      <c r="AT580" s="442" t="str">
        <f>IF(AS580="","",AU580+AV580)</f>
        <v/>
      </c>
      <c r="AU580" s="442" t="str">
        <f>IF(D580="","",IF(AS580=2,0,IF(AS580=1,'Calc (ex-animal)'!$G$108*'DB additional information '!$K$23/100*(1-VLOOKUP(D580,'DB technologies'!$N$280:$Y$292,8,FALSE)/100)*'Calc (ex-housing, ex-storage)'!F580/100/VLOOKUP($C$577,'DB animal categories'!$C$211:$AC$220,27,FALSE)*AJ580+I580+J580+K580,IF(AS580=5,(('Calc (ex-animal)'!$G$108*'DB additional information '!$K$23/100+'Calc (ex-animal)'!$H$108*'DB additional information '!$L$23/100))*(1-VLOOKUP(D580,'DB technologies'!$N$280:$Y$292,9,FALSE)/100)*'Calc (ex-housing, ex-storage)'!F580/100/VLOOKUP($C$577,'DB animal categories'!$C$211:$AC$220,27,FALSE)*AJ580+I580+J580+K580,IF(AS580=3,('Calc (ex-animal)'!$G$108*'DB additional information '!$K$23/100+'Calc (ex-animal)'!$H$108*'DB additional information '!$L$23/100)*(1-VLOOKUP(D580,'DB technologies'!$N$280:$Y$292,9,FALSE)/100)*'Calc (ex-housing, ex-storage)'!F580/100/VLOOKUP($C$577,'DB animal categories'!$C$211:$AC$220,27,FALSE)*AJ580+I580+J580+K580,IF(AS580=4,('Calc (ex-animal)'!$G$108*'DB additional information '!$K$23/100+'Calc (ex-animal)'!$H$108*'DB additional information '!$L$23/100)*(1-VLOOKUP(D580,'DB technologies'!$N$280:$Y$292,9,FALSE)/100)*'Calc (ex-housing, ex-storage)'!F580/100*VLOOKUP(D580,'DB technologies'!$N$280:$Y$292,12,FALSE)/100/VLOOKUP($C$577,'DB animal categories'!$C$211:$AC$220,27,FALSE)*AJ580+I580+J580+K580,0))))))</f>
        <v/>
      </c>
      <c r="AV580" s="442" t="str">
        <f>IF(D580="","",IF(AS580=2,0,IF(AS580=1,'Calc (ex-animal)'!$G$108*(1-'DB additional information '!$K$23/100)*(1-VLOOKUP(D580,'DB technologies'!$N$280:$Y$292,8,FALSE)/100)*'Calc (ex-housing, ex-storage)'!F580/100/VLOOKUP($C$577,'DB animal categories'!$C$211:$AC$220,27,FALSE)*AJ580+M580+N580+O580,IF(AS580=5,('Calc (ex-animal)'!$G$108*(1-'DB additional information '!$K$23/100)+'Calc (ex-animal)'!$H$108*(1-'DB additional information '!$L$23/100))*(1-VLOOKUP(D580,'DB technologies'!$N$280:$Y$292,8,FALSE)/100)*'Calc (ex-housing, ex-storage)'!F580/100/VLOOKUP($C$577,'DB animal categories'!$C$211:$AC$220,27,FALSE)*AJ580+M580+N580+O580,IF(AS580=3,('Calc (ex-animal)'!$G$108*(1-'DB additional information '!$K$23/100)+'Calc (ex-animal)'!$H$108*(1-'DB additional information '!$L$23/100))*(1-VLOOKUP(D580,'DB technologies'!$N$280:$Y$292,8,FALSE)/100)*'Calc (ex-housing, ex-storage)'!F580/100/VLOOKUP($C$577,'DB animal categories'!$C$211:$AC$220,27,FALSE)*AJ580+M580+N580+O580,IF(AS580=4,('Calc (ex-animal)'!$G$108*(1-'DB additional information '!$K$23/100)+'Calc (ex-animal)'!$H$108*(1-'DB additional information '!$L$23/100))*(1-VLOOKUP(D580,'DB technologies'!$N$280:$Y$292,8,FALSE)/100)*'Calc (ex-housing, ex-storage)'!F580/100*VLOOKUP(D580,'DB technologies'!$N$280:$Y$292,12,FALSE)/100/VLOOKUP($C$577,'DB animal categories'!$C$211:$AC$220,27,FALSE)*AJ580+M580+N580+O580,0))))))</f>
        <v/>
      </c>
      <c r="AW580" s="442" t="str">
        <f>IF(AS580="","",IF(AU580=0,0,AU580/AT580*100))</f>
        <v/>
      </c>
      <c r="AX580" s="182" t="str">
        <f>IF(D580="","",IF(AS580=2,0,IF(AS580=1,'Calc (ex-animal)'!$K$108*'Calc (ex-housing, ex-storage)'!F580/100/VLOOKUP($C$577,'DB animal categories'!$C$211:$AC$220,27,FALSE)*AJ580+Q580+R580+S580,IF(AS580=5,('Calc (ex-animal)'!$K$108+'Calc (ex-animal)'!$L$108)*'Calc (ex-housing, ex-storage)'!F580/100/VLOOKUP($C$577,'DB animal categories'!$C$211:$AC$220,27,FALSE)*AJ580+Q580+R580+S580-'Calc (ex-housing, ex-storage)'!AC580,IF(AS580=3,('Calc (ex-animal)'!$K$108+'Calc (ex-animal)'!$L$108)*'Calc (ex-housing, ex-storage)'!F580/100/VLOOKUP($C$577,'DB animal categories'!$C$211:$AC$220,27,FALSE)*AJ580+Q580+R580+S580-'Calc (ex-housing, ex-storage)'!AC580-AD580-AE580,IF(AI580=4,('Calc (ex-animal)'!$K$108+'Calc (ex-animal)'!$L$108)*'Calc (ex-housing, ex-storage)'!F580/100*VLOOKUP(D580,'DB technologies'!$N$280:$Y$292,12,FALSE)/100/VLOOKUP($C$577,'DB animal categories'!$C$211:$AC$220,27,FALSE)*AJ580+Q580+R580+S580-(VLOOKUP(D580,'DB technologies'!$N$280:$Y$292,12,FALSE)/100*AC580)-AD580-AE580,0))))))</f>
        <v/>
      </c>
      <c r="AY580" s="182" t="str">
        <f>IF(D580="","",IF(AS580=2,0,IF(AS580=1,'Calc (ex-animal)'!$N$108*'Calc (ex-housing, ex-storage)'!F580/100/VLOOKUP($C$577,'DB animal categories'!$C$211:$AC$220,27,FALSE)*AJ580+U580+V580+W580,IF(AS580=5,('Calc (ex-animal)'!$N$108+'Calc (ex-animal)'!$O$108)*'Calc (ex-housing, ex-storage)'!F580/100/VLOOKUP($C$577,'DB animal categories'!$C$211:$AC$220,27,FALSE)*AJ580+U580+V580+W580,IF(AS580=3,('Calc (ex-animal)'!$N$108+'Calc (ex-animal)'!$O$108)*'Calc (ex-housing, ex-storage)'!F580/100/VLOOKUP($C$577,'DB animal categories'!$C$211:$AC$220,27,FALSE)*AJ580+U580+V580+W580,IF(AS580=4,('Calc (ex-animal)'!$N$108+'Calc (ex-animal)'!$O$108)*'Calc (ex-housing, ex-storage)'!F580/100*VLOOKUP(D580,'DB technologies'!$N$280:$Y$292,12,FALSE)/100/VLOOKUP($C$577,'DB animal categories'!$C$211:$AC$220,27,FALSE)*AJ580+U580+V580+W580,0))))))</f>
        <v/>
      </c>
      <c r="AZ580" s="182" t="str">
        <f>IF(D580="","",IF(AS580=2,0,IF(AS580=1,'Calc (ex-animal)'!$Q$108*'Calc (ex-housing, ex-storage)'!F580/100/VLOOKUP($C$577,'DB animal categories'!$C$211:$AC$220,27,FALSE)*AJ580+Y580+Z580+AA580,IF(AS580=5,('Calc (ex-animal)'!$Q$108+'Calc (ex-animal)'!$R$108)*'Calc (ex-housing, ex-storage)'!F580/100/VLOOKUP($C$577,'DB animal categories'!$C$211:$AC$220,27,FALSE)*AJ580+Y580+Z580+AA580,IF(AS580=3,('Calc (ex-animal)'!$Q$108+'Calc (ex-animal)'!$R$108)*'Calc (ex-housing, ex-storage)'!F580/100/VLOOKUP($C$577,'DB animal categories'!$C$211:$AC$220,27,FALSE)*AJ580+Y580+Z580+AA580,IF(AS580=4,('Calc (ex-animal)'!$Q$108+'Calc (ex-animal)'!$R$108)*'Calc (ex-housing, ex-storage)'!F580/100*VLOOKUP(D580,'DB technologies'!$N$280:$Y$292,12,FALSE)/100/VLOOKUP($C$577,'DB animal categories'!$C$211:$AC$220,27,FALSE)*AJ580+Y580+Z580+AA580,0))))))</f>
        <v/>
      </c>
      <c r="BA580" s="506"/>
      <c r="BB580" s="506"/>
      <c r="BC580" s="506"/>
    </row>
    <row r="581" spans="1:55" ht="12" thickBot="1" x14ac:dyDescent="0.25">
      <c r="A581" s="748"/>
      <c r="B581" s="695"/>
      <c r="C581" s="255"/>
      <c r="D581" s="1359"/>
      <c r="E581" s="1360"/>
      <c r="F581" s="481" t="str">
        <f>IF('Calc (ex-animal)'!$F$108=1,"",IF($C$577=0,"",IF(D581="","",E581/'Calc (ex-animal)'!$E$108*100)))</f>
        <v/>
      </c>
      <c r="G581" s="483" t="str">
        <f>IF($C$577=0,"",IF('Calc (ex-animal)'!$F$108=1,"",IF(D581="","",SUM(H581:O581))))</f>
        <v/>
      </c>
      <c r="H581" s="445" t="str">
        <f>IF('Calc (ex-animal)'!$F$108=1,"",IF(D581="","",(((VLOOKUP($C$577,'Calc (ex-animal)'!$D$108:$Y$112,6,FALSE)-VLOOKUP($C$577,'Calc (ex-animal)'!$D$108:$Y$112,17,FALSE))*F581/100))*VLOOKUP($C$577,'Calc (ex-animal)'!$D$108:$Y$112,7,FALSE)/100*(1-VLOOKUP(D581,'DB technologies'!$N$280:$Y$292,9,FALSE)/100)))</f>
        <v/>
      </c>
      <c r="I581" s="445" t="str">
        <f>IF(D581="","",((VLOOKUP(D581,'DB technologies'!$N$280:$Y$292,2,FALSE)*VLOOKUP($C$577,'DB animal categories'!$C$211:$AC$220,27,FALSE)*E581/1000)/VLOOKUP($C$577,'DB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'!$S$6/100*(1-VLOOKUP(D581,'DB technologies'!$N$280:$Y$292,9,FALSE)/100)))</f>
        <v/>
      </c>
      <c r="J581" s="446" t="str">
        <f>IF(D581="","",((VLOOKUP(D581,'DB technologies'!$N$280:$Y$292,3,FALSE)*VLOOKUP($C$577,'DB animal categories'!$C$211:$AC$220,27,FALSE)*E581/1000)/VLOOKUP($C$577,'DB animal categories'!$C$211:$AC$220,27,FALSE)*(VLOOKUP($C$577,'DB animal categories'!$C$211:$AC$220,27,FALSE)-(VLOOKUP($C$577,'DB animal categories'!$C$211:$AC$220,25,FALSE)*VLOOKUP($C$577,'DB animal categories'!$C$211:$AC$220,26,FALSE)/24))*'DB additional information '!$S$7/100*(1-VLOOKUP(D581,'DB technologies'!$N$280:$Y$292,9,FALSE)/100)))</f>
        <v/>
      </c>
      <c r="K581" s="446" t="str">
        <f>IF(D581="","",((VLOOKUP(D581,'DB technologies'!$N$280:$Y$292,4,FALSE)*E581*'DB additional information '!$S$8/100*(1-VLOOKUP(D581,'DB technologies'!$N$280:$Y$292,9,FALSE)/100))/VLOOKUP($C$577,'DB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L581" s="445" t="str">
        <f>IF('Calc (ex-animal)'!$F$108=1,"",IF(D581="","",(((VLOOKUP($C$577,'Calc (ex-animal)'!$D$108:$Y$112,6,FALSE)-VLOOKUP($C$577,'Calc (ex-animal)'!$D$108:$Y$112,17,FALSE))*F581/100))*(1-VLOOKUP($C$577,'Calc (ex-animal)'!$D$108:$Y$112,7,FALSE)/100)*(1-VLOOKUP(D581,'DB technologies'!$N$280:$V$292,8,FALSE)/100)))</f>
        <v/>
      </c>
      <c r="M581" s="446" t="str">
        <f>IF(D581="","",((VLOOKUP(D581,'DB technologies'!$N$280:$Y$292,2,FALSE)*VLOOKUP($C$577,'DB animal categories'!$C$211:$AC$220,27,FALSE)*E581/1000)/VLOOKUP($C$577,'DB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'!$S$6/100)*(1-VLOOKUP(D581,'DB technologies'!$N$280:$Y$292,9,FALSE)/100))</f>
        <v/>
      </c>
      <c r="N581" s="446" t="str">
        <f>IF(D581="","",((VLOOKUP(D581,'DB technologies'!$N$280:$Y$292,3,FALSE)*VLOOKUP($C$577,'DB animal categories'!$C$211:$AC$220,27,FALSE)*E581/1000)/VLOOKUP($C$577,'DB animal categories'!$C$211:$AC$220,27,FALSE)*(VLOOKUP($C$577,'DB animal categories'!$C$211:$AC$220,27,FALSE)-VLOOKUP($C$577,'DB animal categories'!$C$211:$AC$220,25,FALSE)*VLOOKUP($C$577,'DB animal categories'!$C$211:$AC$220,26,FALSE)/24))*(1-'DB additional information '!$S$7/100)*(1-VLOOKUP(D581,'DB technologies'!$N$280:$Y$292,9,FALSE)/100))</f>
        <v/>
      </c>
      <c r="O581" s="445" t="str">
        <f>IF(D581="","",((VLOOKUP(D581,'DB technologies'!$N$280:$Y$292,4,FALSE)*E581*(1-'DB additional information '!$S$8/100)*(1-VLOOKUP(D581,'DB technologies'!$N$280:$Y$292,8,FALSE)/100))/VLOOKUP($C$577,'DB animal categories'!$C$211:$AC$220,27,FALSE)*(VLOOKUP($C$577,'DB animal categories'!$C$211:$AC$220,27,FALSE)-VLOOKUP($C$577,'DB animal categories'!$C$211:$AC$220,25,FALSE)*VLOOKUP($C$577,'DB animal categories'!$C$211:$AC$220,26,FALSE)/24)))</f>
        <v/>
      </c>
      <c r="P581" s="444" t="str">
        <f>IF(G581=0,0,IF(E581="","",IF(F581="","",IF($C$577=0,"",IF(D581="","",SUM(H581:K581)/G581*100)))))</f>
        <v/>
      </c>
      <c r="Q581" s="476" t="str">
        <f>IF(D581="","",(VLOOKUP(D581,'DB technologies'!$N$280:$Y$292,2,FALSE)*'DB additional information '!$S$6/100*'DB additional information '!$T$6*VLOOKUP($C$577,'DB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R581" s="476" t="str">
        <f>IF(D581="","",(VLOOKUP(D581,'DB technologies'!$N$280:$Y$292,3,FALSE)*'DB additional information '!$S$7/100*'DB additional information '!$T$7*VLOOKUP($C$577,'DB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S581" s="494" t="str">
        <f>IF(D581="","",(VLOOKUP(D581,'DB technologies'!$N$280:$Y$292,4,FALSE)*('DB additional information '!$S$8/100*'DB additional information '!$T$8*E581/1000/1000)))</f>
        <v/>
      </c>
      <c r="T581" s="266" t="str">
        <f>IF($C$577=0,"",IF('Calc (ex-animal)'!$F$108=1,"",IF(D581="","",((VLOOKUP($C$577,'Calc (ex-animal)'!$D$108:$Y$112,10,FALSE)-VLOOKUP($C$577,'Calc (ex-animal)'!$D$108:$Y$112,18,FALSE))*F581/100+Q581+R581+S581)-AC581-AD581-AE581)))</f>
        <v/>
      </c>
      <c r="U581" s="477" t="str">
        <f>IF(D581="","",(VLOOKUP(D581,'DB technologies'!$N$280:$Y$292,2,FALSE)*'DB additional information '!$S$6/100*'DB additional information '!$U$6*VLOOKUP($C$577,'DB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V581" s="433" t="str">
        <f>IF(D581="","",(VLOOKUP(D581,'DB technologies'!$N$280:$Y$292,3,FALSE)*'DB additional information '!$S$7/100*'DB additional information '!$U$7*VLOOKUP($C$577,'DB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W581" s="475" t="str">
        <f>IF(D581="","",(VLOOKUP(D581,'DB technologies'!$N$280:$Y$292,4,FALSE)*('DB additional information '!$S$8/100*'DB additional information '!$U$8*E581/1000/1000)))</f>
        <v/>
      </c>
      <c r="X581" s="267" t="str">
        <f>IF($C$577=0,"",IF('Calc (ex-animal)'!$F$108=1,"",IF(D581="","",((VLOOKUP($C$577,'Calc (ex-animal)'!$D$108:$Y$112,13,FALSE)-VLOOKUP($C$577,'Calc (ex-animal)'!$D$108:$Y$112,19,FALSE))*F581/100+U581+V581+W581))))</f>
        <v/>
      </c>
      <c r="Y581" s="433" t="str">
        <f>IF(D581="","",(VLOOKUP(D581,'DB technologies'!$N$280:$Y$292,2,FALSE)*'DB additional information '!$S$6/100*'DB additional information '!$V$6*VLOOKUP($C$577,'DB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Z581" s="433" t="str">
        <f>IF(D581="","",(VLOOKUP(D581,'DB technologies'!$N$280:$Y$292,3,FALSE)*'DB additional information '!$S$7/100*'DB additional information '!$V$7*VLOOKUP($C$577,'DB animal categories'!$C$211:$AC$220,27,FALSE)*E581/1000/1000)/VLOOKUP($C$577,'DB animal categories'!$C$211:$AC$220,27,FALSE)*(VLOOKUP($C$577,'DB animal categories'!$C$211:$AC$220,27,FALSE)-VLOOKUP($C$577,'DB animal categories'!$C$211:$AC$220,25,FALSE)*VLOOKUP($C$577,'DB animal categories'!$C$211:$AC$220,26,FALSE)/24))</f>
        <v/>
      </c>
      <c r="AA581" s="433" t="str">
        <f>IF(D581="","",(VLOOKUP(D581,'DB technologies'!$N$280:$Y$292,4,FALSE)*('DB additional information '!$S$8/100*'DB additional information '!$V$8*E581/1000/1000)))</f>
        <v/>
      </c>
      <c r="AB581" s="267" t="str">
        <f>IF($C$577=0,"",IF('Calc (ex-animal)'!$F$108=1,"",IF(D581="","",((VLOOKUP($C$577,'Calc (ex-animal)'!$D$108:$Y$112,16,FALSE)-VLOOKUP($C$577,'Calc (ex-animal)'!$D$108:$Y$112,20,FALSE))*F581/100+Y581+Z581+AA581))))</f>
        <v/>
      </c>
      <c r="AC581" s="267" t="str">
        <f>IF($C$577=0,"",IF('Calc (ex-animal)'!$F$108=1,"",IF(D581="","",VLOOKUP($C$577,'Calc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categories'!$C$211:$AC$220,26,FALSE)/24)*F581/100*VLOOKUP(D581,'DB technologies'!$N$280:$R$292,5,FALSE)/100)))</f>
        <v/>
      </c>
      <c r="AD581" s="267" t="str">
        <f>IF($C$577=0,"",IF('Calc (ex-animal)'!$F$108=1,"",IF(D581="","",VLOOKUP($C$577,'Calc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categories'!$C$211:$AC$220,26,FALSE)/24)*F581/100*VLOOKUP(D581,'DB technologies'!$N$280:$Y$292,6,FALSE)/100)))</f>
        <v/>
      </c>
      <c r="AE581" s="268" t="str">
        <f>IF($C$577=0,"",IF('Calc (ex-animal)'!$F$108=1,"",IF(D581="","",VLOOKUP($C$577,'Calc (ex-animal)'!$D$108:$Y$112,10,FALSE)/VLOOKUP($C$577,'DB animal categories'!$C$211:$AC$220,27,FALSE)*(VLOOKUP($C$577,'DB animal categories'!$C$211:$AC$220,27,FALSE)-VLOOKUP($C$577,'DB animal categories'!$C$211:$AC$220,25,FALSE)*VLOOKUP($C$577,'DB animal categories'!$C$211:$AC$220,26,FALSE)/24)*F581/100*VLOOKUP(D581,'DB technologies'!$N$280:$Y$292,7,FALSE)/100)))</f>
        <v/>
      </c>
      <c r="AI581" s="183" t="str">
        <f>IF(D581="","",VLOOKUP(D581,'DB technologies'!$N$280:$Y$292,10,FALSE))</f>
        <v/>
      </c>
      <c r="AJ581" s="451" t="e">
        <f>VLOOKUP($C$577,'DB animal categories'!$C$211:$AN$220,27,FALSE)-VLOOKUP($C$577,'DB animal categories'!$C$211:$AN$220,26,FALSE)*VLOOKUP($C$577,'DB animal categories'!$C$211:$AN$220,25,FALSE)/24</f>
        <v>#N/A</v>
      </c>
      <c r="AK581" s="452" t="str">
        <f>IF(AI581="","",AL581+AM581)</f>
        <v/>
      </c>
      <c r="AL581" s="452" t="str">
        <f>IF(D581="","",IF(AI581=2,(('Calc (ex-animal)'!$G$108*'DB additional information '!$K$23/100*(1-VLOOKUP(D581,'DB technologies'!$N$280:$Y$292,9,FALSE)/100)*'Calc (ex-housing, ex-storage)'!F581/100+'Calc (ex-animal)'!$H$108*'DB additional information '!$L$23/100*(1-VLOOKUP(D581,'DB technologies'!$N$280:$Y$292,9,FALSE)/100)*'Calc (ex-housing, ex-storage)'!F581/100))/VLOOKUP($C$577,'DB animal categories'!$C$211:$AC$220,27,FALSE)*AJ581+I581+J581+K581,IF(AI581=1,('Calc (ex-animal)'!$H$108*'DB additional information '!$L$23/100*(1-VLOOKUP(D581,'DB technologies'!$N$280:$Y$292,9,FALSE)/100)*'Calc (ex-housing, ex-storage)'!F581/100)/VLOOKUP($C$577,'DB animal categories'!$C$211:$AC$220,27,FALSE)*AJ581,IF(AI581=4,('Calc (ex-animal)'!$G$108*'DB additional information '!$K$23/100+'Calc (ex-animal)'!$H$108*'DB additional information '!$L$23/100)*(1-VLOOKUP(D581,'DB technologies'!$N$280:$Y$292,9,FALSE)/100)*'Calc (ex-housing, ex-storage)'!F581/100*VLOOKUP(D581,'DB technologies'!$N$280:$Y$292,11,FALSE)/100/VLOOKUP($C$577,'DB animal categories'!$C$211:$AC$220,27,FALSE)*AJ581,0))))</f>
        <v/>
      </c>
      <c r="AM581" s="452" t="str">
        <f>IF(D581="","",IF(AI581=2,(('Calc (ex-animal)'!$G$108*(1-'DB additional information '!$K$23/100)*(1-VLOOKUP(D581,'DB technologies'!$N$280:$Y$292,8,FALSE)/100)*'Calc (ex-housing, ex-storage)'!F581/100+'Calc (ex-animal)'!$H$108*(1-'DB additional information '!$L$23/100)*(1-VLOOKUP(D581,'DB technologies'!$N$280:$Y$292,8,FALSE)/100)*'Calc (ex-housing, ex-storage)'!F581/100))/VLOOKUP($C$577,'DB animal categories'!$C$211:$AC$220,27,FALSE)*AJ581+M581+N581+O581,IF(AI581=1,('Calc (ex-animal)'!$H$108*(1-'DB additional information '!$L$23/100)*(1-VLOOKUP(D581,'DB technologies'!$N$280:$Y$292,8,FALSE)/100)*'Calc (ex-housing, ex-storage)'!F581/100)/VLOOKUP($C$577,'DB animal categories'!$C$211:$AC$220,27,FALSE)*AJ581,IF(AI581=4,('Calc (ex-animal)'!$G$108*(1-'DB additional information '!$K$23/100)+'Calc (ex-animal)'!$H$108*(1-'DB additional information '!$L$23/100))*(1-VLOOKUP(D581,'DB technologies'!$N$280:$Y$292,8,FALSE)/100)*'Calc (ex-housing, ex-storage)'!F581/100*VLOOKUP(D581,'DB technologies'!$N$280:$Y$292,11,FALSE)/100/VLOOKUP($C$577,'DB animal categories'!$C$211:$AC$220,27,FALSE)*AJ581,0))))</f>
        <v/>
      </c>
      <c r="AN581" s="452" t="str">
        <f>IF(AI581="","",IF(AL581=0,0,AL581/AK581*100))</f>
        <v/>
      </c>
      <c r="AO581" s="184" t="str">
        <f>IF(D581="","",IF(AI581=2,(('Calc (ex-animal)'!$L$108*'Calc (ex-housing, ex-storage)'!F581/100+'Calc (ex-animal)'!$K$108*'Calc (ex-housing, ex-storage)'!F581/100))/VLOOKUP($C$577,'DB animal categories'!$C$211:$AC$220,27,FALSE)*AJ581+Q581+R581+S581-AC581,IF(AI581=1,('Calc (ex-animal)'!$L$108*'Calc (ex-housing, ex-storage)'!F581/100)/VLOOKUP($C$577,'DB animal categories'!$C$211:$AC$220,27,FALSE)*AJ581-'Calc (ex-housing, ex-storage)'!AC581,IF(AI581=4,('Calc (ex-animal)'!$L$108+'Calc (ex-animal)'!$K$108)*'Calc (ex-housing, ex-storage)'!F581/100*VLOOKUP(D581,'DB technologies'!$N$280:$Y$292,11,FALSE)/100/VLOOKUP($C$577,'DB animal categories'!$C$211:$AC$220,27,FALSE)*AJ581-AC581*VLOOKUP(D581,'DB technologies'!$N$280:$Y$292,11,FALSE)/100,0))))</f>
        <v/>
      </c>
      <c r="AP581" s="184" t="str">
        <f>IF(D581="","",IF(AO581&lt;-0.01,0,IF(AI581=2,(('Calc (ex-animal)'!$L$108*'Calc (ex-housing, ex-storage)'!F581/100+'Calc (ex-animal)'!$K$108*'Calc (ex-housing, ex-storage)'!F581/100))/VLOOKUP($C$577,'DB animal categories'!$C$211:$AC$220,27,FALSE)*AJ581+Q581+R581+S581-AC581,IF(AI581=1,('Calc (ex-animal)'!$L$108*'Calc (ex-housing, ex-storage)'!F581/100)/VLOOKUP($C$577,'DB animal categories'!$C$211:$AC$220,27,FALSE)*AJ581-'Calc (ex-housing, ex-storage)'!AC581,IF(AI581=4,('Calc (ex-animal)'!$L$108+'Calc (ex-animal)'!$K$108)*'Calc (ex-housing, ex-storage)'!F581/100*VLOOKUP(D581,'DB technologies'!$N$280:$Y$292,11,FALSE)/100/VLOOKUP($C$577,'DB animal categories'!$C$211:$AC$220,27,FALSE)*AJ581-AC581*VLOOKUP(D581,'DB technologies'!$N$280:$Y$292,11,FALSE)/100,0)))))</f>
        <v/>
      </c>
      <c r="AQ581" s="184" t="str">
        <f>IF(D581="","",IF(AI581=2,('Calc (ex-animal)'!$O$108*'Calc (ex-housing, ex-storage)'!F581/100+'Calc (ex-animal)'!$N$108*'Calc (ex-housing, ex-storage)'!F581/100)/VLOOKUP($C$577,'DB animal categories'!$C$211:$AC$220,27,FALSE)*AJ581+U581+V581+W581,IF(AI581=1,'Calc (ex-animal)'!$O$108*'Calc (ex-housing, ex-storage)'!F581/100/VLOOKUP($C$577,'DB animal categories'!$C$211:$AC$220,27,FALSE)*AJ581,IF(AI581=4,('Calc (ex-animal)'!$O$108+'Calc (ex-animal)'!$N$108)*'Calc (ex-housing, ex-storage)'!F581/100*VLOOKUP(D581,'DB technologies'!$N$280:$Y$292,11,FALSE)/100/VLOOKUP($C$577,'DB animal categories'!$C$211:$AC$220,27,FALSE)*AJ581,0))))</f>
        <v/>
      </c>
      <c r="AR581" s="184" t="str">
        <f>IF(D581="","",IF(AI581=2,('Calc (ex-animal)'!$R$108*'Calc (ex-housing, ex-storage)'!F581/100+'Calc (ex-animal)'!$Q$108*'Calc (ex-housing, ex-storage)'!F581/100)/VLOOKUP($C$577,'DB animal categories'!$C$211:$AC$220,27,FALSE)*AJ581+Y581+Z581+AA581,IF(AI581=1,'Calc (ex-animal)'!$R$108*'Calc (ex-housing, ex-storage)'!F581/100/VLOOKUP($C$577,'DB animal categories'!$C$211:$AC$220,27,FALSE)*AJ581,IF(AI581=4,('Calc (ex-animal)'!$R$108+'Calc (ex-animal)'!$Q$108)*'Calc (ex-housing, ex-storage)'!F581/100*VLOOKUP(D581,'DB technologies'!$N$280:$Y$292,11,FALSE)/100/VLOOKUP($C$577,'DB animal categories'!$C$211:$AC$220,27,FALSE)*AJ581,0))))</f>
        <v/>
      </c>
      <c r="AS581" s="183" t="str">
        <f>IF(D581="","",VLOOKUP(D581,'DB technologies'!$N$280:$Y$292,10,FALSE))</f>
        <v/>
      </c>
      <c r="AT581" s="452" t="str">
        <f>IF(AS581="","",AU581+AV581)</f>
        <v/>
      </c>
      <c r="AU581" s="452" t="str">
        <f>IF(D581="","",IF(AS581=2,0,IF(AS581=1,'Calc (ex-animal)'!$G$108*'DB additional information '!$K$23/100*(1-VLOOKUP(D581,'DB technologies'!$N$280:$Y$292,8,FALSE)/100)*'Calc (ex-housing, ex-storage)'!F581/100/VLOOKUP($C$577,'DB animal categories'!$C$211:$AC$220,27,FALSE)*AJ581+I581+J581+K581,IF(AS581=5,(('Calc (ex-animal)'!$G$108*'DB additional information '!$K$23/100+'Calc (ex-animal)'!$H$108*'DB additional information '!$L$23/100))*(1-VLOOKUP(D581,'DB technologies'!$N$280:$Y$292,9,FALSE)/100)*'Calc (ex-housing, ex-storage)'!F581/100/VLOOKUP($C$577,'DB animal categories'!$C$211:$AC$220,27,FALSE)*AJ581+I581+J581+K581,IF(AS581=3,('Calc (ex-animal)'!$G$108*'DB additional information '!$K$23/100+'Calc (ex-animal)'!$H$108*'DB additional information '!$L$23/100)*(1-VLOOKUP(D581,'DB technologies'!$N$280:$Y$292,9,FALSE)/100)*'Calc (ex-housing, ex-storage)'!F581/100/VLOOKUP($C$577,'DB animal categories'!$C$211:$AC$220,27,FALSE)*AJ581+I581+J581+K581,IF(AS581=4,('Calc (ex-animal)'!$G$108*'DB additional information '!$K$23/100+'Calc (ex-animal)'!$H$108*'DB additional information '!$L$23/100)*(1-VLOOKUP(D581,'DB technologies'!$N$280:$Y$292,9,FALSE)/100)*'Calc (ex-housing, ex-storage)'!F581/100*VLOOKUP(D581,'DB technologies'!$N$280:$Y$292,12,FALSE)/100/VLOOKUP($C$577,'DB animal categories'!$C$211:$AC$220,27,FALSE)*AJ581+I581+J581+K581,0))))))</f>
        <v/>
      </c>
      <c r="AV581" s="452" t="str">
        <f>IF(D581="","",IF(AS581=2,0,IF(AS581=1,'Calc (ex-animal)'!$G$108*(1-'DB additional information '!$K$23/100)*(1-VLOOKUP(D581,'DB technologies'!$N$280:$Y$292,8,FALSE)/100)*'Calc (ex-housing, ex-storage)'!F581/100/VLOOKUP($C$577,'DB animal categories'!$C$211:$AC$220,27,FALSE)*AJ581+M581+N581+O581,IF(AS581=5,('Calc (ex-animal)'!$G$108*(1-'DB additional information '!$K$23/100)+'Calc (ex-animal)'!$H$108*(1-'DB additional information '!$L$23/100))*(1-VLOOKUP(D581,'DB technologies'!$N$280:$Y$292,8,FALSE)/100)*'Calc (ex-housing, ex-storage)'!F581/100/VLOOKUP($C$577,'DB animal categories'!$C$211:$AC$220,27,FALSE)*AJ581+M581+N581+O581,IF(AS581=3,('Calc (ex-animal)'!$G$108*(1-'DB additional information '!$K$23/100)+'Calc (ex-animal)'!$H$108*(1-'DB additional information '!$L$23/100))*(1-VLOOKUP(D581,'DB technologies'!$N$280:$Y$292,8,FALSE)/100)*'Calc (ex-housing, ex-storage)'!F581/100/VLOOKUP($C$577,'DB animal categories'!$C$211:$AC$220,27,FALSE)*AJ581+M581+N581+O581,IF(AS581=4,('Calc (ex-animal)'!$G$108*(1-'DB additional information '!$K$23/100)+'Calc (ex-animal)'!$H$108*(1-'DB additional information '!$L$23/100))*(1-VLOOKUP(D581,'DB technologies'!$N$280:$Y$292,8,FALSE)/100)*'Calc (ex-housing, ex-storage)'!F581/100*VLOOKUP(D581,'DB technologies'!$N$280:$Y$292,12,FALSE)/100/VLOOKUP($C$577,'DB animal categories'!$C$211:$AC$220,27,FALSE)*AJ581+M581+N581+O581,0))))))</f>
        <v/>
      </c>
      <c r="AW581" s="452" t="str">
        <f>IF(AS581="","",IF(AU581=0,0,AU581/AT581*100))</f>
        <v/>
      </c>
      <c r="AX581" s="184" t="str">
        <f>IF(D581="","",IF(AS581=2,0,IF(AS581=1,'Calc (ex-animal)'!$K$108*'Calc (ex-housing, ex-storage)'!F581/100/VLOOKUP($C$577,'DB animal categories'!$C$211:$AC$220,27,FALSE)*AJ581+Q581+R581+S581,IF(AS581=5,('Calc (ex-animal)'!$K$108+'Calc (ex-animal)'!$L$108)*'Calc (ex-housing, ex-storage)'!F581/100/VLOOKUP($C$577,'DB animal categories'!$C$211:$AC$220,27,FALSE)*AJ581+Q581+R581+S581-'Calc (ex-housing, ex-storage)'!AC581,IF(AS581=3,('Calc (ex-animal)'!$K$108+'Calc (ex-animal)'!$L$108)*'Calc (ex-housing, ex-storage)'!F581/100/VLOOKUP($C$577,'DB animal categories'!$C$211:$AC$220,27,FALSE)*AJ581+Q581+R581+S581-'Calc (ex-housing, ex-storage)'!AC581-AD581-AE581,IF(AI581=4,('Calc (ex-animal)'!$K$108+'Calc (ex-animal)'!$L$108)*'Calc (ex-housing, ex-storage)'!F581/100*VLOOKUP(D581,'DB technologies'!$N$280:$Y$292,12,FALSE)/100/VLOOKUP($C$577,'DB animal categories'!$C$211:$AC$220,27,FALSE)*AJ581+Q581+R581+S581-(VLOOKUP(D581,'DB technologies'!$N$280:$Y$292,12,FALSE)/100*AC581)-AD581-AE581,0))))))</f>
        <v/>
      </c>
      <c r="AY581" s="184" t="str">
        <f>IF(D581="","",IF(AS581=2,0,IF(AS581=1,'Calc (ex-animal)'!$N$108*'Calc (ex-housing, ex-storage)'!F581/100/VLOOKUP($C$577,'DB animal categories'!$C$211:$AC$220,27,FALSE)*AJ581+U581+V581+W581,IF(AS581=5,('Calc (ex-animal)'!$N$108+'Calc (ex-animal)'!$O$108)*'Calc (ex-housing, ex-storage)'!F581/100/VLOOKUP($C$577,'DB animal categories'!$C$211:$AC$220,27,FALSE)*AJ581+U581+V581+W581,IF(AS581=3,('Calc (ex-animal)'!$N$108+'Calc (ex-animal)'!$O$108)*'Calc (ex-housing, ex-storage)'!F581/100/VLOOKUP($C$577,'DB animal categories'!$C$211:$AC$220,27,FALSE)*AJ581+U581+V581+W581,IF(AS581=4,('Calc (ex-animal)'!$N$108+'Calc (ex-animal)'!$O$108)*'Calc (ex-housing, ex-storage)'!F581/100*VLOOKUP(D581,'DB technologies'!$N$280:$Y$292,12,FALSE)/100/VLOOKUP($C$577,'DB animal categories'!$C$211:$AC$220,27,FALSE)*AJ581+U581+V581+W581,0))))))</f>
        <v/>
      </c>
      <c r="AZ581" s="184" t="str">
        <f>IF(D581="","",IF(AS581=2,0,IF(AS581=1,'Calc (ex-animal)'!$Q$108*'Calc (ex-housing, ex-storage)'!F581/100/VLOOKUP($C$577,'DB animal categories'!$C$211:$AC$220,27,FALSE)*AJ581+Y581+Z581+AA581,IF(AS581=5,('Calc (ex-animal)'!$Q$108+'Calc (ex-animal)'!$R$108)*'Calc (ex-housing, ex-storage)'!F581/100/VLOOKUP($C$577,'DB animal categories'!$C$211:$AC$220,27,FALSE)*AJ581+Y581+Z581+AA581,IF(AS581=3,('Calc (ex-animal)'!$Q$108+'Calc (ex-animal)'!$R$108)*'Calc (ex-housing, ex-storage)'!F581/100/VLOOKUP($C$577,'DB animal categories'!$C$211:$AC$220,27,FALSE)*AJ581+Y581+Z581+AA581,IF(AS581=4,('Calc (ex-animal)'!$Q$108+'Calc (ex-animal)'!$R$108)*'Calc (ex-housing, ex-storage)'!F581/100*VLOOKUP(D581,'DB technologies'!$N$280:$Y$292,12,FALSE)/100/VLOOKUP($C$577,'DB animal categories'!$C$211:$AC$220,27,FALSE)*AJ581+Y581+Z581+AA581,0))))))</f>
        <v/>
      </c>
      <c r="BA581" s="506"/>
      <c r="BB581" s="506"/>
      <c r="BC581" s="506"/>
    </row>
    <row r="582" spans="1:55" ht="12" thickBot="1" x14ac:dyDescent="0.25">
      <c r="A582" s="748"/>
      <c r="B582" s="695"/>
      <c r="C582" s="252"/>
      <c r="D582" s="269" t="s">
        <v>58</v>
      </c>
      <c r="E582" s="270">
        <f>IF('Calc (ex-animal)'!F108=1,'Calc (ex-animal)'!E108,IF(F582&lt;=100,SUM(E577:E581),"ERROR"))</f>
        <v>0</v>
      </c>
      <c r="F582" s="284">
        <f>IF('Calc (ex-animal)'!F108=1,100,IF(SUM(F577:F581) &lt;=100,SUM(F577:F581),"ERROR, SUM&gt;100%"))</f>
        <v>0</v>
      </c>
      <c r="G582" s="550">
        <f>IF('Calc (ex-animal)'!$F$108=1,"",SUM(G577:G581))</f>
        <v>0</v>
      </c>
      <c r="H582" s="418">
        <f>IF('Calc (ex-animal)'!$F$8=1,"",SUM(H577:H581))</f>
        <v>0</v>
      </c>
      <c r="I582" s="418">
        <f>IF('Calc (ex-animal)'!$F$8=1,"",SUM(I577:I581))</f>
        <v>0</v>
      </c>
      <c r="J582" s="418">
        <f>IF('Calc (ex-animal)'!$F$8=1,"",SUM(J577:J581))</f>
        <v>0</v>
      </c>
      <c r="K582" s="418">
        <f>IF('Calc (ex-animal)'!$F$8=1,"",SUM(K577:K581))</f>
        <v>0</v>
      </c>
      <c r="L582" s="418">
        <f>IF('Calc (ex-animal)'!$F$8=1,"",SUM(L577:L581))</f>
        <v>0</v>
      </c>
      <c r="M582" s="551"/>
      <c r="N582" s="551"/>
      <c r="O582" s="551"/>
      <c r="P582" s="552">
        <f>IF(G582=0,0,IF('Calc (ex-animal)'!$F$108=1,"",IF(D582="","",SUM(H582:K582)/G582*100)))</f>
        <v>0</v>
      </c>
      <c r="Q582" s="271"/>
      <c r="R582" s="271"/>
      <c r="S582" s="271"/>
      <c r="T582" s="278">
        <f>IF('Calc (ex-animal)'!$F$108=1,"",SUM(T577:T581))</f>
        <v>0</v>
      </c>
      <c r="U582" s="279"/>
      <c r="V582" s="279"/>
      <c r="W582" s="279"/>
      <c r="X582" s="279">
        <f>IF('Calc (ex-animal)'!$F$108=1,"",SUM(X577:X581))</f>
        <v>0</v>
      </c>
      <c r="Y582" s="279"/>
      <c r="Z582" s="279"/>
      <c r="AA582" s="279"/>
      <c r="AB582" s="279">
        <f>IF('Calc (ex-animal)'!$F$108=1,"",SUM(AB577:AB581))</f>
        <v>0</v>
      </c>
      <c r="AC582" s="279">
        <f>IF('Calc (ex-animal)'!$F$108=1,"",SUM(AC577:AC581))</f>
        <v>0</v>
      </c>
      <c r="AD582" s="279">
        <f>IF('Calc (ex-animal)'!$F$108=1,"",SUM(AD577:AD581))</f>
        <v>0</v>
      </c>
      <c r="AE582" s="280">
        <f>IF('Calc (ex-animal)'!$F$108=1,"",SUM(AE577:AE581))</f>
        <v>0</v>
      </c>
    </row>
    <row r="583" spans="1:55" x14ac:dyDescent="0.2">
      <c r="A583" s="748"/>
      <c r="B583" s="695"/>
      <c r="C583" s="250">
        <f>'Calc (ex-animal)'!D109</f>
        <v>0</v>
      </c>
      <c r="D583" s="1355"/>
      <c r="E583" s="1356"/>
      <c r="F583" s="479" t="str">
        <f>IF('Calc (ex-animal)'!$F$108=1,"",IF($C$583=0,"",IF(D583="","",E583/'Calc (ex-animal)'!$E$109*100)))</f>
        <v/>
      </c>
      <c r="G583" s="484" t="str">
        <f>IF($C$583=0,"",IF('Calc (ex-animal)'!$F$108=1,"",IF(D583="","",SUM(H583:O583))))</f>
        <v/>
      </c>
      <c r="H583" s="471" t="str">
        <f>IF('Calc (ex-animal)'!$F$108=1,"",IF(D583="","",(((VLOOKUP($C$583,'Calc (ex-animal)'!$D$108:$Y$112,6,FALSE)-VLOOKUP($C$583,'Calc (ex-animal)'!$D$108:$Y$112,17,FALSE))*F583/100))*VLOOKUP($C$583,'Calc (ex-animal)'!$D$108:$Y$112,7,FALSE)/100*(1-VLOOKUP(D583,'DB technologies'!$N$280:$Y$292,9,FALSE)/100)))</f>
        <v/>
      </c>
      <c r="I583" s="471" t="str">
        <f>IF(D583="","",((VLOOKUP(D583,'DB technologies'!$N$280:$Y$292,2,FALSE)*VLOOKUP($C$583,'DB animal categories'!$C$211:$AC$220,27,FALSE)*E583/1000)/VLOOKUP($C$583,'DB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'!$S$6/100*(1-VLOOKUP(D583,'DB technologies'!$N$280:$Y$292,9,FALSE)/100)))</f>
        <v/>
      </c>
      <c r="J583" s="472" t="str">
        <f>IF(D583="","",((VLOOKUP(D583,'DB technologies'!$N$280:$Y$292,3,FALSE)*VLOOKUP($C$583,'DB animal categories'!$C$211:$AC$220,27,FALSE)*E583/1000)/VLOOKUP($C$583,'DB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'!$S$7/100*(1-VLOOKUP(D583,'DB technologies'!$N$280:$Y$292,9,FALSE)/100)))</f>
        <v/>
      </c>
      <c r="K583" s="472" t="str">
        <f>IF(D583="","",((VLOOKUP(D583,'DB technologies'!$N$280:$Y$292,4,FALSE)*E583*'DB additional information '!$S$8/100*(1-VLOOKUP(D583,'DB technologies'!$N$280:$Y$292,9,FALSE)/100))/VLOOKUP($C$583,'DB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L583" s="471" t="str">
        <f>IF('Calc (ex-animal)'!$F$108=1,"",IF(D583="","",(((VLOOKUP($C$583,'Calc (ex-animal)'!$D$108:$Y$112,6,FALSE)-VLOOKUP($C$583,'Calc (ex-animal)'!$D$108:$Y$112,17,FALSE))*F583/100))*(1-VLOOKUP($C$583,'Calc (ex-animal)'!$D$108:$Y$112,7,FALSE)/100)*(1-VLOOKUP(D583,'DB technologies'!$N$280:$V$292,8,FALSE)/100)))</f>
        <v/>
      </c>
      <c r="M583" s="472" t="str">
        <f>IF(D583="","",((VLOOKUP(D583,'DB technologies'!$N$280:$Y$292,2,FALSE)*VLOOKUP($C$583,'DB animal categories'!$C$211:$AC$220,27,FALSE)*E583/1000)/VLOOKUP($C$583,'DB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'!$S$6/100)*(1-VLOOKUP(D583,'DB technologies'!$N$280:$Y$292,9,FALSE)/100))</f>
        <v/>
      </c>
      <c r="N583" s="472" t="str">
        <f>IF(D583="","",((VLOOKUP(D583,'DB technologies'!$N$280:$Y$292,3,FALSE)*VLOOKUP($C$583,'DB animal categories'!$C$211:$AC$220,27,FALSE)*E583/1000)/VLOOKUP($C$583,'DB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'!$S$7/100)*(1-VLOOKUP(D583,'DB technologies'!$N$280:$Y$292,9,FALSE)/100))</f>
        <v/>
      </c>
      <c r="O583" s="471" t="str">
        <f>IF(D583="","",((VLOOKUP(D583,'DB technologies'!$N$280:$Y$292,4,FALSE)*E583*(1-'DB additional information '!$S$8/100)*(1-VLOOKUP(D583,'DB technologies'!$N$280:$Y$292,8,FALSE)/100))/VLOOKUP($C$583,'DB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P583" s="443" t="str">
        <f>IF(G583=0,0,IF(E583="","",IF(F583="","",IF($C$583=0,"",IF(D583="","",SUM(H583:K583)/G583*100)))))</f>
        <v/>
      </c>
      <c r="Q583" s="473" t="str">
        <f>IF(D583="","",(VLOOKUP(D583,'DB technologies'!$N$280:$Y$292,2,FALSE)*'DB additional information '!$S$6/100*'DB additional information '!$T$6*VLOOKUP($C$583,'DB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R583" s="473" t="str">
        <f>IF(D583="","",(VLOOKUP(D583,'DB technologies'!$N$280:$Y$292,3,FALSE)*'DB additional information '!$S$7/100*'DB additional information '!$T$7*VLOOKUP($C$583,'DB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S583" s="490" t="str">
        <f>IF(D583="","",(VLOOKUP(D583,'DB technologies'!$N$280:$Y$292,4,FALSE)*('DB additional information '!$S$8/100*'DB additional information '!$T$8*E583/1000/1000)))</f>
        <v/>
      </c>
      <c r="T583" s="263" t="str">
        <f>IF($C$583=0,"",IF('Calc (ex-animal)'!$F$108=1,"",IF(D583="","",((VLOOKUP($C$583,'Calc (ex-animal)'!$D$108:$Y$112,10,FALSE)-VLOOKUP($C$583,'Calc (ex-animal)'!$D$108:$Y$112,18,FALSE))*F583/100+Q583+R583+S583)-AC583-AD583-AE583)))</f>
        <v/>
      </c>
      <c r="U583" s="474" t="str">
        <f>IF(D583="","",(VLOOKUP(D583,'DB technologies'!$N$280:$Y$292,2,FALSE)*'DB additional information '!$S$6/100*'DB additional information '!$U$6*VLOOKUP($C$583,'DB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V583" s="420" t="str">
        <f>IF(D583="","",(VLOOKUP(D583,'DB technologies'!$N$280:$Y$292,3,FALSE)*'DB additional information '!$S$7/100*'DB additional information '!$U$7*VLOOKUP($C$583,'DB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W583" s="415" t="str">
        <f>IF(D583="","",(VLOOKUP(D583,'DB technologies'!$N$280:$Y$292,4,FALSE)*('DB additional information '!$S$8/100*'DB additional information '!$U$8*E583/1000/1000)))</f>
        <v/>
      </c>
      <c r="X583" s="259" t="str">
        <f>IF($C$583=0,"",IF('Calc (ex-animal)'!$F$108=1,"",IF(D583="","",((VLOOKUP($C$583,'Calc (ex-animal)'!$D$108:$Y$112,13,FALSE)-VLOOKUP($C$583,'Calc (ex-animal)'!$D$108:$Y$112,19,FALSE))*F583/100+U583+V583+W583))))</f>
        <v/>
      </c>
      <c r="Y583" s="420" t="str">
        <f>IF(D583="","",(VLOOKUP(D583,'DB technologies'!$N$280:$Y$292,2,FALSE)*'DB additional information '!$S$6/100*'DB additional information '!$V$6*VLOOKUP($C$583,'DB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Z583" s="420" t="str">
        <f>IF(D583="","",(VLOOKUP(D583,'DB technologies'!$N$280:$Y$292,3,FALSE)*'DB additional information '!$S$7/100*'DB additional information '!$V$7*VLOOKUP($C$583,'DB animal categories'!$C$211:$AC$220,27,FALSE)*E583/1000/1000)/VLOOKUP($C$583,'DB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AA583" s="420" t="str">
        <f>IF(D583="","",(VLOOKUP(D583,'DB technologies'!$N$280:$Y$292,4,FALSE)*('DB additional information '!$S$8/100*'DB additional information '!$V$8*E583/1000/1000)))</f>
        <v/>
      </c>
      <c r="AB583" s="259" t="str">
        <f>IF($C$583=0,"",IF('Calc (ex-animal)'!$F$108=1,"",IF(D583="","",((VLOOKUP($C$583,'Calc (ex-animal)'!$D$108:$Y$112,16,FALSE)-VLOOKUP($C$583,'Calc (ex-animal)'!$D$108:$Y$112,20,FALSE))*F583/100+Y583+Z583+AA583))))</f>
        <v/>
      </c>
      <c r="AC583" s="259" t="str">
        <f>IF($C$583=0,"",IF('Calc (ex-animal)'!$F$108=1,"",IF(D583="","",VLOOKUP($C$583,'Calc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categories'!$C$211:$AC$220,26,FALSE)/24)*F583/100*VLOOKUP(D583,'DB technologies'!$N$280:$R$292,5,FALSE)/100)))</f>
        <v/>
      </c>
      <c r="AD583" s="259" t="str">
        <f>IF($C$583=0,"",IF('Calc (ex-animal)'!$F$108=1,"",IF(D583="","",VLOOKUP($C$583,'Calc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categories'!$C$211:$AC$220,26,FALSE)/24)*F583/100*VLOOKUP(D583,'DB technologies'!$N$280:$Y$292,6,FALSE)/100)))</f>
        <v/>
      </c>
      <c r="AE583" s="260" t="str">
        <f>IF($C$583=0,"",IF('Calc (ex-animal)'!$F$108=1,"",IF(D583="","",VLOOKUP($C$583,'Calc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categories'!$C$211:$AC$220,26,FALSE)/24)*F583/100*VLOOKUP(D583,'DB technologies'!$N$280:$Y$292,7,FALSE)/100)))</f>
        <v/>
      </c>
      <c r="AI583" s="179" t="str">
        <f>IF(D583="","",VLOOKUP(D583,'DB technologies'!$N$280:$Y$292,10,FALSE))</f>
        <v/>
      </c>
      <c r="AJ583" s="482" t="e">
        <f>VLOOKUP($C$583,'DB animal categories'!$C$211:$AN$220,27,FALSE)-VLOOKUP($C$583,'DB animal categories'!$C$211:$AN$220,26,FALSE)*VLOOKUP($C$583,'DB animal categories'!$C$211:$AN$220,25,FALSE)/24</f>
        <v>#N/A</v>
      </c>
      <c r="AK583" s="453" t="str">
        <f>IF(AI583="","",AL583+AM583)</f>
        <v/>
      </c>
      <c r="AL583" s="453" t="str">
        <f>IF(D583="","",IF(AI583=2,(('Calc (ex-animal)'!$G$109*'DB additional information '!$K$23/100*(1-VLOOKUP(D583,'DB technologies'!$N$280:$Y$292,9,FALSE)/100)*'Calc (ex-housing, ex-storage)'!F583/100+'Calc (ex-animal)'!$H$109*'DB additional information '!$L$23/100*(1-VLOOKUP(D583,'DB technologies'!$N$280:$Y$292,9,FALSE)/100)*'Calc (ex-housing, ex-storage)'!F583/100))/VLOOKUP($C$583,'DB animal categories'!$C$211:$AC$220,27,FALSE)*AJ583+I583+J583+K583,IF(AI583=1,('Calc (ex-animal)'!$H$109*'DB additional information '!$L$23/100*(1-VLOOKUP(D583,'DB technologies'!$N$280:$Y$292,9,FALSE)/100)*'Calc (ex-housing, ex-storage)'!F583/100)/VLOOKUP($C$583,'DB animal categories'!$C$211:$AC$220,27,FALSE)*AJ583,IF(AI583=4,('Calc (ex-animal)'!$G$109*'DB additional information '!$K$23/100+'Calc (ex-animal)'!$H$109*'DB additional information '!$L$23/100)*(1-VLOOKUP(D583,'DB technologies'!$N$280:$Y$292,9,FALSE)/100)*'Calc (ex-housing, ex-storage)'!F583/100*VLOOKUP(D583,'DB technologies'!$N$280:$Y$292,11,FALSE)/100/VLOOKUP($C$583,'DB animal categories'!$C$211:$AC$220,27,FALSE)*AJ583,0))))</f>
        <v/>
      </c>
      <c r="AM583" s="453" t="str">
        <f>IF(D583="","",IF(AI583=2,(('Calc (ex-animal)'!$G$109*(1-'DB additional information '!$K$23/100)*(1-VLOOKUP(D583,'DB technologies'!$N$280:$Y$292,8,FALSE)/100)*'Calc (ex-housing, ex-storage)'!F583/100+'Calc (ex-animal)'!$H$109*(1-'DB additional information '!$L$23/100)*(1-VLOOKUP(D583,'DB technologies'!$N$280:$Y$292,8,FALSE)/100)*'Calc (ex-housing, ex-storage)'!F583/100))/VLOOKUP($C$583,'DB animal categories'!$C$211:$AC$220,27,FALSE)*AJ583+M583+N583+O583,IF(AI583=1,('Calc (ex-animal)'!$H$109*(1-'DB additional information '!$L$23/100)*(1-VLOOKUP(D583,'DB technologies'!$N$280:$Y$292,8,FALSE)/100)*'Calc (ex-housing, ex-storage)'!F583/100)/VLOOKUP($C$583,'DB animal categories'!$C$211:$AC$220,27,FALSE)*AJ583,IF(AI583=4,('Calc (ex-animal)'!$G$109*(1-'DB additional information '!$K$23/100)+'Calc (ex-animal)'!$H$109*(1-'DB additional information '!$L$23/100))*(1-VLOOKUP(D583,'DB technologies'!$N$280:$Y$292,8,FALSE)/100)*'Calc (ex-housing, ex-storage)'!F583/100*VLOOKUP(D583,'DB technologies'!$N$280:$Y$292,11,FALSE)/100/VLOOKUP($C$583,'DB animal categories'!$C$211:$AC$220,27,FALSE)*AJ583,0))))</f>
        <v/>
      </c>
      <c r="AN583" s="453" t="str">
        <f>IF(AI583="","",IF(AL583=0,0,AL583/AK583*100))</f>
        <v/>
      </c>
      <c r="AO583" s="180" t="str">
        <f>IF(D583="","",IF(AI583=2,(('Calc (ex-animal)'!$L$109*'Calc (ex-housing, ex-storage)'!F583/100+'Calc (ex-animal)'!$K$109*'Calc (ex-housing, ex-storage)'!F583/100))/VLOOKUP($C$583,'DB animal categories'!$C$211:$AC$220,27,FALSE)*AJ583+Q583+R583+S583-AC583,IF(AI583=1,('Calc (ex-animal)'!$L$109*'Calc (ex-housing, ex-storage)'!F583/100)/VLOOKUP($C$583,'DB animal categories'!$C$211:$AC$220,27,FALSE)*AJ583-'Calc (ex-housing, ex-storage)'!AC583,IF(AI583=4,('Calc (ex-animal)'!$L$109+'Calc (ex-animal)'!$K$109)*'Calc (ex-housing, ex-storage)'!F583/100*VLOOKUP(D583,'DB technologies'!$N$280:$Y$292,11,FALSE)/100/VLOOKUP($C$583,'DB animal categories'!$C$211:$AC$220,27,FALSE)*AJ583-AC583*VLOOKUP(D583,'DB technologies'!$N$280:$Y$292,11,FALSE)/100,0))))</f>
        <v/>
      </c>
      <c r="AP583" s="180" t="str">
        <f>IF(D583="","",IF(AO583&lt;-0.01,0,IF(AI583=2,(('Calc (ex-animal)'!$L$109*'Calc (ex-housing, ex-storage)'!F583/100+'Calc (ex-animal)'!$K$109*'Calc (ex-housing, ex-storage)'!F583/100))/VLOOKUP($C$583,'DB animal categories'!$C$211:$AC$220,27,FALSE)*AJ583+Q583+R583+S583-AC583,IF(AI583=1,('Calc (ex-animal)'!$L$109*'Calc (ex-housing, ex-storage)'!F583/100)/VLOOKUP($C$583,'DB animal categories'!$C$211:$AC$220,27,FALSE)*AJ583-'Calc (ex-housing, ex-storage)'!AC583,IF(AI583=4,('Calc (ex-animal)'!$L$109+'Calc (ex-animal)'!$K$109)*'Calc (ex-housing, ex-storage)'!F583/100*VLOOKUP(D583,'DB technologies'!$N$280:$Y$292,11,FALSE)/100/VLOOKUP($C$583,'DB animal categories'!$C$211:$AC$220,27,FALSE)*AJ583-AC583*VLOOKUP(D583,'DB technologies'!$N$280:$Y$292,11,FALSE)/100,0)))))</f>
        <v/>
      </c>
      <c r="AQ583" s="180" t="str">
        <f>IF(D583="","",IF(AI583=2,('Calc (ex-animal)'!$O$109*'Calc (ex-housing, ex-storage)'!F583/100+'Calc (ex-animal)'!$N$109*'Calc (ex-housing, ex-storage)'!F583/100)/VLOOKUP($C$583,'DB animal categories'!$C$211:$AC$220,27,FALSE)*AJ583+U583+V583+W583,IF(AI583=1,'Calc (ex-animal)'!$O$109*'Calc (ex-housing, ex-storage)'!F583/100/VLOOKUP($C$583,'DB animal categories'!$C$211:$AC$220,27,FALSE)*AJ583,IF(AI583=4,('Calc (ex-animal)'!$O$109+'Calc (ex-animal)'!$N$109)*'Calc (ex-housing, ex-storage)'!F583/100*VLOOKUP(D583,'DB technologies'!$N$280:$Y$292,11,FALSE)/100/VLOOKUP($C$583,'DB animal categories'!$C$211:$AC$220,27,FALSE)*AJ583,0))))</f>
        <v/>
      </c>
      <c r="AR583" s="180" t="str">
        <f>IF(D583="","",IF(AI583=2,('Calc (ex-animal)'!$R$109*'Calc (ex-housing, ex-storage)'!F583/100+'Calc (ex-animal)'!$Q$109*'Calc (ex-housing, ex-storage)'!F583/100)/VLOOKUP($C$583,'DB animal categories'!$C$211:$AC$220,27,FALSE)*AJ583+Y583+Z583+AA583,IF(AI583=1,'Calc (ex-animal)'!$R$109*'Calc (ex-housing, ex-storage)'!F583/100/VLOOKUP($C$583,'DB animal categories'!$C$211:$AC$220,27,FALSE)*AJ583,IF(AI583=4,('Calc (ex-animal)'!$R$109+'Calc (ex-animal)'!$Q$109)*'Calc (ex-housing, ex-storage)'!F583/100*VLOOKUP(D583,'DB technologies'!$N$280:$Y$292,11,FALSE)/100/VLOOKUP($C$583,'DB animal categories'!$C$211:$AC$220,27,FALSE)*AJ583,0))))</f>
        <v/>
      </c>
      <c r="AS583" s="179" t="str">
        <f>IF(D583="","",VLOOKUP(D583,'DB technologies'!$N$280:$Y$292,10,FALSE))</f>
        <v/>
      </c>
      <c r="AT583" s="453" t="str">
        <f>IF(AS583="","",AU583+AV583)</f>
        <v/>
      </c>
      <c r="AU583" s="453" t="str">
        <f>IF(D583="","",IF(AS583=2,0,IF(AS583=1,'Calc (ex-animal)'!$G$109*'DB additional information '!$K$23/100*(1-VLOOKUP(D583,'DB technologies'!$N$280:$Y$292,8,FALSE)/100)*'Calc (ex-housing, ex-storage)'!F583/100/VLOOKUP($C$583,'DB animal categories'!$C$211:$AC$220,27,FALSE)*AJ583+I583+J583+K583,IF(AS583=5,(('Calc (ex-animal)'!$G$109*'DB additional information '!$K$23/100+'Calc (ex-animal)'!$H$109*'DB additional information '!$L$23/100))*(1-VLOOKUP(D583,'DB technologies'!$N$280:$Y$292,9,FALSE)/100)*'Calc (ex-housing, ex-storage)'!F583/100/VLOOKUP($C$583,'DB animal categories'!$C$211:$AC$220,27,FALSE)*AJ583+I583+J583+K583,IF(AS583=3,('Calc (ex-animal)'!$G$109*'DB additional information '!$K$23/100+'Calc (ex-animal)'!$H$109*'DB additional information '!$L$23/100)*(1-VLOOKUP(D583,'DB technologies'!$N$280:$Y$292,9,FALSE)/100)*'Calc (ex-housing, ex-storage)'!F583/100/VLOOKUP($C$583,'DB animal categories'!$C$211:$AC$220,27,FALSE)*AJ583+I583+J583+K583,IF(AS583=4,('Calc (ex-animal)'!$G$109*'DB additional information '!$K$23/100+'Calc (ex-animal)'!$H$109*'DB additional information '!$L$23/100)*(1-VLOOKUP(D583,'DB technologies'!$N$280:$Y$292,9,FALSE)/100)*'Calc (ex-housing, ex-storage)'!F583/100*VLOOKUP(D583,'DB technologies'!$N$280:$Y$292,12,FALSE)/100/VLOOKUP($C$583,'DB animal categories'!$C$211:$AC$220,27,FALSE)*AJ583+I583+J583+K583,0))))))</f>
        <v/>
      </c>
      <c r="AV583" s="453" t="str">
        <f>IF(D583="","",IF(AS583=2,0,IF(AS583=1,'Calc (ex-animal)'!$G$109*(1-'DB additional information '!$K$23/100)*(1-VLOOKUP(D583,'DB technologies'!$N$280:$Y$292,8,FALSE)/100)*'Calc (ex-housing, ex-storage)'!F583/100/VLOOKUP($C$583,'DB animal categories'!$C$211:$AC$220,27,FALSE)*AJ583+M583+N583+O583,IF(AS583=5,('Calc (ex-animal)'!$G$109*(1-'DB additional information '!$K$23/100)+'Calc (ex-animal)'!$H$109*(1-'DB additional information '!$L$23/100))*(1-VLOOKUP(D583,'DB technologies'!$N$280:$Y$292,8,FALSE)/100)*'Calc (ex-housing, ex-storage)'!F583/100/VLOOKUP($C$583,'DB animal categories'!$C$211:$AC$220,27,FALSE)*AJ583+M583+N583+O583,IF(AS583=3,('Calc (ex-animal)'!$G$109*(1-'DB additional information '!$K$23/100)+'Calc (ex-animal)'!$H$109*(1-'DB additional information '!$L$23/100))*(1-VLOOKUP(D583,'DB technologies'!$N$280:$Y$292,8,FALSE)/100)*'Calc (ex-housing, ex-storage)'!F583/100/VLOOKUP($C$583,'DB animal categories'!$C$211:$AC$220,27,FALSE)*AJ583+M583+N583+O583,IF(AS583=4,('Calc (ex-animal)'!$G$109*(1-'DB additional information '!$K$23/100)+'Calc (ex-animal)'!$H$109*(1-'DB additional information '!$L$23/100))*(1-VLOOKUP(D583,'DB technologies'!$N$280:$Y$292,8,FALSE)/100)*'Calc (ex-housing, ex-storage)'!F583/100*VLOOKUP(D583,'DB technologies'!$N$280:$Y$292,12,FALSE)/100/VLOOKUP($C$583,'DB animal categories'!$C$211:$AC$220,27,FALSE)*AJ583+M583+N583+O583,0))))))</f>
        <v/>
      </c>
      <c r="AW583" s="453" t="str">
        <f>IF(AS583="","",IF(AU583=0,0,AU583/AT583*100))</f>
        <v/>
      </c>
      <c r="AX583" s="180" t="str">
        <f>IF(D583="","",IF(AS583=2,0,IF(AS583=1,'Calc (ex-animal)'!$K$109*'Calc (ex-housing, ex-storage)'!F583/100/VLOOKUP($C$583,'DB animal categories'!$C$211:$AC$220,27,FALSE)*AJ583+Q583+R583+S583,IF(AS583=5,('Calc (ex-animal)'!$K$109+'Calc (ex-animal)'!$L$109)*'Calc (ex-housing, ex-storage)'!F583/100/VLOOKUP($C$583,'DB animal categories'!$C$211:$AC$220,27,FALSE)*AJ583+Q583+R583+S583-'Calc (ex-housing, ex-storage)'!AC583,IF(AS583=3,('Calc (ex-animal)'!$K$109+'Calc (ex-animal)'!$L$109)*'Calc (ex-housing, ex-storage)'!F583/100/VLOOKUP($C$583,'DB animal categories'!$C$211:$AC$220,27,FALSE)*AJ583+Q583+R583+S583-'Calc (ex-housing, ex-storage)'!AC583-AD583-AE583,IF(AI583=4,('Calc (ex-animal)'!$K$109+'Calc (ex-animal)'!$L$109)*'Calc (ex-housing, ex-storage)'!F583/100*VLOOKUP(D583,'DB technologies'!$N$280:$Y$292,12,FALSE)/100/VLOOKUP($C$583,'DB animal categories'!$C$211:$AC$220,27,FALSE)*AJ583+Q583+R583+S583-(VLOOKUP(D583,'DB technologies'!$N$280:$Y$292,12,FALSE)/100*AC583)-AD583-AE583,0))))))</f>
        <v/>
      </c>
      <c r="AY583" s="180" t="str">
        <f>IF(D583="","",IF(AS583=2,0,IF(AS583=1,'Calc (ex-animal)'!$N$109*'Calc (ex-housing, ex-storage)'!F583/100/VLOOKUP($C$583,'DB animal categories'!$C$211:$AC$220,27,FALSE)*AJ583+U583+V583+W583,IF(AS583=5,('Calc (ex-animal)'!$N$109+'Calc (ex-animal)'!$O$109)*'Calc (ex-housing, ex-storage)'!F583/100/VLOOKUP($C$583,'DB animal categories'!$C$211:$AC$220,27,FALSE)*AJ583+U583+V583+W583,IF(AS583=3,('Calc (ex-animal)'!$N$109+'Calc (ex-animal)'!$O$109)*'Calc (ex-housing, ex-storage)'!F583/100/VLOOKUP($C$583,'DB animal categories'!$C$211:$AC$220,27,FALSE)*AJ583+U583+V583+W583,IF(AS583=4,('Calc (ex-animal)'!$N$109+'Calc (ex-animal)'!$O$109)*'Calc (ex-housing, ex-storage)'!F583/100*VLOOKUP(D583,'DB technologies'!$N$280:$Y$292,12,FALSE)/100/VLOOKUP($C$583,'DB animal categories'!$C$211:$AC$220,27,FALSE)*AJ583+U583+V583+W583,0))))))</f>
        <v/>
      </c>
      <c r="AZ583" s="180" t="str">
        <f>IF(D583="","",IF(AS583=2,0,IF(AS583=1,'Calc (ex-animal)'!$Q$109*'Calc (ex-housing, ex-storage)'!F583/100/VLOOKUP($C$583,'DB animal categories'!$C$211:$AC$220,27,FALSE)*AJ583+Y583+Z583+AA583,IF(AS583=5,('Calc (ex-animal)'!$Q$109+'Calc (ex-animal)'!$R$109)*'Calc (ex-housing, ex-storage)'!F583/100/VLOOKUP($C$583,'DB animal categories'!$C$211:$AC$220,27,FALSE)*AJ583+Y583+Z583+AA583,IF(AS583=3,('Calc (ex-animal)'!$Q$109+'Calc (ex-animal)'!$R$109)*'Calc (ex-housing, ex-storage)'!F583/100/VLOOKUP($C$583,'DB animal categories'!$C$211:$AC$220,27,FALSE)*AJ583+Y583+Z583+AA583,IF(AS583=4,('Calc (ex-animal)'!$Q$109+'Calc (ex-animal)'!$R$109)*'Calc (ex-housing, ex-storage)'!F583/100*VLOOKUP(D583,'DB technologies'!$N$280:$Y$292,12,FALSE)/100/VLOOKUP($C$583,'DB animal categories'!$C$211:$AC$220,27,FALSE)*AJ583+Y583+Z583+AA583,0))))))</f>
        <v/>
      </c>
      <c r="BA583" s="506"/>
      <c r="BB583" s="506"/>
      <c r="BC583" s="506"/>
    </row>
    <row r="584" spans="1:55" x14ac:dyDescent="0.2">
      <c r="A584" s="748"/>
      <c r="B584" s="695"/>
      <c r="C584" s="251"/>
      <c r="D584" s="1357"/>
      <c r="E584" s="1358"/>
      <c r="F584" s="480" t="str">
        <f>IF('Calc (ex-animal)'!$F$108=1,"",IF($C$583=0,"",IF(D584="","",E584/'Calc (ex-animal)'!$E$109*100)))</f>
        <v/>
      </c>
      <c r="G584" s="485" t="str">
        <f>IF($C$583=0,"",IF('Calc (ex-animal)'!$F$108=1,"",IF(D584="","",SUM(H584:O584))))</f>
        <v/>
      </c>
      <c r="H584" s="423" t="str">
        <f>IF('Calc (ex-animal)'!$F$108=1,"",IF(D584="","",(((VLOOKUP($C$583,'Calc (ex-animal)'!$D$108:$Y$112,6,FALSE)-VLOOKUP($C$583,'Calc (ex-animal)'!$D$108:$Y$112,17,FALSE))*F584/100))*VLOOKUP($C$583,'Calc (ex-animal)'!$D$108:$Y$112,7,FALSE)/100*(1-VLOOKUP(D584,'DB technologies'!$N$280:$Y$292,9,FALSE)/100)))</f>
        <v/>
      </c>
      <c r="I584" s="423" t="str">
        <f>IF(D584="","",((VLOOKUP(D584,'DB technologies'!$N$280:$Y$292,2,FALSE)*VLOOKUP($C$583,'DB animal categories'!$C$211:$AC$220,27,FALSE)*E584/1000)/VLOOKUP($C$583,'DB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'!$S$6/100*(1-VLOOKUP(D584,'DB technologies'!$N$280:$Y$292,9,FALSE)/100)))</f>
        <v/>
      </c>
      <c r="J584" s="434" t="str">
        <f>IF(D584="","",((VLOOKUP(D584,'DB technologies'!$N$280:$Y$292,3,FALSE)*VLOOKUP($C$583,'DB animal categories'!$C$211:$AC$220,27,FALSE)*E584/1000)/VLOOKUP($C$583,'DB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'!$S$7/100*(1-VLOOKUP(D584,'DB technologies'!$N$280:$Y$292,9,FALSE)/100)))</f>
        <v/>
      </c>
      <c r="K584" s="434" t="str">
        <f>IF(D584="","",((VLOOKUP(D584,'DB technologies'!$N$280:$Y$292,4,FALSE)*E584*'DB additional information '!$S$8/100*(1-VLOOKUP(D584,'DB technologies'!$N$280:$Y$292,9,FALSE)/100))/VLOOKUP($C$583,'DB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L584" s="423" t="str">
        <f>IF('Calc (ex-animal)'!$F$108=1,"",IF(D584="","",(((VLOOKUP($C$583,'Calc (ex-animal)'!$D$108:$Y$112,6,FALSE)-VLOOKUP($C$583,'Calc (ex-animal)'!$D$108:$Y$112,17,FALSE))*F584/100))*(1-VLOOKUP($C$583,'Calc (ex-animal)'!$D$108:$Y$112,7,FALSE)/100)*(1-VLOOKUP(D584,'DB technologies'!$N$280:$V$292,8,FALSE)/100)))</f>
        <v/>
      </c>
      <c r="M584" s="434" t="str">
        <f>IF(D584="","",((VLOOKUP(D584,'DB technologies'!$N$280:$Y$292,2,FALSE)*VLOOKUP($C$583,'DB animal categories'!$C$211:$AC$220,27,FALSE)*E584/1000)/VLOOKUP($C$583,'DB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'!$S$6/100)*(1-VLOOKUP(D584,'DB technologies'!$N$280:$Y$292,9,FALSE)/100))</f>
        <v/>
      </c>
      <c r="N584" s="434" t="str">
        <f>IF(D584="","",((VLOOKUP(D584,'DB technologies'!$N$280:$Y$292,3,FALSE)*VLOOKUP($C$583,'DB animal categories'!$C$211:$AC$220,27,FALSE)*E584/1000)/VLOOKUP($C$583,'DB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'!$S$7/100)*(1-VLOOKUP(D584,'DB technologies'!$N$280:$Y$292,9,FALSE)/100))</f>
        <v/>
      </c>
      <c r="O584" s="423" t="str">
        <f>IF(D584="","",((VLOOKUP(D584,'DB technologies'!$N$280:$Y$292,4,FALSE)*E584*(1-'DB additional information '!$S$8/100)*(1-VLOOKUP(D584,'DB technologies'!$N$280:$Y$292,8,FALSE)/100))/VLOOKUP($C$583,'DB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P584" s="438" t="str">
        <f>IF(G584=0,0,IF(E584="","",IF(F584="","",IF($C$583=0,"",IF(D584="","",SUM(H584:K584)/G584*100)))))</f>
        <v/>
      </c>
      <c r="Q584" s="416" t="str">
        <f>IF(D584="","",(VLOOKUP(D584,'DB technologies'!$N$280:$Y$292,2,FALSE)*'DB additional information '!$S$6/100*'DB additional information '!$T$6*VLOOKUP($C$583,'DB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R584" s="416" t="str">
        <f>IF(D584="","",(VLOOKUP(D584,'DB technologies'!$N$280:$Y$292,3,FALSE)*'DB additional information '!$S$7/100*'DB additional information '!$T$7*VLOOKUP($C$583,'DB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S584" s="491" t="str">
        <f>IF(D584="","",(VLOOKUP(D584,'DB technologies'!$N$280:$Y$292,4,FALSE)*('DB additional information '!$S$8/100*'DB additional information '!$T$8*E584/1000/1000)))</f>
        <v/>
      </c>
      <c r="T584" s="264" t="str">
        <f>IF($C$583=0,"",IF('Calc (ex-animal)'!$F$108=1,"",IF(D584="","",((VLOOKUP($C$583,'Calc (ex-animal)'!$D$108:$Y$112,10,FALSE)-VLOOKUP($C$583,'Calc (ex-animal)'!$D$108:$Y$112,18,FALSE))*F584/100+Q584+R584+S584)-AC584-AD584-AE584)))</f>
        <v/>
      </c>
      <c r="U584" s="422" t="str">
        <f>IF(D584="","",(VLOOKUP(D584,'DB technologies'!$N$280:$Y$292,2,FALSE)*'DB additional information '!$S$6/100*'DB additional information '!$U$6*VLOOKUP($C$583,'DB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V584" s="418" t="str">
        <f>IF(D584="","",(VLOOKUP(D584,'DB technologies'!$N$280:$Y$292,3,FALSE)*'DB additional information '!$S$7/100*'DB additional information '!$U$7*VLOOKUP($C$583,'DB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W584" s="417" t="str">
        <f>IF(D584="","",(VLOOKUP(D584,'DB technologies'!$N$280:$Y$292,4,FALSE)*('DB additional information '!$S$8/100*'DB additional information '!$U$8*E584/1000/1000)))</f>
        <v/>
      </c>
      <c r="X584" s="261" t="str">
        <f>IF($C$583=0,"",IF('Calc (ex-animal)'!$F$108=1,"",IF(D584="","",((VLOOKUP($C$583,'Calc (ex-animal)'!$D$108:$Y$112,13,FALSE)-VLOOKUP($C$583,'Calc (ex-animal)'!$D$108:$Y$112,19,FALSE))*F584/100+U584+V584+W584))))</f>
        <v/>
      </c>
      <c r="Y584" s="418" t="str">
        <f>IF(D584="","",(VLOOKUP(D584,'DB technologies'!$N$280:$Y$292,2,FALSE)*'DB additional information '!$S$6/100*'DB additional information '!$V$6*VLOOKUP($C$583,'DB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Z584" s="418" t="str">
        <f>IF(D584="","",(VLOOKUP(D584,'DB technologies'!$N$280:$Y$292,3,FALSE)*'DB additional information '!$S$7/100*'DB additional information '!$V$7*VLOOKUP($C$583,'DB animal categories'!$C$211:$AC$220,27,FALSE)*E584/1000/1000)/VLOOKUP($C$583,'DB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AA584" s="418" t="str">
        <f>IF(D584="","",(VLOOKUP(D584,'DB technologies'!$N$280:$Y$292,4,FALSE)*('DB additional information '!$S$8/100*'DB additional information '!$V$8*E584/1000/1000)))</f>
        <v/>
      </c>
      <c r="AB584" s="261" t="str">
        <f>IF($C$583=0,"",IF('Calc (ex-animal)'!$F$108=1,"",IF(D584="","",((VLOOKUP($C$583,'Calc (ex-animal)'!$D$108:$Y$112,16,FALSE)-VLOOKUP($C$583,'Calc (ex-animal)'!$D$108:$Y$112,20,FALSE))*F584/100+Y584+Z584+AA584))))</f>
        <v/>
      </c>
      <c r="AC584" s="261" t="str">
        <f>IF($C$583=0,"",IF('Calc (ex-animal)'!$F$108=1,"",IF(D584="","",VLOOKUP($C$583,'Calc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categories'!$C$211:$AC$220,26,FALSE)/24)*F584/100*VLOOKUP(D584,'DB technologies'!$N$280:$R$292,5,FALSE)/100)))</f>
        <v/>
      </c>
      <c r="AD584" s="261" t="str">
        <f>IF($C$583=0,"",IF('Calc (ex-animal)'!$F$108=1,"",IF(D584="","",VLOOKUP($C$583,'Calc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categories'!$C$211:$AC$220,26,FALSE)/24)*F584/100*VLOOKUP(D584,'DB technologies'!$N$280:$Y$292,6,FALSE)/100)))</f>
        <v/>
      </c>
      <c r="AE584" s="262" t="str">
        <f>IF($C$583=0,"",IF('Calc (ex-animal)'!$F$108=1,"",IF(D584="","",VLOOKUP($C$583,'Calc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categories'!$C$211:$AC$220,26,FALSE)/24)*F584/100*VLOOKUP(D584,'DB technologies'!$N$280:$Y$292,7,FALSE)/100)))</f>
        <v/>
      </c>
      <c r="AI584" s="181" t="str">
        <f>IF(D584="","",VLOOKUP(D584,'DB technologies'!$N$280:$Y$292,10,FALSE))</f>
        <v/>
      </c>
      <c r="AJ584" s="449" t="e">
        <f>VLOOKUP($C$583,'DB animal categories'!$C$211:$AN$220,27,FALSE)-VLOOKUP($C$583,'DB animal categories'!$C$211:$AN$220,26,FALSE)*VLOOKUP($C$583,'DB animal categories'!$C$211:$AN$220,25,FALSE)/24</f>
        <v>#N/A</v>
      </c>
      <c r="AK584" s="442" t="str">
        <f>IF(AI584="","",AL584+AM584)</f>
        <v/>
      </c>
      <c r="AL584" s="442" t="str">
        <f>IF(D584="","",IF(AI584=2,(('Calc (ex-animal)'!$G$109*'DB additional information '!$K$23/100*(1-VLOOKUP(D584,'DB technologies'!$N$280:$Y$292,9,FALSE)/100)*'Calc (ex-housing, ex-storage)'!F584/100+'Calc (ex-animal)'!$H$109*'DB additional information '!$L$23/100*(1-VLOOKUP(D584,'DB technologies'!$N$280:$Y$292,9,FALSE)/100)*'Calc (ex-housing, ex-storage)'!F584/100))/VLOOKUP($C$583,'DB animal categories'!$C$211:$AC$220,27,FALSE)*AJ584+I584+J584+K584,IF(AI584=1,('Calc (ex-animal)'!$H$109*'DB additional information '!$L$23/100*(1-VLOOKUP(D584,'DB technologies'!$N$280:$Y$292,9,FALSE)/100)*'Calc (ex-housing, ex-storage)'!F584/100)/VLOOKUP($C$583,'DB animal categories'!$C$211:$AC$220,27,FALSE)*AJ584,IF(AI584=4,('Calc (ex-animal)'!$G$109*'DB additional information '!$K$23/100+'Calc (ex-animal)'!$H$109*'DB additional information '!$L$23/100)*(1-VLOOKUP(D584,'DB technologies'!$N$280:$Y$292,9,FALSE)/100)*'Calc (ex-housing, ex-storage)'!F584/100*VLOOKUP(D584,'DB technologies'!$N$280:$Y$292,11,FALSE)/100/VLOOKUP($C$583,'DB animal categories'!$C$211:$AC$220,27,FALSE)*AJ584,0))))</f>
        <v/>
      </c>
      <c r="AM584" s="442" t="str">
        <f>IF(D584="","",IF(AI584=2,(('Calc (ex-animal)'!$G$109*(1-'DB additional information '!$K$23/100)*(1-VLOOKUP(D584,'DB technologies'!$N$280:$Y$292,8,FALSE)/100)*'Calc (ex-housing, ex-storage)'!F584/100+'Calc (ex-animal)'!$H$109*(1-'DB additional information '!$L$23/100)*(1-VLOOKUP(D584,'DB technologies'!$N$280:$Y$292,8,FALSE)/100)*'Calc (ex-housing, ex-storage)'!F584/100))/VLOOKUP($C$583,'DB animal categories'!$C$211:$AC$220,27,FALSE)*AJ584+M584+N584+O584,IF(AI584=1,('Calc (ex-animal)'!$H$109*(1-'DB additional information '!$L$23/100)*(1-VLOOKUP(D584,'DB technologies'!$N$280:$Y$292,8,FALSE)/100)*'Calc (ex-housing, ex-storage)'!F584/100)/VLOOKUP($C$583,'DB animal categories'!$C$211:$AC$220,27,FALSE)*AJ584,IF(AI584=4,('Calc (ex-animal)'!$G$109*(1-'DB additional information '!$K$23/100)+'Calc (ex-animal)'!$H$109*(1-'DB additional information '!$L$23/100))*(1-VLOOKUP(D584,'DB technologies'!$N$280:$Y$292,8,FALSE)/100)*'Calc (ex-housing, ex-storage)'!F584/100*VLOOKUP(D584,'DB technologies'!$N$280:$Y$292,11,FALSE)/100/VLOOKUP($C$583,'DB animal categories'!$C$211:$AC$220,27,FALSE)*AJ584,0))))</f>
        <v/>
      </c>
      <c r="AN584" s="442" t="str">
        <f>IF(AI584="","",IF(AL584=0,0,AL584/AK584*100))</f>
        <v/>
      </c>
      <c r="AO584" s="182" t="str">
        <f>IF(D584="","",IF(AI584=2,(('Calc (ex-animal)'!$L$109*'Calc (ex-housing, ex-storage)'!F584/100+'Calc (ex-animal)'!$K$109*'Calc (ex-housing, ex-storage)'!F584/100))/VLOOKUP($C$583,'DB animal categories'!$C$211:$AC$220,27,FALSE)*AJ584+Q584+R584+S584-AC584,IF(AI584=1,('Calc (ex-animal)'!$L$109*'Calc (ex-housing, ex-storage)'!F584/100)/VLOOKUP($C$583,'DB animal categories'!$C$211:$AC$220,27,FALSE)*AJ584-'Calc (ex-housing, ex-storage)'!AC584,IF(AI584=4,('Calc (ex-animal)'!$L$109+'Calc (ex-animal)'!$K$109)*'Calc (ex-housing, ex-storage)'!F584/100*VLOOKUP(D584,'DB technologies'!$N$280:$Y$292,11,FALSE)/100/VLOOKUP($C$583,'DB animal categories'!$C$211:$AC$220,27,FALSE)*AJ584-AC584*VLOOKUP(D584,'DB technologies'!$N$280:$Y$292,11,FALSE)/100,0))))</f>
        <v/>
      </c>
      <c r="AP584" s="182" t="str">
        <f>IF(D584="","",IF(AO584&lt;-0.01,0,IF(AI584=2,(('Calc (ex-animal)'!$L$109*'Calc (ex-housing, ex-storage)'!F584/100+'Calc (ex-animal)'!$K$109*'Calc (ex-housing, ex-storage)'!F584/100))/VLOOKUP($C$583,'DB animal categories'!$C$211:$AC$220,27,FALSE)*AJ584+Q584+R584+S584-AC584,IF(AI584=1,('Calc (ex-animal)'!$L$109*'Calc (ex-housing, ex-storage)'!F584/100)/VLOOKUP($C$583,'DB animal categories'!$C$211:$AC$220,27,FALSE)*AJ584-'Calc (ex-housing, ex-storage)'!AC584,IF(AI584=4,('Calc (ex-animal)'!$L$109+'Calc (ex-animal)'!$K$109)*'Calc (ex-housing, ex-storage)'!F584/100*VLOOKUP(D584,'DB technologies'!$N$280:$Y$292,11,FALSE)/100/VLOOKUP($C$583,'DB animal categories'!$C$211:$AC$220,27,FALSE)*AJ584-AC584*VLOOKUP(D584,'DB technologies'!$N$280:$Y$292,11,FALSE)/100,0)))))</f>
        <v/>
      </c>
      <c r="AQ584" s="182" t="str">
        <f>IF(D584="","",IF(AI584=2,('Calc (ex-animal)'!$O$109*'Calc (ex-housing, ex-storage)'!F584/100+'Calc (ex-animal)'!$N$109*'Calc (ex-housing, ex-storage)'!F584/100)/VLOOKUP($C$583,'DB animal categories'!$C$211:$AC$220,27,FALSE)*AJ584+U584+V584+W584,IF(AI584=1,'Calc (ex-animal)'!$O$109*'Calc (ex-housing, ex-storage)'!F584/100/VLOOKUP($C$583,'DB animal categories'!$C$211:$AC$220,27,FALSE)*AJ584,IF(AI584=4,('Calc (ex-animal)'!$O$109+'Calc (ex-animal)'!$N$109)*'Calc (ex-housing, ex-storage)'!F584/100*VLOOKUP(D584,'DB technologies'!$N$280:$Y$292,11,FALSE)/100/VLOOKUP($C$583,'DB animal categories'!$C$211:$AC$220,27,FALSE)*AJ584,0))))</f>
        <v/>
      </c>
      <c r="AR584" s="182" t="str">
        <f>IF(D584="","",IF(AI584=2,('Calc (ex-animal)'!$R$109*'Calc (ex-housing, ex-storage)'!F584/100+'Calc (ex-animal)'!$Q$109*'Calc (ex-housing, ex-storage)'!F584/100)/VLOOKUP($C$583,'DB animal categories'!$C$211:$AC$220,27,FALSE)*AJ584+Y584+Z584+AA584,IF(AI584=1,'Calc (ex-animal)'!$R$109*'Calc (ex-housing, ex-storage)'!F584/100/VLOOKUP($C$583,'DB animal categories'!$C$211:$AC$220,27,FALSE)*AJ584,IF(AI584=4,('Calc (ex-animal)'!$R$109+'Calc (ex-animal)'!$Q$109)*'Calc (ex-housing, ex-storage)'!F584/100*VLOOKUP(D584,'DB technologies'!$N$280:$Y$292,11,FALSE)/100/VLOOKUP($C$583,'DB animal categories'!$C$211:$AC$220,27,FALSE)*AJ584,0))))</f>
        <v/>
      </c>
      <c r="AS584" s="181" t="str">
        <f>IF(D584="","",VLOOKUP(D584,'DB technologies'!$N$280:$Y$292,10,FALSE))</f>
        <v/>
      </c>
      <c r="AT584" s="442" t="str">
        <f>IF(AS584="","",AU584+AV584)</f>
        <v/>
      </c>
      <c r="AU584" s="442" t="str">
        <f>IF(D584="","",IF(AS584=2,0,IF(AS584=1,'Calc (ex-animal)'!$G$109*'DB additional information '!$K$23/100*(1-VLOOKUP(D584,'DB technologies'!$N$280:$Y$292,8,FALSE)/100)*'Calc (ex-housing, ex-storage)'!F584/100/VLOOKUP($C$583,'DB animal categories'!$C$211:$AC$220,27,FALSE)*AJ584+I584+J584+K584,IF(AS584=5,(('Calc (ex-animal)'!$G$109*'DB additional information '!$K$23/100+'Calc (ex-animal)'!$H$109*'DB additional information '!$L$23/100))*(1-VLOOKUP(D584,'DB technologies'!$N$280:$Y$292,9,FALSE)/100)*'Calc (ex-housing, ex-storage)'!F584/100/VLOOKUP($C$583,'DB animal categories'!$C$211:$AC$220,27,FALSE)*AJ584+I584+J584+K584,IF(AS584=3,('Calc (ex-animal)'!$G$109*'DB additional information '!$K$23/100+'Calc (ex-animal)'!$H$109*'DB additional information '!$L$23/100)*(1-VLOOKUP(D584,'DB technologies'!$N$280:$Y$292,9,FALSE)/100)*'Calc (ex-housing, ex-storage)'!F584/100/VLOOKUP($C$583,'DB animal categories'!$C$211:$AC$220,27,FALSE)*AJ584+I584+J584+K584,IF(AS584=4,('Calc (ex-animal)'!$G$109*'DB additional information '!$K$23/100+'Calc (ex-animal)'!$H$109*'DB additional information '!$L$23/100)*(1-VLOOKUP(D584,'DB technologies'!$N$280:$Y$292,9,FALSE)/100)*'Calc (ex-housing, ex-storage)'!F584/100*VLOOKUP(D584,'DB technologies'!$N$280:$Y$292,12,FALSE)/100/VLOOKUP($C$583,'DB animal categories'!$C$211:$AC$220,27,FALSE)*AJ584+I584+J584+K584,0))))))</f>
        <v/>
      </c>
      <c r="AV584" s="442" t="str">
        <f>IF(D584="","",IF(AS584=2,0,IF(AS584=1,'Calc (ex-animal)'!$G$109*(1-'DB additional information '!$K$23/100)*(1-VLOOKUP(D584,'DB technologies'!$N$280:$Y$292,8,FALSE)/100)*'Calc (ex-housing, ex-storage)'!F584/100/VLOOKUP($C$583,'DB animal categories'!$C$211:$AC$220,27,FALSE)*AJ584+M584+N584+O584,IF(AS584=5,('Calc (ex-animal)'!$G$109*(1-'DB additional information '!$K$23/100)+'Calc (ex-animal)'!$H$109*(1-'DB additional information '!$L$23/100))*(1-VLOOKUP(D584,'DB technologies'!$N$280:$Y$292,8,FALSE)/100)*'Calc (ex-housing, ex-storage)'!F584/100/VLOOKUP($C$583,'DB animal categories'!$C$211:$AC$220,27,FALSE)*AJ584+M584+N584+O584,IF(AS584=3,('Calc (ex-animal)'!$G$109*(1-'DB additional information '!$K$23/100)+'Calc (ex-animal)'!$H$109*(1-'DB additional information '!$L$23/100))*(1-VLOOKUP(D584,'DB technologies'!$N$280:$Y$292,8,FALSE)/100)*'Calc (ex-housing, ex-storage)'!F584/100/VLOOKUP($C$583,'DB animal categories'!$C$211:$AC$220,27,FALSE)*AJ584+M584+N584+O584,IF(AS584=4,('Calc (ex-animal)'!$G$109*(1-'DB additional information '!$K$23/100)+'Calc (ex-animal)'!$H$109*(1-'DB additional information '!$L$23/100))*(1-VLOOKUP(D584,'DB technologies'!$N$280:$Y$292,8,FALSE)/100)*'Calc (ex-housing, ex-storage)'!F584/100*VLOOKUP(D584,'DB technologies'!$N$280:$Y$292,12,FALSE)/100/VLOOKUP($C$583,'DB animal categories'!$C$211:$AC$220,27,FALSE)*AJ584+M584+N584+O584,0))))))</f>
        <v/>
      </c>
      <c r="AW584" s="442" t="str">
        <f>IF(AS584="","",IF(AU584=0,0,AU584/AT584*100))</f>
        <v/>
      </c>
      <c r="AX584" s="182" t="str">
        <f>IF(D584="","",IF(AS584=2,0,IF(AS584=1,'Calc (ex-animal)'!$K$109*'Calc (ex-housing, ex-storage)'!F584/100/VLOOKUP($C$583,'DB animal categories'!$C$211:$AC$220,27,FALSE)*AJ584+Q584+R584+S584,IF(AS584=5,('Calc (ex-animal)'!$K$109+'Calc (ex-animal)'!$L$109)*'Calc (ex-housing, ex-storage)'!F584/100/VLOOKUP($C$583,'DB animal categories'!$C$211:$AC$220,27,FALSE)*AJ584+Q584+R584+S584-'Calc (ex-housing, ex-storage)'!AC584,IF(AS584=3,('Calc (ex-animal)'!$K$109+'Calc (ex-animal)'!$L$109)*'Calc (ex-housing, ex-storage)'!F584/100/VLOOKUP($C$583,'DB animal categories'!$C$211:$AC$220,27,FALSE)*AJ584+Q584+R584+S584-'Calc (ex-housing, ex-storage)'!AC584-AD584-AE584,IF(AI584=4,('Calc (ex-animal)'!$K$109+'Calc (ex-animal)'!$L$109)*'Calc (ex-housing, ex-storage)'!F584/100*VLOOKUP(D584,'DB technologies'!$N$280:$Y$292,12,FALSE)/100/VLOOKUP($C$583,'DB animal categories'!$C$211:$AC$220,27,FALSE)*AJ584+Q584+R584+S584-(VLOOKUP(D584,'DB technologies'!$N$280:$Y$292,12,FALSE)/100*AC584)-AD584-AE584,0))))))</f>
        <v/>
      </c>
      <c r="AY584" s="182" t="str">
        <f>IF(D584="","",IF(AS584=2,0,IF(AS584=1,'Calc (ex-animal)'!$N$109*'Calc (ex-housing, ex-storage)'!F584/100/VLOOKUP($C$583,'DB animal categories'!$C$211:$AC$220,27,FALSE)*AJ584+U584+V584+W584,IF(AS584=5,('Calc (ex-animal)'!$N$109+'Calc (ex-animal)'!$O$109)*'Calc (ex-housing, ex-storage)'!F584/100/VLOOKUP($C$583,'DB animal categories'!$C$211:$AC$220,27,FALSE)*AJ584+U584+V584+W584,IF(AS584=3,('Calc (ex-animal)'!$N$109+'Calc (ex-animal)'!$O$109)*'Calc (ex-housing, ex-storage)'!F584/100/VLOOKUP($C$583,'DB animal categories'!$C$211:$AC$220,27,FALSE)*AJ584+U584+V584+W584,IF(AS584=4,('Calc (ex-animal)'!$N$109+'Calc (ex-animal)'!$O$109)*'Calc (ex-housing, ex-storage)'!F584/100*VLOOKUP(D584,'DB technologies'!$N$280:$Y$292,12,FALSE)/100/VLOOKUP($C$583,'DB animal categories'!$C$211:$AC$220,27,FALSE)*AJ584+U584+V584+W584,0))))))</f>
        <v/>
      </c>
      <c r="AZ584" s="182" t="str">
        <f>IF(D584="","",IF(AS584=2,0,IF(AS584=1,'Calc (ex-animal)'!$Q$109*'Calc (ex-housing, ex-storage)'!F584/100/VLOOKUP($C$583,'DB animal categories'!$C$211:$AC$220,27,FALSE)*AJ584+Y584+Z584+AA584,IF(AS584=5,('Calc (ex-animal)'!$Q$109+'Calc (ex-animal)'!$R$109)*'Calc (ex-housing, ex-storage)'!F584/100/VLOOKUP($C$583,'DB animal categories'!$C$211:$AC$220,27,FALSE)*AJ584+Y584+Z584+AA584,IF(AS584=3,('Calc (ex-animal)'!$Q$109+'Calc (ex-animal)'!$R$109)*'Calc (ex-housing, ex-storage)'!F584/100/VLOOKUP($C$583,'DB animal categories'!$C$211:$AC$220,27,FALSE)*AJ584+Y584+Z584+AA584,IF(AS584=4,('Calc (ex-animal)'!$Q$109+'Calc (ex-animal)'!$R$109)*'Calc (ex-housing, ex-storage)'!F584/100*VLOOKUP(D584,'DB technologies'!$N$280:$Y$292,12,FALSE)/100/VLOOKUP($C$583,'DB animal categories'!$C$211:$AC$220,27,FALSE)*AJ584+Y584+Z584+AA584,0))))))</f>
        <v/>
      </c>
      <c r="BA584" s="506"/>
      <c r="BB584" s="506"/>
      <c r="BC584" s="506"/>
    </row>
    <row r="585" spans="1:55" x14ac:dyDescent="0.2">
      <c r="A585" s="748"/>
      <c r="B585" s="695"/>
      <c r="C585" s="251"/>
      <c r="D585" s="1357"/>
      <c r="E585" s="1358"/>
      <c r="F585" s="480" t="str">
        <f>IF('Calc (ex-animal)'!$F$108=1,"",IF($C$583=0,"",IF(D585="","",E585/'Calc (ex-animal)'!$E$109*100)))</f>
        <v/>
      </c>
      <c r="G585" s="485" t="str">
        <f>IF($C$583=0,"",IF('Calc (ex-animal)'!$F$108=1,"",IF(D585="","",SUM(H585:O585))))</f>
        <v/>
      </c>
      <c r="H585" s="423" t="str">
        <f>IF('Calc (ex-animal)'!$F$108=1,"",IF(D585="","",(((VLOOKUP($C$583,'Calc (ex-animal)'!$D$108:$Y$112,6,FALSE)-VLOOKUP($C$583,'Calc (ex-animal)'!$D$108:$Y$112,17,FALSE))*F585/100))*VLOOKUP($C$583,'Calc (ex-animal)'!$D$108:$Y$112,7,FALSE)/100*(1-VLOOKUP(D585,'DB technologies'!$N$280:$Y$292,9,FALSE)/100)))</f>
        <v/>
      </c>
      <c r="I585" s="423" t="str">
        <f>IF(D585="","",((VLOOKUP(D585,'DB technologies'!$N$280:$Y$292,2,FALSE)*VLOOKUP($C$583,'DB animal categories'!$C$211:$AC$220,27,FALSE)*E585/1000)/VLOOKUP($C$583,'DB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'!$S$6/100*(1-VLOOKUP(D585,'DB technologies'!$N$280:$Y$292,9,FALSE)/100)))</f>
        <v/>
      </c>
      <c r="J585" s="434" t="str">
        <f>IF(D585="","",((VLOOKUP(D585,'DB technologies'!$N$280:$Y$292,3,FALSE)*VLOOKUP($C$583,'DB animal categories'!$C$211:$AC$220,27,FALSE)*E585/1000)/VLOOKUP($C$583,'DB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'!$S$7/100*(1-VLOOKUP(D585,'DB technologies'!$N$280:$Y$292,9,FALSE)/100)))</f>
        <v/>
      </c>
      <c r="K585" s="434" t="str">
        <f>IF(D585="","",((VLOOKUP(D585,'DB technologies'!$N$280:$Y$292,4,FALSE)*E585*'DB additional information '!$S$8/100*(1-VLOOKUP(D585,'DB technologies'!$N$280:$Y$292,9,FALSE)/100))/VLOOKUP($C$583,'DB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L585" s="423" t="str">
        <f>IF('Calc (ex-animal)'!$F$108=1,"",IF(D585="","",(((VLOOKUP($C$583,'Calc (ex-animal)'!$D$108:$Y$112,6,FALSE)-VLOOKUP($C$583,'Calc (ex-animal)'!$D$108:$Y$112,17,FALSE))*F585/100))*(1-VLOOKUP($C$583,'Calc (ex-animal)'!$D$108:$Y$112,7,FALSE)/100)*(1-VLOOKUP(D585,'DB technologies'!$N$280:$V$292,8,FALSE)/100)))</f>
        <v/>
      </c>
      <c r="M585" s="434" t="str">
        <f>IF(D585="","",((VLOOKUP(D585,'DB technologies'!$N$280:$Y$292,2,FALSE)*VLOOKUP($C$583,'DB animal categories'!$C$211:$AC$220,27,FALSE)*E585/1000)/VLOOKUP($C$583,'DB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'!$S$6/100)*(1-VLOOKUP(D585,'DB technologies'!$N$280:$Y$292,9,FALSE)/100))</f>
        <v/>
      </c>
      <c r="N585" s="434" t="str">
        <f>IF(D585="","",((VLOOKUP(D585,'DB technologies'!$N$280:$Y$292,3,FALSE)*VLOOKUP($C$583,'DB animal categories'!$C$211:$AC$220,27,FALSE)*E585/1000)/VLOOKUP($C$583,'DB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'!$S$7/100)*(1-VLOOKUP(D585,'DB technologies'!$N$280:$Y$292,9,FALSE)/100))</f>
        <v/>
      </c>
      <c r="O585" s="423" t="str">
        <f>IF(D585="","",((VLOOKUP(D585,'DB technologies'!$N$280:$Y$292,4,FALSE)*E585*(1-'DB additional information '!$S$8/100)*(1-VLOOKUP(D585,'DB technologies'!$N$280:$Y$292,8,FALSE)/100))/VLOOKUP($C$583,'DB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P585" s="438" t="str">
        <f>IF(G585=0,0,IF(E585="","",IF(F585="","",IF($C$583=0,"",IF(D585="","",SUM(H585:K585)/G585*100)))))</f>
        <v/>
      </c>
      <c r="Q585" s="416" t="str">
        <f>IF(D585="","",(VLOOKUP(D585,'DB technologies'!$N$280:$Y$292,2,FALSE)*'DB additional information '!$S$6/100*'DB additional information '!$T$6*VLOOKUP($C$583,'DB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R585" s="416" t="str">
        <f>IF(D585="","",(VLOOKUP(D585,'DB technologies'!$N$280:$Y$292,3,FALSE)*'DB additional information '!$S$7/100*'DB additional information '!$T$7*VLOOKUP($C$583,'DB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S585" s="491" t="str">
        <f>IF(D585="","",(VLOOKUP(D585,'DB technologies'!$N$280:$Y$292,4,FALSE)*('DB additional information '!$S$8/100*'DB additional information '!$T$8*E585/1000/1000)))</f>
        <v/>
      </c>
      <c r="T585" s="264" t="str">
        <f>IF($C$583=0,"",IF('Calc (ex-animal)'!$F$108=1,"",IF(D585="","",((VLOOKUP($C$583,'Calc (ex-animal)'!$D$108:$Y$112,10,FALSE)-VLOOKUP($C$583,'Calc (ex-animal)'!$D$108:$Y$112,18,FALSE))*F585/100+Q585+R585+S585)-AC585-AD585-AE585)))</f>
        <v/>
      </c>
      <c r="U585" s="422" t="str">
        <f>IF(D585="","",(VLOOKUP(D585,'DB technologies'!$N$280:$Y$292,2,FALSE)*'DB additional information '!$S$6/100*'DB additional information '!$U$6*VLOOKUP($C$583,'DB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V585" s="418" t="str">
        <f>IF(D585="","",(VLOOKUP(D585,'DB technologies'!$N$280:$Y$292,3,FALSE)*'DB additional information '!$S$7/100*'DB additional information '!$U$7*VLOOKUP($C$583,'DB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W585" s="417" t="str">
        <f>IF(D585="","",(VLOOKUP(D585,'DB technologies'!$N$280:$Y$292,4,FALSE)*('DB additional information '!$S$8/100*'DB additional information '!$U$8*E585/1000/1000)))</f>
        <v/>
      </c>
      <c r="X585" s="261" t="str">
        <f>IF($C$583=0,"",IF('Calc (ex-animal)'!$F$108=1,"",IF(D585="","",((VLOOKUP($C$583,'Calc (ex-animal)'!$D$108:$Y$112,13,FALSE)-VLOOKUP($C$583,'Calc (ex-animal)'!$D$108:$Y$112,19,FALSE))*F585/100+U585+V585+W585))))</f>
        <v/>
      </c>
      <c r="Y585" s="418" t="str">
        <f>IF(D585="","",(VLOOKUP(D585,'DB technologies'!$N$280:$Y$292,2,FALSE)*'DB additional information '!$S$6/100*'DB additional information '!$V$6*VLOOKUP($C$583,'DB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Z585" s="418" t="str">
        <f>IF(D585="","",(VLOOKUP(D585,'DB technologies'!$N$280:$Y$292,3,FALSE)*'DB additional information '!$S$7/100*'DB additional information '!$V$7*VLOOKUP($C$583,'DB animal categories'!$C$211:$AC$220,27,FALSE)*E585/1000/1000)/VLOOKUP($C$583,'DB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AA585" s="418" t="str">
        <f>IF(D585="","",(VLOOKUP(D585,'DB technologies'!$N$280:$Y$292,4,FALSE)*('DB additional information '!$S$8/100*'DB additional information '!$V$8*E585/1000/1000)))</f>
        <v/>
      </c>
      <c r="AB585" s="261" t="str">
        <f>IF($C$583=0,"",IF('Calc (ex-animal)'!$F$108=1,"",IF(D585="","",((VLOOKUP($C$583,'Calc (ex-animal)'!$D$108:$Y$112,16,FALSE)-VLOOKUP($C$583,'Calc (ex-animal)'!$D$108:$Y$112,20,FALSE))*F585/100+Y585+Z585+AA585))))</f>
        <v/>
      </c>
      <c r="AC585" s="261" t="str">
        <f>IF($C$583=0,"",IF('Calc (ex-animal)'!$F$108=1,"",IF(D585="","",VLOOKUP($C$583,'Calc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categories'!$C$211:$AC$220,26,FALSE)/24)*F585/100*VLOOKUP(D585,'DB technologies'!$N$280:$R$292,5,FALSE)/100)))</f>
        <v/>
      </c>
      <c r="AD585" s="261" t="str">
        <f>IF($C$583=0,"",IF('Calc (ex-animal)'!$F$108=1,"",IF(D585="","",VLOOKUP($C$583,'Calc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categories'!$C$211:$AC$220,26,FALSE)/24)*F585/100*VLOOKUP(D585,'DB technologies'!$N$280:$Y$292,6,FALSE)/100)))</f>
        <v/>
      </c>
      <c r="AE585" s="262" t="str">
        <f>IF($C$583=0,"",IF('Calc (ex-animal)'!$F$108=1,"",IF(D585="","",VLOOKUP($C$583,'Calc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categories'!$C$211:$AC$220,26,FALSE)/24)*F585/100*VLOOKUP(D585,'DB technologies'!$N$280:$Y$292,7,FALSE)/100)))</f>
        <v/>
      </c>
      <c r="AI585" s="181" t="str">
        <f>IF(D585="","",VLOOKUP(D585,'DB technologies'!$N$280:$Y$292,10,FALSE))</f>
        <v/>
      </c>
      <c r="AJ585" s="449" t="e">
        <f>VLOOKUP($C$583,'DB animal categories'!$C$211:$AN$220,27,FALSE)-VLOOKUP($C$583,'DB animal categories'!$C$211:$AN$220,26,FALSE)*VLOOKUP($C$583,'DB animal categories'!$C$211:$AN$220,25,FALSE)/24</f>
        <v>#N/A</v>
      </c>
      <c r="AK585" s="442" t="str">
        <f>IF(AI585="","",AL585+AM585)</f>
        <v/>
      </c>
      <c r="AL585" s="442" t="str">
        <f>IF(D585="","",IF(AI585=2,(('Calc (ex-animal)'!$G$109*'DB additional information '!$K$23/100*(1-VLOOKUP(D585,'DB technologies'!$N$280:$Y$292,9,FALSE)/100)*'Calc (ex-housing, ex-storage)'!F585/100+'Calc (ex-animal)'!$H$109*'DB additional information '!$L$23/100*(1-VLOOKUP(D585,'DB technologies'!$N$280:$Y$292,9,FALSE)/100)*'Calc (ex-housing, ex-storage)'!F585/100))/VLOOKUP($C$583,'DB animal categories'!$C$211:$AC$220,27,FALSE)*AJ585+I585+J585+K585,IF(AI585=1,('Calc (ex-animal)'!$H$109*'DB additional information '!$L$23/100*(1-VLOOKUP(D585,'DB technologies'!$N$280:$Y$292,9,FALSE)/100)*'Calc (ex-housing, ex-storage)'!F585/100)/VLOOKUP($C$583,'DB animal categories'!$C$211:$AC$220,27,FALSE)*AJ585,IF(AI585=4,('Calc (ex-animal)'!$G$109*'DB additional information '!$K$23/100+'Calc (ex-animal)'!$H$109*'DB additional information '!$L$23/100)*(1-VLOOKUP(D585,'DB technologies'!$N$280:$Y$292,9,FALSE)/100)*'Calc (ex-housing, ex-storage)'!F585/100*VLOOKUP(D585,'DB technologies'!$N$280:$Y$292,11,FALSE)/100/VLOOKUP($C$583,'DB animal categories'!$C$211:$AC$220,27,FALSE)*AJ585,0))))</f>
        <v/>
      </c>
      <c r="AM585" s="442" t="str">
        <f>IF(D585="","",IF(AI585=2,(('Calc (ex-animal)'!$G$109*(1-'DB additional information '!$K$23/100)*(1-VLOOKUP(D585,'DB technologies'!$N$280:$Y$292,8,FALSE)/100)*'Calc (ex-housing, ex-storage)'!F585/100+'Calc (ex-animal)'!$H$109*(1-'DB additional information '!$L$23/100)*(1-VLOOKUP(D585,'DB technologies'!$N$280:$Y$292,8,FALSE)/100)*'Calc (ex-housing, ex-storage)'!F585/100))/VLOOKUP($C$583,'DB animal categories'!$C$211:$AC$220,27,FALSE)*AJ585+M585+N585+O585,IF(AI585=1,('Calc (ex-animal)'!$H$109*(1-'DB additional information '!$L$23/100)*(1-VLOOKUP(D585,'DB technologies'!$N$280:$Y$292,8,FALSE)/100)*'Calc (ex-housing, ex-storage)'!F585/100)/VLOOKUP($C$583,'DB animal categories'!$C$211:$AC$220,27,FALSE)*AJ585,IF(AI585=4,('Calc (ex-animal)'!$G$109*(1-'DB additional information '!$K$23/100)+'Calc (ex-animal)'!$H$109*(1-'DB additional information '!$L$23/100))*(1-VLOOKUP(D585,'DB technologies'!$N$280:$Y$292,8,FALSE)/100)*'Calc (ex-housing, ex-storage)'!F585/100*VLOOKUP(D585,'DB technologies'!$N$280:$Y$292,11,FALSE)/100/VLOOKUP($C$583,'DB animal categories'!$C$211:$AC$220,27,FALSE)*AJ585,0))))</f>
        <v/>
      </c>
      <c r="AN585" s="442" t="str">
        <f>IF(AI585="","",IF(AL585=0,0,AL585/AK585*100))</f>
        <v/>
      </c>
      <c r="AO585" s="182" t="str">
        <f>IF(D585="","",IF(AI585=2,(('Calc (ex-animal)'!$L$109*'Calc (ex-housing, ex-storage)'!F585/100+'Calc (ex-animal)'!$K$109*'Calc (ex-housing, ex-storage)'!F585/100))/VLOOKUP($C$583,'DB animal categories'!$C$211:$AC$220,27,FALSE)*AJ585+Q585+R585+S585-AC585,IF(AI585=1,('Calc (ex-animal)'!$L$109*'Calc (ex-housing, ex-storage)'!F585/100)/VLOOKUP($C$583,'DB animal categories'!$C$211:$AC$220,27,FALSE)*AJ585-'Calc (ex-housing, ex-storage)'!AC585,IF(AI585=4,('Calc (ex-animal)'!$L$109+'Calc (ex-animal)'!$K$109)*'Calc (ex-housing, ex-storage)'!F585/100*VLOOKUP(D585,'DB technologies'!$N$280:$Y$292,11,FALSE)/100/VLOOKUP($C$583,'DB animal categories'!$C$211:$AC$220,27,FALSE)*AJ585-AC585*VLOOKUP(D585,'DB technologies'!$N$280:$Y$292,11,FALSE)/100,0))))</f>
        <v/>
      </c>
      <c r="AP585" s="182" t="str">
        <f>IF(D585="","",IF(AO585&lt;-0.01,0,IF(AI585=2,(('Calc (ex-animal)'!$L$109*'Calc (ex-housing, ex-storage)'!F585/100+'Calc (ex-animal)'!$K$109*'Calc (ex-housing, ex-storage)'!F585/100))/VLOOKUP($C$583,'DB animal categories'!$C$211:$AC$220,27,FALSE)*AJ585+Q585+R585+S585-AC585,IF(AI585=1,('Calc (ex-animal)'!$L$109*'Calc (ex-housing, ex-storage)'!F585/100)/VLOOKUP($C$583,'DB animal categories'!$C$211:$AC$220,27,FALSE)*AJ585-'Calc (ex-housing, ex-storage)'!AC585,IF(AI585=4,('Calc (ex-animal)'!$L$109+'Calc (ex-animal)'!$K$109)*'Calc (ex-housing, ex-storage)'!F585/100*VLOOKUP(D585,'DB technologies'!$N$280:$Y$292,11,FALSE)/100/VLOOKUP($C$583,'DB animal categories'!$C$211:$AC$220,27,FALSE)*AJ585-AC585*VLOOKUP(D585,'DB technologies'!$N$280:$Y$292,11,FALSE)/100,0)))))</f>
        <v/>
      </c>
      <c r="AQ585" s="182" t="str">
        <f>IF(D585="","",IF(AI585=2,('Calc (ex-animal)'!$O$109*'Calc (ex-housing, ex-storage)'!F585/100+'Calc (ex-animal)'!$N$109*'Calc (ex-housing, ex-storage)'!F585/100)/VLOOKUP($C$583,'DB animal categories'!$C$211:$AC$220,27,FALSE)*AJ585+U585+V585+W585,IF(AI585=1,'Calc (ex-animal)'!$O$109*'Calc (ex-housing, ex-storage)'!F585/100/VLOOKUP($C$583,'DB animal categories'!$C$211:$AC$220,27,FALSE)*AJ585,IF(AI585=4,('Calc (ex-animal)'!$O$109+'Calc (ex-animal)'!$N$109)*'Calc (ex-housing, ex-storage)'!F585/100*VLOOKUP(D585,'DB technologies'!$N$280:$Y$292,11,FALSE)/100/VLOOKUP($C$583,'DB animal categories'!$C$211:$AC$220,27,FALSE)*AJ585,0))))</f>
        <v/>
      </c>
      <c r="AR585" s="182" t="str">
        <f>IF(D585="","",IF(AI585=2,('Calc (ex-animal)'!$R$109*'Calc (ex-housing, ex-storage)'!F585/100+'Calc (ex-animal)'!$Q$109*'Calc (ex-housing, ex-storage)'!F585/100)/VLOOKUP($C$583,'DB animal categories'!$C$211:$AC$220,27,FALSE)*AJ585+Y585+Z585+AA585,IF(AI585=1,'Calc (ex-animal)'!$R$109*'Calc (ex-housing, ex-storage)'!F585/100/VLOOKUP($C$583,'DB animal categories'!$C$211:$AC$220,27,FALSE)*AJ585,IF(AI585=4,('Calc (ex-animal)'!$R$109+'Calc (ex-animal)'!$Q$109)*'Calc (ex-housing, ex-storage)'!F585/100*VLOOKUP(D585,'DB technologies'!$N$280:$Y$292,11,FALSE)/100/VLOOKUP($C$583,'DB animal categories'!$C$211:$AC$220,27,FALSE)*AJ585,0))))</f>
        <v/>
      </c>
      <c r="AS585" s="181" t="str">
        <f>IF(D585="","",VLOOKUP(D585,'DB technologies'!$N$280:$Y$292,10,FALSE))</f>
        <v/>
      </c>
      <c r="AT585" s="442" t="str">
        <f>IF(AS585="","",AU585+AV585)</f>
        <v/>
      </c>
      <c r="AU585" s="442" t="str">
        <f>IF(D585="","",IF(AS585=2,0,IF(AS585=1,'Calc (ex-animal)'!$G$109*'DB additional information '!$K$23/100*(1-VLOOKUP(D585,'DB technologies'!$N$280:$Y$292,8,FALSE)/100)*'Calc (ex-housing, ex-storage)'!F585/100/VLOOKUP($C$583,'DB animal categories'!$C$211:$AC$220,27,FALSE)*AJ585+I585+J585+K585,IF(AS585=5,(('Calc (ex-animal)'!$G$109*'DB additional information '!$K$23/100+'Calc (ex-animal)'!$H$109*'DB additional information '!$L$23/100))*(1-VLOOKUP(D585,'DB technologies'!$N$280:$Y$292,9,FALSE)/100)*'Calc (ex-housing, ex-storage)'!F585/100/VLOOKUP($C$583,'DB animal categories'!$C$211:$AC$220,27,FALSE)*AJ585+I585+J585+K585,IF(AS585=3,('Calc (ex-animal)'!$G$109*'DB additional information '!$K$23/100+'Calc (ex-animal)'!$H$109*'DB additional information '!$L$23/100)*(1-VLOOKUP(D585,'DB technologies'!$N$280:$Y$292,9,FALSE)/100)*'Calc (ex-housing, ex-storage)'!F585/100/VLOOKUP($C$583,'DB animal categories'!$C$211:$AC$220,27,FALSE)*AJ585+I585+J585+K585,IF(AS585=4,('Calc (ex-animal)'!$G$109*'DB additional information '!$K$23/100+'Calc (ex-animal)'!$H$109*'DB additional information '!$L$23/100)*(1-VLOOKUP(D585,'DB technologies'!$N$280:$Y$292,9,FALSE)/100)*'Calc (ex-housing, ex-storage)'!F585/100*VLOOKUP(D585,'DB technologies'!$N$280:$Y$292,12,FALSE)/100/VLOOKUP($C$583,'DB animal categories'!$C$211:$AC$220,27,FALSE)*AJ585+I585+J585+K585,0))))))</f>
        <v/>
      </c>
      <c r="AV585" s="442" t="str">
        <f>IF(D585="","",IF(AS585=2,0,IF(AS585=1,'Calc (ex-animal)'!$G$109*(1-'DB additional information '!$K$23/100)*(1-VLOOKUP(D585,'DB technologies'!$N$280:$Y$292,8,FALSE)/100)*'Calc (ex-housing, ex-storage)'!F585/100/VLOOKUP($C$583,'DB animal categories'!$C$211:$AC$220,27,FALSE)*AJ585+M585+N585+O585,IF(AS585=5,('Calc (ex-animal)'!$G$109*(1-'DB additional information '!$K$23/100)+'Calc (ex-animal)'!$H$109*(1-'DB additional information '!$L$23/100))*(1-VLOOKUP(D585,'DB technologies'!$N$280:$Y$292,8,FALSE)/100)*'Calc (ex-housing, ex-storage)'!F585/100/VLOOKUP($C$583,'DB animal categories'!$C$211:$AC$220,27,FALSE)*AJ585+M585+N585+O585,IF(AS585=3,('Calc (ex-animal)'!$G$109*(1-'DB additional information '!$K$23/100)+'Calc (ex-animal)'!$H$109*(1-'DB additional information '!$L$23/100))*(1-VLOOKUP(D585,'DB technologies'!$N$280:$Y$292,8,FALSE)/100)*'Calc (ex-housing, ex-storage)'!F585/100/VLOOKUP($C$583,'DB animal categories'!$C$211:$AC$220,27,FALSE)*AJ585+M585+N585+O585,IF(AS585=4,('Calc (ex-animal)'!$G$109*(1-'DB additional information '!$K$23/100)+'Calc (ex-animal)'!$H$109*(1-'DB additional information '!$L$23/100))*(1-VLOOKUP(D585,'DB technologies'!$N$280:$Y$292,8,FALSE)/100)*'Calc (ex-housing, ex-storage)'!F585/100*VLOOKUP(D585,'DB technologies'!$N$280:$Y$292,12,FALSE)/100/VLOOKUP($C$583,'DB animal categories'!$C$211:$AC$220,27,FALSE)*AJ585+M585+N585+O585,0))))))</f>
        <v/>
      </c>
      <c r="AW585" s="442" t="str">
        <f>IF(AS585="","",IF(AU585=0,0,AU585/AT585*100))</f>
        <v/>
      </c>
      <c r="AX585" s="182" t="str">
        <f>IF(D585="","",IF(AS585=2,0,IF(AS585=1,'Calc (ex-animal)'!$K$109*'Calc (ex-housing, ex-storage)'!F585/100/VLOOKUP($C$583,'DB animal categories'!$C$211:$AC$220,27,FALSE)*AJ585+Q585+R585+S585,IF(AS585=5,('Calc (ex-animal)'!$K$109+'Calc (ex-animal)'!$L$109)*'Calc (ex-housing, ex-storage)'!F585/100/VLOOKUP($C$583,'DB animal categories'!$C$211:$AC$220,27,FALSE)*AJ585+Q585+R585+S585-'Calc (ex-housing, ex-storage)'!AC585,IF(AS585=3,('Calc (ex-animal)'!$K$109+'Calc (ex-animal)'!$L$109)*'Calc (ex-housing, ex-storage)'!F585/100/VLOOKUP($C$583,'DB animal categories'!$C$211:$AC$220,27,FALSE)*AJ585+Q585+R585+S585-'Calc (ex-housing, ex-storage)'!AC585-AD585-AE585,IF(AI585=4,('Calc (ex-animal)'!$K$109+'Calc (ex-animal)'!$L$109)*'Calc (ex-housing, ex-storage)'!F585/100*VLOOKUP(D585,'DB technologies'!$N$280:$Y$292,12,FALSE)/100/VLOOKUP($C$583,'DB animal categories'!$C$211:$AC$220,27,FALSE)*AJ585+Q585+R585+S585-(VLOOKUP(D585,'DB technologies'!$N$280:$Y$292,12,FALSE)/100*AC585)-AD585-AE585,0))))))</f>
        <v/>
      </c>
      <c r="AY585" s="182" t="str">
        <f>IF(D585="","",IF(AS585=2,0,IF(AS585=1,'Calc (ex-animal)'!$N$109*'Calc (ex-housing, ex-storage)'!F585/100/VLOOKUP($C$583,'DB animal categories'!$C$211:$AC$220,27,FALSE)*AJ585+U585+V585+W585,IF(AS585=5,('Calc (ex-animal)'!$N$109+'Calc (ex-animal)'!$O$109)*'Calc (ex-housing, ex-storage)'!F585/100/VLOOKUP($C$583,'DB animal categories'!$C$211:$AC$220,27,FALSE)*AJ585+U585+V585+W585,IF(AS585=3,('Calc (ex-animal)'!$N$109+'Calc (ex-animal)'!$O$109)*'Calc (ex-housing, ex-storage)'!F585/100/VLOOKUP($C$583,'DB animal categories'!$C$211:$AC$220,27,FALSE)*AJ585+U585+V585+W585,IF(AS585=4,('Calc (ex-animal)'!$N$109+'Calc (ex-animal)'!$O$109)*'Calc (ex-housing, ex-storage)'!F585/100*VLOOKUP(D585,'DB technologies'!$N$280:$Y$292,12,FALSE)/100/VLOOKUP($C$583,'DB animal categories'!$C$211:$AC$220,27,FALSE)*AJ585+U585+V585+W585,0))))))</f>
        <v/>
      </c>
      <c r="AZ585" s="182" t="str">
        <f>IF(D585="","",IF(AS585=2,0,IF(AS585=1,'Calc (ex-animal)'!$Q$109*'Calc (ex-housing, ex-storage)'!F585/100/VLOOKUP($C$583,'DB animal categories'!$C$211:$AC$220,27,FALSE)*AJ585+Y585+Z585+AA585,IF(AS585=5,('Calc (ex-animal)'!$Q$109+'Calc (ex-animal)'!$R$109)*'Calc (ex-housing, ex-storage)'!F585/100/VLOOKUP($C$583,'DB animal categories'!$C$211:$AC$220,27,FALSE)*AJ585+Y585+Z585+AA585,IF(AS585=3,('Calc (ex-animal)'!$Q$109+'Calc (ex-animal)'!$R$109)*'Calc (ex-housing, ex-storage)'!F585/100/VLOOKUP($C$583,'DB animal categories'!$C$211:$AC$220,27,FALSE)*AJ585+Y585+Z585+AA585,IF(AS585=4,('Calc (ex-animal)'!$Q$109+'Calc (ex-animal)'!$R$109)*'Calc (ex-housing, ex-storage)'!F585/100*VLOOKUP(D585,'DB technologies'!$N$280:$Y$292,12,FALSE)/100/VLOOKUP($C$583,'DB animal categories'!$C$211:$AC$220,27,FALSE)*AJ585+Y585+Z585+AA585,0))))))</f>
        <v/>
      </c>
      <c r="BA585" s="506"/>
      <c r="BB585" s="506"/>
      <c r="BC585" s="506"/>
    </row>
    <row r="586" spans="1:55" x14ac:dyDescent="0.2">
      <c r="A586" s="748"/>
      <c r="B586" s="695"/>
      <c r="C586" s="251"/>
      <c r="D586" s="1357"/>
      <c r="E586" s="1358"/>
      <c r="F586" s="480" t="str">
        <f>IF('Calc (ex-animal)'!$F$108=1,"",IF($C$583=0,"",IF(D586="","",E586/'Calc (ex-animal)'!$E$109*100)))</f>
        <v/>
      </c>
      <c r="G586" s="485" t="str">
        <f>IF($C$583=0,"",IF('Calc (ex-animal)'!$F$108=1,"",IF(D586="","",SUM(H586:O586))))</f>
        <v/>
      </c>
      <c r="H586" s="423" t="str">
        <f>IF('Calc (ex-animal)'!$F$108=1,"",IF(D586="","",(((VLOOKUP($C$583,'Calc (ex-animal)'!$D$108:$Y$112,6,FALSE)-VLOOKUP($C$583,'Calc (ex-animal)'!$D$108:$Y$112,17,FALSE))*F586/100))*VLOOKUP($C$583,'Calc (ex-animal)'!$D$108:$Y$112,7,FALSE)/100*(1-VLOOKUP(D586,'DB technologies'!$N$280:$Y$292,9,FALSE)/100)))</f>
        <v/>
      </c>
      <c r="I586" s="423" t="str">
        <f>IF(D586="","",((VLOOKUP(D586,'DB technologies'!$N$280:$Y$292,2,FALSE)*VLOOKUP($C$583,'DB animal categories'!$C$211:$AC$220,27,FALSE)*E586/1000)/VLOOKUP($C$583,'DB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'!$S$6/100*(1-VLOOKUP(D586,'DB technologies'!$N$280:$Y$292,9,FALSE)/100)))</f>
        <v/>
      </c>
      <c r="J586" s="434" t="str">
        <f>IF(D586="","",((VLOOKUP(D586,'DB technologies'!$N$280:$Y$292,3,FALSE)*VLOOKUP($C$583,'DB animal categories'!$C$211:$AC$220,27,FALSE)*E586/1000)/VLOOKUP($C$583,'DB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'!$S$7/100*(1-VLOOKUP(D586,'DB technologies'!$N$280:$Y$292,9,FALSE)/100)))</f>
        <v/>
      </c>
      <c r="K586" s="434" t="str">
        <f>IF(D586="","",((VLOOKUP(D586,'DB technologies'!$N$280:$Y$292,4,FALSE)*E586*'DB additional information '!$S$8/100*(1-VLOOKUP(D586,'DB technologies'!$N$280:$Y$292,9,FALSE)/100))/VLOOKUP($C$583,'DB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L586" s="423" t="str">
        <f>IF('Calc (ex-animal)'!$F$108=1,"",IF(D586="","",(((VLOOKUP($C$583,'Calc (ex-animal)'!$D$108:$Y$112,6,FALSE)-VLOOKUP($C$583,'Calc (ex-animal)'!$D$108:$Y$112,17,FALSE))*F586/100))*(1-VLOOKUP($C$583,'Calc (ex-animal)'!$D$108:$Y$112,7,FALSE)/100)*(1-VLOOKUP(D586,'DB technologies'!$N$280:$V$292,8,FALSE)/100)))</f>
        <v/>
      </c>
      <c r="M586" s="434" t="str">
        <f>IF(D586="","",((VLOOKUP(D586,'DB technologies'!$N$280:$Y$292,2,FALSE)*VLOOKUP($C$583,'DB animal categories'!$C$211:$AC$220,27,FALSE)*E586/1000)/VLOOKUP($C$583,'DB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'!$S$6/100)*(1-VLOOKUP(D586,'DB technologies'!$N$280:$Y$292,9,FALSE)/100))</f>
        <v/>
      </c>
      <c r="N586" s="434" t="str">
        <f>IF(D586="","",((VLOOKUP(D586,'DB technologies'!$N$280:$Y$292,3,FALSE)*VLOOKUP($C$583,'DB animal categories'!$C$211:$AC$220,27,FALSE)*E586/1000)/VLOOKUP($C$583,'DB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'!$S$7/100)*(1-VLOOKUP(D586,'DB technologies'!$N$280:$Y$292,9,FALSE)/100))</f>
        <v/>
      </c>
      <c r="O586" s="423" t="str">
        <f>IF(D586="","",((VLOOKUP(D586,'DB technologies'!$N$280:$Y$292,4,FALSE)*E586*(1-'DB additional information '!$S$8/100)*(1-VLOOKUP(D586,'DB technologies'!$N$280:$Y$292,8,FALSE)/100))/VLOOKUP($C$583,'DB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P586" s="438" t="str">
        <f>IF(G586=0,0,IF(E586="","",IF(F586="","",IF($C$583=0,"",IF(D586="","",SUM(H586:K586)/G586*100)))))</f>
        <v/>
      </c>
      <c r="Q586" s="416" t="str">
        <f>IF(D586="","",(VLOOKUP(D586,'DB technologies'!$N$280:$Y$292,2,FALSE)*'DB additional information '!$S$6/100*'DB additional information '!$T$6*VLOOKUP($C$583,'DB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R586" s="416" t="str">
        <f>IF(D586="","",(VLOOKUP(D586,'DB technologies'!$N$280:$Y$292,3,FALSE)*'DB additional information '!$S$7/100*'DB additional information '!$T$7*VLOOKUP($C$583,'DB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S586" s="491" t="str">
        <f>IF(D586="","",(VLOOKUP(D586,'DB technologies'!$N$280:$Y$292,4,FALSE)*('DB additional information '!$S$8/100*'DB additional information '!$T$8*E586/1000/1000)))</f>
        <v/>
      </c>
      <c r="T586" s="264" t="str">
        <f>IF($C$583=0,"",IF('Calc (ex-animal)'!$F$108=1,"",IF(D586="","",((VLOOKUP($C$583,'Calc (ex-animal)'!$D$108:$Y$112,10,FALSE)-VLOOKUP($C$583,'Calc (ex-animal)'!$D$108:$Y$112,18,FALSE))*F586/100+Q586+R586+S586)-AC586-AD586-AE586)))</f>
        <v/>
      </c>
      <c r="U586" s="422" t="str">
        <f>IF(D586="","",(VLOOKUP(D586,'DB technologies'!$N$280:$Y$292,2,FALSE)*'DB additional information '!$S$6/100*'DB additional information '!$U$6*VLOOKUP($C$583,'DB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V586" s="418" t="str">
        <f>IF(D586="","",(VLOOKUP(D586,'DB technologies'!$N$280:$Y$292,3,FALSE)*'DB additional information '!$S$7/100*'DB additional information '!$U$7*VLOOKUP($C$583,'DB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W586" s="417" t="str">
        <f>IF(D586="","",(VLOOKUP(D586,'DB technologies'!$N$280:$Y$292,4,FALSE)*('DB additional information '!$S$8/100*'DB additional information '!$U$8*E586/1000/1000)))</f>
        <v/>
      </c>
      <c r="X586" s="261" t="str">
        <f>IF($C$583=0,"",IF('Calc (ex-animal)'!$F$108=1,"",IF(D586="","",((VLOOKUP($C$583,'Calc (ex-animal)'!$D$108:$Y$112,13,FALSE)-VLOOKUP($C$583,'Calc (ex-animal)'!$D$108:$Y$112,19,FALSE))*F586/100+U586+V586+W586))))</f>
        <v/>
      </c>
      <c r="Y586" s="418" t="str">
        <f>IF(D586="","",(VLOOKUP(D586,'DB technologies'!$N$280:$Y$292,2,FALSE)*'DB additional information '!$S$6/100*'DB additional information '!$V$6*VLOOKUP($C$583,'DB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Z586" s="418" t="str">
        <f>IF(D586="","",(VLOOKUP(D586,'DB technologies'!$N$280:$Y$292,3,FALSE)*'DB additional information '!$S$7/100*'DB additional information '!$V$7*VLOOKUP($C$583,'DB animal categories'!$C$211:$AC$220,27,FALSE)*E586/1000/1000)/VLOOKUP($C$583,'DB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AA586" s="418" t="str">
        <f>IF(D586="","",(VLOOKUP(D586,'DB technologies'!$N$280:$Y$292,4,FALSE)*('DB additional information '!$S$8/100*'DB additional information '!$V$8*E586/1000/1000)))</f>
        <v/>
      </c>
      <c r="AB586" s="261" t="str">
        <f>IF($C$583=0,"",IF('Calc (ex-animal)'!$F$108=1,"",IF(D586="","",((VLOOKUP($C$583,'Calc (ex-animal)'!$D$108:$Y$112,16,FALSE)-VLOOKUP($C$583,'Calc (ex-animal)'!$D$108:$Y$112,20,FALSE))*F586/100+Y586+Z586+AA586))))</f>
        <v/>
      </c>
      <c r="AC586" s="261" t="str">
        <f>IF($C$583=0,"",IF('Calc (ex-animal)'!$F$108=1,"",IF(D586="","",VLOOKUP($C$583,'Calc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categories'!$C$211:$AC$220,26,FALSE)/24)*F586/100*VLOOKUP(D586,'DB technologies'!$N$280:$R$292,5,FALSE)/100)))</f>
        <v/>
      </c>
      <c r="AD586" s="261" t="str">
        <f>IF($C$583=0,"",IF('Calc (ex-animal)'!$F$108=1,"",IF(D586="","",VLOOKUP($C$583,'Calc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categories'!$C$211:$AC$220,26,FALSE)/24)*F586/100*VLOOKUP(D586,'DB technologies'!$N$280:$Y$292,6,FALSE)/100)))</f>
        <v/>
      </c>
      <c r="AE586" s="262" t="str">
        <f>IF($C$583=0,"",IF('Calc (ex-animal)'!$F$108=1,"",IF(D586="","",VLOOKUP($C$583,'Calc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categories'!$C$211:$AC$220,26,FALSE)/24)*F586/100*VLOOKUP(D586,'DB technologies'!$N$280:$Y$292,7,FALSE)/100)))</f>
        <v/>
      </c>
      <c r="AI586" s="181" t="str">
        <f>IF(D586="","",VLOOKUP(D586,'DB technologies'!$N$280:$Y$292,10,FALSE))</f>
        <v/>
      </c>
      <c r="AJ586" s="449" t="e">
        <f>VLOOKUP($C$583,'DB animal categories'!$C$211:$AN$220,27,FALSE)-VLOOKUP($C$583,'DB animal categories'!$C$211:$AN$220,26,FALSE)*VLOOKUP($C$583,'DB animal categories'!$C$211:$AN$220,25,FALSE)/24</f>
        <v>#N/A</v>
      </c>
      <c r="AK586" s="442" t="str">
        <f>IF(AI586="","",AL586+AM586)</f>
        <v/>
      </c>
      <c r="AL586" s="442" t="str">
        <f>IF(D586="","",IF(AI586=2,(('Calc (ex-animal)'!$G$109*'DB additional information '!$K$23/100*(1-VLOOKUP(D586,'DB technologies'!$N$280:$Y$292,9,FALSE)/100)*'Calc (ex-housing, ex-storage)'!F586/100+'Calc (ex-animal)'!$H$109*'DB additional information '!$L$23/100*(1-VLOOKUP(D586,'DB technologies'!$N$280:$Y$292,9,FALSE)/100)*'Calc (ex-housing, ex-storage)'!F586/100))/VLOOKUP($C$583,'DB animal categories'!$C$211:$AC$220,27,FALSE)*AJ586+I586+J586+K586,IF(AI586=1,('Calc (ex-animal)'!$H$109*'DB additional information '!$L$23/100*(1-VLOOKUP(D586,'DB technologies'!$N$280:$Y$292,9,FALSE)/100)*'Calc (ex-housing, ex-storage)'!F586/100)/VLOOKUP($C$583,'DB animal categories'!$C$211:$AC$220,27,FALSE)*AJ586,IF(AI586=4,('Calc (ex-animal)'!$G$109*'DB additional information '!$K$23/100+'Calc (ex-animal)'!$H$109*'DB additional information '!$L$23/100)*(1-VLOOKUP(D586,'DB technologies'!$N$280:$Y$292,9,FALSE)/100)*'Calc (ex-housing, ex-storage)'!F586/100*VLOOKUP(D586,'DB technologies'!$N$280:$Y$292,11,FALSE)/100/VLOOKUP($C$583,'DB animal categories'!$C$211:$AC$220,27,FALSE)*AJ586,0))))</f>
        <v/>
      </c>
      <c r="AM586" s="442" t="str">
        <f>IF(D586="","",IF(AI586=2,(('Calc (ex-animal)'!$G$109*(1-'DB additional information '!$K$23/100)*(1-VLOOKUP(D586,'DB technologies'!$N$280:$Y$292,8,FALSE)/100)*'Calc (ex-housing, ex-storage)'!F586/100+'Calc (ex-animal)'!$H$109*(1-'DB additional information '!$L$23/100)*(1-VLOOKUP(D586,'DB technologies'!$N$280:$Y$292,8,FALSE)/100)*'Calc (ex-housing, ex-storage)'!F586/100))/VLOOKUP($C$583,'DB animal categories'!$C$211:$AC$220,27,FALSE)*AJ586+M586+N586+O586,IF(AI586=1,('Calc (ex-animal)'!$H$109*(1-'DB additional information '!$L$23/100)*(1-VLOOKUP(D586,'DB technologies'!$N$280:$Y$292,8,FALSE)/100)*'Calc (ex-housing, ex-storage)'!F586/100)/VLOOKUP($C$583,'DB animal categories'!$C$211:$AC$220,27,FALSE)*AJ586,IF(AI586=4,('Calc (ex-animal)'!$G$109*(1-'DB additional information '!$K$23/100)+'Calc (ex-animal)'!$H$109*(1-'DB additional information '!$L$23/100))*(1-VLOOKUP(D586,'DB technologies'!$N$280:$Y$292,8,FALSE)/100)*'Calc (ex-housing, ex-storage)'!F586/100*VLOOKUP(D586,'DB technologies'!$N$280:$Y$292,11,FALSE)/100/VLOOKUP($C$583,'DB animal categories'!$C$211:$AC$220,27,FALSE)*AJ586,0))))</f>
        <v/>
      </c>
      <c r="AN586" s="442" t="str">
        <f>IF(AI586="","",IF(AL586=0,0,AL586/AK586*100))</f>
        <v/>
      </c>
      <c r="AO586" s="182" t="str">
        <f>IF(D586="","",IF(AI586=2,(('Calc (ex-animal)'!$L$109*'Calc (ex-housing, ex-storage)'!F586/100+'Calc (ex-animal)'!$K$109*'Calc (ex-housing, ex-storage)'!F586/100))/VLOOKUP($C$583,'DB animal categories'!$C$211:$AC$220,27,FALSE)*AJ586+Q586+R586+S586-AC586,IF(AI586=1,('Calc (ex-animal)'!$L$109*'Calc (ex-housing, ex-storage)'!F586/100)/VLOOKUP($C$583,'DB animal categories'!$C$211:$AC$220,27,FALSE)*AJ586-'Calc (ex-housing, ex-storage)'!AC586,IF(AI586=4,('Calc (ex-animal)'!$L$109+'Calc (ex-animal)'!$K$109)*'Calc (ex-housing, ex-storage)'!F586/100*VLOOKUP(D586,'DB technologies'!$N$280:$Y$292,11,FALSE)/100/VLOOKUP($C$583,'DB animal categories'!$C$211:$AC$220,27,FALSE)*AJ586-AC586*VLOOKUP(D586,'DB technologies'!$N$280:$Y$292,11,FALSE)/100,0))))</f>
        <v/>
      </c>
      <c r="AP586" s="182" t="str">
        <f>IF(D586="","",IF(AO586&lt;-0.01,0,IF(AI586=2,(('Calc (ex-animal)'!$L$109*'Calc (ex-housing, ex-storage)'!F586/100+'Calc (ex-animal)'!$K$109*'Calc (ex-housing, ex-storage)'!F586/100))/VLOOKUP($C$583,'DB animal categories'!$C$211:$AC$220,27,FALSE)*AJ586+Q586+R586+S586-AC586,IF(AI586=1,('Calc (ex-animal)'!$L$109*'Calc (ex-housing, ex-storage)'!F586/100)/VLOOKUP($C$583,'DB animal categories'!$C$211:$AC$220,27,FALSE)*AJ586-'Calc (ex-housing, ex-storage)'!AC586,IF(AI586=4,('Calc (ex-animal)'!$L$109+'Calc (ex-animal)'!$K$109)*'Calc (ex-housing, ex-storage)'!F586/100*VLOOKUP(D586,'DB technologies'!$N$280:$Y$292,11,FALSE)/100/VLOOKUP($C$583,'DB animal categories'!$C$211:$AC$220,27,FALSE)*AJ586-AC586*VLOOKUP(D586,'DB technologies'!$N$280:$Y$292,11,FALSE)/100,0)))))</f>
        <v/>
      </c>
      <c r="AQ586" s="182" t="str">
        <f>IF(D586="","",IF(AI586=2,('Calc (ex-animal)'!$O$109*'Calc (ex-housing, ex-storage)'!F586/100+'Calc (ex-animal)'!$N$109*'Calc (ex-housing, ex-storage)'!F586/100)/VLOOKUP($C$583,'DB animal categories'!$C$211:$AC$220,27,FALSE)*AJ586+U586+V586+W586,IF(AI586=1,'Calc (ex-animal)'!$O$109*'Calc (ex-housing, ex-storage)'!F586/100/VLOOKUP($C$583,'DB animal categories'!$C$211:$AC$220,27,FALSE)*AJ586,IF(AI586=4,('Calc (ex-animal)'!$O$109+'Calc (ex-animal)'!$N$109)*'Calc (ex-housing, ex-storage)'!F586/100*VLOOKUP(D586,'DB technologies'!$N$280:$Y$292,11,FALSE)/100/VLOOKUP($C$583,'DB animal categories'!$C$211:$AC$220,27,FALSE)*AJ586,0))))</f>
        <v/>
      </c>
      <c r="AR586" s="182" t="str">
        <f>IF(D586="","",IF(AI586=2,('Calc (ex-animal)'!$R$109*'Calc (ex-housing, ex-storage)'!F586/100+'Calc (ex-animal)'!$Q$109*'Calc (ex-housing, ex-storage)'!F586/100)/VLOOKUP($C$583,'DB animal categories'!$C$211:$AC$220,27,FALSE)*AJ586+Y586+Z586+AA586,IF(AI586=1,'Calc (ex-animal)'!$R$109*'Calc (ex-housing, ex-storage)'!F586/100/VLOOKUP($C$583,'DB animal categories'!$C$211:$AC$220,27,FALSE)*AJ586,IF(AI586=4,('Calc (ex-animal)'!$R$109+'Calc (ex-animal)'!$Q$109)*'Calc (ex-housing, ex-storage)'!F586/100*VLOOKUP(D586,'DB technologies'!$N$280:$Y$292,11,FALSE)/100/VLOOKUP($C$583,'DB animal categories'!$C$211:$AC$220,27,FALSE)*AJ586,0))))</f>
        <v/>
      </c>
      <c r="AS586" s="181" t="str">
        <f>IF(D586="","",VLOOKUP(D586,'DB technologies'!$N$280:$Y$292,10,FALSE))</f>
        <v/>
      </c>
      <c r="AT586" s="442" t="str">
        <f>IF(AS586="","",AU586+AV586)</f>
        <v/>
      </c>
      <c r="AU586" s="442" t="str">
        <f>IF(D586="","",IF(AS586=2,0,IF(AS586=1,'Calc (ex-animal)'!$G$109*'DB additional information '!$K$23/100*(1-VLOOKUP(D586,'DB technologies'!$N$280:$Y$292,8,FALSE)/100)*'Calc (ex-housing, ex-storage)'!F586/100/VLOOKUP($C$583,'DB animal categories'!$C$211:$AC$220,27,FALSE)*AJ586+I586+J586+K586,IF(AS586=5,(('Calc (ex-animal)'!$G$109*'DB additional information '!$K$23/100+'Calc (ex-animal)'!$H$109*'DB additional information '!$L$23/100))*(1-VLOOKUP(D586,'DB technologies'!$N$280:$Y$292,9,FALSE)/100)*'Calc (ex-housing, ex-storage)'!F586/100/VLOOKUP($C$583,'DB animal categories'!$C$211:$AC$220,27,FALSE)*AJ586+I586+J586+K586,IF(AS586=3,('Calc (ex-animal)'!$G$109*'DB additional information '!$K$23/100+'Calc (ex-animal)'!$H$109*'DB additional information '!$L$23/100)*(1-VLOOKUP(D586,'DB technologies'!$N$280:$Y$292,9,FALSE)/100)*'Calc (ex-housing, ex-storage)'!F586/100/VLOOKUP($C$583,'DB animal categories'!$C$211:$AC$220,27,FALSE)*AJ586+I586+J586+K586,IF(AS586=4,('Calc (ex-animal)'!$G$109*'DB additional information '!$K$23/100+'Calc (ex-animal)'!$H$109*'DB additional information '!$L$23/100)*(1-VLOOKUP(D586,'DB technologies'!$N$280:$Y$292,9,FALSE)/100)*'Calc (ex-housing, ex-storage)'!F586/100*VLOOKUP(D586,'DB technologies'!$N$280:$Y$292,12,FALSE)/100/VLOOKUP($C$583,'DB animal categories'!$C$211:$AC$220,27,FALSE)*AJ586+I586+J586+K586,0))))))</f>
        <v/>
      </c>
      <c r="AV586" s="442" t="str">
        <f>IF(D586="","",IF(AS586=2,0,IF(AS586=1,'Calc (ex-animal)'!$G$109*(1-'DB additional information '!$K$23/100)*(1-VLOOKUP(D586,'DB technologies'!$N$280:$Y$292,8,FALSE)/100)*'Calc (ex-housing, ex-storage)'!F586/100/VLOOKUP($C$583,'DB animal categories'!$C$211:$AC$220,27,FALSE)*AJ586+M586+N586+O586,IF(AS586=5,('Calc (ex-animal)'!$G$109*(1-'DB additional information '!$K$23/100)+'Calc (ex-animal)'!$H$109*(1-'DB additional information '!$L$23/100))*(1-VLOOKUP(D586,'DB technologies'!$N$280:$Y$292,8,FALSE)/100)*'Calc (ex-housing, ex-storage)'!F586/100/VLOOKUP($C$583,'DB animal categories'!$C$211:$AC$220,27,FALSE)*AJ586+M586+N586+O586,IF(AS586=3,('Calc (ex-animal)'!$G$109*(1-'DB additional information '!$K$23/100)+'Calc (ex-animal)'!$H$109*(1-'DB additional information '!$L$23/100))*(1-VLOOKUP(D586,'DB technologies'!$N$280:$Y$292,8,FALSE)/100)*'Calc (ex-housing, ex-storage)'!F586/100/VLOOKUP($C$583,'DB animal categories'!$C$211:$AC$220,27,FALSE)*AJ586+M586+N586+O586,IF(AS586=4,('Calc (ex-animal)'!$G$109*(1-'DB additional information '!$K$23/100)+'Calc (ex-animal)'!$H$109*(1-'DB additional information '!$L$23/100))*(1-VLOOKUP(D586,'DB technologies'!$N$280:$Y$292,8,FALSE)/100)*'Calc (ex-housing, ex-storage)'!F586/100*VLOOKUP(D586,'DB technologies'!$N$280:$Y$292,12,FALSE)/100/VLOOKUP($C$583,'DB animal categories'!$C$211:$AC$220,27,FALSE)*AJ586+M586+N586+O586,0))))))</f>
        <v/>
      </c>
      <c r="AW586" s="442" t="str">
        <f>IF(AS586="","",IF(AU586=0,0,AU586/AT586*100))</f>
        <v/>
      </c>
      <c r="AX586" s="182" t="str">
        <f>IF(D586="","",IF(AS586=2,0,IF(AS586=1,'Calc (ex-animal)'!$K$109*'Calc (ex-housing, ex-storage)'!F586/100/VLOOKUP($C$583,'DB animal categories'!$C$211:$AC$220,27,FALSE)*AJ586+Q586+R586+S586,IF(AS586=5,('Calc (ex-animal)'!$K$109+'Calc (ex-animal)'!$L$109)*'Calc (ex-housing, ex-storage)'!F586/100/VLOOKUP($C$583,'DB animal categories'!$C$211:$AC$220,27,FALSE)*AJ586+Q586+R586+S586-'Calc (ex-housing, ex-storage)'!AC586,IF(AS586=3,('Calc (ex-animal)'!$K$109+'Calc (ex-animal)'!$L$109)*'Calc (ex-housing, ex-storage)'!F586/100/VLOOKUP($C$583,'DB animal categories'!$C$211:$AC$220,27,FALSE)*AJ586+Q586+R586+S586-'Calc (ex-housing, ex-storage)'!AC586-AD586-AE586,IF(AI586=4,('Calc (ex-animal)'!$K$109+'Calc (ex-animal)'!$L$109)*'Calc (ex-housing, ex-storage)'!F586/100*VLOOKUP(D586,'DB technologies'!$N$280:$Y$292,12,FALSE)/100/VLOOKUP($C$583,'DB animal categories'!$C$211:$AC$220,27,FALSE)*AJ586+Q586+R586+S586-(VLOOKUP(D586,'DB technologies'!$N$280:$Y$292,12,FALSE)/100*AC586)-AD586-AE586,0))))))</f>
        <v/>
      </c>
      <c r="AY586" s="182" t="str">
        <f>IF(D586="","",IF(AS586=2,0,IF(AS586=1,'Calc (ex-animal)'!$N$109*'Calc (ex-housing, ex-storage)'!F586/100/VLOOKUP($C$583,'DB animal categories'!$C$211:$AC$220,27,FALSE)*AJ586+U586+V586+W586,IF(AS586=5,('Calc (ex-animal)'!$N$109+'Calc (ex-animal)'!$O$109)*'Calc (ex-housing, ex-storage)'!F586/100/VLOOKUP($C$583,'DB animal categories'!$C$211:$AC$220,27,FALSE)*AJ586+U586+V586+W586,IF(AS586=3,('Calc (ex-animal)'!$N$109+'Calc (ex-animal)'!$O$109)*'Calc (ex-housing, ex-storage)'!F586/100/VLOOKUP($C$583,'DB animal categories'!$C$211:$AC$220,27,FALSE)*AJ586+U586+V586+W586,IF(AS586=4,('Calc (ex-animal)'!$N$109+'Calc (ex-animal)'!$O$109)*'Calc (ex-housing, ex-storage)'!F586/100*VLOOKUP(D586,'DB technologies'!$N$280:$Y$292,12,FALSE)/100/VLOOKUP($C$583,'DB animal categories'!$C$211:$AC$220,27,FALSE)*AJ586+U586+V586+W586,0))))))</f>
        <v/>
      </c>
      <c r="AZ586" s="182" t="str">
        <f>IF(D586="","",IF(AS586=2,0,IF(AS586=1,'Calc (ex-animal)'!$Q$109*'Calc (ex-housing, ex-storage)'!F586/100/VLOOKUP($C$583,'DB animal categories'!$C$211:$AC$220,27,FALSE)*AJ586+Y586+Z586+AA586,IF(AS586=5,('Calc (ex-animal)'!$Q$109+'Calc (ex-animal)'!$R$109)*'Calc (ex-housing, ex-storage)'!F586/100/VLOOKUP($C$583,'DB animal categories'!$C$211:$AC$220,27,FALSE)*AJ586+Y586+Z586+AA586,IF(AS586=3,('Calc (ex-animal)'!$Q$109+'Calc (ex-animal)'!$R$109)*'Calc (ex-housing, ex-storage)'!F586/100/VLOOKUP($C$583,'DB animal categories'!$C$211:$AC$220,27,FALSE)*AJ586+Y586+Z586+AA586,IF(AS586=4,('Calc (ex-animal)'!$Q$109+'Calc (ex-animal)'!$R$109)*'Calc (ex-housing, ex-storage)'!F586/100*VLOOKUP(D586,'DB technologies'!$N$280:$Y$292,12,FALSE)/100/VLOOKUP($C$583,'DB animal categories'!$C$211:$AC$220,27,FALSE)*AJ586+Y586+Z586+AA586,0))))))</f>
        <v/>
      </c>
      <c r="BA586" s="506"/>
      <c r="BB586" s="506"/>
      <c r="BC586" s="506"/>
    </row>
    <row r="587" spans="1:55" ht="12" thickBot="1" x14ac:dyDescent="0.25">
      <c r="A587" s="748"/>
      <c r="B587" s="695"/>
      <c r="C587" s="251"/>
      <c r="D587" s="1359"/>
      <c r="E587" s="1360"/>
      <c r="F587" s="481" t="str">
        <f>IF('Calc (ex-animal)'!$F$108=1,"",IF($C$583=0,"",IF(D587="","",E587/'Calc (ex-animal)'!$E$109*100)))</f>
        <v/>
      </c>
      <c r="G587" s="483" t="str">
        <f>IF($C$583=0,"",IF('Calc (ex-animal)'!$F$108=1,"",IF(D587="","",SUM(H587:O587))))</f>
        <v/>
      </c>
      <c r="H587" s="445" t="str">
        <f>IF('Calc (ex-animal)'!$F$108=1,"",IF(D587="","",(((VLOOKUP($C$583,'Calc (ex-animal)'!$D$108:$Y$112,6,FALSE)-VLOOKUP($C$583,'Calc (ex-animal)'!$D$108:$Y$112,17,FALSE))*F587/100))*VLOOKUP($C$583,'Calc (ex-animal)'!$D$108:$Y$112,7,FALSE)/100*(1-VLOOKUP(D587,'DB technologies'!$N$280:$Y$292,9,FALSE)/100)))</f>
        <v/>
      </c>
      <c r="I587" s="445" t="str">
        <f>IF(D587="","",((VLOOKUP(D587,'DB technologies'!$N$280:$Y$292,2,FALSE)*VLOOKUP($C$583,'DB animal categories'!$C$211:$AC$220,27,FALSE)*E587/1000)/VLOOKUP($C$583,'DB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'!$S$6/100*(1-VLOOKUP(D587,'DB technologies'!$N$280:$Y$292,9,FALSE)/100)))</f>
        <v/>
      </c>
      <c r="J587" s="446" t="str">
        <f>IF(D587="","",((VLOOKUP(D587,'DB technologies'!$N$280:$Y$292,3,FALSE)*VLOOKUP($C$583,'DB animal categories'!$C$211:$AC$220,27,FALSE)*E587/1000)/VLOOKUP($C$583,'DB animal categories'!$C$211:$AC$220,27,FALSE)*(VLOOKUP($C$583,'DB animal categories'!$C$211:$AC$220,27,FALSE)-(VLOOKUP($C$583,'DB animal categories'!$C$211:$AC$220,25,FALSE)*VLOOKUP($C$583,'DB animal categories'!$C$211:$AC$220,26,FALSE)/24))*'DB additional information '!$S$7/100*(1-VLOOKUP(D587,'DB technologies'!$N$280:$Y$292,9,FALSE)/100)))</f>
        <v/>
      </c>
      <c r="K587" s="446" t="str">
        <f>IF(D587="","",((VLOOKUP(D587,'DB technologies'!$N$280:$Y$292,4,FALSE)*E587*'DB additional information '!$S$8/100*(1-VLOOKUP(D587,'DB technologies'!$N$280:$Y$292,9,FALSE)/100))/VLOOKUP($C$583,'DB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L587" s="445" t="str">
        <f>IF('Calc (ex-animal)'!$F$108=1,"",IF(D587="","",(((VLOOKUP($C$583,'Calc (ex-animal)'!$D$108:$Y$112,6,FALSE)-VLOOKUP($C$583,'Calc (ex-animal)'!$D$108:$Y$112,17,FALSE))*F587/100))*(1-VLOOKUP($C$583,'Calc (ex-animal)'!$D$108:$Y$112,7,FALSE)/100)*(1-VLOOKUP(D587,'DB technologies'!$N$280:$V$292,8,FALSE)/100)))</f>
        <v/>
      </c>
      <c r="M587" s="446" t="str">
        <f>IF(D587="","",((VLOOKUP(D587,'DB technologies'!$N$280:$Y$292,2,FALSE)*VLOOKUP($C$583,'DB animal categories'!$C$211:$AC$220,27,FALSE)*E587/1000)/VLOOKUP($C$583,'DB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'!$S$6/100)*(1-VLOOKUP(D587,'DB technologies'!$N$280:$Y$292,9,FALSE)/100))</f>
        <v/>
      </c>
      <c r="N587" s="446" t="str">
        <f>IF(D587="","",((VLOOKUP(D587,'DB technologies'!$N$280:$Y$292,3,FALSE)*VLOOKUP($C$583,'DB animal categories'!$C$211:$AC$220,27,FALSE)*E587/1000)/VLOOKUP($C$583,'DB animal categories'!$C$211:$AC$220,27,FALSE)*(VLOOKUP($C$583,'DB animal categories'!$C$211:$AC$220,27,FALSE)-VLOOKUP($C$583,'DB animal categories'!$C$211:$AC$220,25,FALSE)*VLOOKUP($C$583,'DB animal categories'!$C$211:$AC$220,26,FALSE)/24))*(1-'DB additional information '!$S$7/100)*(1-VLOOKUP(D587,'DB technologies'!$N$280:$Y$292,9,FALSE)/100))</f>
        <v/>
      </c>
      <c r="O587" s="445" t="str">
        <f>IF(D587="","",((VLOOKUP(D587,'DB technologies'!$N$280:$Y$292,4,FALSE)*E587*(1-'DB additional information '!$S$8/100)*(1-VLOOKUP(D587,'DB technologies'!$N$280:$Y$292,8,FALSE)/100))/VLOOKUP($C$583,'DB animal categories'!$C$211:$AC$220,27,FALSE)*(VLOOKUP($C$583,'DB animal categories'!$C$211:$AC$220,27,FALSE)-VLOOKUP($C$583,'DB animal categories'!$C$211:$AC$220,25,FALSE)*VLOOKUP($C$583,'DB animal categories'!$C$211:$AC$220,26,FALSE)/24)))</f>
        <v/>
      </c>
      <c r="P587" s="444" t="str">
        <f>IF(G587=0,0,IF(E587="","",IF(F587="","",IF($C$583=0,"",IF(D587="","",SUM(H587:K587)/G587*100)))))</f>
        <v/>
      </c>
      <c r="Q587" s="476" t="str">
        <f>IF(D587="","",(VLOOKUP(D587,'DB technologies'!$N$280:$Y$292,2,FALSE)*'DB additional information '!$S$6/100*'DB additional information '!$T$6*VLOOKUP($C$583,'DB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R587" s="476" t="str">
        <f>IF(D587="","",(VLOOKUP(D587,'DB technologies'!$N$280:$Y$292,3,FALSE)*'DB additional information '!$S$7/100*'DB additional information '!$T$7*VLOOKUP($C$583,'DB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S587" s="494" t="str">
        <f>IF(D587="","",(VLOOKUP(D587,'DB technologies'!$N$280:$Y$292,4,FALSE)*('DB additional information '!$S$8/100*'DB additional information '!$T$8*E587/1000/1000)))</f>
        <v/>
      </c>
      <c r="T587" s="266" t="str">
        <f>IF($C$583=0,"",IF('Calc (ex-animal)'!$F$108=1,"",IF(D587="","",((VLOOKUP($C$583,'Calc (ex-animal)'!$D$108:$Y$112,10,FALSE)-VLOOKUP($C$583,'Calc (ex-animal)'!$D$108:$Y$112,18,FALSE))*F587/100+Q587+R587+S587)-AC587-AD587-AE587)))</f>
        <v/>
      </c>
      <c r="U587" s="477" t="str">
        <f>IF(D587="","",(VLOOKUP(D587,'DB technologies'!$N$280:$Y$292,2,FALSE)*'DB additional information '!$S$6/100*'DB additional information '!$U$6*VLOOKUP($C$583,'DB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V587" s="433" t="str">
        <f>IF(D587="","",(VLOOKUP(D587,'DB technologies'!$N$280:$Y$292,3,FALSE)*'DB additional information '!$S$7/100*'DB additional information '!$U$7*VLOOKUP($C$583,'DB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W587" s="475" t="str">
        <f>IF(D587="","",(VLOOKUP(D587,'DB technologies'!$N$280:$Y$292,4,FALSE)*('DB additional information '!$S$8/100*'DB additional information '!$U$8*E587/1000/1000)))</f>
        <v/>
      </c>
      <c r="X587" s="267" t="str">
        <f>IF($C$583=0,"",IF('Calc (ex-animal)'!$F$108=1,"",IF(D587="","",((VLOOKUP($C$583,'Calc (ex-animal)'!$D$108:$Y$112,13,FALSE)-VLOOKUP($C$583,'Calc (ex-animal)'!$D$108:$Y$112,19,FALSE))*F587/100+U587+V587+W587))))</f>
        <v/>
      </c>
      <c r="Y587" s="433" t="str">
        <f>IF(D587="","",(VLOOKUP(D587,'DB technologies'!$N$280:$Y$292,2,FALSE)*'DB additional information '!$S$6/100*'DB additional information '!$V$6*VLOOKUP($C$583,'DB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Z587" s="433" t="str">
        <f>IF(D587="","",(VLOOKUP(D587,'DB technologies'!$N$280:$Y$292,3,FALSE)*'DB additional information '!$S$7/100*'DB additional information '!$V$7*VLOOKUP($C$583,'DB animal categories'!$C$211:$AC$220,27,FALSE)*E587/1000/1000)/VLOOKUP($C$583,'DB animal categories'!$C$211:$AC$220,27,FALSE)*(VLOOKUP($C$583,'DB animal categories'!$C$211:$AC$220,27,FALSE)-VLOOKUP($C$583,'DB animal categories'!$C$211:$AC$220,25,FALSE)*VLOOKUP($C$583,'DB animal categories'!$C$211:$AC$220,26,FALSE)/24))</f>
        <v/>
      </c>
      <c r="AA587" s="433" t="str">
        <f>IF(D587="","",(VLOOKUP(D587,'DB technologies'!$N$280:$Y$292,4,FALSE)*('DB additional information '!$S$8/100*'DB additional information '!$V$8*E587/1000/1000)))</f>
        <v/>
      </c>
      <c r="AB587" s="267" t="str">
        <f>IF($C$583=0,"",IF('Calc (ex-animal)'!$F$108=1,"",IF(D587="","",((VLOOKUP($C$583,'Calc (ex-animal)'!$D$108:$Y$112,16,FALSE)-VLOOKUP($C$583,'Calc (ex-animal)'!$D$108:$Y$112,20,FALSE))*F587/100+Y587+Z587+AA587))))</f>
        <v/>
      </c>
      <c r="AC587" s="267" t="str">
        <f>IF($C$583=0,"",IF('Calc (ex-animal)'!$F$108=1,"",IF(D587="","",VLOOKUP($C$583,'Calc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categories'!$C$211:$AC$220,26,FALSE)/24)*F587/100*VLOOKUP(D587,'DB technologies'!$N$280:$R$292,5,FALSE)/100)))</f>
        <v/>
      </c>
      <c r="AD587" s="267" t="str">
        <f>IF($C$583=0,"",IF('Calc (ex-animal)'!$F$108=1,"",IF(D587="","",VLOOKUP($C$583,'Calc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categories'!$C$211:$AC$220,26,FALSE)/24)*F587/100*VLOOKUP(D587,'DB technologies'!$N$280:$Y$292,6,FALSE)/100)))</f>
        <v/>
      </c>
      <c r="AE587" s="268" t="str">
        <f>IF($C$583=0,"",IF('Calc (ex-animal)'!$F$108=1,"",IF(D587="","",VLOOKUP($C$583,'Calc (ex-animal)'!$D$108:$Y$112,10,FALSE)/VLOOKUP($C$583,'DB animal categories'!$C$211:$AC$220,27,FALSE)*(VLOOKUP($C$583,'DB animal categories'!$C$211:$AC$220,27,FALSE)-VLOOKUP($C$583,'DB animal categories'!$C$211:$AC$220,25,FALSE)*VLOOKUP($C$583,'DB animal categories'!$C$211:$AC$220,26,FALSE)/24)*F587/100*VLOOKUP(D587,'DB technologies'!$N$280:$Y$292,7,FALSE)/100)))</f>
        <v/>
      </c>
      <c r="AI587" s="183" t="str">
        <f>IF(D587="","",VLOOKUP(D587,'DB technologies'!$N$280:$Y$292,10,FALSE))</f>
        <v/>
      </c>
      <c r="AJ587" s="451" t="e">
        <f>VLOOKUP($C$583,'DB animal categories'!$C$211:$AN$220,27,FALSE)-VLOOKUP($C$583,'DB animal categories'!$C$211:$AN$220,26,FALSE)*VLOOKUP($C$583,'DB animal categories'!$C$211:$AN$220,25,FALSE)/24</f>
        <v>#N/A</v>
      </c>
      <c r="AK587" s="452" t="str">
        <f>IF(AI587="","",AL587+AM587)</f>
        <v/>
      </c>
      <c r="AL587" s="452" t="str">
        <f>IF(D587="","",IF(AI587=2,(('Calc (ex-animal)'!$G$109*'DB additional information '!$K$23/100*(1-VLOOKUP(D587,'DB technologies'!$N$280:$Y$292,9,FALSE)/100)*'Calc (ex-housing, ex-storage)'!F587/100+'Calc (ex-animal)'!$H$109*'DB additional information '!$L$23/100*(1-VLOOKUP(D587,'DB technologies'!$N$280:$Y$292,9,FALSE)/100)*'Calc (ex-housing, ex-storage)'!F587/100))/VLOOKUP($C$583,'DB animal categories'!$C$211:$AC$220,27,FALSE)*AJ587+I587+J587+K587,IF(AI587=1,('Calc (ex-animal)'!$H$109*'DB additional information '!$L$23/100*(1-VLOOKUP(D587,'DB technologies'!$N$280:$Y$292,9,FALSE)/100)*'Calc (ex-housing, ex-storage)'!F587/100)/VLOOKUP($C$583,'DB animal categories'!$C$211:$AC$220,27,FALSE)*AJ587,IF(AI587=4,('Calc (ex-animal)'!$G$109*'DB additional information '!$K$23/100+'Calc (ex-animal)'!$H$109*'DB additional information '!$L$23/100)*(1-VLOOKUP(D587,'DB technologies'!$N$280:$Y$292,9,FALSE)/100)*'Calc (ex-housing, ex-storage)'!F587/100*VLOOKUP(D587,'DB technologies'!$N$280:$Y$292,11,FALSE)/100/VLOOKUP($C$583,'DB animal categories'!$C$211:$AC$220,27,FALSE)*AJ587,0))))</f>
        <v/>
      </c>
      <c r="AM587" s="452" t="str">
        <f>IF(D587="","",IF(AI587=2,(('Calc (ex-animal)'!$G$109*(1-'DB additional information '!$K$23/100)*(1-VLOOKUP(D587,'DB technologies'!$N$280:$Y$292,8,FALSE)/100)*'Calc (ex-housing, ex-storage)'!F587/100+'Calc (ex-animal)'!$H$109*(1-'DB additional information '!$L$23/100)*(1-VLOOKUP(D587,'DB technologies'!$N$280:$Y$292,8,FALSE)/100)*'Calc (ex-housing, ex-storage)'!F587/100))/VLOOKUP($C$583,'DB animal categories'!$C$211:$AC$220,27,FALSE)*AJ587+M587+N587+O587,IF(AI587=1,('Calc (ex-animal)'!$H$109*(1-'DB additional information '!$L$23/100)*(1-VLOOKUP(D587,'DB technologies'!$N$280:$Y$292,8,FALSE)/100)*'Calc (ex-housing, ex-storage)'!F587/100)/VLOOKUP($C$583,'DB animal categories'!$C$211:$AC$220,27,FALSE)*AJ587,IF(AI587=4,('Calc (ex-animal)'!$G$109*(1-'DB additional information '!$K$23/100)+'Calc (ex-animal)'!$H$109*(1-'DB additional information '!$L$23/100))*(1-VLOOKUP(D587,'DB technologies'!$N$280:$Y$292,8,FALSE)/100)*'Calc (ex-housing, ex-storage)'!F587/100*VLOOKUP(D587,'DB technologies'!$N$280:$Y$292,11,FALSE)/100/VLOOKUP($C$583,'DB animal categories'!$C$211:$AC$220,27,FALSE)*AJ587,0))))</f>
        <v/>
      </c>
      <c r="AN587" s="452" t="str">
        <f>IF(AI587="","",IF(AL587=0,0,AL587/AK587*100))</f>
        <v/>
      </c>
      <c r="AO587" s="184" t="str">
        <f>IF(D587="","",IF(AI587=2,(('Calc (ex-animal)'!$L$109*'Calc (ex-housing, ex-storage)'!F587/100+'Calc (ex-animal)'!$K$109*'Calc (ex-housing, ex-storage)'!F587/100))/VLOOKUP($C$583,'DB animal categories'!$C$211:$AC$220,27,FALSE)*AJ587+Q587+R587+S587-AC587,IF(AI587=1,('Calc (ex-animal)'!$L$109*'Calc (ex-housing, ex-storage)'!F587/100)/VLOOKUP($C$583,'DB animal categories'!$C$211:$AC$220,27,FALSE)*AJ587-'Calc (ex-housing, ex-storage)'!AC587,IF(AI587=4,('Calc (ex-animal)'!$L$109+'Calc (ex-animal)'!$K$109)*'Calc (ex-housing, ex-storage)'!F587/100*VLOOKUP(D587,'DB technologies'!$N$280:$Y$292,11,FALSE)/100/VLOOKUP($C$583,'DB animal categories'!$C$211:$AC$220,27,FALSE)*AJ587-AC587*VLOOKUP(D587,'DB technologies'!$N$280:$Y$292,11,FALSE)/100,0))))</f>
        <v/>
      </c>
      <c r="AP587" s="184" t="str">
        <f>IF(D587="","",IF(AO587&lt;-0.01,0,IF(AI587=2,(('Calc (ex-animal)'!$L$109*'Calc (ex-housing, ex-storage)'!F587/100+'Calc (ex-animal)'!$K$109*'Calc (ex-housing, ex-storage)'!F587/100))/VLOOKUP($C$583,'DB animal categories'!$C$211:$AC$220,27,FALSE)*AJ587+Q587+R587+S587-AC587,IF(AI587=1,('Calc (ex-animal)'!$L$109*'Calc (ex-housing, ex-storage)'!F587/100)/VLOOKUP($C$583,'DB animal categories'!$C$211:$AC$220,27,FALSE)*AJ587-'Calc (ex-housing, ex-storage)'!AC587,IF(AI587=4,('Calc (ex-animal)'!$L$109+'Calc (ex-animal)'!$K$109)*'Calc (ex-housing, ex-storage)'!F587/100*VLOOKUP(D587,'DB technologies'!$N$280:$Y$292,11,FALSE)/100/VLOOKUP($C$583,'DB animal categories'!$C$211:$AC$220,27,FALSE)*AJ587-AC587*VLOOKUP(D587,'DB technologies'!$N$280:$Y$292,11,FALSE)/100,0)))))</f>
        <v/>
      </c>
      <c r="AQ587" s="184" t="str">
        <f>IF(D587="","",IF(AI587=2,('Calc (ex-animal)'!$O$109*'Calc (ex-housing, ex-storage)'!F587/100+'Calc (ex-animal)'!$N$109*'Calc (ex-housing, ex-storage)'!F587/100)/VLOOKUP($C$583,'DB animal categories'!$C$211:$AC$220,27,FALSE)*AJ587+U587+V587+W587,IF(AI587=1,'Calc (ex-animal)'!$O$109*'Calc (ex-housing, ex-storage)'!F587/100/VLOOKUP($C$583,'DB animal categories'!$C$211:$AC$220,27,FALSE)*AJ587,IF(AI587=4,('Calc (ex-animal)'!$O$109+'Calc (ex-animal)'!$N$109)*'Calc (ex-housing, ex-storage)'!F587/100*VLOOKUP(D587,'DB technologies'!$N$280:$Y$292,11,FALSE)/100/VLOOKUP($C$583,'DB animal categories'!$C$211:$AC$220,27,FALSE)*AJ587,0))))</f>
        <v/>
      </c>
      <c r="AR587" s="184" t="str">
        <f>IF(D587="","",IF(AI587=2,('Calc (ex-animal)'!$R$109*'Calc (ex-housing, ex-storage)'!F587/100+'Calc (ex-animal)'!$Q$109*'Calc (ex-housing, ex-storage)'!F587/100)/VLOOKUP($C$583,'DB animal categories'!$C$211:$AC$220,27,FALSE)*AJ587+Y587+Z587+AA587,IF(AI587=1,'Calc (ex-animal)'!$R$109*'Calc (ex-housing, ex-storage)'!F587/100/VLOOKUP($C$583,'DB animal categories'!$C$211:$AC$220,27,FALSE)*AJ587,IF(AI587=4,('Calc (ex-animal)'!$R$109+'Calc (ex-animal)'!$Q$109)*'Calc (ex-housing, ex-storage)'!F587/100*VLOOKUP(D587,'DB technologies'!$N$280:$Y$292,11,FALSE)/100/VLOOKUP($C$583,'DB animal categories'!$C$211:$AC$220,27,FALSE)*AJ587,0))))</f>
        <v/>
      </c>
      <c r="AS587" s="183" t="str">
        <f>IF(D587="","",VLOOKUP(D587,'DB technologies'!$N$280:$Y$292,10,FALSE))</f>
        <v/>
      </c>
      <c r="AT587" s="452" t="str">
        <f>IF(AS587="","",AU587+AV587)</f>
        <v/>
      </c>
      <c r="AU587" s="452" t="str">
        <f>IF(D587="","",IF(AS587=2,0,IF(AS587=1,'Calc (ex-animal)'!$G$109*'DB additional information '!$K$23/100*(1-VLOOKUP(D587,'DB technologies'!$N$280:$Y$292,8,FALSE)/100)*'Calc (ex-housing, ex-storage)'!F587/100/VLOOKUP($C$583,'DB animal categories'!$C$211:$AC$220,27,FALSE)*AJ587+I587+J587+K587,IF(AS587=5,(('Calc (ex-animal)'!$G$109*'DB additional information '!$K$23/100+'Calc (ex-animal)'!$H$109*'DB additional information '!$L$23/100))*(1-VLOOKUP(D587,'DB technologies'!$N$280:$Y$292,9,FALSE)/100)*'Calc (ex-housing, ex-storage)'!F587/100/VLOOKUP($C$583,'DB animal categories'!$C$211:$AC$220,27,FALSE)*AJ587+I587+J587+K587,IF(AS587=3,('Calc (ex-animal)'!$G$109*'DB additional information '!$K$23/100+'Calc (ex-animal)'!$H$109*'DB additional information '!$L$23/100)*(1-VLOOKUP(D587,'DB technologies'!$N$280:$Y$292,9,FALSE)/100)*'Calc (ex-housing, ex-storage)'!F587/100/VLOOKUP($C$583,'DB animal categories'!$C$211:$AC$220,27,FALSE)*AJ587+I587+J587+K587,IF(AS587=4,('Calc (ex-animal)'!$G$109*'DB additional information '!$K$23/100+'Calc (ex-animal)'!$H$109*'DB additional information '!$L$23/100)*(1-VLOOKUP(D587,'DB technologies'!$N$280:$Y$292,9,FALSE)/100)*'Calc (ex-housing, ex-storage)'!F587/100*VLOOKUP(D587,'DB technologies'!$N$280:$Y$292,12,FALSE)/100/VLOOKUP($C$583,'DB animal categories'!$C$211:$AC$220,27,FALSE)*AJ587+I587+J587+K587,0))))))</f>
        <v/>
      </c>
      <c r="AV587" s="452" t="str">
        <f>IF(D587="","",IF(AS587=2,0,IF(AS587=1,'Calc (ex-animal)'!$G$109*(1-'DB additional information '!$K$23/100)*(1-VLOOKUP(D587,'DB technologies'!$N$280:$Y$292,8,FALSE)/100)*'Calc (ex-housing, ex-storage)'!F587/100/VLOOKUP($C$583,'DB animal categories'!$C$211:$AC$220,27,FALSE)*AJ587+M587+N587+O587,IF(AS587=5,('Calc (ex-animal)'!$G$109*(1-'DB additional information '!$K$23/100)+'Calc (ex-animal)'!$H$109*(1-'DB additional information '!$L$23/100))*(1-VLOOKUP(D587,'DB technologies'!$N$280:$Y$292,8,FALSE)/100)*'Calc (ex-housing, ex-storage)'!F587/100/VLOOKUP($C$583,'DB animal categories'!$C$211:$AC$220,27,FALSE)*AJ587+M587+N587+O587,IF(AS587=3,('Calc (ex-animal)'!$G$109*(1-'DB additional information '!$K$23/100)+'Calc (ex-animal)'!$H$109*(1-'DB additional information '!$L$23/100))*(1-VLOOKUP(D587,'DB technologies'!$N$280:$Y$292,8,FALSE)/100)*'Calc (ex-housing, ex-storage)'!F587/100/VLOOKUP($C$583,'DB animal categories'!$C$211:$AC$220,27,FALSE)*AJ587+M587+N587+O587,IF(AS587=4,('Calc (ex-animal)'!$G$109*(1-'DB additional information '!$K$23/100)+'Calc (ex-animal)'!$H$109*(1-'DB additional information '!$L$23/100))*(1-VLOOKUP(D587,'DB technologies'!$N$280:$Y$292,8,FALSE)/100)*'Calc (ex-housing, ex-storage)'!F587/100*VLOOKUP(D587,'DB technologies'!$N$280:$Y$292,12,FALSE)/100/VLOOKUP($C$583,'DB animal categories'!$C$211:$AC$220,27,FALSE)*AJ587+M587+N587+O587,0))))))</f>
        <v/>
      </c>
      <c r="AW587" s="452" t="str">
        <f>IF(AS587="","",IF(AU587=0,0,AU587/AT587*100))</f>
        <v/>
      </c>
      <c r="AX587" s="184" t="str">
        <f>IF(D587="","",IF(AS587=2,0,IF(AS587=1,'Calc (ex-animal)'!$K$109*'Calc (ex-housing, ex-storage)'!F587/100/VLOOKUP($C$583,'DB animal categories'!$C$211:$AC$220,27,FALSE)*AJ587+Q587+R587+S587,IF(AS587=5,('Calc (ex-animal)'!$K$109+'Calc (ex-animal)'!$L$109)*'Calc (ex-housing, ex-storage)'!F587/100/VLOOKUP($C$583,'DB animal categories'!$C$211:$AC$220,27,FALSE)*AJ587+Q587+R587+S587-'Calc (ex-housing, ex-storage)'!AC587,IF(AS587=3,('Calc (ex-animal)'!$K$109+'Calc (ex-animal)'!$L$109)*'Calc (ex-housing, ex-storage)'!F587/100/VLOOKUP($C$583,'DB animal categories'!$C$211:$AC$220,27,FALSE)*AJ587+Q587+R587+S587-'Calc (ex-housing, ex-storage)'!AC587-AD587-AE587,IF(AI587=4,('Calc (ex-animal)'!$K$109+'Calc (ex-animal)'!$L$109)*'Calc (ex-housing, ex-storage)'!F587/100*VLOOKUP(D587,'DB technologies'!$N$280:$Y$292,12,FALSE)/100/VLOOKUP($C$583,'DB animal categories'!$C$211:$AC$220,27,FALSE)*AJ587+Q587+R587+S587-(VLOOKUP(D587,'DB technologies'!$N$280:$Y$292,12,FALSE)/100*AC587)-AD587-AE587,0))))))</f>
        <v/>
      </c>
      <c r="AY587" s="184" t="str">
        <f>IF(D587="","",IF(AS587=2,0,IF(AS587=1,'Calc (ex-animal)'!$N$109*'Calc (ex-housing, ex-storage)'!F587/100/VLOOKUP($C$583,'DB animal categories'!$C$211:$AC$220,27,FALSE)*AJ587+U587+V587+W587,IF(AS587=5,('Calc (ex-animal)'!$N$109+'Calc (ex-animal)'!$O$109)*'Calc (ex-housing, ex-storage)'!F587/100/VLOOKUP($C$583,'DB animal categories'!$C$211:$AC$220,27,FALSE)*AJ587+U587+V587+W587,IF(AS587=3,('Calc (ex-animal)'!$N$109+'Calc (ex-animal)'!$O$109)*'Calc (ex-housing, ex-storage)'!F587/100/VLOOKUP($C$583,'DB animal categories'!$C$211:$AC$220,27,FALSE)*AJ587+U587+V587+W587,IF(AS587=4,('Calc (ex-animal)'!$N$109+'Calc (ex-animal)'!$O$109)*'Calc (ex-housing, ex-storage)'!F587/100*VLOOKUP(D587,'DB technologies'!$N$280:$Y$292,12,FALSE)/100/VLOOKUP($C$583,'DB animal categories'!$C$211:$AC$220,27,FALSE)*AJ587+U587+V587+W587,0))))))</f>
        <v/>
      </c>
      <c r="AZ587" s="184" t="str">
        <f>IF(D587="","",IF(AS587=2,0,IF(AS587=1,'Calc (ex-animal)'!$Q$109*'Calc (ex-housing, ex-storage)'!F587/100/VLOOKUP($C$583,'DB animal categories'!$C$211:$AC$220,27,FALSE)*AJ587+Y587+Z587+AA587,IF(AS587=5,('Calc (ex-animal)'!$Q$109+'Calc (ex-animal)'!$R$109)*'Calc (ex-housing, ex-storage)'!F587/100/VLOOKUP($C$583,'DB animal categories'!$C$211:$AC$220,27,FALSE)*AJ587+Y587+Z587+AA587,IF(AS587=3,('Calc (ex-animal)'!$Q$109+'Calc (ex-animal)'!$R$109)*'Calc (ex-housing, ex-storage)'!F587/100/VLOOKUP($C$583,'DB animal categories'!$C$211:$AC$220,27,FALSE)*AJ587+Y587+Z587+AA587,IF(AS587=4,('Calc (ex-animal)'!$Q$109+'Calc (ex-animal)'!$R$109)*'Calc (ex-housing, ex-storage)'!F587/100*VLOOKUP(D587,'DB technologies'!$N$280:$Y$292,12,FALSE)/100/VLOOKUP($C$583,'DB animal categories'!$C$211:$AC$220,27,FALSE)*AJ587+Y587+Z587+AA587,0))))))</f>
        <v/>
      </c>
      <c r="BA587" s="506"/>
      <c r="BB587" s="506"/>
      <c r="BC587" s="506"/>
    </row>
    <row r="588" spans="1:55" ht="12" thickBot="1" x14ac:dyDescent="0.25">
      <c r="A588" s="748"/>
      <c r="B588" s="695"/>
      <c r="C588" s="252"/>
      <c r="D588" s="269" t="s">
        <v>58</v>
      </c>
      <c r="E588" s="270">
        <f>IF(F588&lt;=100,SUM(E583:E587),"ERROR")</f>
        <v>0</v>
      </c>
      <c r="F588" s="284">
        <f>IF(SUM(F583:F587) &lt;=100,SUM(F583:F587),"ERROR, SUM&gt;100%")</f>
        <v>0</v>
      </c>
      <c r="G588" s="550">
        <f>IF('Calc (ex-animal)'!$F$108=1,"",SUM(G583:G587))</f>
        <v>0</v>
      </c>
      <c r="H588" s="418">
        <f>IF('Calc (ex-animal)'!$F$8=1,"",SUM(H583:H587))</f>
        <v>0</v>
      </c>
      <c r="I588" s="418">
        <f>IF('Calc (ex-animal)'!$F$8=1,"",SUM(I583:I587))</f>
        <v>0</v>
      </c>
      <c r="J588" s="418">
        <f>IF('Calc (ex-animal)'!$F$8=1,"",SUM(J583:J587))</f>
        <v>0</v>
      </c>
      <c r="K588" s="418">
        <f>IF('Calc (ex-animal)'!$F$8=1,"",SUM(K583:K587))</f>
        <v>0</v>
      </c>
      <c r="L588" s="418">
        <f>IF('Calc (ex-animal)'!$F$8=1,"",SUM(L583:L587))</f>
        <v>0</v>
      </c>
      <c r="M588" s="551"/>
      <c r="N588" s="551"/>
      <c r="O588" s="551"/>
      <c r="P588" s="552">
        <f>IF(G588=0,0,IF('Calc (ex-animal)'!$F$108=1,"",IF(D588="","",SUM(H588:K588)/G588*100)))</f>
        <v>0</v>
      </c>
      <c r="Q588" s="271"/>
      <c r="R588" s="271"/>
      <c r="S588" s="271"/>
      <c r="T588" s="278">
        <f>IF('Calc (ex-animal)'!$F$109=1,"",SUM(T583:T587))</f>
        <v>0</v>
      </c>
      <c r="U588" s="279"/>
      <c r="V588" s="279"/>
      <c r="W588" s="279"/>
      <c r="X588" s="279">
        <f>IF('Calc (ex-animal)'!$F$109=1,"",SUM(X583:X587))</f>
        <v>0</v>
      </c>
      <c r="Y588" s="279"/>
      <c r="Z588" s="279"/>
      <c r="AA588" s="279"/>
      <c r="AB588" s="279">
        <f>IF('Calc (ex-animal)'!$F$109=1,"",SUM(AB583:AB587))</f>
        <v>0</v>
      </c>
      <c r="AC588" s="279">
        <f>IF('Calc (ex-animal)'!$F$109=1,"",SUM(AC583:AC587))</f>
        <v>0</v>
      </c>
      <c r="AD588" s="279">
        <f>IF('Calc (ex-animal)'!$F$109=1,"",SUM(AD583:AD587))</f>
        <v>0</v>
      </c>
      <c r="AE588" s="280">
        <f>IF('Calc (ex-animal)'!$F$109=1,"",SUM(AE583:AE587))</f>
        <v>0</v>
      </c>
    </row>
    <row r="589" spans="1:55" x14ac:dyDescent="0.2">
      <c r="A589" s="748"/>
      <c r="B589" s="695"/>
      <c r="C589" s="250">
        <f>'Calc (ex-animal)'!D110</f>
        <v>0</v>
      </c>
      <c r="D589" s="1355"/>
      <c r="E589" s="1356"/>
      <c r="F589" s="479" t="str">
        <f>IF('Calc (ex-animal)'!$F$108=1,"",IF($C$589=0,"",IF(D589="","",E589/'Calc (ex-animal)'!$E$110*100)))</f>
        <v/>
      </c>
      <c r="G589" s="484" t="str">
        <f>IF($C$589=0,"",IF('Calc (ex-animal)'!$F$108=1,"",IF(D589="","",SUM(H589:O589))))</f>
        <v/>
      </c>
      <c r="H589" s="471" t="str">
        <f>IF('Calc (ex-animal)'!$F$108=1,"",IF(D589="","",(((VLOOKUP($C$589,'Calc (ex-animal)'!$D$108:$Y$112,6,FALSE)-VLOOKUP($C$589,'Calc (ex-animal)'!$D$108:$Y$112,17,FALSE))*F589/100))*VLOOKUP($C$589,'Calc (ex-animal)'!$D$108:$Y$112,7,FALSE)/100*(1-VLOOKUP(D589,'DB technologies'!$N$280:$Y$292,9,FALSE)/100)))</f>
        <v/>
      </c>
      <c r="I589" s="471" t="str">
        <f>IF(D589="","",((VLOOKUP(D589,'DB technologies'!$N$280:$Y$292,2,FALSE)*VLOOKUP($C$589,'DB animal categories'!$C$211:$AC$220,27,FALSE)*E589/1000)/VLOOKUP($C$589,'DB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'!$S$6/100*(1-VLOOKUP(D589,'DB technologies'!$N$280:$Y$292,9,FALSE)/100)))</f>
        <v/>
      </c>
      <c r="J589" s="472" t="str">
        <f>IF(D589="","",((VLOOKUP(D589,'DB technologies'!$N$280:$Y$292,3,FALSE)*VLOOKUP($C$589,'DB animal categories'!$C$211:$AC$220,27,FALSE)*E589/1000)/VLOOKUP($C$589,'DB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'!$S$7/100*(1-VLOOKUP(D589,'DB technologies'!$N$280:$Y$292,9,FALSE)/100)))</f>
        <v/>
      </c>
      <c r="K589" s="472" t="str">
        <f>IF(D589="","",((VLOOKUP(D589,'DB technologies'!$N$280:$Y$292,4,FALSE)*E589*'DB additional information '!$S$8/100*(1-VLOOKUP(D589,'DB technologies'!$N$280:$Y$292,9,FALSE)/100))/VLOOKUP($C$589,'DB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L589" s="471" t="str">
        <f>IF('Calc (ex-animal)'!$F$108=1,"",IF(D589="","",(((VLOOKUP($C$589,'Calc (ex-animal)'!$D$108:$Y$112,6,FALSE)-VLOOKUP($C$589,'Calc (ex-animal)'!$D$108:$Y$112,17,FALSE))*F589/100))*(1-VLOOKUP($C$589,'Calc (ex-animal)'!$D$108:$Y$112,7,FALSE)/100)*(1-VLOOKUP(D589,'DB technologies'!$N$280:$V$292,8,FALSE)/100)))</f>
        <v/>
      </c>
      <c r="M589" s="472" t="str">
        <f>IF(D589="","",((VLOOKUP(D589,'DB technologies'!$N$280:$Y$292,2,FALSE)*VLOOKUP($C$589,'DB animal categories'!$C$211:$AC$220,27,FALSE)*E589/1000)/VLOOKUP($C$589,'DB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'!$S$6/100)*(1-VLOOKUP(D589,'DB technologies'!$N$280:$Y$292,9,FALSE)/100))</f>
        <v/>
      </c>
      <c r="N589" s="472" t="str">
        <f>IF(D589="","",((VLOOKUP(D589,'DB technologies'!$N$280:$Y$292,3,FALSE)*VLOOKUP($C$589,'DB animal categories'!$C$211:$AC$220,27,FALSE)*E589/1000)/VLOOKUP($C$589,'DB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'!$S$7/100)*(1-VLOOKUP(D589,'DB technologies'!$N$280:$Y$292,9,FALSE)/100))</f>
        <v/>
      </c>
      <c r="O589" s="471" t="str">
        <f>IF(D589="","",((VLOOKUP(D589,'DB technologies'!$N$280:$Y$292,4,FALSE)*E589*(1-'DB additional information '!$S$8/100)*(1-VLOOKUP(D589,'DB technologies'!$N$280:$Y$292,8,FALSE)/100))/VLOOKUP($C$589,'DB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P589" s="443" t="str">
        <f>IF(G589=0,0,IF(E589="","",IF(F589="","",IF($C$589=0,"",IF(D589="","",SUM(H589:K589)/G589*100)))))</f>
        <v/>
      </c>
      <c r="Q589" s="473" t="str">
        <f>IF(D589="","",(VLOOKUP(D589,'DB technologies'!$N$280:$Y$292,2,FALSE)*'DB additional information '!$S$6/100*'DB additional information '!$T$6*VLOOKUP($C$589,'DB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R589" s="473" t="str">
        <f>IF(D589="","",(VLOOKUP(D589,'DB technologies'!$N$280:$Y$292,3,FALSE)*'DB additional information '!$S$7/100*'DB additional information '!$T$7*VLOOKUP($C$589,'DB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S589" s="490" t="str">
        <f>IF(D589="","",(VLOOKUP(D589,'DB technologies'!$N$280:$Y$292,4,FALSE)*('DB additional information '!$S$8/100*'DB additional information '!$T$8*E589/1000/1000)))</f>
        <v/>
      </c>
      <c r="T589" s="263" t="str">
        <f>IF($C$589=0,"",IF('Calc (ex-animal)'!$F$108=1,"",IF(D589="","",((VLOOKUP($C$589,'Calc (ex-animal)'!$D$108:$Y$112,10,FALSE)-VLOOKUP($C$589,'Calc (ex-animal)'!$D$108:$Y$112,18,FALSE))*F589/100+Q589+R589+S589)-AC589-AD589-AE589)))</f>
        <v/>
      </c>
      <c r="U589" s="474" t="str">
        <f>IF(D589="","",(VLOOKUP(D589,'DB technologies'!$N$280:$Y$292,2,FALSE)*'DB additional information '!$S$6/100*'DB additional information '!$U$6*VLOOKUP($C$589,'DB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V589" s="420" t="str">
        <f>IF(D589="","",(VLOOKUP(D589,'DB technologies'!$N$280:$Y$292,3,FALSE)*'DB additional information '!$S$7/100*'DB additional information '!$U$7*VLOOKUP($C$589,'DB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W589" s="415" t="str">
        <f>IF(D589="","",(VLOOKUP(D589,'DB technologies'!$N$280:$Y$292,4,FALSE)*('DB additional information '!$S$8/100*'DB additional information '!$U$8*E589/1000/1000)))</f>
        <v/>
      </c>
      <c r="X589" s="259" t="str">
        <f>IF($C$589=0,"",IF('Calc (ex-animal)'!$F$108=1,"",IF(D589="","",((VLOOKUP($C$589,'Calc (ex-animal)'!$D$108:$Y$112,13,FALSE)-VLOOKUP($C$589,'Calc (ex-animal)'!$D$108:$Y$112,19,FALSE))*F589/100+U589+V589+W589))))</f>
        <v/>
      </c>
      <c r="Y589" s="420" t="str">
        <f>IF(D589="","",(VLOOKUP(D589,'DB technologies'!$N$280:$Y$292,2,FALSE)*'DB additional information '!$S$6/100*'DB additional information '!$V$6*VLOOKUP($C$589,'DB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Z589" s="420" t="str">
        <f>IF(D589="","",(VLOOKUP(D589,'DB technologies'!$N$280:$Y$292,3,FALSE)*'DB additional information '!$S$7/100*'DB additional information '!$V$7*VLOOKUP($C$589,'DB animal categories'!$C$211:$AC$220,27,FALSE)*E589/1000/1000)/VLOOKUP($C$589,'DB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AA589" s="420" t="str">
        <f>IF(D589="","",(VLOOKUP(D589,'DB technologies'!$N$280:$Y$292,4,FALSE)*('DB additional information '!$S$8/100*'DB additional information '!$V$8*E589/1000/1000)))</f>
        <v/>
      </c>
      <c r="AB589" s="259" t="str">
        <f>IF($C$589=0,"",IF('Calc (ex-animal)'!$F$108=1,"",IF(D589="","",((VLOOKUP($C$589,'Calc (ex-animal)'!$D$108:$Y$112,16,FALSE)-VLOOKUP($C$589,'Calc (ex-animal)'!$D$108:$Y$112,20,FALSE))*F589/100+Y589+Z589+AA589))))</f>
        <v/>
      </c>
      <c r="AC589" s="259" t="str">
        <f>IF($C$589=0,"",IF('Calc (ex-animal)'!$F$108=1,"",IF(D589="","",VLOOKUP($C$589,'Calc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categories'!$C$211:$AC$220,26,FALSE)/24)*F589/100*VLOOKUP(D589,'DB technologies'!$N$280:$R$292,5,FALSE)/100)))</f>
        <v/>
      </c>
      <c r="AD589" s="259" t="str">
        <f>IF($C$589=0,"",IF('Calc (ex-animal)'!$F$108=1,"",IF(D589="","",VLOOKUP($C$589,'Calc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categories'!$C$211:$AC$220,26,FALSE)/24)*F589/100*VLOOKUP(D589,'DB technologies'!$N$280:$Y$292,6,FALSE)/100)))</f>
        <v/>
      </c>
      <c r="AE589" s="260" t="str">
        <f>IF($C$589=0,"",IF('Calc (ex-animal)'!$F$108=1,"",IF(D589="","",VLOOKUP($C$589,'Calc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categories'!$C$211:$AC$220,26,FALSE)/24)*F589/100*VLOOKUP(D589,'DB technologies'!$N$280:$Y$292,7,FALSE)/100)))</f>
        <v/>
      </c>
      <c r="AI589" s="179" t="str">
        <f>IF(D589="","",VLOOKUP(D589,'DB technologies'!$N$280:$Y$292,10,FALSE))</f>
        <v/>
      </c>
      <c r="AJ589" s="482" t="e">
        <f>VLOOKUP($C$589,'DB animal categories'!$C$211:$AN$220,27,FALSE)-VLOOKUP($C$589,'DB animal categories'!$C$211:$AN$220,26,FALSE)*VLOOKUP($C$589,'DB animal categories'!$C$211:$AN$220,25,FALSE)/24</f>
        <v>#N/A</v>
      </c>
      <c r="AK589" s="453" t="str">
        <f>IF(AI589="","",AL589+AM589)</f>
        <v/>
      </c>
      <c r="AL589" s="453" t="str">
        <f>IF(D589="","",IF(AI589=2,(('Calc (ex-animal)'!$G$110*'DB additional information '!$K$23/100*(1-VLOOKUP(D589,'DB technologies'!$N$280:$Y$292,9,FALSE)/100)*'Calc (ex-housing, ex-storage)'!F589/100+'Calc (ex-animal)'!$H$110*'DB additional information '!$L$23/100*(1-VLOOKUP(D589,'DB technologies'!$N$280:$Y$292,9,FALSE)/100)*'Calc (ex-housing, ex-storage)'!F589/100))/VLOOKUP($C$589,'DB animal categories'!$C$211:$AC$220,27,FALSE)*AJ589+I589+J589+K589,IF(AI589=1,('Calc (ex-animal)'!$H$110*'DB additional information '!$L$23/100*(1-VLOOKUP(D589,'DB technologies'!$N$280:$Y$292,9,FALSE)/100)*'Calc (ex-housing, ex-storage)'!F589/100)/VLOOKUP($C$589,'DB animal categories'!$C$211:$AC$220,27,FALSE)*AJ589,IF(AI589=4,('Calc (ex-animal)'!$G$110*'DB additional information '!$K$23/100+'Calc (ex-animal)'!$H$110*'DB additional information '!$L$23/100)*(1-VLOOKUP(D589,'DB technologies'!$N$280:$Y$292,9,FALSE)/100)*'Calc (ex-housing, ex-storage)'!F589/100*VLOOKUP(D589,'DB technologies'!$N$280:$Y$292,11,FALSE)/100/VLOOKUP($C$589,'DB animal categories'!$C$211:$AC$220,27,FALSE)*AJ589,0))))</f>
        <v/>
      </c>
      <c r="AM589" s="453" t="str">
        <f>IF(D589="","",IF(AI589=2,(('Calc (ex-animal)'!$G$110*(1-'DB additional information '!$K$23/100)*(1-VLOOKUP(D589,'DB technologies'!$N$280:$Y$292,8,FALSE)/100)*'Calc (ex-housing, ex-storage)'!F589/100+'Calc (ex-animal)'!$H$110*(1-'DB additional information '!$L$23/100)*(1-VLOOKUP(D589,'DB technologies'!$N$280:$Y$292,8,FALSE)/100)*'Calc (ex-housing, ex-storage)'!F589/100))/VLOOKUP($C$589,'DB animal categories'!$C$211:$AC$220,27,FALSE)*AJ589+M589+N589+O589,IF(AI589=1,('Calc (ex-animal)'!$H$110*(1-'DB additional information '!$L$23/100)*(1-VLOOKUP(D589,'DB technologies'!$N$280:$Y$292,8,FALSE)/100)*'Calc (ex-housing, ex-storage)'!F589/100)/VLOOKUP($C$589,'DB animal categories'!$C$211:$AC$220,27,FALSE)*AJ589,IF(AI589=4,('Calc (ex-animal)'!$G$110*(1-'DB additional information '!$K$23/100)+'Calc (ex-animal)'!$H$110*(1-'DB additional information '!$L$23/100))*(1-VLOOKUP(D589,'DB technologies'!$N$280:$Y$292,8,FALSE)/100)*'Calc (ex-housing, ex-storage)'!F589/100*VLOOKUP(D589,'DB technologies'!$N$280:$Y$292,11,FALSE)/100/VLOOKUP($C$589,'DB animal categories'!$C$211:$AC$220,27,FALSE)*AJ589,0))))</f>
        <v/>
      </c>
      <c r="AN589" s="453" t="str">
        <f>IF(AI589="","",IF(AL589=0,0,AL589/AK589*100))</f>
        <v/>
      </c>
      <c r="AO589" s="180" t="str">
        <f>IF(D589="","",IF(AI589=2,(('Calc (ex-animal)'!$L$110*'Calc (ex-housing, ex-storage)'!F589/100+'Calc (ex-animal)'!$K$110*'Calc (ex-housing, ex-storage)'!F589/100))/VLOOKUP($C$589,'DB animal categories'!$C$211:$AC$220,27,FALSE)*AJ589+Q589+R589+S589-AC589,IF(AI589=1,('Calc (ex-animal)'!$L$110*'Calc (ex-housing, ex-storage)'!F589/100)/VLOOKUP($C$589,'DB animal categories'!$C$211:$AC$220,27,FALSE)*AJ589-'Calc (ex-housing, ex-storage)'!AC589,IF(AI589=4,('Calc (ex-animal)'!$L$110+'Calc (ex-animal)'!$K$110)*'Calc (ex-housing, ex-storage)'!F589/100*VLOOKUP(D589,'DB technologies'!$N$280:$Y$292,11,FALSE)/100/VLOOKUP($C$589,'DB animal categories'!$C$211:$AC$220,27,FALSE)*AJ589-AC589*VLOOKUP(D589,'DB technologies'!$N$280:$Y$292,11,FALSE)/100,0))))</f>
        <v/>
      </c>
      <c r="AP589" s="180" t="str">
        <f>IF(D589="","",IF(AO589&lt;-0.01,0,IF(AI589=2,(('Calc (ex-animal)'!$L$110*'Calc (ex-housing, ex-storage)'!F589/100+'Calc (ex-animal)'!$K$110*'Calc (ex-housing, ex-storage)'!F589/100))/VLOOKUP($C$589,'DB animal categories'!$C$211:$AC$220,27,FALSE)*AJ589+Q589+R589+S589-AC589,IF(AI589=1,('Calc (ex-animal)'!$L$110*'Calc (ex-housing, ex-storage)'!F589/100)/VLOOKUP($C$589,'DB animal categories'!$C$211:$AC$220,27,FALSE)*AJ589-'Calc (ex-housing, ex-storage)'!AC589,IF(AI589=4,('Calc (ex-animal)'!$L$110+'Calc (ex-animal)'!$K$110)*'Calc (ex-housing, ex-storage)'!F589/100*VLOOKUP(D589,'DB technologies'!$N$280:$Y$292,11,FALSE)/100/VLOOKUP($C$589,'DB animal categories'!$C$211:$AC$220,27,FALSE)*AJ589-AC589*VLOOKUP(D589,'DB technologies'!$N$280:$Y$292,11,FALSE)/100,0)))))</f>
        <v/>
      </c>
      <c r="AQ589" s="180" t="str">
        <f>IF(D589="","",IF(AI589=2,('Calc (ex-animal)'!$O$110*'Calc (ex-housing, ex-storage)'!F589/100+'Calc (ex-animal)'!$N$110*'Calc (ex-housing, ex-storage)'!F589/100)/VLOOKUP($C$589,'DB animal categories'!$C$211:$AC$220,27,FALSE)*AJ589+U589+V589+W589,IF(AI589=1,'Calc (ex-animal)'!$O$110*'Calc (ex-housing, ex-storage)'!F589/100/VLOOKUP($C$589,'DB animal categories'!$C$211:$AC$220,27,FALSE)*AJ589,IF(AI589=4,('Calc (ex-animal)'!$O$110+'Calc (ex-animal)'!$N$110)*'Calc (ex-housing, ex-storage)'!F589/100*VLOOKUP(D589,'DB technologies'!$N$280:$Y$292,11,FALSE)/100/VLOOKUP($C$589,'DB animal categories'!$C$211:$AC$220,27,FALSE)*AJ589,0))))</f>
        <v/>
      </c>
      <c r="AR589" s="180" t="str">
        <f>IF(D589="","",IF(AI589=2,('Calc (ex-animal)'!$R$110*'Calc (ex-housing, ex-storage)'!F589/100+'Calc (ex-animal)'!$Q$110*'Calc (ex-housing, ex-storage)'!F589/100)/VLOOKUP($C$589,'DB animal categories'!$C$211:$AC$220,27,FALSE)*AJ589+Y589+Z589+AA589,IF(AI589=1,'Calc (ex-animal)'!$R$110*'Calc (ex-housing, ex-storage)'!F589/100/VLOOKUP($C$589,'DB animal categories'!$C$211:$AC$220,27,FALSE)*AJ589,IF(AI589=4,('Calc (ex-animal)'!$R$110+'Calc (ex-animal)'!$Q$110)*'Calc (ex-housing, ex-storage)'!F589/100*VLOOKUP(D589,'DB technologies'!$N$280:$Y$292,11,FALSE)/100/VLOOKUP($C$589,'DB animal categories'!$C$211:$AC$220,27,FALSE)*AJ589,0))))</f>
        <v/>
      </c>
      <c r="AS589" s="179" t="str">
        <f>IF(D589="","",VLOOKUP(D589,'DB technologies'!$N$280:$Y$292,10,FALSE))</f>
        <v/>
      </c>
      <c r="AT589" s="453" t="str">
        <f>IF(AS589="","",AU589+AV589)</f>
        <v/>
      </c>
      <c r="AU589" s="453" t="str">
        <f>IF(D589="","",IF(AS589=2,0,IF(AS589=1,'Calc (ex-animal)'!$G$110*'DB additional information '!$K$23/100*(1-VLOOKUP(D589,'DB technologies'!$N$280:$Y$292,8,FALSE)/100)*'Calc (ex-housing, ex-storage)'!F589/100/VLOOKUP($C$589,'DB animal categories'!$C$211:$AC$220,27,FALSE)*AJ589+I589+J589+K589,IF(AS589=5,(('Calc (ex-animal)'!$G$110*'DB additional information '!$K$23/100+'Calc (ex-animal)'!$H$110*'DB additional information '!$L$23/100))*(1-VLOOKUP(D589,'DB technologies'!$N$280:$Y$292,9,FALSE)/100)*'Calc (ex-housing, ex-storage)'!F589/100/VLOOKUP($C$589,'DB animal categories'!$C$211:$AC$220,27,FALSE)*AJ589+I589+J589+K589,IF(AS589=3,('Calc (ex-animal)'!$G$110*'DB additional information '!$K$23/100+'Calc (ex-animal)'!$H$110*'DB additional information '!$L$23/100)*(1-VLOOKUP(D589,'DB technologies'!$N$280:$Y$292,9,FALSE)/100)*'Calc (ex-housing, ex-storage)'!F589/100/VLOOKUP($C$589,'DB animal categories'!$C$211:$AC$220,27,FALSE)*AJ589+I589+J589+K589,IF(AS589=4,('Calc (ex-animal)'!$G$110*'DB additional information '!$K$23/100+'Calc (ex-animal)'!$H$110*'DB additional information '!$L$23/100)*(1-VLOOKUP(D589,'DB technologies'!$N$280:$Y$292,9,FALSE)/100)*'Calc (ex-housing, ex-storage)'!F589/100*VLOOKUP(D589,'DB technologies'!$N$280:$Y$292,12,FALSE)/100/VLOOKUP($C$589,'DB animal categories'!$C$211:$AC$220,27,FALSE)*AJ589+I589+J589+K589,0))))))</f>
        <v/>
      </c>
      <c r="AV589" s="453" t="str">
        <f>IF(D589="","",IF(AS589=2,0,IF(AS589=1,'Calc (ex-animal)'!$G$110*(1-'DB additional information '!$K$23/100)*(1-VLOOKUP(D589,'DB technologies'!$N$280:$Y$292,8,FALSE)/100)*'Calc (ex-housing, ex-storage)'!F589/100/VLOOKUP($C$589,'DB animal categories'!$C$211:$AC$220,27,FALSE)*AJ589+M589+N589+O589,IF(AS589=5,('Calc (ex-animal)'!$G$110*(1-'DB additional information '!$K$23/100)+'Calc (ex-animal)'!$H$110*(1-'DB additional information '!$L$23/100))*(1-VLOOKUP(D589,'DB technologies'!$N$280:$Y$292,8,FALSE)/100)*'Calc (ex-housing, ex-storage)'!F589/100/VLOOKUP($C$589,'DB animal categories'!$C$211:$AC$220,27,FALSE)*AJ589+M589+N589+O589,IF(AS589=3,('Calc (ex-animal)'!$G$110*(1-'DB additional information '!$K$23/100)+'Calc (ex-animal)'!$H$110*(1-'DB additional information '!$L$23/100))*(1-VLOOKUP(D589,'DB technologies'!$N$280:$Y$292,8,FALSE)/100)*'Calc (ex-housing, ex-storage)'!F589/100/VLOOKUP($C$589,'DB animal categories'!$C$211:$AC$220,27,FALSE)*AJ589+M589+N589+O589,IF(AS589=4,('Calc (ex-animal)'!$G$110*(1-'DB additional information '!$K$23/100)+'Calc (ex-animal)'!$H$110*(1-'DB additional information '!$L$23/100))*(1-VLOOKUP(D589,'DB technologies'!$N$280:$Y$292,8,FALSE)/100)*'Calc (ex-housing, ex-storage)'!F589/100*VLOOKUP(D589,'DB technologies'!$N$280:$Y$292,12,FALSE)/100/VLOOKUP($C$589,'DB animal categories'!$C$211:$AC$220,27,FALSE)*AJ589+M589+N589+O589,0))))))</f>
        <v/>
      </c>
      <c r="AW589" s="453" t="str">
        <f>IF(AS589="","",IF(AU589=0,0,AU589/AT589*100))</f>
        <v/>
      </c>
      <c r="AX589" s="180" t="str">
        <f>IF(D589="","",IF(AS589=2,0,IF(AS589=1,'Calc (ex-animal)'!$K$110*'Calc (ex-housing, ex-storage)'!F589/100/VLOOKUP($C$589,'DB animal categories'!$C$211:$AC$220,27,FALSE)*AJ589+Q589+R589+S589,IF(AS589=5,('Calc (ex-animal)'!$K$110+'Calc (ex-animal)'!$L$110)*'Calc (ex-housing, ex-storage)'!F589/100/VLOOKUP($C$589,'DB animal categories'!$C$211:$AC$220,27,FALSE)*AJ589+Q589+R589+S589-'Calc (ex-housing, ex-storage)'!AC589,IF(AS589=3,('Calc (ex-animal)'!$K$110+'Calc (ex-animal)'!$L$110)*'Calc (ex-housing, ex-storage)'!F589/100/VLOOKUP($C$589,'DB animal categories'!$C$211:$AC$220,27,FALSE)*AJ589+Q589+R589+S589-'Calc (ex-housing, ex-storage)'!AC589-AD589-AE589,IF(AI589=4,('Calc (ex-animal)'!$K$110+'Calc (ex-animal)'!$L$110)*'Calc (ex-housing, ex-storage)'!F589/100*VLOOKUP(D589,'DB technologies'!$N$280:$Y$292,12,FALSE)/100/VLOOKUP($C$589,'DB animal categories'!$C$211:$AC$220,27,FALSE)*AJ589+Q589+R589+S589-(VLOOKUP(D589,'DB technologies'!$N$280:$Y$292,12,FALSE)/100*AC589)-AD589-AE589,0))))))</f>
        <v/>
      </c>
      <c r="AY589" s="180" t="str">
        <f>IF(D589="","",IF(AS589=2,0,IF(AS589=1,'Calc (ex-animal)'!$N$110*'Calc (ex-housing, ex-storage)'!F589/100/VLOOKUP($C$589,'DB animal categories'!$C$211:$AC$220,27,FALSE)*AJ589+U589+V589+W589,IF(AS589=5,('Calc (ex-animal)'!$N$110+'Calc (ex-animal)'!$O$110)*'Calc (ex-housing, ex-storage)'!F589/100/VLOOKUP($C$589,'DB animal categories'!$C$211:$AC$220,27,FALSE)*AJ589+U589+V589+W589,IF(AS589=3,('Calc (ex-animal)'!$N$110+'Calc (ex-animal)'!$O$110)*'Calc (ex-housing, ex-storage)'!F589/100/VLOOKUP($C$589,'DB animal categories'!$C$211:$AC$220,27,FALSE)*AJ589+U589+V589+W589,IF(AS589=4,('Calc (ex-animal)'!$N$110+'Calc (ex-animal)'!$O$110)*'Calc (ex-housing, ex-storage)'!F589/100*VLOOKUP(D589,'DB technologies'!$N$280:$Y$292,12,FALSE)/100/VLOOKUP($C$589,'DB animal categories'!$C$211:$AC$220,27,FALSE)*AJ589+U589+V589+W589,0))))))</f>
        <v/>
      </c>
      <c r="AZ589" s="180" t="str">
        <f>IF(D589="","",IF(AS589=2,0,IF(AS589=1,'Calc (ex-animal)'!$Q$110*'Calc (ex-housing, ex-storage)'!F589/100/VLOOKUP($C$589,'DB animal categories'!$C$211:$AC$220,27,FALSE)*AJ589+Y589+Z589+AA589,IF(AS589=5,('Calc (ex-animal)'!$Q$110+'Calc (ex-animal)'!$R$110)*'Calc (ex-housing, ex-storage)'!F589/100/VLOOKUP($C$589,'DB animal categories'!$C$211:$AC$220,27,FALSE)*AJ589+Y589+Z589+AA589,IF(AS589=3,('Calc (ex-animal)'!$Q$110+'Calc (ex-animal)'!$R$110)*'Calc (ex-housing, ex-storage)'!F589/100/VLOOKUP($C$589,'DB animal categories'!$C$211:$AC$220,27,FALSE)*AJ589+Y589+Z589+AA589,IF(AS589=4,('Calc (ex-animal)'!$Q$110+'Calc (ex-animal)'!$R$110)*'Calc (ex-housing, ex-storage)'!F589/100*VLOOKUP(D589,'DB technologies'!$N$280:$Y$292,12,FALSE)/100/VLOOKUP($C$589,'DB animal categories'!$C$211:$AC$220,27,FALSE)*AJ589+Y589+Z589+AA589,0))))))</f>
        <v/>
      </c>
      <c r="BA589" s="506"/>
      <c r="BB589" s="506"/>
      <c r="BC589" s="506"/>
    </row>
    <row r="590" spans="1:55" x14ac:dyDescent="0.2">
      <c r="A590" s="748"/>
      <c r="B590" s="695"/>
      <c r="C590" s="251"/>
      <c r="D590" s="1357"/>
      <c r="E590" s="1358"/>
      <c r="F590" s="480" t="str">
        <f>IF('Calc (ex-animal)'!$F$108=1,"",IF($C$589=0,"",IF(D590="","",E590/'Calc (ex-animal)'!$E$110*100)))</f>
        <v/>
      </c>
      <c r="G590" s="485" t="str">
        <f>IF($C$589=0,"",IF('Calc (ex-animal)'!$F$108=1,"",IF(D590="","",SUM(H590:O590))))</f>
        <v/>
      </c>
      <c r="H590" s="423" t="str">
        <f>IF('Calc (ex-animal)'!$F$108=1,"",IF(D590="","",(((VLOOKUP($C$589,'Calc (ex-animal)'!$D$108:$Y$112,6,FALSE)-VLOOKUP($C$589,'Calc (ex-animal)'!$D$108:$Y$112,17,FALSE))*F590/100))*VLOOKUP($C$589,'Calc (ex-animal)'!$D$108:$Y$112,7,FALSE)/100*(1-VLOOKUP(D590,'DB technologies'!$N$280:$Y$292,9,FALSE)/100)))</f>
        <v/>
      </c>
      <c r="I590" s="423" t="str">
        <f>IF(D590="","",((VLOOKUP(D590,'DB technologies'!$N$280:$Y$292,2,FALSE)*VLOOKUP($C$589,'DB animal categories'!$C$211:$AC$220,27,FALSE)*E590/1000)/VLOOKUP($C$589,'DB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'!$S$6/100*(1-VLOOKUP(D590,'DB technologies'!$N$280:$Y$292,9,FALSE)/100)))</f>
        <v/>
      </c>
      <c r="J590" s="434" t="str">
        <f>IF(D590="","",((VLOOKUP(D590,'DB technologies'!$N$280:$Y$292,3,FALSE)*VLOOKUP($C$589,'DB animal categories'!$C$211:$AC$220,27,FALSE)*E590/1000)/VLOOKUP($C$589,'DB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'!$S$7/100*(1-VLOOKUP(D590,'DB technologies'!$N$280:$Y$292,9,FALSE)/100)))</f>
        <v/>
      </c>
      <c r="K590" s="434" t="str">
        <f>IF(D590="","",((VLOOKUP(D590,'DB technologies'!$N$280:$Y$292,4,FALSE)*E590*'DB additional information '!$S$8/100*(1-VLOOKUP(D590,'DB technologies'!$N$280:$Y$292,9,FALSE)/100))/VLOOKUP($C$589,'DB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L590" s="423" t="str">
        <f>IF('Calc (ex-animal)'!$F$108=1,"",IF(D590="","",(((VLOOKUP($C$589,'Calc (ex-animal)'!$D$108:$Y$112,6,FALSE)-VLOOKUP($C$589,'Calc (ex-animal)'!$D$108:$Y$112,17,FALSE))*F590/100))*(1-VLOOKUP($C$589,'Calc (ex-animal)'!$D$108:$Y$112,7,FALSE)/100)*(1-VLOOKUP(D590,'DB technologies'!$N$280:$V$292,8,FALSE)/100)))</f>
        <v/>
      </c>
      <c r="M590" s="434" t="str">
        <f>IF(D590="","",((VLOOKUP(D590,'DB technologies'!$N$280:$Y$292,2,FALSE)*VLOOKUP($C$589,'DB animal categories'!$C$211:$AC$220,27,FALSE)*E590/1000)/VLOOKUP($C$589,'DB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'!$S$6/100)*(1-VLOOKUP(D590,'DB technologies'!$N$280:$Y$292,9,FALSE)/100))</f>
        <v/>
      </c>
      <c r="N590" s="434" t="str">
        <f>IF(D590="","",((VLOOKUP(D590,'DB technologies'!$N$280:$Y$292,3,FALSE)*VLOOKUP($C$589,'DB animal categories'!$C$211:$AC$220,27,FALSE)*E590/1000)/VLOOKUP($C$589,'DB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'!$S$7/100)*(1-VLOOKUP(D590,'DB technologies'!$N$280:$Y$292,9,FALSE)/100))</f>
        <v/>
      </c>
      <c r="O590" s="423" t="str">
        <f>IF(D590="","",((VLOOKUP(D590,'DB technologies'!$N$280:$Y$292,4,FALSE)*E590*(1-'DB additional information '!$S$8/100)*(1-VLOOKUP(D590,'DB technologies'!$N$280:$Y$292,8,FALSE)/100))/VLOOKUP($C$589,'DB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P590" s="438" t="str">
        <f>IF(G590=0,0,IF(E590="","",IF(F590="","",IF($C$589=0,"",IF(D590="","",SUM(H590:K590)/G590*100)))))</f>
        <v/>
      </c>
      <c r="Q590" s="416" t="str">
        <f>IF(D590="","",(VLOOKUP(D590,'DB technologies'!$N$280:$Y$292,2,FALSE)*'DB additional information '!$S$6/100*'DB additional information '!$T$6*VLOOKUP($C$589,'DB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R590" s="416" t="str">
        <f>IF(D590="","",(VLOOKUP(D590,'DB technologies'!$N$280:$Y$292,3,FALSE)*'DB additional information '!$S$7/100*'DB additional information '!$T$7*VLOOKUP($C$589,'DB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S590" s="491" t="str">
        <f>IF(D590="","",(VLOOKUP(D590,'DB technologies'!$N$280:$Y$292,4,FALSE)*('DB additional information '!$S$8/100*'DB additional information '!$T$8*E590/1000/1000)))</f>
        <v/>
      </c>
      <c r="T590" s="264" t="str">
        <f>IF($C$589=0,"",IF('Calc (ex-animal)'!$F$108=1,"",IF(D590="","",((VLOOKUP($C$589,'Calc (ex-animal)'!$D$108:$Y$112,10,FALSE)-VLOOKUP($C$589,'Calc (ex-animal)'!$D$108:$Y$112,18,FALSE))*F590/100+Q590+R590+S590)-AC590-AD590-AE590)))</f>
        <v/>
      </c>
      <c r="U590" s="422" t="str">
        <f>IF(D590="","",(VLOOKUP(D590,'DB technologies'!$N$280:$Y$292,2,FALSE)*'DB additional information '!$S$6/100*'DB additional information '!$U$6*VLOOKUP($C$589,'DB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V590" s="418" t="str">
        <f>IF(D590="","",(VLOOKUP(D590,'DB technologies'!$N$280:$Y$292,3,FALSE)*'DB additional information '!$S$7/100*'DB additional information '!$U$7*VLOOKUP($C$589,'DB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W590" s="417" t="str">
        <f>IF(D590="","",(VLOOKUP(D590,'DB technologies'!$N$280:$Y$292,4,FALSE)*('DB additional information '!$S$8/100*'DB additional information '!$U$8*E590/1000/1000)))</f>
        <v/>
      </c>
      <c r="X590" s="261" t="str">
        <f>IF($C$589=0,"",IF('Calc (ex-animal)'!$F$108=1,"",IF(D590="","",((VLOOKUP($C$589,'Calc (ex-animal)'!$D$108:$Y$112,13,FALSE)-VLOOKUP($C$589,'Calc (ex-animal)'!$D$108:$Y$112,19,FALSE))*F590/100+U590+V590+W590))))</f>
        <v/>
      </c>
      <c r="Y590" s="418" t="str">
        <f>IF(D590="","",(VLOOKUP(D590,'DB technologies'!$N$280:$Y$292,2,FALSE)*'DB additional information '!$S$6/100*'DB additional information '!$V$6*VLOOKUP($C$589,'DB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Z590" s="418" t="str">
        <f>IF(D590="","",(VLOOKUP(D590,'DB technologies'!$N$280:$Y$292,3,FALSE)*'DB additional information '!$S$7/100*'DB additional information '!$V$7*VLOOKUP($C$589,'DB animal categories'!$C$211:$AC$220,27,FALSE)*E590/1000/1000)/VLOOKUP($C$589,'DB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AA590" s="418" t="str">
        <f>IF(D590="","",(VLOOKUP(D590,'DB technologies'!$N$280:$Y$292,4,FALSE)*('DB additional information '!$S$8/100*'DB additional information '!$V$8*E590/1000/1000)))</f>
        <v/>
      </c>
      <c r="AB590" s="261" t="str">
        <f>IF($C$589=0,"",IF('Calc (ex-animal)'!$F$108=1,"",IF(D590="","",((VLOOKUP($C$589,'Calc (ex-animal)'!$D$108:$Y$112,16,FALSE)-VLOOKUP($C$589,'Calc (ex-animal)'!$D$108:$Y$112,20,FALSE))*F590/100+Y590+Z590+AA590))))</f>
        <v/>
      </c>
      <c r="AC590" s="261" t="str">
        <f>IF($C$589=0,"",IF('Calc (ex-animal)'!$F$108=1,"",IF(D590="","",VLOOKUP($C$589,'Calc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categories'!$C$211:$AC$220,26,FALSE)/24)*F590/100*VLOOKUP(D590,'DB technologies'!$N$280:$R$292,5,FALSE)/100)))</f>
        <v/>
      </c>
      <c r="AD590" s="261" t="str">
        <f>IF($C$589=0,"",IF('Calc (ex-animal)'!$F$108=1,"",IF(D590="","",VLOOKUP($C$589,'Calc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categories'!$C$211:$AC$220,26,FALSE)/24)*F590/100*VLOOKUP(D590,'DB technologies'!$N$280:$Y$292,6,FALSE)/100)))</f>
        <v/>
      </c>
      <c r="AE590" s="262" t="str">
        <f>IF($C$589=0,"",IF('Calc (ex-animal)'!$F$108=1,"",IF(D590="","",VLOOKUP($C$589,'Calc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categories'!$C$211:$AC$220,26,FALSE)/24)*F590/100*VLOOKUP(D590,'DB technologies'!$N$280:$Y$292,7,FALSE)/100)))</f>
        <v/>
      </c>
      <c r="AI590" s="181" t="str">
        <f>IF(D590="","",VLOOKUP(D590,'DB technologies'!$N$280:$Y$292,10,FALSE))</f>
        <v/>
      </c>
      <c r="AJ590" s="449" t="e">
        <f>VLOOKUP($C$589,'DB animal categories'!$C$211:$AN$220,27,FALSE)-VLOOKUP($C$589,'DB animal categories'!$C$211:$AN$220,26,FALSE)*VLOOKUP($C$589,'DB animal categories'!$C$211:$AN$220,25,FALSE)/24</f>
        <v>#N/A</v>
      </c>
      <c r="AK590" s="442" t="str">
        <f>IF(AI590="","",AL590+AM590)</f>
        <v/>
      </c>
      <c r="AL590" s="442" t="str">
        <f>IF(D590="","",IF(AI590=2,(('Calc (ex-animal)'!$G$110*'DB additional information '!$K$23/100*(1-VLOOKUP(D590,'DB technologies'!$N$280:$Y$292,9,FALSE)/100)*'Calc (ex-housing, ex-storage)'!F590/100+'Calc (ex-animal)'!$H$110*'DB additional information '!$L$23/100*(1-VLOOKUP(D590,'DB technologies'!$N$280:$Y$292,9,FALSE)/100)*'Calc (ex-housing, ex-storage)'!F590/100))/VLOOKUP($C$589,'DB animal categories'!$C$211:$AC$220,27,FALSE)*AJ590+I590+J590+K590,IF(AI590=1,('Calc (ex-animal)'!$H$110*'DB additional information '!$L$23/100*(1-VLOOKUP(D590,'DB technologies'!$N$280:$Y$292,9,FALSE)/100)*'Calc (ex-housing, ex-storage)'!F590/100)/VLOOKUP($C$589,'DB animal categories'!$C$211:$AC$220,27,FALSE)*AJ590,IF(AI590=4,('Calc (ex-animal)'!$G$110*'DB additional information '!$K$23/100+'Calc (ex-animal)'!$H$110*'DB additional information '!$L$23/100)*(1-VLOOKUP(D590,'DB technologies'!$N$280:$Y$292,9,FALSE)/100)*'Calc (ex-housing, ex-storage)'!F590/100*VLOOKUP(D590,'DB technologies'!$N$280:$Y$292,11,FALSE)/100/VLOOKUP($C$589,'DB animal categories'!$C$211:$AC$220,27,FALSE)*AJ590,0))))</f>
        <v/>
      </c>
      <c r="AM590" s="442" t="str">
        <f>IF(D590="","",IF(AI590=2,(('Calc (ex-animal)'!$G$110*(1-'DB additional information '!$K$23/100)*(1-VLOOKUP(D590,'DB technologies'!$N$280:$Y$292,8,FALSE)/100)*'Calc (ex-housing, ex-storage)'!F590/100+'Calc (ex-animal)'!$H$110*(1-'DB additional information '!$L$23/100)*(1-VLOOKUP(D590,'DB technologies'!$N$280:$Y$292,8,FALSE)/100)*'Calc (ex-housing, ex-storage)'!F590/100))/VLOOKUP($C$589,'DB animal categories'!$C$211:$AC$220,27,FALSE)*AJ590+M590+N590+O590,IF(AI590=1,('Calc (ex-animal)'!$H$110*(1-'DB additional information '!$L$23/100)*(1-VLOOKUP(D590,'DB technologies'!$N$280:$Y$292,8,FALSE)/100)*'Calc (ex-housing, ex-storage)'!F590/100)/VLOOKUP($C$589,'DB animal categories'!$C$211:$AC$220,27,FALSE)*AJ590,IF(AI590=4,('Calc (ex-animal)'!$G$110*(1-'DB additional information '!$K$23/100)+'Calc (ex-animal)'!$H$110*(1-'DB additional information '!$L$23/100))*(1-VLOOKUP(D590,'DB technologies'!$N$280:$Y$292,8,FALSE)/100)*'Calc (ex-housing, ex-storage)'!F590/100*VLOOKUP(D590,'DB technologies'!$N$280:$Y$292,11,FALSE)/100/VLOOKUP($C$589,'DB animal categories'!$C$211:$AC$220,27,FALSE)*AJ590,0))))</f>
        <v/>
      </c>
      <c r="AN590" s="442" t="str">
        <f>IF(AI590="","",IF(AL590=0,0,AL590/AK590*100))</f>
        <v/>
      </c>
      <c r="AO590" s="182" t="str">
        <f>IF(D590="","",IF(AI590=2,(('Calc (ex-animal)'!$L$110*'Calc (ex-housing, ex-storage)'!F590/100+'Calc (ex-animal)'!$K$110*'Calc (ex-housing, ex-storage)'!F590/100))/VLOOKUP($C$589,'DB animal categories'!$C$211:$AC$220,27,FALSE)*AJ590+Q590+R590+S590-AC590,IF(AI590=1,('Calc (ex-animal)'!$L$110*'Calc (ex-housing, ex-storage)'!F590/100)/VLOOKUP($C$589,'DB animal categories'!$C$211:$AC$220,27,FALSE)*AJ590-'Calc (ex-housing, ex-storage)'!AC590,IF(AI590=4,('Calc (ex-animal)'!$L$110+'Calc (ex-animal)'!$K$110)*'Calc (ex-housing, ex-storage)'!F590/100*VLOOKUP(D590,'DB technologies'!$N$280:$Y$292,11,FALSE)/100/VLOOKUP($C$589,'DB animal categories'!$C$211:$AC$220,27,FALSE)*AJ590-AC590*VLOOKUP(D590,'DB technologies'!$N$280:$Y$292,11,FALSE)/100,0))))</f>
        <v/>
      </c>
      <c r="AP590" s="182" t="str">
        <f>IF(D590="","",IF(AO590&lt;-0.01,0,IF(AI590=2,(('Calc (ex-animal)'!$L$110*'Calc (ex-housing, ex-storage)'!F590/100+'Calc (ex-animal)'!$K$110*'Calc (ex-housing, ex-storage)'!F590/100))/VLOOKUP($C$589,'DB animal categories'!$C$211:$AC$220,27,FALSE)*AJ590+Q590+R590+S590-AC590,IF(AI590=1,('Calc (ex-animal)'!$L$110*'Calc (ex-housing, ex-storage)'!F590/100)/VLOOKUP($C$589,'DB animal categories'!$C$211:$AC$220,27,FALSE)*AJ590-'Calc (ex-housing, ex-storage)'!AC590,IF(AI590=4,('Calc (ex-animal)'!$L$110+'Calc (ex-animal)'!$K$110)*'Calc (ex-housing, ex-storage)'!F590/100*VLOOKUP(D590,'DB technologies'!$N$280:$Y$292,11,FALSE)/100/VLOOKUP($C$589,'DB animal categories'!$C$211:$AC$220,27,FALSE)*AJ590-AC590*VLOOKUP(D590,'DB technologies'!$N$280:$Y$292,11,FALSE)/100,0)))))</f>
        <v/>
      </c>
      <c r="AQ590" s="182" t="str">
        <f>IF(D590="","",IF(AI590=2,('Calc (ex-animal)'!$O$110*'Calc (ex-housing, ex-storage)'!F590/100+'Calc (ex-animal)'!$N$110*'Calc (ex-housing, ex-storage)'!F590/100)/VLOOKUP($C$589,'DB animal categories'!$C$211:$AC$220,27,FALSE)*AJ590+U590+V590+W590,IF(AI590=1,'Calc (ex-animal)'!$O$110*'Calc (ex-housing, ex-storage)'!F590/100/VLOOKUP($C$589,'DB animal categories'!$C$211:$AC$220,27,FALSE)*AJ590,IF(AI590=4,('Calc (ex-animal)'!$O$110+'Calc (ex-animal)'!$N$110)*'Calc (ex-housing, ex-storage)'!F590/100*VLOOKUP(D590,'DB technologies'!$N$280:$Y$292,11,FALSE)/100/VLOOKUP($C$589,'DB animal categories'!$C$211:$AC$220,27,FALSE)*AJ590,0))))</f>
        <v/>
      </c>
      <c r="AR590" s="182" t="str">
        <f>IF(D590="","",IF(AI590=2,('Calc (ex-animal)'!$R$110*'Calc (ex-housing, ex-storage)'!F590/100+'Calc (ex-animal)'!$Q$110*'Calc (ex-housing, ex-storage)'!F590/100)/VLOOKUP($C$589,'DB animal categories'!$C$211:$AC$220,27,FALSE)*AJ590+Y590+Z590+AA590,IF(AI590=1,'Calc (ex-animal)'!$R$110*'Calc (ex-housing, ex-storage)'!F590/100/VLOOKUP($C$589,'DB animal categories'!$C$211:$AC$220,27,FALSE)*AJ590,IF(AI590=4,('Calc (ex-animal)'!$R$110+'Calc (ex-animal)'!$Q$110)*'Calc (ex-housing, ex-storage)'!F590/100*VLOOKUP(D590,'DB technologies'!$N$280:$Y$292,11,FALSE)/100/VLOOKUP($C$589,'DB animal categories'!$C$211:$AC$220,27,FALSE)*AJ590,0))))</f>
        <v/>
      </c>
      <c r="AS590" s="181" t="str">
        <f>IF(D590="","",VLOOKUP(D590,'DB technologies'!$N$280:$Y$292,10,FALSE))</f>
        <v/>
      </c>
      <c r="AT590" s="442" t="str">
        <f>IF(AS590="","",AU590+AV590)</f>
        <v/>
      </c>
      <c r="AU590" s="442" t="str">
        <f>IF(D590="","",IF(AS590=2,0,IF(AS590=1,'Calc (ex-animal)'!$G$110*'DB additional information '!$K$23/100*(1-VLOOKUP(D590,'DB technologies'!$N$280:$Y$292,8,FALSE)/100)*'Calc (ex-housing, ex-storage)'!F590/100/VLOOKUP($C$589,'DB animal categories'!$C$211:$AC$220,27,FALSE)*AJ590+I590+J590+K590,IF(AS590=5,(('Calc (ex-animal)'!$G$110*'DB additional information '!$K$23/100+'Calc (ex-animal)'!$H$110*'DB additional information '!$L$23/100))*(1-VLOOKUP(D590,'DB technologies'!$N$280:$Y$292,9,FALSE)/100)*'Calc (ex-housing, ex-storage)'!F590/100/VLOOKUP($C$589,'DB animal categories'!$C$211:$AC$220,27,FALSE)*AJ590+I590+J590+K590,IF(AS590=3,('Calc (ex-animal)'!$G$110*'DB additional information '!$K$23/100+'Calc (ex-animal)'!$H$110*'DB additional information '!$L$23/100)*(1-VLOOKUP(D590,'DB technologies'!$N$280:$Y$292,9,FALSE)/100)*'Calc (ex-housing, ex-storage)'!F590/100/VLOOKUP($C$589,'DB animal categories'!$C$211:$AC$220,27,FALSE)*AJ590+I590+J590+K590,IF(AS590=4,('Calc (ex-animal)'!$G$110*'DB additional information '!$K$23/100+'Calc (ex-animal)'!$H$110*'DB additional information '!$L$23/100)*(1-VLOOKUP(D590,'DB technologies'!$N$280:$Y$292,9,FALSE)/100)*'Calc (ex-housing, ex-storage)'!F590/100*VLOOKUP(D590,'DB technologies'!$N$280:$Y$292,12,FALSE)/100/VLOOKUP($C$589,'DB animal categories'!$C$211:$AC$220,27,FALSE)*AJ590+I590+J590+K590,0))))))</f>
        <v/>
      </c>
      <c r="AV590" s="442" t="str">
        <f>IF(D590="","",IF(AS590=2,0,IF(AS590=1,'Calc (ex-animal)'!$G$110*(1-'DB additional information '!$K$23/100)*(1-VLOOKUP(D590,'DB technologies'!$N$280:$Y$292,8,FALSE)/100)*'Calc (ex-housing, ex-storage)'!F590/100/VLOOKUP($C$589,'DB animal categories'!$C$211:$AC$220,27,FALSE)*AJ590+M590+N590+O590,IF(AS590=5,('Calc (ex-animal)'!$G$110*(1-'DB additional information '!$K$23/100)+'Calc (ex-animal)'!$H$110*(1-'DB additional information '!$L$23/100))*(1-VLOOKUP(D590,'DB technologies'!$N$280:$Y$292,8,FALSE)/100)*'Calc (ex-housing, ex-storage)'!F590/100/VLOOKUP($C$589,'DB animal categories'!$C$211:$AC$220,27,FALSE)*AJ590+M590+N590+O590,IF(AS590=3,('Calc (ex-animal)'!$G$110*(1-'DB additional information '!$K$23/100)+'Calc (ex-animal)'!$H$110*(1-'DB additional information '!$L$23/100))*(1-VLOOKUP(D590,'DB technologies'!$N$280:$Y$292,8,FALSE)/100)*'Calc (ex-housing, ex-storage)'!F590/100/VLOOKUP($C$589,'DB animal categories'!$C$211:$AC$220,27,FALSE)*AJ590+M590+N590+O590,IF(AS590=4,('Calc (ex-animal)'!$G$110*(1-'DB additional information '!$K$23/100)+'Calc (ex-animal)'!$H$110*(1-'DB additional information '!$L$23/100))*(1-VLOOKUP(D590,'DB technologies'!$N$280:$Y$292,8,FALSE)/100)*'Calc (ex-housing, ex-storage)'!F590/100*VLOOKUP(D590,'DB technologies'!$N$280:$Y$292,12,FALSE)/100/VLOOKUP($C$589,'DB animal categories'!$C$211:$AC$220,27,FALSE)*AJ590+M590+N590+O590,0))))))</f>
        <v/>
      </c>
      <c r="AW590" s="442" t="str">
        <f>IF(AS590="","",IF(AU590=0,0,AU590/AT590*100))</f>
        <v/>
      </c>
      <c r="AX590" s="182" t="str">
        <f>IF(D590="","",IF(AS590=2,0,IF(AS590=1,'Calc (ex-animal)'!$K$110*'Calc (ex-housing, ex-storage)'!F590/100/VLOOKUP($C$589,'DB animal categories'!$C$211:$AC$220,27,FALSE)*AJ590+Q590+R590+S590,IF(AS590=5,('Calc (ex-animal)'!$K$110+'Calc (ex-animal)'!$L$110)*'Calc (ex-housing, ex-storage)'!F590/100/VLOOKUP($C$589,'DB animal categories'!$C$211:$AC$220,27,FALSE)*AJ590+Q590+R590+S590-'Calc (ex-housing, ex-storage)'!AC590,IF(AS590=3,('Calc (ex-animal)'!$K$110+'Calc (ex-animal)'!$L$110)*'Calc (ex-housing, ex-storage)'!F590/100/VLOOKUP($C$589,'DB animal categories'!$C$211:$AC$220,27,FALSE)*AJ590+Q590+R590+S590-'Calc (ex-housing, ex-storage)'!AC590-AD590-AE590,IF(AI590=4,('Calc (ex-animal)'!$K$110+'Calc (ex-animal)'!$L$110)*'Calc (ex-housing, ex-storage)'!F590/100*VLOOKUP(D590,'DB technologies'!$N$280:$Y$292,12,FALSE)/100/VLOOKUP($C$589,'DB animal categories'!$C$211:$AC$220,27,FALSE)*AJ590+Q590+R590+S590-(VLOOKUP(D590,'DB technologies'!$N$280:$Y$292,12,FALSE)/100*AC590)-AD590-AE590,0))))))</f>
        <v/>
      </c>
      <c r="AY590" s="182" t="str">
        <f>IF(D590="","",IF(AS590=2,0,IF(AS590=1,'Calc (ex-animal)'!$N$110*'Calc (ex-housing, ex-storage)'!F590/100/VLOOKUP($C$589,'DB animal categories'!$C$211:$AC$220,27,FALSE)*AJ590+U590+V590+W590,IF(AS590=5,('Calc (ex-animal)'!$N$110+'Calc (ex-animal)'!$O$110)*'Calc (ex-housing, ex-storage)'!F590/100/VLOOKUP($C$589,'DB animal categories'!$C$211:$AC$220,27,FALSE)*AJ590+U590+V590+W590,IF(AS590=3,('Calc (ex-animal)'!$N$110+'Calc (ex-animal)'!$O$110)*'Calc (ex-housing, ex-storage)'!F590/100/VLOOKUP($C$589,'DB animal categories'!$C$211:$AC$220,27,FALSE)*AJ590+U590+V590+W590,IF(AS590=4,('Calc (ex-animal)'!$N$110+'Calc (ex-animal)'!$O$110)*'Calc (ex-housing, ex-storage)'!F590/100*VLOOKUP(D590,'DB technologies'!$N$280:$Y$292,12,FALSE)/100/VLOOKUP($C$589,'DB animal categories'!$C$211:$AC$220,27,FALSE)*AJ590+U590+V590+W590,0))))))</f>
        <v/>
      </c>
      <c r="AZ590" s="182" t="str">
        <f>IF(D590="","",IF(AS590=2,0,IF(AS590=1,'Calc (ex-animal)'!$Q$110*'Calc (ex-housing, ex-storage)'!F590/100/VLOOKUP($C$589,'DB animal categories'!$C$211:$AC$220,27,FALSE)*AJ590+Y590+Z590+AA590,IF(AS590=5,('Calc (ex-animal)'!$Q$110+'Calc (ex-animal)'!$R$110)*'Calc (ex-housing, ex-storage)'!F590/100/VLOOKUP($C$589,'DB animal categories'!$C$211:$AC$220,27,FALSE)*AJ590+Y590+Z590+AA590,IF(AS590=3,('Calc (ex-animal)'!$Q$110+'Calc (ex-animal)'!$R$110)*'Calc (ex-housing, ex-storage)'!F590/100/VLOOKUP($C$589,'DB animal categories'!$C$211:$AC$220,27,FALSE)*AJ590+Y590+Z590+AA590,IF(AS590=4,('Calc (ex-animal)'!$Q$110+'Calc (ex-animal)'!$R$110)*'Calc (ex-housing, ex-storage)'!F590/100*VLOOKUP(D590,'DB technologies'!$N$280:$Y$292,12,FALSE)/100/VLOOKUP($C$589,'DB animal categories'!$C$211:$AC$220,27,FALSE)*AJ590+Y590+Z590+AA590,0))))))</f>
        <v/>
      </c>
      <c r="BA590" s="506"/>
      <c r="BB590" s="506"/>
      <c r="BC590" s="506"/>
    </row>
    <row r="591" spans="1:55" x14ac:dyDescent="0.2">
      <c r="A591" s="748"/>
      <c r="B591" s="695"/>
      <c r="C591" s="251"/>
      <c r="D591" s="1357"/>
      <c r="E591" s="1358"/>
      <c r="F591" s="480" t="str">
        <f>IF('Calc (ex-animal)'!$F$108=1,"",IF($C$589=0,"",IF(D591="","",E591/'Calc (ex-animal)'!$E$110*100)))</f>
        <v/>
      </c>
      <c r="G591" s="485" t="str">
        <f>IF($C$589=0,"",IF('Calc (ex-animal)'!$F$108=1,"",IF(D591="","",SUM(H591:O591))))</f>
        <v/>
      </c>
      <c r="H591" s="423" t="str">
        <f>IF('Calc (ex-animal)'!$F$108=1,"",IF(D591="","",(((VLOOKUP($C$589,'Calc (ex-animal)'!$D$108:$Y$112,6,FALSE)-VLOOKUP($C$589,'Calc (ex-animal)'!$D$108:$Y$112,17,FALSE))*F591/100))*VLOOKUP($C$589,'Calc (ex-animal)'!$D$108:$Y$112,7,FALSE)/100*(1-VLOOKUP(D591,'DB technologies'!$N$280:$Y$292,9,FALSE)/100)))</f>
        <v/>
      </c>
      <c r="I591" s="423" t="str">
        <f>IF(D591="","",((VLOOKUP(D591,'DB technologies'!$N$280:$Y$292,2,FALSE)*VLOOKUP($C$589,'DB animal categories'!$C$211:$AC$220,27,FALSE)*E591/1000)/VLOOKUP($C$589,'DB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'!$S$6/100*(1-VLOOKUP(D591,'DB technologies'!$N$280:$Y$292,9,FALSE)/100)))</f>
        <v/>
      </c>
      <c r="J591" s="434" t="str">
        <f>IF(D591="","",((VLOOKUP(D591,'DB technologies'!$N$280:$Y$292,3,FALSE)*VLOOKUP($C$589,'DB animal categories'!$C$211:$AC$220,27,FALSE)*E591/1000)/VLOOKUP($C$589,'DB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'!$S$7/100*(1-VLOOKUP(D591,'DB technologies'!$N$280:$Y$292,9,FALSE)/100)))</f>
        <v/>
      </c>
      <c r="K591" s="434" t="str">
        <f>IF(D591="","",((VLOOKUP(D591,'DB technologies'!$N$280:$Y$292,4,FALSE)*E591*'DB additional information '!$S$8/100*(1-VLOOKUP(D591,'DB technologies'!$N$280:$Y$292,9,FALSE)/100))/VLOOKUP($C$589,'DB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L591" s="423" t="str">
        <f>IF('Calc (ex-animal)'!$F$108=1,"",IF(D591="","",(((VLOOKUP($C$589,'Calc (ex-animal)'!$D$108:$Y$112,6,FALSE)-VLOOKUP($C$589,'Calc (ex-animal)'!$D$108:$Y$112,17,FALSE))*F591/100))*(1-VLOOKUP($C$589,'Calc (ex-animal)'!$D$108:$Y$112,7,FALSE)/100)*(1-VLOOKUP(D591,'DB technologies'!$N$280:$V$292,8,FALSE)/100)))</f>
        <v/>
      </c>
      <c r="M591" s="434" t="str">
        <f>IF(D591="","",((VLOOKUP(D591,'DB technologies'!$N$280:$Y$292,2,FALSE)*VLOOKUP($C$589,'DB animal categories'!$C$211:$AC$220,27,FALSE)*E591/1000)/VLOOKUP($C$589,'DB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'!$S$6/100)*(1-VLOOKUP(D591,'DB technologies'!$N$280:$Y$292,9,FALSE)/100))</f>
        <v/>
      </c>
      <c r="N591" s="434" t="str">
        <f>IF(D591="","",((VLOOKUP(D591,'DB technologies'!$N$280:$Y$292,3,FALSE)*VLOOKUP($C$589,'DB animal categories'!$C$211:$AC$220,27,FALSE)*E591/1000)/VLOOKUP($C$589,'DB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'!$S$7/100)*(1-VLOOKUP(D591,'DB technologies'!$N$280:$Y$292,9,FALSE)/100))</f>
        <v/>
      </c>
      <c r="O591" s="423" t="str">
        <f>IF(D591="","",((VLOOKUP(D591,'DB technologies'!$N$280:$Y$292,4,FALSE)*E591*(1-'DB additional information '!$S$8/100)*(1-VLOOKUP(D591,'DB technologies'!$N$280:$Y$292,8,FALSE)/100))/VLOOKUP($C$589,'DB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P591" s="438" t="str">
        <f>IF(G591=0,0,IF(E591="","",IF(F591="","",IF($C$589=0,"",IF(D591="","",SUM(H591:K591)/G591*100)))))</f>
        <v/>
      </c>
      <c r="Q591" s="416" t="str">
        <f>IF(D591="","",(VLOOKUP(D591,'DB technologies'!$N$280:$Y$292,2,FALSE)*'DB additional information '!$S$6/100*'DB additional information '!$T$6*VLOOKUP($C$589,'DB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R591" s="416" t="str">
        <f>IF(D591="","",(VLOOKUP(D591,'DB technologies'!$N$280:$Y$292,3,FALSE)*'DB additional information '!$S$7/100*'DB additional information '!$T$7*VLOOKUP($C$589,'DB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S591" s="491" t="str">
        <f>IF(D591="","",(VLOOKUP(D591,'DB technologies'!$N$280:$Y$292,4,FALSE)*('DB additional information '!$S$8/100*'DB additional information '!$T$8*E591/1000/1000)))</f>
        <v/>
      </c>
      <c r="T591" s="264" t="str">
        <f>IF($C$589=0,"",IF('Calc (ex-animal)'!$F$108=1,"",IF(D591="","",((VLOOKUP($C$589,'Calc (ex-animal)'!$D$108:$Y$112,10,FALSE)-VLOOKUP($C$589,'Calc (ex-animal)'!$D$108:$Y$112,18,FALSE))*F591/100+Q591+R591+S591)-AC591-AD591-AE591)))</f>
        <v/>
      </c>
      <c r="U591" s="422" t="str">
        <f>IF(D591="","",(VLOOKUP(D591,'DB technologies'!$N$280:$Y$292,2,FALSE)*'DB additional information '!$S$6/100*'DB additional information '!$U$6*VLOOKUP($C$589,'DB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V591" s="418" t="str">
        <f>IF(D591="","",(VLOOKUP(D591,'DB technologies'!$N$280:$Y$292,3,FALSE)*'DB additional information '!$S$7/100*'DB additional information '!$U$7*VLOOKUP($C$589,'DB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W591" s="417" t="str">
        <f>IF(D591="","",(VLOOKUP(D591,'DB technologies'!$N$280:$Y$292,4,FALSE)*('DB additional information '!$S$8/100*'DB additional information '!$U$8*E591/1000/1000)))</f>
        <v/>
      </c>
      <c r="X591" s="261" t="str">
        <f>IF($C$589=0,"",IF('Calc (ex-animal)'!$F$108=1,"",IF(D591="","",((VLOOKUP($C$589,'Calc (ex-animal)'!$D$108:$Y$112,13,FALSE)-VLOOKUP($C$589,'Calc (ex-animal)'!$D$108:$Y$112,19,FALSE))*F591/100+U591+V591+W591))))</f>
        <v/>
      </c>
      <c r="Y591" s="418" t="str">
        <f>IF(D591="","",(VLOOKUP(D591,'DB technologies'!$N$280:$Y$292,2,FALSE)*'DB additional information '!$S$6/100*'DB additional information '!$V$6*VLOOKUP($C$589,'DB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Z591" s="418" t="str">
        <f>IF(D591="","",(VLOOKUP(D591,'DB technologies'!$N$280:$Y$292,3,FALSE)*'DB additional information '!$S$7/100*'DB additional information '!$V$7*VLOOKUP($C$589,'DB animal categories'!$C$211:$AC$220,27,FALSE)*E591/1000/1000)/VLOOKUP($C$589,'DB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AA591" s="418" t="str">
        <f>IF(D591="","",(VLOOKUP(D591,'DB technologies'!$N$280:$Y$292,4,FALSE)*('DB additional information '!$S$8/100*'DB additional information '!$V$8*E591/1000/1000)))</f>
        <v/>
      </c>
      <c r="AB591" s="261" t="str">
        <f>IF($C$589=0,"",IF('Calc (ex-animal)'!$F$108=1,"",IF(D591="","",((VLOOKUP($C$589,'Calc (ex-animal)'!$D$108:$Y$112,16,FALSE)-VLOOKUP($C$589,'Calc (ex-animal)'!$D$108:$Y$112,20,FALSE))*F591/100+Y591+Z591+AA591))))</f>
        <v/>
      </c>
      <c r="AC591" s="261" t="str">
        <f>IF($C$589=0,"",IF('Calc (ex-animal)'!$F$108=1,"",IF(D591="","",VLOOKUP($C$589,'Calc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categories'!$C$211:$AC$220,26,FALSE)/24)*F591/100*VLOOKUP(D591,'DB technologies'!$N$280:$R$292,5,FALSE)/100)))</f>
        <v/>
      </c>
      <c r="AD591" s="261" t="str">
        <f>IF($C$589=0,"",IF('Calc (ex-animal)'!$F$108=1,"",IF(D591="","",VLOOKUP($C$589,'Calc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categories'!$C$211:$AC$220,26,FALSE)/24)*F591/100*VLOOKUP(D591,'DB technologies'!$N$280:$Y$292,6,FALSE)/100)))</f>
        <v/>
      </c>
      <c r="AE591" s="262" t="str">
        <f>IF($C$589=0,"",IF('Calc (ex-animal)'!$F$108=1,"",IF(D591="","",VLOOKUP($C$589,'Calc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categories'!$C$211:$AC$220,26,FALSE)/24)*F591/100*VLOOKUP(D591,'DB technologies'!$N$280:$Y$292,7,FALSE)/100)))</f>
        <v/>
      </c>
      <c r="AI591" s="181" t="str">
        <f>IF(D591="","",VLOOKUP(D591,'DB technologies'!$N$280:$Y$292,10,FALSE))</f>
        <v/>
      </c>
      <c r="AJ591" s="449" t="e">
        <f>VLOOKUP($C$589,'DB animal categories'!$C$211:$AN$220,27,FALSE)-VLOOKUP($C$589,'DB animal categories'!$C$211:$AN$220,26,FALSE)*VLOOKUP($C$589,'DB animal categories'!$C$211:$AN$220,25,FALSE)/24</f>
        <v>#N/A</v>
      </c>
      <c r="AK591" s="442" t="str">
        <f>IF(AI591="","",AL591+AM591)</f>
        <v/>
      </c>
      <c r="AL591" s="442" t="str">
        <f>IF(D591="","",IF(AI591=2,(('Calc (ex-animal)'!$G$110*'DB additional information '!$K$23/100*(1-VLOOKUP(D591,'DB technologies'!$N$280:$Y$292,9,FALSE)/100)*'Calc (ex-housing, ex-storage)'!F591/100+'Calc (ex-animal)'!$H$110*'DB additional information '!$L$23/100*(1-VLOOKUP(D591,'DB technologies'!$N$280:$Y$292,9,FALSE)/100)*'Calc (ex-housing, ex-storage)'!F591/100))/VLOOKUP($C$589,'DB animal categories'!$C$211:$AC$220,27,FALSE)*AJ591+I591+J591+K591,IF(AI591=1,('Calc (ex-animal)'!$H$110*'DB additional information '!$L$23/100*(1-VLOOKUP(D591,'DB technologies'!$N$280:$Y$292,9,FALSE)/100)*'Calc (ex-housing, ex-storage)'!F591/100)/VLOOKUP($C$589,'DB animal categories'!$C$211:$AC$220,27,FALSE)*AJ591,IF(AI591=4,('Calc (ex-animal)'!$G$110*'DB additional information '!$K$23/100+'Calc (ex-animal)'!$H$110*'DB additional information '!$L$23/100)*(1-VLOOKUP(D591,'DB technologies'!$N$280:$Y$292,9,FALSE)/100)*'Calc (ex-housing, ex-storage)'!F591/100*VLOOKUP(D591,'DB technologies'!$N$280:$Y$292,11,FALSE)/100/VLOOKUP($C$589,'DB animal categories'!$C$211:$AC$220,27,FALSE)*AJ591,0))))</f>
        <v/>
      </c>
      <c r="AM591" s="442" t="str">
        <f>IF(D591="","",IF(AI591=2,(('Calc (ex-animal)'!$G$110*(1-'DB additional information '!$K$23/100)*(1-VLOOKUP(D591,'DB technologies'!$N$280:$Y$292,8,FALSE)/100)*'Calc (ex-housing, ex-storage)'!F591/100+'Calc (ex-animal)'!$H$110*(1-'DB additional information '!$L$23/100)*(1-VLOOKUP(D591,'DB technologies'!$N$280:$Y$292,8,FALSE)/100)*'Calc (ex-housing, ex-storage)'!F591/100))/VLOOKUP($C$589,'DB animal categories'!$C$211:$AC$220,27,FALSE)*AJ591+M591+N591+O591,IF(AI591=1,('Calc (ex-animal)'!$H$110*(1-'DB additional information '!$L$23/100)*(1-VLOOKUP(D591,'DB technologies'!$N$280:$Y$292,8,FALSE)/100)*'Calc (ex-housing, ex-storage)'!F591/100)/VLOOKUP($C$589,'DB animal categories'!$C$211:$AC$220,27,FALSE)*AJ591,IF(AI591=4,('Calc (ex-animal)'!$G$110*(1-'DB additional information '!$K$23/100)+'Calc (ex-animal)'!$H$110*(1-'DB additional information '!$L$23/100))*(1-VLOOKUP(D591,'DB technologies'!$N$280:$Y$292,8,FALSE)/100)*'Calc (ex-housing, ex-storage)'!F591/100*VLOOKUP(D591,'DB technologies'!$N$280:$Y$292,11,FALSE)/100/VLOOKUP($C$589,'DB animal categories'!$C$211:$AC$220,27,FALSE)*AJ591,0))))</f>
        <v/>
      </c>
      <c r="AN591" s="442" t="str">
        <f>IF(AI591="","",IF(AL591=0,0,AL591/AK591*100))</f>
        <v/>
      </c>
      <c r="AO591" s="182" t="str">
        <f>IF(D591="","",IF(AI591=2,(('Calc (ex-animal)'!$L$110*'Calc (ex-housing, ex-storage)'!F591/100+'Calc (ex-animal)'!$K$110*'Calc (ex-housing, ex-storage)'!F591/100))/VLOOKUP($C$589,'DB animal categories'!$C$211:$AC$220,27,FALSE)*AJ591+Q591+R591+S591-AC591,IF(AI591=1,('Calc (ex-animal)'!$L$110*'Calc (ex-housing, ex-storage)'!F591/100)/VLOOKUP($C$589,'DB animal categories'!$C$211:$AC$220,27,FALSE)*AJ591-'Calc (ex-housing, ex-storage)'!AC591,IF(AI591=4,('Calc (ex-animal)'!$L$110+'Calc (ex-animal)'!$K$110)*'Calc (ex-housing, ex-storage)'!F591/100*VLOOKUP(D591,'DB technologies'!$N$280:$Y$292,11,FALSE)/100/VLOOKUP($C$589,'DB animal categories'!$C$211:$AC$220,27,FALSE)*AJ591-AC591*VLOOKUP(D591,'DB technologies'!$N$280:$Y$292,11,FALSE)/100,0))))</f>
        <v/>
      </c>
      <c r="AP591" s="182" t="str">
        <f>IF(D591="","",IF(AO591&lt;-0.01,0,IF(AI591=2,(('Calc (ex-animal)'!$L$110*'Calc (ex-housing, ex-storage)'!F591/100+'Calc (ex-animal)'!$K$110*'Calc (ex-housing, ex-storage)'!F591/100))/VLOOKUP($C$589,'DB animal categories'!$C$211:$AC$220,27,FALSE)*AJ591+Q591+R591+S591-AC591,IF(AI591=1,('Calc (ex-animal)'!$L$110*'Calc (ex-housing, ex-storage)'!F591/100)/VLOOKUP($C$589,'DB animal categories'!$C$211:$AC$220,27,FALSE)*AJ591-'Calc (ex-housing, ex-storage)'!AC591,IF(AI591=4,('Calc (ex-animal)'!$L$110+'Calc (ex-animal)'!$K$110)*'Calc (ex-housing, ex-storage)'!F591/100*VLOOKUP(D591,'DB technologies'!$N$280:$Y$292,11,FALSE)/100/VLOOKUP($C$589,'DB animal categories'!$C$211:$AC$220,27,FALSE)*AJ591-AC591*VLOOKUP(D591,'DB technologies'!$N$280:$Y$292,11,FALSE)/100,0)))))</f>
        <v/>
      </c>
      <c r="AQ591" s="182" t="str">
        <f>IF(D591="","",IF(AI591=2,('Calc (ex-animal)'!$O$110*'Calc (ex-housing, ex-storage)'!F591/100+'Calc (ex-animal)'!$N$110*'Calc (ex-housing, ex-storage)'!F591/100)/VLOOKUP($C$589,'DB animal categories'!$C$211:$AC$220,27,FALSE)*AJ591+U591+V591+W591,IF(AI591=1,'Calc (ex-animal)'!$O$110*'Calc (ex-housing, ex-storage)'!F591/100/VLOOKUP($C$589,'DB animal categories'!$C$211:$AC$220,27,FALSE)*AJ591,IF(AI591=4,('Calc (ex-animal)'!$O$110+'Calc (ex-animal)'!$N$110)*'Calc (ex-housing, ex-storage)'!F591/100*VLOOKUP(D591,'DB technologies'!$N$280:$Y$292,11,FALSE)/100/VLOOKUP($C$589,'DB animal categories'!$C$211:$AC$220,27,FALSE)*AJ591,0))))</f>
        <v/>
      </c>
      <c r="AR591" s="182" t="str">
        <f>IF(D591="","",IF(AI591=2,('Calc (ex-animal)'!$R$110*'Calc (ex-housing, ex-storage)'!F591/100+'Calc (ex-animal)'!$Q$110*'Calc (ex-housing, ex-storage)'!F591/100)/VLOOKUP($C$589,'DB animal categories'!$C$211:$AC$220,27,FALSE)*AJ591+Y591+Z591+AA591,IF(AI591=1,'Calc (ex-animal)'!$R$110*'Calc (ex-housing, ex-storage)'!F591/100/VLOOKUP($C$589,'DB animal categories'!$C$211:$AC$220,27,FALSE)*AJ591,IF(AI591=4,('Calc (ex-animal)'!$R$110+'Calc (ex-animal)'!$Q$110)*'Calc (ex-housing, ex-storage)'!F591/100*VLOOKUP(D591,'DB technologies'!$N$280:$Y$292,11,FALSE)/100/VLOOKUP($C$589,'DB animal categories'!$C$211:$AC$220,27,FALSE)*AJ591,0))))</f>
        <v/>
      </c>
      <c r="AS591" s="181" t="str">
        <f>IF(D591="","",VLOOKUP(D591,'DB technologies'!$N$280:$Y$292,10,FALSE))</f>
        <v/>
      </c>
      <c r="AT591" s="442" t="str">
        <f>IF(AS591="","",AU591+AV591)</f>
        <v/>
      </c>
      <c r="AU591" s="442" t="str">
        <f>IF(D591="","",IF(AS591=2,0,IF(AS591=1,'Calc (ex-animal)'!$G$110*'DB additional information '!$K$23/100*(1-VLOOKUP(D591,'DB technologies'!$N$280:$Y$292,8,FALSE)/100)*'Calc (ex-housing, ex-storage)'!F591/100/VLOOKUP($C$589,'DB animal categories'!$C$211:$AC$220,27,FALSE)*AJ591+I591+J591+K591,IF(AS591=5,(('Calc (ex-animal)'!$G$110*'DB additional information '!$K$23/100+'Calc (ex-animal)'!$H$110*'DB additional information '!$L$23/100))*(1-VLOOKUP(D591,'DB technologies'!$N$280:$Y$292,9,FALSE)/100)*'Calc (ex-housing, ex-storage)'!F591/100/VLOOKUP($C$589,'DB animal categories'!$C$211:$AC$220,27,FALSE)*AJ591+I591+J591+K591,IF(AS591=3,('Calc (ex-animal)'!$G$110*'DB additional information '!$K$23/100+'Calc (ex-animal)'!$H$110*'DB additional information '!$L$23/100)*(1-VLOOKUP(D591,'DB technologies'!$N$280:$Y$292,9,FALSE)/100)*'Calc (ex-housing, ex-storage)'!F591/100/VLOOKUP($C$589,'DB animal categories'!$C$211:$AC$220,27,FALSE)*AJ591+I591+J591+K591,IF(AS591=4,('Calc (ex-animal)'!$G$110*'DB additional information '!$K$23/100+'Calc (ex-animal)'!$H$110*'DB additional information '!$L$23/100)*(1-VLOOKUP(D591,'DB technologies'!$N$280:$Y$292,9,FALSE)/100)*'Calc (ex-housing, ex-storage)'!F591/100*VLOOKUP(D591,'DB technologies'!$N$280:$Y$292,12,FALSE)/100/VLOOKUP($C$589,'DB animal categories'!$C$211:$AC$220,27,FALSE)*AJ591+I591+J591+K591,0))))))</f>
        <v/>
      </c>
      <c r="AV591" s="442" t="str">
        <f>IF(D591="","",IF(AS591=2,0,IF(AS591=1,'Calc (ex-animal)'!$G$110*(1-'DB additional information '!$K$23/100)*(1-VLOOKUP(D591,'DB technologies'!$N$280:$Y$292,8,FALSE)/100)*'Calc (ex-housing, ex-storage)'!F591/100/VLOOKUP($C$589,'DB animal categories'!$C$211:$AC$220,27,FALSE)*AJ591+M591+N591+O591,IF(AS591=5,('Calc (ex-animal)'!$G$110*(1-'DB additional information '!$K$23/100)+'Calc (ex-animal)'!$H$110*(1-'DB additional information '!$L$23/100))*(1-VLOOKUP(D591,'DB technologies'!$N$280:$Y$292,8,FALSE)/100)*'Calc (ex-housing, ex-storage)'!F591/100/VLOOKUP($C$589,'DB animal categories'!$C$211:$AC$220,27,FALSE)*AJ591+M591+N591+O591,IF(AS591=3,('Calc (ex-animal)'!$G$110*(1-'DB additional information '!$K$23/100)+'Calc (ex-animal)'!$H$110*(1-'DB additional information '!$L$23/100))*(1-VLOOKUP(D591,'DB technologies'!$N$280:$Y$292,8,FALSE)/100)*'Calc (ex-housing, ex-storage)'!F591/100/VLOOKUP($C$589,'DB animal categories'!$C$211:$AC$220,27,FALSE)*AJ591+M591+N591+O591,IF(AS591=4,('Calc (ex-animal)'!$G$110*(1-'DB additional information '!$K$23/100)+'Calc (ex-animal)'!$H$110*(1-'DB additional information '!$L$23/100))*(1-VLOOKUP(D591,'DB technologies'!$N$280:$Y$292,8,FALSE)/100)*'Calc (ex-housing, ex-storage)'!F591/100*VLOOKUP(D591,'DB technologies'!$N$280:$Y$292,12,FALSE)/100/VLOOKUP($C$589,'DB animal categories'!$C$211:$AC$220,27,FALSE)*AJ591+M591+N591+O591,0))))))</f>
        <v/>
      </c>
      <c r="AW591" s="442" t="str">
        <f>IF(AS591="","",IF(AU591=0,0,AU591/AT591*100))</f>
        <v/>
      </c>
      <c r="AX591" s="182" t="str">
        <f>IF(D591="","",IF(AS591=2,0,IF(AS591=1,'Calc (ex-animal)'!$K$110*'Calc (ex-housing, ex-storage)'!F591/100/VLOOKUP($C$589,'DB animal categories'!$C$211:$AC$220,27,FALSE)*AJ591+Q591+R591+S591,IF(AS591=5,('Calc (ex-animal)'!$K$110+'Calc (ex-animal)'!$L$110)*'Calc (ex-housing, ex-storage)'!F591/100/VLOOKUP($C$589,'DB animal categories'!$C$211:$AC$220,27,FALSE)*AJ591+Q591+R591+S591-'Calc (ex-housing, ex-storage)'!AC591,IF(AS591=3,('Calc (ex-animal)'!$K$110+'Calc (ex-animal)'!$L$110)*'Calc (ex-housing, ex-storage)'!F591/100/VLOOKUP($C$589,'DB animal categories'!$C$211:$AC$220,27,FALSE)*AJ591+Q591+R591+S591-'Calc (ex-housing, ex-storage)'!AC591-AD591-AE591,IF(AI591=4,('Calc (ex-animal)'!$K$110+'Calc (ex-animal)'!$L$110)*'Calc (ex-housing, ex-storage)'!F591/100*VLOOKUP(D591,'DB technologies'!$N$280:$Y$292,12,FALSE)/100/VLOOKUP($C$589,'DB animal categories'!$C$211:$AC$220,27,FALSE)*AJ591+Q591+R591+S591-(VLOOKUP(D591,'DB technologies'!$N$280:$Y$292,12,FALSE)/100*AC591)-AD591-AE591,0))))))</f>
        <v/>
      </c>
      <c r="AY591" s="182" t="str">
        <f>IF(D591="","",IF(AS591=2,0,IF(AS591=1,'Calc (ex-animal)'!$N$110*'Calc (ex-housing, ex-storage)'!F591/100/VLOOKUP($C$589,'DB animal categories'!$C$211:$AC$220,27,FALSE)*AJ591+U591+V591+W591,IF(AS591=5,('Calc (ex-animal)'!$N$110+'Calc (ex-animal)'!$O$110)*'Calc (ex-housing, ex-storage)'!F591/100/VLOOKUP($C$589,'DB animal categories'!$C$211:$AC$220,27,FALSE)*AJ591+U591+V591+W591,IF(AS591=3,('Calc (ex-animal)'!$N$110+'Calc (ex-animal)'!$O$110)*'Calc (ex-housing, ex-storage)'!F591/100/VLOOKUP($C$589,'DB animal categories'!$C$211:$AC$220,27,FALSE)*AJ591+U591+V591+W591,IF(AS591=4,('Calc (ex-animal)'!$N$110+'Calc (ex-animal)'!$O$110)*'Calc (ex-housing, ex-storage)'!F591/100*VLOOKUP(D591,'DB technologies'!$N$280:$Y$292,12,FALSE)/100/VLOOKUP($C$589,'DB animal categories'!$C$211:$AC$220,27,FALSE)*AJ591+U591+V591+W591,0))))))</f>
        <v/>
      </c>
      <c r="AZ591" s="182" t="str">
        <f>IF(D591="","",IF(AS591=2,0,IF(AS591=1,'Calc (ex-animal)'!$Q$110*'Calc (ex-housing, ex-storage)'!F591/100/VLOOKUP($C$589,'DB animal categories'!$C$211:$AC$220,27,FALSE)*AJ591+Y591+Z591+AA591,IF(AS591=5,('Calc (ex-animal)'!$Q$110+'Calc (ex-animal)'!$R$110)*'Calc (ex-housing, ex-storage)'!F591/100/VLOOKUP($C$589,'DB animal categories'!$C$211:$AC$220,27,FALSE)*AJ591+Y591+Z591+AA591,IF(AS591=3,('Calc (ex-animal)'!$Q$110+'Calc (ex-animal)'!$R$110)*'Calc (ex-housing, ex-storage)'!F591/100/VLOOKUP($C$589,'DB animal categories'!$C$211:$AC$220,27,FALSE)*AJ591+Y591+Z591+AA591,IF(AS591=4,('Calc (ex-animal)'!$Q$110+'Calc (ex-animal)'!$R$110)*'Calc (ex-housing, ex-storage)'!F591/100*VLOOKUP(D591,'DB technologies'!$N$280:$Y$292,12,FALSE)/100/VLOOKUP($C$589,'DB animal categories'!$C$211:$AC$220,27,FALSE)*AJ591+Y591+Z591+AA591,0))))))</f>
        <v/>
      </c>
      <c r="BA591" s="506"/>
      <c r="BB591" s="506"/>
      <c r="BC591" s="506"/>
    </row>
    <row r="592" spans="1:55" x14ac:dyDescent="0.2">
      <c r="A592" s="748"/>
      <c r="B592" s="695"/>
      <c r="C592" s="251"/>
      <c r="D592" s="1357"/>
      <c r="E592" s="1358"/>
      <c r="F592" s="480" t="str">
        <f>IF('Calc (ex-animal)'!$F$108=1,"",IF($C$589=0,"",IF(D592="","",E592/'Calc (ex-animal)'!$E$110*100)))</f>
        <v/>
      </c>
      <c r="G592" s="485" t="str">
        <f>IF($C$589=0,"",IF('Calc (ex-animal)'!$F$108=1,"",IF(D592="","",SUM(H592:O592))))</f>
        <v/>
      </c>
      <c r="H592" s="423" t="str">
        <f>IF('Calc (ex-animal)'!$F$108=1,"",IF(D592="","",(((VLOOKUP($C$589,'Calc (ex-animal)'!$D$108:$Y$112,6,FALSE)-VLOOKUP($C$589,'Calc (ex-animal)'!$D$108:$Y$112,17,FALSE))*F592/100))*VLOOKUP($C$589,'Calc (ex-animal)'!$D$108:$Y$112,7,FALSE)/100*(1-VLOOKUP(D592,'DB technologies'!$N$280:$Y$292,9,FALSE)/100)))</f>
        <v/>
      </c>
      <c r="I592" s="423" t="str">
        <f>IF(D592="","",((VLOOKUP(D592,'DB technologies'!$N$280:$Y$292,2,FALSE)*VLOOKUP($C$589,'DB animal categories'!$C$211:$AC$220,27,FALSE)*E592/1000)/VLOOKUP($C$589,'DB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'!$S$6/100*(1-VLOOKUP(D592,'DB technologies'!$N$280:$Y$292,9,FALSE)/100)))</f>
        <v/>
      </c>
      <c r="J592" s="434" t="str">
        <f>IF(D592="","",((VLOOKUP(D592,'DB technologies'!$N$280:$Y$292,3,FALSE)*VLOOKUP($C$589,'DB animal categories'!$C$211:$AC$220,27,FALSE)*E592/1000)/VLOOKUP($C$589,'DB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'!$S$7/100*(1-VLOOKUP(D592,'DB technologies'!$N$280:$Y$292,9,FALSE)/100)))</f>
        <v/>
      </c>
      <c r="K592" s="434" t="str">
        <f>IF(D592="","",((VLOOKUP(D592,'DB technologies'!$N$280:$Y$292,4,FALSE)*E592*'DB additional information '!$S$8/100*(1-VLOOKUP(D592,'DB technologies'!$N$280:$Y$292,9,FALSE)/100))/VLOOKUP($C$589,'DB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L592" s="423" t="str">
        <f>IF('Calc (ex-animal)'!$F$108=1,"",IF(D592="","",(((VLOOKUP($C$589,'Calc (ex-animal)'!$D$108:$Y$112,6,FALSE)-VLOOKUP($C$589,'Calc (ex-animal)'!$D$108:$Y$112,17,FALSE))*F592/100))*(1-VLOOKUP($C$589,'Calc (ex-animal)'!$D$108:$Y$112,7,FALSE)/100)*(1-VLOOKUP(D592,'DB technologies'!$N$280:$V$292,8,FALSE)/100)))</f>
        <v/>
      </c>
      <c r="M592" s="434" t="str">
        <f>IF(D592="","",((VLOOKUP(D592,'DB technologies'!$N$280:$Y$292,2,FALSE)*VLOOKUP($C$589,'DB animal categories'!$C$211:$AC$220,27,FALSE)*E592/1000)/VLOOKUP($C$589,'DB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'!$S$6/100)*(1-VLOOKUP(D592,'DB technologies'!$N$280:$Y$292,9,FALSE)/100))</f>
        <v/>
      </c>
      <c r="N592" s="434" t="str">
        <f>IF(D592="","",((VLOOKUP(D592,'DB technologies'!$N$280:$Y$292,3,FALSE)*VLOOKUP($C$589,'DB animal categories'!$C$211:$AC$220,27,FALSE)*E592/1000)/VLOOKUP($C$589,'DB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'!$S$7/100)*(1-VLOOKUP(D592,'DB technologies'!$N$280:$Y$292,9,FALSE)/100))</f>
        <v/>
      </c>
      <c r="O592" s="423" t="str">
        <f>IF(D592="","",((VLOOKUP(D592,'DB technologies'!$N$280:$Y$292,4,FALSE)*E592*(1-'DB additional information '!$S$8/100)*(1-VLOOKUP(D592,'DB technologies'!$N$280:$Y$292,8,FALSE)/100))/VLOOKUP($C$589,'DB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P592" s="438" t="str">
        <f>IF(G592=0,0,IF(E592="","",IF(F592="","",IF($C$589=0,"",IF(D592="","",SUM(H592:K592)/G592*100)))))</f>
        <v/>
      </c>
      <c r="Q592" s="416" t="str">
        <f>IF(D592="","",(VLOOKUP(D592,'DB technologies'!$N$280:$Y$292,2,FALSE)*'DB additional information '!$S$6/100*'DB additional information '!$T$6*VLOOKUP($C$589,'DB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R592" s="416" t="str">
        <f>IF(D592="","",(VLOOKUP(D592,'DB technologies'!$N$280:$Y$292,3,FALSE)*'DB additional information '!$S$7/100*'DB additional information '!$T$7*VLOOKUP($C$589,'DB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S592" s="491" t="str">
        <f>IF(D592="","",(VLOOKUP(D592,'DB technologies'!$N$280:$Y$292,4,FALSE)*('DB additional information '!$S$8/100*'DB additional information '!$T$8*E592/1000/1000)))</f>
        <v/>
      </c>
      <c r="T592" s="264" t="str">
        <f>IF($C$589=0,"",IF('Calc (ex-animal)'!$F$108=1,"",IF(D592="","",((VLOOKUP($C$589,'Calc (ex-animal)'!$D$108:$Y$112,10,FALSE)-VLOOKUP($C$589,'Calc (ex-animal)'!$D$108:$Y$112,18,FALSE))*F592/100+Q592+R592+S592)-AC592-AD592-AE592)))</f>
        <v/>
      </c>
      <c r="U592" s="422" t="str">
        <f>IF(D592="","",(VLOOKUP(D592,'DB technologies'!$N$280:$Y$292,2,FALSE)*'DB additional information '!$S$6/100*'DB additional information '!$U$6*VLOOKUP($C$589,'DB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V592" s="418" t="str">
        <f>IF(D592="","",(VLOOKUP(D592,'DB technologies'!$N$280:$Y$292,3,FALSE)*'DB additional information '!$S$7/100*'DB additional information '!$U$7*VLOOKUP($C$589,'DB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W592" s="417" t="str">
        <f>IF(D592="","",(VLOOKUP(D592,'DB technologies'!$N$280:$Y$292,4,FALSE)*('DB additional information '!$S$8/100*'DB additional information '!$U$8*E592/1000/1000)))</f>
        <v/>
      </c>
      <c r="X592" s="261" t="str">
        <f>IF($C$589=0,"",IF('Calc (ex-animal)'!$F$108=1,"",IF(D592="","",((VLOOKUP($C$589,'Calc (ex-animal)'!$D$108:$Y$112,13,FALSE)-VLOOKUP($C$589,'Calc (ex-animal)'!$D$108:$Y$112,19,FALSE))*F592/100+U592+V592+W592))))</f>
        <v/>
      </c>
      <c r="Y592" s="418" t="str">
        <f>IF(D592="","",(VLOOKUP(D592,'DB technologies'!$N$280:$Y$292,2,FALSE)*'DB additional information '!$S$6/100*'DB additional information '!$V$6*VLOOKUP($C$589,'DB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Z592" s="418" t="str">
        <f>IF(D592="","",(VLOOKUP(D592,'DB technologies'!$N$280:$Y$292,3,FALSE)*'DB additional information '!$S$7/100*'DB additional information '!$V$7*VLOOKUP($C$589,'DB animal categories'!$C$211:$AC$220,27,FALSE)*E592/1000/1000)/VLOOKUP($C$589,'DB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AA592" s="418" t="str">
        <f>IF(D592="","",(VLOOKUP(D592,'DB technologies'!$N$280:$Y$292,4,FALSE)*('DB additional information '!$S$8/100*'DB additional information '!$V$8*E592/1000/1000)))</f>
        <v/>
      </c>
      <c r="AB592" s="261" t="str">
        <f>IF($C$589=0,"",IF('Calc (ex-animal)'!$F$108=1,"",IF(D592="","",((VLOOKUP($C$589,'Calc (ex-animal)'!$D$108:$Y$112,16,FALSE)-VLOOKUP($C$589,'Calc (ex-animal)'!$D$108:$Y$112,20,FALSE))*F592/100+Y592+Z592+AA592))))</f>
        <v/>
      </c>
      <c r="AC592" s="261" t="str">
        <f>IF($C$589=0,"",IF('Calc (ex-animal)'!$F$108=1,"",IF(D592="","",VLOOKUP($C$589,'Calc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categories'!$C$211:$AC$220,26,FALSE)/24)*F592/100*VLOOKUP(D592,'DB technologies'!$N$280:$R$292,5,FALSE)/100)))</f>
        <v/>
      </c>
      <c r="AD592" s="261" t="str">
        <f>IF($C$589=0,"",IF('Calc (ex-animal)'!$F$108=1,"",IF(D592="","",VLOOKUP($C$589,'Calc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categories'!$C$211:$AC$220,26,FALSE)/24)*F592/100*VLOOKUP(D592,'DB technologies'!$N$280:$Y$292,6,FALSE)/100)))</f>
        <v/>
      </c>
      <c r="AE592" s="262" t="str">
        <f>IF($C$589=0,"",IF('Calc (ex-animal)'!$F$108=1,"",IF(D592="","",VLOOKUP($C$589,'Calc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categories'!$C$211:$AC$220,26,FALSE)/24)*F592/100*VLOOKUP(D592,'DB technologies'!$N$280:$Y$292,7,FALSE)/100)))</f>
        <v/>
      </c>
      <c r="AI592" s="181" t="str">
        <f>IF(D592="","",VLOOKUP(D592,'DB technologies'!$N$280:$Y$292,10,FALSE))</f>
        <v/>
      </c>
      <c r="AJ592" s="449" t="e">
        <f>VLOOKUP($C$589,'DB animal categories'!$C$211:$AN$220,27,FALSE)-VLOOKUP($C$589,'DB animal categories'!$C$211:$AN$220,26,FALSE)*VLOOKUP($C$589,'DB animal categories'!$C$211:$AN$220,25,FALSE)/24</f>
        <v>#N/A</v>
      </c>
      <c r="AK592" s="442" t="str">
        <f>IF(AI592="","",AL592+AM592)</f>
        <v/>
      </c>
      <c r="AL592" s="442" t="str">
        <f>IF(D592="","",IF(AI592=2,(('Calc (ex-animal)'!$G$110*'DB additional information '!$K$23/100*(1-VLOOKUP(D592,'DB technologies'!$N$280:$Y$292,9,FALSE)/100)*'Calc (ex-housing, ex-storage)'!F592/100+'Calc (ex-animal)'!$H$110*'DB additional information '!$L$23/100*(1-VLOOKUP(D592,'DB technologies'!$N$280:$Y$292,9,FALSE)/100)*'Calc (ex-housing, ex-storage)'!F592/100))/VLOOKUP($C$589,'DB animal categories'!$C$211:$AC$220,27,FALSE)*AJ592+I592+J592+K592,IF(AI592=1,('Calc (ex-animal)'!$H$110*'DB additional information '!$L$23/100*(1-VLOOKUP(D592,'DB technologies'!$N$280:$Y$292,9,FALSE)/100)*'Calc (ex-housing, ex-storage)'!F592/100)/VLOOKUP($C$589,'DB animal categories'!$C$211:$AC$220,27,FALSE)*AJ592,IF(AI592=4,('Calc (ex-animal)'!$G$110*'DB additional information '!$K$23/100+'Calc (ex-animal)'!$H$110*'DB additional information '!$L$23/100)*(1-VLOOKUP(D592,'DB technologies'!$N$280:$Y$292,9,FALSE)/100)*'Calc (ex-housing, ex-storage)'!F592/100*VLOOKUP(D592,'DB technologies'!$N$280:$Y$292,11,FALSE)/100/VLOOKUP($C$589,'DB animal categories'!$C$211:$AC$220,27,FALSE)*AJ592,0))))</f>
        <v/>
      </c>
      <c r="AM592" s="442" t="str">
        <f>IF(D592="","",IF(AI592=2,(('Calc (ex-animal)'!$G$110*(1-'DB additional information '!$K$23/100)*(1-VLOOKUP(D592,'DB technologies'!$N$280:$Y$292,8,FALSE)/100)*'Calc (ex-housing, ex-storage)'!F592/100+'Calc (ex-animal)'!$H$110*(1-'DB additional information '!$L$23/100)*(1-VLOOKUP(D592,'DB technologies'!$N$280:$Y$292,8,FALSE)/100)*'Calc (ex-housing, ex-storage)'!F592/100))/VLOOKUP($C$589,'DB animal categories'!$C$211:$AC$220,27,FALSE)*AJ592+M592+N592+O592,IF(AI592=1,('Calc (ex-animal)'!$H$110*(1-'DB additional information '!$L$23/100)*(1-VLOOKUP(D592,'DB technologies'!$N$280:$Y$292,8,FALSE)/100)*'Calc (ex-housing, ex-storage)'!F592/100)/VLOOKUP($C$589,'DB animal categories'!$C$211:$AC$220,27,FALSE)*AJ592,IF(AI592=4,('Calc (ex-animal)'!$G$110*(1-'DB additional information '!$K$23/100)+'Calc (ex-animal)'!$H$110*(1-'DB additional information '!$L$23/100))*(1-VLOOKUP(D592,'DB technologies'!$N$280:$Y$292,8,FALSE)/100)*'Calc (ex-housing, ex-storage)'!F592/100*VLOOKUP(D592,'DB technologies'!$N$280:$Y$292,11,FALSE)/100/VLOOKUP($C$589,'DB animal categories'!$C$211:$AC$220,27,FALSE)*AJ592,0))))</f>
        <v/>
      </c>
      <c r="AN592" s="442" t="str">
        <f>IF(AI592="","",IF(AL592=0,0,AL592/AK592*100))</f>
        <v/>
      </c>
      <c r="AO592" s="182" t="str">
        <f>IF(D592="","",IF(AI592=2,(('Calc (ex-animal)'!$L$110*'Calc (ex-housing, ex-storage)'!F592/100+'Calc (ex-animal)'!$K$110*'Calc (ex-housing, ex-storage)'!F592/100))/VLOOKUP($C$589,'DB animal categories'!$C$211:$AC$220,27,FALSE)*AJ592+Q592+R592+S592-AC592,IF(AI592=1,('Calc (ex-animal)'!$L$110*'Calc (ex-housing, ex-storage)'!F592/100)/VLOOKUP($C$589,'DB animal categories'!$C$211:$AC$220,27,FALSE)*AJ592-'Calc (ex-housing, ex-storage)'!AC592,IF(AI592=4,('Calc (ex-animal)'!$L$110+'Calc (ex-animal)'!$K$110)*'Calc (ex-housing, ex-storage)'!F592/100*VLOOKUP(D592,'DB technologies'!$N$280:$Y$292,11,FALSE)/100/VLOOKUP($C$589,'DB animal categories'!$C$211:$AC$220,27,FALSE)*AJ592-AC592*VLOOKUP(D592,'DB technologies'!$N$280:$Y$292,11,FALSE)/100,0))))</f>
        <v/>
      </c>
      <c r="AP592" s="182" t="str">
        <f>IF(D592="","",IF(AO592&lt;-0.01,0,IF(AI592=2,(('Calc (ex-animal)'!$L$110*'Calc (ex-housing, ex-storage)'!F592/100+'Calc (ex-animal)'!$K$110*'Calc (ex-housing, ex-storage)'!F592/100))/VLOOKUP($C$589,'DB animal categories'!$C$211:$AC$220,27,FALSE)*AJ592+Q592+R592+S592-AC592,IF(AI592=1,('Calc (ex-animal)'!$L$110*'Calc (ex-housing, ex-storage)'!F592/100)/VLOOKUP($C$589,'DB animal categories'!$C$211:$AC$220,27,FALSE)*AJ592-'Calc (ex-housing, ex-storage)'!AC592,IF(AI592=4,('Calc (ex-animal)'!$L$110+'Calc (ex-animal)'!$K$110)*'Calc (ex-housing, ex-storage)'!F592/100*VLOOKUP(D592,'DB technologies'!$N$280:$Y$292,11,FALSE)/100/VLOOKUP($C$589,'DB animal categories'!$C$211:$AC$220,27,FALSE)*AJ592-AC592*VLOOKUP(D592,'DB technologies'!$N$280:$Y$292,11,FALSE)/100,0)))))</f>
        <v/>
      </c>
      <c r="AQ592" s="182" t="str">
        <f>IF(D592="","",IF(AI592=2,('Calc (ex-animal)'!$O$110*'Calc (ex-housing, ex-storage)'!F592/100+'Calc (ex-animal)'!$N$110*'Calc (ex-housing, ex-storage)'!F592/100)/VLOOKUP($C$589,'DB animal categories'!$C$211:$AC$220,27,FALSE)*AJ592+U592+V592+W592,IF(AI592=1,'Calc (ex-animal)'!$O$110*'Calc (ex-housing, ex-storage)'!F592/100/VLOOKUP($C$589,'DB animal categories'!$C$211:$AC$220,27,FALSE)*AJ592,IF(AI592=4,('Calc (ex-animal)'!$O$110+'Calc (ex-animal)'!$N$110)*'Calc (ex-housing, ex-storage)'!F592/100*VLOOKUP(D592,'DB technologies'!$N$280:$Y$292,11,FALSE)/100/VLOOKUP($C$589,'DB animal categories'!$C$211:$AC$220,27,FALSE)*AJ592,0))))</f>
        <v/>
      </c>
      <c r="AR592" s="182" t="str">
        <f>IF(D592="","",IF(AI592=2,('Calc (ex-animal)'!$R$110*'Calc (ex-housing, ex-storage)'!F592/100+'Calc (ex-animal)'!$Q$110*'Calc (ex-housing, ex-storage)'!F592/100)/VLOOKUP($C$589,'DB animal categories'!$C$211:$AC$220,27,FALSE)*AJ592+Y592+Z592+AA592,IF(AI592=1,'Calc (ex-animal)'!$R$110*'Calc (ex-housing, ex-storage)'!F592/100/VLOOKUP($C$589,'DB animal categories'!$C$211:$AC$220,27,FALSE)*AJ592,IF(AI592=4,('Calc (ex-animal)'!$R$110+'Calc (ex-animal)'!$Q$110)*'Calc (ex-housing, ex-storage)'!F592/100*VLOOKUP(D592,'DB technologies'!$N$280:$Y$292,11,FALSE)/100/VLOOKUP($C$589,'DB animal categories'!$C$211:$AC$220,27,FALSE)*AJ592,0))))</f>
        <v/>
      </c>
      <c r="AS592" s="181" t="str">
        <f>IF(D592="","",VLOOKUP(D592,'DB technologies'!$N$280:$Y$292,10,FALSE))</f>
        <v/>
      </c>
      <c r="AT592" s="442" t="str">
        <f>IF(AS592="","",AU592+AV592)</f>
        <v/>
      </c>
      <c r="AU592" s="442" t="str">
        <f>IF(D592="","",IF(AS592=2,0,IF(AS592=1,'Calc (ex-animal)'!$G$110*'DB additional information '!$K$23/100*(1-VLOOKUP(D592,'DB technologies'!$N$280:$Y$292,8,FALSE)/100)*'Calc (ex-housing, ex-storage)'!F592/100/VLOOKUP($C$589,'DB animal categories'!$C$211:$AC$220,27,FALSE)*AJ592+I592+J592+K592,IF(AS592=5,(('Calc (ex-animal)'!$G$110*'DB additional information '!$K$23/100+'Calc (ex-animal)'!$H$110*'DB additional information '!$L$23/100))*(1-VLOOKUP(D592,'DB technologies'!$N$280:$Y$292,9,FALSE)/100)*'Calc (ex-housing, ex-storage)'!F592/100/VLOOKUP($C$589,'DB animal categories'!$C$211:$AC$220,27,FALSE)*AJ592+I592+J592+K592,IF(AS592=3,('Calc (ex-animal)'!$G$110*'DB additional information '!$K$23/100+'Calc (ex-animal)'!$H$110*'DB additional information '!$L$23/100)*(1-VLOOKUP(D592,'DB technologies'!$N$280:$Y$292,9,FALSE)/100)*'Calc (ex-housing, ex-storage)'!F592/100/VLOOKUP($C$589,'DB animal categories'!$C$211:$AC$220,27,FALSE)*AJ592+I592+J592+K592,IF(AS592=4,('Calc (ex-animal)'!$G$110*'DB additional information '!$K$23/100+'Calc (ex-animal)'!$H$110*'DB additional information '!$L$23/100)*(1-VLOOKUP(D592,'DB technologies'!$N$280:$Y$292,9,FALSE)/100)*'Calc (ex-housing, ex-storage)'!F592/100*VLOOKUP(D592,'DB technologies'!$N$280:$Y$292,12,FALSE)/100/VLOOKUP($C$589,'DB animal categories'!$C$211:$AC$220,27,FALSE)*AJ592+I592+J592+K592,0))))))</f>
        <v/>
      </c>
      <c r="AV592" s="442" t="str">
        <f>IF(D592="","",IF(AS592=2,0,IF(AS592=1,'Calc (ex-animal)'!$G$110*(1-'DB additional information '!$K$23/100)*(1-VLOOKUP(D592,'DB technologies'!$N$280:$Y$292,8,FALSE)/100)*'Calc (ex-housing, ex-storage)'!F592/100/VLOOKUP($C$589,'DB animal categories'!$C$211:$AC$220,27,FALSE)*AJ592+M592+N592+O592,IF(AS592=5,('Calc (ex-animal)'!$G$110*(1-'DB additional information '!$K$23/100)+'Calc (ex-animal)'!$H$110*(1-'DB additional information '!$L$23/100))*(1-VLOOKUP(D592,'DB technologies'!$N$280:$Y$292,8,FALSE)/100)*'Calc (ex-housing, ex-storage)'!F592/100/VLOOKUP($C$589,'DB animal categories'!$C$211:$AC$220,27,FALSE)*AJ592+M592+N592+O592,IF(AS592=3,('Calc (ex-animal)'!$G$110*(1-'DB additional information '!$K$23/100)+'Calc (ex-animal)'!$H$110*(1-'DB additional information '!$L$23/100))*(1-VLOOKUP(D592,'DB technologies'!$N$280:$Y$292,8,FALSE)/100)*'Calc (ex-housing, ex-storage)'!F592/100/VLOOKUP($C$589,'DB animal categories'!$C$211:$AC$220,27,FALSE)*AJ592+M592+N592+O592,IF(AS592=4,('Calc (ex-animal)'!$G$110*(1-'DB additional information '!$K$23/100)+'Calc (ex-animal)'!$H$110*(1-'DB additional information '!$L$23/100))*(1-VLOOKUP(D592,'DB technologies'!$N$280:$Y$292,8,FALSE)/100)*'Calc (ex-housing, ex-storage)'!F592/100*VLOOKUP(D592,'DB technologies'!$N$280:$Y$292,12,FALSE)/100/VLOOKUP($C$589,'DB animal categories'!$C$211:$AC$220,27,FALSE)*AJ592+M592+N592+O592,0))))))</f>
        <v/>
      </c>
      <c r="AW592" s="442" t="str">
        <f>IF(AS592="","",IF(AU592=0,0,AU592/AT592*100))</f>
        <v/>
      </c>
      <c r="AX592" s="182" t="str">
        <f>IF(D592="","",IF(AS592=2,0,IF(AS592=1,'Calc (ex-animal)'!$K$110*'Calc (ex-housing, ex-storage)'!F592/100/VLOOKUP($C$589,'DB animal categories'!$C$211:$AC$220,27,FALSE)*AJ592+Q592+R592+S592,IF(AS592=5,('Calc (ex-animal)'!$K$110+'Calc (ex-animal)'!$L$110)*'Calc (ex-housing, ex-storage)'!F592/100/VLOOKUP($C$589,'DB animal categories'!$C$211:$AC$220,27,FALSE)*AJ592+Q592+R592+S592-'Calc (ex-housing, ex-storage)'!AC592,IF(AS592=3,('Calc (ex-animal)'!$K$110+'Calc (ex-animal)'!$L$110)*'Calc (ex-housing, ex-storage)'!F592/100/VLOOKUP($C$589,'DB animal categories'!$C$211:$AC$220,27,FALSE)*AJ592+Q592+R592+S592-'Calc (ex-housing, ex-storage)'!AC592-AD592-AE592,IF(AI592=4,('Calc (ex-animal)'!$K$110+'Calc (ex-animal)'!$L$110)*'Calc (ex-housing, ex-storage)'!F592/100*VLOOKUP(D592,'DB technologies'!$N$280:$Y$292,12,FALSE)/100/VLOOKUP($C$589,'DB animal categories'!$C$211:$AC$220,27,FALSE)*AJ592+Q592+R592+S592-(VLOOKUP(D592,'DB technologies'!$N$280:$Y$292,12,FALSE)/100*AC592)-AD592-AE592,0))))))</f>
        <v/>
      </c>
      <c r="AY592" s="182" t="str">
        <f>IF(D592="","",IF(AS592=2,0,IF(AS592=1,'Calc (ex-animal)'!$N$110*'Calc (ex-housing, ex-storage)'!F592/100/VLOOKUP($C$589,'DB animal categories'!$C$211:$AC$220,27,FALSE)*AJ592+U592+V592+W592,IF(AS592=5,('Calc (ex-animal)'!$N$110+'Calc (ex-animal)'!$O$110)*'Calc (ex-housing, ex-storage)'!F592/100/VLOOKUP($C$589,'DB animal categories'!$C$211:$AC$220,27,FALSE)*AJ592+U592+V592+W592,IF(AS592=3,('Calc (ex-animal)'!$N$110+'Calc (ex-animal)'!$O$110)*'Calc (ex-housing, ex-storage)'!F592/100/VLOOKUP($C$589,'DB animal categories'!$C$211:$AC$220,27,FALSE)*AJ592+U592+V592+W592,IF(AS592=4,('Calc (ex-animal)'!$N$110+'Calc (ex-animal)'!$O$110)*'Calc (ex-housing, ex-storage)'!F592/100*VLOOKUP(D592,'DB technologies'!$N$280:$Y$292,12,FALSE)/100/VLOOKUP($C$589,'DB animal categories'!$C$211:$AC$220,27,FALSE)*AJ592+U592+V592+W592,0))))))</f>
        <v/>
      </c>
      <c r="AZ592" s="182" t="str">
        <f>IF(D592="","",IF(AS592=2,0,IF(AS592=1,'Calc (ex-animal)'!$Q$110*'Calc (ex-housing, ex-storage)'!F592/100/VLOOKUP($C$589,'DB animal categories'!$C$211:$AC$220,27,FALSE)*AJ592+Y592+Z592+AA592,IF(AS592=5,('Calc (ex-animal)'!$Q$110+'Calc (ex-animal)'!$R$110)*'Calc (ex-housing, ex-storage)'!F592/100/VLOOKUP($C$589,'DB animal categories'!$C$211:$AC$220,27,FALSE)*AJ592+Y592+Z592+AA592,IF(AS592=3,('Calc (ex-animal)'!$Q$110+'Calc (ex-animal)'!$R$110)*'Calc (ex-housing, ex-storage)'!F592/100/VLOOKUP($C$589,'DB animal categories'!$C$211:$AC$220,27,FALSE)*AJ592+Y592+Z592+AA592,IF(AS592=4,('Calc (ex-animal)'!$Q$110+'Calc (ex-animal)'!$R$110)*'Calc (ex-housing, ex-storage)'!F592/100*VLOOKUP(D592,'DB technologies'!$N$280:$Y$292,12,FALSE)/100/VLOOKUP($C$589,'DB animal categories'!$C$211:$AC$220,27,FALSE)*AJ592+Y592+Z592+AA592,0))))))</f>
        <v/>
      </c>
      <c r="BA592" s="506"/>
      <c r="BB592" s="506"/>
      <c r="BC592" s="506"/>
    </row>
    <row r="593" spans="1:55" ht="12" thickBot="1" x14ac:dyDescent="0.25">
      <c r="A593" s="748"/>
      <c r="B593" s="695"/>
      <c r="C593" s="251"/>
      <c r="D593" s="1359"/>
      <c r="E593" s="1360"/>
      <c r="F593" s="481" t="str">
        <f>IF('Calc (ex-animal)'!$F$108=1,"",IF($C$589=0,"",IF(D593="","",E593/'Calc (ex-animal)'!$E$110*100)))</f>
        <v/>
      </c>
      <c r="G593" s="483" t="str">
        <f>IF($C$589=0,"",IF('Calc (ex-animal)'!$F$108=1,"",IF(D593="","",SUM(H593:O593))))</f>
        <v/>
      </c>
      <c r="H593" s="445" t="str">
        <f>IF('Calc (ex-animal)'!$F$108=1,"",IF(D593="","",(((VLOOKUP($C$589,'Calc (ex-animal)'!$D$108:$Y$112,6,FALSE)-VLOOKUP($C$589,'Calc (ex-animal)'!$D$108:$Y$112,17,FALSE))*F593/100))*VLOOKUP($C$589,'Calc (ex-animal)'!$D$108:$Y$112,7,FALSE)/100*(1-VLOOKUP(D593,'DB technologies'!$N$280:$Y$292,9,FALSE)/100)))</f>
        <v/>
      </c>
      <c r="I593" s="445" t="str">
        <f>IF(D593="","",((VLOOKUP(D593,'DB technologies'!$N$280:$Y$292,2,FALSE)*VLOOKUP($C$589,'DB animal categories'!$C$211:$AC$220,27,FALSE)*E593/1000)/VLOOKUP($C$589,'DB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'!$S$6/100*(1-VLOOKUP(D593,'DB technologies'!$N$280:$Y$292,9,FALSE)/100)))</f>
        <v/>
      </c>
      <c r="J593" s="446" t="str">
        <f>IF(D593="","",((VLOOKUP(D593,'DB technologies'!$N$280:$Y$292,3,FALSE)*VLOOKUP($C$589,'DB animal categories'!$C$211:$AC$220,27,FALSE)*E593/1000)/VLOOKUP($C$589,'DB animal categories'!$C$211:$AC$220,27,FALSE)*(VLOOKUP($C$589,'DB animal categories'!$C$211:$AC$220,27,FALSE)-(VLOOKUP($C$589,'DB animal categories'!$C$211:$AC$220,25,FALSE)*VLOOKUP($C$589,'DB animal categories'!$C$211:$AC$220,26,FALSE)/24))*'DB additional information '!$S$7/100*(1-VLOOKUP(D593,'DB technologies'!$N$280:$Y$292,9,FALSE)/100)))</f>
        <v/>
      </c>
      <c r="K593" s="446" t="str">
        <f>IF(D593="","",((VLOOKUP(D593,'DB technologies'!$N$280:$Y$292,4,FALSE)*E593*'DB additional information '!$S$8/100*(1-VLOOKUP(D593,'DB technologies'!$N$280:$Y$292,9,FALSE)/100))/VLOOKUP($C$589,'DB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L593" s="445" t="str">
        <f>IF('Calc (ex-animal)'!$F$108=1,"",IF(D593="","",(((VLOOKUP($C$589,'Calc (ex-animal)'!$D$108:$Y$112,6,FALSE)-VLOOKUP($C$589,'Calc (ex-animal)'!$D$108:$Y$112,17,FALSE))*F593/100))*(1-VLOOKUP($C$589,'Calc (ex-animal)'!$D$108:$Y$112,7,FALSE)/100)*(1-VLOOKUP(D593,'DB technologies'!$N$280:$V$292,8,FALSE)/100)))</f>
        <v/>
      </c>
      <c r="M593" s="446" t="str">
        <f>IF(D593="","",((VLOOKUP(D593,'DB technologies'!$N$280:$Y$292,2,FALSE)*VLOOKUP($C$589,'DB animal categories'!$C$211:$AC$220,27,FALSE)*E593/1000)/VLOOKUP($C$589,'DB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'!$S$6/100)*(1-VLOOKUP(D593,'DB technologies'!$N$280:$Y$292,9,FALSE)/100))</f>
        <v/>
      </c>
      <c r="N593" s="446" t="str">
        <f>IF(D593="","",((VLOOKUP(D593,'DB technologies'!$N$280:$Y$292,3,FALSE)*VLOOKUP($C$589,'DB animal categories'!$C$211:$AC$220,27,FALSE)*E593/1000)/VLOOKUP($C$589,'DB animal categories'!$C$211:$AC$220,27,FALSE)*(VLOOKUP($C$589,'DB animal categories'!$C$211:$AC$220,27,FALSE)-VLOOKUP($C$589,'DB animal categories'!$C$211:$AC$220,25,FALSE)*VLOOKUP($C$589,'DB animal categories'!$C$211:$AC$220,26,FALSE)/24))*(1-'DB additional information '!$S$7/100)*(1-VLOOKUP(D593,'DB technologies'!$N$280:$Y$292,9,FALSE)/100))</f>
        <v/>
      </c>
      <c r="O593" s="445" t="str">
        <f>IF(D593="","",((VLOOKUP(D593,'DB technologies'!$N$280:$Y$292,4,FALSE)*E593*(1-'DB additional information '!$S$8/100)*(1-VLOOKUP(D593,'DB technologies'!$N$280:$Y$292,8,FALSE)/100))/VLOOKUP($C$589,'DB animal categories'!$C$211:$AC$220,27,FALSE)*(VLOOKUP($C$589,'DB animal categories'!$C$211:$AC$220,27,FALSE)-VLOOKUP($C$589,'DB animal categories'!$C$211:$AC$220,25,FALSE)*VLOOKUP($C$589,'DB animal categories'!$C$211:$AC$220,26,FALSE)/24)))</f>
        <v/>
      </c>
      <c r="P593" s="444" t="str">
        <f>IF(G593=0,0,IF(E593="","",IF(F593="","",IF($C$589=0,"",IF(D593="","",SUM(H593:K593)/G593*100)))))</f>
        <v/>
      </c>
      <c r="Q593" s="476" t="str">
        <f>IF(D593="","",(VLOOKUP(D593,'DB technologies'!$N$280:$Y$292,2,FALSE)*'DB additional information '!$S$6/100*'DB additional information '!$T$6*VLOOKUP($C$589,'DB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R593" s="476" t="str">
        <f>IF(D593="","",(VLOOKUP(D593,'DB technologies'!$N$280:$Y$292,3,FALSE)*'DB additional information '!$S$7/100*'DB additional information '!$T$7*VLOOKUP($C$589,'DB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S593" s="494" t="str">
        <f>IF(D593="","",(VLOOKUP(D593,'DB technologies'!$N$280:$Y$292,4,FALSE)*('DB additional information '!$S$8/100*'DB additional information '!$T$8*E593/1000/1000)))</f>
        <v/>
      </c>
      <c r="T593" s="266" t="str">
        <f>IF($C$589=0,"",IF('Calc (ex-animal)'!$F$108=1,"",IF(D593="","",((VLOOKUP($C$589,'Calc (ex-animal)'!$D$108:$Y$112,10,FALSE)-VLOOKUP($C$589,'Calc (ex-animal)'!$D$108:$Y$112,18,FALSE))*F593/100+Q593+R593+S593)-AC593-AD593-AE593)))</f>
        <v/>
      </c>
      <c r="U593" s="477" t="str">
        <f>IF(D593="","",(VLOOKUP(D593,'DB technologies'!$N$280:$Y$292,2,FALSE)*'DB additional information '!$S$6/100*'DB additional information '!$U$6*VLOOKUP($C$589,'DB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V593" s="433" t="str">
        <f>IF(D593="","",(VLOOKUP(D593,'DB technologies'!$N$280:$Y$292,3,FALSE)*'DB additional information '!$S$7/100*'DB additional information '!$U$7*VLOOKUP($C$589,'DB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W593" s="475" t="str">
        <f>IF(D593="","",(VLOOKUP(D593,'DB technologies'!$N$280:$Y$292,4,FALSE)*('DB additional information '!$S$8/100*'DB additional information '!$U$8*E593/1000/1000)))</f>
        <v/>
      </c>
      <c r="X593" s="267" t="str">
        <f>IF($C$589=0,"",IF('Calc (ex-animal)'!$F$108=1,"",IF(D593="","",((VLOOKUP($C$589,'Calc (ex-animal)'!$D$108:$Y$112,13,FALSE)-VLOOKUP($C$589,'Calc (ex-animal)'!$D$108:$Y$112,19,FALSE))*F593/100+U593+V593+W593))))</f>
        <v/>
      </c>
      <c r="Y593" s="433" t="str">
        <f>IF(D593="","",(VLOOKUP(D593,'DB technologies'!$N$280:$Y$292,2,FALSE)*'DB additional information '!$S$6/100*'DB additional information '!$V$6*VLOOKUP($C$589,'DB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Z593" s="433" t="str">
        <f>IF(D593="","",(VLOOKUP(D593,'DB technologies'!$N$280:$Y$292,3,FALSE)*'DB additional information '!$S$7/100*'DB additional information '!$V$7*VLOOKUP($C$589,'DB animal categories'!$C$211:$AC$220,27,FALSE)*E593/1000/1000)/VLOOKUP($C$589,'DB animal categories'!$C$211:$AC$220,27,FALSE)*(VLOOKUP($C$589,'DB animal categories'!$C$211:$AC$220,27,FALSE)-VLOOKUP($C$589,'DB animal categories'!$C$211:$AC$220,25,FALSE)*VLOOKUP($C$589,'DB animal categories'!$C$211:$AC$220,26,FALSE)/24))</f>
        <v/>
      </c>
      <c r="AA593" s="433" t="str">
        <f>IF(D593="","",(VLOOKUP(D593,'DB technologies'!$N$280:$Y$292,4,FALSE)*('DB additional information '!$S$8/100*'DB additional information '!$V$8*E593/1000/1000)))</f>
        <v/>
      </c>
      <c r="AB593" s="267" t="str">
        <f>IF($C$589=0,"",IF('Calc (ex-animal)'!$F$108=1,"",IF(D593="","",((VLOOKUP($C$589,'Calc (ex-animal)'!$D$108:$Y$112,16,FALSE)-VLOOKUP($C$589,'Calc (ex-animal)'!$D$108:$Y$112,20,FALSE))*F593/100+Y593+Z593+AA593))))</f>
        <v/>
      </c>
      <c r="AC593" s="267" t="str">
        <f>IF($C$589=0,"",IF('Calc (ex-animal)'!$F$108=1,"",IF(D593="","",VLOOKUP($C$589,'Calc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categories'!$C$211:$AC$220,26,FALSE)/24)*F593/100*VLOOKUP(D593,'DB technologies'!$N$280:$R$292,5,FALSE)/100)))</f>
        <v/>
      </c>
      <c r="AD593" s="267" t="str">
        <f>IF($C$589=0,"",IF('Calc (ex-animal)'!$F$108=1,"",IF(D593="","",VLOOKUP($C$589,'Calc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categories'!$C$211:$AC$220,26,FALSE)/24)*F593/100*VLOOKUP(D593,'DB technologies'!$N$280:$Y$292,6,FALSE)/100)))</f>
        <v/>
      </c>
      <c r="AE593" s="268" t="str">
        <f>IF($C$589=0,"",IF('Calc (ex-animal)'!$F$108=1,"",IF(D593="","",VLOOKUP($C$589,'Calc (ex-animal)'!$D$108:$Y$112,10,FALSE)/VLOOKUP($C$589,'DB animal categories'!$C$211:$AC$220,27,FALSE)*(VLOOKUP($C$589,'DB animal categories'!$C$211:$AC$220,27,FALSE)-VLOOKUP($C$589,'DB animal categories'!$C$211:$AC$220,25,FALSE)*VLOOKUP($C$589,'DB animal categories'!$C$211:$AC$220,26,FALSE)/24)*F593/100*VLOOKUP(D593,'DB technologies'!$N$280:$Y$292,7,FALSE)/100)))</f>
        <v/>
      </c>
      <c r="AI593" s="183" t="str">
        <f>IF(D593="","",VLOOKUP(D593,'DB technologies'!$N$280:$Y$292,10,FALSE))</f>
        <v/>
      </c>
      <c r="AJ593" s="451" t="e">
        <f>VLOOKUP($C$589,'DB animal categories'!$C$211:$AN$220,27,FALSE)-VLOOKUP($C$589,'DB animal categories'!$C$211:$AN$220,26,FALSE)*VLOOKUP($C$589,'DB animal categories'!$C$211:$AN$220,25,FALSE)/24</f>
        <v>#N/A</v>
      </c>
      <c r="AK593" s="452" t="str">
        <f>IF(AI593="","",AL593+AM593)</f>
        <v/>
      </c>
      <c r="AL593" s="452" t="str">
        <f>IF(D593="","",IF(AI593=2,(('Calc (ex-animal)'!$G$110*'DB additional information '!$K$23/100*(1-VLOOKUP(D593,'DB technologies'!$N$280:$Y$292,9,FALSE)/100)*'Calc (ex-housing, ex-storage)'!F593/100+'Calc (ex-animal)'!$H$110*'DB additional information '!$L$23/100*(1-VLOOKUP(D593,'DB technologies'!$N$280:$Y$292,9,FALSE)/100)*'Calc (ex-housing, ex-storage)'!F593/100))/VLOOKUP($C$589,'DB animal categories'!$C$211:$AC$220,27,FALSE)*AJ593+I593+J593+K593,IF(AI593=1,('Calc (ex-animal)'!$H$110*'DB additional information '!$L$23/100*(1-VLOOKUP(D593,'DB technologies'!$N$280:$Y$292,9,FALSE)/100)*'Calc (ex-housing, ex-storage)'!F593/100)/VLOOKUP($C$589,'DB animal categories'!$C$211:$AC$220,27,FALSE)*AJ593,IF(AI593=4,('Calc (ex-animal)'!$G$110*'DB additional information '!$K$23/100+'Calc (ex-animal)'!$H$110*'DB additional information '!$L$23/100)*(1-VLOOKUP(D593,'DB technologies'!$N$280:$Y$292,9,FALSE)/100)*'Calc (ex-housing, ex-storage)'!F593/100*VLOOKUP(D593,'DB technologies'!$N$280:$Y$292,11,FALSE)/100/VLOOKUP($C$589,'DB animal categories'!$C$211:$AC$220,27,FALSE)*AJ593,0))))</f>
        <v/>
      </c>
      <c r="AM593" s="452" t="str">
        <f>IF(D593="","",IF(AI593=2,(('Calc (ex-animal)'!$G$110*(1-'DB additional information '!$K$23/100)*(1-VLOOKUP(D593,'DB technologies'!$N$280:$Y$292,8,FALSE)/100)*'Calc (ex-housing, ex-storage)'!F593/100+'Calc (ex-animal)'!$H$110*(1-'DB additional information '!$L$23/100)*(1-VLOOKUP(D593,'DB technologies'!$N$280:$Y$292,8,FALSE)/100)*'Calc (ex-housing, ex-storage)'!F593/100))/VLOOKUP($C$589,'DB animal categories'!$C$211:$AC$220,27,FALSE)*AJ593+M593+N593+O593,IF(AI593=1,('Calc (ex-animal)'!$H$110*(1-'DB additional information '!$L$23/100)*(1-VLOOKUP(D593,'DB technologies'!$N$280:$Y$292,8,FALSE)/100)*'Calc (ex-housing, ex-storage)'!F593/100)/VLOOKUP($C$589,'DB animal categories'!$C$211:$AC$220,27,FALSE)*AJ593,IF(AI593=4,('Calc (ex-animal)'!$G$110*(1-'DB additional information '!$K$23/100)+'Calc (ex-animal)'!$H$110*(1-'DB additional information '!$L$23/100))*(1-VLOOKUP(D593,'DB technologies'!$N$280:$Y$292,8,FALSE)/100)*'Calc (ex-housing, ex-storage)'!F593/100*VLOOKUP(D593,'DB technologies'!$N$280:$Y$292,11,FALSE)/100/VLOOKUP($C$589,'DB animal categories'!$C$211:$AC$220,27,FALSE)*AJ593,0))))</f>
        <v/>
      </c>
      <c r="AN593" s="452" t="str">
        <f>IF(AI593="","",IF(AL593=0,0,AL593/AK593*100))</f>
        <v/>
      </c>
      <c r="AO593" s="184" t="str">
        <f>IF(D593="","",IF(AI593=2,(('Calc (ex-animal)'!$L$110*'Calc (ex-housing, ex-storage)'!F593/100+'Calc (ex-animal)'!$K$110*'Calc (ex-housing, ex-storage)'!F593/100))/VLOOKUP($C$589,'DB animal categories'!$C$211:$AC$220,27,FALSE)*AJ593+Q593+R593+S593-AC593,IF(AI593=1,('Calc (ex-animal)'!$L$110*'Calc (ex-housing, ex-storage)'!F593/100)/VLOOKUP($C$589,'DB animal categories'!$C$211:$AC$220,27,FALSE)*AJ593-'Calc (ex-housing, ex-storage)'!AC593,IF(AI593=4,('Calc (ex-animal)'!$L$110+'Calc (ex-animal)'!$K$110)*'Calc (ex-housing, ex-storage)'!F593/100*VLOOKUP(D593,'DB technologies'!$N$280:$Y$292,11,FALSE)/100/VLOOKUP($C$589,'DB animal categories'!$C$211:$AC$220,27,FALSE)*AJ593-AC593*VLOOKUP(D593,'DB technologies'!$N$280:$Y$292,11,FALSE)/100,0))))</f>
        <v/>
      </c>
      <c r="AP593" s="184" t="str">
        <f>IF(D593="","",IF(AO593&lt;-0.01,0,IF(AI593=2,(('Calc (ex-animal)'!$L$110*'Calc (ex-housing, ex-storage)'!F593/100+'Calc (ex-animal)'!$K$110*'Calc (ex-housing, ex-storage)'!F593/100))/VLOOKUP($C$589,'DB animal categories'!$C$211:$AC$220,27,FALSE)*AJ593+Q593+R593+S593-AC593,IF(AI593=1,('Calc (ex-animal)'!$L$110*'Calc (ex-housing, ex-storage)'!F593/100)/VLOOKUP($C$589,'DB animal categories'!$C$211:$AC$220,27,FALSE)*AJ593-'Calc (ex-housing, ex-storage)'!AC593,IF(AI593=4,('Calc (ex-animal)'!$L$110+'Calc (ex-animal)'!$K$110)*'Calc (ex-housing, ex-storage)'!F593/100*VLOOKUP(D593,'DB technologies'!$N$280:$Y$292,11,FALSE)/100/VLOOKUP($C$589,'DB animal categories'!$C$211:$AC$220,27,FALSE)*AJ593-AC593*VLOOKUP(D593,'DB technologies'!$N$280:$Y$292,11,FALSE)/100,0)))))</f>
        <v/>
      </c>
      <c r="AQ593" s="184" t="str">
        <f>IF(D593="","",IF(AI593=2,('Calc (ex-animal)'!$O$110*'Calc (ex-housing, ex-storage)'!F593/100+'Calc (ex-animal)'!$N$110*'Calc (ex-housing, ex-storage)'!F593/100)/VLOOKUP($C$589,'DB animal categories'!$C$211:$AC$220,27,FALSE)*AJ593+U593+V593+W593,IF(AI593=1,'Calc (ex-animal)'!$O$110*'Calc (ex-housing, ex-storage)'!F593/100/VLOOKUP($C$589,'DB animal categories'!$C$211:$AC$220,27,FALSE)*AJ593,IF(AI593=4,('Calc (ex-animal)'!$O$110+'Calc (ex-animal)'!$N$110)*'Calc (ex-housing, ex-storage)'!F593/100*VLOOKUP(D593,'DB technologies'!$N$280:$Y$292,11,FALSE)/100/VLOOKUP($C$589,'DB animal categories'!$C$211:$AC$220,27,FALSE)*AJ593,0))))</f>
        <v/>
      </c>
      <c r="AR593" s="184" t="str">
        <f>IF(D593="","",IF(AI593=2,('Calc (ex-animal)'!$R$110*'Calc (ex-housing, ex-storage)'!F593/100+'Calc (ex-animal)'!$Q$110*'Calc (ex-housing, ex-storage)'!F593/100)/VLOOKUP($C$589,'DB animal categories'!$C$211:$AC$220,27,FALSE)*AJ593+Y593+Z593+AA593,IF(AI593=1,'Calc (ex-animal)'!$R$110*'Calc (ex-housing, ex-storage)'!F593/100/VLOOKUP($C$589,'DB animal categories'!$C$211:$AC$220,27,FALSE)*AJ593,IF(AI593=4,('Calc (ex-animal)'!$R$110+'Calc (ex-animal)'!$Q$110)*'Calc (ex-housing, ex-storage)'!F593/100*VLOOKUP(D593,'DB technologies'!$N$280:$Y$292,11,FALSE)/100/VLOOKUP($C$589,'DB animal categories'!$C$211:$AC$220,27,FALSE)*AJ593,0))))</f>
        <v/>
      </c>
      <c r="AS593" s="183" t="str">
        <f>IF(D593="","",VLOOKUP(D593,'DB technologies'!$N$280:$Y$292,10,FALSE))</f>
        <v/>
      </c>
      <c r="AT593" s="452" t="str">
        <f>IF(AS593="","",AU593+AV593)</f>
        <v/>
      </c>
      <c r="AU593" s="452" t="str">
        <f>IF(D593="","",IF(AS593=2,0,IF(AS593=1,'Calc (ex-animal)'!$G$110*'DB additional information '!$K$23/100*(1-VLOOKUP(D593,'DB technologies'!$N$280:$Y$292,8,FALSE)/100)*'Calc (ex-housing, ex-storage)'!F593/100/VLOOKUP($C$589,'DB animal categories'!$C$211:$AC$220,27,FALSE)*AJ593+I593+J593+K593,IF(AS593=5,(('Calc (ex-animal)'!$G$110*'DB additional information '!$K$23/100+'Calc (ex-animal)'!$H$110*'DB additional information '!$L$23/100))*(1-VLOOKUP(D593,'DB technologies'!$N$280:$Y$292,9,FALSE)/100)*'Calc (ex-housing, ex-storage)'!F593/100/VLOOKUP($C$589,'DB animal categories'!$C$211:$AC$220,27,FALSE)*AJ593+I593+J593+K593,IF(AS593=3,('Calc (ex-animal)'!$G$110*'DB additional information '!$K$23/100+'Calc (ex-animal)'!$H$110*'DB additional information '!$L$23/100)*(1-VLOOKUP(D593,'DB technologies'!$N$280:$Y$292,9,FALSE)/100)*'Calc (ex-housing, ex-storage)'!F593/100/VLOOKUP($C$589,'DB animal categories'!$C$211:$AC$220,27,FALSE)*AJ593+I593+J593+K593,IF(AS593=4,('Calc (ex-animal)'!$G$110*'DB additional information '!$K$23/100+'Calc (ex-animal)'!$H$110*'DB additional information '!$L$23/100)*(1-VLOOKUP(D593,'DB technologies'!$N$280:$Y$292,9,FALSE)/100)*'Calc (ex-housing, ex-storage)'!F593/100*VLOOKUP(D593,'DB technologies'!$N$280:$Y$292,12,FALSE)/100/VLOOKUP($C$589,'DB animal categories'!$C$211:$AC$220,27,FALSE)*AJ593+I593+J593+K593,0))))))</f>
        <v/>
      </c>
      <c r="AV593" s="452" t="str">
        <f>IF(D593="","",IF(AS593=2,0,IF(AS593=1,'Calc (ex-animal)'!$G$110*(1-'DB additional information '!$K$23/100)*(1-VLOOKUP(D593,'DB technologies'!$N$280:$Y$292,8,FALSE)/100)*'Calc (ex-housing, ex-storage)'!F593/100/VLOOKUP($C$589,'DB animal categories'!$C$211:$AC$220,27,FALSE)*AJ593+M593+N593+O593,IF(AS593=5,('Calc (ex-animal)'!$G$110*(1-'DB additional information '!$K$23/100)+'Calc (ex-animal)'!$H$110*(1-'DB additional information '!$L$23/100))*(1-VLOOKUP(D593,'DB technologies'!$N$280:$Y$292,8,FALSE)/100)*'Calc (ex-housing, ex-storage)'!F593/100/VLOOKUP($C$589,'DB animal categories'!$C$211:$AC$220,27,FALSE)*AJ593+M593+N593+O593,IF(AS593=3,('Calc (ex-animal)'!$G$110*(1-'DB additional information '!$K$23/100)+'Calc (ex-animal)'!$H$110*(1-'DB additional information '!$L$23/100))*(1-VLOOKUP(D593,'DB technologies'!$N$280:$Y$292,8,FALSE)/100)*'Calc (ex-housing, ex-storage)'!F593/100/VLOOKUP($C$589,'DB animal categories'!$C$211:$AC$220,27,FALSE)*AJ593+M593+N593+O593,IF(AS593=4,('Calc (ex-animal)'!$G$110*(1-'DB additional information '!$K$23/100)+'Calc (ex-animal)'!$H$110*(1-'DB additional information '!$L$23/100))*(1-VLOOKUP(D593,'DB technologies'!$N$280:$Y$292,8,FALSE)/100)*'Calc (ex-housing, ex-storage)'!F593/100*VLOOKUP(D593,'DB technologies'!$N$280:$Y$292,12,FALSE)/100/VLOOKUP($C$589,'DB animal categories'!$C$211:$AC$220,27,FALSE)*AJ593+M593+N593+O593,0))))))</f>
        <v/>
      </c>
      <c r="AW593" s="452" t="str">
        <f>IF(AS593="","",IF(AU593=0,0,AU593/AT593*100))</f>
        <v/>
      </c>
      <c r="AX593" s="184" t="str">
        <f>IF(D593="","",IF(AS593=2,0,IF(AS593=1,'Calc (ex-animal)'!$K$110*'Calc (ex-housing, ex-storage)'!F593/100/VLOOKUP($C$589,'DB animal categories'!$C$211:$AC$220,27,FALSE)*AJ593+Q593+R593+S593,IF(AS593=5,('Calc (ex-animal)'!$K$110+'Calc (ex-animal)'!$L$110)*'Calc (ex-housing, ex-storage)'!F593/100/VLOOKUP($C$589,'DB animal categories'!$C$211:$AC$220,27,FALSE)*AJ593+Q593+R593+S593-'Calc (ex-housing, ex-storage)'!AC593,IF(AS593=3,('Calc (ex-animal)'!$K$110+'Calc (ex-animal)'!$L$110)*'Calc (ex-housing, ex-storage)'!F593/100/VLOOKUP($C$589,'DB animal categories'!$C$211:$AC$220,27,FALSE)*AJ593+Q593+R593+S593-'Calc (ex-housing, ex-storage)'!AC593-AD593-AE593,IF(AI593=4,('Calc (ex-animal)'!$K$110+'Calc (ex-animal)'!$L$110)*'Calc (ex-housing, ex-storage)'!F593/100*VLOOKUP(D593,'DB technologies'!$N$280:$Y$292,12,FALSE)/100/VLOOKUP($C$589,'DB animal categories'!$C$211:$AC$220,27,FALSE)*AJ593+Q593+R593+S593-(VLOOKUP(D593,'DB technologies'!$N$280:$Y$292,12,FALSE)/100*AC593)-AD593-AE593,0))))))</f>
        <v/>
      </c>
      <c r="AY593" s="184" t="str">
        <f>IF(D593="","",IF(AS593=2,0,IF(AS593=1,'Calc (ex-animal)'!$N$110*'Calc (ex-housing, ex-storage)'!F593/100/VLOOKUP($C$589,'DB animal categories'!$C$211:$AC$220,27,FALSE)*AJ593+U593+V593+W593,IF(AS593=5,('Calc (ex-animal)'!$N$110+'Calc (ex-animal)'!$O$110)*'Calc (ex-housing, ex-storage)'!F593/100/VLOOKUP($C$589,'DB animal categories'!$C$211:$AC$220,27,FALSE)*AJ593+U593+V593+W593,IF(AS593=3,('Calc (ex-animal)'!$N$110+'Calc (ex-animal)'!$O$110)*'Calc (ex-housing, ex-storage)'!F593/100/VLOOKUP($C$589,'DB animal categories'!$C$211:$AC$220,27,FALSE)*AJ593+U593+V593+W593,IF(AS593=4,('Calc (ex-animal)'!$N$110+'Calc (ex-animal)'!$O$110)*'Calc (ex-housing, ex-storage)'!F593/100*VLOOKUP(D593,'DB technologies'!$N$280:$Y$292,12,FALSE)/100/VLOOKUP($C$589,'DB animal categories'!$C$211:$AC$220,27,FALSE)*AJ593+U593+V593+W593,0))))))</f>
        <v/>
      </c>
      <c r="AZ593" s="184" t="str">
        <f>IF(D593="","",IF(AS593=2,0,IF(AS593=1,'Calc (ex-animal)'!$Q$110*'Calc (ex-housing, ex-storage)'!F593/100/VLOOKUP($C$589,'DB animal categories'!$C$211:$AC$220,27,FALSE)*AJ593+Y593+Z593+AA593,IF(AS593=5,('Calc (ex-animal)'!$Q$110+'Calc (ex-animal)'!$R$110)*'Calc (ex-housing, ex-storage)'!F593/100/VLOOKUP($C$589,'DB animal categories'!$C$211:$AC$220,27,FALSE)*AJ593+Y593+Z593+AA593,IF(AS593=3,('Calc (ex-animal)'!$Q$110+'Calc (ex-animal)'!$R$110)*'Calc (ex-housing, ex-storage)'!F593/100/VLOOKUP($C$589,'DB animal categories'!$C$211:$AC$220,27,FALSE)*AJ593+Y593+Z593+AA593,IF(AS593=4,('Calc (ex-animal)'!$Q$110+'Calc (ex-animal)'!$R$110)*'Calc (ex-housing, ex-storage)'!F593/100*VLOOKUP(D593,'DB technologies'!$N$280:$Y$292,12,FALSE)/100/VLOOKUP($C$589,'DB animal categories'!$C$211:$AC$220,27,FALSE)*AJ593+Y593+Z593+AA593,0))))))</f>
        <v/>
      </c>
      <c r="BA593" s="506"/>
      <c r="BB593" s="506"/>
      <c r="BC593" s="506"/>
    </row>
    <row r="594" spans="1:55" ht="12" thickBot="1" x14ac:dyDescent="0.25">
      <c r="A594" s="748"/>
      <c r="B594" s="695"/>
      <c r="C594" s="252"/>
      <c r="D594" s="269" t="s">
        <v>58</v>
      </c>
      <c r="E594" s="270">
        <f>IF(F594&lt;=100,SUM(E589:E593),"ERROR")</f>
        <v>0</v>
      </c>
      <c r="F594" s="284">
        <f>IF(SUM(F589:F593) &lt;=100,SUM(F589:F593),"ERROR, SUM&gt;100%")</f>
        <v>0</v>
      </c>
      <c r="G594" s="550">
        <f>IF('Calc (ex-animal)'!$F$108=1,"",SUM(G589:G593))</f>
        <v>0</v>
      </c>
      <c r="H594" s="418">
        <f>IF('Calc (ex-animal)'!$F$8=1,"",SUM(H589:H593))</f>
        <v>0</v>
      </c>
      <c r="I594" s="418">
        <f>IF('Calc (ex-animal)'!$F$8=1,"",SUM(I589:I593))</f>
        <v>0</v>
      </c>
      <c r="J594" s="418">
        <f>IF('Calc (ex-animal)'!$F$8=1,"",SUM(J589:J593))</f>
        <v>0</v>
      </c>
      <c r="K594" s="418">
        <f>IF('Calc (ex-animal)'!$F$8=1,"",SUM(K589:K593))</f>
        <v>0</v>
      </c>
      <c r="L594" s="418">
        <f>IF('Calc (ex-animal)'!$F$8=1,"",SUM(L589:L593))</f>
        <v>0</v>
      </c>
      <c r="M594" s="551"/>
      <c r="N594" s="551"/>
      <c r="O594" s="551"/>
      <c r="P594" s="552">
        <f>IF(G594=0,0,IF('Calc (ex-animal)'!$F$108=1,"",IF(D594="","",SUM(H594:K594)/G594*100)))</f>
        <v>0</v>
      </c>
      <c r="Q594" s="271"/>
      <c r="R594" s="271"/>
      <c r="S594" s="271"/>
      <c r="T594" s="278">
        <f>IF('Calc (ex-animal)'!$F$110=1,"",SUM(T589:T593))</f>
        <v>0</v>
      </c>
      <c r="U594" s="279"/>
      <c r="V594" s="279"/>
      <c r="W594" s="279"/>
      <c r="X594" s="279">
        <f>IF('Calc (ex-animal)'!$F$110=1,"",SUM(X589:X593))</f>
        <v>0</v>
      </c>
      <c r="Y594" s="279"/>
      <c r="Z594" s="279"/>
      <c r="AA594" s="279"/>
      <c r="AB594" s="279">
        <f>IF('Calc (ex-animal)'!$F$110=1,"",SUM(AB589:AB593))</f>
        <v>0</v>
      </c>
      <c r="AC594" s="279">
        <f>IF('Calc (ex-animal)'!$F$110=1,"",SUM(AC589:AC593))</f>
        <v>0</v>
      </c>
      <c r="AD594" s="279">
        <f>IF('Calc (ex-animal)'!$F$110=1,"",SUM(AD589:AD593))</f>
        <v>0</v>
      </c>
      <c r="AE594" s="280">
        <f>IF('Calc (ex-animal)'!$F$110=1,"",SUM(AE589:AE593))</f>
        <v>0</v>
      </c>
    </row>
    <row r="595" spans="1:55" x14ac:dyDescent="0.2">
      <c r="A595" s="748"/>
      <c r="B595" s="695"/>
      <c r="C595" s="250">
        <f>'Calc (ex-animal)'!D111</f>
        <v>0</v>
      </c>
      <c r="D595" s="1355"/>
      <c r="E595" s="1356"/>
      <c r="F595" s="479" t="str">
        <f>IF('Calc (ex-animal)'!$F$108=1,"",IF($C$595=0,"",IF(D595="","",E595/'Calc (ex-animal)'!$E$111*100)))</f>
        <v/>
      </c>
      <c r="G595" s="484" t="str">
        <f>IF($C$595=0,"",IF('Calc (ex-animal)'!$F$108=1,"",IF(D595="","",SUM(H595:O595))))</f>
        <v/>
      </c>
      <c r="H595" s="471" t="str">
        <f>IF('Calc (ex-animal)'!$F$108=1,"",IF(D595="","",(((VLOOKUP($C$595,'Calc (ex-animal)'!$D$108:$Y$112,6,FALSE)-VLOOKUP($C$595,'Calc (ex-animal)'!$D$108:$Y$112,17,FALSE))*F595/100))*VLOOKUP($C$595,'Calc (ex-animal)'!$D$108:$Y$112,7,FALSE)/100*(1-VLOOKUP(D595,'DB technologies'!$N$280:$Y$292,9,FALSE)/100)))</f>
        <v/>
      </c>
      <c r="I595" s="471" t="str">
        <f>IF(D595="","",((VLOOKUP(D595,'DB technologies'!$N$280:$Y$292,2,FALSE)*VLOOKUP($C$595,'DB animal categories'!$C$211:$AC$220,27,FALSE)*E595/1000)/VLOOKUP($C$595,'DB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'!$S$6/100*(1-VLOOKUP(D595,'DB technologies'!$N$280:$Y$292,9,FALSE)/100)))</f>
        <v/>
      </c>
      <c r="J595" s="472" t="str">
        <f>IF(D595="","",((VLOOKUP(D595,'DB technologies'!$N$280:$Y$292,3,FALSE)*VLOOKUP($C$595,'DB animal categories'!$C$211:$AC$220,27,FALSE)*E595/1000)/VLOOKUP($C$595,'DB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'!$S$7/100*(1-VLOOKUP(D595,'DB technologies'!$N$280:$Y$292,9,FALSE)/100)))</f>
        <v/>
      </c>
      <c r="K595" s="472" t="str">
        <f>IF(D595="","",((VLOOKUP(D595,'DB technologies'!$N$280:$Y$292,4,FALSE)*E595*'DB additional information '!$S$8/100*(1-VLOOKUP(D595,'DB technologies'!$N$280:$Y$292,9,FALSE)/100))/VLOOKUP($C$595,'DB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L595" s="471" t="str">
        <f>IF('Calc (ex-animal)'!$F$108=1,"",IF(D595="","",(((VLOOKUP($C$595,'Calc (ex-animal)'!$D$108:$Y$112,6,FALSE)-VLOOKUP($C$595,'Calc (ex-animal)'!$D$108:$Y$112,17,FALSE))*F595/100))*(1-VLOOKUP($C$595,'Calc (ex-animal)'!$D$108:$Y$112,7,FALSE)/100)*(1-VLOOKUP(D595,'DB technologies'!$N$280:$V$292,8,FALSE)/100)))</f>
        <v/>
      </c>
      <c r="M595" s="472" t="str">
        <f>IF(D595="","",((VLOOKUP(D595,'DB technologies'!$N$280:$Y$292,2,FALSE)*VLOOKUP($C$595,'DB animal categories'!$C$211:$AC$220,27,FALSE)*E595/1000)/VLOOKUP($C$595,'DB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'!$S$6/100)*(1-VLOOKUP(D595,'DB technologies'!$N$280:$Y$292,9,FALSE)/100))</f>
        <v/>
      </c>
      <c r="N595" s="472" t="str">
        <f>IF(D595="","",((VLOOKUP(D595,'DB technologies'!$N$280:$Y$292,3,FALSE)*VLOOKUP($C$595,'DB animal categories'!$C$211:$AC$220,27,FALSE)*E595/1000)/VLOOKUP($C$595,'DB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'!$S$7/100)*(1-VLOOKUP(D595,'DB technologies'!$N$280:$Y$292,9,FALSE)/100))</f>
        <v/>
      </c>
      <c r="O595" s="471" t="str">
        <f>IF(D595="","",((VLOOKUP(D595,'DB technologies'!$N$280:$Y$292,4,FALSE)*E595*(1-'DB additional information '!$S$8/100)*(1-VLOOKUP(D595,'DB technologies'!$N$280:$Y$292,8,FALSE)/100))/VLOOKUP($C$595,'DB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P595" s="443" t="str">
        <f>IF(G595=0,0,IF(E595="","",IF(F595="","",IF($C$595=0,"",IF(D595="","",SUM(H595:K595)/G595*100)))))</f>
        <v/>
      </c>
      <c r="Q595" s="473" t="str">
        <f>IF(D595="","",(VLOOKUP(D595,'DB technologies'!$N$280:$Y$292,2,FALSE)*'DB additional information '!$S$6/100*'DB additional information '!$T$6*VLOOKUP($C$595,'DB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R595" s="473" t="str">
        <f>IF(D595="","",(VLOOKUP(D595,'DB technologies'!$N$280:$Y$292,3,FALSE)*'DB additional information '!$S$7/100*'DB additional information '!$T$7*VLOOKUP($C$595,'DB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S595" s="490" t="str">
        <f>IF(D595="","",(VLOOKUP(D595,'DB technologies'!$N$280:$Y$292,4,FALSE)*('DB additional information '!$S$8/100*'DB additional information '!$T$8*E595/1000/1000)))</f>
        <v/>
      </c>
      <c r="T595" s="263" t="str">
        <f>IF($C$595=0,"",IF('Calc (ex-animal)'!$F$108=1,"",IF(D595="","",((VLOOKUP($C$595,'Calc (ex-animal)'!$D$108:$Y$112,10,FALSE)-VLOOKUP($C$595,'Calc (ex-animal)'!$D$108:$Y$112,18,FALSE))*F595/100+Q595+R595+S595)-AC595-AD595-AE595)))</f>
        <v/>
      </c>
      <c r="U595" s="474" t="str">
        <f>IF(D595="","",(VLOOKUP(D595,'DB technologies'!$N$280:$Y$292,2,FALSE)*'DB additional information '!$S$6/100*'DB additional information '!$U$6*VLOOKUP($C$595,'DB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V595" s="420" t="str">
        <f>IF(D595="","",(VLOOKUP(D595,'DB technologies'!$N$280:$Y$292,3,FALSE)*'DB additional information '!$S$7/100*'DB additional information '!$U$7*VLOOKUP($C$595,'DB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W595" s="415" t="str">
        <f>IF(D595="","",(VLOOKUP(D595,'DB technologies'!$N$280:$Y$292,4,FALSE)*('DB additional information '!$S$8/100*'DB additional information '!$U$8*E595/1000/1000)))</f>
        <v/>
      </c>
      <c r="X595" s="259" t="str">
        <f>IF($C$595=0,"",IF('Calc (ex-animal)'!$F$108=1,"",IF(D595="","",((VLOOKUP($C$595,'Calc (ex-animal)'!$D$108:$Y$112,13,FALSE)-VLOOKUP($C$595,'Calc (ex-animal)'!$D$108:$Y$112,19,FALSE))*F595/100+U595+V595+W595))))</f>
        <v/>
      </c>
      <c r="Y595" s="420" t="str">
        <f>IF(D595="","",(VLOOKUP(D595,'DB technologies'!$N$280:$Y$292,2,FALSE)*'DB additional information '!$S$6/100*'DB additional information '!$V$6*VLOOKUP($C$595,'DB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Z595" s="420" t="str">
        <f>IF(D595="","",(VLOOKUP(D595,'DB technologies'!$N$280:$Y$292,3,FALSE)*'DB additional information '!$S$7/100*'DB additional information '!$V$7*VLOOKUP($C$595,'DB animal categories'!$C$211:$AC$220,27,FALSE)*E595/1000/1000)/VLOOKUP($C$595,'DB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AA595" s="420" t="str">
        <f>IF(D595="","",(VLOOKUP(D595,'DB technologies'!$N$280:$Y$292,4,FALSE)*('DB additional information '!$S$8/100*'DB additional information '!$V$8*E595/1000/1000)))</f>
        <v/>
      </c>
      <c r="AB595" s="259" t="str">
        <f>IF($C$595=0,"",IF('Calc (ex-animal)'!$F$108=1,"",IF(D595="","",((VLOOKUP($C$595,'Calc (ex-animal)'!$D$108:$Y$112,16,FALSE)-VLOOKUP($C$595,'Calc (ex-animal)'!$D$108:$Y$112,20,FALSE))*F595/100+Y595+Z595+AA595))))</f>
        <v/>
      </c>
      <c r="AC595" s="259" t="str">
        <f>IF($C$595=0,"",IF('Calc (ex-animal)'!$F$108=1,"",IF(D595="","",VLOOKUP($C$595,'Calc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categories'!$C$211:$AC$220,26,FALSE)/24)*F595/100*VLOOKUP(D595,'DB technologies'!$N$280:$R$292,5,FALSE)/100)))</f>
        <v/>
      </c>
      <c r="AD595" s="259" t="str">
        <f>IF($C$595=0,"",IF('Calc (ex-animal)'!$F$108=1,"",IF(D595="","",VLOOKUP($C$595,'Calc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categories'!$C$211:$AC$220,26,FALSE)/24)*F595/100*VLOOKUP(D595,'DB technologies'!$N$280:$Y$292,6,FALSE)/100)))</f>
        <v/>
      </c>
      <c r="AE595" s="260" t="str">
        <f>IF($C$595=0,"",IF('Calc (ex-animal)'!$F$108=1,"",IF(D595="","",VLOOKUP($C$595,'Calc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categories'!$C$211:$AC$220,26,FALSE)/24)*F595/100*VLOOKUP(D595,'DB technologies'!$N$280:$Y$292,7,FALSE)/100)))</f>
        <v/>
      </c>
      <c r="AI595" s="179" t="str">
        <f>IF(D595="","",VLOOKUP(D595,'DB technologies'!$N$280:$Y$292,10,FALSE))</f>
        <v/>
      </c>
      <c r="AJ595" s="482" t="e">
        <f>VLOOKUP($C$595,'DB animal categories'!$C$211:$AN$220,27,FALSE)-VLOOKUP($C$595,'DB animal categories'!$C$211:$AN$220,26,FALSE)*VLOOKUP($C$595,'DB animal categories'!$C$211:$AN$220,25,FALSE)/24</f>
        <v>#N/A</v>
      </c>
      <c r="AK595" s="453" t="str">
        <f>IF(AI595="","",AL595+AM595)</f>
        <v/>
      </c>
      <c r="AL595" s="453" t="str">
        <f>IF(D595="","",IF(AI595=2,(('Calc (ex-animal)'!$G$111*'DB additional information '!$K$23/100*(1-VLOOKUP(D595,'DB technologies'!$N$280:$Y$292,9,FALSE)/100)*'Calc (ex-housing, ex-storage)'!F595/100+'Calc (ex-animal)'!$H$111*'DB additional information '!$L$23/100*(1-VLOOKUP(D595,'DB technologies'!$N$280:$Y$292,9,FALSE)/100)*'Calc (ex-housing, ex-storage)'!F595/100))/VLOOKUP($C$595,'DB animal categories'!$C$211:$AC$220,27,FALSE)*AJ595+I595+J595+K595,IF(AI595=1,('Calc (ex-animal)'!$H$111*'DB additional information '!$L$23/100*(1-VLOOKUP(D595,'DB technologies'!$N$280:$Y$292,9,FALSE)/100)*'Calc (ex-housing, ex-storage)'!F595/100)/VLOOKUP($C$595,'DB animal categories'!$C$211:$AC$220,27,FALSE)*AJ595,IF(AI595=4,('Calc (ex-animal)'!$G$111*'DB additional information '!$K$23/100+'Calc (ex-animal)'!$H$111*'DB additional information '!$L$23/100)*(1-VLOOKUP(D595,'DB technologies'!$N$280:$Y$292,9,FALSE)/100)*'Calc (ex-housing, ex-storage)'!F595/100*VLOOKUP(D595,'DB technologies'!$N$280:$Y$292,11,FALSE)/100/VLOOKUP($C$595,'DB animal categories'!$C$211:$AC$220,27,FALSE)*AJ595,0))))</f>
        <v/>
      </c>
      <c r="AM595" s="453" t="str">
        <f>IF(D595="","",IF(AI595=2,(('Calc (ex-animal)'!$G$111*(1-'DB additional information '!$K$23/100)*(1-VLOOKUP(D595,'DB technologies'!$N$280:$Y$292,8,FALSE)/100)*'Calc (ex-housing, ex-storage)'!F595/100+'Calc (ex-animal)'!$H$111*(1-'DB additional information '!$L$23/100)*(1-VLOOKUP(D595,'DB technologies'!$N$280:$Y$292,8,FALSE)/100)*'Calc (ex-housing, ex-storage)'!F595/100))/VLOOKUP($C$595,'DB animal categories'!$C$211:$AC$220,27,FALSE)*AJ595+M595+N595+O595,IF(AI595=1,('Calc (ex-animal)'!$H$111*(1-'DB additional information '!$L$23/100)*(1-VLOOKUP(D595,'DB technologies'!$N$280:$Y$292,8,FALSE)/100)*'Calc (ex-housing, ex-storage)'!F595/100)/VLOOKUP($C$595,'DB animal categories'!$C$211:$AC$220,27,FALSE)*AJ595,IF(AI595=4,('Calc (ex-animal)'!$G$111*(1-'DB additional information '!$K$23/100)+'Calc (ex-animal)'!$H$111*(1-'DB additional information '!$L$23/100))*(1-VLOOKUP(D595,'DB technologies'!$N$280:$Y$292,8,FALSE)/100)*'Calc (ex-housing, ex-storage)'!F595/100*VLOOKUP(D595,'DB technologies'!$N$280:$Y$292,11,FALSE)/100/VLOOKUP($C$595,'DB animal categories'!$C$211:$AC$220,27,FALSE)*AJ595,0))))</f>
        <v/>
      </c>
      <c r="AN595" s="453" t="str">
        <f>IF(AI595="","",IF(AL595=0,0,AL595/AK595*100))</f>
        <v/>
      </c>
      <c r="AO595" s="180" t="str">
        <f>IF(D595="","",IF(AI595=2,(('Calc (ex-animal)'!$L$111*'Calc (ex-housing, ex-storage)'!F595/100+'Calc (ex-animal)'!$K$111*'Calc (ex-housing, ex-storage)'!F595/100))/VLOOKUP($C$595,'DB animal categories'!$C$211:$AC$220,27,FALSE)*AJ595+Q595+R595+S595-AC595,IF(AI595=1,('Calc (ex-animal)'!$L$111*'Calc (ex-housing, ex-storage)'!F595/100)/VLOOKUP($C$595,'DB animal categories'!$C$211:$AC$220,27,FALSE)*AJ595-'Calc (ex-housing, ex-storage)'!AC595,IF(AI595=4,('Calc (ex-animal)'!$L$111+'Calc (ex-animal)'!$K$111)*'Calc (ex-housing, ex-storage)'!F595/100*VLOOKUP(D595,'DB technologies'!$N$280:$Y$292,11,FALSE)/100/VLOOKUP($C$595,'DB animal categories'!$C$211:$AC$220,27,FALSE)*AJ595-AC595*VLOOKUP(D595,'DB technologies'!$N$280:$Y$292,11,FALSE)/100,0))))</f>
        <v/>
      </c>
      <c r="AP595" s="180" t="str">
        <f>IF(D595="","",IF(AO595&lt;-0.01,0,IF(AI595=2,(('Calc (ex-animal)'!$L$111*'Calc (ex-housing, ex-storage)'!F595/100+'Calc (ex-animal)'!$K$111*'Calc (ex-housing, ex-storage)'!F595/100))/VLOOKUP($C$595,'DB animal categories'!$C$211:$AC$220,27,FALSE)*AJ595+Q595+R595+S595-AC595,IF(AI595=1,('Calc (ex-animal)'!$L$111*'Calc (ex-housing, ex-storage)'!F595/100)/VLOOKUP($C$595,'DB animal categories'!$C$211:$AC$220,27,FALSE)*AJ595-'Calc (ex-housing, ex-storage)'!AC595,IF(AI595=4,('Calc (ex-animal)'!$L$111+'Calc (ex-animal)'!$K$111)*'Calc (ex-housing, ex-storage)'!F595/100*VLOOKUP(D595,'DB technologies'!$N$280:$Y$292,11,FALSE)/100/VLOOKUP($C$595,'DB animal categories'!$C$211:$AC$220,27,FALSE)*AJ595-AC595*VLOOKUP(D595,'DB technologies'!$N$280:$Y$292,11,FALSE)/100,0)))))</f>
        <v/>
      </c>
      <c r="AQ595" s="180" t="str">
        <f>IF(D595="","",IF(AI595=2,('Calc (ex-animal)'!$O$111*'Calc (ex-housing, ex-storage)'!F595/100+'Calc (ex-animal)'!$N$111*'Calc (ex-housing, ex-storage)'!F595/100)/VLOOKUP($C$595,'DB animal categories'!$C$211:$AC$220,27,FALSE)*AJ595+U595+V595+W595,IF(AI595=1,'Calc (ex-animal)'!$O$111*'Calc (ex-housing, ex-storage)'!F595/100/VLOOKUP($C$595,'DB animal categories'!$C$211:$AC$220,27,FALSE)*AJ595,IF(AI595=4,('Calc (ex-animal)'!$O$111+'Calc (ex-animal)'!$N$111)*'Calc (ex-housing, ex-storage)'!F595/100*VLOOKUP(D595,'DB technologies'!$N$280:$Y$292,11,FALSE)/100/VLOOKUP($C$595,'DB animal categories'!$C$211:$AC$220,27,FALSE)*AJ595,0))))</f>
        <v/>
      </c>
      <c r="AR595" s="180" t="str">
        <f>IF(D595="","",IF(AI595=2,('Calc (ex-animal)'!$R$111*'Calc (ex-housing, ex-storage)'!F595/100+'Calc (ex-animal)'!$Q$111*'Calc (ex-housing, ex-storage)'!F595/100)/VLOOKUP($C$595,'DB animal categories'!$C$211:$AC$220,27,FALSE)*AJ595+Y595+Z595+AA595,IF(AI595=1,'Calc (ex-animal)'!$R$111*'Calc (ex-housing, ex-storage)'!F595/100/VLOOKUP($C$595,'DB animal categories'!$C$211:$AC$220,27,FALSE)*AJ595,IF(AI595=4,('Calc (ex-animal)'!$R$111+'Calc (ex-animal)'!$Q$111)*'Calc (ex-housing, ex-storage)'!F595/100*VLOOKUP(D595,'DB technologies'!$N$280:$Y$292,11,FALSE)/100/VLOOKUP($C$595,'DB animal categories'!$C$211:$AC$220,27,FALSE)*AJ595,0))))</f>
        <v/>
      </c>
      <c r="AS595" s="179" t="str">
        <f>IF(D595="","",VLOOKUP(D595,'DB technologies'!$N$280:$Y$292,10,FALSE))</f>
        <v/>
      </c>
      <c r="AT595" s="453" t="str">
        <f>IF(AS595="","",AU595+AV595)</f>
        <v/>
      </c>
      <c r="AU595" s="453" t="str">
        <f>IF(D595="","",IF(AS595=2,0,IF(AS595=1,'Calc (ex-animal)'!$G$111*'DB additional information '!$K$23/100*(1-VLOOKUP(D595,'DB technologies'!$N$280:$Y$292,8,FALSE)/100)*'Calc (ex-housing, ex-storage)'!F595/100/VLOOKUP($C$595,'DB animal categories'!$C$211:$AC$220,27,FALSE)*AJ595+I595+J595+K595,IF(AS595=5,(('Calc (ex-animal)'!$G$111*'DB additional information '!$K$23/100+'Calc (ex-animal)'!$H$111*'DB additional information '!$L$23/100))*(1-VLOOKUP(D595,'DB technologies'!$N$280:$Y$292,9,FALSE)/100)*'Calc (ex-housing, ex-storage)'!F595/100/VLOOKUP($C$595,'DB animal categories'!$C$211:$AC$220,27,FALSE)*AJ595+I595+J595+K595,IF(AS595=3,('Calc (ex-animal)'!$G$111*'DB additional information '!$K$23/100+'Calc (ex-animal)'!$H$111*'DB additional information '!$L$23/100)*(1-VLOOKUP(D595,'DB technologies'!$N$280:$Y$292,9,FALSE)/100)*'Calc (ex-housing, ex-storage)'!F595/100/VLOOKUP($C$595,'DB animal categories'!$C$211:$AC$220,27,FALSE)*AJ595+I595+J595+K595,IF(AS595=4,('Calc (ex-animal)'!$G$111*'DB additional information '!$K$23/100+'Calc (ex-animal)'!$H$111*'DB additional information '!$L$23/100)*(1-VLOOKUP(D595,'DB technologies'!$N$280:$Y$292,9,FALSE)/100)*'Calc (ex-housing, ex-storage)'!F595/100*VLOOKUP(D595,'DB technologies'!$N$280:$Y$292,12,FALSE)/100/VLOOKUP($C$595,'DB animal categories'!$C$211:$AC$220,27,FALSE)*AJ595+I595+J595+K595,0))))))</f>
        <v/>
      </c>
      <c r="AV595" s="453" t="str">
        <f>IF(D595="","",IF(AS595=2,0,IF(AS595=1,'Calc (ex-animal)'!$G$111*(1-'DB additional information '!$K$23/100)*(1-VLOOKUP(D595,'DB technologies'!$N$280:$Y$292,8,FALSE)/100)*'Calc (ex-housing, ex-storage)'!F595/100/VLOOKUP($C$595,'DB animal categories'!$C$211:$AC$220,27,FALSE)*AJ595+M595+N595+O595,IF(AS595=5,('Calc (ex-animal)'!$G$111*(1-'DB additional information '!$K$23/100)+'Calc (ex-animal)'!$H$111*(1-'DB additional information '!$L$23/100))*(1-VLOOKUP(D595,'DB technologies'!$N$280:$Y$292,8,FALSE)/100)*'Calc (ex-housing, ex-storage)'!F595/100/VLOOKUP($C$595,'DB animal categories'!$C$211:$AC$220,27,FALSE)*AJ595+M595+N595+O595,IF(AS595=3,('Calc (ex-animal)'!$G$111*(1-'DB additional information '!$K$23/100)+'Calc (ex-animal)'!$H$111*(1-'DB additional information '!$L$23/100))*(1-VLOOKUP(D595,'DB technologies'!$N$280:$Y$292,8,FALSE)/100)*'Calc (ex-housing, ex-storage)'!F595/100/VLOOKUP($C$595,'DB animal categories'!$C$211:$AC$220,27,FALSE)*AJ595+M595+N595+O595,IF(AS595=4,('Calc (ex-animal)'!$G$111*(1-'DB additional information '!$K$23/100)+'Calc (ex-animal)'!$H$111*(1-'DB additional information '!$L$23/100))*(1-VLOOKUP(D595,'DB technologies'!$N$280:$Y$292,8,FALSE)/100)*'Calc (ex-housing, ex-storage)'!F595/100*VLOOKUP(D595,'DB technologies'!$N$280:$Y$292,12,FALSE)/100/VLOOKUP($C$595,'DB animal categories'!$C$211:$AC$220,27,FALSE)*AJ595+M595+N595+O595,0))))))</f>
        <v/>
      </c>
      <c r="AW595" s="453" t="str">
        <f>IF(AS595="","",IF(AU595=0,0,AU595/AT595*100))</f>
        <v/>
      </c>
      <c r="AX595" s="180" t="str">
        <f>IF(D595="","",IF(AS595=2,0,IF(AS595=1,'Calc (ex-animal)'!$K$111*'Calc (ex-housing, ex-storage)'!F595/100/VLOOKUP($C$595,'DB animal categories'!$C$211:$AC$220,27,FALSE)*AJ595+Q595+R595+S595,IF(AS595=5,('Calc (ex-animal)'!$K$111+'Calc (ex-animal)'!$L$111)*'Calc (ex-housing, ex-storage)'!F595/100/VLOOKUP($C$595,'DB animal categories'!$C$211:$AC$220,27,FALSE)*AJ595+Q595+R595+S595-'Calc (ex-housing, ex-storage)'!AC595,IF(AS595=3,('Calc (ex-animal)'!$K$111+'Calc (ex-animal)'!$L$111)*'Calc (ex-housing, ex-storage)'!F595/100/VLOOKUP($C$595,'DB animal categories'!$C$211:$AC$220,27,FALSE)*AJ595+Q595+R595+S595-'Calc (ex-housing, ex-storage)'!AC595-AD595-AE595,IF(AI595=4,('Calc (ex-animal)'!$K$111+'Calc (ex-animal)'!$L$111)*'Calc (ex-housing, ex-storage)'!F595/100*VLOOKUP(D595,'DB technologies'!$N$280:$Y$292,12,FALSE)/100/VLOOKUP($C$595,'DB animal categories'!$C$211:$AC$220,27,FALSE)*AJ595+Q595+R595+S595-(VLOOKUP(D595,'DB technologies'!$N$280:$Y$292,12,FALSE)/100*AC595)-AD595-AE595,0))))))</f>
        <v/>
      </c>
      <c r="AY595" s="180" t="str">
        <f>IF(D595="","",IF(AS595=2,0,IF(AS595=1,'Calc (ex-animal)'!$N$111*'Calc (ex-housing, ex-storage)'!F595/100/VLOOKUP($C$595,'DB animal categories'!$C$211:$AC$220,27,FALSE)*AJ595+U595+V595+W595,IF(AS595=5,('Calc (ex-animal)'!$N$111+'Calc (ex-animal)'!$O$111)*'Calc (ex-housing, ex-storage)'!F595/100/VLOOKUP($C$595,'DB animal categories'!$C$211:$AC$220,27,FALSE)*AJ595+U595+V595+W595,IF(AS595=3,('Calc (ex-animal)'!$N$111+'Calc (ex-animal)'!$O$111)*'Calc (ex-housing, ex-storage)'!F595/100/VLOOKUP($C$595,'DB animal categories'!$C$211:$AC$220,27,FALSE)*AJ595+U595+V595+W595,IF(AS595=4,('Calc (ex-animal)'!$N$111+'Calc (ex-animal)'!$O$111)*'Calc (ex-housing, ex-storage)'!F595/100*VLOOKUP(D595,'DB technologies'!$N$280:$Y$292,12,FALSE)/100/VLOOKUP($C$595,'DB animal categories'!$C$211:$AC$220,27,FALSE)*AJ595+U595+V595+W595,0))))))</f>
        <v/>
      </c>
      <c r="AZ595" s="180" t="str">
        <f>IF(D595="","",IF(AS595=2,0,IF(AS595=1,'Calc (ex-animal)'!$Q$111*'Calc (ex-housing, ex-storage)'!F595/100/VLOOKUP($C$595,'DB animal categories'!$C$211:$AC$220,27,FALSE)*AJ595+Y595+Z595+AA595,IF(AS595=5,('Calc (ex-animal)'!$Q$111+'Calc (ex-animal)'!$R$111)*'Calc (ex-housing, ex-storage)'!F595/100/VLOOKUP($C$595,'DB animal categories'!$C$211:$AC$220,27,FALSE)*AJ595+Y595+Z595+AA595,IF(AS595=3,('Calc (ex-animal)'!$Q$111+'Calc (ex-animal)'!$R$111)*'Calc (ex-housing, ex-storage)'!F595/100/VLOOKUP($C$595,'DB animal categories'!$C$211:$AC$220,27,FALSE)*AJ595+Y595+Z595+AA595,IF(AS595=4,('Calc (ex-animal)'!$Q$111+'Calc (ex-animal)'!$R$111)*'Calc (ex-housing, ex-storage)'!F595/100*VLOOKUP(D595,'DB technologies'!$N$280:$Y$292,12,FALSE)/100/VLOOKUP($C$595,'DB animal categories'!$C$211:$AC$220,27,FALSE)*AJ595+Y595+Z595+AA595,0))))))</f>
        <v/>
      </c>
      <c r="BA595" s="506"/>
      <c r="BB595" s="506"/>
      <c r="BC595" s="506"/>
    </row>
    <row r="596" spans="1:55" x14ac:dyDescent="0.2">
      <c r="A596" s="748"/>
      <c r="B596" s="695"/>
      <c r="C596" s="251"/>
      <c r="D596" s="1357"/>
      <c r="E596" s="1358"/>
      <c r="F596" s="480" t="str">
        <f>IF('Calc (ex-animal)'!$F$108=1,"",IF($C$595=0,"",IF(D596="","",E596/'Calc (ex-animal)'!$E$111*100)))</f>
        <v/>
      </c>
      <c r="G596" s="485" t="str">
        <f>IF($C$595=0,"",IF('Calc (ex-animal)'!$F$108=1,"",IF(D596="","",SUM(H596:O596))))</f>
        <v/>
      </c>
      <c r="H596" s="423" t="str">
        <f>IF('Calc (ex-animal)'!$F$108=1,"",IF(D596="","",(((VLOOKUP($C$595,'Calc (ex-animal)'!$D$108:$Y$112,6,FALSE)-VLOOKUP($C$595,'Calc (ex-animal)'!$D$108:$Y$112,17,FALSE))*F596/100))*VLOOKUP($C$595,'Calc (ex-animal)'!$D$108:$Y$112,7,FALSE)/100*(1-VLOOKUP(D596,'DB technologies'!$N$280:$Y$292,9,FALSE)/100)))</f>
        <v/>
      </c>
      <c r="I596" s="423" t="str">
        <f>IF(D596="","",((VLOOKUP(D596,'DB technologies'!$N$280:$Y$292,2,FALSE)*VLOOKUP($C$595,'DB animal categories'!$C$211:$AC$220,27,FALSE)*E596/1000)/VLOOKUP($C$595,'DB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'!$S$6/100*(1-VLOOKUP(D596,'DB technologies'!$N$280:$Y$292,9,FALSE)/100)))</f>
        <v/>
      </c>
      <c r="J596" s="434" t="str">
        <f>IF(D596="","",((VLOOKUP(D596,'DB technologies'!$N$280:$Y$292,3,FALSE)*VLOOKUP($C$595,'DB animal categories'!$C$211:$AC$220,27,FALSE)*E596/1000)/VLOOKUP($C$595,'DB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'!$S$7/100*(1-VLOOKUP(D596,'DB technologies'!$N$280:$Y$292,9,FALSE)/100)))</f>
        <v/>
      </c>
      <c r="K596" s="434" t="str">
        <f>IF(D596="","",((VLOOKUP(D596,'DB technologies'!$N$280:$Y$292,4,FALSE)*E596*'DB additional information '!$S$8/100*(1-VLOOKUP(D596,'DB technologies'!$N$280:$Y$292,9,FALSE)/100))/VLOOKUP($C$595,'DB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L596" s="423" t="str">
        <f>IF('Calc (ex-animal)'!$F$108=1,"",IF(D596="","",(((VLOOKUP($C$595,'Calc (ex-animal)'!$D$108:$Y$112,6,FALSE)-VLOOKUP($C$595,'Calc (ex-animal)'!$D$108:$Y$112,17,FALSE))*F596/100))*(1-VLOOKUP($C$595,'Calc (ex-animal)'!$D$108:$Y$112,7,FALSE)/100)*(1-VLOOKUP(D596,'DB technologies'!$N$280:$V$292,8,FALSE)/100)))</f>
        <v/>
      </c>
      <c r="M596" s="434" t="str">
        <f>IF(D596="","",((VLOOKUP(D596,'DB technologies'!$N$280:$Y$292,2,FALSE)*VLOOKUP($C$595,'DB animal categories'!$C$211:$AC$220,27,FALSE)*E596/1000)/VLOOKUP($C$595,'DB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'!$S$6/100)*(1-VLOOKUP(D596,'DB technologies'!$N$280:$Y$292,9,FALSE)/100))</f>
        <v/>
      </c>
      <c r="N596" s="434" t="str">
        <f>IF(D596="","",((VLOOKUP(D596,'DB technologies'!$N$280:$Y$292,3,FALSE)*VLOOKUP($C$595,'DB animal categories'!$C$211:$AC$220,27,FALSE)*E596/1000)/VLOOKUP($C$595,'DB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'!$S$7/100)*(1-VLOOKUP(D596,'DB technologies'!$N$280:$Y$292,9,FALSE)/100))</f>
        <v/>
      </c>
      <c r="O596" s="423" t="str">
        <f>IF(D596="","",((VLOOKUP(D596,'DB technologies'!$N$280:$Y$292,4,FALSE)*E596*(1-'DB additional information '!$S$8/100)*(1-VLOOKUP(D596,'DB technologies'!$N$280:$Y$292,8,FALSE)/100))/VLOOKUP($C$595,'DB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P596" s="438" t="str">
        <f>IF(G596=0,0,IF(E596="","",IF(F596="","",IF($C$595=0,"",IF(D596="","",SUM(H596:K596)/G596*100)))))</f>
        <v/>
      </c>
      <c r="Q596" s="416" t="str">
        <f>IF(D596="","",(VLOOKUP(D596,'DB technologies'!$N$280:$Y$292,2,FALSE)*'DB additional information '!$S$6/100*'DB additional information '!$T$6*VLOOKUP($C$595,'DB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R596" s="416" t="str">
        <f>IF(D596="","",(VLOOKUP(D596,'DB technologies'!$N$280:$Y$292,3,FALSE)*'DB additional information '!$S$7/100*'DB additional information '!$T$7*VLOOKUP($C$595,'DB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S596" s="491" t="str">
        <f>IF(D596="","",(VLOOKUP(D596,'DB technologies'!$N$280:$Y$292,4,FALSE)*('DB additional information '!$S$8/100*'DB additional information '!$T$8*E596/1000/1000)))</f>
        <v/>
      </c>
      <c r="T596" s="264" t="str">
        <f>IF($C$595=0,"",IF('Calc (ex-animal)'!$F$108=1,"",IF(D596="","",((VLOOKUP($C$595,'Calc (ex-animal)'!$D$108:$Y$112,10,FALSE)-VLOOKUP($C$595,'Calc (ex-animal)'!$D$108:$Y$112,18,FALSE))*F596/100+Q596+R596+S596)-AC596-AD596-AE596)))</f>
        <v/>
      </c>
      <c r="U596" s="422" t="str">
        <f>IF(D596="","",(VLOOKUP(D596,'DB technologies'!$N$280:$Y$292,2,FALSE)*'DB additional information '!$S$6/100*'DB additional information '!$U$6*VLOOKUP($C$595,'DB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V596" s="418" t="str">
        <f>IF(D596="","",(VLOOKUP(D596,'DB technologies'!$N$280:$Y$292,3,FALSE)*'DB additional information '!$S$7/100*'DB additional information '!$U$7*VLOOKUP($C$595,'DB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W596" s="417" t="str">
        <f>IF(D596="","",(VLOOKUP(D596,'DB technologies'!$N$280:$Y$292,4,FALSE)*('DB additional information '!$S$8/100*'DB additional information '!$U$8*E596/1000/1000)))</f>
        <v/>
      </c>
      <c r="X596" s="261" t="str">
        <f>IF($C$595=0,"",IF('Calc (ex-animal)'!$F$108=1,"",IF(D596="","",((VLOOKUP($C$595,'Calc (ex-animal)'!$D$108:$Y$112,13,FALSE)-VLOOKUP($C$595,'Calc (ex-animal)'!$D$108:$Y$112,19,FALSE))*F596/100+U596+V596+W596))))</f>
        <v/>
      </c>
      <c r="Y596" s="418" t="str">
        <f>IF(D596="","",(VLOOKUP(D596,'DB technologies'!$N$280:$Y$292,2,FALSE)*'DB additional information '!$S$6/100*'DB additional information '!$V$6*VLOOKUP($C$595,'DB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Z596" s="418" t="str">
        <f>IF(D596="","",(VLOOKUP(D596,'DB technologies'!$N$280:$Y$292,3,FALSE)*'DB additional information '!$S$7/100*'DB additional information '!$V$7*VLOOKUP($C$595,'DB animal categories'!$C$211:$AC$220,27,FALSE)*E596/1000/1000)/VLOOKUP($C$595,'DB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AA596" s="418" t="str">
        <f>IF(D596="","",(VLOOKUP(D596,'DB technologies'!$N$280:$Y$292,4,FALSE)*('DB additional information '!$S$8/100*'DB additional information '!$V$8*E596/1000/1000)))</f>
        <v/>
      </c>
      <c r="AB596" s="261" t="str">
        <f>IF($C$595=0,"",IF('Calc (ex-animal)'!$F$108=1,"",IF(D596="","",((VLOOKUP($C$595,'Calc (ex-animal)'!$D$108:$Y$112,16,FALSE)-VLOOKUP($C$595,'Calc (ex-animal)'!$D$108:$Y$112,20,FALSE))*F596/100+Y596+Z596+AA596))))</f>
        <v/>
      </c>
      <c r="AC596" s="261" t="str">
        <f>IF($C$595=0,"",IF('Calc (ex-animal)'!$F$108=1,"",IF(D596="","",VLOOKUP($C$595,'Calc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categories'!$C$211:$AC$220,26,FALSE)/24)*F596/100*VLOOKUP(D596,'DB technologies'!$N$280:$R$292,5,FALSE)/100)))</f>
        <v/>
      </c>
      <c r="AD596" s="261" t="str">
        <f>IF($C$595=0,"",IF('Calc (ex-animal)'!$F$108=1,"",IF(D596="","",VLOOKUP($C$595,'Calc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categories'!$C$211:$AC$220,26,FALSE)/24)*F596/100*VLOOKUP(D596,'DB technologies'!$N$280:$Y$292,6,FALSE)/100)))</f>
        <v/>
      </c>
      <c r="AE596" s="262" t="str">
        <f>IF($C$595=0,"",IF('Calc (ex-animal)'!$F$108=1,"",IF(D596="","",VLOOKUP($C$595,'Calc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categories'!$C$211:$AC$220,26,FALSE)/24)*F596/100*VLOOKUP(D596,'DB technologies'!$N$280:$Y$292,7,FALSE)/100)))</f>
        <v/>
      </c>
      <c r="AI596" s="181" t="str">
        <f>IF(D596="","",VLOOKUP(D596,'DB technologies'!$N$280:$Y$292,10,FALSE))</f>
        <v/>
      </c>
      <c r="AJ596" s="449" t="e">
        <f>VLOOKUP($C$595,'DB animal categories'!$C$211:$AN$220,27,FALSE)-VLOOKUP($C$595,'DB animal categories'!$C$211:$AN$220,26,FALSE)*VLOOKUP($C$595,'DB animal categories'!$C$211:$AN$220,25,FALSE)/24</f>
        <v>#N/A</v>
      </c>
      <c r="AK596" s="442" t="str">
        <f>IF(AI596="","",AL596+AM596)</f>
        <v/>
      </c>
      <c r="AL596" s="442" t="str">
        <f>IF(D596="","",IF(AI596=2,(('Calc (ex-animal)'!$G$111*'DB additional information '!$K$23/100*(1-VLOOKUP(D596,'DB technologies'!$N$280:$Y$292,9,FALSE)/100)*'Calc (ex-housing, ex-storage)'!F596/100+'Calc (ex-animal)'!$H$111*'DB additional information '!$L$23/100*(1-VLOOKUP(D596,'DB technologies'!$N$280:$Y$292,9,FALSE)/100)*'Calc (ex-housing, ex-storage)'!F596/100))/VLOOKUP($C$595,'DB animal categories'!$C$211:$AC$220,27,FALSE)*AJ596+I596+J596+K596,IF(AI596=1,('Calc (ex-animal)'!$H$111*'DB additional information '!$L$23/100*(1-VLOOKUP(D596,'DB technologies'!$N$280:$Y$292,9,FALSE)/100)*'Calc (ex-housing, ex-storage)'!F596/100)/VLOOKUP($C$595,'DB animal categories'!$C$211:$AC$220,27,FALSE)*AJ596,IF(AI596=4,('Calc (ex-animal)'!$G$111*'DB additional information '!$K$23/100+'Calc (ex-animal)'!$H$111*'DB additional information '!$L$23/100)*(1-VLOOKUP(D596,'DB technologies'!$N$280:$Y$292,9,FALSE)/100)*'Calc (ex-housing, ex-storage)'!F596/100*VLOOKUP(D596,'DB technologies'!$N$280:$Y$292,11,FALSE)/100/VLOOKUP($C$595,'DB animal categories'!$C$211:$AC$220,27,FALSE)*AJ596,0))))</f>
        <v/>
      </c>
      <c r="AM596" s="442" t="str">
        <f>IF(D596="","",IF(AI596=2,(('Calc (ex-animal)'!$G$111*(1-'DB additional information '!$K$23/100)*(1-VLOOKUP(D596,'DB technologies'!$N$280:$Y$292,8,FALSE)/100)*'Calc (ex-housing, ex-storage)'!F596/100+'Calc (ex-animal)'!$H$111*(1-'DB additional information '!$L$23/100)*(1-VLOOKUP(D596,'DB technologies'!$N$280:$Y$292,8,FALSE)/100)*'Calc (ex-housing, ex-storage)'!F596/100))/VLOOKUP($C$595,'DB animal categories'!$C$211:$AC$220,27,FALSE)*AJ596+M596+N596+O596,IF(AI596=1,('Calc (ex-animal)'!$H$111*(1-'DB additional information '!$L$23/100)*(1-VLOOKUP(D596,'DB technologies'!$N$280:$Y$292,8,FALSE)/100)*'Calc (ex-housing, ex-storage)'!F596/100)/VLOOKUP($C$595,'DB animal categories'!$C$211:$AC$220,27,FALSE)*AJ596,IF(AI596=4,('Calc (ex-animal)'!$G$111*(1-'DB additional information '!$K$23/100)+'Calc (ex-animal)'!$H$111*(1-'DB additional information '!$L$23/100))*(1-VLOOKUP(D596,'DB technologies'!$N$280:$Y$292,8,FALSE)/100)*'Calc (ex-housing, ex-storage)'!F596/100*VLOOKUP(D596,'DB technologies'!$N$280:$Y$292,11,FALSE)/100/VLOOKUP($C$595,'DB animal categories'!$C$211:$AC$220,27,FALSE)*AJ596,0))))</f>
        <v/>
      </c>
      <c r="AN596" s="442" t="str">
        <f>IF(AI596="","",IF(AL596=0,0,AL596/AK596*100))</f>
        <v/>
      </c>
      <c r="AO596" s="182" t="str">
        <f>IF(D596="","",IF(AI596=2,(('Calc (ex-animal)'!$L$111*'Calc (ex-housing, ex-storage)'!F596/100+'Calc (ex-animal)'!$K$111*'Calc (ex-housing, ex-storage)'!F596/100))/VLOOKUP($C$595,'DB animal categories'!$C$211:$AC$220,27,FALSE)*AJ596+Q596+R596+S596-AC596,IF(AI596=1,('Calc (ex-animal)'!$L$111*'Calc (ex-housing, ex-storage)'!F596/100)/VLOOKUP($C$595,'DB animal categories'!$C$211:$AC$220,27,FALSE)*AJ596-'Calc (ex-housing, ex-storage)'!AC596,IF(AI596=4,('Calc (ex-animal)'!$L$111+'Calc (ex-animal)'!$K$111)*'Calc (ex-housing, ex-storage)'!F596/100*VLOOKUP(D596,'DB technologies'!$N$280:$Y$292,11,FALSE)/100/VLOOKUP($C$595,'DB animal categories'!$C$211:$AC$220,27,FALSE)*AJ596-AC596*VLOOKUP(D596,'DB technologies'!$N$280:$Y$292,11,FALSE)/100,0))))</f>
        <v/>
      </c>
      <c r="AP596" s="182" t="str">
        <f>IF(D596="","",IF(AO596&lt;-0.01,0,IF(AI596=2,(('Calc (ex-animal)'!$L$111*'Calc (ex-housing, ex-storage)'!F596/100+'Calc (ex-animal)'!$K$111*'Calc (ex-housing, ex-storage)'!F596/100))/VLOOKUP($C$595,'DB animal categories'!$C$211:$AC$220,27,FALSE)*AJ596+Q596+R596+S596-AC596,IF(AI596=1,('Calc (ex-animal)'!$L$111*'Calc (ex-housing, ex-storage)'!F596/100)/VLOOKUP($C$595,'DB animal categories'!$C$211:$AC$220,27,FALSE)*AJ596-'Calc (ex-housing, ex-storage)'!AC596,IF(AI596=4,('Calc (ex-animal)'!$L$111+'Calc (ex-animal)'!$K$111)*'Calc (ex-housing, ex-storage)'!F596/100*VLOOKUP(D596,'DB technologies'!$N$280:$Y$292,11,FALSE)/100/VLOOKUP($C$595,'DB animal categories'!$C$211:$AC$220,27,FALSE)*AJ596-AC596*VLOOKUP(D596,'DB technologies'!$N$280:$Y$292,11,FALSE)/100,0)))))</f>
        <v/>
      </c>
      <c r="AQ596" s="182" t="str">
        <f>IF(D596="","",IF(AI596=2,('Calc (ex-animal)'!$O$111*'Calc (ex-housing, ex-storage)'!F596/100+'Calc (ex-animal)'!$N$111*'Calc (ex-housing, ex-storage)'!F596/100)/VLOOKUP($C$595,'DB animal categories'!$C$211:$AC$220,27,FALSE)*AJ596+U596+V596+W596,IF(AI596=1,'Calc (ex-animal)'!$O$111*'Calc (ex-housing, ex-storage)'!F596/100/VLOOKUP($C$595,'DB animal categories'!$C$211:$AC$220,27,FALSE)*AJ596,IF(AI596=4,('Calc (ex-animal)'!$O$111+'Calc (ex-animal)'!$N$111)*'Calc (ex-housing, ex-storage)'!F596/100*VLOOKUP(D596,'DB technologies'!$N$280:$Y$292,11,FALSE)/100/VLOOKUP($C$595,'DB animal categories'!$C$211:$AC$220,27,FALSE)*AJ596,0))))</f>
        <v/>
      </c>
      <c r="AR596" s="182" t="str">
        <f>IF(D596="","",IF(AI596=2,('Calc (ex-animal)'!$R$111*'Calc (ex-housing, ex-storage)'!F596/100+'Calc (ex-animal)'!$Q$111*'Calc (ex-housing, ex-storage)'!F596/100)/VLOOKUP($C$595,'DB animal categories'!$C$211:$AC$220,27,FALSE)*AJ596+Y596+Z596+AA596,IF(AI596=1,'Calc (ex-animal)'!$R$111*'Calc (ex-housing, ex-storage)'!F596/100/VLOOKUP($C$595,'DB animal categories'!$C$211:$AC$220,27,FALSE)*AJ596,IF(AI596=4,('Calc (ex-animal)'!$R$111+'Calc (ex-animal)'!$Q$111)*'Calc (ex-housing, ex-storage)'!F596/100*VLOOKUP(D596,'DB technologies'!$N$280:$Y$292,11,FALSE)/100/VLOOKUP($C$595,'DB animal categories'!$C$211:$AC$220,27,FALSE)*AJ596,0))))</f>
        <v/>
      </c>
      <c r="AS596" s="181" t="str">
        <f>IF(D596="","",VLOOKUP(D596,'DB technologies'!$N$280:$Y$292,10,FALSE))</f>
        <v/>
      </c>
      <c r="AT596" s="442" t="str">
        <f>IF(AS596="","",AU596+AV596)</f>
        <v/>
      </c>
      <c r="AU596" s="442" t="str">
        <f>IF(D596="","",IF(AS596=2,0,IF(AS596=1,'Calc (ex-animal)'!$G$111*'DB additional information '!$K$23/100*(1-VLOOKUP(D596,'DB technologies'!$N$280:$Y$292,8,FALSE)/100)*'Calc (ex-housing, ex-storage)'!F596/100/VLOOKUP($C$595,'DB animal categories'!$C$211:$AC$220,27,FALSE)*AJ596+I596+J596+K596,IF(AS596=5,(('Calc (ex-animal)'!$G$111*'DB additional information '!$K$23/100+'Calc (ex-animal)'!$H$111*'DB additional information '!$L$23/100))*(1-VLOOKUP(D596,'DB technologies'!$N$280:$Y$292,9,FALSE)/100)*'Calc (ex-housing, ex-storage)'!F596/100/VLOOKUP($C$595,'DB animal categories'!$C$211:$AC$220,27,FALSE)*AJ596+I596+J596+K596,IF(AS596=3,('Calc (ex-animal)'!$G$111*'DB additional information '!$K$23/100+'Calc (ex-animal)'!$H$111*'DB additional information '!$L$23/100)*(1-VLOOKUP(D596,'DB technologies'!$N$280:$Y$292,9,FALSE)/100)*'Calc (ex-housing, ex-storage)'!F596/100/VLOOKUP($C$595,'DB animal categories'!$C$211:$AC$220,27,FALSE)*AJ596+I596+J596+K596,IF(AS596=4,('Calc (ex-animal)'!$G$111*'DB additional information '!$K$23/100+'Calc (ex-animal)'!$H$111*'DB additional information '!$L$23/100)*(1-VLOOKUP(D596,'DB technologies'!$N$280:$Y$292,9,FALSE)/100)*'Calc (ex-housing, ex-storage)'!F596/100*VLOOKUP(D596,'DB technologies'!$N$280:$Y$292,12,FALSE)/100/VLOOKUP($C$595,'DB animal categories'!$C$211:$AC$220,27,FALSE)*AJ596+I596+J596+K596,0))))))</f>
        <v/>
      </c>
      <c r="AV596" s="442" t="str">
        <f>IF(D596="","",IF(AS596=2,0,IF(AS596=1,'Calc (ex-animal)'!$G$111*(1-'DB additional information '!$K$23/100)*(1-VLOOKUP(D596,'DB technologies'!$N$280:$Y$292,8,FALSE)/100)*'Calc (ex-housing, ex-storage)'!F596/100/VLOOKUP($C$595,'DB animal categories'!$C$211:$AC$220,27,FALSE)*AJ596+M596+N596+O596,IF(AS596=5,('Calc (ex-animal)'!$G$111*(1-'DB additional information '!$K$23/100)+'Calc (ex-animal)'!$H$111*(1-'DB additional information '!$L$23/100))*(1-VLOOKUP(D596,'DB technologies'!$N$280:$Y$292,8,FALSE)/100)*'Calc (ex-housing, ex-storage)'!F596/100/VLOOKUP($C$595,'DB animal categories'!$C$211:$AC$220,27,FALSE)*AJ596+M596+N596+O596,IF(AS596=3,('Calc (ex-animal)'!$G$111*(1-'DB additional information '!$K$23/100)+'Calc (ex-animal)'!$H$111*(1-'DB additional information '!$L$23/100))*(1-VLOOKUP(D596,'DB technologies'!$N$280:$Y$292,8,FALSE)/100)*'Calc (ex-housing, ex-storage)'!F596/100/VLOOKUP($C$595,'DB animal categories'!$C$211:$AC$220,27,FALSE)*AJ596+M596+N596+O596,IF(AS596=4,('Calc (ex-animal)'!$G$111*(1-'DB additional information '!$K$23/100)+'Calc (ex-animal)'!$H$111*(1-'DB additional information '!$L$23/100))*(1-VLOOKUP(D596,'DB technologies'!$N$280:$Y$292,8,FALSE)/100)*'Calc (ex-housing, ex-storage)'!F596/100*VLOOKUP(D596,'DB technologies'!$N$280:$Y$292,12,FALSE)/100/VLOOKUP($C$595,'DB animal categories'!$C$211:$AC$220,27,FALSE)*AJ596+M596+N596+O596,0))))))</f>
        <v/>
      </c>
      <c r="AW596" s="442" t="str">
        <f>IF(AS596="","",IF(AU596=0,0,AU596/AT596*100))</f>
        <v/>
      </c>
      <c r="AX596" s="182" t="str">
        <f>IF(D596="","",IF(AS596=2,0,IF(AS596=1,'Calc (ex-animal)'!$K$111*'Calc (ex-housing, ex-storage)'!F596/100/VLOOKUP($C$595,'DB animal categories'!$C$211:$AC$220,27,FALSE)*AJ596+Q596+R596+S596,IF(AS596=5,('Calc (ex-animal)'!$K$111+'Calc (ex-animal)'!$L$111)*'Calc (ex-housing, ex-storage)'!F596/100/VLOOKUP($C$595,'DB animal categories'!$C$211:$AC$220,27,FALSE)*AJ596+Q596+R596+S596-'Calc (ex-housing, ex-storage)'!AC596,IF(AS596=3,('Calc (ex-animal)'!$K$111+'Calc (ex-animal)'!$L$111)*'Calc (ex-housing, ex-storage)'!F596/100/VLOOKUP($C$595,'DB animal categories'!$C$211:$AC$220,27,FALSE)*AJ596+Q596+R596+S596-'Calc (ex-housing, ex-storage)'!AC596-AD596-AE596,IF(AI596=4,('Calc (ex-animal)'!$K$111+'Calc (ex-animal)'!$L$111)*'Calc (ex-housing, ex-storage)'!F596/100*VLOOKUP(D596,'DB technologies'!$N$280:$Y$292,12,FALSE)/100/VLOOKUP($C$595,'DB animal categories'!$C$211:$AC$220,27,FALSE)*AJ596+Q596+R596+S596-(VLOOKUP(D596,'DB technologies'!$N$280:$Y$292,12,FALSE)/100*AC596)-AD596-AE596,0))))))</f>
        <v/>
      </c>
      <c r="AY596" s="182" t="str">
        <f>IF(D596="","",IF(AS596=2,0,IF(AS596=1,'Calc (ex-animal)'!$N$111*'Calc (ex-housing, ex-storage)'!F596/100/VLOOKUP($C$595,'DB animal categories'!$C$211:$AC$220,27,FALSE)*AJ596+U596+V596+W596,IF(AS596=5,('Calc (ex-animal)'!$N$111+'Calc (ex-animal)'!$O$111)*'Calc (ex-housing, ex-storage)'!F596/100/VLOOKUP($C$595,'DB animal categories'!$C$211:$AC$220,27,FALSE)*AJ596+U596+V596+W596,IF(AS596=3,('Calc (ex-animal)'!$N$111+'Calc (ex-animal)'!$O$111)*'Calc (ex-housing, ex-storage)'!F596/100/VLOOKUP($C$595,'DB animal categories'!$C$211:$AC$220,27,FALSE)*AJ596+U596+V596+W596,IF(AS596=4,('Calc (ex-animal)'!$N$111+'Calc (ex-animal)'!$O$111)*'Calc (ex-housing, ex-storage)'!F596/100*VLOOKUP(D596,'DB technologies'!$N$280:$Y$292,12,FALSE)/100/VLOOKUP($C$595,'DB animal categories'!$C$211:$AC$220,27,FALSE)*AJ596+U596+V596+W596,0))))))</f>
        <v/>
      </c>
      <c r="AZ596" s="182" t="str">
        <f>IF(D596="","",IF(AS596=2,0,IF(AS596=1,'Calc (ex-animal)'!$Q$111*'Calc (ex-housing, ex-storage)'!F596/100/VLOOKUP($C$595,'DB animal categories'!$C$211:$AC$220,27,FALSE)*AJ596+Y596+Z596+AA596,IF(AS596=5,('Calc (ex-animal)'!$Q$111+'Calc (ex-animal)'!$R$111)*'Calc (ex-housing, ex-storage)'!F596/100/VLOOKUP($C$595,'DB animal categories'!$C$211:$AC$220,27,FALSE)*AJ596+Y596+Z596+AA596,IF(AS596=3,('Calc (ex-animal)'!$Q$111+'Calc (ex-animal)'!$R$111)*'Calc (ex-housing, ex-storage)'!F596/100/VLOOKUP($C$595,'DB animal categories'!$C$211:$AC$220,27,FALSE)*AJ596+Y596+Z596+AA596,IF(AS596=4,('Calc (ex-animal)'!$Q$111+'Calc (ex-animal)'!$R$111)*'Calc (ex-housing, ex-storage)'!F596/100*VLOOKUP(D596,'DB technologies'!$N$280:$Y$292,12,FALSE)/100/VLOOKUP($C$595,'DB animal categories'!$C$211:$AC$220,27,FALSE)*AJ596+Y596+Z596+AA596,0))))))</f>
        <v/>
      </c>
      <c r="BA596" s="506"/>
      <c r="BB596" s="506"/>
      <c r="BC596" s="506"/>
    </row>
    <row r="597" spans="1:55" x14ac:dyDescent="0.2">
      <c r="A597" s="748"/>
      <c r="B597" s="695"/>
      <c r="C597" s="251"/>
      <c r="D597" s="1357"/>
      <c r="E597" s="1358"/>
      <c r="F597" s="480" t="str">
        <f>IF('Calc (ex-animal)'!$F$108=1,"",IF($C$595=0,"",IF(D597="","",E597/'Calc (ex-animal)'!$E$111*100)))</f>
        <v/>
      </c>
      <c r="G597" s="485" t="str">
        <f>IF($C$595=0,"",IF('Calc (ex-animal)'!$F$108=1,"",IF(D597="","",SUM(H597:O597))))</f>
        <v/>
      </c>
      <c r="H597" s="423" t="str">
        <f>IF('Calc (ex-animal)'!$F$108=1,"",IF(D597="","",(((VLOOKUP($C$595,'Calc (ex-animal)'!$D$108:$Y$112,6,FALSE)-VLOOKUP($C$595,'Calc (ex-animal)'!$D$108:$Y$112,17,FALSE))*F597/100))*VLOOKUP($C$595,'Calc (ex-animal)'!$D$108:$Y$112,7,FALSE)/100*(1-VLOOKUP(D597,'DB technologies'!$N$280:$Y$292,9,FALSE)/100)))</f>
        <v/>
      </c>
      <c r="I597" s="423" t="str">
        <f>IF(D597="","",((VLOOKUP(D597,'DB technologies'!$N$280:$Y$292,2,FALSE)*VLOOKUP($C$595,'DB animal categories'!$C$211:$AC$220,27,FALSE)*E597/1000)/VLOOKUP($C$595,'DB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'!$S$6/100*(1-VLOOKUP(D597,'DB technologies'!$N$280:$Y$292,9,FALSE)/100)))</f>
        <v/>
      </c>
      <c r="J597" s="434" t="str">
        <f>IF(D597="","",((VLOOKUP(D597,'DB technologies'!$N$280:$Y$292,3,FALSE)*VLOOKUP($C$595,'DB animal categories'!$C$211:$AC$220,27,FALSE)*E597/1000)/VLOOKUP($C$595,'DB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'!$S$7/100*(1-VLOOKUP(D597,'DB technologies'!$N$280:$Y$292,9,FALSE)/100)))</f>
        <v/>
      </c>
      <c r="K597" s="434" t="str">
        <f>IF(D597="","",((VLOOKUP(D597,'DB technologies'!$N$280:$Y$292,4,FALSE)*E597*'DB additional information '!$S$8/100*(1-VLOOKUP(D597,'DB technologies'!$N$280:$Y$292,9,FALSE)/100))/VLOOKUP($C$595,'DB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L597" s="423" t="str">
        <f>IF('Calc (ex-animal)'!$F$108=1,"",IF(D597="","",(((VLOOKUP($C$595,'Calc (ex-animal)'!$D$108:$Y$112,6,FALSE)-VLOOKUP($C$595,'Calc (ex-animal)'!$D$108:$Y$112,17,FALSE))*F597/100))*(1-VLOOKUP($C$595,'Calc (ex-animal)'!$D$108:$Y$112,7,FALSE)/100)*(1-VLOOKUP(D597,'DB technologies'!$N$280:$V$292,8,FALSE)/100)))</f>
        <v/>
      </c>
      <c r="M597" s="434" t="str">
        <f>IF(D597="","",((VLOOKUP(D597,'DB technologies'!$N$280:$Y$292,2,FALSE)*VLOOKUP($C$595,'DB animal categories'!$C$211:$AC$220,27,FALSE)*E597/1000)/VLOOKUP($C$595,'DB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'!$S$6/100)*(1-VLOOKUP(D597,'DB technologies'!$N$280:$Y$292,9,FALSE)/100))</f>
        <v/>
      </c>
      <c r="N597" s="434" t="str">
        <f>IF(D597="","",((VLOOKUP(D597,'DB technologies'!$N$280:$Y$292,3,FALSE)*VLOOKUP($C$595,'DB animal categories'!$C$211:$AC$220,27,FALSE)*E597/1000)/VLOOKUP($C$595,'DB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'!$S$7/100)*(1-VLOOKUP(D597,'DB technologies'!$N$280:$Y$292,9,FALSE)/100))</f>
        <v/>
      </c>
      <c r="O597" s="423" t="str">
        <f>IF(D597="","",((VLOOKUP(D597,'DB technologies'!$N$280:$Y$292,4,FALSE)*E597*(1-'DB additional information '!$S$8/100)*(1-VLOOKUP(D597,'DB technologies'!$N$280:$Y$292,8,FALSE)/100))/VLOOKUP($C$595,'DB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P597" s="438" t="str">
        <f>IF(G597=0,0,IF(E597="","",IF(F597="","",IF($C$595=0,"",IF(D597="","",SUM(H597:K597)/G597*100)))))</f>
        <v/>
      </c>
      <c r="Q597" s="416" t="str">
        <f>IF(D597="","",(VLOOKUP(D597,'DB technologies'!$N$280:$Y$292,2,FALSE)*'DB additional information '!$S$6/100*'DB additional information '!$T$6*VLOOKUP($C$595,'DB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R597" s="416" t="str">
        <f>IF(D597="","",(VLOOKUP(D597,'DB technologies'!$N$280:$Y$292,3,FALSE)*'DB additional information '!$S$7/100*'DB additional information '!$T$7*VLOOKUP($C$595,'DB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S597" s="491" t="str">
        <f>IF(D597="","",(VLOOKUP(D597,'DB technologies'!$N$280:$Y$292,4,FALSE)*('DB additional information '!$S$8/100*'DB additional information '!$T$8*E597/1000/1000)))</f>
        <v/>
      </c>
      <c r="T597" s="264" t="str">
        <f>IF($C$595=0,"",IF('Calc (ex-animal)'!$F$108=1,"",IF(D597="","",((VLOOKUP($C$595,'Calc (ex-animal)'!$D$108:$Y$112,10,FALSE)-VLOOKUP($C$595,'Calc (ex-animal)'!$D$108:$Y$112,18,FALSE))*F597/100+Q597+R597+S597)-AC597-AD597-AE597)))</f>
        <v/>
      </c>
      <c r="U597" s="422" t="str">
        <f>IF(D597="","",(VLOOKUP(D597,'DB technologies'!$N$280:$Y$292,2,FALSE)*'DB additional information '!$S$6/100*'DB additional information '!$U$6*VLOOKUP($C$595,'DB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V597" s="418" t="str">
        <f>IF(D597="","",(VLOOKUP(D597,'DB technologies'!$N$280:$Y$292,3,FALSE)*'DB additional information '!$S$7/100*'DB additional information '!$U$7*VLOOKUP($C$595,'DB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W597" s="417" t="str">
        <f>IF(D597="","",(VLOOKUP(D597,'DB technologies'!$N$280:$Y$292,4,FALSE)*('DB additional information '!$S$8/100*'DB additional information '!$U$8*E597/1000/1000)))</f>
        <v/>
      </c>
      <c r="X597" s="261" t="str">
        <f>IF($C$595=0,"",IF('Calc (ex-animal)'!$F$108=1,"",IF(D597="","",((VLOOKUP($C$595,'Calc (ex-animal)'!$D$108:$Y$112,13,FALSE)-VLOOKUP($C$595,'Calc (ex-animal)'!$D$108:$Y$112,19,FALSE))*F597/100+U597+V597+W597))))</f>
        <v/>
      </c>
      <c r="Y597" s="418" t="str">
        <f>IF(D597="","",(VLOOKUP(D597,'DB technologies'!$N$280:$Y$292,2,FALSE)*'DB additional information '!$S$6/100*'DB additional information '!$V$6*VLOOKUP($C$595,'DB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Z597" s="418" t="str">
        <f>IF(D597="","",(VLOOKUP(D597,'DB technologies'!$N$280:$Y$292,3,FALSE)*'DB additional information '!$S$7/100*'DB additional information '!$V$7*VLOOKUP($C$595,'DB animal categories'!$C$211:$AC$220,27,FALSE)*E597/1000/1000)/VLOOKUP($C$595,'DB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AA597" s="418" t="str">
        <f>IF(D597="","",(VLOOKUP(D597,'DB technologies'!$N$280:$Y$292,4,FALSE)*('DB additional information '!$S$8/100*'DB additional information '!$V$8*E597/1000/1000)))</f>
        <v/>
      </c>
      <c r="AB597" s="261" t="str">
        <f>IF($C$595=0,"",IF('Calc (ex-animal)'!$F$108=1,"",IF(D597="","",((VLOOKUP($C$595,'Calc (ex-animal)'!$D$108:$Y$112,16,FALSE)-VLOOKUP($C$595,'Calc (ex-animal)'!$D$108:$Y$112,20,FALSE))*F597/100+Y597+Z597+AA597))))</f>
        <v/>
      </c>
      <c r="AC597" s="261" t="str">
        <f>IF($C$595=0,"",IF('Calc (ex-animal)'!$F$108=1,"",IF(D597="","",VLOOKUP($C$595,'Calc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categories'!$C$211:$AC$220,26,FALSE)/24)*F597/100*VLOOKUP(D597,'DB technologies'!$N$280:$R$292,5,FALSE)/100)))</f>
        <v/>
      </c>
      <c r="AD597" s="261" t="str">
        <f>IF($C$595=0,"",IF('Calc (ex-animal)'!$F$108=1,"",IF(D597="","",VLOOKUP($C$595,'Calc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categories'!$C$211:$AC$220,26,FALSE)/24)*F597/100*VLOOKUP(D597,'DB technologies'!$N$280:$Y$292,6,FALSE)/100)))</f>
        <v/>
      </c>
      <c r="AE597" s="262" t="str">
        <f>IF($C$595=0,"",IF('Calc (ex-animal)'!$F$108=1,"",IF(D597="","",VLOOKUP($C$595,'Calc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categories'!$C$211:$AC$220,26,FALSE)/24)*F597/100*VLOOKUP(D597,'DB technologies'!$N$280:$Y$292,7,FALSE)/100)))</f>
        <v/>
      </c>
      <c r="AI597" s="181" t="str">
        <f>IF(D597="","",VLOOKUP(D597,'DB technologies'!$N$280:$Y$292,10,FALSE))</f>
        <v/>
      </c>
      <c r="AJ597" s="449" t="e">
        <f>VLOOKUP($C$595,'DB animal categories'!$C$211:$AN$220,27,FALSE)-VLOOKUP($C$595,'DB animal categories'!$C$211:$AN$220,26,FALSE)*VLOOKUP($C$595,'DB animal categories'!$C$211:$AN$220,25,FALSE)/24</f>
        <v>#N/A</v>
      </c>
      <c r="AK597" s="442" t="str">
        <f>IF(AI597="","",AL597+AM597)</f>
        <v/>
      </c>
      <c r="AL597" s="442" t="str">
        <f>IF(D597="","",IF(AI597=2,(('Calc (ex-animal)'!$G$111*'DB additional information '!$K$23/100*(1-VLOOKUP(D597,'DB technologies'!$N$280:$Y$292,9,FALSE)/100)*'Calc (ex-housing, ex-storage)'!F597/100+'Calc (ex-animal)'!$H$111*'DB additional information '!$L$23/100*(1-VLOOKUP(D597,'DB technologies'!$N$280:$Y$292,9,FALSE)/100)*'Calc (ex-housing, ex-storage)'!F597/100))/VLOOKUP($C$595,'DB animal categories'!$C$211:$AC$220,27,FALSE)*AJ597+I597+J597+K597,IF(AI597=1,('Calc (ex-animal)'!$H$111*'DB additional information '!$L$23/100*(1-VLOOKUP(D597,'DB technologies'!$N$280:$Y$292,9,FALSE)/100)*'Calc (ex-housing, ex-storage)'!F597/100)/VLOOKUP($C$595,'DB animal categories'!$C$211:$AC$220,27,FALSE)*AJ597,IF(AI597=4,('Calc (ex-animal)'!$G$111*'DB additional information '!$K$23/100+'Calc (ex-animal)'!$H$111*'DB additional information '!$L$23/100)*(1-VLOOKUP(D597,'DB technologies'!$N$280:$Y$292,9,FALSE)/100)*'Calc (ex-housing, ex-storage)'!F597/100*VLOOKUP(D597,'DB technologies'!$N$280:$Y$292,11,FALSE)/100/VLOOKUP($C$595,'DB animal categories'!$C$211:$AC$220,27,FALSE)*AJ597,0))))</f>
        <v/>
      </c>
      <c r="AM597" s="442" t="str">
        <f>IF(D597="","",IF(AI597=2,(('Calc (ex-animal)'!$G$111*(1-'DB additional information '!$K$23/100)*(1-VLOOKUP(D597,'DB technologies'!$N$280:$Y$292,8,FALSE)/100)*'Calc (ex-housing, ex-storage)'!F597/100+'Calc (ex-animal)'!$H$111*(1-'DB additional information '!$L$23/100)*(1-VLOOKUP(D597,'DB technologies'!$N$280:$Y$292,8,FALSE)/100)*'Calc (ex-housing, ex-storage)'!F597/100))/VLOOKUP($C$595,'DB animal categories'!$C$211:$AC$220,27,FALSE)*AJ597+M597+N597+O597,IF(AI597=1,('Calc (ex-animal)'!$H$111*(1-'DB additional information '!$L$23/100)*(1-VLOOKUP(D597,'DB technologies'!$N$280:$Y$292,8,FALSE)/100)*'Calc (ex-housing, ex-storage)'!F597/100)/VLOOKUP($C$595,'DB animal categories'!$C$211:$AC$220,27,FALSE)*AJ597,IF(AI597=4,('Calc (ex-animal)'!$G$111*(1-'DB additional information '!$K$23/100)+'Calc (ex-animal)'!$H$111*(1-'DB additional information '!$L$23/100))*(1-VLOOKUP(D597,'DB technologies'!$N$280:$Y$292,8,FALSE)/100)*'Calc (ex-housing, ex-storage)'!F597/100*VLOOKUP(D597,'DB technologies'!$N$280:$Y$292,11,FALSE)/100/VLOOKUP($C$595,'DB animal categories'!$C$211:$AC$220,27,FALSE)*AJ597,0))))</f>
        <v/>
      </c>
      <c r="AN597" s="442" t="str">
        <f>IF(AI597="","",IF(AL597=0,0,AL597/AK597*100))</f>
        <v/>
      </c>
      <c r="AO597" s="182" t="str">
        <f>IF(D597="","",IF(AI597=2,(('Calc (ex-animal)'!$L$111*'Calc (ex-housing, ex-storage)'!F597/100+'Calc (ex-animal)'!$K$111*'Calc (ex-housing, ex-storage)'!F597/100))/VLOOKUP($C$595,'DB animal categories'!$C$211:$AC$220,27,FALSE)*AJ597+Q597+R597+S597-AC597,IF(AI597=1,('Calc (ex-animal)'!$L$111*'Calc (ex-housing, ex-storage)'!F597/100)/VLOOKUP($C$595,'DB animal categories'!$C$211:$AC$220,27,FALSE)*AJ597-'Calc (ex-housing, ex-storage)'!AC597,IF(AI597=4,('Calc (ex-animal)'!$L$111+'Calc (ex-animal)'!$K$111)*'Calc (ex-housing, ex-storage)'!F597/100*VLOOKUP(D597,'DB technologies'!$N$280:$Y$292,11,FALSE)/100/VLOOKUP($C$595,'DB animal categories'!$C$211:$AC$220,27,FALSE)*AJ597-AC597*VLOOKUP(D597,'DB technologies'!$N$280:$Y$292,11,FALSE)/100,0))))</f>
        <v/>
      </c>
      <c r="AP597" s="182" t="str">
        <f>IF(D597="","",IF(AO597&lt;-0.01,0,IF(AI597=2,(('Calc (ex-animal)'!$L$111*'Calc (ex-housing, ex-storage)'!F597/100+'Calc (ex-animal)'!$K$111*'Calc (ex-housing, ex-storage)'!F597/100))/VLOOKUP($C$595,'DB animal categories'!$C$211:$AC$220,27,FALSE)*AJ597+Q597+R597+S597-AC597,IF(AI597=1,('Calc (ex-animal)'!$L$111*'Calc (ex-housing, ex-storage)'!F597/100)/VLOOKUP($C$595,'DB animal categories'!$C$211:$AC$220,27,FALSE)*AJ597-'Calc (ex-housing, ex-storage)'!AC597,IF(AI597=4,('Calc (ex-animal)'!$L$111+'Calc (ex-animal)'!$K$111)*'Calc (ex-housing, ex-storage)'!F597/100*VLOOKUP(D597,'DB technologies'!$N$280:$Y$292,11,FALSE)/100/VLOOKUP($C$595,'DB animal categories'!$C$211:$AC$220,27,FALSE)*AJ597-AC597*VLOOKUP(D597,'DB technologies'!$N$280:$Y$292,11,FALSE)/100,0)))))</f>
        <v/>
      </c>
      <c r="AQ597" s="182" t="str">
        <f>IF(D597="","",IF(AI597=2,('Calc (ex-animal)'!$O$111*'Calc (ex-housing, ex-storage)'!F597/100+'Calc (ex-animal)'!$N$111*'Calc (ex-housing, ex-storage)'!F597/100)/VLOOKUP($C$595,'DB animal categories'!$C$211:$AC$220,27,FALSE)*AJ597+U597+V597+W597,IF(AI597=1,'Calc (ex-animal)'!$O$111*'Calc (ex-housing, ex-storage)'!F597/100/VLOOKUP($C$595,'DB animal categories'!$C$211:$AC$220,27,FALSE)*AJ597,IF(AI597=4,('Calc (ex-animal)'!$O$111+'Calc (ex-animal)'!$N$111)*'Calc (ex-housing, ex-storage)'!F597/100*VLOOKUP(D597,'DB technologies'!$N$280:$Y$292,11,FALSE)/100/VLOOKUP($C$595,'DB animal categories'!$C$211:$AC$220,27,FALSE)*AJ597,0))))</f>
        <v/>
      </c>
      <c r="AR597" s="182" t="str">
        <f>IF(D597="","",IF(AI597=2,('Calc (ex-animal)'!$R$111*'Calc (ex-housing, ex-storage)'!F597/100+'Calc (ex-animal)'!$Q$111*'Calc (ex-housing, ex-storage)'!F597/100)/VLOOKUP($C$595,'DB animal categories'!$C$211:$AC$220,27,FALSE)*AJ597+Y597+Z597+AA597,IF(AI597=1,'Calc (ex-animal)'!$R$111*'Calc (ex-housing, ex-storage)'!F597/100/VLOOKUP($C$595,'DB animal categories'!$C$211:$AC$220,27,FALSE)*AJ597,IF(AI597=4,('Calc (ex-animal)'!$R$111+'Calc (ex-animal)'!$Q$111)*'Calc (ex-housing, ex-storage)'!F597/100*VLOOKUP(D597,'DB technologies'!$N$280:$Y$292,11,FALSE)/100/VLOOKUP($C$595,'DB animal categories'!$C$211:$AC$220,27,FALSE)*AJ597,0))))</f>
        <v/>
      </c>
      <c r="AS597" s="181" t="str">
        <f>IF(D597="","",VLOOKUP(D597,'DB technologies'!$N$280:$Y$292,10,FALSE))</f>
        <v/>
      </c>
      <c r="AT597" s="442" t="str">
        <f>IF(AS597="","",AU597+AV597)</f>
        <v/>
      </c>
      <c r="AU597" s="442" t="str">
        <f>IF(D597="","",IF(AS597=2,0,IF(AS597=1,'Calc (ex-animal)'!$G$111*'DB additional information '!$K$23/100*(1-VLOOKUP(D597,'DB technologies'!$N$280:$Y$292,8,FALSE)/100)*'Calc (ex-housing, ex-storage)'!F597/100/VLOOKUP($C$595,'DB animal categories'!$C$211:$AC$220,27,FALSE)*AJ597+I597+J597+K597,IF(AS597=5,(('Calc (ex-animal)'!$G$111*'DB additional information '!$K$23/100+'Calc (ex-animal)'!$H$111*'DB additional information '!$L$23/100))*(1-VLOOKUP(D597,'DB technologies'!$N$280:$Y$292,9,FALSE)/100)*'Calc (ex-housing, ex-storage)'!F597/100/VLOOKUP($C$595,'DB animal categories'!$C$211:$AC$220,27,FALSE)*AJ597+I597+J597+K597,IF(AS597=3,('Calc (ex-animal)'!$G$111*'DB additional information '!$K$23/100+'Calc (ex-animal)'!$H$111*'DB additional information '!$L$23/100)*(1-VLOOKUP(D597,'DB technologies'!$N$280:$Y$292,9,FALSE)/100)*'Calc (ex-housing, ex-storage)'!F597/100/VLOOKUP($C$595,'DB animal categories'!$C$211:$AC$220,27,FALSE)*AJ597+I597+J597+K597,IF(AS597=4,('Calc (ex-animal)'!$G$111*'DB additional information '!$K$23/100+'Calc (ex-animal)'!$H$111*'DB additional information '!$L$23/100)*(1-VLOOKUP(D597,'DB technologies'!$N$280:$Y$292,9,FALSE)/100)*'Calc (ex-housing, ex-storage)'!F597/100*VLOOKUP(D597,'DB technologies'!$N$280:$Y$292,12,FALSE)/100/VLOOKUP($C$595,'DB animal categories'!$C$211:$AC$220,27,FALSE)*AJ597+I597+J597+K597,0))))))</f>
        <v/>
      </c>
      <c r="AV597" s="442" t="str">
        <f>IF(D597="","",IF(AS597=2,0,IF(AS597=1,'Calc (ex-animal)'!$G$111*(1-'DB additional information '!$K$23/100)*(1-VLOOKUP(D597,'DB technologies'!$N$280:$Y$292,8,FALSE)/100)*'Calc (ex-housing, ex-storage)'!F597/100/VLOOKUP($C$595,'DB animal categories'!$C$211:$AC$220,27,FALSE)*AJ597+M597+N597+O597,IF(AS597=5,('Calc (ex-animal)'!$G$111*(1-'DB additional information '!$K$23/100)+'Calc (ex-animal)'!$H$111*(1-'DB additional information '!$L$23/100))*(1-VLOOKUP(D597,'DB technologies'!$N$280:$Y$292,8,FALSE)/100)*'Calc (ex-housing, ex-storage)'!F597/100/VLOOKUP($C$595,'DB animal categories'!$C$211:$AC$220,27,FALSE)*AJ597+M597+N597+O597,IF(AS597=3,('Calc (ex-animal)'!$G$111*(1-'DB additional information '!$K$23/100)+'Calc (ex-animal)'!$H$111*(1-'DB additional information '!$L$23/100))*(1-VLOOKUP(D597,'DB technologies'!$N$280:$Y$292,8,FALSE)/100)*'Calc (ex-housing, ex-storage)'!F597/100/VLOOKUP($C$595,'DB animal categories'!$C$211:$AC$220,27,FALSE)*AJ597+M597+N597+O597,IF(AS597=4,('Calc (ex-animal)'!$G$111*(1-'DB additional information '!$K$23/100)+'Calc (ex-animal)'!$H$111*(1-'DB additional information '!$L$23/100))*(1-VLOOKUP(D597,'DB technologies'!$N$280:$Y$292,8,FALSE)/100)*'Calc (ex-housing, ex-storage)'!F597/100*VLOOKUP(D597,'DB technologies'!$N$280:$Y$292,12,FALSE)/100/VLOOKUP($C$595,'DB animal categories'!$C$211:$AC$220,27,FALSE)*AJ597+M597+N597+O597,0))))))</f>
        <v/>
      </c>
      <c r="AW597" s="442" t="str">
        <f>IF(AS597="","",IF(AU597=0,0,AU597/AT597*100))</f>
        <v/>
      </c>
      <c r="AX597" s="182" t="str">
        <f>IF(D597="","",IF(AS597=2,0,IF(AS597=1,'Calc (ex-animal)'!$K$111*'Calc (ex-housing, ex-storage)'!F597/100/VLOOKUP($C$595,'DB animal categories'!$C$211:$AC$220,27,FALSE)*AJ597+Q597+R597+S597,IF(AS597=5,('Calc (ex-animal)'!$K$111+'Calc (ex-animal)'!$L$111)*'Calc (ex-housing, ex-storage)'!F597/100/VLOOKUP($C$595,'DB animal categories'!$C$211:$AC$220,27,FALSE)*AJ597+Q597+R597+S597-'Calc (ex-housing, ex-storage)'!AC597,IF(AS597=3,('Calc (ex-animal)'!$K$111+'Calc (ex-animal)'!$L$111)*'Calc (ex-housing, ex-storage)'!F597/100/VLOOKUP($C$595,'DB animal categories'!$C$211:$AC$220,27,FALSE)*AJ597+Q597+R597+S597-'Calc (ex-housing, ex-storage)'!AC597-AD597-AE597,IF(AI597=4,('Calc (ex-animal)'!$K$111+'Calc (ex-animal)'!$L$111)*'Calc (ex-housing, ex-storage)'!F597/100*VLOOKUP(D597,'DB technologies'!$N$280:$Y$292,12,FALSE)/100/VLOOKUP($C$595,'DB animal categories'!$C$211:$AC$220,27,FALSE)*AJ597+Q597+R597+S597-(VLOOKUP(D597,'DB technologies'!$N$280:$Y$292,12,FALSE)/100*AC597)-AD597-AE597,0))))))</f>
        <v/>
      </c>
      <c r="AY597" s="182" t="str">
        <f>IF(D597="","",IF(AS597=2,0,IF(AS597=1,'Calc (ex-animal)'!$N$111*'Calc (ex-housing, ex-storage)'!F597/100/VLOOKUP($C$595,'DB animal categories'!$C$211:$AC$220,27,FALSE)*AJ597+U597+V597+W597,IF(AS597=5,('Calc (ex-animal)'!$N$111+'Calc (ex-animal)'!$O$111)*'Calc (ex-housing, ex-storage)'!F597/100/VLOOKUP($C$595,'DB animal categories'!$C$211:$AC$220,27,FALSE)*AJ597+U597+V597+W597,IF(AS597=3,('Calc (ex-animal)'!$N$111+'Calc (ex-animal)'!$O$111)*'Calc (ex-housing, ex-storage)'!F597/100/VLOOKUP($C$595,'DB animal categories'!$C$211:$AC$220,27,FALSE)*AJ597+U597+V597+W597,IF(AS597=4,('Calc (ex-animal)'!$N$111+'Calc (ex-animal)'!$O$111)*'Calc (ex-housing, ex-storage)'!F597/100*VLOOKUP(D597,'DB technologies'!$N$280:$Y$292,12,FALSE)/100/VLOOKUP($C$595,'DB animal categories'!$C$211:$AC$220,27,FALSE)*AJ597+U597+V597+W597,0))))))</f>
        <v/>
      </c>
      <c r="AZ597" s="182" t="str">
        <f>IF(D597="","",IF(AS597=2,0,IF(AS597=1,'Calc (ex-animal)'!$Q$111*'Calc (ex-housing, ex-storage)'!F597/100/VLOOKUP($C$595,'DB animal categories'!$C$211:$AC$220,27,FALSE)*AJ597+Y597+Z597+AA597,IF(AS597=5,('Calc (ex-animal)'!$Q$111+'Calc (ex-animal)'!$R$111)*'Calc (ex-housing, ex-storage)'!F597/100/VLOOKUP($C$595,'DB animal categories'!$C$211:$AC$220,27,FALSE)*AJ597+Y597+Z597+AA597,IF(AS597=3,('Calc (ex-animal)'!$Q$111+'Calc (ex-animal)'!$R$111)*'Calc (ex-housing, ex-storage)'!F597/100/VLOOKUP($C$595,'DB animal categories'!$C$211:$AC$220,27,FALSE)*AJ597+Y597+Z597+AA597,IF(AS597=4,('Calc (ex-animal)'!$Q$111+'Calc (ex-animal)'!$R$111)*'Calc (ex-housing, ex-storage)'!F597/100*VLOOKUP(D597,'DB technologies'!$N$280:$Y$292,12,FALSE)/100/VLOOKUP($C$595,'DB animal categories'!$C$211:$AC$220,27,FALSE)*AJ597+Y597+Z597+AA597,0))))))</f>
        <v/>
      </c>
      <c r="BA597" s="506"/>
      <c r="BB597" s="506"/>
      <c r="BC597" s="506"/>
    </row>
    <row r="598" spans="1:55" x14ac:dyDescent="0.2">
      <c r="A598" s="748"/>
      <c r="B598" s="695"/>
      <c r="C598" s="251"/>
      <c r="D598" s="1357"/>
      <c r="E598" s="1358"/>
      <c r="F598" s="480" t="str">
        <f>IF('Calc (ex-animal)'!$F$108=1,"",IF($C$595=0,"",IF(D598="","",E598/'Calc (ex-animal)'!$E$111*100)))</f>
        <v/>
      </c>
      <c r="G598" s="485" t="str">
        <f>IF($C$595=0,"",IF('Calc (ex-animal)'!$F$108=1,"",IF(D598="","",SUM(H598:O598))))</f>
        <v/>
      </c>
      <c r="H598" s="423" t="str">
        <f>IF('Calc (ex-animal)'!$F$108=1,"",IF(D598="","",(((VLOOKUP($C$595,'Calc (ex-animal)'!$D$108:$Y$112,6,FALSE)-VLOOKUP($C$595,'Calc (ex-animal)'!$D$108:$Y$112,17,FALSE))*F598/100))*VLOOKUP($C$595,'Calc (ex-animal)'!$D$108:$Y$112,7,FALSE)/100*(1-VLOOKUP(D598,'DB technologies'!$N$280:$Y$292,9,FALSE)/100)))</f>
        <v/>
      </c>
      <c r="I598" s="423" t="str">
        <f>IF(D598="","",((VLOOKUP(D598,'DB technologies'!$N$280:$Y$292,2,FALSE)*VLOOKUP($C$595,'DB animal categories'!$C$211:$AC$220,27,FALSE)*E598/1000)/VLOOKUP($C$595,'DB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'!$S$6/100*(1-VLOOKUP(D598,'DB technologies'!$N$280:$Y$292,9,FALSE)/100)))</f>
        <v/>
      </c>
      <c r="J598" s="434" t="str">
        <f>IF(D598="","",((VLOOKUP(D598,'DB technologies'!$N$280:$Y$292,3,FALSE)*VLOOKUP($C$595,'DB animal categories'!$C$211:$AC$220,27,FALSE)*E598/1000)/VLOOKUP($C$595,'DB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'!$S$7/100*(1-VLOOKUP(D598,'DB technologies'!$N$280:$Y$292,9,FALSE)/100)))</f>
        <v/>
      </c>
      <c r="K598" s="434" t="str">
        <f>IF(D598="","",((VLOOKUP(D598,'DB technologies'!$N$280:$Y$292,4,FALSE)*E598*'DB additional information '!$S$8/100*(1-VLOOKUP(D598,'DB technologies'!$N$280:$Y$292,9,FALSE)/100))/VLOOKUP($C$595,'DB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L598" s="423" t="str">
        <f>IF('Calc (ex-animal)'!$F$108=1,"",IF(D598="","",(((VLOOKUP($C$595,'Calc (ex-animal)'!$D$108:$Y$112,6,FALSE)-VLOOKUP($C$595,'Calc (ex-animal)'!$D$108:$Y$112,17,FALSE))*F598/100))*(1-VLOOKUP($C$595,'Calc (ex-animal)'!$D$108:$Y$112,7,FALSE)/100)*(1-VLOOKUP(D598,'DB technologies'!$N$280:$V$292,8,FALSE)/100)))</f>
        <v/>
      </c>
      <c r="M598" s="434" t="str">
        <f>IF(D598="","",((VLOOKUP(D598,'DB technologies'!$N$280:$Y$292,2,FALSE)*VLOOKUP($C$595,'DB animal categories'!$C$211:$AC$220,27,FALSE)*E598/1000)/VLOOKUP($C$595,'DB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'!$S$6/100)*(1-VLOOKUP(D598,'DB technologies'!$N$280:$Y$292,9,FALSE)/100))</f>
        <v/>
      </c>
      <c r="N598" s="434" t="str">
        <f>IF(D598="","",((VLOOKUP(D598,'DB technologies'!$N$280:$Y$292,3,FALSE)*VLOOKUP($C$595,'DB animal categories'!$C$211:$AC$220,27,FALSE)*E598/1000)/VLOOKUP($C$595,'DB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'!$S$7/100)*(1-VLOOKUP(D598,'DB technologies'!$N$280:$Y$292,9,FALSE)/100))</f>
        <v/>
      </c>
      <c r="O598" s="423" t="str">
        <f>IF(D598="","",((VLOOKUP(D598,'DB technologies'!$N$280:$Y$292,4,FALSE)*E598*(1-'DB additional information '!$S$8/100)*(1-VLOOKUP(D598,'DB technologies'!$N$280:$Y$292,8,FALSE)/100))/VLOOKUP($C$595,'DB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P598" s="438" t="str">
        <f>IF(G598=0,0,IF(E598="","",IF(F598="","",IF($C$595=0,"",IF(D598="","",SUM(H598:K598)/G598*100)))))</f>
        <v/>
      </c>
      <c r="Q598" s="416" t="str">
        <f>IF(D598="","",(VLOOKUP(D598,'DB technologies'!$N$280:$Y$292,2,FALSE)*'DB additional information '!$S$6/100*'DB additional information '!$T$6*VLOOKUP($C$595,'DB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R598" s="416" t="str">
        <f>IF(D598="","",(VLOOKUP(D598,'DB technologies'!$N$280:$Y$292,3,FALSE)*'DB additional information '!$S$7/100*'DB additional information '!$T$7*VLOOKUP($C$595,'DB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S598" s="491" t="str">
        <f>IF(D598="","",(VLOOKUP(D598,'DB technologies'!$N$280:$Y$292,4,FALSE)*('DB additional information '!$S$8/100*'DB additional information '!$T$8*E598/1000/1000)))</f>
        <v/>
      </c>
      <c r="T598" s="264" t="str">
        <f>IF($C$595=0,"",IF('Calc (ex-animal)'!$F$108=1,"",IF(D598="","",((VLOOKUP($C$595,'Calc (ex-animal)'!$D$108:$Y$112,10,FALSE)-VLOOKUP($C$595,'Calc (ex-animal)'!$D$108:$Y$112,18,FALSE))*F598/100+Q598+R598+S598)-AC598-AD598-AE598)))</f>
        <v/>
      </c>
      <c r="U598" s="422" t="str">
        <f>IF(D598="","",(VLOOKUP(D598,'DB technologies'!$N$280:$Y$292,2,FALSE)*'DB additional information '!$S$6/100*'DB additional information '!$U$6*VLOOKUP($C$595,'DB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V598" s="418" t="str">
        <f>IF(D598="","",(VLOOKUP(D598,'DB technologies'!$N$280:$Y$292,3,FALSE)*'DB additional information '!$S$7/100*'DB additional information '!$U$7*VLOOKUP($C$595,'DB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W598" s="417" t="str">
        <f>IF(D598="","",(VLOOKUP(D598,'DB technologies'!$N$280:$Y$292,4,FALSE)*('DB additional information '!$S$8/100*'DB additional information '!$U$8*E598/1000/1000)))</f>
        <v/>
      </c>
      <c r="X598" s="261" t="str">
        <f>IF($C$595=0,"",IF('Calc (ex-animal)'!$F$108=1,"",IF(D598="","",((VLOOKUP($C$595,'Calc (ex-animal)'!$D$108:$Y$112,13,FALSE)-VLOOKUP($C$595,'Calc (ex-animal)'!$D$108:$Y$112,19,FALSE))*F598/100+U598+V598+W598))))</f>
        <v/>
      </c>
      <c r="Y598" s="418" t="str">
        <f>IF(D598="","",(VLOOKUP(D598,'DB technologies'!$N$280:$Y$292,2,FALSE)*'DB additional information '!$S$6/100*'DB additional information '!$V$6*VLOOKUP($C$595,'DB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Z598" s="418" t="str">
        <f>IF(D598="","",(VLOOKUP(D598,'DB technologies'!$N$280:$Y$292,3,FALSE)*'DB additional information '!$S$7/100*'DB additional information '!$V$7*VLOOKUP($C$595,'DB animal categories'!$C$211:$AC$220,27,FALSE)*E598/1000/1000)/VLOOKUP($C$595,'DB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AA598" s="418" t="str">
        <f>IF(D598="","",(VLOOKUP(D598,'DB technologies'!$N$280:$Y$292,4,FALSE)*('DB additional information '!$S$8/100*'DB additional information '!$V$8*E598/1000/1000)))</f>
        <v/>
      </c>
      <c r="AB598" s="261" t="str">
        <f>IF($C$595=0,"",IF('Calc (ex-animal)'!$F$108=1,"",IF(D598="","",((VLOOKUP($C$595,'Calc (ex-animal)'!$D$108:$Y$112,16,FALSE)-VLOOKUP($C$595,'Calc (ex-animal)'!$D$108:$Y$112,20,FALSE))*F598/100+Y598+Z598+AA598))))</f>
        <v/>
      </c>
      <c r="AC598" s="261" t="str">
        <f>IF($C$595=0,"",IF('Calc (ex-animal)'!$F$108=1,"",IF(D598="","",VLOOKUP($C$595,'Calc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categories'!$C$211:$AC$220,26,FALSE)/24)*F598/100*VLOOKUP(D598,'DB technologies'!$N$280:$R$292,5,FALSE)/100)))</f>
        <v/>
      </c>
      <c r="AD598" s="261" t="str">
        <f>IF($C$595=0,"",IF('Calc (ex-animal)'!$F$108=1,"",IF(D598="","",VLOOKUP($C$595,'Calc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categories'!$C$211:$AC$220,26,FALSE)/24)*F598/100*VLOOKUP(D598,'DB technologies'!$N$280:$Y$292,6,FALSE)/100)))</f>
        <v/>
      </c>
      <c r="AE598" s="262" t="str">
        <f>IF($C$595=0,"",IF('Calc (ex-animal)'!$F$108=1,"",IF(D598="","",VLOOKUP($C$595,'Calc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categories'!$C$211:$AC$220,26,FALSE)/24)*F598/100*VLOOKUP(D598,'DB technologies'!$N$280:$Y$292,7,FALSE)/100)))</f>
        <v/>
      </c>
      <c r="AI598" s="181" t="str">
        <f>IF(D598="","",VLOOKUP(D598,'DB technologies'!$N$280:$Y$292,10,FALSE))</f>
        <v/>
      </c>
      <c r="AJ598" s="449" t="e">
        <f>VLOOKUP($C$595,'DB animal categories'!$C$211:$AN$220,27,FALSE)-VLOOKUP($C$595,'DB animal categories'!$C$211:$AN$220,26,FALSE)*VLOOKUP($C$595,'DB animal categories'!$C$211:$AN$220,25,FALSE)/24</f>
        <v>#N/A</v>
      </c>
      <c r="AK598" s="442" t="str">
        <f>IF(AI598="","",AL598+AM598)</f>
        <v/>
      </c>
      <c r="AL598" s="442" t="str">
        <f>IF(D598="","",IF(AI598=2,(('Calc (ex-animal)'!$G$111*'DB additional information '!$K$23/100*(1-VLOOKUP(D598,'DB technologies'!$N$280:$Y$292,9,FALSE)/100)*'Calc (ex-housing, ex-storage)'!F598/100+'Calc (ex-animal)'!$H$111*'DB additional information '!$L$23/100*(1-VLOOKUP(D598,'DB technologies'!$N$280:$Y$292,9,FALSE)/100)*'Calc (ex-housing, ex-storage)'!F598/100))/VLOOKUP($C$595,'DB animal categories'!$C$211:$AC$220,27,FALSE)*AJ598+I598+J598+K598,IF(AI598=1,('Calc (ex-animal)'!$H$111*'DB additional information '!$L$23/100*(1-VLOOKUP(D598,'DB technologies'!$N$280:$Y$292,9,FALSE)/100)*'Calc (ex-housing, ex-storage)'!F598/100)/VLOOKUP($C$595,'DB animal categories'!$C$211:$AC$220,27,FALSE)*AJ598,IF(AI598=4,('Calc (ex-animal)'!$G$111*'DB additional information '!$K$23/100+'Calc (ex-animal)'!$H$111*'DB additional information '!$L$23/100)*(1-VLOOKUP(D598,'DB technologies'!$N$280:$Y$292,9,FALSE)/100)*'Calc (ex-housing, ex-storage)'!F598/100*VLOOKUP(D598,'DB technologies'!$N$280:$Y$292,11,FALSE)/100/VLOOKUP($C$595,'DB animal categories'!$C$211:$AC$220,27,FALSE)*AJ598,0))))</f>
        <v/>
      </c>
      <c r="AM598" s="442" t="str">
        <f>IF(D598="","",IF(AI598=2,(('Calc (ex-animal)'!$G$111*(1-'DB additional information '!$K$23/100)*(1-VLOOKUP(D598,'DB technologies'!$N$280:$Y$292,8,FALSE)/100)*'Calc (ex-housing, ex-storage)'!F598/100+'Calc (ex-animal)'!$H$111*(1-'DB additional information '!$L$23/100)*(1-VLOOKUP(D598,'DB technologies'!$N$280:$Y$292,8,FALSE)/100)*'Calc (ex-housing, ex-storage)'!F598/100))/VLOOKUP($C$595,'DB animal categories'!$C$211:$AC$220,27,FALSE)*AJ598+M598+N598+O598,IF(AI598=1,('Calc (ex-animal)'!$H$111*(1-'DB additional information '!$L$23/100)*(1-VLOOKUP(D598,'DB technologies'!$N$280:$Y$292,8,FALSE)/100)*'Calc (ex-housing, ex-storage)'!F598/100)/VLOOKUP($C$595,'DB animal categories'!$C$211:$AC$220,27,FALSE)*AJ598,IF(AI598=4,('Calc (ex-animal)'!$G$111*(1-'DB additional information '!$K$23/100)+'Calc (ex-animal)'!$H$111*(1-'DB additional information '!$L$23/100))*(1-VLOOKUP(D598,'DB technologies'!$N$280:$Y$292,8,FALSE)/100)*'Calc (ex-housing, ex-storage)'!F598/100*VLOOKUP(D598,'DB technologies'!$N$280:$Y$292,11,FALSE)/100/VLOOKUP($C$595,'DB animal categories'!$C$211:$AC$220,27,FALSE)*AJ598,0))))</f>
        <v/>
      </c>
      <c r="AN598" s="442" t="str">
        <f>IF(AI598="","",IF(AL598=0,0,AL598/AK598*100))</f>
        <v/>
      </c>
      <c r="AO598" s="182" t="str">
        <f>IF(D598="","",IF(AI598=2,(('Calc (ex-animal)'!$L$111*'Calc (ex-housing, ex-storage)'!F598/100+'Calc (ex-animal)'!$K$111*'Calc (ex-housing, ex-storage)'!F598/100))/VLOOKUP($C$595,'DB animal categories'!$C$211:$AC$220,27,FALSE)*AJ598+Q598+R598+S598-AC598,IF(AI598=1,('Calc (ex-animal)'!$L$111*'Calc (ex-housing, ex-storage)'!F598/100)/VLOOKUP($C$595,'DB animal categories'!$C$211:$AC$220,27,FALSE)*AJ598-'Calc (ex-housing, ex-storage)'!AC598,IF(AI598=4,('Calc (ex-animal)'!$L$111+'Calc (ex-animal)'!$K$111)*'Calc (ex-housing, ex-storage)'!F598/100*VLOOKUP(D598,'DB technologies'!$N$280:$Y$292,11,FALSE)/100/VLOOKUP($C$595,'DB animal categories'!$C$211:$AC$220,27,FALSE)*AJ598-AC598*VLOOKUP(D598,'DB technologies'!$N$280:$Y$292,11,FALSE)/100,0))))</f>
        <v/>
      </c>
      <c r="AP598" s="182" t="str">
        <f>IF(D598="","",IF(AO598&lt;-0.01,0,IF(AI598=2,(('Calc (ex-animal)'!$L$111*'Calc (ex-housing, ex-storage)'!F598/100+'Calc (ex-animal)'!$K$111*'Calc (ex-housing, ex-storage)'!F598/100))/VLOOKUP($C$595,'DB animal categories'!$C$211:$AC$220,27,FALSE)*AJ598+Q598+R598+S598-AC598,IF(AI598=1,('Calc (ex-animal)'!$L$111*'Calc (ex-housing, ex-storage)'!F598/100)/VLOOKUP($C$595,'DB animal categories'!$C$211:$AC$220,27,FALSE)*AJ598-'Calc (ex-housing, ex-storage)'!AC598,IF(AI598=4,('Calc (ex-animal)'!$L$111+'Calc (ex-animal)'!$K$111)*'Calc (ex-housing, ex-storage)'!F598/100*VLOOKUP(D598,'DB technologies'!$N$280:$Y$292,11,FALSE)/100/VLOOKUP($C$595,'DB animal categories'!$C$211:$AC$220,27,FALSE)*AJ598-AC598*VLOOKUP(D598,'DB technologies'!$N$280:$Y$292,11,FALSE)/100,0)))))</f>
        <v/>
      </c>
      <c r="AQ598" s="182" t="str">
        <f>IF(D598="","",IF(AI598=2,('Calc (ex-animal)'!$O$111*'Calc (ex-housing, ex-storage)'!F598/100+'Calc (ex-animal)'!$N$111*'Calc (ex-housing, ex-storage)'!F598/100)/VLOOKUP($C$595,'DB animal categories'!$C$211:$AC$220,27,FALSE)*AJ598+U598+V598+W598,IF(AI598=1,'Calc (ex-animal)'!$O$111*'Calc (ex-housing, ex-storage)'!F598/100/VLOOKUP($C$595,'DB animal categories'!$C$211:$AC$220,27,FALSE)*AJ598,IF(AI598=4,('Calc (ex-animal)'!$O$111+'Calc (ex-animal)'!$N$111)*'Calc (ex-housing, ex-storage)'!F598/100*VLOOKUP(D598,'DB technologies'!$N$280:$Y$292,11,FALSE)/100/VLOOKUP($C$595,'DB animal categories'!$C$211:$AC$220,27,FALSE)*AJ598,0))))</f>
        <v/>
      </c>
      <c r="AR598" s="182" t="str">
        <f>IF(D598="","",IF(AI598=2,('Calc (ex-animal)'!$R$111*'Calc (ex-housing, ex-storage)'!F598/100+'Calc (ex-animal)'!$Q$111*'Calc (ex-housing, ex-storage)'!F598/100)/VLOOKUP($C$595,'DB animal categories'!$C$211:$AC$220,27,FALSE)*AJ598+Y598+Z598+AA598,IF(AI598=1,'Calc (ex-animal)'!$R$111*'Calc (ex-housing, ex-storage)'!F598/100/VLOOKUP($C$595,'DB animal categories'!$C$211:$AC$220,27,FALSE)*AJ598,IF(AI598=4,('Calc (ex-animal)'!$R$111+'Calc (ex-animal)'!$Q$111)*'Calc (ex-housing, ex-storage)'!F598/100*VLOOKUP(D598,'DB technologies'!$N$280:$Y$292,11,FALSE)/100/VLOOKUP($C$595,'DB animal categories'!$C$211:$AC$220,27,FALSE)*AJ598,0))))</f>
        <v/>
      </c>
      <c r="AS598" s="181" t="str">
        <f>IF(D598="","",VLOOKUP(D598,'DB technologies'!$N$280:$Y$292,10,FALSE))</f>
        <v/>
      </c>
      <c r="AT598" s="442" t="str">
        <f>IF(AS598="","",AU598+AV598)</f>
        <v/>
      </c>
      <c r="AU598" s="442" t="str">
        <f>IF(D598="","",IF(AS598=2,0,IF(AS598=1,'Calc (ex-animal)'!$G$111*'DB additional information '!$K$23/100*(1-VLOOKUP(D598,'DB technologies'!$N$280:$Y$292,8,FALSE)/100)*'Calc (ex-housing, ex-storage)'!F598/100/VLOOKUP($C$595,'DB animal categories'!$C$211:$AC$220,27,FALSE)*AJ598+I598+J598+K598,IF(AS598=5,(('Calc (ex-animal)'!$G$111*'DB additional information '!$K$23/100+'Calc (ex-animal)'!$H$111*'DB additional information '!$L$23/100))*(1-VLOOKUP(D598,'DB technologies'!$N$280:$Y$292,9,FALSE)/100)*'Calc (ex-housing, ex-storage)'!F598/100/VLOOKUP($C$595,'DB animal categories'!$C$211:$AC$220,27,FALSE)*AJ598+I598+J598+K598,IF(AS598=3,('Calc (ex-animal)'!$G$111*'DB additional information '!$K$23/100+'Calc (ex-animal)'!$H$111*'DB additional information '!$L$23/100)*(1-VLOOKUP(D598,'DB technologies'!$N$280:$Y$292,9,FALSE)/100)*'Calc (ex-housing, ex-storage)'!F598/100/VLOOKUP($C$595,'DB animal categories'!$C$211:$AC$220,27,FALSE)*AJ598+I598+J598+K598,IF(AS598=4,('Calc (ex-animal)'!$G$111*'DB additional information '!$K$23/100+'Calc (ex-animal)'!$H$111*'DB additional information '!$L$23/100)*(1-VLOOKUP(D598,'DB technologies'!$N$280:$Y$292,9,FALSE)/100)*'Calc (ex-housing, ex-storage)'!F598/100*VLOOKUP(D598,'DB technologies'!$N$280:$Y$292,12,FALSE)/100/VLOOKUP($C$595,'DB animal categories'!$C$211:$AC$220,27,FALSE)*AJ598+I598+J598+K598,0))))))</f>
        <v/>
      </c>
      <c r="AV598" s="442" t="str">
        <f>IF(D598="","",IF(AS598=2,0,IF(AS598=1,'Calc (ex-animal)'!$G$111*(1-'DB additional information '!$K$23/100)*(1-VLOOKUP(D598,'DB technologies'!$N$280:$Y$292,8,FALSE)/100)*'Calc (ex-housing, ex-storage)'!F598/100/VLOOKUP($C$595,'DB animal categories'!$C$211:$AC$220,27,FALSE)*AJ598+M598+N598+O598,IF(AS598=5,('Calc (ex-animal)'!$G$111*(1-'DB additional information '!$K$23/100)+'Calc (ex-animal)'!$H$111*(1-'DB additional information '!$L$23/100))*(1-VLOOKUP(D598,'DB technologies'!$N$280:$Y$292,8,FALSE)/100)*'Calc (ex-housing, ex-storage)'!F598/100/VLOOKUP($C$595,'DB animal categories'!$C$211:$AC$220,27,FALSE)*AJ598+M598+N598+O598,IF(AS598=3,('Calc (ex-animal)'!$G$111*(1-'DB additional information '!$K$23/100)+'Calc (ex-animal)'!$H$111*(1-'DB additional information '!$L$23/100))*(1-VLOOKUP(D598,'DB technologies'!$N$280:$Y$292,8,FALSE)/100)*'Calc (ex-housing, ex-storage)'!F598/100/VLOOKUP($C$595,'DB animal categories'!$C$211:$AC$220,27,FALSE)*AJ598+M598+N598+O598,IF(AS598=4,('Calc (ex-animal)'!$G$111*(1-'DB additional information '!$K$23/100)+'Calc (ex-animal)'!$H$111*(1-'DB additional information '!$L$23/100))*(1-VLOOKUP(D598,'DB technologies'!$N$280:$Y$292,8,FALSE)/100)*'Calc (ex-housing, ex-storage)'!F598/100*VLOOKUP(D598,'DB technologies'!$N$280:$Y$292,12,FALSE)/100/VLOOKUP($C$595,'DB animal categories'!$C$211:$AC$220,27,FALSE)*AJ598+M598+N598+O598,0))))))</f>
        <v/>
      </c>
      <c r="AW598" s="442" t="str">
        <f>IF(AS598="","",IF(AU598=0,0,AU598/AT598*100))</f>
        <v/>
      </c>
      <c r="AX598" s="182" t="str">
        <f>IF(D598="","",IF(AS598=2,0,IF(AS598=1,'Calc (ex-animal)'!$K$111*'Calc (ex-housing, ex-storage)'!F598/100/VLOOKUP($C$595,'DB animal categories'!$C$211:$AC$220,27,FALSE)*AJ598+Q598+R598+S598,IF(AS598=5,('Calc (ex-animal)'!$K$111+'Calc (ex-animal)'!$L$111)*'Calc (ex-housing, ex-storage)'!F598/100/VLOOKUP($C$595,'DB animal categories'!$C$211:$AC$220,27,FALSE)*AJ598+Q598+R598+S598-'Calc (ex-housing, ex-storage)'!AC598,IF(AS598=3,('Calc (ex-animal)'!$K$111+'Calc (ex-animal)'!$L$111)*'Calc (ex-housing, ex-storage)'!F598/100/VLOOKUP($C$595,'DB animal categories'!$C$211:$AC$220,27,FALSE)*AJ598+Q598+R598+S598-'Calc (ex-housing, ex-storage)'!AC598-AD598-AE598,IF(AI598=4,('Calc (ex-animal)'!$K$111+'Calc (ex-animal)'!$L$111)*'Calc (ex-housing, ex-storage)'!F598/100*VLOOKUP(D598,'DB technologies'!$N$280:$Y$292,12,FALSE)/100/VLOOKUP($C$595,'DB animal categories'!$C$211:$AC$220,27,FALSE)*AJ598+Q598+R598+S598-(VLOOKUP(D598,'DB technologies'!$N$280:$Y$292,12,FALSE)/100*AC598)-AD598-AE598,0))))))</f>
        <v/>
      </c>
      <c r="AY598" s="182" t="str">
        <f>IF(D598="","",IF(AS598=2,0,IF(AS598=1,'Calc (ex-animal)'!$N$111*'Calc (ex-housing, ex-storage)'!F598/100/VLOOKUP($C$595,'DB animal categories'!$C$211:$AC$220,27,FALSE)*AJ598+U598+V598+W598,IF(AS598=5,('Calc (ex-animal)'!$N$111+'Calc (ex-animal)'!$O$111)*'Calc (ex-housing, ex-storage)'!F598/100/VLOOKUP($C$595,'DB animal categories'!$C$211:$AC$220,27,FALSE)*AJ598+U598+V598+W598,IF(AS598=3,('Calc (ex-animal)'!$N$111+'Calc (ex-animal)'!$O$111)*'Calc (ex-housing, ex-storage)'!F598/100/VLOOKUP($C$595,'DB animal categories'!$C$211:$AC$220,27,FALSE)*AJ598+U598+V598+W598,IF(AS598=4,('Calc (ex-animal)'!$N$111+'Calc (ex-animal)'!$O$111)*'Calc (ex-housing, ex-storage)'!F598/100*VLOOKUP(D598,'DB technologies'!$N$280:$Y$292,12,FALSE)/100/VLOOKUP($C$595,'DB animal categories'!$C$211:$AC$220,27,FALSE)*AJ598+U598+V598+W598,0))))))</f>
        <v/>
      </c>
      <c r="AZ598" s="182" t="str">
        <f>IF(D598="","",IF(AS598=2,0,IF(AS598=1,'Calc (ex-animal)'!$Q$111*'Calc (ex-housing, ex-storage)'!F598/100/VLOOKUP($C$595,'DB animal categories'!$C$211:$AC$220,27,FALSE)*AJ598+Y598+Z598+AA598,IF(AS598=5,('Calc (ex-animal)'!$Q$111+'Calc (ex-animal)'!$R$111)*'Calc (ex-housing, ex-storage)'!F598/100/VLOOKUP($C$595,'DB animal categories'!$C$211:$AC$220,27,FALSE)*AJ598+Y598+Z598+AA598,IF(AS598=3,('Calc (ex-animal)'!$Q$111+'Calc (ex-animal)'!$R$111)*'Calc (ex-housing, ex-storage)'!F598/100/VLOOKUP($C$595,'DB animal categories'!$C$211:$AC$220,27,FALSE)*AJ598+Y598+Z598+AA598,IF(AS598=4,('Calc (ex-animal)'!$Q$111+'Calc (ex-animal)'!$R$111)*'Calc (ex-housing, ex-storage)'!F598/100*VLOOKUP(D598,'DB technologies'!$N$280:$Y$292,12,FALSE)/100/VLOOKUP($C$595,'DB animal categories'!$C$211:$AC$220,27,FALSE)*AJ598+Y598+Z598+AA598,0))))))</f>
        <v/>
      </c>
      <c r="BA598" s="506"/>
      <c r="BB598" s="506"/>
      <c r="BC598" s="506"/>
    </row>
    <row r="599" spans="1:55" ht="12" thickBot="1" x14ac:dyDescent="0.25">
      <c r="A599" s="748"/>
      <c r="B599" s="695"/>
      <c r="C599" s="251"/>
      <c r="D599" s="1359"/>
      <c r="E599" s="1360"/>
      <c r="F599" s="481" t="str">
        <f>IF('Calc (ex-animal)'!$F$108=1,"",IF($C$595=0,"",IF(D599="","",E599/'Calc (ex-animal)'!$E$111*100)))</f>
        <v/>
      </c>
      <c r="G599" s="483" t="str">
        <f>IF($C$595=0,"",IF('Calc (ex-animal)'!$F$108=1,"",IF(D599="","",SUM(H599:O599))))</f>
        <v/>
      </c>
      <c r="H599" s="445" t="str">
        <f>IF('Calc (ex-animal)'!$F$108=1,"",IF(D599="","",(((VLOOKUP($C$595,'Calc (ex-animal)'!$D$108:$Y$112,6,FALSE)-VLOOKUP($C$595,'Calc (ex-animal)'!$D$108:$Y$112,17,FALSE))*F599/100))*VLOOKUP($C$595,'Calc (ex-animal)'!$D$108:$Y$112,7,FALSE)/100*(1-VLOOKUP(D599,'DB technologies'!$N$280:$Y$292,9,FALSE)/100)))</f>
        <v/>
      </c>
      <c r="I599" s="445" t="str">
        <f>IF(D599="","",((VLOOKUP(D599,'DB technologies'!$N$280:$Y$292,2,FALSE)*VLOOKUP($C$595,'DB animal categories'!$C$211:$AC$220,27,FALSE)*E599/1000)/VLOOKUP($C$595,'DB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'!$S$6/100*(1-VLOOKUP(D599,'DB technologies'!$N$280:$Y$292,9,FALSE)/100)))</f>
        <v/>
      </c>
      <c r="J599" s="446" t="str">
        <f>IF(D599="","",((VLOOKUP(D599,'DB technologies'!$N$280:$Y$292,3,FALSE)*VLOOKUP($C$595,'DB animal categories'!$C$211:$AC$220,27,FALSE)*E599/1000)/VLOOKUP($C$595,'DB animal categories'!$C$211:$AC$220,27,FALSE)*(VLOOKUP($C$595,'DB animal categories'!$C$211:$AC$220,27,FALSE)-(VLOOKUP($C$595,'DB animal categories'!$C$211:$AC$220,25,FALSE)*VLOOKUP($C$595,'DB animal categories'!$C$211:$AC$220,26,FALSE)/24))*'DB additional information '!$S$7/100*(1-VLOOKUP(D599,'DB technologies'!$N$280:$Y$292,9,FALSE)/100)))</f>
        <v/>
      </c>
      <c r="K599" s="446" t="str">
        <f>IF(D599="","",((VLOOKUP(D599,'DB technologies'!$N$280:$Y$292,4,FALSE)*E599*'DB additional information '!$S$8/100*(1-VLOOKUP(D599,'DB technologies'!$N$280:$Y$292,9,FALSE)/100))/VLOOKUP($C$595,'DB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L599" s="445" t="str">
        <f>IF('Calc (ex-animal)'!$F$108=1,"",IF(D599="","",(((VLOOKUP($C$595,'Calc (ex-animal)'!$D$108:$Y$112,6,FALSE)-VLOOKUP($C$595,'Calc (ex-animal)'!$D$108:$Y$112,17,FALSE))*F599/100))*(1-VLOOKUP($C$595,'Calc (ex-animal)'!$D$108:$Y$112,7,FALSE)/100)*(1-VLOOKUP(D599,'DB technologies'!$N$280:$V$292,8,FALSE)/100)))</f>
        <v/>
      </c>
      <c r="M599" s="446" t="str">
        <f>IF(D599="","",((VLOOKUP(D599,'DB technologies'!$N$280:$Y$292,2,FALSE)*VLOOKUP($C$595,'DB animal categories'!$C$211:$AC$220,27,FALSE)*E599/1000)/VLOOKUP($C$595,'DB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'!$S$6/100)*(1-VLOOKUP(D599,'DB technologies'!$N$280:$Y$292,9,FALSE)/100))</f>
        <v/>
      </c>
      <c r="N599" s="446" t="str">
        <f>IF(D599="","",((VLOOKUP(D599,'DB technologies'!$N$280:$Y$292,3,FALSE)*VLOOKUP($C$595,'DB animal categories'!$C$211:$AC$220,27,FALSE)*E599/1000)/VLOOKUP($C$595,'DB animal categories'!$C$211:$AC$220,27,FALSE)*(VLOOKUP($C$595,'DB animal categories'!$C$211:$AC$220,27,FALSE)-VLOOKUP($C$595,'DB animal categories'!$C$211:$AC$220,25,FALSE)*VLOOKUP($C$595,'DB animal categories'!$C$211:$AC$220,26,FALSE)/24))*(1-'DB additional information '!$S$7/100)*(1-VLOOKUP(D599,'DB technologies'!$N$280:$Y$292,9,FALSE)/100))</f>
        <v/>
      </c>
      <c r="O599" s="445" t="str">
        <f>IF(D599="","",((VLOOKUP(D599,'DB technologies'!$N$280:$Y$292,4,FALSE)*E599*(1-'DB additional information '!$S$8/100)*(1-VLOOKUP(D599,'DB technologies'!$N$280:$Y$292,8,FALSE)/100))/VLOOKUP($C$595,'DB animal categories'!$C$211:$AC$220,27,FALSE)*(VLOOKUP($C$595,'DB animal categories'!$C$211:$AC$220,27,FALSE)-VLOOKUP($C$595,'DB animal categories'!$C$211:$AC$220,25,FALSE)*VLOOKUP($C$595,'DB animal categories'!$C$211:$AC$220,26,FALSE)/24)))</f>
        <v/>
      </c>
      <c r="P599" s="444" t="str">
        <f>IF(G599=0,0,IF(E599="","",IF(F599="","",IF($C$595=0,"",IF(D599="","",SUM(H599:K599)/G599*100)))))</f>
        <v/>
      </c>
      <c r="Q599" s="476" t="str">
        <f>IF(D599="","",(VLOOKUP(D599,'DB technologies'!$N$280:$Y$292,2,FALSE)*'DB additional information '!$S$6/100*'DB additional information '!$T$6*VLOOKUP($C$595,'DB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R599" s="476" t="str">
        <f>IF(D599="","",(VLOOKUP(D599,'DB technologies'!$N$280:$Y$292,3,FALSE)*'DB additional information '!$S$7/100*'DB additional information '!$T$7*VLOOKUP($C$595,'DB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S599" s="494" t="str">
        <f>IF(D599="","",(VLOOKUP(D599,'DB technologies'!$N$280:$Y$292,4,FALSE)*('DB additional information '!$S$8/100*'DB additional information '!$T$8*E599/1000/1000)))</f>
        <v/>
      </c>
      <c r="T599" s="266" t="str">
        <f>IF($C$595=0,"",IF('Calc (ex-animal)'!$F$108=1,"",IF(D599="","",((VLOOKUP($C$595,'Calc (ex-animal)'!$D$108:$Y$112,10,FALSE)-VLOOKUP($C$595,'Calc (ex-animal)'!$D$108:$Y$112,18,FALSE))*F599/100+Q599+R599+S599)-AC599-AD599-AE599)))</f>
        <v/>
      </c>
      <c r="U599" s="477" t="str">
        <f>IF(D599="","",(VLOOKUP(D599,'DB technologies'!$N$280:$Y$292,2,FALSE)*'DB additional information '!$S$6/100*'DB additional information '!$U$6*VLOOKUP($C$595,'DB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V599" s="433" t="str">
        <f>IF(D599="","",(VLOOKUP(D599,'DB technologies'!$N$280:$Y$292,3,FALSE)*'DB additional information '!$S$7/100*'DB additional information '!$U$7*VLOOKUP($C$595,'DB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W599" s="475" t="str">
        <f>IF(D599="","",(VLOOKUP(D599,'DB technologies'!$N$280:$Y$292,4,FALSE)*('DB additional information '!$S$8/100*'DB additional information '!$U$8*E599/1000/1000)))</f>
        <v/>
      </c>
      <c r="X599" s="267" t="str">
        <f>IF($C$595=0,"",IF('Calc (ex-animal)'!$F$108=1,"",IF(D599="","",((VLOOKUP($C$595,'Calc (ex-animal)'!$D$108:$Y$112,13,FALSE)-VLOOKUP($C$595,'Calc (ex-animal)'!$D$108:$Y$112,19,FALSE))*F599/100+U599+V599+W599))))</f>
        <v/>
      </c>
      <c r="Y599" s="433" t="str">
        <f>IF(D599="","",(VLOOKUP(D599,'DB technologies'!$N$280:$Y$292,2,FALSE)*'DB additional information '!$S$6/100*'DB additional information '!$V$6*VLOOKUP($C$595,'DB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Z599" s="433" t="str">
        <f>IF(D599="","",(VLOOKUP(D599,'DB technologies'!$N$280:$Y$292,3,FALSE)*'DB additional information '!$S$7/100*'DB additional information '!$V$7*VLOOKUP($C$595,'DB animal categories'!$C$211:$AC$220,27,FALSE)*E599/1000/1000)/VLOOKUP($C$595,'DB animal categories'!$C$211:$AC$220,27,FALSE)*(VLOOKUP($C$595,'DB animal categories'!$C$211:$AC$220,27,FALSE)-VLOOKUP($C$595,'DB animal categories'!$C$211:$AC$220,25,FALSE)*VLOOKUP($C$595,'DB animal categories'!$C$211:$AC$220,26,FALSE)/24))</f>
        <v/>
      </c>
      <c r="AA599" s="433" t="str">
        <f>IF(D599="","",(VLOOKUP(D599,'DB technologies'!$N$280:$Y$292,4,FALSE)*('DB additional information '!$S$8/100*'DB additional information '!$V$8*E599/1000/1000)))</f>
        <v/>
      </c>
      <c r="AB599" s="267" t="str">
        <f>IF($C$595=0,"",IF('Calc (ex-animal)'!$F$108=1,"",IF(D599="","",((VLOOKUP($C$595,'Calc (ex-animal)'!$D$108:$Y$112,16,FALSE)-VLOOKUP($C$595,'Calc (ex-animal)'!$D$108:$Y$112,20,FALSE))*F599/100+Y599+Z599+AA599))))</f>
        <v/>
      </c>
      <c r="AC599" s="267" t="str">
        <f>IF($C$595=0,"",IF('Calc (ex-animal)'!$F$108=1,"",IF(D599="","",VLOOKUP($C$595,'Calc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categories'!$C$211:$AC$220,26,FALSE)/24)*F599/100*VLOOKUP(D599,'DB technologies'!$N$280:$R$292,5,FALSE)/100)))</f>
        <v/>
      </c>
      <c r="AD599" s="267" t="str">
        <f>IF($C$595=0,"",IF('Calc (ex-animal)'!$F$108=1,"",IF(D599="","",VLOOKUP($C$595,'Calc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categories'!$C$211:$AC$220,26,FALSE)/24)*F599/100*VLOOKUP(D599,'DB technologies'!$N$280:$Y$292,6,FALSE)/100)))</f>
        <v/>
      </c>
      <c r="AE599" s="268" t="str">
        <f>IF($C$595=0,"",IF('Calc (ex-animal)'!$F$108=1,"",IF(D599="","",VLOOKUP($C$595,'Calc (ex-animal)'!$D$108:$Y$112,10,FALSE)/VLOOKUP($C$595,'DB animal categories'!$C$211:$AC$220,27,FALSE)*(VLOOKUP($C$595,'DB animal categories'!$C$211:$AC$220,27,FALSE)-VLOOKUP($C$595,'DB animal categories'!$C$211:$AC$220,25,FALSE)*VLOOKUP($C$595,'DB animal categories'!$C$211:$AC$220,26,FALSE)/24)*F599/100*VLOOKUP(D599,'DB technologies'!$N$280:$Y$292,7,FALSE)/100)))</f>
        <v/>
      </c>
      <c r="AI599" s="183" t="str">
        <f>IF(D599="","",VLOOKUP(D599,'DB technologies'!$N$280:$Y$292,10,FALSE))</f>
        <v/>
      </c>
      <c r="AJ599" s="451" t="e">
        <f>VLOOKUP($C$595,'DB animal categories'!$C$211:$AN$220,27,FALSE)-VLOOKUP($C$595,'DB animal categories'!$C$211:$AN$220,26,FALSE)*VLOOKUP($C$595,'DB animal categories'!$C$211:$AN$220,25,FALSE)/24</f>
        <v>#N/A</v>
      </c>
      <c r="AK599" s="452" t="str">
        <f>IF(AI599="","",AL599+AM599)</f>
        <v/>
      </c>
      <c r="AL599" s="452" t="str">
        <f>IF(D599="","",IF(AI599=2,(('Calc (ex-animal)'!$G$111*'DB additional information '!$K$23/100*(1-VLOOKUP(D599,'DB technologies'!$N$280:$Y$292,9,FALSE)/100)*'Calc (ex-housing, ex-storage)'!F599/100+'Calc (ex-animal)'!$H$111*'DB additional information '!$L$23/100*(1-VLOOKUP(D599,'DB technologies'!$N$280:$Y$292,9,FALSE)/100)*'Calc (ex-housing, ex-storage)'!F599/100))/VLOOKUP($C$595,'DB animal categories'!$C$211:$AC$220,27,FALSE)*AJ599+I599+J599+K599,IF(AI599=1,('Calc (ex-animal)'!$H$111*'DB additional information '!$L$23/100*(1-VLOOKUP(D599,'DB technologies'!$N$280:$Y$292,9,FALSE)/100)*'Calc (ex-housing, ex-storage)'!F599/100)/VLOOKUP($C$595,'DB animal categories'!$C$211:$AC$220,27,FALSE)*AJ599,IF(AI599=4,('Calc (ex-animal)'!$G$111*'DB additional information '!$K$23/100+'Calc (ex-animal)'!$H$111*'DB additional information '!$L$23/100)*(1-VLOOKUP(D599,'DB technologies'!$N$280:$Y$292,9,FALSE)/100)*'Calc (ex-housing, ex-storage)'!F599/100*VLOOKUP(D599,'DB technologies'!$N$280:$Y$292,11,FALSE)/100/VLOOKUP($C$595,'DB animal categories'!$C$211:$AC$220,27,FALSE)*AJ599,0))))</f>
        <v/>
      </c>
      <c r="AM599" s="452" t="str">
        <f>IF(D599="","",IF(AI599=2,(('Calc (ex-animal)'!$G$111*(1-'DB additional information '!$K$23/100)*(1-VLOOKUP(D599,'DB technologies'!$N$280:$Y$292,8,FALSE)/100)*'Calc (ex-housing, ex-storage)'!F599/100+'Calc (ex-animal)'!$H$111*(1-'DB additional information '!$L$23/100)*(1-VLOOKUP(D599,'DB technologies'!$N$280:$Y$292,8,FALSE)/100)*'Calc (ex-housing, ex-storage)'!F599/100))/VLOOKUP($C$595,'DB animal categories'!$C$211:$AC$220,27,FALSE)*AJ599+M599+N599+O599,IF(AI599=1,('Calc (ex-animal)'!$H$111*(1-'DB additional information '!$L$23/100)*(1-VLOOKUP(D599,'DB technologies'!$N$280:$Y$292,8,FALSE)/100)*'Calc (ex-housing, ex-storage)'!F599/100)/VLOOKUP($C$595,'DB animal categories'!$C$211:$AC$220,27,FALSE)*AJ599,IF(AI599=4,('Calc (ex-animal)'!$G$111*(1-'DB additional information '!$K$23/100)+'Calc (ex-animal)'!$H$111*(1-'DB additional information '!$L$23/100))*(1-VLOOKUP(D599,'DB technologies'!$N$280:$Y$292,8,FALSE)/100)*'Calc (ex-housing, ex-storage)'!F599/100*VLOOKUP(D599,'DB technologies'!$N$280:$Y$292,11,FALSE)/100/VLOOKUP($C$595,'DB animal categories'!$C$211:$AC$220,27,FALSE)*AJ599,0))))</f>
        <v/>
      </c>
      <c r="AN599" s="452" t="str">
        <f>IF(AI599="","",IF(AL599=0,0,AL599/AK599*100))</f>
        <v/>
      </c>
      <c r="AO599" s="184" t="str">
        <f>IF(D599="","",IF(AI599=2,(('Calc (ex-animal)'!$L$111*'Calc (ex-housing, ex-storage)'!F599/100+'Calc (ex-animal)'!$K$111*'Calc (ex-housing, ex-storage)'!F599/100))/VLOOKUP($C$595,'DB animal categories'!$C$211:$AC$220,27,FALSE)*AJ599+Q599+R599+S599-AC599,IF(AI599=1,('Calc (ex-animal)'!$L$111*'Calc (ex-housing, ex-storage)'!F599/100)/VLOOKUP($C$595,'DB animal categories'!$C$211:$AC$220,27,FALSE)*AJ599-'Calc (ex-housing, ex-storage)'!AC599,IF(AI599=4,('Calc (ex-animal)'!$L$111+'Calc (ex-animal)'!$K$111)*'Calc (ex-housing, ex-storage)'!F599/100*VLOOKUP(D599,'DB technologies'!$N$280:$Y$292,11,FALSE)/100/VLOOKUP($C$595,'DB animal categories'!$C$211:$AC$220,27,FALSE)*AJ599-AC599*VLOOKUP(D599,'DB technologies'!$N$280:$Y$292,11,FALSE)/100,0))))</f>
        <v/>
      </c>
      <c r="AP599" s="184" t="str">
        <f>IF(D599="","",IF(AO599&lt;-0.01,0,IF(AI599=2,(('Calc (ex-animal)'!$L$111*'Calc (ex-housing, ex-storage)'!F599/100+'Calc (ex-animal)'!$K$111*'Calc (ex-housing, ex-storage)'!F599/100))/VLOOKUP($C$595,'DB animal categories'!$C$211:$AC$220,27,FALSE)*AJ599+Q599+R599+S599-AC599,IF(AI599=1,('Calc (ex-animal)'!$L$111*'Calc (ex-housing, ex-storage)'!F599/100)/VLOOKUP($C$595,'DB animal categories'!$C$211:$AC$220,27,FALSE)*AJ599-'Calc (ex-housing, ex-storage)'!AC599,IF(AI599=4,('Calc (ex-animal)'!$L$111+'Calc (ex-animal)'!$K$111)*'Calc (ex-housing, ex-storage)'!F599/100*VLOOKUP(D599,'DB technologies'!$N$280:$Y$292,11,FALSE)/100/VLOOKUP($C$595,'DB animal categories'!$C$211:$AC$220,27,FALSE)*AJ599-AC599*VLOOKUP(D599,'DB technologies'!$N$280:$Y$292,11,FALSE)/100,0)))))</f>
        <v/>
      </c>
      <c r="AQ599" s="184" t="str">
        <f>IF(D599="","",IF(AI599=2,('Calc (ex-animal)'!$O$111*'Calc (ex-housing, ex-storage)'!F599/100+'Calc (ex-animal)'!$N$111*'Calc (ex-housing, ex-storage)'!F599/100)/VLOOKUP($C$595,'DB animal categories'!$C$211:$AC$220,27,FALSE)*AJ599+U599+V599+W599,IF(AI599=1,'Calc (ex-animal)'!$O$111*'Calc (ex-housing, ex-storage)'!F599/100/VLOOKUP($C$595,'DB animal categories'!$C$211:$AC$220,27,FALSE)*AJ599,IF(AI599=4,('Calc (ex-animal)'!$O$111+'Calc (ex-animal)'!$N$111)*'Calc (ex-housing, ex-storage)'!F599/100*VLOOKUP(D599,'DB technologies'!$N$280:$Y$292,11,FALSE)/100/VLOOKUP($C$595,'DB animal categories'!$C$211:$AC$220,27,FALSE)*AJ599,0))))</f>
        <v/>
      </c>
      <c r="AR599" s="184" t="str">
        <f>IF(D599="","",IF(AI599=2,('Calc (ex-animal)'!$R$111*'Calc (ex-housing, ex-storage)'!F599/100+'Calc (ex-animal)'!$Q$111*'Calc (ex-housing, ex-storage)'!F599/100)/VLOOKUP($C$595,'DB animal categories'!$C$211:$AC$220,27,FALSE)*AJ599+Y599+Z599+AA599,IF(AI599=1,'Calc (ex-animal)'!$R$111*'Calc (ex-housing, ex-storage)'!F599/100/VLOOKUP($C$595,'DB animal categories'!$C$211:$AC$220,27,FALSE)*AJ599,IF(AI599=4,('Calc (ex-animal)'!$R$111+'Calc (ex-animal)'!$Q$111)*'Calc (ex-housing, ex-storage)'!F599/100*VLOOKUP(D599,'DB technologies'!$N$280:$Y$292,11,FALSE)/100/VLOOKUP($C$595,'DB animal categories'!$C$211:$AC$220,27,FALSE)*AJ599,0))))</f>
        <v/>
      </c>
      <c r="AS599" s="183" t="str">
        <f>IF(D599="","",VLOOKUP(D599,'DB technologies'!$N$280:$Y$292,10,FALSE))</f>
        <v/>
      </c>
      <c r="AT599" s="452" t="str">
        <f>IF(AS599="","",AU599+AV599)</f>
        <v/>
      </c>
      <c r="AU599" s="452" t="str">
        <f>IF(D599="","",IF(AS599=2,0,IF(AS599=1,'Calc (ex-animal)'!$G$111*'DB additional information '!$K$23/100*(1-VLOOKUP(D599,'DB technologies'!$N$280:$Y$292,8,FALSE)/100)*'Calc (ex-housing, ex-storage)'!F599/100/VLOOKUP($C$595,'DB animal categories'!$C$211:$AC$220,27,FALSE)*AJ599+I599+J599+K599,IF(AS599=5,(('Calc (ex-animal)'!$G$111*'DB additional information '!$K$23/100+'Calc (ex-animal)'!$H$111*'DB additional information '!$L$23/100))*(1-VLOOKUP(D599,'DB technologies'!$N$280:$Y$292,9,FALSE)/100)*'Calc (ex-housing, ex-storage)'!F599/100/VLOOKUP($C$595,'DB animal categories'!$C$211:$AC$220,27,FALSE)*AJ599+I599+J599+K599,IF(AS599=3,('Calc (ex-animal)'!$G$111*'DB additional information '!$K$23/100+'Calc (ex-animal)'!$H$111*'DB additional information '!$L$23/100)*(1-VLOOKUP(D599,'DB technologies'!$N$280:$Y$292,9,FALSE)/100)*'Calc (ex-housing, ex-storage)'!F599/100/VLOOKUP($C$595,'DB animal categories'!$C$211:$AC$220,27,FALSE)*AJ599+I599+J599+K599,IF(AS599=4,('Calc (ex-animal)'!$G$111*'DB additional information '!$K$23/100+'Calc (ex-animal)'!$H$111*'DB additional information '!$L$23/100)*(1-VLOOKUP(D599,'DB technologies'!$N$280:$Y$292,9,FALSE)/100)*'Calc (ex-housing, ex-storage)'!F599/100*VLOOKUP(D599,'DB technologies'!$N$280:$Y$292,12,FALSE)/100/VLOOKUP($C$595,'DB animal categories'!$C$211:$AC$220,27,FALSE)*AJ599+I599+J599+K599,0))))))</f>
        <v/>
      </c>
      <c r="AV599" s="452" t="str">
        <f>IF(D599="","",IF(AS599=2,0,IF(AS599=1,'Calc (ex-animal)'!$G$111*(1-'DB additional information '!$K$23/100)*(1-VLOOKUP(D599,'DB technologies'!$N$280:$Y$292,8,FALSE)/100)*'Calc (ex-housing, ex-storage)'!F599/100/VLOOKUP($C$595,'DB animal categories'!$C$211:$AC$220,27,FALSE)*AJ599+M599+N599+O599,IF(AS599=5,('Calc (ex-animal)'!$G$111*(1-'DB additional information '!$K$23/100)+'Calc (ex-animal)'!$H$111*(1-'DB additional information '!$L$23/100))*(1-VLOOKUP(D599,'DB technologies'!$N$280:$Y$292,8,FALSE)/100)*'Calc (ex-housing, ex-storage)'!F599/100/VLOOKUP($C$595,'DB animal categories'!$C$211:$AC$220,27,FALSE)*AJ599+M599+N599+O599,IF(AS599=3,('Calc (ex-animal)'!$G$111*(1-'DB additional information '!$K$23/100)+'Calc (ex-animal)'!$H$111*(1-'DB additional information '!$L$23/100))*(1-VLOOKUP(D599,'DB technologies'!$N$280:$Y$292,8,FALSE)/100)*'Calc (ex-housing, ex-storage)'!F599/100/VLOOKUP($C$595,'DB animal categories'!$C$211:$AC$220,27,FALSE)*AJ599+M599+N599+O599,IF(AS599=4,('Calc (ex-animal)'!$G$111*(1-'DB additional information '!$K$23/100)+'Calc (ex-animal)'!$H$111*(1-'DB additional information '!$L$23/100))*(1-VLOOKUP(D599,'DB technologies'!$N$280:$Y$292,8,FALSE)/100)*'Calc (ex-housing, ex-storage)'!F599/100*VLOOKUP(D599,'DB technologies'!$N$280:$Y$292,12,FALSE)/100/VLOOKUP($C$595,'DB animal categories'!$C$211:$AC$220,27,FALSE)*AJ599+M599+N599+O599,0))))))</f>
        <v/>
      </c>
      <c r="AW599" s="452" t="str">
        <f>IF(AS599="","",IF(AU599=0,0,AU599/AT599*100))</f>
        <v/>
      </c>
      <c r="AX599" s="184" t="str">
        <f>IF(D599="","",IF(AS599=2,0,IF(AS599=1,'Calc (ex-animal)'!$K$111*'Calc (ex-housing, ex-storage)'!F599/100/VLOOKUP($C$595,'DB animal categories'!$C$211:$AC$220,27,FALSE)*AJ599+Q599+R599+S599,IF(AS599=5,('Calc (ex-animal)'!$K$111+'Calc (ex-animal)'!$L$111)*'Calc (ex-housing, ex-storage)'!F599/100/VLOOKUP($C$595,'DB animal categories'!$C$211:$AC$220,27,FALSE)*AJ599+Q599+R599+S599-'Calc (ex-housing, ex-storage)'!AC599,IF(AS599=3,('Calc (ex-animal)'!$K$111+'Calc (ex-animal)'!$L$111)*'Calc (ex-housing, ex-storage)'!F599/100/VLOOKUP($C$595,'DB animal categories'!$C$211:$AC$220,27,FALSE)*AJ599+Q599+R599+S599-'Calc (ex-housing, ex-storage)'!AC599-AD599-AE599,IF(AI599=4,('Calc (ex-animal)'!$K$111+'Calc (ex-animal)'!$L$111)*'Calc (ex-housing, ex-storage)'!F599/100*VLOOKUP(D599,'DB technologies'!$N$280:$Y$292,12,FALSE)/100/VLOOKUP($C$595,'DB animal categories'!$C$211:$AC$220,27,FALSE)*AJ599+Q599+R599+S599-(VLOOKUP(D599,'DB technologies'!$N$280:$Y$292,12,FALSE)/100*AC599)-AD599-AE599,0))))))</f>
        <v/>
      </c>
      <c r="AY599" s="184" t="str">
        <f>IF(D599="","",IF(AS599=2,0,IF(AS599=1,'Calc (ex-animal)'!$N$111*'Calc (ex-housing, ex-storage)'!F599/100/VLOOKUP($C$595,'DB animal categories'!$C$211:$AC$220,27,FALSE)*AJ599+U599+V599+W599,IF(AS599=5,('Calc (ex-animal)'!$N$111+'Calc (ex-animal)'!$O$111)*'Calc (ex-housing, ex-storage)'!F599/100/VLOOKUP($C$595,'DB animal categories'!$C$211:$AC$220,27,FALSE)*AJ599+U599+V599+W599,IF(AS599=3,('Calc (ex-animal)'!$N$111+'Calc (ex-animal)'!$O$111)*'Calc (ex-housing, ex-storage)'!F599/100/VLOOKUP($C$595,'DB animal categories'!$C$211:$AC$220,27,FALSE)*AJ599+U599+V599+W599,IF(AS599=4,('Calc (ex-animal)'!$N$111+'Calc (ex-animal)'!$O$111)*'Calc (ex-housing, ex-storage)'!F599/100*VLOOKUP(D599,'DB technologies'!$N$280:$Y$292,12,FALSE)/100/VLOOKUP($C$595,'DB animal categories'!$C$211:$AC$220,27,FALSE)*AJ599+U599+V599+W599,0))))))</f>
        <v/>
      </c>
      <c r="AZ599" s="184" t="str">
        <f>IF(D599="","",IF(AS599=2,0,IF(AS599=1,'Calc (ex-animal)'!$Q$111*'Calc (ex-housing, ex-storage)'!F599/100/VLOOKUP($C$595,'DB animal categories'!$C$211:$AC$220,27,FALSE)*AJ599+Y599+Z599+AA599,IF(AS599=5,('Calc (ex-animal)'!$Q$111+'Calc (ex-animal)'!$R$111)*'Calc (ex-housing, ex-storage)'!F599/100/VLOOKUP($C$595,'DB animal categories'!$C$211:$AC$220,27,FALSE)*AJ599+Y599+Z599+AA599,IF(AS599=3,('Calc (ex-animal)'!$Q$111+'Calc (ex-animal)'!$R$111)*'Calc (ex-housing, ex-storage)'!F599/100/VLOOKUP($C$595,'DB animal categories'!$C$211:$AC$220,27,FALSE)*AJ599+Y599+Z599+AA599,IF(AS599=4,('Calc (ex-animal)'!$Q$111+'Calc (ex-animal)'!$R$111)*'Calc (ex-housing, ex-storage)'!F599/100*VLOOKUP(D599,'DB technologies'!$N$280:$Y$292,12,FALSE)/100/VLOOKUP($C$595,'DB animal categories'!$C$211:$AC$220,27,FALSE)*AJ599+Y599+Z599+AA599,0))))))</f>
        <v/>
      </c>
      <c r="BA599" s="506"/>
      <c r="BB599" s="506"/>
      <c r="BC599" s="506"/>
    </row>
    <row r="600" spans="1:55" ht="12" thickBot="1" x14ac:dyDescent="0.25">
      <c r="A600" s="748"/>
      <c r="B600" s="695"/>
      <c r="C600" s="252"/>
      <c r="D600" s="269" t="s">
        <v>58</v>
      </c>
      <c r="E600" s="270">
        <f>IF(F600&lt;=100,SUM(E595:E599),"ERROR")</f>
        <v>0</v>
      </c>
      <c r="F600" s="284">
        <f>IF(SUM(F595:F599) &lt;=100,SUM(F595:F599),"ERROR, SUM&gt;100%")</f>
        <v>0</v>
      </c>
      <c r="G600" s="550">
        <f>IF('Calc (ex-animal)'!$F$108=1,"",SUM(G595:G599))</f>
        <v>0</v>
      </c>
      <c r="H600" s="418">
        <f>IF('Calc (ex-animal)'!$F$8=1,"",SUM(H595:H599))</f>
        <v>0</v>
      </c>
      <c r="I600" s="418">
        <f>IF('Calc (ex-animal)'!$F$8=1,"",SUM(I595:I599))</f>
        <v>0</v>
      </c>
      <c r="J600" s="418">
        <f>IF('Calc (ex-animal)'!$F$8=1,"",SUM(J595:J599))</f>
        <v>0</v>
      </c>
      <c r="K600" s="418">
        <f>IF('Calc (ex-animal)'!$F$8=1,"",SUM(K595:K599))</f>
        <v>0</v>
      </c>
      <c r="L600" s="418">
        <f>IF('Calc (ex-animal)'!$F$8=1,"",SUM(L595:L599))</f>
        <v>0</v>
      </c>
      <c r="M600" s="551"/>
      <c r="N600" s="551"/>
      <c r="O600" s="551"/>
      <c r="P600" s="552">
        <f>IF(G600=0,0,IF('Calc (ex-animal)'!$F$108=1,"",IF(D600="","",SUM(H600:K600)/G600*100)))</f>
        <v>0</v>
      </c>
      <c r="Q600" s="271"/>
      <c r="R600" s="271"/>
      <c r="S600" s="271"/>
      <c r="T600" s="278">
        <f>IF('Calc (ex-animal)'!$F$111=1,"",SUM(T595:T599))</f>
        <v>0</v>
      </c>
      <c r="U600" s="279"/>
      <c r="V600" s="279"/>
      <c r="W600" s="279"/>
      <c r="X600" s="279">
        <f>IF('Calc (ex-animal)'!$F$111=1,"",SUM(X595:X599))</f>
        <v>0</v>
      </c>
      <c r="Y600" s="279"/>
      <c r="Z600" s="279"/>
      <c r="AA600" s="279"/>
      <c r="AB600" s="279">
        <f>IF('Calc (ex-animal)'!$F$111=1,"",SUM(AB595:AB599))</f>
        <v>0</v>
      </c>
      <c r="AC600" s="279">
        <f>IF('Calc (ex-animal)'!$F$111=1,"",SUM(AC595:AC599))</f>
        <v>0</v>
      </c>
      <c r="AD600" s="279">
        <f>IF('Calc (ex-animal)'!$F$111=1,"",SUM(AD595:AD599))</f>
        <v>0</v>
      </c>
      <c r="AE600" s="280">
        <f>IF('Calc (ex-animal)'!$F$111=1,"",SUM(AE595:AE599))</f>
        <v>0</v>
      </c>
    </row>
    <row r="601" spans="1:55" x14ac:dyDescent="0.2">
      <c r="A601" s="748"/>
      <c r="B601" s="695"/>
      <c r="C601" s="250">
        <f>'Calc (ex-animal)'!D112</f>
        <v>0</v>
      </c>
      <c r="D601" s="1355"/>
      <c r="E601" s="1356"/>
      <c r="F601" s="479" t="str">
        <f>IF('Calc (ex-animal)'!$F$108=1,"",IF($C$601=0,"",IF(D601="","",E601/'Calc (ex-animal)'!$E$112*100)))</f>
        <v/>
      </c>
      <c r="G601" s="484" t="str">
        <f>IF($C$601=0,"",IF('Calc (ex-animal)'!$F$108=1,"",IF(D601="","",SUM(H601:O601))))</f>
        <v/>
      </c>
      <c r="H601" s="471" t="str">
        <f>IF('Calc (ex-animal)'!$F$108=1,"",IF(D601="","",(((VLOOKUP($C$601,'Calc (ex-animal)'!$D$108:$Y$112,6,FALSE)-VLOOKUP($C$601,'Calc (ex-animal)'!$D$108:$Y$112,17,FALSE))*F601/100))*VLOOKUP($C$601,'Calc (ex-animal)'!$D$108:$Y$112,7,FALSE)/100*(1-VLOOKUP(D601,'DB technologies'!$N$280:$Y$292,9,FALSE)/100)))</f>
        <v/>
      </c>
      <c r="I601" s="471" t="str">
        <f>IF(D601="","",((VLOOKUP(D601,'DB technologies'!$N$280:$Y$292,2,FALSE)*VLOOKUP($C$601,'DB animal categories'!$C$211:$AC$220,27,FALSE)*E601/1000)/VLOOKUP($C$601,'DB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'!$S$6/100*(1-VLOOKUP(D601,'DB technologies'!$N$280:$Y$292,9,FALSE)/100)))</f>
        <v/>
      </c>
      <c r="J601" s="472" t="str">
        <f>IF(D601="","",((VLOOKUP(D601,'DB technologies'!$N$280:$Y$292,3,FALSE)*VLOOKUP($C$601,'DB animal categories'!$C$211:$AC$220,27,FALSE)*E601/1000)/VLOOKUP($C$601,'DB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'!$S$7/100*(1-VLOOKUP(D601,'DB technologies'!$N$280:$Y$292,9,FALSE)/100)))</f>
        <v/>
      </c>
      <c r="K601" s="472" t="str">
        <f>IF(D601="","",((VLOOKUP(D601,'DB technologies'!$N$280:$Y$292,4,FALSE)*E601*'DB additional information '!$S$8/100*(1-VLOOKUP(D601,'DB technologies'!$N$280:$Y$292,9,FALSE)/100))/VLOOKUP($C$601,'DB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L601" s="471" t="str">
        <f>IF('Calc (ex-animal)'!$F$108=1,"",IF(D601="","",(((VLOOKUP($C$601,'Calc (ex-animal)'!$D$108:$Y$112,6,FALSE)-VLOOKUP($C$601,'Calc (ex-animal)'!$D$108:$Y$112,17,FALSE))*F601/100))*(1-VLOOKUP($C$601,'Calc (ex-animal)'!$D$108:$Y$112,7,FALSE)/100)*(1-VLOOKUP(D601,'DB technologies'!$N$280:$V$292,8,FALSE)/100)))</f>
        <v/>
      </c>
      <c r="M601" s="472" t="str">
        <f>IF(D601="","",((VLOOKUP(D601,'DB technologies'!$N$280:$Y$292,2,FALSE)*VLOOKUP($C$601,'DB animal categories'!$C$211:$AC$220,27,FALSE)*E601/1000)/VLOOKUP($C$601,'DB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'!$S$6/100)*(1-VLOOKUP(D601,'DB technologies'!$N$280:$Y$292,9,FALSE)/100))</f>
        <v/>
      </c>
      <c r="N601" s="472" t="str">
        <f>IF(D601="","",((VLOOKUP(D601,'DB technologies'!$N$280:$Y$292,3,FALSE)*VLOOKUP($C$601,'DB animal categories'!$C$211:$AC$220,27,FALSE)*E601/1000)/VLOOKUP($C$601,'DB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'!$S$7/100)*(1-VLOOKUP(D601,'DB technologies'!$N$280:$Y$292,9,FALSE)/100))</f>
        <v/>
      </c>
      <c r="O601" s="471" t="str">
        <f>IF(D601="","",((VLOOKUP(D601,'DB technologies'!$N$280:$Y$292,4,FALSE)*E601*(1-'DB additional information '!$S$8/100)*(1-VLOOKUP(D601,'DB technologies'!$N$280:$Y$292,8,FALSE)/100))/VLOOKUP($C$601,'DB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P601" s="443" t="str">
        <f>IF(G601=0,0,IF(E601="","",IF(F601="","",IF($C$601=0,"",IF(D601="","",SUM(H601:K601)/G601*100)))))</f>
        <v/>
      </c>
      <c r="Q601" s="473" t="str">
        <f>IF(D601="","",(VLOOKUP(D601,'DB technologies'!$N$280:$Y$292,2,FALSE)*'DB additional information '!$S$6/100*'DB additional information '!$T$6*VLOOKUP($C$601,'DB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R601" s="473" t="str">
        <f>IF(D601="","",(VLOOKUP(D601,'DB technologies'!$N$280:$Y$292,3,FALSE)*'DB additional information '!$S$7/100*'DB additional information '!$T$7*VLOOKUP($C$601,'DB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S601" s="490" t="str">
        <f>IF(D601="","",(VLOOKUP(D601,'DB technologies'!$N$280:$Y$292,4,FALSE)*('DB additional information '!$S$8/100*'DB additional information '!$T$8*E601/1000/1000)))</f>
        <v/>
      </c>
      <c r="T601" s="263" t="str">
        <f>IF($C$601=0,"",IF('Calc (ex-animal)'!$F$108=1,"",IF(D601="","",((VLOOKUP($C$601,'Calc (ex-animal)'!$D$108:$Y$112,10,FALSE)-VLOOKUP($C$601,'Calc (ex-animal)'!$D$108:$Y$112,18,FALSE))*F601/100+Q601+R601+S601)-AC601-AD601-AE601)))</f>
        <v/>
      </c>
      <c r="U601" s="474" t="str">
        <f>IF(D601="","",(VLOOKUP(D601,'DB technologies'!$N$280:$Y$292,2,FALSE)*'DB additional information '!$S$6/100*'DB additional information '!$U$6*VLOOKUP($C$601,'DB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V601" s="420" t="str">
        <f>IF(D601="","",(VLOOKUP(D601,'DB technologies'!$N$280:$Y$292,3,FALSE)*'DB additional information '!$S$7/100*'DB additional information '!$U$7*VLOOKUP($C$601,'DB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W601" s="415" t="str">
        <f>IF(D601="","",(VLOOKUP(D601,'DB technologies'!$N$280:$Y$292,4,FALSE)*('DB additional information '!$S$8/100*'DB additional information '!$U$8*E601/1000/1000)))</f>
        <v/>
      </c>
      <c r="X601" s="259" t="str">
        <f>IF($C$601=0,"",IF('Calc (ex-animal)'!$F$108=1,"",IF(D601="","",((VLOOKUP($C$601,'Calc (ex-animal)'!$D$108:$Y$112,13,FALSE)-VLOOKUP($C$601,'Calc (ex-animal)'!$D$108:$Y$112,19,FALSE))*F601/100+U601+V601+W601))))</f>
        <v/>
      </c>
      <c r="Y601" s="420" t="str">
        <f>IF(D601="","",(VLOOKUP(D601,'DB technologies'!$N$280:$Y$292,2,FALSE)*'DB additional information '!$S$6/100*'DB additional information '!$V$6*VLOOKUP($C$601,'DB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Z601" s="420" t="str">
        <f>IF(D601="","",(VLOOKUP(D601,'DB technologies'!$N$280:$Y$292,3,FALSE)*'DB additional information '!$S$7/100*'DB additional information '!$V$7*VLOOKUP($C$601,'DB animal categories'!$C$211:$AC$220,27,FALSE)*E601/1000/1000)/VLOOKUP($C$601,'DB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AA601" s="420" t="str">
        <f>IF(D601="","",(VLOOKUP(D601,'DB technologies'!$N$280:$Y$292,4,FALSE)*('DB additional information '!$S$8/100*'DB additional information '!$V$8*E601/1000/1000)))</f>
        <v/>
      </c>
      <c r="AB601" s="259" t="str">
        <f>IF($C$601=0,"",IF('Calc (ex-animal)'!$F$108=1,"",IF(D601="","",((VLOOKUP($C$601,'Calc (ex-animal)'!$D$108:$Y$112,16,FALSE)-VLOOKUP($C$601,'Calc (ex-animal)'!$D$108:$Y$112,20,FALSE))*F601/100+Y601+Z601+AA601))))</f>
        <v/>
      </c>
      <c r="AC601" s="259" t="str">
        <f>IF($C$601=0,"",IF('Calc (ex-animal)'!$F$108=1,"",IF(D601="","",VLOOKUP($C$601,'Calc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categories'!$C$211:$AC$220,26,FALSE)/24)*F601/100*VLOOKUP(D601,'DB technologies'!$N$280:$R$292,5,FALSE)/100)))</f>
        <v/>
      </c>
      <c r="AD601" s="259" t="str">
        <f>IF($C$601=0,"",IF('Calc (ex-animal)'!$F$108=1,"",IF(D601="","",VLOOKUP($C$601,'Calc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categories'!$C$211:$AC$220,26,FALSE)/24)*F601/100*VLOOKUP(D601,'DB technologies'!$N$280:$Y$292,6,FALSE)/100)))</f>
        <v/>
      </c>
      <c r="AE601" s="260" t="str">
        <f>IF($C$601=0,"",IF('Calc (ex-animal)'!$F$108=1,"",IF(D601="","",VLOOKUP($C$601,'Calc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categories'!$C$211:$AC$220,26,FALSE)/24)*F601/100*VLOOKUP(D601,'DB technologies'!$N$280:$Y$292,7,FALSE)/100)))</f>
        <v/>
      </c>
      <c r="AI601" s="179" t="str">
        <f>IF(D601="","",VLOOKUP(D601,'DB technologies'!$N$280:$Y$292,10,FALSE))</f>
        <v/>
      </c>
      <c r="AJ601" s="482" t="e">
        <f>VLOOKUP($C$601,'DB animal categories'!$C$211:$AN$220,27,FALSE)-VLOOKUP($C$601,'DB animal categories'!$C$211:$AN$220,26,FALSE)*VLOOKUP($C$601,'DB animal categories'!$C$211:$AN$220,25,FALSE)/24</f>
        <v>#N/A</v>
      </c>
      <c r="AK601" s="453" t="str">
        <f>IF(AI601="","",AL601+AM601)</f>
        <v/>
      </c>
      <c r="AL601" s="453" t="str">
        <f>IF(D601="","",IF(AI601=2,(('Calc (ex-animal)'!$G$112*'DB additional information '!$K$23/100*(1-VLOOKUP(D601,'DB technologies'!$N$280:$Y$292,9,FALSE)/100)*'Calc (ex-housing, ex-storage)'!F601/100+'Calc (ex-animal)'!$H$112*'DB additional information '!$L$23/100*(1-VLOOKUP(D601,'DB technologies'!$N$280:$Y$292,9,FALSE)/100)*'Calc (ex-housing, ex-storage)'!F601/100))/VLOOKUP($C$601,'DB animal categories'!$C$211:$AC$220,27,FALSE)*AJ601+I601+J601+K601,IF(AI601=1,('Calc (ex-animal)'!$H$112*'DB additional information '!$L$23/100*(1-VLOOKUP(D601,'DB technologies'!$N$280:$Y$292,9,FALSE)/100)*'Calc (ex-housing, ex-storage)'!F601/100)/VLOOKUP($C$601,'DB animal categories'!$C$211:$AC$220,27,FALSE)*AJ601,IF(AI601=4,('Calc (ex-animal)'!$G$112*'DB additional information '!$K$23/100+'Calc (ex-animal)'!$H$112*'DB additional information '!$L$23/100)*(1-VLOOKUP(D601,'DB technologies'!$N$280:$Y$292,9,FALSE)/100)*'Calc (ex-housing, ex-storage)'!F601/100*VLOOKUP(D601,'DB technologies'!$N$280:$Y$292,11,FALSE)/100/VLOOKUP($C$601,'DB animal categories'!$C$211:$AC$220,27,FALSE)*AJ601,0))))</f>
        <v/>
      </c>
      <c r="AM601" s="453" t="str">
        <f>IF(D601="","",IF(AI601=2,(('Calc (ex-animal)'!$G$112*(1-'DB additional information '!$K$23/100)*(1-VLOOKUP(D601,'DB technologies'!$N$280:$Y$292,8,FALSE)/100)*'Calc (ex-housing, ex-storage)'!F601/100+'Calc (ex-animal)'!$H$112*(1-'DB additional information '!$L$23/100)*(1-VLOOKUP(D601,'DB technologies'!$N$280:$Y$292,8,FALSE)/100)*'Calc (ex-housing, ex-storage)'!F601/100))/VLOOKUP($C$601,'DB animal categories'!$C$211:$AC$220,27,FALSE)*AJ601+M601+N601+O601,IF(AI601=1,('Calc (ex-animal)'!$H$112*(1-'DB additional information '!$L$23/100)*(1-VLOOKUP(D601,'DB technologies'!$N$280:$Y$292,8,FALSE)/100)*'Calc (ex-housing, ex-storage)'!F601/100)/VLOOKUP($C$601,'DB animal categories'!$C$211:$AC$220,27,FALSE)*AJ601,IF(AI601=4,('Calc (ex-animal)'!$G$112*(1-'DB additional information '!$K$23/100)+'Calc (ex-animal)'!$H$112*(1-'DB additional information '!$L$23/100))*(1-VLOOKUP(D601,'DB technologies'!$N$280:$Y$292,8,FALSE)/100)*'Calc (ex-housing, ex-storage)'!F601/100*VLOOKUP(D601,'DB technologies'!$N$280:$Y$292,11,FALSE)/100/VLOOKUP($C$601,'DB animal categories'!$C$211:$AC$220,27,FALSE)*AJ601,0))))</f>
        <v/>
      </c>
      <c r="AN601" s="453" t="str">
        <f>IF(AI601="","",IF(AL601=0,0,AL601/AK601*100))</f>
        <v/>
      </c>
      <c r="AO601" s="180" t="str">
        <f>IF(D601="","",IF(AI601=2,(('Calc (ex-animal)'!$L$112*'Calc (ex-housing, ex-storage)'!F601/100+'Calc (ex-animal)'!$K$112*'Calc (ex-housing, ex-storage)'!F601/100))/VLOOKUP($C$601,'DB animal categories'!$C$211:$AC$220,27,FALSE)*AJ601+Q601+R601+S601-AC601,IF(AI601=1,('Calc (ex-animal)'!$L$112*'Calc (ex-housing, ex-storage)'!F601/100)/VLOOKUP($C$601,'DB animal categories'!$C$211:$AC$220,27,FALSE)*AJ601-'Calc (ex-housing, ex-storage)'!AC601,IF(AI601=4,('Calc (ex-animal)'!$L$112+'Calc (ex-animal)'!$K$112)*'Calc (ex-housing, ex-storage)'!F601/100*VLOOKUP(D601,'DB technologies'!$N$280:$Y$292,11,FALSE)/100/VLOOKUP($C$601,'DB animal categories'!$C$211:$AC$220,27,FALSE)*AJ601-AC601*VLOOKUP(D601,'DB technologies'!$N$280:$Y$292,11,FALSE)/100,0))))</f>
        <v/>
      </c>
      <c r="AP601" s="180" t="str">
        <f>IF(D601="","",IF(AO601&lt;-0.01,0,IF(AI601=2,(('Calc (ex-animal)'!$L$112*'Calc (ex-housing, ex-storage)'!F601/100+'Calc (ex-animal)'!$K$112*'Calc (ex-housing, ex-storage)'!F601/100))/VLOOKUP($C$601,'DB animal categories'!$C$211:$AC$220,27,FALSE)*AJ601+Q601+R601+S601-AC601,IF(AI601=1,('Calc (ex-animal)'!$L$112*'Calc (ex-housing, ex-storage)'!F601/100)/VLOOKUP($C$601,'DB animal categories'!$C$211:$AC$220,27,FALSE)*AJ601-'Calc (ex-housing, ex-storage)'!AC601,IF(AI601=4,('Calc (ex-animal)'!$L$112+'Calc (ex-animal)'!$K$112)*'Calc (ex-housing, ex-storage)'!F601/100*VLOOKUP(D601,'DB technologies'!$N$280:$Y$292,11,FALSE)/100/VLOOKUP($C$601,'DB animal categories'!$C$211:$AC$220,27,FALSE)*AJ601-AC601*VLOOKUP(D601,'DB technologies'!$N$280:$Y$292,11,FALSE)/100,0)))))</f>
        <v/>
      </c>
      <c r="AQ601" s="180" t="str">
        <f>IF(D601="","",IF(AI601=2,('Calc (ex-animal)'!$O$112*'Calc (ex-housing, ex-storage)'!F601/100+'Calc (ex-animal)'!$N$112*'Calc (ex-housing, ex-storage)'!F601/100)/VLOOKUP($C$601,'DB animal categories'!$C$211:$AC$220,27,FALSE)*AJ601+U601+V601+W601,IF(AI601=1,'Calc (ex-animal)'!$O$112*'Calc (ex-housing, ex-storage)'!F601/100/VLOOKUP($C$601,'DB animal categories'!$C$211:$AC$220,27,FALSE)*AJ601,IF(AI601=4,('Calc (ex-animal)'!$O$112+'Calc (ex-animal)'!$N$112)*'Calc (ex-housing, ex-storage)'!F601/100*VLOOKUP(D601,'DB technologies'!$N$280:$Y$292,11,FALSE)/100/VLOOKUP($C$601,'DB animal categories'!$C$211:$AC$220,27,FALSE)*AJ601,0))))</f>
        <v/>
      </c>
      <c r="AR601" s="180" t="str">
        <f>IF(D601="","",IF(AI601=2,('Calc (ex-animal)'!$R$112*'Calc (ex-housing, ex-storage)'!F601/100+'Calc (ex-animal)'!$Q$112*'Calc (ex-housing, ex-storage)'!F601/100)/VLOOKUP($C$601,'DB animal categories'!$C$211:$AC$220,27,FALSE)*AJ601+Y601+Z601+AA601,IF(AI601=1,'Calc (ex-animal)'!$R$112*'Calc (ex-housing, ex-storage)'!F601/100/VLOOKUP($C$601,'DB animal categories'!$C$211:$AC$220,27,FALSE)*AJ601,IF(AI601=4,('Calc (ex-animal)'!$R$112+'Calc (ex-animal)'!$Q$112)*'Calc (ex-housing, ex-storage)'!F601/100*VLOOKUP(D601,'DB technologies'!$N$280:$Y$292,11,FALSE)/100/VLOOKUP($C$601,'DB animal categories'!$C$211:$AC$220,27,FALSE)*AJ601,0))))</f>
        <v/>
      </c>
      <c r="AS601" s="179" t="str">
        <f>IF(D601="","",VLOOKUP(D601,'DB technologies'!$N$280:$Y$292,10,FALSE))</f>
        <v/>
      </c>
      <c r="AT601" s="453" t="str">
        <f>IF(AS601="","",AU601+AV601)</f>
        <v/>
      </c>
      <c r="AU601" s="453" t="str">
        <f>IF(D601="","",IF(AS601=2,0,IF(AS601=1,'Calc (ex-animal)'!$G$112*'DB additional information '!$K$23/100*(1-VLOOKUP(D601,'DB technologies'!$N$280:$Y$292,8,FALSE)/100)*'Calc (ex-housing, ex-storage)'!F601/100/VLOOKUP($C$601,'DB animal categories'!$C$211:$AC$220,27,FALSE)*AJ601+I601+J601+K601,IF(AS601=5,(('Calc (ex-animal)'!$G$112*'DB additional information '!$K$23/100+'Calc (ex-animal)'!$H$112*'DB additional information '!$L$23/100))*(1-VLOOKUP(D601,'DB technologies'!$N$280:$Y$292,9,FALSE)/100)*'Calc (ex-housing, ex-storage)'!F601/100/VLOOKUP($C$601,'DB animal categories'!$C$211:$AC$220,27,FALSE)*AJ601+I601+J601+K601,IF(AS601=3,('Calc (ex-animal)'!$G$112*'DB additional information '!$K$23/100+'Calc (ex-animal)'!$H$112*'DB additional information '!$L$23/100)*(1-VLOOKUP(D601,'DB technologies'!$N$280:$Y$292,9,FALSE)/100)*'Calc (ex-housing, ex-storage)'!F601/100/VLOOKUP($C$601,'DB animal categories'!$C$211:$AC$220,27,FALSE)*AJ601+I601+J601+K601,IF(AS601=4,('Calc (ex-animal)'!$G$112*'DB additional information '!$K$23/100+'Calc (ex-animal)'!$H$112*'DB additional information '!$L$23/100)*(1-VLOOKUP(D601,'DB technologies'!$N$280:$Y$292,9,FALSE)/100)*'Calc (ex-housing, ex-storage)'!F601/100*VLOOKUP(D601,'DB technologies'!$N$280:$Y$292,12,FALSE)/100/VLOOKUP($C$601,'DB animal categories'!$C$211:$AC$220,27,FALSE)*AJ601+I601+J601+K601,0))))))</f>
        <v/>
      </c>
      <c r="AV601" s="453" t="str">
        <f>IF(D601="","",IF(AS601=2,0,IF(AS601=1,'Calc (ex-animal)'!$G$112*(1-'DB additional information '!$K$23/100)*(1-VLOOKUP(D601,'DB technologies'!$N$280:$Y$292,8,FALSE)/100)*'Calc (ex-housing, ex-storage)'!F601/100/VLOOKUP($C$601,'DB animal categories'!$C$211:$AC$220,27,FALSE)*AJ601+M601+N601+O601,IF(AS601=5,('Calc (ex-animal)'!$G$112*(1-'DB additional information '!$K$23/100)+'Calc (ex-animal)'!$H$112*(1-'DB additional information '!$L$23/100))*(1-VLOOKUP(D601,'DB technologies'!$N$280:$Y$292,8,FALSE)/100)*'Calc (ex-housing, ex-storage)'!F601/100/VLOOKUP($C$601,'DB animal categories'!$C$211:$AC$220,27,FALSE)*AJ601+M601+N601+O601,IF(AS601=3,('Calc (ex-animal)'!$G$112*(1-'DB additional information '!$K$23/100)+'Calc (ex-animal)'!$H$112*(1-'DB additional information '!$L$23/100))*(1-VLOOKUP(D601,'DB technologies'!$N$280:$Y$292,8,FALSE)/100)*'Calc (ex-housing, ex-storage)'!F601/100/VLOOKUP($C$601,'DB animal categories'!$C$211:$AC$220,27,FALSE)*AJ601+M601+N601+O601,IF(AS601=4,('Calc (ex-animal)'!$G$112*(1-'DB additional information '!$K$23/100)+'Calc (ex-animal)'!$H$112*(1-'DB additional information '!$L$23/100))*(1-VLOOKUP(D601,'DB technologies'!$N$280:$Y$292,8,FALSE)/100)*'Calc (ex-housing, ex-storage)'!F601/100*VLOOKUP(D601,'DB technologies'!$N$280:$Y$292,12,FALSE)/100/VLOOKUP($C$601,'DB animal categories'!$C$211:$AC$220,27,FALSE)*AJ601+M601+N601+O601,0))))))</f>
        <v/>
      </c>
      <c r="AW601" s="453" t="str">
        <f>IF(AS601="","",IF(AU601=0,0,AU601/AT601*100))</f>
        <v/>
      </c>
      <c r="AX601" s="180" t="str">
        <f>IF(D601="","",IF(AS601=2,0,IF(AS601=1,'Calc (ex-animal)'!$K$112*'Calc (ex-housing, ex-storage)'!F601/100/VLOOKUP($C$601,'DB animal categories'!$C$211:$AC$220,27,FALSE)*AJ601+Q601+R601+S601,IF(AS601=5,('Calc (ex-animal)'!$K$112+'Calc (ex-animal)'!$L$112)*'Calc (ex-housing, ex-storage)'!F601/100/VLOOKUP($C$601,'DB animal categories'!$C$211:$AC$220,27,FALSE)*AJ601+Q601+R601+S601-'Calc (ex-housing, ex-storage)'!AC601,IF(AS601=3,('Calc (ex-animal)'!$K$112+'Calc (ex-animal)'!$L$112)*'Calc (ex-housing, ex-storage)'!F601/100/VLOOKUP($C$601,'DB animal categories'!$C$211:$AC$220,27,FALSE)*AJ601+Q601+R601+S601-'Calc (ex-housing, ex-storage)'!AC601-AD601-AE601,IF(AI601=4,('Calc (ex-animal)'!$K$112+'Calc (ex-animal)'!$L$112)*'Calc (ex-housing, ex-storage)'!F601/100*VLOOKUP(D601,'DB technologies'!$N$280:$Y$292,12,FALSE)/100/VLOOKUP($C$601,'DB animal categories'!$C$211:$AC$220,27,FALSE)*AJ601+Q601+R601+S601-(VLOOKUP(D601,'DB technologies'!$N$280:$Y$292,12,FALSE)/100*AC601)-AD601-AE601,0))))))</f>
        <v/>
      </c>
      <c r="AY601" s="180" t="str">
        <f>IF(D601="","",IF(AS601=2,0,IF(AS601=1,'Calc (ex-animal)'!$N$112*'Calc (ex-housing, ex-storage)'!F601/100/VLOOKUP($C$601,'DB animal categories'!$C$211:$AC$220,27,FALSE)*AJ601+U601+V601+W601,IF(AS601=5,('Calc (ex-animal)'!$N$112+'Calc (ex-animal)'!$O$112)*'Calc (ex-housing, ex-storage)'!F601/100/VLOOKUP($C$601,'DB animal categories'!$C$211:$AC$220,27,FALSE)*AJ601+U601+V601+W601,IF(AS601=3,('Calc (ex-animal)'!$N$112+'Calc (ex-animal)'!$O$112)*'Calc (ex-housing, ex-storage)'!F601/100/VLOOKUP($C$601,'DB animal categories'!$C$211:$AC$220,27,FALSE)*AJ601+U601+V601+W601,IF(AS601=4,('Calc (ex-animal)'!$N$112+'Calc (ex-animal)'!$O$112)*'Calc (ex-housing, ex-storage)'!F601/100*VLOOKUP(D601,'DB technologies'!$N$280:$Y$292,12,FALSE)/100/VLOOKUP($C$601,'DB animal categories'!$C$211:$AC$220,27,FALSE)*AJ601+U601+V601+W601,0))))))</f>
        <v/>
      </c>
      <c r="AZ601" s="180" t="str">
        <f>IF(D601="","",IF(AS601=2,0,IF(AS601=1,'Calc (ex-animal)'!$Q$112*'Calc (ex-housing, ex-storage)'!F601/100/VLOOKUP($C$601,'DB animal categories'!$C$211:$AC$220,27,FALSE)*AJ601+Y601+Z601+AA601,IF(AS601=5,('Calc (ex-animal)'!$Q$112+'Calc (ex-animal)'!$R$112)*'Calc (ex-housing, ex-storage)'!F601/100/VLOOKUP($C$601,'DB animal categories'!$C$211:$AC$220,27,FALSE)*AJ601+Y601+Z601+AA601,IF(AS601=3,('Calc (ex-animal)'!$Q$112+'Calc (ex-animal)'!$R$112)*'Calc (ex-housing, ex-storage)'!F601/100/VLOOKUP($C$601,'DB animal categories'!$C$211:$AC$220,27,FALSE)*AJ601+Y601+Z601+AA601,IF(AS601=4,('Calc (ex-animal)'!$Q$112+'Calc (ex-animal)'!$R$112)*'Calc (ex-housing, ex-storage)'!F601/100*VLOOKUP(D601,'DB technologies'!$N$280:$Y$292,12,FALSE)/100/VLOOKUP($C$601,'DB animal categories'!$C$211:$AC$220,27,FALSE)*AJ601+Y601+Z601+AA601,0))))))</f>
        <v/>
      </c>
      <c r="BA601" s="506"/>
      <c r="BB601" s="506"/>
      <c r="BC601" s="506"/>
    </row>
    <row r="602" spans="1:55" x14ac:dyDescent="0.2">
      <c r="A602" s="748"/>
      <c r="B602" s="695"/>
      <c r="C602" s="251"/>
      <c r="D602" s="1357"/>
      <c r="E602" s="1358"/>
      <c r="F602" s="480" t="str">
        <f>IF('Calc (ex-animal)'!$F$108=1,"",IF($C$601=0,"",IF(D602="","",E602/'Calc (ex-animal)'!$E$112*100)))</f>
        <v/>
      </c>
      <c r="G602" s="485" t="str">
        <f>IF($C$601=0,"",IF('Calc (ex-animal)'!$F$108=1,"",IF(D602="","",SUM(H602:O602))))</f>
        <v/>
      </c>
      <c r="H602" s="423" t="str">
        <f>IF('Calc (ex-animal)'!$F$108=1,"",IF(D602="","",(((VLOOKUP($C$601,'Calc (ex-animal)'!$D$108:$Y$112,6,FALSE)-VLOOKUP($C$601,'Calc (ex-animal)'!$D$108:$Y$112,17,FALSE))*F602/100))*VLOOKUP($C$601,'Calc (ex-animal)'!$D$108:$Y$112,7,FALSE)/100*(1-VLOOKUP(D602,'DB technologies'!$N$280:$Y$292,9,FALSE)/100)))</f>
        <v/>
      </c>
      <c r="I602" s="423" t="str">
        <f>IF(D602="","",((VLOOKUP(D602,'DB technologies'!$N$280:$Y$292,2,FALSE)*VLOOKUP($C$601,'DB animal categories'!$C$211:$AC$220,27,FALSE)*E602/1000)/VLOOKUP($C$601,'DB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'!$S$6/100*(1-VLOOKUP(D602,'DB technologies'!$N$280:$Y$292,9,FALSE)/100)))</f>
        <v/>
      </c>
      <c r="J602" s="434" t="str">
        <f>IF(D602="","",((VLOOKUP(D602,'DB technologies'!$N$280:$Y$292,3,FALSE)*VLOOKUP($C$601,'DB animal categories'!$C$211:$AC$220,27,FALSE)*E602/1000)/VLOOKUP($C$601,'DB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'!$S$7/100*(1-VLOOKUP(D602,'DB technologies'!$N$280:$Y$292,9,FALSE)/100)))</f>
        <v/>
      </c>
      <c r="K602" s="434" t="str">
        <f>IF(D602="","",((VLOOKUP(D602,'DB technologies'!$N$280:$Y$292,4,FALSE)*E602*'DB additional information '!$S$8/100*(1-VLOOKUP(D602,'DB technologies'!$N$280:$Y$292,9,FALSE)/100))/VLOOKUP($C$601,'DB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L602" s="423" t="str">
        <f>IF('Calc (ex-animal)'!$F$108=1,"",IF(D602="","",(((VLOOKUP($C$601,'Calc (ex-animal)'!$D$108:$Y$112,6,FALSE)-VLOOKUP($C$601,'Calc (ex-animal)'!$D$108:$Y$112,17,FALSE))*F602/100))*(1-VLOOKUP($C$601,'Calc (ex-animal)'!$D$108:$Y$112,7,FALSE)/100)*(1-VLOOKUP(D602,'DB technologies'!$N$280:$V$292,8,FALSE)/100)))</f>
        <v/>
      </c>
      <c r="M602" s="434" t="str">
        <f>IF(D602="","",((VLOOKUP(D602,'DB technologies'!$N$280:$Y$292,2,FALSE)*VLOOKUP($C$601,'DB animal categories'!$C$211:$AC$220,27,FALSE)*E602/1000)/VLOOKUP($C$601,'DB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'!$S$6/100)*(1-VLOOKUP(D602,'DB technologies'!$N$280:$Y$292,9,FALSE)/100))</f>
        <v/>
      </c>
      <c r="N602" s="434" t="str">
        <f>IF(D602="","",((VLOOKUP(D602,'DB technologies'!$N$280:$Y$292,3,FALSE)*VLOOKUP($C$601,'DB animal categories'!$C$211:$AC$220,27,FALSE)*E602/1000)/VLOOKUP($C$601,'DB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'!$S$7/100)*(1-VLOOKUP(D602,'DB technologies'!$N$280:$Y$292,9,FALSE)/100))</f>
        <v/>
      </c>
      <c r="O602" s="423" t="str">
        <f>IF(D602="","",((VLOOKUP(D602,'DB technologies'!$N$280:$Y$292,4,FALSE)*E602*(1-'DB additional information '!$S$8/100)*(1-VLOOKUP(D602,'DB technologies'!$N$280:$Y$292,8,FALSE)/100))/VLOOKUP($C$601,'DB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P602" s="438" t="str">
        <f>IF(G602=0,0,IF(E602="","",IF(F602="","",IF($C$601=0,"",IF(D602="","",SUM(H602:K602)/G602*100)))))</f>
        <v/>
      </c>
      <c r="Q602" s="416" t="str">
        <f>IF(D602="","",(VLOOKUP(D602,'DB technologies'!$N$280:$Y$292,2,FALSE)*'DB additional information '!$S$6/100*'DB additional information '!$T$6*VLOOKUP($C$601,'DB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R602" s="416" t="str">
        <f>IF(D602="","",(VLOOKUP(D602,'DB technologies'!$N$280:$Y$292,3,FALSE)*'DB additional information '!$S$7/100*'DB additional information '!$T$7*VLOOKUP($C$601,'DB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S602" s="491" t="str">
        <f>IF(D602="","",(VLOOKUP(D602,'DB technologies'!$N$280:$Y$292,4,FALSE)*('DB additional information '!$S$8/100*'DB additional information '!$T$8*E602/1000/1000)))</f>
        <v/>
      </c>
      <c r="T602" s="264" t="str">
        <f>IF($C$601=0,"",IF('Calc (ex-animal)'!$F$108=1,"",IF(D602="","",((VLOOKUP($C$601,'Calc (ex-animal)'!$D$108:$Y$112,10,FALSE)-VLOOKUP($C$601,'Calc (ex-animal)'!$D$108:$Y$112,18,FALSE))*F602/100+Q602+R602+S602)-AC602-AD602-AE602)))</f>
        <v/>
      </c>
      <c r="U602" s="422" t="str">
        <f>IF(D602="","",(VLOOKUP(D602,'DB technologies'!$N$280:$Y$292,2,FALSE)*'DB additional information '!$S$6/100*'DB additional information '!$U$6*VLOOKUP($C$601,'DB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V602" s="418" t="str">
        <f>IF(D602="","",(VLOOKUP(D602,'DB technologies'!$N$280:$Y$292,3,FALSE)*'DB additional information '!$S$7/100*'DB additional information '!$U$7*VLOOKUP($C$601,'DB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W602" s="417" t="str">
        <f>IF(D602="","",(VLOOKUP(D602,'DB technologies'!$N$280:$Y$292,4,FALSE)*('DB additional information '!$S$8/100*'DB additional information '!$U$8*E602/1000/1000)))</f>
        <v/>
      </c>
      <c r="X602" s="261" t="str">
        <f>IF($C$601=0,"",IF('Calc (ex-animal)'!$F$108=1,"",IF(D602="","",((VLOOKUP($C$601,'Calc (ex-animal)'!$D$108:$Y$112,13,FALSE)-VLOOKUP($C$601,'Calc (ex-animal)'!$D$108:$Y$112,19,FALSE))*F602/100+U602+V602+W602))))</f>
        <v/>
      </c>
      <c r="Y602" s="418" t="str">
        <f>IF(D602="","",(VLOOKUP(D602,'DB technologies'!$N$280:$Y$292,2,FALSE)*'DB additional information '!$S$6/100*'DB additional information '!$V$6*VLOOKUP($C$601,'DB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Z602" s="418" t="str">
        <f>IF(D602="","",(VLOOKUP(D602,'DB technologies'!$N$280:$Y$292,3,FALSE)*'DB additional information '!$S$7/100*'DB additional information '!$V$7*VLOOKUP($C$601,'DB animal categories'!$C$211:$AC$220,27,FALSE)*E602/1000/1000)/VLOOKUP($C$601,'DB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AA602" s="418" t="str">
        <f>IF(D602="","",(VLOOKUP(D602,'DB technologies'!$N$280:$Y$292,4,FALSE)*('DB additional information '!$S$8/100*'DB additional information '!$V$8*E602/1000/1000)))</f>
        <v/>
      </c>
      <c r="AB602" s="261" t="str">
        <f>IF($C$601=0,"",IF('Calc (ex-animal)'!$F$108=1,"",IF(D602="","",((VLOOKUP($C$601,'Calc (ex-animal)'!$D$108:$Y$112,16,FALSE)-VLOOKUP($C$601,'Calc (ex-animal)'!$D$108:$Y$112,20,FALSE))*F602/100+Y602+Z602+AA602))))</f>
        <v/>
      </c>
      <c r="AC602" s="261" t="str">
        <f>IF($C$601=0,"",IF('Calc (ex-animal)'!$F$108=1,"",IF(D602="","",VLOOKUP($C$601,'Calc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categories'!$C$211:$AC$220,26,FALSE)/24)*F602/100*VLOOKUP(D602,'DB technologies'!$N$280:$R$292,5,FALSE)/100)))</f>
        <v/>
      </c>
      <c r="AD602" s="261" t="str">
        <f>IF($C$601=0,"",IF('Calc (ex-animal)'!$F$108=1,"",IF(D602="","",VLOOKUP($C$601,'Calc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categories'!$C$211:$AC$220,26,FALSE)/24)*F602/100*VLOOKUP(D602,'DB technologies'!$N$280:$Y$292,6,FALSE)/100)))</f>
        <v/>
      </c>
      <c r="AE602" s="262" t="str">
        <f>IF($C$601=0,"",IF('Calc (ex-animal)'!$F$108=1,"",IF(D602="","",VLOOKUP($C$601,'Calc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categories'!$C$211:$AC$220,26,FALSE)/24)*F602/100*VLOOKUP(D602,'DB technologies'!$N$280:$Y$292,7,FALSE)/100)))</f>
        <v/>
      </c>
      <c r="AI602" s="181" t="str">
        <f>IF(D602="","",VLOOKUP(D602,'DB technologies'!$N$280:$Y$292,10,FALSE))</f>
        <v/>
      </c>
      <c r="AJ602" s="449" t="e">
        <f>VLOOKUP($C$601,'DB animal categories'!$C$211:$AN$220,27,FALSE)-VLOOKUP($C$601,'DB animal categories'!$C$211:$AN$220,26,FALSE)*VLOOKUP($C$601,'DB animal categories'!$C$211:$AN$220,25,FALSE)/24</f>
        <v>#N/A</v>
      </c>
      <c r="AK602" s="442" t="str">
        <f>IF(AI602="","",AL602+AM602)</f>
        <v/>
      </c>
      <c r="AL602" s="442" t="str">
        <f>IF(D602="","",IF(AI602=2,(('Calc (ex-animal)'!$G$112*'DB additional information '!$K$23/100*(1-VLOOKUP(D602,'DB technologies'!$N$280:$Y$292,9,FALSE)/100)*'Calc (ex-housing, ex-storage)'!F602/100+'Calc (ex-animal)'!$H$112*'DB additional information '!$L$23/100*(1-VLOOKUP(D602,'DB technologies'!$N$280:$Y$292,9,FALSE)/100)*'Calc (ex-housing, ex-storage)'!F602/100))/VLOOKUP($C$601,'DB animal categories'!$C$211:$AC$220,27,FALSE)*AJ602+I602+J602+K602,IF(AI602=1,('Calc (ex-animal)'!$H$112*'DB additional information '!$L$23/100*(1-VLOOKUP(D602,'DB technologies'!$N$280:$Y$292,9,FALSE)/100)*'Calc (ex-housing, ex-storage)'!F602/100)/VLOOKUP($C$601,'DB animal categories'!$C$211:$AC$220,27,FALSE)*AJ602,IF(AI602=4,('Calc (ex-animal)'!$G$112*'DB additional information '!$K$23/100+'Calc (ex-animal)'!$H$112*'DB additional information '!$L$23/100)*(1-VLOOKUP(D602,'DB technologies'!$N$280:$Y$292,9,FALSE)/100)*'Calc (ex-housing, ex-storage)'!F602/100*VLOOKUP(D602,'DB technologies'!$N$280:$Y$292,11,FALSE)/100/VLOOKUP($C$601,'DB animal categories'!$C$211:$AC$220,27,FALSE)*AJ602,0))))</f>
        <v/>
      </c>
      <c r="AM602" s="442" t="str">
        <f>IF(D602="","",IF(AI602=2,(('Calc (ex-animal)'!$G$112*(1-'DB additional information '!$K$23/100)*(1-VLOOKUP(D602,'DB technologies'!$N$280:$Y$292,8,FALSE)/100)*'Calc (ex-housing, ex-storage)'!F602/100+'Calc (ex-animal)'!$H$112*(1-'DB additional information '!$L$23/100)*(1-VLOOKUP(D602,'DB technologies'!$N$280:$Y$292,8,FALSE)/100)*'Calc (ex-housing, ex-storage)'!F602/100))/VLOOKUP($C$601,'DB animal categories'!$C$211:$AC$220,27,FALSE)*AJ602+M602+N602+O602,IF(AI602=1,('Calc (ex-animal)'!$H$112*(1-'DB additional information '!$L$23/100)*(1-VLOOKUP(D602,'DB technologies'!$N$280:$Y$292,8,FALSE)/100)*'Calc (ex-housing, ex-storage)'!F602/100)/VLOOKUP($C$601,'DB animal categories'!$C$211:$AC$220,27,FALSE)*AJ602,IF(AI602=4,('Calc (ex-animal)'!$G$112*(1-'DB additional information '!$K$23/100)+'Calc (ex-animal)'!$H$112*(1-'DB additional information '!$L$23/100))*(1-VLOOKUP(D602,'DB technologies'!$N$280:$Y$292,8,FALSE)/100)*'Calc (ex-housing, ex-storage)'!F602/100*VLOOKUP(D602,'DB technologies'!$N$280:$Y$292,11,FALSE)/100/VLOOKUP($C$601,'DB animal categories'!$C$211:$AC$220,27,FALSE)*AJ602,0))))</f>
        <v/>
      </c>
      <c r="AN602" s="442" t="str">
        <f>IF(AI602="","",IF(AL602=0,0,AL602/AK602*100))</f>
        <v/>
      </c>
      <c r="AO602" s="182" t="str">
        <f>IF(D602="","",IF(AI602=2,(('Calc (ex-animal)'!$L$112*'Calc (ex-housing, ex-storage)'!F602/100+'Calc (ex-animal)'!$K$112*'Calc (ex-housing, ex-storage)'!F602/100))/VLOOKUP($C$601,'DB animal categories'!$C$211:$AC$220,27,FALSE)*AJ602+Q602+R602+S602-AC602,IF(AI602=1,('Calc (ex-animal)'!$L$112*'Calc (ex-housing, ex-storage)'!F602/100)/VLOOKUP($C$601,'DB animal categories'!$C$211:$AC$220,27,FALSE)*AJ602-'Calc (ex-housing, ex-storage)'!AC602,IF(AI602=4,('Calc (ex-animal)'!$L$112+'Calc (ex-animal)'!$K$112)*'Calc (ex-housing, ex-storage)'!F602/100*VLOOKUP(D602,'DB technologies'!$N$280:$Y$292,11,FALSE)/100/VLOOKUP($C$601,'DB animal categories'!$C$211:$AC$220,27,FALSE)*AJ602-AC602*VLOOKUP(D602,'DB technologies'!$N$280:$Y$292,11,FALSE)/100,0))))</f>
        <v/>
      </c>
      <c r="AP602" s="182" t="str">
        <f>IF(D602="","",IF(AO602&lt;-0.01,0,IF(AI602=2,(('Calc (ex-animal)'!$L$112*'Calc (ex-housing, ex-storage)'!F602/100+'Calc (ex-animal)'!$K$112*'Calc (ex-housing, ex-storage)'!F602/100))/VLOOKUP($C$601,'DB animal categories'!$C$211:$AC$220,27,FALSE)*AJ602+Q602+R602+S602-AC602,IF(AI602=1,('Calc (ex-animal)'!$L$112*'Calc (ex-housing, ex-storage)'!F602/100)/VLOOKUP($C$601,'DB animal categories'!$C$211:$AC$220,27,FALSE)*AJ602-'Calc (ex-housing, ex-storage)'!AC602,IF(AI602=4,('Calc (ex-animal)'!$L$112+'Calc (ex-animal)'!$K$112)*'Calc (ex-housing, ex-storage)'!F602/100*VLOOKUP(D602,'DB technologies'!$N$280:$Y$292,11,FALSE)/100/VLOOKUP($C$601,'DB animal categories'!$C$211:$AC$220,27,FALSE)*AJ602-AC602*VLOOKUP(D602,'DB technologies'!$N$280:$Y$292,11,FALSE)/100,0)))))</f>
        <v/>
      </c>
      <c r="AQ602" s="182" t="str">
        <f>IF(D602="","",IF(AI602=2,('Calc (ex-animal)'!$O$112*'Calc (ex-housing, ex-storage)'!F602/100+'Calc (ex-animal)'!$N$112*'Calc (ex-housing, ex-storage)'!F602/100)/VLOOKUP($C$601,'DB animal categories'!$C$211:$AC$220,27,FALSE)*AJ602+U602+V602+W602,IF(AI602=1,'Calc (ex-animal)'!$O$112*'Calc (ex-housing, ex-storage)'!F602/100/VLOOKUP($C$601,'DB animal categories'!$C$211:$AC$220,27,FALSE)*AJ602,IF(AI602=4,('Calc (ex-animal)'!$O$112+'Calc (ex-animal)'!$N$112)*'Calc (ex-housing, ex-storage)'!F602/100*VLOOKUP(D602,'DB technologies'!$N$280:$Y$292,11,FALSE)/100/VLOOKUP($C$601,'DB animal categories'!$C$211:$AC$220,27,FALSE)*AJ602,0))))</f>
        <v/>
      </c>
      <c r="AR602" s="182" t="str">
        <f>IF(D602="","",IF(AI602=2,('Calc (ex-animal)'!$R$112*'Calc (ex-housing, ex-storage)'!F602/100+'Calc (ex-animal)'!$Q$112*'Calc (ex-housing, ex-storage)'!F602/100)/VLOOKUP($C$601,'DB animal categories'!$C$211:$AC$220,27,FALSE)*AJ602+Y602+Z602+AA602,IF(AI602=1,'Calc (ex-animal)'!$R$112*'Calc (ex-housing, ex-storage)'!F602/100/VLOOKUP($C$601,'DB animal categories'!$C$211:$AC$220,27,FALSE)*AJ602,IF(AI602=4,('Calc (ex-animal)'!$R$112+'Calc (ex-animal)'!$Q$112)*'Calc (ex-housing, ex-storage)'!F602/100*VLOOKUP(D602,'DB technologies'!$N$280:$Y$292,11,FALSE)/100/VLOOKUP($C$601,'DB animal categories'!$C$211:$AC$220,27,FALSE)*AJ602,0))))</f>
        <v/>
      </c>
      <c r="AS602" s="181" t="str">
        <f>IF(D602="","",VLOOKUP(D602,'DB technologies'!$N$280:$Y$292,10,FALSE))</f>
        <v/>
      </c>
      <c r="AT602" s="442" t="str">
        <f>IF(AS602="","",AU602+AV602)</f>
        <v/>
      </c>
      <c r="AU602" s="442" t="str">
        <f>IF(D602="","",IF(AS602=2,0,IF(AS602=1,'Calc (ex-animal)'!$G$112*'DB additional information '!$K$23/100*(1-VLOOKUP(D602,'DB technologies'!$N$280:$Y$292,8,FALSE)/100)*'Calc (ex-housing, ex-storage)'!F602/100/VLOOKUP($C$601,'DB animal categories'!$C$211:$AC$220,27,FALSE)*AJ602+I602+J602+K602,IF(AS602=5,(('Calc (ex-animal)'!$G$112*'DB additional information '!$K$23/100+'Calc (ex-animal)'!$H$112*'DB additional information '!$L$23/100))*(1-VLOOKUP(D602,'DB technologies'!$N$280:$Y$292,9,FALSE)/100)*'Calc (ex-housing, ex-storage)'!F602/100/VLOOKUP($C$601,'DB animal categories'!$C$211:$AC$220,27,FALSE)*AJ602+I602+J602+K602,IF(AS602=3,('Calc (ex-animal)'!$G$112*'DB additional information '!$K$23/100+'Calc (ex-animal)'!$H$112*'DB additional information '!$L$23/100)*(1-VLOOKUP(D602,'DB technologies'!$N$280:$Y$292,9,FALSE)/100)*'Calc (ex-housing, ex-storage)'!F602/100/VLOOKUP($C$601,'DB animal categories'!$C$211:$AC$220,27,FALSE)*AJ602+I602+J602+K602,IF(AS602=4,('Calc (ex-animal)'!$G$112*'DB additional information '!$K$23/100+'Calc (ex-animal)'!$H$112*'DB additional information '!$L$23/100)*(1-VLOOKUP(D602,'DB technologies'!$N$280:$Y$292,9,FALSE)/100)*'Calc (ex-housing, ex-storage)'!F602/100*VLOOKUP(D602,'DB technologies'!$N$280:$Y$292,12,FALSE)/100/VLOOKUP($C$601,'DB animal categories'!$C$211:$AC$220,27,FALSE)*AJ602+I602+J602+K602,0))))))</f>
        <v/>
      </c>
      <c r="AV602" s="442" t="str">
        <f>IF(D602="","",IF(AS602=2,0,IF(AS602=1,'Calc (ex-animal)'!$G$112*(1-'DB additional information '!$K$23/100)*(1-VLOOKUP(D602,'DB technologies'!$N$280:$Y$292,8,FALSE)/100)*'Calc (ex-housing, ex-storage)'!F602/100/VLOOKUP($C$601,'DB animal categories'!$C$211:$AC$220,27,FALSE)*AJ602+M602+N602+O602,IF(AS602=5,('Calc (ex-animal)'!$G$112*(1-'DB additional information '!$K$23/100)+'Calc (ex-animal)'!$H$112*(1-'DB additional information '!$L$23/100))*(1-VLOOKUP(D602,'DB technologies'!$N$280:$Y$292,8,FALSE)/100)*'Calc (ex-housing, ex-storage)'!F602/100/VLOOKUP($C$601,'DB animal categories'!$C$211:$AC$220,27,FALSE)*AJ602+M602+N602+O602,IF(AS602=3,('Calc (ex-animal)'!$G$112*(1-'DB additional information '!$K$23/100)+'Calc (ex-animal)'!$H$112*(1-'DB additional information '!$L$23/100))*(1-VLOOKUP(D602,'DB technologies'!$N$280:$Y$292,8,FALSE)/100)*'Calc (ex-housing, ex-storage)'!F602/100/VLOOKUP($C$601,'DB animal categories'!$C$211:$AC$220,27,FALSE)*AJ602+M602+N602+O602,IF(AS602=4,('Calc (ex-animal)'!$G$112*(1-'DB additional information '!$K$23/100)+'Calc (ex-animal)'!$H$112*(1-'DB additional information '!$L$23/100))*(1-VLOOKUP(D602,'DB technologies'!$N$280:$Y$292,8,FALSE)/100)*'Calc (ex-housing, ex-storage)'!F602/100*VLOOKUP(D602,'DB technologies'!$N$280:$Y$292,12,FALSE)/100/VLOOKUP($C$601,'DB animal categories'!$C$211:$AC$220,27,FALSE)*AJ602+M602+N602+O602,0))))))</f>
        <v/>
      </c>
      <c r="AW602" s="442" t="str">
        <f>IF(AS602="","",IF(AU602=0,0,AU602/AT602*100))</f>
        <v/>
      </c>
      <c r="AX602" s="182" t="str">
        <f>IF(D602="","",IF(AS602=2,0,IF(AS602=1,'Calc (ex-animal)'!$K$112*'Calc (ex-housing, ex-storage)'!F602/100/VLOOKUP($C$601,'DB animal categories'!$C$211:$AC$220,27,FALSE)*AJ602+Q602+R602+S602,IF(AS602=5,('Calc (ex-animal)'!$K$112+'Calc (ex-animal)'!$L$112)*'Calc (ex-housing, ex-storage)'!F602/100/VLOOKUP($C$601,'DB animal categories'!$C$211:$AC$220,27,FALSE)*AJ602+Q602+R602+S602-'Calc (ex-housing, ex-storage)'!AC602,IF(AS602=3,('Calc (ex-animal)'!$K$112+'Calc (ex-animal)'!$L$112)*'Calc (ex-housing, ex-storage)'!F602/100/VLOOKUP($C$601,'DB animal categories'!$C$211:$AC$220,27,FALSE)*AJ602+Q602+R602+S602-'Calc (ex-housing, ex-storage)'!AC602-AD602-AE602,IF(AI602=4,('Calc (ex-animal)'!$K$112+'Calc (ex-animal)'!$L$112)*'Calc (ex-housing, ex-storage)'!F602/100*VLOOKUP(D602,'DB technologies'!$N$280:$Y$292,12,FALSE)/100/VLOOKUP($C$601,'DB animal categories'!$C$211:$AC$220,27,FALSE)*AJ602+Q602+R602+S602-(VLOOKUP(D602,'DB technologies'!$N$280:$Y$292,12,FALSE)/100*AC602)-AD602-AE602,0))))))</f>
        <v/>
      </c>
      <c r="AY602" s="182" t="str">
        <f>IF(D602="","",IF(AS602=2,0,IF(AS602=1,'Calc (ex-animal)'!$N$112*'Calc (ex-housing, ex-storage)'!F602/100/VLOOKUP($C$601,'DB animal categories'!$C$211:$AC$220,27,FALSE)*AJ602+U602+V602+W602,IF(AS602=5,('Calc (ex-animal)'!$N$112+'Calc (ex-animal)'!$O$112)*'Calc (ex-housing, ex-storage)'!F602/100/VLOOKUP($C$601,'DB animal categories'!$C$211:$AC$220,27,FALSE)*AJ602+U602+V602+W602,IF(AS602=3,('Calc (ex-animal)'!$N$112+'Calc (ex-animal)'!$O$112)*'Calc (ex-housing, ex-storage)'!F602/100/VLOOKUP($C$601,'DB animal categories'!$C$211:$AC$220,27,FALSE)*AJ602+U602+V602+W602,IF(AS602=4,('Calc (ex-animal)'!$N$112+'Calc (ex-animal)'!$O$112)*'Calc (ex-housing, ex-storage)'!F602/100*VLOOKUP(D602,'DB technologies'!$N$280:$Y$292,12,FALSE)/100/VLOOKUP($C$601,'DB animal categories'!$C$211:$AC$220,27,FALSE)*AJ602+U602+V602+W602,0))))))</f>
        <v/>
      </c>
      <c r="AZ602" s="182" t="str">
        <f>IF(D602="","",IF(AS602=2,0,IF(AS602=1,'Calc (ex-animal)'!$Q$112*'Calc (ex-housing, ex-storage)'!F602/100/VLOOKUP($C$601,'DB animal categories'!$C$211:$AC$220,27,FALSE)*AJ602+Y602+Z602+AA602,IF(AS602=5,('Calc (ex-animal)'!$Q$112+'Calc (ex-animal)'!$R$112)*'Calc (ex-housing, ex-storage)'!F602/100/VLOOKUP($C$601,'DB animal categories'!$C$211:$AC$220,27,FALSE)*AJ602+Y602+Z602+AA602,IF(AS602=3,('Calc (ex-animal)'!$Q$112+'Calc (ex-animal)'!$R$112)*'Calc (ex-housing, ex-storage)'!F602/100/VLOOKUP($C$601,'DB animal categories'!$C$211:$AC$220,27,FALSE)*AJ602+Y602+Z602+AA602,IF(AS602=4,('Calc (ex-animal)'!$Q$112+'Calc (ex-animal)'!$R$112)*'Calc (ex-housing, ex-storage)'!F602/100*VLOOKUP(D602,'DB technologies'!$N$280:$Y$292,12,FALSE)/100/VLOOKUP($C$601,'DB animal categories'!$C$211:$AC$220,27,FALSE)*AJ602+Y602+Z602+AA602,0))))))</f>
        <v/>
      </c>
      <c r="BA602" s="506"/>
      <c r="BB602" s="506"/>
      <c r="BC602" s="506"/>
    </row>
    <row r="603" spans="1:55" x14ac:dyDescent="0.2">
      <c r="A603" s="748"/>
      <c r="B603" s="695"/>
      <c r="C603" s="251"/>
      <c r="D603" s="1357"/>
      <c r="E603" s="1358"/>
      <c r="F603" s="480" t="str">
        <f>IF('Calc (ex-animal)'!$F$108=1,"",IF($C$601=0,"",IF(D603="","",E603/'Calc (ex-animal)'!$E$112*100)))</f>
        <v/>
      </c>
      <c r="G603" s="485" t="str">
        <f>IF($C$601=0,"",IF('Calc (ex-animal)'!$F$108=1,"",IF(D603="","",SUM(H603:O603))))</f>
        <v/>
      </c>
      <c r="H603" s="423" t="str">
        <f>IF('Calc (ex-animal)'!$F$108=1,"",IF(D603="","",(((VLOOKUP($C$601,'Calc (ex-animal)'!$D$108:$Y$112,6,FALSE)-VLOOKUP($C$601,'Calc (ex-animal)'!$D$108:$Y$112,17,FALSE))*F603/100))*VLOOKUP($C$601,'Calc (ex-animal)'!$D$108:$Y$112,7,FALSE)/100*(1-VLOOKUP(D603,'DB technologies'!$N$280:$Y$292,9,FALSE)/100)))</f>
        <v/>
      </c>
      <c r="I603" s="423" t="str">
        <f>IF(D603="","",((VLOOKUP(D603,'DB technologies'!$N$280:$Y$292,2,FALSE)*VLOOKUP($C$601,'DB animal categories'!$C$211:$AC$220,27,FALSE)*E603/1000)/VLOOKUP($C$601,'DB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'!$S$6/100*(1-VLOOKUP(D603,'DB technologies'!$N$280:$Y$292,9,FALSE)/100)))</f>
        <v/>
      </c>
      <c r="J603" s="434" t="str">
        <f>IF(D603="","",((VLOOKUP(D603,'DB technologies'!$N$280:$Y$292,3,FALSE)*VLOOKUP($C$601,'DB animal categories'!$C$211:$AC$220,27,FALSE)*E603/1000)/VLOOKUP($C$601,'DB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'!$S$7/100*(1-VLOOKUP(D603,'DB technologies'!$N$280:$Y$292,9,FALSE)/100)))</f>
        <v/>
      </c>
      <c r="K603" s="434" t="str">
        <f>IF(D603="","",((VLOOKUP(D603,'DB technologies'!$N$280:$Y$292,4,FALSE)*E603*'DB additional information '!$S$8/100*(1-VLOOKUP(D603,'DB technologies'!$N$280:$Y$292,9,FALSE)/100))/VLOOKUP($C$601,'DB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L603" s="423" t="str">
        <f>IF('Calc (ex-animal)'!$F$108=1,"",IF(D603="","",(((VLOOKUP($C$601,'Calc (ex-animal)'!$D$108:$Y$112,6,FALSE)-VLOOKUP($C$601,'Calc (ex-animal)'!$D$108:$Y$112,17,FALSE))*F603/100))*(1-VLOOKUP($C$601,'Calc (ex-animal)'!$D$108:$Y$112,7,FALSE)/100)*(1-VLOOKUP(D603,'DB technologies'!$N$280:$V$292,8,FALSE)/100)))</f>
        <v/>
      </c>
      <c r="M603" s="434" t="str">
        <f>IF(D603="","",((VLOOKUP(D603,'DB technologies'!$N$280:$Y$292,2,FALSE)*VLOOKUP($C$601,'DB animal categories'!$C$211:$AC$220,27,FALSE)*E603/1000)/VLOOKUP($C$601,'DB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'!$S$6/100)*(1-VLOOKUP(D603,'DB technologies'!$N$280:$Y$292,9,FALSE)/100))</f>
        <v/>
      </c>
      <c r="N603" s="434" t="str">
        <f>IF(D603="","",((VLOOKUP(D603,'DB technologies'!$N$280:$Y$292,3,FALSE)*VLOOKUP($C$601,'DB animal categories'!$C$211:$AC$220,27,FALSE)*E603/1000)/VLOOKUP($C$601,'DB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'!$S$7/100)*(1-VLOOKUP(D603,'DB technologies'!$N$280:$Y$292,9,FALSE)/100))</f>
        <v/>
      </c>
      <c r="O603" s="423" t="str">
        <f>IF(D603="","",((VLOOKUP(D603,'DB technologies'!$N$280:$Y$292,4,FALSE)*E603*(1-'DB additional information '!$S$8/100)*(1-VLOOKUP(D603,'DB technologies'!$N$280:$Y$292,8,FALSE)/100))/VLOOKUP($C$601,'DB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P603" s="438" t="str">
        <f>IF(G603=0,0,IF(E603="","",IF(F603="","",IF($C$601=0,"",IF(D603="","",SUM(H603:K603)/G603*100)))))</f>
        <v/>
      </c>
      <c r="Q603" s="416" t="str">
        <f>IF(D603="","",(VLOOKUP(D603,'DB technologies'!$N$280:$Y$292,2,FALSE)*'DB additional information '!$S$6/100*'DB additional information '!$T$6*VLOOKUP($C$601,'DB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R603" s="416" t="str">
        <f>IF(D603="","",(VLOOKUP(D603,'DB technologies'!$N$280:$Y$292,3,FALSE)*'DB additional information '!$S$7/100*'DB additional information '!$T$7*VLOOKUP($C$601,'DB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S603" s="491" t="str">
        <f>IF(D603="","",(VLOOKUP(D603,'DB technologies'!$N$280:$Y$292,4,FALSE)*('DB additional information '!$S$8/100*'DB additional information '!$T$8*E603/1000/1000)))</f>
        <v/>
      </c>
      <c r="T603" s="264" t="str">
        <f>IF($C$601=0,"",IF('Calc (ex-animal)'!$F$108=1,"",IF(D603="","",((VLOOKUP($C$601,'Calc (ex-animal)'!$D$108:$Y$112,10,FALSE)-VLOOKUP($C$601,'Calc (ex-animal)'!$D$108:$Y$112,18,FALSE))*F603/100+Q603+R603+S603)-AC603-AD603-AE603)))</f>
        <v/>
      </c>
      <c r="U603" s="422" t="str">
        <f>IF(D603="","",(VLOOKUP(D603,'DB technologies'!$N$280:$Y$292,2,FALSE)*'DB additional information '!$S$6/100*'DB additional information '!$U$6*VLOOKUP($C$601,'DB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V603" s="418" t="str">
        <f>IF(D603="","",(VLOOKUP(D603,'DB technologies'!$N$280:$Y$292,3,FALSE)*'DB additional information '!$S$7/100*'DB additional information '!$U$7*VLOOKUP($C$601,'DB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W603" s="417" t="str">
        <f>IF(D603="","",(VLOOKUP(D603,'DB technologies'!$N$280:$Y$292,4,FALSE)*('DB additional information '!$S$8/100*'DB additional information '!$U$8*E603/1000/1000)))</f>
        <v/>
      </c>
      <c r="X603" s="261" t="str">
        <f>IF($C$601=0,"",IF('Calc (ex-animal)'!$F$108=1,"",IF(D603="","",((VLOOKUP($C$601,'Calc (ex-animal)'!$D$108:$Y$112,13,FALSE)-VLOOKUP($C$601,'Calc (ex-animal)'!$D$108:$Y$112,19,FALSE))*F603/100+U603+V603+W603))))</f>
        <v/>
      </c>
      <c r="Y603" s="418" t="str">
        <f>IF(D603="","",(VLOOKUP(D603,'DB technologies'!$N$280:$Y$292,2,FALSE)*'DB additional information '!$S$6/100*'DB additional information '!$V$6*VLOOKUP($C$601,'DB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Z603" s="418" t="str">
        <f>IF(D603="","",(VLOOKUP(D603,'DB technologies'!$N$280:$Y$292,3,FALSE)*'DB additional information '!$S$7/100*'DB additional information '!$V$7*VLOOKUP($C$601,'DB animal categories'!$C$211:$AC$220,27,FALSE)*E603/1000/1000)/VLOOKUP($C$601,'DB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AA603" s="418" t="str">
        <f>IF(D603="","",(VLOOKUP(D603,'DB technologies'!$N$280:$Y$292,4,FALSE)*('DB additional information '!$S$8/100*'DB additional information '!$V$8*E603/1000/1000)))</f>
        <v/>
      </c>
      <c r="AB603" s="261" t="str">
        <f>IF($C$601=0,"",IF('Calc (ex-animal)'!$F$108=1,"",IF(D603="","",((VLOOKUP($C$601,'Calc (ex-animal)'!$D$108:$Y$112,16,FALSE)-VLOOKUP($C$601,'Calc (ex-animal)'!$D$108:$Y$112,20,FALSE))*F603/100+Y603+Z603+AA603))))</f>
        <v/>
      </c>
      <c r="AC603" s="261" t="str">
        <f>IF($C$601=0,"",IF('Calc (ex-animal)'!$F$108=1,"",IF(D603="","",VLOOKUP($C$601,'Calc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categories'!$C$211:$AC$220,26,FALSE)/24)*F603/100*VLOOKUP(D603,'DB technologies'!$N$280:$R$292,5,FALSE)/100)))</f>
        <v/>
      </c>
      <c r="AD603" s="261" t="str">
        <f>IF($C$601=0,"",IF('Calc (ex-animal)'!$F$108=1,"",IF(D603="","",VLOOKUP($C$601,'Calc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categories'!$C$211:$AC$220,26,FALSE)/24)*F603/100*VLOOKUP(D603,'DB technologies'!$N$280:$Y$292,6,FALSE)/100)))</f>
        <v/>
      </c>
      <c r="AE603" s="262" t="str">
        <f>IF($C$601=0,"",IF('Calc (ex-animal)'!$F$108=1,"",IF(D603="","",VLOOKUP($C$601,'Calc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categories'!$C$211:$AC$220,26,FALSE)/24)*F603/100*VLOOKUP(D603,'DB technologies'!$N$280:$Y$292,7,FALSE)/100)))</f>
        <v/>
      </c>
      <c r="AI603" s="181" t="str">
        <f>IF(D603="","",VLOOKUP(D603,'DB technologies'!$N$280:$Y$292,10,FALSE))</f>
        <v/>
      </c>
      <c r="AJ603" s="449" t="e">
        <f>VLOOKUP($C$601,'DB animal categories'!$C$211:$AN$220,27,FALSE)-VLOOKUP($C$601,'DB animal categories'!$C$211:$AN$220,26,FALSE)*VLOOKUP($C$601,'DB animal categories'!$C$211:$AN$220,25,FALSE)/24</f>
        <v>#N/A</v>
      </c>
      <c r="AK603" s="442" t="str">
        <f>IF(AI603="","",AL603+AM603)</f>
        <v/>
      </c>
      <c r="AL603" s="442" t="str">
        <f>IF(D603="","",IF(AI603=2,(('Calc (ex-animal)'!$G$112*'DB additional information '!$K$23/100*(1-VLOOKUP(D603,'DB technologies'!$N$280:$Y$292,9,FALSE)/100)*'Calc (ex-housing, ex-storage)'!F603/100+'Calc (ex-animal)'!$H$112*'DB additional information '!$L$23/100*(1-VLOOKUP(D603,'DB technologies'!$N$280:$Y$292,9,FALSE)/100)*'Calc (ex-housing, ex-storage)'!F603/100))/VLOOKUP($C$601,'DB animal categories'!$C$211:$AC$220,27,FALSE)*AJ603+I603+J603+K603,IF(AI603=1,('Calc (ex-animal)'!$H$112*'DB additional information '!$L$23/100*(1-VLOOKUP(D603,'DB technologies'!$N$280:$Y$292,9,FALSE)/100)*'Calc (ex-housing, ex-storage)'!F603/100)/VLOOKUP($C$601,'DB animal categories'!$C$211:$AC$220,27,FALSE)*AJ603,IF(AI603=4,('Calc (ex-animal)'!$G$112*'DB additional information '!$K$23/100+'Calc (ex-animal)'!$H$112*'DB additional information '!$L$23/100)*(1-VLOOKUP(D603,'DB technologies'!$N$280:$Y$292,9,FALSE)/100)*'Calc (ex-housing, ex-storage)'!F603/100*VLOOKUP(D603,'DB technologies'!$N$280:$Y$292,11,FALSE)/100/VLOOKUP($C$601,'DB animal categories'!$C$211:$AC$220,27,FALSE)*AJ603,0))))</f>
        <v/>
      </c>
      <c r="AM603" s="442" t="str">
        <f>IF(D603="","",IF(AI603=2,(('Calc (ex-animal)'!$G$112*(1-'DB additional information '!$K$23/100)*(1-VLOOKUP(D603,'DB technologies'!$N$280:$Y$292,8,FALSE)/100)*'Calc (ex-housing, ex-storage)'!F603/100+'Calc (ex-animal)'!$H$112*(1-'DB additional information '!$L$23/100)*(1-VLOOKUP(D603,'DB technologies'!$N$280:$Y$292,8,FALSE)/100)*'Calc (ex-housing, ex-storage)'!F603/100))/VLOOKUP($C$601,'DB animal categories'!$C$211:$AC$220,27,FALSE)*AJ603+M603+N603+O603,IF(AI603=1,('Calc (ex-animal)'!$H$112*(1-'DB additional information '!$L$23/100)*(1-VLOOKUP(D603,'DB technologies'!$N$280:$Y$292,8,FALSE)/100)*'Calc (ex-housing, ex-storage)'!F603/100)/VLOOKUP($C$601,'DB animal categories'!$C$211:$AC$220,27,FALSE)*AJ603,IF(AI603=4,('Calc (ex-animal)'!$G$112*(1-'DB additional information '!$K$23/100)+'Calc (ex-animal)'!$H$112*(1-'DB additional information '!$L$23/100))*(1-VLOOKUP(D603,'DB technologies'!$N$280:$Y$292,8,FALSE)/100)*'Calc (ex-housing, ex-storage)'!F603/100*VLOOKUP(D603,'DB technologies'!$N$280:$Y$292,11,FALSE)/100/VLOOKUP($C$601,'DB animal categories'!$C$211:$AC$220,27,FALSE)*AJ603,0))))</f>
        <v/>
      </c>
      <c r="AN603" s="442" t="str">
        <f>IF(AI603="","",IF(AL603=0,0,AL603/AK603*100))</f>
        <v/>
      </c>
      <c r="AO603" s="182" t="str">
        <f>IF(D603="","",IF(AI603=2,(('Calc (ex-animal)'!$L$112*'Calc (ex-housing, ex-storage)'!F603/100+'Calc (ex-animal)'!$K$112*'Calc (ex-housing, ex-storage)'!F603/100))/VLOOKUP($C$601,'DB animal categories'!$C$211:$AC$220,27,FALSE)*AJ603+Q603+R603+S603-AC603,IF(AI603=1,('Calc (ex-animal)'!$L$112*'Calc (ex-housing, ex-storage)'!F603/100)/VLOOKUP($C$601,'DB animal categories'!$C$211:$AC$220,27,FALSE)*AJ603-'Calc (ex-housing, ex-storage)'!AC603,IF(AI603=4,('Calc (ex-animal)'!$L$112+'Calc (ex-animal)'!$K$112)*'Calc (ex-housing, ex-storage)'!F603/100*VLOOKUP(D603,'DB technologies'!$N$280:$Y$292,11,FALSE)/100/VLOOKUP($C$601,'DB animal categories'!$C$211:$AC$220,27,FALSE)*AJ603-AC603*VLOOKUP(D603,'DB technologies'!$N$280:$Y$292,11,FALSE)/100,0))))</f>
        <v/>
      </c>
      <c r="AP603" s="182" t="str">
        <f>IF(D603="","",IF(AO603&lt;-0.01,0,IF(AI603=2,(('Calc (ex-animal)'!$L$112*'Calc (ex-housing, ex-storage)'!F603/100+'Calc (ex-animal)'!$K$112*'Calc (ex-housing, ex-storage)'!F603/100))/VLOOKUP($C$601,'DB animal categories'!$C$211:$AC$220,27,FALSE)*AJ603+Q603+R603+S603-AC603,IF(AI603=1,('Calc (ex-animal)'!$L$112*'Calc (ex-housing, ex-storage)'!F603/100)/VLOOKUP($C$601,'DB animal categories'!$C$211:$AC$220,27,FALSE)*AJ603-'Calc (ex-housing, ex-storage)'!AC603,IF(AI603=4,('Calc (ex-animal)'!$L$112+'Calc (ex-animal)'!$K$112)*'Calc (ex-housing, ex-storage)'!F603/100*VLOOKUP(D603,'DB technologies'!$N$280:$Y$292,11,FALSE)/100/VLOOKUP($C$601,'DB animal categories'!$C$211:$AC$220,27,FALSE)*AJ603-AC603*VLOOKUP(D603,'DB technologies'!$N$280:$Y$292,11,FALSE)/100,0)))))</f>
        <v/>
      </c>
      <c r="AQ603" s="182" t="str">
        <f>IF(D603="","",IF(AI603=2,('Calc (ex-animal)'!$O$112*'Calc (ex-housing, ex-storage)'!F603/100+'Calc (ex-animal)'!$N$112*'Calc (ex-housing, ex-storage)'!F603/100)/VLOOKUP($C$601,'DB animal categories'!$C$211:$AC$220,27,FALSE)*AJ603+U603+V603+W603,IF(AI603=1,'Calc (ex-animal)'!$O$112*'Calc (ex-housing, ex-storage)'!F603/100/VLOOKUP($C$601,'DB animal categories'!$C$211:$AC$220,27,FALSE)*AJ603,IF(AI603=4,('Calc (ex-animal)'!$O$112+'Calc (ex-animal)'!$N$112)*'Calc (ex-housing, ex-storage)'!F603/100*VLOOKUP(D603,'DB technologies'!$N$280:$Y$292,11,FALSE)/100/VLOOKUP($C$601,'DB animal categories'!$C$211:$AC$220,27,FALSE)*AJ603,0))))</f>
        <v/>
      </c>
      <c r="AR603" s="182" t="str">
        <f>IF(D603="","",IF(AI603=2,('Calc (ex-animal)'!$R$112*'Calc (ex-housing, ex-storage)'!F603/100+'Calc (ex-animal)'!$Q$112*'Calc (ex-housing, ex-storage)'!F603/100)/VLOOKUP($C$601,'DB animal categories'!$C$211:$AC$220,27,FALSE)*AJ603+Y603+Z603+AA603,IF(AI603=1,'Calc (ex-animal)'!$R$112*'Calc (ex-housing, ex-storage)'!F603/100/VLOOKUP($C$601,'DB animal categories'!$C$211:$AC$220,27,FALSE)*AJ603,IF(AI603=4,('Calc (ex-animal)'!$R$112+'Calc (ex-animal)'!$Q$112)*'Calc (ex-housing, ex-storage)'!F603/100*VLOOKUP(D603,'DB technologies'!$N$280:$Y$292,11,FALSE)/100/VLOOKUP($C$601,'DB animal categories'!$C$211:$AC$220,27,FALSE)*AJ603,0))))</f>
        <v/>
      </c>
      <c r="AS603" s="181" t="str">
        <f>IF(D603="","",VLOOKUP(D603,'DB technologies'!$N$280:$Y$292,10,FALSE))</f>
        <v/>
      </c>
      <c r="AT603" s="442" t="str">
        <f>IF(AS603="","",AU603+AV603)</f>
        <v/>
      </c>
      <c r="AU603" s="442" t="str">
        <f>IF(D603="","",IF(AS603=2,0,IF(AS603=1,'Calc (ex-animal)'!$G$112*'DB additional information '!$K$23/100*(1-VLOOKUP(D603,'DB technologies'!$N$280:$Y$292,8,FALSE)/100)*'Calc (ex-housing, ex-storage)'!F603/100/VLOOKUP($C$601,'DB animal categories'!$C$211:$AC$220,27,FALSE)*AJ603+I603+J603+K603,IF(AS603=5,(('Calc (ex-animal)'!$G$112*'DB additional information '!$K$23/100+'Calc (ex-animal)'!$H$112*'DB additional information '!$L$23/100))*(1-VLOOKUP(D603,'DB technologies'!$N$280:$Y$292,9,FALSE)/100)*'Calc (ex-housing, ex-storage)'!F603/100/VLOOKUP($C$601,'DB animal categories'!$C$211:$AC$220,27,FALSE)*AJ603+I603+J603+K603,IF(AS603=3,('Calc (ex-animal)'!$G$112*'DB additional information '!$K$23/100+'Calc (ex-animal)'!$H$112*'DB additional information '!$L$23/100)*(1-VLOOKUP(D603,'DB technologies'!$N$280:$Y$292,9,FALSE)/100)*'Calc (ex-housing, ex-storage)'!F603/100/VLOOKUP($C$601,'DB animal categories'!$C$211:$AC$220,27,FALSE)*AJ603+I603+J603+K603,IF(AS603=4,('Calc (ex-animal)'!$G$112*'DB additional information '!$K$23/100+'Calc (ex-animal)'!$H$112*'DB additional information '!$L$23/100)*(1-VLOOKUP(D603,'DB technologies'!$N$280:$Y$292,9,FALSE)/100)*'Calc (ex-housing, ex-storage)'!F603/100*VLOOKUP(D603,'DB technologies'!$N$280:$Y$292,12,FALSE)/100/VLOOKUP($C$601,'DB animal categories'!$C$211:$AC$220,27,FALSE)*AJ603+I603+J603+K603,0))))))</f>
        <v/>
      </c>
      <c r="AV603" s="442" t="str">
        <f>IF(D603="","",IF(AS603=2,0,IF(AS603=1,'Calc (ex-animal)'!$G$112*(1-'DB additional information '!$K$23/100)*(1-VLOOKUP(D603,'DB technologies'!$N$280:$Y$292,8,FALSE)/100)*'Calc (ex-housing, ex-storage)'!F603/100/VLOOKUP($C$601,'DB animal categories'!$C$211:$AC$220,27,FALSE)*AJ603+M603+N603+O603,IF(AS603=5,('Calc (ex-animal)'!$G$112*(1-'DB additional information '!$K$23/100)+'Calc (ex-animal)'!$H$112*(1-'DB additional information '!$L$23/100))*(1-VLOOKUP(D603,'DB technologies'!$N$280:$Y$292,8,FALSE)/100)*'Calc (ex-housing, ex-storage)'!F603/100/VLOOKUP($C$601,'DB animal categories'!$C$211:$AC$220,27,FALSE)*AJ603+M603+N603+O603,IF(AS603=3,('Calc (ex-animal)'!$G$112*(1-'DB additional information '!$K$23/100)+'Calc (ex-animal)'!$H$112*(1-'DB additional information '!$L$23/100))*(1-VLOOKUP(D603,'DB technologies'!$N$280:$Y$292,8,FALSE)/100)*'Calc (ex-housing, ex-storage)'!F603/100/VLOOKUP($C$601,'DB animal categories'!$C$211:$AC$220,27,FALSE)*AJ603+M603+N603+O603,IF(AS603=4,('Calc (ex-animal)'!$G$112*(1-'DB additional information '!$K$23/100)+'Calc (ex-animal)'!$H$112*(1-'DB additional information '!$L$23/100))*(1-VLOOKUP(D603,'DB technologies'!$N$280:$Y$292,8,FALSE)/100)*'Calc (ex-housing, ex-storage)'!F603/100*VLOOKUP(D603,'DB technologies'!$N$280:$Y$292,12,FALSE)/100/VLOOKUP($C$601,'DB animal categories'!$C$211:$AC$220,27,FALSE)*AJ603+M603+N603+O603,0))))))</f>
        <v/>
      </c>
      <c r="AW603" s="442" t="str">
        <f>IF(AS603="","",IF(AU603=0,0,AU603/AT603*100))</f>
        <v/>
      </c>
      <c r="AX603" s="182" t="str">
        <f>IF(D603="","",IF(AS603=2,0,IF(AS603=1,'Calc (ex-animal)'!$K$112*'Calc (ex-housing, ex-storage)'!F603/100/VLOOKUP($C$601,'DB animal categories'!$C$211:$AC$220,27,FALSE)*AJ603+Q603+R603+S603,IF(AS603=5,('Calc (ex-animal)'!$K$112+'Calc (ex-animal)'!$L$112)*'Calc (ex-housing, ex-storage)'!F603/100/VLOOKUP($C$601,'DB animal categories'!$C$211:$AC$220,27,FALSE)*AJ603+Q603+R603+S603-'Calc (ex-housing, ex-storage)'!AC603,IF(AS603=3,('Calc (ex-animal)'!$K$112+'Calc (ex-animal)'!$L$112)*'Calc (ex-housing, ex-storage)'!F603/100/VLOOKUP($C$601,'DB animal categories'!$C$211:$AC$220,27,FALSE)*AJ603+Q603+R603+S603-'Calc (ex-housing, ex-storage)'!AC603-AD603-AE603,IF(AI603=4,('Calc (ex-animal)'!$K$112+'Calc (ex-animal)'!$L$112)*'Calc (ex-housing, ex-storage)'!F603/100*VLOOKUP(D603,'DB technologies'!$N$280:$Y$292,12,FALSE)/100/VLOOKUP($C$601,'DB animal categories'!$C$211:$AC$220,27,FALSE)*AJ603+Q603+R603+S603-(VLOOKUP(D603,'DB technologies'!$N$280:$Y$292,12,FALSE)/100*AC603)-AD603-AE603,0))))))</f>
        <v/>
      </c>
      <c r="AY603" s="182" t="str">
        <f>IF(D603="","",IF(AS603=2,0,IF(AS603=1,'Calc (ex-animal)'!$N$112*'Calc (ex-housing, ex-storage)'!F603/100/VLOOKUP($C$601,'DB animal categories'!$C$211:$AC$220,27,FALSE)*AJ603+U603+V603+W603,IF(AS603=5,('Calc (ex-animal)'!$N$112+'Calc (ex-animal)'!$O$112)*'Calc (ex-housing, ex-storage)'!F603/100/VLOOKUP($C$601,'DB animal categories'!$C$211:$AC$220,27,FALSE)*AJ603+U603+V603+W603,IF(AS603=3,('Calc (ex-animal)'!$N$112+'Calc (ex-animal)'!$O$112)*'Calc (ex-housing, ex-storage)'!F603/100/VLOOKUP($C$601,'DB animal categories'!$C$211:$AC$220,27,FALSE)*AJ603+U603+V603+W603,IF(AS603=4,('Calc (ex-animal)'!$N$112+'Calc (ex-animal)'!$O$112)*'Calc (ex-housing, ex-storage)'!F603/100*VLOOKUP(D603,'DB technologies'!$N$280:$Y$292,12,FALSE)/100/VLOOKUP($C$601,'DB animal categories'!$C$211:$AC$220,27,FALSE)*AJ603+U603+V603+W603,0))))))</f>
        <v/>
      </c>
      <c r="AZ603" s="182" t="str">
        <f>IF(D603="","",IF(AS603=2,0,IF(AS603=1,'Calc (ex-animal)'!$Q$112*'Calc (ex-housing, ex-storage)'!F603/100/VLOOKUP($C$601,'DB animal categories'!$C$211:$AC$220,27,FALSE)*AJ603+Y603+Z603+AA603,IF(AS603=5,('Calc (ex-animal)'!$Q$112+'Calc (ex-animal)'!$R$112)*'Calc (ex-housing, ex-storage)'!F603/100/VLOOKUP($C$601,'DB animal categories'!$C$211:$AC$220,27,FALSE)*AJ603+Y603+Z603+AA603,IF(AS603=3,('Calc (ex-animal)'!$Q$112+'Calc (ex-animal)'!$R$112)*'Calc (ex-housing, ex-storage)'!F603/100/VLOOKUP($C$601,'DB animal categories'!$C$211:$AC$220,27,FALSE)*AJ603+Y603+Z603+AA603,IF(AS603=4,('Calc (ex-animal)'!$Q$112+'Calc (ex-animal)'!$R$112)*'Calc (ex-housing, ex-storage)'!F603/100*VLOOKUP(D603,'DB technologies'!$N$280:$Y$292,12,FALSE)/100/VLOOKUP($C$601,'DB animal categories'!$C$211:$AC$220,27,FALSE)*AJ603+Y603+Z603+AA603,0))))))</f>
        <v/>
      </c>
      <c r="BA603" s="506"/>
      <c r="BB603" s="506"/>
      <c r="BC603" s="506"/>
    </row>
    <row r="604" spans="1:55" x14ac:dyDescent="0.2">
      <c r="A604" s="748"/>
      <c r="B604" s="695"/>
      <c r="C604" s="251"/>
      <c r="D604" s="1357"/>
      <c r="E604" s="1358"/>
      <c r="F604" s="480" t="str">
        <f>IF('Calc (ex-animal)'!$F$108=1,"",IF($C$601=0,"",IF(D604="","",E604/'Calc (ex-animal)'!$E$112*100)))</f>
        <v/>
      </c>
      <c r="G604" s="485" t="str">
        <f>IF($C$601=0,"",IF('Calc (ex-animal)'!$F$108=1,"",IF(D604="","",SUM(H604:O604))))</f>
        <v/>
      </c>
      <c r="H604" s="423" t="str">
        <f>IF('Calc (ex-animal)'!$F$108=1,"",IF(D604="","",(((VLOOKUP($C$601,'Calc (ex-animal)'!$D$108:$Y$112,6,FALSE)-VLOOKUP($C$601,'Calc (ex-animal)'!$D$108:$Y$112,17,FALSE))*F604/100))*VLOOKUP($C$601,'Calc (ex-animal)'!$D$108:$Y$112,7,FALSE)/100*(1-VLOOKUP(D604,'DB technologies'!$N$280:$Y$292,9,FALSE)/100)))</f>
        <v/>
      </c>
      <c r="I604" s="423" t="str">
        <f>IF(D604="","",((VLOOKUP(D604,'DB technologies'!$N$280:$Y$292,2,FALSE)*VLOOKUP($C$601,'DB animal categories'!$C$211:$AC$220,27,FALSE)*E604/1000)/VLOOKUP($C$601,'DB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'!$S$6/100*(1-VLOOKUP(D604,'DB technologies'!$N$280:$Y$292,9,FALSE)/100)))</f>
        <v/>
      </c>
      <c r="J604" s="434" t="str">
        <f>IF(D604="","",((VLOOKUP(D604,'DB technologies'!$N$280:$Y$292,3,FALSE)*VLOOKUP($C$601,'DB animal categories'!$C$211:$AC$220,27,FALSE)*E604/1000)/VLOOKUP($C$601,'DB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'!$S$7/100*(1-VLOOKUP(D604,'DB technologies'!$N$280:$Y$292,9,FALSE)/100)))</f>
        <v/>
      </c>
      <c r="K604" s="434" t="str">
        <f>IF(D604="","",((VLOOKUP(D604,'DB technologies'!$N$280:$Y$292,4,FALSE)*E604*'DB additional information '!$S$8/100*(1-VLOOKUP(D604,'DB technologies'!$N$280:$Y$292,9,FALSE)/100))/VLOOKUP($C$601,'DB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L604" s="423" t="str">
        <f>IF('Calc (ex-animal)'!$F$108=1,"",IF(D604="","",(((VLOOKUP($C$601,'Calc (ex-animal)'!$D$108:$Y$112,6,FALSE)-VLOOKUP($C$601,'Calc (ex-animal)'!$D$108:$Y$112,17,FALSE))*F604/100))*(1-VLOOKUP($C$601,'Calc (ex-animal)'!$D$108:$Y$112,7,FALSE)/100)*(1-VLOOKUP(D604,'DB technologies'!$N$280:$V$292,8,FALSE)/100)))</f>
        <v/>
      </c>
      <c r="M604" s="434" t="str">
        <f>IF(D604="","",((VLOOKUP(D604,'DB technologies'!$N$280:$Y$292,2,FALSE)*VLOOKUP($C$601,'DB animal categories'!$C$211:$AC$220,27,FALSE)*E604/1000)/VLOOKUP($C$601,'DB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'!$S$6/100)*(1-VLOOKUP(D604,'DB technologies'!$N$280:$Y$292,9,FALSE)/100))</f>
        <v/>
      </c>
      <c r="N604" s="434" t="str">
        <f>IF(D604="","",((VLOOKUP(D604,'DB technologies'!$N$280:$Y$292,3,FALSE)*VLOOKUP($C$601,'DB animal categories'!$C$211:$AC$220,27,FALSE)*E604/1000)/VLOOKUP($C$601,'DB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'!$S$7/100)*(1-VLOOKUP(D604,'DB technologies'!$N$280:$Y$292,9,FALSE)/100))</f>
        <v/>
      </c>
      <c r="O604" s="423" t="str">
        <f>IF(D604="","",((VLOOKUP(D604,'DB technologies'!$N$280:$Y$292,4,FALSE)*E604*(1-'DB additional information '!$S$8/100)*(1-VLOOKUP(D604,'DB technologies'!$N$280:$Y$292,8,FALSE)/100))/VLOOKUP($C$601,'DB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P604" s="438" t="str">
        <f>IF(G604=0,0,IF(E604="","",IF(F604="","",IF($C$601=0,"",IF(D604="","",SUM(H604:K604)/G604*100)))))</f>
        <v/>
      </c>
      <c r="Q604" s="416" t="str">
        <f>IF(D604="","",(VLOOKUP(D604,'DB technologies'!$N$280:$Y$292,2,FALSE)*'DB additional information '!$S$6/100*'DB additional information '!$T$6*VLOOKUP($C$601,'DB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R604" s="416" t="str">
        <f>IF(D604="","",(VLOOKUP(D604,'DB technologies'!$N$280:$Y$292,3,FALSE)*'DB additional information '!$S$7/100*'DB additional information '!$T$7*VLOOKUP($C$601,'DB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S604" s="491" t="str">
        <f>IF(D604="","",(VLOOKUP(D604,'DB technologies'!$N$280:$Y$292,4,FALSE)*('DB additional information '!$S$8/100*'DB additional information '!$T$8*E604/1000/1000)))</f>
        <v/>
      </c>
      <c r="T604" s="264" t="str">
        <f>IF($C$601=0,"",IF('Calc (ex-animal)'!$F$108=1,"",IF(D604="","",((VLOOKUP($C$601,'Calc (ex-animal)'!$D$108:$Y$112,10,FALSE)-VLOOKUP($C$601,'Calc (ex-animal)'!$D$108:$Y$112,18,FALSE))*F604/100+Q604+R604+S604)-AC604-AD604-AE604)))</f>
        <v/>
      </c>
      <c r="U604" s="422" t="str">
        <f>IF(D604="","",(VLOOKUP(D604,'DB technologies'!$N$280:$Y$292,2,FALSE)*'DB additional information '!$S$6/100*'DB additional information '!$U$6*VLOOKUP($C$601,'DB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V604" s="418" t="str">
        <f>IF(D604="","",(VLOOKUP(D604,'DB technologies'!$N$280:$Y$292,3,FALSE)*'DB additional information '!$S$7/100*'DB additional information '!$U$7*VLOOKUP($C$601,'DB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W604" s="417" t="str">
        <f>IF(D604="","",(VLOOKUP(D604,'DB technologies'!$N$280:$Y$292,4,FALSE)*('DB additional information '!$S$8/100*'DB additional information '!$U$8*E604/1000/1000)))</f>
        <v/>
      </c>
      <c r="X604" s="261" t="str">
        <f>IF($C$601=0,"",IF('Calc (ex-animal)'!$F$108=1,"",IF(D604="","",((VLOOKUP($C$601,'Calc (ex-animal)'!$D$108:$Y$112,13,FALSE)-VLOOKUP($C$601,'Calc (ex-animal)'!$D$108:$Y$112,19,FALSE))*F604/100+U604+V604+W604))))</f>
        <v/>
      </c>
      <c r="Y604" s="418" t="str">
        <f>IF(D604="","",(VLOOKUP(D604,'DB technologies'!$N$280:$Y$292,2,FALSE)*'DB additional information '!$S$6/100*'DB additional information '!$V$6*VLOOKUP($C$601,'DB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Z604" s="418" t="str">
        <f>IF(D604="","",(VLOOKUP(D604,'DB technologies'!$N$280:$Y$292,3,FALSE)*'DB additional information '!$S$7/100*'DB additional information '!$V$7*VLOOKUP($C$601,'DB animal categories'!$C$211:$AC$220,27,FALSE)*E604/1000/1000)/VLOOKUP($C$601,'DB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AA604" s="418" t="str">
        <f>IF(D604="","",(VLOOKUP(D604,'DB technologies'!$N$280:$Y$292,4,FALSE)*('DB additional information '!$S$8/100*'DB additional information '!$V$8*E604/1000/1000)))</f>
        <v/>
      </c>
      <c r="AB604" s="261" t="str">
        <f>IF($C$601=0,"",IF('Calc (ex-animal)'!$F$108=1,"",IF(D604="","",((VLOOKUP($C$601,'Calc (ex-animal)'!$D$108:$Y$112,16,FALSE)-VLOOKUP($C$601,'Calc (ex-animal)'!$D$108:$Y$112,20,FALSE))*F604/100+Y604+Z604+AA604))))</f>
        <v/>
      </c>
      <c r="AC604" s="261" t="str">
        <f>IF($C$601=0,"",IF('Calc (ex-animal)'!$F$108=1,"",IF(D604="","",VLOOKUP($C$601,'Calc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categories'!$C$211:$AC$220,26,FALSE)/24)*F604/100*VLOOKUP(D604,'DB technologies'!$N$280:$R$292,5,FALSE)/100)))</f>
        <v/>
      </c>
      <c r="AD604" s="261" t="str">
        <f>IF($C$601=0,"",IF('Calc (ex-animal)'!$F$108=1,"",IF(D604="","",VLOOKUP($C$601,'Calc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categories'!$C$211:$AC$220,26,FALSE)/24)*F604/100*VLOOKUP(D604,'DB technologies'!$N$280:$Y$292,6,FALSE)/100)))</f>
        <v/>
      </c>
      <c r="AE604" s="262" t="str">
        <f>IF($C$601=0,"",IF('Calc (ex-animal)'!$F$108=1,"",IF(D604="","",VLOOKUP($C$601,'Calc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categories'!$C$211:$AC$220,26,FALSE)/24)*F604/100*VLOOKUP(D604,'DB technologies'!$N$280:$Y$292,7,FALSE)/100)))</f>
        <v/>
      </c>
      <c r="AI604" s="181" t="str">
        <f>IF(D604="","",VLOOKUP(D604,'DB technologies'!$N$280:$Y$292,10,FALSE))</f>
        <v/>
      </c>
      <c r="AJ604" s="449" t="e">
        <f>VLOOKUP($C$601,'DB animal categories'!$C$211:$AN$220,27,FALSE)-VLOOKUP($C$601,'DB animal categories'!$C$211:$AN$220,26,FALSE)*VLOOKUP($C$601,'DB animal categories'!$C$211:$AN$220,25,FALSE)/24</f>
        <v>#N/A</v>
      </c>
      <c r="AK604" s="442" t="str">
        <f>IF(AI604="","",AL604+AM604)</f>
        <v/>
      </c>
      <c r="AL604" s="442" t="str">
        <f>IF(D604="","",IF(AI604=2,(('Calc (ex-animal)'!$G$112*'DB additional information '!$K$23/100*(1-VLOOKUP(D604,'DB technologies'!$N$280:$Y$292,9,FALSE)/100)*'Calc (ex-housing, ex-storage)'!F604/100+'Calc (ex-animal)'!$H$112*'DB additional information '!$L$23/100*(1-VLOOKUP(D604,'DB technologies'!$N$280:$Y$292,9,FALSE)/100)*'Calc (ex-housing, ex-storage)'!F604/100))/VLOOKUP($C$601,'DB animal categories'!$C$211:$AC$220,27,FALSE)*AJ604+I604+J604+K604,IF(AI604=1,('Calc (ex-animal)'!$H$112*'DB additional information '!$L$23/100*(1-VLOOKUP(D604,'DB technologies'!$N$280:$Y$292,9,FALSE)/100)*'Calc (ex-housing, ex-storage)'!F604/100)/VLOOKUP($C$601,'DB animal categories'!$C$211:$AC$220,27,FALSE)*AJ604,IF(AI604=4,('Calc (ex-animal)'!$G$112*'DB additional information '!$K$23/100+'Calc (ex-animal)'!$H$112*'DB additional information '!$L$23/100)*(1-VLOOKUP(D604,'DB technologies'!$N$280:$Y$292,9,FALSE)/100)*'Calc (ex-housing, ex-storage)'!F604/100*VLOOKUP(D604,'DB technologies'!$N$280:$Y$292,11,FALSE)/100/VLOOKUP($C$601,'DB animal categories'!$C$211:$AC$220,27,FALSE)*AJ604,0))))</f>
        <v/>
      </c>
      <c r="AM604" s="442" t="str">
        <f>IF(D604="","",IF(AI604=2,(('Calc (ex-animal)'!$G$112*(1-'DB additional information '!$K$23/100)*(1-VLOOKUP(D604,'DB technologies'!$N$280:$Y$292,8,FALSE)/100)*'Calc (ex-housing, ex-storage)'!F604/100+'Calc (ex-animal)'!$H$112*(1-'DB additional information '!$L$23/100)*(1-VLOOKUP(D604,'DB technologies'!$N$280:$Y$292,8,FALSE)/100)*'Calc (ex-housing, ex-storage)'!F604/100))/VLOOKUP($C$601,'DB animal categories'!$C$211:$AC$220,27,FALSE)*AJ604+M604+N604+O604,IF(AI604=1,('Calc (ex-animal)'!$H$112*(1-'DB additional information '!$L$23/100)*(1-VLOOKUP(D604,'DB technologies'!$N$280:$Y$292,8,FALSE)/100)*'Calc (ex-housing, ex-storage)'!F604/100)/VLOOKUP($C$601,'DB animal categories'!$C$211:$AC$220,27,FALSE)*AJ604,IF(AI604=4,('Calc (ex-animal)'!$G$112*(1-'DB additional information '!$K$23/100)+'Calc (ex-animal)'!$H$112*(1-'DB additional information '!$L$23/100))*(1-VLOOKUP(D604,'DB technologies'!$N$280:$Y$292,8,FALSE)/100)*'Calc (ex-housing, ex-storage)'!F604/100*VLOOKUP(D604,'DB technologies'!$N$280:$Y$292,11,FALSE)/100/VLOOKUP($C$601,'DB animal categories'!$C$211:$AC$220,27,FALSE)*AJ604,0))))</f>
        <v/>
      </c>
      <c r="AN604" s="442" t="str">
        <f>IF(AI604="","",IF(AL604=0,0,AL604/AK604*100))</f>
        <v/>
      </c>
      <c r="AO604" s="182" t="str">
        <f>IF(D604="","",IF(AI604=2,(('Calc (ex-animal)'!$L$112*'Calc (ex-housing, ex-storage)'!F604/100+'Calc (ex-animal)'!$K$112*'Calc (ex-housing, ex-storage)'!F604/100))/VLOOKUP($C$601,'DB animal categories'!$C$211:$AC$220,27,FALSE)*AJ604+Q604+R604+S604-AC604,IF(AI604=1,('Calc (ex-animal)'!$L$112*'Calc (ex-housing, ex-storage)'!F604/100)/VLOOKUP($C$601,'DB animal categories'!$C$211:$AC$220,27,FALSE)*AJ604-'Calc (ex-housing, ex-storage)'!AC604,IF(AI604=4,('Calc (ex-animal)'!$L$112+'Calc (ex-animal)'!$K$112)*'Calc (ex-housing, ex-storage)'!F604/100*VLOOKUP(D604,'DB technologies'!$N$280:$Y$292,11,FALSE)/100/VLOOKUP($C$601,'DB animal categories'!$C$211:$AC$220,27,FALSE)*AJ604-AC604*VLOOKUP(D604,'DB technologies'!$N$280:$Y$292,11,FALSE)/100,0))))</f>
        <v/>
      </c>
      <c r="AP604" s="182" t="str">
        <f>IF(D604="","",IF(AO604&lt;-0.01,0,IF(AI604=2,(('Calc (ex-animal)'!$L$112*'Calc (ex-housing, ex-storage)'!F604/100+'Calc (ex-animal)'!$K$112*'Calc (ex-housing, ex-storage)'!F604/100))/VLOOKUP($C$601,'DB animal categories'!$C$211:$AC$220,27,FALSE)*AJ604+Q604+R604+S604-AC604,IF(AI604=1,('Calc (ex-animal)'!$L$112*'Calc (ex-housing, ex-storage)'!F604/100)/VLOOKUP($C$601,'DB animal categories'!$C$211:$AC$220,27,FALSE)*AJ604-'Calc (ex-housing, ex-storage)'!AC604,IF(AI604=4,('Calc (ex-animal)'!$L$112+'Calc (ex-animal)'!$K$112)*'Calc (ex-housing, ex-storage)'!F604/100*VLOOKUP(D604,'DB technologies'!$N$280:$Y$292,11,FALSE)/100/VLOOKUP($C$601,'DB animal categories'!$C$211:$AC$220,27,FALSE)*AJ604-AC604*VLOOKUP(D604,'DB technologies'!$N$280:$Y$292,11,FALSE)/100,0)))))</f>
        <v/>
      </c>
      <c r="AQ604" s="182" t="str">
        <f>IF(D604="","",IF(AI604=2,('Calc (ex-animal)'!$O$112*'Calc (ex-housing, ex-storage)'!F604/100+'Calc (ex-animal)'!$N$112*'Calc (ex-housing, ex-storage)'!F604/100)/VLOOKUP($C$601,'DB animal categories'!$C$211:$AC$220,27,FALSE)*AJ604+U604+V604+W604,IF(AI604=1,'Calc (ex-animal)'!$O$112*'Calc (ex-housing, ex-storage)'!F604/100/VLOOKUP($C$601,'DB animal categories'!$C$211:$AC$220,27,FALSE)*AJ604,IF(AI604=4,('Calc (ex-animal)'!$O$112+'Calc (ex-animal)'!$N$112)*'Calc (ex-housing, ex-storage)'!F604/100*VLOOKUP(D604,'DB technologies'!$N$280:$Y$292,11,FALSE)/100/VLOOKUP($C$601,'DB animal categories'!$C$211:$AC$220,27,FALSE)*AJ604,0))))</f>
        <v/>
      </c>
      <c r="AR604" s="182" t="str">
        <f>IF(D604="","",IF(AI604=2,('Calc (ex-animal)'!$R$112*'Calc (ex-housing, ex-storage)'!F604/100+'Calc (ex-animal)'!$Q$112*'Calc (ex-housing, ex-storage)'!F604/100)/VLOOKUP($C$601,'DB animal categories'!$C$211:$AC$220,27,FALSE)*AJ604+Y604+Z604+AA604,IF(AI604=1,'Calc (ex-animal)'!$R$112*'Calc (ex-housing, ex-storage)'!F604/100/VLOOKUP($C$601,'DB animal categories'!$C$211:$AC$220,27,FALSE)*AJ604,IF(AI604=4,('Calc (ex-animal)'!$R$112+'Calc (ex-animal)'!$Q$112)*'Calc (ex-housing, ex-storage)'!F604/100*VLOOKUP(D604,'DB technologies'!$N$280:$Y$292,11,FALSE)/100/VLOOKUP($C$601,'DB animal categories'!$C$211:$AC$220,27,FALSE)*AJ604,0))))</f>
        <v/>
      </c>
      <c r="AS604" s="181" t="str">
        <f>IF(D604="","",VLOOKUP(D604,'DB technologies'!$N$280:$Y$292,10,FALSE))</f>
        <v/>
      </c>
      <c r="AT604" s="442" t="str">
        <f>IF(AS604="","",AU604+AV604)</f>
        <v/>
      </c>
      <c r="AU604" s="442" t="str">
        <f>IF(D604="","",IF(AS604=2,0,IF(AS604=1,'Calc (ex-animal)'!$G$112*'DB additional information '!$K$23/100*(1-VLOOKUP(D604,'DB technologies'!$N$280:$Y$292,8,FALSE)/100)*'Calc (ex-housing, ex-storage)'!F604/100/VLOOKUP($C$601,'DB animal categories'!$C$211:$AC$220,27,FALSE)*AJ604+I604+J604+K604,IF(AS604=5,(('Calc (ex-animal)'!$G$112*'DB additional information '!$K$23/100+'Calc (ex-animal)'!$H$112*'DB additional information '!$L$23/100))*(1-VLOOKUP(D604,'DB technologies'!$N$280:$Y$292,9,FALSE)/100)*'Calc (ex-housing, ex-storage)'!F604/100/VLOOKUP($C$601,'DB animal categories'!$C$211:$AC$220,27,FALSE)*AJ604+I604+J604+K604,IF(AS604=3,('Calc (ex-animal)'!$G$112*'DB additional information '!$K$23/100+'Calc (ex-animal)'!$H$112*'DB additional information '!$L$23/100)*(1-VLOOKUP(D604,'DB technologies'!$N$280:$Y$292,9,FALSE)/100)*'Calc (ex-housing, ex-storage)'!F604/100/VLOOKUP($C$601,'DB animal categories'!$C$211:$AC$220,27,FALSE)*AJ604+I604+J604+K604,IF(AS604=4,('Calc (ex-animal)'!$G$112*'DB additional information '!$K$23/100+'Calc (ex-animal)'!$H$112*'DB additional information '!$L$23/100)*(1-VLOOKUP(D604,'DB technologies'!$N$280:$Y$292,9,FALSE)/100)*'Calc (ex-housing, ex-storage)'!F604/100*VLOOKUP(D604,'DB technologies'!$N$280:$Y$292,12,FALSE)/100/VLOOKUP($C$601,'DB animal categories'!$C$211:$AC$220,27,FALSE)*AJ604+I604+J604+K604,0))))))</f>
        <v/>
      </c>
      <c r="AV604" s="442" t="str">
        <f>IF(D604="","",IF(AS604=2,0,IF(AS604=1,'Calc (ex-animal)'!$G$112*(1-'DB additional information '!$K$23/100)*(1-VLOOKUP(D604,'DB technologies'!$N$280:$Y$292,8,FALSE)/100)*'Calc (ex-housing, ex-storage)'!F604/100/VLOOKUP($C$601,'DB animal categories'!$C$211:$AC$220,27,FALSE)*AJ604+M604+N604+O604,IF(AS604=5,('Calc (ex-animal)'!$G$112*(1-'DB additional information '!$K$23/100)+'Calc (ex-animal)'!$H$112*(1-'DB additional information '!$L$23/100))*(1-VLOOKUP(D604,'DB technologies'!$N$280:$Y$292,8,FALSE)/100)*'Calc (ex-housing, ex-storage)'!F604/100/VLOOKUP($C$601,'DB animal categories'!$C$211:$AC$220,27,FALSE)*AJ604+M604+N604+O604,IF(AS604=3,('Calc (ex-animal)'!$G$112*(1-'DB additional information '!$K$23/100)+'Calc (ex-animal)'!$H$112*(1-'DB additional information '!$L$23/100))*(1-VLOOKUP(D604,'DB technologies'!$N$280:$Y$292,8,FALSE)/100)*'Calc (ex-housing, ex-storage)'!F604/100/VLOOKUP($C$601,'DB animal categories'!$C$211:$AC$220,27,FALSE)*AJ604+M604+N604+O604,IF(AS604=4,('Calc (ex-animal)'!$G$112*(1-'DB additional information '!$K$23/100)+'Calc (ex-animal)'!$H$112*(1-'DB additional information '!$L$23/100))*(1-VLOOKUP(D604,'DB technologies'!$N$280:$Y$292,8,FALSE)/100)*'Calc (ex-housing, ex-storage)'!F604/100*VLOOKUP(D604,'DB technologies'!$N$280:$Y$292,12,FALSE)/100/VLOOKUP($C$601,'DB animal categories'!$C$211:$AC$220,27,FALSE)*AJ604+M604+N604+O604,0))))))</f>
        <v/>
      </c>
      <c r="AW604" s="442" t="str">
        <f>IF(AS604="","",IF(AU604=0,0,AU604/AT604*100))</f>
        <v/>
      </c>
      <c r="AX604" s="182" t="str">
        <f>IF(D604="","",IF(AS604=2,0,IF(AS604=1,'Calc (ex-animal)'!$K$112*'Calc (ex-housing, ex-storage)'!F604/100/VLOOKUP($C$601,'DB animal categories'!$C$211:$AC$220,27,FALSE)*AJ604+Q604+R604+S604,IF(AS604=5,('Calc (ex-animal)'!$K$112+'Calc (ex-animal)'!$L$112)*'Calc (ex-housing, ex-storage)'!F604/100/VLOOKUP($C$601,'DB animal categories'!$C$211:$AC$220,27,FALSE)*AJ604+Q604+R604+S604-'Calc (ex-housing, ex-storage)'!AC604,IF(AS604=3,('Calc (ex-animal)'!$K$112+'Calc (ex-animal)'!$L$112)*'Calc (ex-housing, ex-storage)'!F604/100/VLOOKUP($C$601,'DB animal categories'!$C$211:$AC$220,27,FALSE)*AJ604+Q604+R604+S604-'Calc (ex-housing, ex-storage)'!AC604-AD604-AE604,IF(AI604=4,('Calc (ex-animal)'!$K$112+'Calc (ex-animal)'!$L$112)*'Calc (ex-housing, ex-storage)'!F604/100*VLOOKUP(D604,'DB technologies'!$N$280:$Y$292,12,FALSE)/100/VLOOKUP($C$601,'DB animal categories'!$C$211:$AC$220,27,FALSE)*AJ604+Q604+R604+S604-(VLOOKUP(D604,'DB technologies'!$N$280:$Y$292,12,FALSE)/100*AC604)-AD604-AE604,0))))))</f>
        <v/>
      </c>
      <c r="AY604" s="182" t="str">
        <f>IF(D604="","",IF(AS604=2,0,IF(AS604=1,'Calc (ex-animal)'!$N$112*'Calc (ex-housing, ex-storage)'!F604/100/VLOOKUP($C$601,'DB animal categories'!$C$211:$AC$220,27,FALSE)*AJ604+U604+V604+W604,IF(AS604=5,('Calc (ex-animal)'!$N$112+'Calc (ex-animal)'!$O$112)*'Calc (ex-housing, ex-storage)'!F604/100/VLOOKUP($C$601,'DB animal categories'!$C$211:$AC$220,27,FALSE)*AJ604+U604+V604+W604,IF(AS604=3,('Calc (ex-animal)'!$N$112+'Calc (ex-animal)'!$O$112)*'Calc (ex-housing, ex-storage)'!F604/100/VLOOKUP($C$601,'DB animal categories'!$C$211:$AC$220,27,FALSE)*AJ604+U604+V604+W604,IF(AS604=4,('Calc (ex-animal)'!$N$112+'Calc (ex-animal)'!$O$112)*'Calc (ex-housing, ex-storage)'!F604/100*VLOOKUP(D604,'DB technologies'!$N$280:$Y$292,12,FALSE)/100/VLOOKUP($C$601,'DB animal categories'!$C$211:$AC$220,27,FALSE)*AJ604+U604+V604+W604,0))))))</f>
        <v/>
      </c>
      <c r="AZ604" s="182" t="str">
        <f>IF(D604="","",IF(AS604=2,0,IF(AS604=1,'Calc (ex-animal)'!$Q$112*'Calc (ex-housing, ex-storage)'!F604/100/VLOOKUP($C$601,'DB animal categories'!$C$211:$AC$220,27,FALSE)*AJ604+Y604+Z604+AA604,IF(AS604=5,('Calc (ex-animal)'!$Q$112+'Calc (ex-animal)'!$R$112)*'Calc (ex-housing, ex-storage)'!F604/100/VLOOKUP($C$601,'DB animal categories'!$C$211:$AC$220,27,FALSE)*AJ604+Y604+Z604+AA604,IF(AS604=3,('Calc (ex-animal)'!$Q$112+'Calc (ex-animal)'!$R$112)*'Calc (ex-housing, ex-storage)'!F604/100/VLOOKUP($C$601,'DB animal categories'!$C$211:$AC$220,27,FALSE)*AJ604+Y604+Z604+AA604,IF(AS604=4,('Calc (ex-animal)'!$Q$112+'Calc (ex-animal)'!$R$112)*'Calc (ex-housing, ex-storage)'!F604/100*VLOOKUP(D604,'DB technologies'!$N$280:$Y$292,12,FALSE)/100/VLOOKUP($C$601,'DB animal categories'!$C$211:$AC$220,27,FALSE)*AJ604+Y604+Z604+AA604,0))))))</f>
        <v/>
      </c>
      <c r="BA604" s="506"/>
      <c r="BB604" s="506"/>
      <c r="BC604" s="506"/>
    </row>
    <row r="605" spans="1:55" ht="12" thickBot="1" x14ac:dyDescent="0.25">
      <c r="A605" s="748"/>
      <c r="B605" s="695"/>
      <c r="C605" s="251"/>
      <c r="D605" s="1359"/>
      <c r="E605" s="1360"/>
      <c r="F605" s="481" t="str">
        <f>IF('Calc (ex-animal)'!$F$108=1,"",IF($C$601=0,"",IF(D605="","",E605/'Calc (ex-animal)'!$E$112*100)))</f>
        <v/>
      </c>
      <c r="G605" s="483" t="str">
        <f>IF($C$601=0,"",IF('Calc (ex-animal)'!$F$108=1,"",IF(D605="","",SUM(H605:O605))))</f>
        <v/>
      </c>
      <c r="H605" s="445" t="str">
        <f>IF('Calc (ex-animal)'!$F$108=1,"",IF(D605="","",(((VLOOKUP($C$601,'Calc (ex-animal)'!$D$108:$Y$112,6,FALSE)-VLOOKUP($C$601,'Calc (ex-animal)'!$D$108:$Y$112,17,FALSE))*F605/100))*VLOOKUP($C$601,'Calc (ex-animal)'!$D$108:$Y$112,7,FALSE)/100*(1-VLOOKUP(D605,'DB technologies'!$N$280:$Y$292,9,FALSE)/100)))</f>
        <v/>
      </c>
      <c r="I605" s="445" t="str">
        <f>IF(D605="","",((VLOOKUP(D605,'DB technologies'!$N$280:$Y$292,2,FALSE)*VLOOKUP($C$601,'DB animal categories'!$C$211:$AC$220,27,FALSE)*E605/1000)/VLOOKUP($C$601,'DB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'!$S$6/100*(1-VLOOKUP(D605,'DB technologies'!$N$280:$Y$292,9,FALSE)/100)))</f>
        <v/>
      </c>
      <c r="J605" s="446" t="str">
        <f>IF(D605="","",((VLOOKUP(D605,'DB technologies'!$N$280:$Y$292,3,FALSE)*VLOOKUP($C$601,'DB animal categories'!$C$211:$AC$220,27,FALSE)*E605/1000)/VLOOKUP($C$601,'DB animal categories'!$C$211:$AC$220,27,FALSE)*(VLOOKUP($C$601,'DB animal categories'!$C$211:$AC$220,27,FALSE)-(VLOOKUP($C$601,'DB animal categories'!$C$211:$AC$220,25,FALSE)*VLOOKUP($C$601,'DB animal categories'!$C$211:$AC$220,26,FALSE)/24))*'DB additional information '!$S$7/100*(1-VLOOKUP(D605,'DB technologies'!$N$280:$Y$292,9,FALSE)/100)))</f>
        <v/>
      </c>
      <c r="K605" s="446" t="str">
        <f>IF(D605="","",((VLOOKUP(D605,'DB technologies'!$N$280:$Y$292,4,FALSE)*E605*'DB additional information '!$S$8/100*(1-VLOOKUP(D605,'DB technologies'!$N$280:$Y$292,9,FALSE)/100))/VLOOKUP($C$601,'DB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L605" s="445" t="str">
        <f>IF('Calc (ex-animal)'!$F$108=1,"",IF(D605="","",(((VLOOKUP($C$601,'Calc (ex-animal)'!$D$108:$Y$112,6,FALSE)-VLOOKUP($C$601,'Calc (ex-animal)'!$D$108:$Y$112,17,FALSE))*F605/100))*(1-VLOOKUP($C$601,'Calc (ex-animal)'!$D$108:$Y$112,7,FALSE)/100)*(1-VLOOKUP(D605,'DB technologies'!$N$280:$V$292,8,FALSE)/100)))</f>
        <v/>
      </c>
      <c r="M605" s="446" t="str">
        <f>IF(D605="","",((VLOOKUP(D605,'DB technologies'!$N$280:$Y$292,2,FALSE)*VLOOKUP($C$601,'DB animal categories'!$C$211:$AC$220,27,FALSE)*E605/1000)/VLOOKUP($C$601,'DB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'!$S$6/100)*(1-VLOOKUP(D605,'DB technologies'!$N$280:$Y$292,9,FALSE)/100))</f>
        <v/>
      </c>
      <c r="N605" s="446" t="str">
        <f>IF(D605="","",((VLOOKUP(D605,'DB technologies'!$N$280:$Y$292,3,FALSE)*VLOOKUP($C$601,'DB animal categories'!$C$211:$AC$220,27,FALSE)*E605/1000)/VLOOKUP($C$601,'DB animal categories'!$C$211:$AC$220,27,FALSE)*(VLOOKUP($C$601,'DB animal categories'!$C$211:$AC$220,27,FALSE)-VLOOKUP($C$601,'DB animal categories'!$C$211:$AC$220,25,FALSE)*VLOOKUP($C$601,'DB animal categories'!$C$211:$AC$220,26,FALSE)/24))*(1-'DB additional information '!$S$7/100)*(1-VLOOKUP(D605,'DB technologies'!$N$280:$Y$292,9,FALSE)/100))</f>
        <v/>
      </c>
      <c r="O605" s="445" t="str">
        <f>IF(D605="","",((VLOOKUP(D605,'DB technologies'!$N$280:$Y$292,4,FALSE)*E605*(1-'DB additional information '!$S$8/100)*(1-VLOOKUP(D605,'DB technologies'!$N$280:$Y$292,8,FALSE)/100))/VLOOKUP($C$601,'DB animal categories'!$C$211:$AC$220,27,FALSE)*(VLOOKUP($C$601,'DB animal categories'!$C$211:$AC$220,27,FALSE)-VLOOKUP($C$601,'DB animal categories'!$C$211:$AC$220,25,FALSE)*VLOOKUP($C$601,'DB animal categories'!$C$211:$AC$220,26,FALSE)/24)))</f>
        <v/>
      </c>
      <c r="P605" s="444" t="str">
        <f>IF(G605=0,0,IF(E605="","",IF(F605="","",IF($C$601=0,"",IF(D605="","",SUM(H605:K605)/G605*100)))))</f>
        <v/>
      </c>
      <c r="Q605" s="476" t="str">
        <f>IF(D605="","",(VLOOKUP(D605,'DB technologies'!$N$280:$Y$292,2,FALSE)*'DB additional information '!$S$6/100*'DB additional information '!$T$6*VLOOKUP($C$601,'DB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R605" s="476" t="str">
        <f>IF(D605="","",(VLOOKUP(D605,'DB technologies'!$N$280:$Y$292,3,FALSE)*'DB additional information '!$S$7/100*'DB additional information '!$T$7*VLOOKUP($C$601,'DB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S605" s="494" t="str">
        <f>IF(D605="","",(VLOOKUP(D605,'DB technologies'!$N$280:$Y$292,4,FALSE)*('DB additional information '!$S$8/100*'DB additional information '!$T$8*E605/1000/1000)))</f>
        <v/>
      </c>
      <c r="T605" s="266" t="str">
        <f>IF($C$601=0,"",IF('Calc (ex-animal)'!$F$108=1,"",IF(D605="","",((VLOOKUP($C$601,'Calc (ex-animal)'!$D$108:$Y$112,10,FALSE)-VLOOKUP($C$601,'Calc (ex-animal)'!$D$108:$Y$112,18,FALSE))*F605/100+Q605+R605+S605)-AC605-AD605-AE605)))</f>
        <v/>
      </c>
      <c r="U605" s="477" t="str">
        <f>IF(D605="","",(VLOOKUP(D605,'DB technologies'!$N$280:$Y$292,2,FALSE)*'DB additional information '!$S$6/100*'DB additional information '!$U$6*VLOOKUP($C$601,'DB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V605" s="433" t="str">
        <f>IF(D605="","",(VLOOKUP(D605,'DB technologies'!$N$280:$Y$292,3,FALSE)*'DB additional information '!$S$7/100*'DB additional information '!$U$7*VLOOKUP($C$601,'DB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W605" s="475" t="str">
        <f>IF(D605="","",(VLOOKUP(D605,'DB technologies'!$N$280:$Y$292,4,FALSE)*('DB additional information '!$S$8/100*'DB additional information '!$U$8*E605/1000/1000)))</f>
        <v/>
      </c>
      <c r="X605" s="267" t="str">
        <f>IF($C$601=0,"",IF('Calc (ex-animal)'!$F$108=1,"",IF(D605="","",((VLOOKUP($C$601,'Calc (ex-animal)'!$D$108:$Y$112,13,FALSE)-VLOOKUP($C$601,'Calc (ex-animal)'!$D$108:$Y$112,19,FALSE))*F605/100+U605+V605+W605))))</f>
        <v/>
      </c>
      <c r="Y605" s="433" t="str">
        <f>IF(D605="","",(VLOOKUP(D605,'DB technologies'!$N$280:$Y$292,2,FALSE)*'DB additional information '!$S$6/100*'DB additional information '!$V$6*VLOOKUP($C$601,'DB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Z605" s="433" t="str">
        <f>IF(D605="","",(VLOOKUP(D605,'DB technologies'!$N$280:$Y$292,3,FALSE)*'DB additional information '!$S$7/100*'DB additional information '!$V$7*VLOOKUP($C$601,'DB animal categories'!$C$211:$AC$220,27,FALSE)*E605/1000/1000)/VLOOKUP($C$601,'DB animal categories'!$C$211:$AC$220,27,FALSE)*(VLOOKUP($C$601,'DB animal categories'!$C$211:$AC$220,27,FALSE)-VLOOKUP($C$601,'DB animal categories'!$C$211:$AC$220,25,FALSE)*VLOOKUP($C$601,'DB animal categories'!$C$211:$AC$220,26,FALSE)/24))</f>
        <v/>
      </c>
      <c r="AA605" s="433" t="str">
        <f>IF(D605="","",(VLOOKUP(D605,'DB technologies'!$N$280:$Y$292,4,FALSE)*('DB additional information '!$S$8/100*'DB additional information '!$V$8*E605/1000/1000)))</f>
        <v/>
      </c>
      <c r="AB605" s="267" t="str">
        <f>IF($C$601=0,"",IF('Calc (ex-animal)'!$F$108=1,"",IF(D605="","",((VLOOKUP($C$601,'Calc (ex-animal)'!$D$108:$Y$112,16,FALSE)-VLOOKUP($C$601,'Calc (ex-animal)'!$D$108:$Y$112,20,FALSE))*F605/100+Y605+Z605+AA605))))</f>
        <v/>
      </c>
      <c r="AC605" s="267" t="str">
        <f>IF($C$601=0,"",IF('Calc (ex-animal)'!$F$108=1,"",IF(D605="","",VLOOKUP($C$601,'Calc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categories'!$C$211:$AC$220,26,FALSE)/24)*F605/100*VLOOKUP(D605,'DB technologies'!$N$280:$R$292,5,FALSE)/100)))</f>
        <v/>
      </c>
      <c r="AD605" s="267" t="str">
        <f>IF($C$601=0,"",IF('Calc (ex-animal)'!$F$108=1,"",IF(D605="","",VLOOKUP($C$601,'Calc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categories'!$C$211:$AC$220,26,FALSE)/24)*F605/100*VLOOKUP(D605,'DB technologies'!$N$280:$Y$292,6,FALSE)/100)))</f>
        <v/>
      </c>
      <c r="AE605" s="268" t="str">
        <f>IF($C$601=0,"",IF('Calc (ex-animal)'!$F$108=1,"",IF(D605="","",VLOOKUP($C$601,'Calc (ex-animal)'!$D$108:$Y$112,10,FALSE)/VLOOKUP($C$601,'DB animal categories'!$C$211:$AC$220,27,FALSE)*(VLOOKUP($C$601,'DB animal categories'!$C$211:$AC$220,27,FALSE)-VLOOKUP($C$601,'DB animal categories'!$C$211:$AC$220,25,FALSE)*VLOOKUP($C$601,'DB animal categories'!$C$211:$AC$220,26,FALSE)/24)*F605/100*VLOOKUP(D605,'DB technologies'!$N$280:$Y$292,7,FALSE)/100)))</f>
        <v/>
      </c>
      <c r="AI605" s="183" t="str">
        <f>IF(D605="","",VLOOKUP(D605,'DB technologies'!$N$280:$Y$292,10,FALSE))</f>
        <v/>
      </c>
      <c r="AJ605" s="451" t="e">
        <f>VLOOKUP($C$601,'DB animal categories'!$C$211:$AN$220,27,FALSE)-VLOOKUP($C$601,'DB animal categories'!$C$211:$AN$220,26,FALSE)*VLOOKUP($C$601,'DB animal categories'!$C$211:$AN$220,25,FALSE)/24</f>
        <v>#N/A</v>
      </c>
      <c r="AK605" s="452" t="str">
        <f>IF(AI605="","",AL605+AM605)</f>
        <v/>
      </c>
      <c r="AL605" s="452" t="str">
        <f>IF(D605="","",IF(AI605=2,(('Calc (ex-animal)'!$G$112*'DB additional information '!$K$23/100*(1-VLOOKUP(D605,'DB technologies'!$N$280:$Y$292,9,FALSE)/100)*'Calc (ex-housing, ex-storage)'!F605/100+'Calc (ex-animal)'!$H$112*'DB additional information '!$L$23/100*(1-VLOOKUP(D605,'DB technologies'!$N$280:$Y$292,9,FALSE)/100)*'Calc (ex-housing, ex-storage)'!F605/100))/VLOOKUP($C$601,'DB animal categories'!$C$211:$AC$220,27,FALSE)*AJ605+I605+J605+K605,IF(AI605=1,('Calc (ex-animal)'!$H$112*'DB additional information '!$L$23/100*(1-VLOOKUP(D605,'DB technologies'!$N$280:$Y$292,9,FALSE)/100)*'Calc (ex-housing, ex-storage)'!F605/100)/VLOOKUP($C$601,'DB animal categories'!$C$211:$AC$220,27,FALSE)*AJ605,IF(AI605=4,('Calc (ex-animal)'!$G$112*'DB additional information '!$K$23/100+'Calc (ex-animal)'!$H$112*'DB additional information '!$L$23/100)*(1-VLOOKUP(D605,'DB technologies'!$N$280:$Y$292,9,FALSE)/100)*'Calc (ex-housing, ex-storage)'!F605/100*VLOOKUP(D605,'DB technologies'!$N$280:$Y$292,11,FALSE)/100/VLOOKUP($C$601,'DB animal categories'!$C$211:$AC$220,27,FALSE)*AJ605,0))))</f>
        <v/>
      </c>
      <c r="AM605" s="452" t="str">
        <f>IF(D605="","",IF(AI605=2,(('Calc (ex-animal)'!$G$112*(1-'DB additional information '!$K$23/100)*(1-VLOOKUP(D605,'DB technologies'!$N$280:$Y$292,8,FALSE)/100)*'Calc (ex-housing, ex-storage)'!F605/100+'Calc (ex-animal)'!$H$112*(1-'DB additional information '!$L$23/100)*(1-VLOOKUP(D605,'DB technologies'!$N$280:$Y$292,8,FALSE)/100)*'Calc (ex-housing, ex-storage)'!F605/100))/VLOOKUP($C$601,'DB animal categories'!$C$211:$AC$220,27,FALSE)*AJ605+M605+N605+O605,IF(AI605=1,('Calc (ex-animal)'!$H$112*(1-'DB additional information '!$L$23/100)*(1-VLOOKUP(D605,'DB technologies'!$N$280:$Y$292,8,FALSE)/100)*'Calc (ex-housing, ex-storage)'!F605/100)/VLOOKUP($C$601,'DB animal categories'!$C$211:$AC$220,27,FALSE)*AJ605,IF(AI605=4,('Calc (ex-animal)'!$G$112*(1-'DB additional information '!$K$23/100)+'Calc (ex-animal)'!$H$112*(1-'DB additional information '!$L$23/100))*(1-VLOOKUP(D605,'DB technologies'!$N$280:$Y$292,8,FALSE)/100)*'Calc (ex-housing, ex-storage)'!F605/100*VLOOKUP(D605,'DB technologies'!$N$280:$Y$292,11,FALSE)/100/VLOOKUP($C$601,'DB animal categories'!$C$211:$AC$220,27,FALSE)*AJ605,0))))</f>
        <v/>
      </c>
      <c r="AN605" s="452" t="str">
        <f>IF(AI605="","",IF(AL605=0,0,AL605/AK605*100))</f>
        <v/>
      </c>
      <c r="AO605" s="184" t="str">
        <f>IF(D605="","",IF(AI605=2,(('Calc (ex-animal)'!$L$112*'Calc (ex-housing, ex-storage)'!F605/100+'Calc (ex-animal)'!$K$112*'Calc (ex-housing, ex-storage)'!F605/100))/VLOOKUP($C$601,'DB animal categories'!$C$211:$AC$220,27,FALSE)*AJ605+Q605+R605+S605-AC605,IF(AI605=1,('Calc (ex-animal)'!$L$112*'Calc (ex-housing, ex-storage)'!F605/100)/VLOOKUP($C$601,'DB animal categories'!$C$211:$AC$220,27,FALSE)*AJ605-'Calc (ex-housing, ex-storage)'!AC605,IF(AI605=4,('Calc (ex-animal)'!$L$112+'Calc (ex-animal)'!$K$112)*'Calc (ex-housing, ex-storage)'!F605/100*VLOOKUP(D605,'DB technologies'!$N$280:$Y$292,11,FALSE)/100/VLOOKUP($C$601,'DB animal categories'!$C$211:$AC$220,27,FALSE)*AJ605-AC605*VLOOKUP(D605,'DB technologies'!$N$280:$Y$292,11,FALSE)/100,0))))</f>
        <v/>
      </c>
      <c r="AP605" s="184" t="str">
        <f>IF(D605="","",IF(AO605&lt;-0.01,0,IF(AI605=2,(('Calc (ex-animal)'!$L$112*'Calc (ex-housing, ex-storage)'!F605/100+'Calc (ex-animal)'!$K$112*'Calc (ex-housing, ex-storage)'!F605/100))/VLOOKUP($C$601,'DB animal categories'!$C$211:$AC$220,27,FALSE)*AJ605+Q605+R605+S605-AC605,IF(AI605=1,('Calc (ex-animal)'!$L$112*'Calc (ex-housing, ex-storage)'!F605/100)/VLOOKUP($C$601,'DB animal categories'!$C$211:$AC$220,27,FALSE)*AJ605-'Calc (ex-housing, ex-storage)'!AC605,IF(AI605=4,('Calc (ex-animal)'!$L$112+'Calc (ex-animal)'!$K$112)*'Calc (ex-housing, ex-storage)'!F605/100*VLOOKUP(D605,'DB technologies'!$N$280:$Y$292,11,FALSE)/100/VLOOKUP($C$601,'DB animal categories'!$C$211:$AC$220,27,FALSE)*AJ605-AC605*VLOOKUP(D605,'DB technologies'!$N$280:$Y$292,11,FALSE)/100,0)))))</f>
        <v/>
      </c>
      <c r="AQ605" s="184" t="str">
        <f>IF(D605="","",IF(AI605=2,('Calc (ex-animal)'!$O$112*'Calc (ex-housing, ex-storage)'!F605/100+'Calc (ex-animal)'!$N$112*'Calc (ex-housing, ex-storage)'!F605/100)/VLOOKUP($C$601,'DB animal categories'!$C$211:$AC$220,27,FALSE)*AJ605+U605+V605+W605,IF(AI605=1,'Calc (ex-animal)'!$O$112*'Calc (ex-housing, ex-storage)'!F605/100/VLOOKUP($C$601,'DB animal categories'!$C$211:$AC$220,27,FALSE)*AJ605,IF(AI605=4,('Calc (ex-animal)'!$O$112+'Calc (ex-animal)'!$N$112)*'Calc (ex-housing, ex-storage)'!F605/100*VLOOKUP(D605,'DB technologies'!$N$280:$Y$292,11,FALSE)/100/VLOOKUP($C$601,'DB animal categories'!$C$211:$AC$220,27,FALSE)*AJ605,0))))</f>
        <v/>
      </c>
      <c r="AR605" s="184" t="str">
        <f>IF(D605="","",IF(AI605=2,('Calc (ex-animal)'!$R$112*'Calc (ex-housing, ex-storage)'!F605/100+'Calc (ex-animal)'!$Q$112*'Calc (ex-housing, ex-storage)'!F605/100)/VLOOKUP($C$601,'DB animal categories'!$C$211:$AC$220,27,FALSE)*AJ605+Y605+Z605+AA605,IF(AI605=1,'Calc (ex-animal)'!$R$112*'Calc (ex-housing, ex-storage)'!F605/100/VLOOKUP($C$601,'DB animal categories'!$C$211:$AC$220,27,FALSE)*AJ605,IF(AI605=4,('Calc (ex-animal)'!$R$112+'Calc (ex-animal)'!$Q$112)*'Calc (ex-housing, ex-storage)'!F605/100*VLOOKUP(D605,'DB technologies'!$N$280:$Y$292,11,FALSE)/100/VLOOKUP($C$601,'DB animal categories'!$C$211:$AC$220,27,FALSE)*AJ605,0))))</f>
        <v/>
      </c>
      <c r="AS605" s="183" t="str">
        <f>IF(D605="","",VLOOKUP(D605,'DB technologies'!$N$280:$Y$292,10,FALSE))</f>
        <v/>
      </c>
      <c r="AT605" s="452" t="str">
        <f>IF(AS605="","",AU605+AV605)</f>
        <v/>
      </c>
      <c r="AU605" s="452" t="str">
        <f>IF(D605="","",IF(AS605=2,0,IF(AS605=1,'Calc (ex-animal)'!$G$112*'DB additional information '!$K$23/100*(1-VLOOKUP(D605,'DB technologies'!$N$280:$Y$292,8,FALSE)/100)*'Calc (ex-housing, ex-storage)'!F605/100/VLOOKUP($C$601,'DB animal categories'!$C$211:$AC$220,27,FALSE)*AJ605+I605+J605+K605,IF(AS605=5,(('Calc (ex-animal)'!$G$112*'DB additional information '!$K$23/100+'Calc (ex-animal)'!$H$112*'DB additional information '!$L$23/100))*(1-VLOOKUP(D605,'DB technologies'!$N$280:$Y$292,9,FALSE)/100)*'Calc (ex-housing, ex-storage)'!F605/100/VLOOKUP($C$601,'DB animal categories'!$C$211:$AC$220,27,FALSE)*AJ605+I605+J605+K605,IF(AS605=3,('Calc (ex-animal)'!$G$112*'DB additional information '!$K$23/100+'Calc (ex-animal)'!$H$112*'DB additional information '!$L$23/100)*(1-VLOOKUP(D605,'DB technologies'!$N$280:$Y$292,9,FALSE)/100)*'Calc (ex-housing, ex-storage)'!F605/100/VLOOKUP($C$601,'DB animal categories'!$C$211:$AC$220,27,FALSE)*AJ605+I605+J605+K605,IF(AS605=4,('Calc (ex-animal)'!$G$112*'DB additional information '!$K$23/100+'Calc (ex-animal)'!$H$112*'DB additional information '!$L$23/100)*(1-VLOOKUP(D605,'DB technologies'!$N$280:$Y$292,9,FALSE)/100)*'Calc (ex-housing, ex-storage)'!F605/100*VLOOKUP(D605,'DB technologies'!$N$280:$Y$292,12,FALSE)/100/VLOOKUP($C$601,'DB animal categories'!$C$211:$AC$220,27,FALSE)*AJ605+I605+J605+K605,0))))))</f>
        <v/>
      </c>
      <c r="AV605" s="452" t="str">
        <f>IF(D605="","",IF(AS605=2,0,IF(AS605=1,'Calc (ex-animal)'!$G$112*(1-'DB additional information '!$K$23/100)*(1-VLOOKUP(D605,'DB technologies'!$N$280:$Y$292,8,FALSE)/100)*'Calc (ex-housing, ex-storage)'!F605/100/VLOOKUP($C$601,'DB animal categories'!$C$211:$AC$220,27,FALSE)*AJ605+M605+N605+O605,IF(AS605=5,('Calc (ex-animal)'!$G$112*(1-'DB additional information '!$K$23/100)+'Calc (ex-animal)'!$H$112*(1-'DB additional information '!$L$23/100))*(1-VLOOKUP(D605,'DB technologies'!$N$280:$Y$292,8,FALSE)/100)*'Calc (ex-housing, ex-storage)'!F605/100/VLOOKUP($C$601,'DB animal categories'!$C$211:$AC$220,27,FALSE)*AJ605+M605+N605+O605,IF(AS605=3,('Calc (ex-animal)'!$G$112*(1-'DB additional information '!$K$23/100)+'Calc (ex-animal)'!$H$112*(1-'DB additional information '!$L$23/100))*(1-VLOOKUP(D605,'DB technologies'!$N$280:$Y$292,8,FALSE)/100)*'Calc (ex-housing, ex-storage)'!F605/100/VLOOKUP($C$601,'DB animal categories'!$C$211:$AC$220,27,FALSE)*AJ605+M605+N605+O605,IF(AS605=4,('Calc (ex-animal)'!$G$112*(1-'DB additional information '!$K$23/100)+'Calc (ex-animal)'!$H$112*(1-'DB additional information '!$L$23/100))*(1-VLOOKUP(D605,'DB technologies'!$N$280:$Y$292,8,FALSE)/100)*'Calc (ex-housing, ex-storage)'!F605/100*VLOOKUP(D605,'DB technologies'!$N$280:$Y$292,12,FALSE)/100/VLOOKUP($C$601,'DB animal categories'!$C$211:$AC$220,27,FALSE)*AJ605+M605+N605+O605,0))))))</f>
        <v/>
      </c>
      <c r="AW605" s="452" t="str">
        <f>IF(AS605="","",IF(AU605=0,0,AU605/AT605*100))</f>
        <v/>
      </c>
      <c r="AX605" s="184" t="str">
        <f>IF(D605="","",IF(AS605=2,0,IF(AS605=1,'Calc (ex-animal)'!$K$112*'Calc (ex-housing, ex-storage)'!F605/100/VLOOKUP($C$601,'DB animal categories'!$C$211:$AC$220,27,FALSE)*AJ605+Q605+R605+S605,IF(AS605=5,('Calc (ex-animal)'!$K$112+'Calc (ex-animal)'!$L$112)*'Calc (ex-housing, ex-storage)'!F605/100/VLOOKUP($C$601,'DB animal categories'!$C$211:$AC$220,27,FALSE)*AJ605+Q605+R605+S605-'Calc (ex-housing, ex-storage)'!AC605,IF(AS605=3,('Calc (ex-animal)'!$K$112+'Calc (ex-animal)'!$L$112)*'Calc (ex-housing, ex-storage)'!F605/100/VLOOKUP($C$601,'DB animal categories'!$C$211:$AC$220,27,FALSE)*AJ605+Q605+R605+S605-'Calc (ex-housing, ex-storage)'!AC605-AD605-AE605,IF(AI605=4,('Calc (ex-animal)'!$K$112+'Calc (ex-animal)'!$L$112)*'Calc (ex-housing, ex-storage)'!F605/100*VLOOKUP(D605,'DB technologies'!$N$280:$Y$292,12,FALSE)/100/VLOOKUP($C$601,'DB animal categories'!$C$211:$AC$220,27,FALSE)*AJ605+Q605+R605+S605-(VLOOKUP(D605,'DB technologies'!$N$280:$Y$292,12,FALSE)/100*AC605)-AD605-AE605,0))))))</f>
        <v/>
      </c>
      <c r="AY605" s="184" t="str">
        <f>IF(D605="","",IF(AS605=2,0,IF(AS605=1,'Calc (ex-animal)'!$N$112*'Calc (ex-housing, ex-storage)'!F605/100/VLOOKUP($C$601,'DB animal categories'!$C$211:$AC$220,27,FALSE)*AJ605+U605+V605+W605,IF(AS605=5,('Calc (ex-animal)'!$N$112+'Calc (ex-animal)'!$O$112)*'Calc (ex-housing, ex-storage)'!F605/100/VLOOKUP($C$601,'DB animal categories'!$C$211:$AC$220,27,FALSE)*AJ605+U605+V605+W605,IF(AS605=3,('Calc (ex-animal)'!$N$112+'Calc (ex-animal)'!$O$112)*'Calc (ex-housing, ex-storage)'!F605/100/VLOOKUP($C$601,'DB animal categories'!$C$211:$AC$220,27,FALSE)*AJ605+U605+V605+W605,IF(AS605=4,('Calc (ex-animal)'!$N$112+'Calc (ex-animal)'!$O$112)*'Calc (ex-housing, ex-storage)'!F605/100*VLOOKUP(D605,'DB technologies'!$N$280:$Y$292,12,FALSE)/100/VLOOKUP($C$601,'DB animal categories'!$C$211:$AC$220,27,FALSE)*AJ605+U605+V605+W605,0))))))</f>
        <v/>
      </c>
      <c r="AZ605" s="184" t="str">
        <f>IF(D605="","",IF(AS605=2,0,IF(AS605=1,'Calc (ex-animal)'!$Q$112*'Calc (ex-housing, ex-storage)'!F605/100/VLOOKUP($C$601,'DB animal categories'!$C$211:$AC$220,27,FALSE)*AJ605+Y605+Z605+AA605,IF(AS605=5,('Calc (ex-animal)'!$Q$112+'Calc (ex-animal)'!$R$112)*'Calc (ex-housing, ex-storage)'!F605/100/VLOOKUP($C$601,'DB animal categories'!$C$211:$AC$220,27,FALSE)*AJ605+Y605+Z605+AA605,IF(AS605=3,('Calc (ex-animal)'!$Q$112+'Calc (ex-animal)'!$R$112)*'Calc (ex-housing, ex-storage)'!F605/100/VLOOKUP($C$601,'DB animal categories'!$C$211:$AC$220,27,FALSE)*AJ605+Y605+Z605+AA605,IF(AS605=4,('Calc (ex-animal)'!$Q$112+'Calc (ex-animal)'!$R$112)*'Calc (ex-housing, ex-storage)'!F605/100*VLOOKUP(D605,'DB technologies'!$N$280:$Y$292,12,FALSE)/100/VLOOKUP($C$601,'DB animal categories'!$C$211:$AC$220,27,FALSE)*AJ605+Y605+Z605+AA605,0))))))</f>
        <v/>
      </c>
      <c r="BA605" s="506"/>
      <c r="BB605" s="506"/>
      <c r="BC605" s="506"/>
    </row>
    <row r="606" spans="1:55" ht="12" thickBot="1" x14ac:dyDescent="0.25">
      <c r="A606" s="748"/>
      <c r="B606" s="696"/>
      <c r="C606" s="252"/>
      <c r="D606" s="269" t="s">
        <v>58</v>
      </c>
      <c r="E606" s="270">
        <f>IF(F606&lt;=100,SUM(E601:E605),"ERROR")</f>
        <v>0</v>
      </c>
      <c r="F606" s="284">
        <f>IF(SUM(F601:F605) &lt;=100,SUM(F601:F605),"ERROR, SUM&gt;100%")</f>
        <v>0</v>
      </c>
      <c r="G606" s="550">
        <f>IF('Calc (ex-animal)'!$F$108=1,"",SUM(G601:G605))</f>
        <v>0</v>
      </c>
      <c r="H606" s="418">
        <f>IF('Calc (ex-animal)'!$F$8=1,"",SUM(H601:H605))</f>
        <v>0</v>
      </c>
      <c r="I606" s="418">
        <f>IF('Calc (ex-animal)'!$F$8=1,"",SUM(I601:I605))</f>
        <v>0</v>
      </c>
      <c r="J606" s="418">
        <f>IF('Calc (ex-animal)'!$F$8=1,"",SUM(J601:J605))</f>
        <v>0</v>
      </c>
      <c r="K606" s="418">
        <f>IF('Calc (ex-animal)'!$F$8=1,"",SUM(K601:K605))</f>
        <v>0</v>
      </c>
      <c r="L606" s="418">
        <f>IF('Calc (ex-animal)'!$F$8=1,"",SUM(L601:L605))</f>
        <v>0</v>
      </c>
      <c r="M606" s="551"/>
      <c r="N606" s="551"/>
      <c r="O606" s="551"/>
      <c r="P606" s="552">
        <f>IF(G606=0,0,IF('Calc (ex-animal)'!$F$108=1,"",IF(D606="","",SUM(H606:K606)/G606*100)))</f>
        <v>0</v>
      </c>
      <c r="Q606" s="271"/>
      <c r="R606" s="271"/>
      <c r="S606" s="271"/>
      <c r="T606" s="278">
        <f>IF('Calc (ex-animal)'!$F$112=1,"",SUM(T601:T605))</f>
        <v>0</v>
      </c>
      <c r="U606" s="279"/>
      <c r="V606" s="279"/>
      <c r="W606" s="279"/>
      <c r="X606" s="279">
        <f>IF('Calc (ex-animal)'!$F$112=1,"",SUM(X601:X605))</f>
        <v>0</v>
      </c>
      <c r="Y606" s="279"/>
      <c r="Z606" s="279"/>
      <c r="AA606" s="279"/>
      <c r="AB606" s="279">
        <f>IF('Calc (ex-animal)'!$F$112=1,"",SUM(AB601:AB605))</f>
        <v>0</v>
      </c>
      <c r="AC606" s="279">
        <f>IF('Calc (ex-animal)'!$F$112=1,"",SUM(AC601:AC605))</f>
        <v>0</v>
      </c>
      <c r="AD606" s="279">
        <f>IF('Calc (ex-animal)'!$F$112=1,"",SUM(AD601:AD605))</f>
        <v>0</v>
      </c>
      <c r="AE606" s="280">
        <f>IF('Calc (ex-animal)'!$F$112=1,"",SUM(AE601:AE605))</f>
        <v>0</v>
      </c>
    </row>
    <row r="607" spans="1:55" x14ac:dyDescent="0.2">
      <c r="A607" s="748"/>
      <c r="B607" s="694" t="s">
        <v>202</v>
      </c>
      <c r="C607" s="254">
        <f>'Calc (ex-animal)'!D113</f>
        <v>0</v>
      </c>
      <c r="D607" s="1355"/>
      <c r="E607" s="1356"/>
      <c r="F607" s="479" t="str">
        <f>IF('Calc (ex-animal)'!$F$113=1,"",IF($C$607=0,"",IF(D607="","",E607/'Calc (ex-animal)'!$E$113*100)))</f>
        <v/>
      </c>
      <c r="G607" s="484" t="str">
        <f>IF($C$607=0,"",IF('Calc (ex-animal)'!$F$113=1,"",IF(D607="","",SUM(H607:O607))))</f>
        <v/>
      </c>
      <c r="H607" s="471" t="str">
        <f>IF('Calc (ex-animal)'!$F$113=1,"",IF(D607="","",(((VLOOKUP($C$607,'Calc (ex-animal)'!$D$113:$Y$117,6,FALSE)-VLOOKUP($C$607,'Calc (ex-animal)'!$D$113:$Y$117,17,FALSE))*F607/100))*VLOOKUP($C$607,'Calc (ex-animal)'!$D$113:$Y$117,7,FALSE)/100*(1-VLOOKUP(D607,'DB technologies'!$N$294:$Y$306,9,FALSE)/100)))</f>
        <v/>
      </c>
      <c r="I607" s="471" t="str">
        <f>IF(D607="","",((VLOOKUP(D607,'DB technologies'!$N$294:$Y$306,2,FALSE)*VLOOKUP($C$607,'DB animal categories'!$C$221:$AC$230,27,FALSE)*E607/1000)/VLOOKUP($C$607,'DB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'!$S$6/100*(1-VLOOKUP(D607,'DB technologies'!$N$294:$Y$306,9,FALSE)/100)))</f>
        <v/>
      </c>
      <c r="J607" s="472" t="str">
        <f>IF(D607="","",((VLOOKUP(D607,'DB technologies'!$N$294:$Y$306,3,FALSE)*VLOOKUP($C$607,'DB animal categories'!$C$221:$AC$230,27,FALSE)*E607/1000)/VLOOKUP($C$607,'DB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'!$S$7/100*(1-VLOOKUP(D607,'DB technologies'!$N$294:$Y$306,9,FALSE)/100)))</f>
        <v/>
      </c>
      <c r="K607" s="472" t="str">
        <f>IF(D607="","",((VLOOKUP(D607,'DB technologies'!$N$294:$Y$306,4,FALSE)*E607*'DB additional information '!$S$8/100*(1-VLOOKUP(D607,'DB technologies'!$N$294:$Y$306,9,FALSE)/100))/VLOOKUP($C$607,'DB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L607" s="471" t="str">
        <f>IF('Calc (ex-animal)'!$F$113=1,"",IF(D607="","",(((VLOOKUP($C$607,'Calc (ex-animal)'!$D$113:$Y$117,6,FALSE)-VLOOKUP($C$607,'Calc (ex-animal)'!$D$113:$Y$117,17,FALSE))*F607/100))*(1-VLOOKUP($C$607,'Calc (ex-animal)'!$D$113:$Y$117,7,FALSE)/100)*(1-VLOOKUP(D607,'DB technologies'!$N$294:$V$306,8,FALSE)/100)))</f>
        <v/>
      </c>
      <c r="M607" s="472" t="str">
        <f>IF(D607="","",((VLOOKUP(D607,'DB technologies'!$N$294:$Y$306,2,FALSE)*VLOOKUP($C$607,'DB animal categories'!$C$221:$AC$230,27,FALSE)*E607/1000)/VLOOKUP($C$607,'DB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'!$S$6/100)*(1-VLOOKUP(D607,'DB technologies'!$N$294:$Y$306,9,FALSE)/100))</f>
        <v/>
      </c>
      <c r="N607" s="472" t="str">
        <f>IF(D607="","",((VLOOKUP(D607,'DB technologies'!$N$294:$Y$306,3,FALSE)*VLOOKUP($C$607,'DB animal categories'!$C$221:$AC$230,27,FALSE)*E607/1000)/VLOOKUP($C$607,'DB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'!$S$7/100)*(1-VLOOKUP(D607,'DB technologies'!$N$294:$Y$306,9,FALSE)/100))</f>
        <v/>
      </c>
      <c r="O607" s="471" t="str">
        <f>IF(D607="","",((VLOOKUP(D607,'DB technologies'!$N$294:$Y$306,4,FALSE)*E607*(1-'DB additional information '!$S$8/100)*(1-VLOOKUP(D607,'DB technologies'!$N$294:$Y$306,8,FALSE)/100))/VLOOKUP($C$607,'DB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P607" s="443" t="str">
        <f>IF(G607=0,0,IF(E607="","",IF(F607="","",IF($C$607=0,"",IF(D607="","",SUM(H607:K607)/G607*100)))))</f>
        <v/>
      </c>
      <c r="Q607" s="473" t="str">
        <f>IF(D607="","",(VLOOKUP(D607,'DB technologies'!$N$294:$Y$306,2,FALSE)*'DB additional information '!$S$6/100*'DB additional information '!$T$6*VLOOKUP($C$607,'DB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R607" s="473" t="str">
        <f>IF(D607="","",(VLOOKUP(D607,'DB technologies'!$N$294:$Y$306,3,FALSE)*'DB additional information '!$S$7/100*'DB additional information '!$T$7*VLOOKUP($C$607,'DB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S607" s="490" t="str">
        <f>IF(D607="","",(VLOOKUP(D607,'DB technologies'!$N$294:$Y$306,4,FALSE)*('DB additional information '!$S$8/100*'DB additional information '!$T$8*E607/1000/1000)))</f>
        <v/>
      </c>
      <c r="T607" s="263" t="str">
        <f>IF($C$607=0,"",IF('Calc (ex-animal)'!$F$113=1,"",IF(D607="","",((VLOOKUP($C$607,'Calc (ex-animal)'!$D$113:$Y$117,10,FALSE)-VLOOKUP($C$607,'Calc (ex-animal)'!$D$113:$Y$117,18,FALSE))*F607/100+Q607+R607+S607)-AC607-AD607-AE607)))</f>
        <v/>
      </c>
      <c r="U607" s="474" t="str">
        <f>IF(D607="","",(VLOOKUP(D607,'DB technologies'!$N$294:$Y$306,2,FALSE)*'DB additional information '!$S$6/100*'DB additional information '!$U$6*VLOOKUP($C$607,'DB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V607" s="420" t="str">
        <f>IF(D607="","",(VLOOKUP(D607,'DB technologies'!$N$294:$Y$306,3,FALSE)*'DB additional information '!$S$7/100*'DB additional information '!$U$7*VLOOKUP($C$607,'DB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W607" s="415" t="str">
        <f>IF(D607="","",(VLOOKUP(D607,'DB technologies'!$N$294:$Y$306,4,FALSE)*('DB additional information '!$S$8/100*'DB additional information '!$U$8*E607/1000/1000)))</f>
        <v/>
      </c>
      <c r="X607" s="259" t="str">
        <f>IF($C$607=0,"",IF('Calc (ex-animal)'!$F$113=1,"",IF(D607="","",((VLOOKUP($C$607,'Calc (ex-animal)'!$D$113:$Y$117,13,FALSE)-VLOOKUP($C$607,'Calc (ex-animal)'!$D$113:$Y$117,19,FALSE))*F607/100+U607+V607+W607))))</f>
        <v/>
      </c>
      <c r="Y607" s="420" t="str">
        <f>IF(D607="","",(VLOOKUP(D607,'DB technologies'!$N$294:$Y$306,2,FALSE)*'DB additional information '!$S$6/100*'DB additional information '!$V$6*VLOOKUP($C$607,'DB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Z607" s="420" t="str">
        <f>IF(D607="","",(VLOOKUP(D607,'DB technologies'!$N$294:$Y$306,3,FALSE)*'DB additional information '!$S$7/100*'DB additional information '!$V$7*VLOOKUP($C$607,'DB animal categories'!$C$221:$AC$230,27,FALSE)*E607/1000/1000)/VLOOKUP($C$607,'DB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AA607" s="420" t="str">
        <f>IF(D607="","",(VLOOKUP(D607,'DB technologies'!$N$294:$Y$306,4,FALSE)*('DB additional information '!$S$8/100*'DB additional information '!$V$8*E607/1000/1000)))</f>
        <v/>
      </c>
      <c r="AB607" s="259" t="str">
        <f>IF($C$607=0,"",IF('Calc (ex-animal)'!$F$113=1,"",IF(D607="","",((VLOOKUP($C$607,'Calc (ex-animal)'!$D$113:$Y$117,16,FALSE)-VLOOKUP($C$607,'Calc (ex-animal)'!$D$113:$Y$117,20,FALSE))*F607/100+Y607+Z607+AA607))))</f>
        <v/>
      </c>
      <c r="AC607" s="259" t="str">
        <f>IF($C$607=0,"",IF('Calc (ex-animal)'!$F$113=1,"",IF(D607="","",VLOOKUP($C$607,'Calc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categories'!$C$221:$AC$230,26,FALSE)/24)*F607/100*VLOOKUP(D607,'DB technologies'!$N$294:$R$306,5,FALSE)/100)))</f>
        <v/>
      </c>
      <c r="AD607" s="259" t="str">
        <f>IF($C$607=0,"",IF('Calc (ex-animal)'!$F$113=1,"",IF(D607="","",VLOOKUP($C$607,'Calc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categories'!$C$221:$AC$230,26,FALSE)/24)*F607/100*VLOOKUP(D607,'DB technologies'!$N$294:$Y$306,6,FALSE)/100)))</f>
        <v/>
      </c>
      <c r="AE607" s="260" t="str">
        <f>IF($C$607=0,"",IF('Calc (ex-animal)'!$F$113=1,"",IF(D607="","",VLOOKUP($C$607,'Calc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categories'!$C$221:$AC$230,26,FALSE)/24)*F607/100*VLOOKUP(D607,'DB technologies'!$N$294:$Y$306,7,FALSE)/100)))</f>
        <v/>
      </c>
      <c r="AI607" s="179" t="str">
        <f>IF(D607="","",VLOOKUP(D607,'DB technologies'!$N$294:$Y$306,10,FALSE))</f>
        <v/>
      </c>
      <c r="AJ607" s="482" t="e">
        <f>VLOOKUP($C$607,'DB animal categories'!$C$221:$AN$230,27,FALSE)-VLOOKUP($C$607,'DB animal categories'!$C$221:$AN$230,26,FALSE)*VLOOKUP($C$607,'DB animal categories'!$C$221:$AN$230,25,FALSE)/24</f>
        <v>#N/A</v>
      </c>
      <c r="AK607" s="453" t="str">
        <f>IF(AI607="","",AL607+AM607)</f>
        <v/>
      </c>
      <c r="AL607" s="453" t="str">
        <f>IF(D607="","",IF(AI607=2,(('Calc (ex-animal)'!$G$113*'DB additional information '!$K$24/100*(1-VLOOKUP(D607,'DB technologies'!$N$294:$Y$306,9,FALSE)/100)*'Calc (ex-housing, ex-storage)'!F607/100+'Calc (ex-animal)'!$H$113*'DB additional information '!$L$24/100*(1-VLOOKUP(D607,'DB technologies'!$N$294:$Y$306,9,FALSE)/100)*'Calc (ex-housing, ex-storage)'!F607/100))/VLOOKUP($C$607,'DB animal categories'!$C$221:$AC$230,27,FALSE)*AJ607+I607+J607+K607,IF(AI607=1,('Calc (ex-animal)'!$H$113*'DB additional information '!$L$24/100*(1-VLOOKUP(D607,'DB technologies'!$N$294:$Y$306,9,FALSE)/100)*'Calc (ex-housing, ex-storage)'!F607/100)/VLOOKUP($C$607,'DB animal categories'!$C$221:$AC$230,27,FALSE)*AJ607,IF(AI607=4,('Calc (ex-animal)'!$G$113*'DB additional information '!$K$24/100+'Calc (ex-animal)'!$H$113*'DB additional information '!$L$24/100)*(1-VLOOKUP(D607,'DB technologies'!$N$294:$Y$306,9,FALSE)/100)*'Calc (ex-housing, ex-storage)'!F607/100*VLOOKUP(D607,'DB technologies'!$N$294:$Y$306,11,FALSE)/100/VLOOKUP($C$607,'DB animal categories'!$C$221:$AC$230,27,FALSE)*AJ607,0))))</f>
        <v/>
      </c>
      <c r="AM607" s="453" t="str">
        <f>IF(D607="","",IF(AI607=2,(('Calc (ex-animal)'!$G$113*(1-'DB additional information '!$K$24/100)*(1-VLOOKUP(D607,'DB technologies'!$N$294:$Y$306,8,FALSE)/100)*'Calc (ex-housing, ex-storage)'!F607/100+'Calc (ex-animal)'!$H$113*(1-'DB additional information '!$L$24/100)*(1-VLOOKUP(D607,'DB technologies'!$N$294:$Y$306,8,FALSE)/100)*'Calc (ex-housing, ex-storage)'!F607/100))/VLOOKUP($C$607,'DB animal categories'!$C$221:$AC$230,27,FALSE)*AJ607+M607+N607+O607,IF(AI607=1,('Calc (ex-animal)'!$H$113*(1-'DB additional information '!$L$24/100)*(1-VLOOKUP(D607,'DB technologies'!$N$294:$Y$306,8,FALSE)/100)*'Calc (ex-housing, ex-storage)'!F607/100)/VLOOKUP($C$607,'DB animal categories'!$C$221:$AC$230,27,FALSE)*AJ607,IF(AI607=4,('Calc (ex-animal)'!$G$113*(1-'DB additional information '!$K$24/100)+'Calc (ex-animal)'!$H$113*(1-'DB additional information '!$L$24/100))*(1-VLOOKUP(D607,'DB technologies'!$N$294:$Y$306,8,FALSE)/100)*'Calc (ex-housing, ex-storage)'!F607/100*VLOOKUP(D607,'DB technologies'!$N$294:$Y$306,11,FALSE)/100/VLOOKUP($C$607,'DB animal categories'!$C$221:$AC$230,27,FALSE)*AJ607,0))))</f>
        <v/>
      </c>
      <c r="AN607" s="453" t="str">
        <f>IF(AI607="","",IF(AL607=0,0,AL607/AK607*100))</f>
        <v/>
      </c>
      <c r="AO607" s="180" t="str">
        <f>IF(D607="","",IF(AI607=2,(('Calc (ex-animal)'!$L$113*'Calc (ex-housing, ex-storage)'!F607/100+'Calc (ex-animal)'!$K$113*'Calc (ex-housing, ex-storage)'!F607/100))/VLOOKUP($C$607,'DB animal categories'!$C$221:$AC$230,27,FALSE)*AJ607+Q607+R607+S607-AC607,IF(AI607=1,('Calc (ex-animal)'!$L$113*'Calc (ex-housing, ex-storage)'!F607/100)/VLOOKUP($C$607,'DB animal categories'!$C$221:$AC$230,27,FALSE)*AJ607-'Calc (ex-housing, ex-storage)'!AC607,IF(AI607=4,('Calc (ex-animal)'!$L$113+'Calc (ex-animal)'!$K$113)*'Calc (ex-housing, ex-storage)'!F607/100*VLOOKUP(D607,'DB technologies'!$N$294:$Y$306,11,FALSE)/100/VLOOKUP($C$607,'DB animal categories'!$C$221:$AC$230,27,FALSE)*AJ607-AC607*VLOOKUP(D607,'DB technologies'!$N$294:$Y$306,11,FALSE)/100,0))))</f>
        <v/>
      </c>
      <c r="AP607" s="180" t="str">
        <f>IF(D607="","",IF(AO607&lt;-0.01,0,IF(AI607=2,(('Calc (ex-animal)'!$L$113*'Calc (ex-housing, ex-storage)'!F607/100+'Calc (ex-animal)'!$K$113*'Calc (ex-housing, ex-storage)'!F607/100))/VLOOKUP($C$607,'DB animal categories'!$C$221:$AC$230,27,FALSE)*AJ607+Q607+R607+S607-AC607,IF(AI607=1,('Calc (ex-animal)'!$L$113*'Calc (ex-housing, ex-storage)'!F607/100)/VLOOKUP($C$607,'DB animal categories'!$C$221:$AC$230,27,FALSE)*AJ607-'Calc (ex-housing, ex-storage)'!AC607,IF(AI607=4,('Calc (ex-animal)'!$L$113+'Calc (ex-animal)'!$K$113)*'Calc (ex-housing, ex-storage)'!F607/100*VLOOKUP(D607,'DB technologies'!$N$294:$Y$306,11,FALSE)/100/VLOOKUP($C$607,'DB animal categories'!$C$221:$AC$230,27,FALSE)*AJ607-AC607*VLOOKUP(D607,'DB technologies'!$N$294:$Y$306,11,FALSE)/100,0)))))</f>
        <v/>
      </c>
      <c r="AQ607" s="180" t="str">
        <f>IF(D607="","",IF(AI607=2,('Calc (ex-animal)'!$O$113*'Calc (ex-housing, ex-storage)'!F607/100+'Calc (ex-animal)'!$N$113*'Calc (ex-housing, ex-storage)'!F607/100)/VLOOKUP($C$607,'DB animal categories'!$C$221:$AC$230,27,FALSE)*AJ607+U607+V607+W607,IF(AI607=1,'Calc (ex-animal)'!$O$113*'Calc (ex-housing, ex-storage)'!F607/100/VLOOKUP($C$607,'DB animal categories'!$C$221:$AC$230,27,FALSE)*AJ607,IF(AI607=4,('Calc (ex-animal)'!$O$113+'Calc (ex-animal)'!$N$113)*'Calc (ex-housing, ex-storage)'!F607/100*VLOOKUP(D607,'DB technologies'!$N$294:$Y$306,11,FALSE)/100/VLOOKUP($C$607,'DB animal categories'!$C$221:$AC$230,27,FALSE)*AJ607,0))))</f>
        <v/>
      </c>
      <c r="AR607" s="180" t="str">
        <f>IF(D607="","",IF(AI607=2,('Calc (ex-animal)'!$R$113*'Calc (ex-housing, ex-storage)'!F607/100+'Calc (ex-animal)'!$Q$113*'Calc (ex-housing, ex-storage)'!F607/100)/VLOOKUP($C$607,'DB animal categories'!$C$221:$AC$230,27,FALSE)*AJ607+Y607+Z607+AA607,IF(AI607=1,'Calc (ex-animal)'!$R$113*'Calc (ex-housing, ex-storage)'!F607/100/VLOOKUP($C$607,'DB animal categories'!$C$221:$AC$230,27,FALSE)*AJ607,IF(AI607=4,('Calc (ex-animal)'!$R$113+'Calc (ex-animal)'!$Q$113)*'Calc (ex-housing, ex-storage)'!F607/100*VLOOKUP(D607,'DB technologies'!$N$294:$Y$306,11,FALSE)/100/VLOOKUP($C$607,'DB animal categories'!$C$221:$AC$230,27,FALSE)*AJ607,0))))</f>
        <v/>
      </c>
      <c r="AS607" s="179" t="str">
        <f>IF(D607="","",VLOOKUP(D607,'DB technologies'!$N$294:$Y$306,10,FALSE))</f>
        <v/>
      </c>
      <c r="AT607" s="453" t="str">
        <f>IF(AS607="","",AU607+AV607)</f>
        <v/>
      </c>
      <c r="AU607" s="453" t="str">
        <f>IF(D607="","",IF(AS607=2,0,IF(AS607=1,'Calc (ex-animal)'!$G$113*'DB additional information '!$K$24/100*(1-VLOOKUP(D607,'DB technologies'!$N$294:$Y$306,8,FALSE)/100)*'Calc (ex-housing, ex-storage)'!F607/100/VLOOKUP($C$607,'DB animal categories'!$C$221:$AC$230,27,FALSE)*AJ607+I607+J607+K607,IF(AS607=5,(('Calc (ex-animal)'!$G$113*'DB additional information '!$K$24/100+'Calc (ex-animal)'!$H$113*'DB additional information '!$L$24/100))*(1-VLOOKUP(D607,'DB technologies'!$N$294:$Y$306,9,FALSE)/100)*'Calc (ex-housing, ex-storage)'!F607/100/VLOOKUP($C$607,'DB animal categories'!$C$221:$AC$230,27,FALSE)*AJ607+I607+J607+K607,IF(AS607=3,('Calc (ex-animal)'!$G$113*'DB additional information '!$K$24/100+'Calc (ex-animal)'!$H$113*'DB additional information '!$L$24/100)*(1-VLOOKUP(D607,'DB technologies'!$N$294:$Y$306,9,FALSE)/100)*'Calc (ex-housing, ex-storage)'!F607/100/VLOOKUP($C$607,'DB animal categories'!$C$221:$AC$230,27,FALSE)*AJ607+I607+J607+K607,IF(AS607=4,('Calc (ex-animal)'!$G$113*'DB additional information '!$K$24/100+'Calc (ex-animal)'!$H$113*'DB additional information '!$L$24/100)*(1-VLOOKUP(D607,'DB technologies'!$N$294:$Y$306,9,FALSE)/100)*'Calc (ex-housing, ex-storage)'!F607/100*VLOOKUP(D607,'DB technologies'!$N$294:$Y$306,12,FALSE)/100/VLOOKUP($C$607,'DB animal categories'!$C$221:$AC$230,27,FALSE)*AJ607+I607+J607+K607,0))))))</f>
        <v/>
      </c>
      <c r="AV607" s="453" t="str">
        <f>IF(D607="","",IF(AS607=2,0,IF(AS607=1,'Calc (ex-animal)'!$G$113*(1-'DB additional information '!$K$24/100)*(1-VLOOKUP(D607,'DB technologies'!$N$294:$Y$306,8,FALSE)/100)*'Calc (ex-housing, ex-storage)'!F607/100/VLOOKUP($C$607,'DB animal categories'!$C$221:$AC$230,27,FALSE)*AJ607+M607+N607+O607,IF(AS607=5,('Calc (ex-animal)'!$G$113*(1-'DB additional information '!$K$24/100)+'Calc (ex-animal)'!$H$113*(1-'DB additional information '!$L$24/100))*(1-VLOOKUP(D607,'DB technologies'!$N$294:$Y$306,8,FALSE)/100)*'Calc (ex-housing, ex-storage)'!F607/100/VLOOKUP($C$607,'DB animal categories'!$C$221:$AC$230,27,FALSE)*AJ607+M607+N607+O607,IF(AS607=3,('Calc (ex-animal)'!$G$113*(1-'DB additional information '!$K$24/100)+'Calc (ex-animal)'!$H$113*(1-'DB additional information '!$L$24/100))*(1-VLOOKUP(D607,'DB technologies'!$N$294:$Y$306,8,FALSE)/100)*'Calc (ex-housing, ex-storage)'!F607/100/VLOOKUP($C$607,'DB animal categories'!$C$221:$AC$230,27,FALSE)*AJ607+M607+N607+O607,IF(AS607=4,('Calc (ex-animal)'!$G$113*(1-'DB additional information '!$K$24/100)+'Calc (ex-animal)'!$H$113*(1-'DB additional information '!$L$24/100))*(1-VLOOKUP(D607,'DB technologies'!$N$294:$Y$306,8,FALSE)/100)*'Calc (ex-housing, ex-storage)'!F607/100*VLOOKUP(D607,'DB technologies'!$N$294:$Y$306,12,FALSE)/100/VLOOKUP($C$607,'DB animal categories'!$C$221:$AC$230,27,FALSE)*AJ607+M607+N607+O607,0))))))</f>
        <v/>
      </c>
      <c r="AW607" s="453" t="str">
        <f>IF(AS607="","",IF(AU607=0,0,AU607/AT607*100))</f>
        <v/>
      </c>
      <c r="AX607" s="180" t="str">
        <f>IF(D607="","",IF(AS607=2,0,IF(AS607=1,'Calc (ex-animal)'!$K$113*'Calc (ex-housing, ex-storage)'!F607/100/VLOOKUP($C$607,'DB animal categories'!$C$221:$AC$230,27,FALSE)*AJ607+Q607+R607+S607,IF(AS607=5,('Calc (ex-animal)'!$K$113+'Calc (ex-animal)'!$L$113)*'Calc (ex-housing, ex-storage)'!F607/100/VLOOKUP($C$607,'DB animal categories'!$C$221:$AC$230,27,FALSE)*AJ607+Q607+R607+S607-'Calc (ex-housing, ex-storage)'!AC607,IF(AS607=3,('Calc (ex-animal)'!$K$113+'Calc (ex-animal)'!$L$113)*'Calc (ex-housing, ex-storage)'!F607/100/VLOOKUP($C$607,'DB animal categories'!$C$221:$AC$230,27,FALSE)*AJ607+Q607+R607+S607-'Calc (ex-housing, ex-storage)'!AC607-AD607-AE607,IF(AI607=4,('Calc (ex-animal)'!$K$113+'Calc (ex-animal)'!$L$113)*'Calc (ex-housing, ex-storage)'!F607/100*VLOOKUP(D607,'DB technologies'!$N$294:$Y$306,12,FALSE)/100/VLOOKUP($C$607,'DB animal categories'!$C$221:$AC$230,27,FALSE)*AJ607+Q607+R607+S607-(VLOOKUP(D607,'DB technologies'!$N$294:$Y$306,12,FALSE)/100*AC607)-AD607-AE607,0))))))</f>
        <v/>
      </c>
      <c r="AY607" s="180" t="str">
        <f>IF(D607="","",IF(AS607=2,0,IF(AS607=1,'Calc (ex-animal)'!$N$113*'Calc (ex-housing, ex-storage)'!F607/100/VLOOKUP($C$607,'DB animal categories'!$C$221:$AC$230,27,FALSE)*AJ607+U607+V607+W607,IF(AS607=5,('Calc (ex-animal)'!$N$113+'Calc (ex-animal)'!$O$113)*'Calc (ex-housing, ex-storage)'!F607/100/VLOOKUP($C$607,'DB animal categories'!$C$221:$AC$230,27,FALSE)*AJ607+U607+V607+W607,IF(AS607=3,('Calc (ex-animal)'!$N$113+'Calc (ex-animal)'!$O$113)*'Calc (ex-housing, ex-storage)'!F607/100/VLOOKUP($C$607,'DB animal categories'!$C$221:$AC$230,27,FALSE)*AJ607+U607+V607+W607,IF(AS607=4,('Calc (ex-animal)'!$N$113+'Calc (ex-animal)'!$O$113)*'Calc (ex-housing, ex-storage)'!F607/100*VLOOKUP(D607,'DB technologies'!$N$294:$Y$306,12,FALSE)/100/VLOOKUP($C$607,'DB animal categories'!$C$221:$AC$230,27,FALSE)*AJ607+U607+V607+W607,0))))))</f>
        <v/>
      </c>
      <c r="AZ607" s="180" t="str">
        <f>IF(D607="","",IF(AS607=2,0,IF(AS607=1,'Calc (ex-animal)'!$Q$113*'Calc (ex-housing, ex-storage)'!F607/100/VLOOKUP($C$607,'DB animal categories'!$C$221:$AC$230,27,FALSE)*AJ607+Y607+Z607+AA607,IF(AS607=5,('Calc (ex-animal)'!$Q$113+'Calc (ex-animal)'!$R$113)*'Calc (ex-housing, ex-storage)'!F607/100/VLOOKUP($C$607,'DB animal categories'!$C$221:$AC$230,27,FALSE)*AJ607+Y607+Z607+AA607,IF(AS607=3,('Calc (ex-animal)'!$Q$113+'Calc (ex-animal)'!$R$113)*'Calc (ex-housing, ex-storage)'!F607/100/VLOOKUP($C$607,'DB animal categories'!$C$221:$AC$230,27,FALSE)*AJ607+Y607+Z607+AA607,IF(AS607=4,('Calc (ex-animal)'!$Q$113+'Calc (ex-animal)'!$R$113)*'Calc (ex-housing, ex-storage)'!F607/100*VLOOKUP(D607,'DB technologies'!$N$294:$Y$306,12,FALSE)/100/VLOOKUP($C$607,'DB animal categories'!$C$221:$AC$230,27,FALSE)*AJ607+Y607+Z607+AA607,0))))))</f>
        <v/>
      </c>
      <c r="BA607" s="506"/>
      <c r="BB607" s="506"/>
      <c r="BC607" s="506"/>
    </row>
    <row r="608" spans="1:55" x14ac:dyDescent="0.2">
      <c r="A608" s="748"/>
      <c r="B608" s="695"/>
      <c r="C608" s="255"/>
      <c r="D608" s="1357"/>
      <c r="E608" s="1358"/>
      <c r="F608" s="480" t="str">
        <f>IF('Calc (ex-animal)'!$F$113=1,"",IF($C$607=0,"",IF(D608="","",E608/'Calc (ex-animal)'!$E$113*100)))</f>
        <v/>
      </c>
      <c r="G608" s="485" t="str">
        <f>IF($C$607=0,"",IF('Calc (ex-animal)'!$F$113=1,"",IF(D608="","",SUM(H608:O608))))</f>
        <v/>
      </c>
      <c r="H608" s="423" t="str">
        <f>IF('Calc (ex-animal)'!$F$113=1,"",IF(D608="","",(((VLOOKUP($C$607,'Calc (ex-animal)'!$D$113:$Y$117,6,FALSE)-VLOOKUP($C$607,'Calc (ex-animal)'!$D$113:$Y$117,17,FALSE))*F608/100))*VLOOKUP($C$607,'Calc (ex-animal)'!$D$113:$Y$117,7,FALSE)/100*(1-VLOOKUP(D608,'DB technologies'!$N$294:$Y$306,9,FALSE)/100)))</f>
        <v/>
      </c>
      <c r="I608" s="423" t="str">
        <f>IF(D608="","",((VLOOKUP(D608,'DB technologies'!$N$294:$Y$306,2,FALSE)*VLOOKUP($C$607,'DB animal categories'!$C$221:$AC$230,27,FALSE)*E608/1000)/VLOOKUP($C$607,'DB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'!$S$6/100*(1-VLOOKUP(D608,'DB technologies'!$N$294:$Y$306,9,FALSE)/100)))</f>
        <v/>
      </c>
      <c r="J608" s="434" t="str">
        <f>IF(D608="","",((VLOOKUP(D608,'DB technologies'!$N$294:$Y$306,3,FALSE)*VLOOKUP($C$607,'DB animal categories'!$C$221:$AC$230,27,FALSE)*E608/1000)/VLOOKUP($C$607,'DB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'!$S$7/100*(1-VLOOKUP(D608,'DB technologies'!$N$294:$Y$306,9,FALSE)/100)))</f>
        <v/>
      </c>
      <c r="K608" s="434" t="str">
        <f>IF(D608="","",((VLOOKUP(D608,'DB technologies'!$N$294:$Y$306,4,FALSE)*E608*'DB additional information '!$S$8/100*(1-VLOOKUP(D608,'DB technologies'!$N$294:$Y$306,9,FALSE)/100))/VLOOKUP($C$607,'DB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L608" s="423" t="str">
        <f>IF('Calc (ex-animal)'!$F$113=1,"",IF(D608="","",(((VLOOKUP($C$607,'Calc (ex-animal)'!$D$113:$Y$117,6,FALSE)-VLOOKUP($C$607,'Calc (ex-animal)'!$D$113:$Y$117,17,FALSE))*F608/100))*(1-VLOOKUP($C$607,'Calc (ex-animal)'!$D$113:$Y$117,7,FALSE)/100)*(1-VLOOKUP(D608,'DB technologies'!$N$294:$V$306,8,FALSE)/100)))</f>
        <v/>
      </c>
      <c r="M608" s="434" t="str">
        <f>IF(D608="","",((VLOOKUP(D608,'DB technologies'!$N$294:$Y$306,2,FALSE)*VLOOKUP($C$607,'DB animal categories'!$C$221:$AC$230,27,FALSE)*E608/1000)/VLOOKUP($C$607,'DB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'!$S$6/100)*(1-VLOOKUP(D608,'DB technologies'!$N$294:$Y$306,9,FALSE)/100))</f>
        <v/>
      </c>
      <c r="N608" s="434" t="str">
        <f>IF(D608="","",((VLOOKUP(D608,'DB technologies'!$N$294:$Y$306,3,FALSE)*VLOOKUP($C$607,'DB animal categories'!$C$221:$AC$230,27,FALSE)*E608/1000)/VLOOKUP($C$607,'DB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'!$S$7/100)*(1-VLOOKUP(D608,'DB technologies'!$N$294:$Y$306,9,FALSE)/100))</f>
        <v/>
      </c>
      <c r="O608" s="423" t="str">
        <f>IF(D608="","",((VLOOKUP(D608,'DB technologies'!$N$294:$Y$306,4,FALSE)*E608*(1-'DB additional information '!$S$8/100)*(1-VLOOKUP(D608,'DB technologies'!$N$294:$Y$306,8,FALSE)/100))/VLOOKUP($C$607,'DB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P608" s="438" t="str">
        <f>IF(G608=0,0,IF(E608="","",IF(F608="","",IF($C$607=0,"",IF(D608="","",SUM(H608:K608)/G608*100)))))</f>
        <v/>
      </c>
      <c r="Q608" s="416" t="str">
        <f>IF(D608="","",(VLOOKUP(D608,'DB technologies'!$N$294:$Y$306,2,FALSE)*'DB additional information '!$S$6/100*'DB additional information '!$T$6*VLOOKUP($C$607,'DB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R608" s="416" t="str">
        <f>IF(D608="","",(VLOOKUP(D608,'DB technologies'!$N$294:$Y$306,3,FALSE)*'DB additional information '!$S$7/100*'DB additional information '!$T$7*VLOOKUP($C$607,'DB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S608" s="491" t="str">
        <f>IF(D608="","",(VLOOKUP(D608,'DB technologies'!$N$294:$Y$306,4,FALSE)*('DB additional information '!$S$8/100*'DB additional information '!$T$8*E608/1000/1000)))</f>
        <v/>
      </c>
      <c r="T608" s="264" t="str">
        <f>IF($C$607=0,"",IF('Calc (ex-animal)'!$F$113=1,"",IF(D608="","",((VLOOKUP($C$607,'Calc (ex-animal)'!$D$113:$Y$117,10,FALSE)-VLOOKUP($C$607,'Calc (ex-animal)'!$D$113:$Y$117,18,FALSE))*F608/100+Q608+R608+S608)-AC608-AD608-AE608)))</f>
        <v/>
      </c>
      <c r="U608" s="422" t="str">
        <f>IF(D608="","",(VLOOKUP(D608,'DB technologies'!$N$294:$Y$306,2,FALSE)*'DB additional information '!$S$6/100*'DB additional information '!$U$6*VLOOKUP($C$607,'DB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V608" s="418" t="str">
        <f>IF(D608="","",(VLOOKUP(D608,'DB technologies'!$N$294:$Y$306,3,FALSE)*'DB additional information '!$S$7/100*'DB additional information '!$U$7*VLOOKUP($C$607,'DB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W608" s="417" t="str">
        <f>IF(D608="","",(VLOOKUP(D608,'DB technologies'!$N$294:$Y$306,4,FALSE)*('DB additional information '!$S$8/100*'DB additional information '!$U$8*E608/1000/1000)))</f>
        <v/>
      </c>
      <c r="X608" s="261" t="str">
        <f>IF($C$607=0,"",IF('Calc (ex-animal)'!$F$113=1,"",IF(D608="","",((VLOOKUP($C$607,'Calc (ex-animal)'!$D$113:$Y$117,13,FALSE)-VLOOKUP($C$607,'Calc (ex-animal)'!$D$113:$Y$117,19,FALSE))*F608/100+U608+V608+W608))))</f>
        <v/>
      </c>
      <c r="Y608" s="418" t="str">
        <f>IF(D608="","",(VLOOKUP(D608,'DB technologies'!$N$294:$Y$306,2,FALSE)*'DB additional information '!$S$6/100*'DB additional information '!$V$6*VLOOKUP($C$607,'DB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Z608" s="418" t="str">
        <f>IF(D608="","",(VLOOKUP(D608,'DB technologies'!$N$294:$Y$306,3,FALSE)*'DB additional information '!$S$7/100*'DB additional information '!$V$7*VLOOKUP($C$607,'DB animal categories'!$C$221:$AC$230,27,FALSE)*E608/1000/1000)/VLOOKUP($C$607,'DB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AA608" s="418" t="str">
        <f>IF(D608="","",(VLOOKUP(D608,'DB technologies'!$N$294:$Y$306,4,FALSE)*('DB additional information '!$S$8/100*'DB additional information '!$V$8*E608/1000/1000)))</f>
        <v/>
      </c>
      <c r="AB608" s="261" t="str">
        <f>IF($C$607=0,"",IF('Calc (ex-animal)'!$F$113=1,"",IF(D608="","",((VLOOKUP($C$607,'Calc (ex-animal)'!$D$113:$Y$117,16,FALSE)-VLOOKUP($C$607,'Calc (ex-animal)'!$D$113:$Y$117,20,FALSE))*F608/100+Y608+Z608+AA608))))</f>
        <v/>
      </c>
      <c r="AC608" s="261" t="str">
        <f>IF($C$607=0,"",IF('Calc (ex-animal)'!$F$113=1,"",IF(D608="","",VLOOKUP($C$607,'Calc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categories'!$C$221:$AC$230,26,FALSE)/24)*F608/100*VLOOKUP(D608,'DB technologies'!$N$294:$R$306,5,FALSE)/100)))</f>
        <v/>
      </c>
      <c r="AD608" s="261" t="str">
        <f>IF($C$607=0,"",IF('Calc (ex-animal)'!$F$113=1,"",IF(D608="","",VLOOKUP($C$607,'Calc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categories'!$C$221:$AC$230,26,FALSE)/24)*F608/100*VLOOKUP(D608,'DB technologies'!$N$294:$Y$306,6,FALSE)/100)))</f>
        <v/>
      </c>
      <c r="AE608" s="262" t="str">
        <f>IF($C$607=0,"",IF('Calc (ex-animal)'!$F$113=1,"",IF(D608="","",VLOOKUP($C$607,'Calc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categories'!$C$221:$AC$230,26,FALSE)/24)*F608/100*VLOOKUP(D608,'DB technologies'!$N$294:$Y$306,7,FALSE)/100)))</f>
        <v/>
      </c>
      <c r="AI608" s="181" t="str">
        <f>IF(D608="","",VLOOKUP(D608,'DB technologies'!$N$294:$Y$306,10,FALSE))</f>
        <v/>
      </c>
      <c r="AJ608" s="449" t="e">
        <f>VLOOKUP($C$607,'DB animal categories'!$C$221:$AN$230,27,FALSE)-VLOOKUP($C$607,'DB animal categories'!$C$221:$AN$230,26,FALSE)*VLOOKUP($C$607,'DB animal categories'!$C$221:$AN$230,25,FALSE)/24</f>
        <v>#N/A</v>
      </c>
      <c r="AK608" s="442" t="str">
        <f>IF(AI608="","",AL608+AM608)</f>
        <v/>
      </c>
      <c r="AL608" s="442" t="str">
        <f>IF(D608="","",IF(AI608=2,(('Calc (ex-animal)'!$G$113*'DB additional information '!$K$24/100*(1-VLOOKUP(D608,'DB technologies'!$N$294:$Y$306,9,FALSE)/100)*'Calc (ex-housing, ex-storage)'!F608/100+'Calc (ex-animal)'!$H$113*'DB additional information '!$L$24/100*(1-VLOOKUP(D608,'DB technologies'!$N$294:$Y$306,9,FALSE)/100)*'Calc (ex-housing, ex-storage)'!F608/100))/VLOOKUP($C$607,'DB animal categories'!$C$221:$AC$230,27,FALSE)*AJ608+I608+J608+K608,IF(AI608=1,('Calc (ex-animal)'!$H$113*'DB additional information '!$L$24/100*(1-VLOOKUP(D608,'DB technologies'!$N$294:$Y$306,9,FALSE)/100)*'Calc (ex-housing, ex-storage)'!F608/100)/VLOOKUP($C$607,'DB animal categories'!$C$221:$AC$230,27,FALSE)*AJ608,IF(AI608=4,('Calc (ex-animal)'!$G$113*'DB additional information '!$K$24/100+'Calc (ex-animal)'!$H$113*'DB additional information '!$L$24/100)*(1-VLOOKUP(D608,'DB technologies'!$N$294:$Y$306,9,FALSE)/100)*'Calc (ex-housing, ex-storage)'!F608/100*VLOOKUP(D608,'DB technologies'!$N$294:$Y$306,11,FALSE)/100/VLOOKUP($C$607,'DB animal categories'!$C$221:$AC$230,27,FALSE)*AJ608,0))))</f>
        <v/>
      </c>
      <c r="AM608" s="442" t="str">
        <f>IF(D608="","",IF(AI608=2,(('Calc (ex-animal)'!$G$113*(1-'DB additional information '!$K$24/100)*(1-VLOOKUP(D608,'DB technologies'!$N$294:$Y$306,8,FALSE)/100)*'Calc (ex-housing, ex-storage)'!F608/100+'Calc (ex-animal)'!$H$113*(1-'DB additional information '!$L$24/100)*(1-VLOOKUP(D608,'DB technologies'!$N$294:$Y$306,8,FALSE)/100)*'Calc (ex-housing, ex-storage)'!F608/100))/VLOOKUP($C$607,'DB animal categories'!$C$221:$AC$230,27,FALSE)*AJ608+M608+N608+O608,IF(AI608=1,('Calc (ex-animal)'!$H$113*(1-'DB additional information '!$L$24/100)*(1-VLOOKUP(D608,'DB technologies'!$N$294:$Y$306,8,FALSE)/100)*'Calc (ex-housing, ex-storage)'!F608/100)/VLOOKUP($C$607,'DB animal categories'!$C$221:$AC$230,27,FALSE)*AJ608,IF(AI608=4,('Calc (ex-animal)'!$G$113*(1-'DB additional information '!$K$24/100)+'Calc (ex-animal)'!$H$113*(1-'DB additional information '!$L$24/100))*(1-VLOOKUP(D608,'DB technologies'!$N$294:$Y$306,8,FALSE)/100)*'Calc (ex-housing, ex-storage)'!F608/100*VLOOKUP(D608,'DB technologies'!$N$294:$Y$306,11,FALSE)/100/VLOOKUP($C$607,'DB animal categories'!$C$221:$AC$230,27,FALSE)*AJ608,0))))</f>
        <v/>
      </c>
      <c r="AN608" s="442" t="str">
        <f>IF(AI608="","",IF(AL608=0,0,AL608/AK608*100))</f>
        <v/>
      </c>
      <c r="AO608" s="182" t="str">
        <f>IF(D608="","",IF(AI608=2,(('Calc (ex-animal)'!$L$113*'Calc (ex-housing, ex-storage)'!F608/100+'Calc (ex-animal)'!$K$113*'Calc (ex-housing, ex-storage)'!F608/100))/VLOOKUP($C$607,'DB animal categories'!$C$221:$AC$230,27,FALSE)*AJ608+Q608+R608+S608-AC608,IF(AI608=1,('Calc (ex-animal)'!$L$113*'Calc (ex-housing, ex-storage)'!F608/100)/VLOOKUP($C$607,'DB animal categories'!$C$221:$AC$230,27,FALSE)*AJ608-'Calc (ex-housing, ex-storage)'!AC608,IF(AI608=4,('Calc (ex-animal)'!$L$113+'Calc (ex-animal)'!$K$113)*'Calc (ex-housing, ex-storage)'!F608/100*VLOOKUP(D608,'DB technologies'!$N$294:$Y$306,11,FALSE)/100/VLOOKUP($C$607,'DB animal categories'!$C$221:$AC$230,27,FALSE)*AJ608-AC608*VLOOKUP(D608,'DB technologies'!$N$294:$Y$306,11,FALSE)/100,0))))</f>
        <v/>
      </c>
      <c r="AP608" s="182" t="str">
        <f>IF(D608="","",IF(AO608&lt;-0.01,0,IF(AI608=2,(('Calc (ex-animal)'!$L$113*'Calc (ex-housing, ex-storage)'!F608/100+'Calc (ex-animal)'!$K$113*'Calc (ex-housing, ex-storage)'!F608/100))/VLOOKUP($C$607,'DB animal categories'!$C$221:$AC$230,27,FALSE)*AJ608+Q608+R608+S608-AC608,IF(AI608=1,('Calc (ex-animal)'!$L$113*'Calc (ex-housing, ex-storage)'!F608/100)/VLOOKUP($C$607,'DB animal categories'!$C$221:$AC$230,27,FALSE)*AJ608-'Calc (ex-housing, ex-storage)'!AC608,IF(AI608=4,('Calc (ex-animal)'!$L$113+'Calc (ex-animal)'!$K$113)*'Calc (ex-housing, ex-storage)'!F608/100*VLOOKUP(D608,'DB technologies'!$N$294:$Y$306,11,FALSE)/100/VLOOKUP($C$607,'DB animal categories'!$C$221:$AC$230,27,FALSE)*AJ608-AC608*VLOOKUP(D608,'DB technologies'!$N$294:$Y$306,11,FALSE)/100,0)))))</f>
        <v/>
      </c>
      <c r="AQ608" s="182" t="str">
        <f>IF(D608="","",IF(AI608=2,('Calc (ex-animal)'!$O$113*'Calc (ex-housing, ex-storage)'!F608/100+'Calc (ex-animal)'!$N$113*'Calc (ex-housing, ex-storage)'!F608/100)/VLOOKUP($C$607,'DB animal categories'!$C$221:$AC$230,27,FALSE)*AJ608+U608+V608+W608,IF(AI608=1,'Calc (ex-animal)'!$O$113*'Calc (ex-housing, ex-storage)'!F608/100/VLOOKUP($C$607,'DB animal categories'!$C$221:$AC$230,27,FALSE)*AJ608,IF(AI608=4,('Calc (ex-animal)'!$O$113+'Calc (ex-animal)'!$N$113)*'Calc (ex-housing, ex-storage)'!F608/100*VLOOKUP(D608,'DB technologies'!$N$294:$Y$306,11,FALSE)/100/VLOOKUP($C$607,'DB animal categories'!$C$221:$AC$230,27,FALSE)*AJ608,0))))</f>
        <v/>
      </c>
      <c r="AR608" s="182" t="str">
        <f>IF(D608="","",IF(AI608=2,('Calc (ex-animal)'!$R$113*'Calc (ex-housing, ex-storage)'!F608/100+'Calc (ex-animal)'!$Q$113*'Calc (ex-housing, ex-storage)'!F608/100)/VLOOKUP($C$607,'DB animal categories'!$C$221:$AC$230,27,FALSE)*AJ608+Y608+Z608+AA608,IF(AI608=1,'Calc (ex-animal)'!$R$113*'Calc (ex-housing, ex-storage)'!F608/100/VLOOKUP($C$607,'DB animal categories'!$C$221:$AC$230,27,FALSE)*AJ608,IF(AI608=4,('Calc (ex-animal)'!$R$113+'Calc (ex-animal)'!$Q$113)*'Calc (ex-housing, ex-storage)'!F608/100*VLOOKUP(D608,'DB technologies'!$N$294:$Y$306,11,FALSE)/100/VLOOKUP($C$607,'DB animal categories'!$C$221:$AC$230,27,FALSE)*AJ608,0))))</f>
        <v/>
      </c>
      <c r="AS608" s="181" t="str">
        <f>IF(D608="","",VLOOKUP(D608,'DB technologies'!$N$294:$Y$306,10,FALSE))</f>
        <v/>
      </c>
      <c r="AT608" s="442" t="str">
        <f>IF(AS608="","",AU608+AV608)</f>
        <v/>
      </c>
      <c r="AU608" s="442" t="str">
        <f>IF(D608="","",IF(AS608=2,0,IF(AS608=1,'Calc (ex-animal)'!$G$113*'DB additional information '!$K$24/100*(1-VLOOKUP(D608,'DB technologies'!$N$294:$Y$306,8,FALSE)/100)*'Calc (ex-housing, ex-storage)'!F608/100/VLOOKUP($C$607,'DB animal categories'!$C$221:$AC$230,27,FALSE)*AJ608+I608+J608+K608,IF(AS608=5,(('Calc (ex-animal)'!$G$113*'DB additional information '!$K$24/100+'Calc (ex-animal)'!$H$113*'DB additional information '!$L$24/100))*(1-VLOOKUP(D608,'DB technologies'!$N$294:$Y$306,9,FALSE)/100)*'Calc (ex-housing, ex-storage)'!F608/100/VLOOKUP($C$607,'DB animal categories'!$C$221:$AC$230,27,FALSE)*AJ608+I608+J608+K608,IF(AS608=3,('Calc (ex-animal)'!$G$113*'DB additional information '!$K$24/100+'Calc (ex-animal)'!$H$113*'DB additional information '!$L$24/100)*(1-VLOOKUP(D608,'DB technologies'!$N$294:$Y$306,9,FALSE)/100)*'Calc (ex-housing, ex-storage)'!F608/100/VLOOKUP($C$607,'DB animal categories'!$C$221:$AC$230,27,FALSE)*AJ608+I608+J608+K608,IF(AS608=4,('Calc (ex-animal)'!$G$113*'DB additional information '!$K$24/100+'Calc (ex-animal)'!$H$113*'DB additional information '!$L$24/100)*(1-VLOOKUP(D608,'DB technologies'!$N$294:$Y$306,9,FALSE)/100)*'Calc (ex-housing, ex-storage)'!F608/100*VLOOKUP(D608,'DB technologies'!$N$294:$Y$306,12,FALSE)/100/VLOOKUP($C$607,'DB animal categories'!$C$221:$AC$230,27,FALSE)*AJ608+I608+J608+K608,0))))))</f>
        <v/>
      </c>
      <c r="AV608" s="442" t="str">
        <f>IF(D608="","",IF(AS608=2,0,IF(AS608=1,'Calc (ex-animal)'!$G$113*(1-'DB additional information '!$K$24/100)*(1-VLOOKUP(D608,'DB technologies'!$N$294:$Y$306,8,FALSE)/100)*'Calc (ex-housing, ex-storage)'!F608/100/VLOOKUP($C$607,'DB animal categories'!$C$221:$AC$230,27,FALSE)*AJ608+M608+N608+O608,IF(AS608=5,('Calc (ex-animal)'!$G$113*(1-'DB additional information '!$K$24/100)+'Calc (ex-animal)'!$H$113*(1-'DB additional information '!$L$24/100))*(1-VLOOKUP(D608,'DB technologies'!$N$294:$Y$306,8,FALSE)/100)*'Calc (ex-housing, ex-storage)'!F608/100/VLOOKUP($C$607,'DB animal categories'!$C$221:$AC$230,27,FALSE)*AJ608+M608+N608+O608,IF(AS608=3,('Calc (ex-animal)'!$G$113*(1-'DB additional information '!$K$24/100)+'Calc (ex-animal)'!$H$113*(1-'DB additional information '!$L$24/100))*(1-VLOOKUP(D608,'DB technologies'!$N$294:$Y$306,8,FALSE)/100)*'Calc (ex-housing, ex-storage)'!F608/100/VLOOKUP($C$607,'DB animal categories'!$C$221:$AC$230,27,FALSE)*AJ608+M608+N608+O608,IF(AS608=4,('Calc (ex-animal)'!$G$113*(1-'DB additional information '!$K$24/100)+'Calc (ex-animal)'!$H$113*(1-'DB additional information '!$L$24/100))*(1-VLOOKUP(D608,'DB technologies'!$N$294:$Y$306,8,FALSE)/100)*'Calc (ex-housing, ex-storage)'!F608/100*VLOOKUP(D608,'DB technologies'!$N$294:$Y$306,12,FALSE)/100/VLOOKUP($C$607,'DB animal categories'!$C$221:$AC$230,27,FALSE)*AJ608+M608+N608+O608,0))))))</f>
        <v/>
      </c>
      <c r="AW608" s="442" t="str">
        <f>IF(AS608="","",IF(AU608=0,0,AU608/AT608*100))</f>
        <v/>
      </c>
      <c r="AX608" s="182" t="str">
        <f>IF(D608="","",IF(AS608=2,0,IF(AS608=1,'Calc (ex-animal)'!$K$113*'Calc (ex-housing, ex-storage)'!F608/100/VLOOKUP($C$607,'DB animal categories'!$C$221:$AC$230,27,FALSE)*AJ608+Q608+R608+S608,IF(AS608=5,('Calc (ex-animal)'!$K$113+'Calc (ex-animal)'!$L$113)*'Calc (ex-housing, ex-storage)'!F608/100/VLOOKUP($C$607,'DB animal categories'!$C$221:$AC$230,27,FALSE)*AJ608+Q608+R608+S608-'Calc (ex-housing, ex-storage)'!AC608,IF(AS608=3,('Calc (ex-animal)'!$K$113+'Calc (ex-animal)'!$L$113)*'Calc (ex-housing, ex-storage)'!F608/100/VLOOKUP($C$607,'DB animal categories'!$C$221:$AC$230,27,FALSE)*AJ608+Q608+R608+S608-'Calc (ex-housing, ex-storage)'!AC608-AD608-AE608,IF(AI608=4,('Calc (ex-animal)'!$K$113+'Calc (ex-animal)'!$L$113)*'Calc (ex-housing, ex-storage)'!F608/100*VLOOKUP(D608,'DB technologies'!$N$294:$Y$306,12,FALSE)/100/VLOOKUP($C$607,'DB animal categories'!$C$221:$AC$230,27,FALSE)*AJ608+Q608+R608+S608-(VLOOKUP(D608,'DB technologies'!$N$294:$Y$306,12,FALSE)/100*AC608)-AD608-AE608,0))))))</f>
        <v/>
      </c>
      <c r="AY608" s="182" t="str">
        <f>IF(D608="","",IF(AS608=2,0,IF(AS608=1,'Calc (ex-animal)'!$N$113*'Calc (ex-housing, ex-storage)'!F608/100/VLOOKUP($C$607,'DB animal categories'!$C$221:$AC$230,27,FALSE)*AJ608+U608+V608+W608,IF(AS608=5,('Calc (ex-animal)'!$N$113+'Calc (ex-animal)'!$O$113)*'Calc (ex-housing, ex-storage)'!F608/100/VLOOKUP($C$607,'DB animal categories'!$C$221:$AC$230,27,FALSE)*AJ608+U608+V608+W608,IF(AS608=3,('Calc (ex-animal)'!$N$113+'Calc (ex-animal)'!$O$113)*'Calc (ex-housing, ex-storage)'!F608/100/VLOOKUP($C$607,'DB animal categories'!$C$221:$AC$230,27,FALSE)*AJ608+U608+V608+W608,IF(AS608=4,('Calc (ex-animal)'!$N$113+'Calc (ex-animal)'!$O$113)*'Calc (ex-housing, ex-storage)'!F608/100*VLOOKUP(D608,'DB technologies'!$N$294:$Y$306,12,FALSE)/100/VLOOKUP($C$607,'DB animal categories'!$C$221:$AC$230,27,FALSE)*AJ608+U608+V608+W608,0))))))</f>
        <v/>
      </c>
      <c r="AZ608" s="182" t="str">
        <f>IF(D608="","",IF(AS608=2,0,IF(AS608=1,'Calc (ex-animal)'!$Q$113*'Calc (ex-housing, ex-storage)'!F608/100/VLOOKUP($C$607,'DB animal categories'!$C$221:$AC$230,27,FALSE)*AJ608+Y608+Z608+AA608,IF(AS608=5,('Calc (ex-animal)'!$Q$113+'Calc (ex-animal)'!$R$113)*'Calc (ex-housing, ex-storage)'!F608/100/VLOOKUP($C$607,'DB animal categories'!$C$221:$AC$230,27,FALSE)*AJ608+Y608+Z608+AA608,IF(AS608=3,('Calc (ex-animal)'!$Q$113+'Calc (ex-animal)'!$R$113)*'Calc (ex-housing, ex-storage)'!F608/100/VLOOKUP($C$607,'DB animal categories'!$C$221:$AC$230,27,FALSE)*AJ608+Y608+Z608+AA608,IF(AS608=4,('Calc (ex-animal)'!$Q$113+'Calc (ex-animal)'!$R$113)*'Calc (ex-housing, ex-storage)'!F608/100*VLOOKUP(D608,'DB technologies'!$N$294:$Y$306,12,FALSE)/100/VLOOKUP($C$607,'DB animal categories'!$C$221:$AC$230,27,FALSE)*AJ608+Y608+Z608+AA608,0))))))</f>
        <v/>
      </c>
      <c r="BA608" s="506"/>
      <c r="BB608" s="506"/>
      <c r="BC608" s="506"/>
    </row>
    <row r="609" spans="1:55" x14ac:dyDescent="0.2">
      <c r="A609" s="748"/>
      <c r="B609" s="695"/>
      <c r="C609" s="255"/>
      <c r="D609" s="1357"/>
      <c r="E609" s="1358"/>
      <c r="F609" s="480" t="str">
        <f>IF('Calc (ex-animal)'!$F$113=1,"",IF($C$607=0,"",IF(D609="","",E609/'Calc (ex-animal)'!$E$113*100)))</f>
        <v/>
      </c>
      <c r="G609" s="485" t="str">
        <f>IF($C$607=0,"",IF('Calc (ex-animal)'!$F$113=1,"",IF(D609="","",SUM(H609:O609))))</f>
        <v/>
      </c>
      <c r="H609" s="423" t="str">
        <f>IF('Calc (ex-animal)'!$F$113=1,"",IF(D609="","",(((VLOOKUP($C$607,'Calc (ex-animal)'!$D$113:$Y$117,6,FALSE)-VLOOKUP($C$607,'Calc (ex-animal)'!$D$113:$Y$117,17,FALSE))*F609/100))*VLOOKUP($C$607,'Calc (ex-animal)'!$D$113:$Y$117,7,FALSE)/100*(1-VLOOKUP(D609,'DB technologies'!$N$294:$Y$306,9,FALSE)/100)))</f>
        <v/>
      </c>
      <c r="I609" s="423" t="str">
        <f>IF(D609="","",((VLOOKUP(D609,'DB technologies'!$N$294:$Y$306,2,FALSE)*VLOOKUP($C$607,'DB animal categories'!$C$221:$AC$230,27,FALSE)*E609/1000)/VLOOKUP($C$607,'DB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'!$S$6/100*(1-VLOOKUP(D609,'DB technologies'!$N$294:$Y$306,9,FALSE)/100)))</f>
        <v/>
      </c>
      <c r="J609" s="434" t="str">
        <f>IF(D609="","",((VLOOKUP(D609,'DB technologies'!$N$294:$Y$306,3,FALSE)*VLOOKUP($C$607,'DB animal categories'!$C$221:$AC$230,27,FALSE)*E609/1000)/VLOOKUP($C$607,'DB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'!$S$7/100*(1-VLOOKUP(D609,'DB technologies'!$N$294:$Y$306,9,FALSE)/100)))</f>
        <v/>
      </c>
      <c r="K609" s="434" t="str">
        <f>IF(D609="","",((VLOOKUP(D609,'DB technologies'!$N$294:$Y$306,4,FALSE)*E609*'DB additional information '!$S$8/100*(1-VLOOKUP(D609,'DB technologies'!$N$294:$Y$306,9,FALSE)/100))/VLOOKUP($C$607,'DB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L609" s="423" t="str">
        <f>IF('Calc (ex-animal)'!$F$113=1,"",IF(D609="","",(((VLOOKUP($C$607,'Calc (ex-animal)'!$D$113:$Y$117,6,FALSE)-VLOOKUP($C$607,'Calc (ex-animal)'!$D$113:$Y$117,17,FALSE))*F609/100))*(1-VLOOKUP($C$607,'Calc (ex-animal)'!$D$113:$Y$117,7,FALSE)/100)*(1-VLOOKUP(D609,'DB technologies'!$N$294:$V$306,8,FALSE)/100)))</f>
        <v/>
      </c>
      <c r="M609" s="434" t="str">
        <f>IF(D609="","",((VLOOKUP(D609,'DB technologies'!$N$294:$Y$306,2,FALSE)*VLOOKUP($C$607,'DB animal categories'!$C$221:$AC$230,27,FALSE)*E609/1000)/VLOOKUP($C$607,'DB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'!$S$6/100)*(1-VLOOKUP(D609,'DB technologies'!$N$294:$Y$306,9,FALSE)/100))</f>
        <v/>
      </c>
      <c r="N609" s="434" t="str">
        <f>IF(D609="","",((VLOOKUP(D609,'DB technologies'!$N$294:$Y$306,3,FALSE)*VLOOKUP($C$607,'DB animal categories'!$C$221:$AC$230,27,FALSE)*E609/1000)/VLOOKUP($C$607,'DB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'!$S$7/100)*(1-VLOOKUP(D609,'DB technologies'!$N$294:$Y$306,9,FALSE)/100))</f>
        <v/>
      </c>
      <c r="O609" s="423" t="str">
        <f>IF(D609="","",((VLOOKUP(D609,'DB technologies'!$N$294:$Y$306,4,FALSE)*E609*(1-'DB additional information '!$S$8/100)*(1-VLOOKUP(D609,'DB technologies'!$N$294:$Y$306,8,FALSE)/100))/VLOOKUP($C$607,'DB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P609" s="438" t="str">
        <f>IF(G609=0,0,IF(E609="","",IF(F609="","",IF($C$607=0,"",IF(D609="","",SUM(H609:K609)/G609*100)))))</f>
        <v/>
      </c>
      <c r="Q609" s="416" t="str">
        <f>IF(D609="","",(VLOOKUP(D609,'DB technologies'!$N$294:$Y$306,2,FALSE)*'DB additional information '!$S$6/100*'DB additional information '!$T$6*VLOOKUP($C$607,'DB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R609" s="416" t="str">
        <f>IF(D609="","",(VLOOKUP(D609,'DB technologies'!$N$294:$Y$306,3,FALSE)*'DB additional information '!$S$7/100*'DB additional information '!$T$7*VLOOKUP($C$607,'DB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S609" s="491" t="str">
        <f>IF(D609="","",(VLOOKUP(D609,'DB technologies'!$N$294:$Y$306,4,FALSE)*('DB additional information '!$S$8/100*'DB additional information '!$T$8*E609/1000/1000)))</f>
        <v/>
      </c>
      <c r="T609" s="264" t="str">
        <f>IF($C$607=0,"",IF('Calc (ex-animal)'!$F$113=1,"",IF(D609="","",((VLOOKUP($C$607,'Calc (ex-animal)'!$D$113:$Y$117,10,FALSE)-VLOOKUP($C$607,'Calc (ex-animal)'!$D$113:$Y$117,18,FALSE))*F609/100+Q609+R609+S609)-AC609-AD609-AE609)))</f>
        <v/>
      </c>
      <c r="U609" s="422" t="str">
        <f>IF(D609="","",(VLOOKUP(D609,'DB technologies'!$N$294:$Y$306,2,FALSE)*'DB additional information '!$S$6/100*'DB additional information '!$U$6*VLOOKUP($C$607,'DB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V609" s="418" t="str">
        <f>IF(D609="","",(VLOOKUP(D609,'DB technologies'!$N$294:$Y$306,3,FALSE)*'DB additional information '!$S$7/100*'DB additional information '!$U$7*VLOOKUP($C$607,'DB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W609" s="417" t="str">
        <f>IF(D609="","",(VLOOKUP(D609,'DB technologies'!$N$294:$Y$306,4,FALSE)*('DB additional information '!$S$8/100*'DB additional information '!$U$8*E609/1000/1000)))</f>
        <v/>
      </c>
      <c r="X609" s="261" t="str">
        <f>IF($C$607=0,"",IF('Calc (ex-animal)'!$F$113=1,"",IF(D609="","",((VLOOKUP($C$607,'Calc (ex-animal)'!$D$113:$Y$117,13,FALSE)-VLOOKUP($C$607,'Calc (ex-animal)'!$D$113:$Y$117,19,FALSE))*F609/100+U609+V609+W609))))</f>
        <v/>
      </c>
      <c r="Y609" s="418" t="str">
        <f>IF(D609="","",(VLOOKUP(D609,'DB technologies'!$N$294:$Y$306,2,FALSE)*'DB additional information '!$S$6/100*'DB additional information '!$V$6*VLOOKUP($C$607,'DB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Z609" s="418" t="str">
        <f>IF(D609="","",(VLOOKUP(D609,'DB technologies'!$N$294:$Y$306,3,FALSE)*'DB additional information '!$S$7/100*'DB additional information '!$V$7*VLOOKUP($C$607,'DB animal categories'!$C$221:$AC$230,27,FALSE)*E609/1000/1000)/VLOOKUP($C$607,'DB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AA609" s="418" t="str">
        <f>IF(D609="","",(VLOOKUP(D609,'DB technologies'!$N$294:$Y$306,4,FALSE)*('DB additional information '!$S$8/100*'DB additional information '!$V$8*E609/1000/1000)))</f>
        <v/>
      </c>
      <c r="AB609" s="261" t="str">
        <f>IF($C$607=0,"",IF('Calc (ex-animal)'!$F$113=1,"",IF(D609="","",((VLOOKUP($C$607,'Calc (ex-animal)'!$D$113:$Y$117,16,FALSE)-VLOOKUP($C$607,'Calc (ex-animal)'!$D$113:$Y$117,20,FALSE))*F609/100+Y609+Z609+AA609))))</f>
        <v/>
      </c>
      <c r="AC609" s="261" t="str">
        <f>IF($C$607=0,"",IF('Calc (ex-animal)'!$F$113=1,"",IF(D609="","",VLOOKUP($C$607,'Calc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categories'!$C$221:$AC$230,26,FALSE)/24)*F609/100*VLOOKUP(D609,'DB technologies'!$N$294:$R$306,5,FALSE)/100)))</f>
        <v/>
      </c>
      <c r="AD609" s="261" t="str">
        <f>IF($C$607=0,"",IF('Calc (ex-animal)'!$F$113=1,"",IF(D609="","",VLOOKUP($C$607,'Calc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categories'!$C$221:$AC$230,26,FALSE)/24)*F609/100*VLOOKUP(D609,'DB technologies'!$N$294:$Y$306,6,FALSE)/100)))</f>
        <v/>
      </c>
      <c r="AE609" s="262" t="str">
        <f>IF($C$607=0,"",IF('Calc (ex-animal)'!$F$113=1,"",IF(D609="","",VLOOKUP($C$607,'Calc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categories'!$C$221:$AC$230,26,FALSE)/24)*F609/100*VLOOKUP(D609,'DB technologies'!$N$294:$Y$306,7,FALSE)/100)))</f>
        <v/>
      </c>
      <c r="AI609" s="181" t="str">
        <f>IF(D609="","",VLOOKUP(D609,'DB technologies'!$N$294:$Y$306,10,FALSE))</f>
        <v/>
      </c>
      <c r="AJ609" s="449" t="e">
        <f>VLOOKUP($C$607,'DB animal categories'!$C$221:$AN$230,27,FALSE)-VLOOKUP($C$607,'DB animal categories'!$C$221:$AN$230,26,FALSE)*VLOOKUP($C$607,'DB animal categories'!$C$221:$AN$230,25,FALSE)/24</f>
        <v>#N/A</v>
      </c>
      <c r="AK609" s="442" t="str">
        <f>IF(AI609="","",AL609+AM609)</f>
        <v/>
      </c>
      <c r="AL609" s="442" t="str">
        <f>IF(D609="","",IF(AI609=2,(('Calc (ex-animal)'!$G$113*'DB additional information '!$K$24/100*(1-VLOOKUP(D609,'DB technologies'!$N$294:$Y$306,9,FALSE)/100)*'Calc (ex-housing, ex-storage)'!F609/100+'Calc (ex-animal)'!$H$113*'DB additional information '!$L$24/100*(1-VLOOKUP(D609,'DB technologies'!$N$294:$Y$306,9,FALSE)/100)*'Calc (ex-housing, ex-storage)'!F609/100))/VLOOKUP($C$607,'DB animal categories'!$C$221:$AC$230,27,FALSE)*AJ609+I609+J609+K609,IF(AI609=1,('Calc (ex-animal)'!$H$113*'DB additional information '!$L$24/100*(1-VLOOKUP(D609,'DB technologies'!$N$294:$Y$306,9,FALSE)/100)*'Calc (ex-housing, ex-storage)'!F609/100)/VLOOKUP($C$607,'DB animal categories'!$C$221:$AC$230,27,FALSE)*AJ609,IF(AI609=4,('Calc (ex-animal)'!$G$113*'DB additional information '!$K$24/100+'Calc (ex-animal)'!$H$113*'DB additional information '!$L$24/100)*(1-VLOOKUP(D609,'DB technologies'!$N$294:$Y$306,9,FALSE)/100)*'Calc (ex-housing, ex-storage)'!F609/100*VLOOKUP(D609,'DB technologies'!$N$294:$Y$306,11,FALSE)/100/VLOOKUP($C$607,'DB animal categories'!$C$221:$AC$230,27,FALSE)*AJ609,0))))</f>
        <v/>
      </c>
      <c r="AM609" s="442" t="str">
        <f>IF(D609="","",IF(AI609=2,(('Calc (ex-animal)'!$G$113*(1-'DB additional information '!$K$24/100)*(1-VLOOKUP(D609,'DB technologies'!$N$294:$Y$306,8,FALSE)/100)*'Calc (ex-housing, ex-storage)'!F609/100+'Calc (ex-animal)'!$H$113*(1-'DB additional information '!$L$24/100)*(1-VLOOKUP(D609,'DB technologies'!$N$294:$Y$306,8,FALSE)/100)*'Calc (ex-housing, ex-storage)'!F609/100))/VLOOKUP($C$607,'DB animal categories'!$C$221:$AC$230,27,FALSE)*AJ609+M609+N609+O609,IF(AI609=1,('Calc (ex-animal)'!$H$113*(1-'DB additional information '!$L$24/100)*(1-VLOOKUP(D609,'DB technologies'!$N$294:$Y$306,8,FALSE)/100)*'Calc (ex-housing, ex-storage)'!F609/100)/VLOOKUP($C$607,'DB animal categories'!$C$221:$AC$230,27,FALSE)*AJ609,IF(AI609=4,('Calc (ex-animal)'!$G$113*(1-'DB additional information '!$K$24/100)+'Calc (ex-animal)'!$H$113*(1-'DB additional information '!$L$24/100))*(1-VLOOKUP(D609,'DB technologies'!$N$294:$Y$306,8,FALSE)/100)*'Calc (ex-housing, ex-storage)'!F609/100*VLOOKUP(D609,'DB technologies'!$N$294:$Y$306,11,FALSE)/100/VLOOKUP($C$607,'DB animal categories'!$C$221:$AC$230,27,FALSE)*AJ609,0))))</f>
        <v/>
      </c>
      <c r="AN609" s="442" t="str">
        <f>IF(AI609="","",IF(AL609=0,0,AL609/AK609*100))</f>
        <v/>
      </c>
      <c r="AO609" s="182" t="str">
        <f>IF(D609="","",IF(AI609=2,(('Calc (ex-animal)'!$L$113*'Calc (ex-housing, ex-storage)'!F609/100+'Calc (ex-animal)'!$K$113*'Calc (ex-housing, ex-storage)'!F609/100))/VLOOKUP($C$607,'DB animal categories'!$C$221:$AC$230,27,FALSE)*AJ609+Q609+R609+S609-AC609,IF(AI609=1,('Calc (ex-animal)'!$L$113*'Calc (ex-housing, ex-storage)'!F609/100)/VLOOKUP($C$607,'DB animal categories'!$C$221:$AC$230,27,FALSE)*AJ609-'Calc (ex-housing, ex-storage)'!AC609,IF(AI609=4,('Calc (ex-animal)'!$L$113+'Calc (ex-animal)'!$K$113)*'Calc (ex-housing, ex-storage)'!F609/100*VLOOKUP(D609,'DB technologies'!$N$294:$Y$306,11,FALSE)/100/VLOOKUP($C$607,'DB animal categories'!$C$221:$AC$230,27,FALSE)*AJ609-AC609*VLOOKUP(D609,'DB technologies'!$N$294:$Y$306,11,FALSE)/100,0))))</f>
        <v/>
      </c>
      <c r="AP609" s="182" t="str">
        <f>IF(D609="","",IF(AO609&lt;-0.01,0,IF(AI609=2,(('Calc (ex-animal)'!$L$113*'Calc (ex-housing, ex-storage)'!F609/100+'Calc (ex-animal)'!$K$113*'Calc (ex-housing, ex-storage)'!F609/100))/VLOOKUP($C$607,'DB animal categories'!$C$221:$AC$230,27,FALSE)*AJ609+Q609+R609+S609-AC609,IF(AI609=1,('Calc (ex-animal)'!$L$113*'Calc (ex-housing, ex-storage)'!F609/100)/VLOOKUP($C$607,'DB animal categories'!$C$221:$AC$230,27,FALSE)*AJ609-'Calc (ex-housing, ex-storage)'!AC609,IF(AI609=4,('Calc (ex-animal)'!$L$113+'Calc (ex-animal)'!$K$113)*'Calc (ex-housing, ex-storage)'!F609/100*VLOOKUP(D609,'DB technologies'!$N$294:$Y$306,11,FALSE)/100/VLOOKUP($C$607,'DB animal categories'!$C$221:$AC$230,27,FALSE)*AJ609-AC609*VLOOKUP(D609,'DB technologies'!$N$294:$Y$306,11,FALSE)/100,0)))))</f>
        <v/>
      </c>
      <c r="AQ609" s="182" t="str">
        <f>IF(D609="","",IF(AI609=2,('Calc (ex-animal)'!$O$113*'Calc (ex-housing, ex-storage)'!F609/100+'Calc (ex-animal)'!$N$113*'Calc (ex-housing, ex-storage)'!F609/100)/VLOOKUP($C$607,'DB animal categories'!$C$221:$AC$230,27,FALSE)*AJ609+U609+V609+W609,IF(AI609=1,'Calc (ex-animal)'!$O$113*'Calc (ex-housing, ex-storage)'!F609/100/VLOOKUP($C$607,'DB animal categories'!$C$221:$AC$230,27,FALSE)*AJ609,IF(AI609=4,('Calc (ex-animal)'!$O$113+'Calc (ex-animal)'!$N$113)*'Calc (ex-housing, ex-storage)'!F609/100*VLOOKUP(D609,'DB technologies'!$N$294:$Y$306,11,FALSE)/100/VLOOKUP($C$607,'DB animal categories'!$C$221:$AC$230,27,FALSE)*AJ609,0))))</f>
        <v/>
      </c>
      <c r="AR609" s="182" t="str">
        <f>IF(D609="","",IF(AI609=2,('Calc (ex-animal)'!$R$113*'Calc (ex-housing, ex-storage)'!F609/100+'Calc (ex-animal)'!$Q$113*'Calc (ex-housing, ex-storage)'!F609/100)/VLOOKUP($C$607,'DB animal categories'!$C$221:$AC$230,27,FALSE)*AJ609+Y609+Z609+AA609,IF(AI609=1,'Calc (ex-animal)'!$R$113*'Calc (ex-housing, ex-storage)'!F609/100/VLOOKUP($C$607,'DB animal categories'!$C$221:$AC$230,27,FALSE)*AJ609,IF(AI609=4,('Calc (ex-animal)'!$R$113+'Calc (ex-animal)'!$Q$113)*'Calc (ex-housing, ex-storage)'!F609/100*VLOOKUP(D609,'DB technologies'!$N$294:$Y$306,11,FALSE)/100/VLOOKUP($C$607,'DB animal categories'!$C$221:$AC$230,27,FALSE)*AJ609,0))))</f>
        <v/>
      </c>
      <c r="AS609" s="181" t="str">
        <f>IF(D609="","",VLOOKUP(D609,'DB technologies'!$N$294:$Y$306,10,FALSE))</f>
        <v/>
      </c>
      <c r="AT609" s="442" t="str">
        <f>IF(AS609="","",AU609+AV609)</f>
        <v/>
      </c>
      <c r="AU609" s="442" t="str">
        <f>IF(D609="","",IF(AS609=2,0,IF(AS609=1,'Calc (ex-animal)'!$G$113*'DB additional information '!$K$24/100*(1-VLOOKUP(D609,'DB technologies'!$N$294:$Y$306,8,FALSE)/100)*'Calc (ex-housing, ex-storage)'!F609/100/VLOOKUP($C$607,'DB animal categories'!$C$221:$AC$230,27,FALSE)*AJ609+I609+J609+K609,IF(AS609=5,(('Calc (ex-animal)'!$G$113*'DB additional information '!$K$24/100+'Calc (ex-animal)'!$H$113*'DB additional information '!$L$24/100))*(1-VLOOKUP(D609,'DB technologies'!$N$294:$Y$306,9,FALSE)/100)*'Calc (ex-housing, ex-storage)'!F609/100/VLOOKUP($C$607,'DB animal categories'!$C$221:$AC$230,27,FALSE)*AJ609+I609+J609+K609,IF(AS609=3,('Calc (ex-animal)'!$G$113*'DB additional information '!$K$24/100+'Calc (ex-animal)'!$H$113*'DB additional information '!$L$24/100)*(1-VLOOKUP(D609,'DB technologies'!$N$294:$Y$306,9,FALSE)/100)*'Calc (ex-housing, ex-storage)'!F609/100/VLOOKUP($C$607,'DB animal categories'!$C$221:$AC$230,27,FALSE)*AJ609+I609+J609+K609,IF(AS609=4,('Calc (ex-animal)'!$G$113*'DB additional information '!$K$24/100+'Calc (ex-animal)'!$H$113*'DB additional information '!$L$24/100)*(1-VLOOKUP(D609,'DB technologies'!$N$294:$Y$306,9,FALSE)/100)*'Calc (ex-housing, ex-storage)'!F609/100*VLOOKUP(D609,'DB technologies'!$N$294:$Y$306,12,FALSE)/100/VLOOKUP($C$607,'DB animal categories'!$C$221:$AC$230,27,FALSE)*AJ609+I609+J609+K609,0))))))</f>
        <v/>
      </c>
      <c r="AV609" s="442" t="str">
        <f>IF(D609="","",IF(AS609=2,0,IF(AS609=1,'Calc (ex-animal)'!$G$113*(1-'DB additional information '!$K$24/100)*(1-VLOOKUP(D609,'DB technologies'!$N$294:$Y$306,8,FALSE)/100)*'Calc (ex-housing, ex-storage)'!F609/100/VLOOKUP($C$607,'DB animal categories'!$C$221:$AC$230,27,FALSE)*AJ609+M609+N609+O609,IF(AS609=5,('Calc (ex-animal)'!$G$113*(1-'DB additional information '!$K$24/100)+'Calc (ex-animal)'!$H$113*(1-'DB additional information '!$L$24/100))*(1-VLOOKUP(D609,'DB technologies'!$N$294:$Y$306,8,FALSE)/100)*'Calc (ex-housing, ex-storage)'!F609/100/VLOOKUP($C$607,'DB animal categories'!$C$221:$AC$230,27,FALSE)*AJ609+M609+N609+O609,IF(AS609=3,('Calc (ex-animal)'!$G$113*(1-'DB additional information '!$K$24/100)+'Calc (ex-animal)'!$H$113*(1-'DB additional information '!$L$24/100))*(1-VLOOKUP(D609,'DB technologies'!$N$294:$Y$306,8,FALSE)/100)*'Calc (ex-housing, ex-storage)'!F609/100/VLOOKUP($C$607,'DB animal categories'!$C$221:$AC$230,27,FALSE)*AJ609+M609+N609+O609,IF(AS609=4,('Calc (ex-animal)'!$G$113*(1-'DB additional information '!$K$24/100)+'Calc (ex-animal)'!$H$113*(1-'DB additional information '!$L$24/100))*(1-VLOOKUP(D609,'DB technologies'!$N$294:$Y$306,8,FALSE)/100)*'Calc (ex-housing, ex-storage)'!F609/100*VLOOKUP(D609,'DB technologies'!$N$294:$Y$306,12,FALSE)/100/VLOOKUP($C$607,'DB animal categories'!$C$221:$AC$230,27,FALSE)*AJ609+M609+N609+O609,0))))))</f>
        <v/>
      </c>
      <c r="AW609" s="442" t="str">
        <f>IF(AS609="","",IF(AU609=0,0,AU609/AT609*100))</f>
        <v/>
      </c>
      <c r="AX609" s="182" t="str">
        <f>IF(D609="","",IF(AS609=2,0,IF(AS609=1,'Calc (ex-animal)'!$K$113*'Calc (ex-housing, ex-storage)'!F609/100/VLOOKUP($C$607,'DB animal categories'!$C$221:$AC$230,27,FALSE)*AJ609+Q609+R609+S609,IF(AS609=5,('Calc (ex-animal)'!$K$113+'Calc (ex-animal)'!$L$113)*'Calc (ex-housing, ex-storage)'!F609/100/VLOOKUP($C$607,'DB animal categories'!$C$221:$AC$230,27,FALSE)*AJ609+Q609+R609+S609-'Calc (ex-housing, ex-storage)'!AC609,IF(AS609=3,('Calc (ex-animal)'!$K$113+'Calc (ex-animal)'!$L$113)*'Calc (ex-housing, ex-storage)'!F609/100/VLOOKUP($C$607,'DB animal categories'!$C$221:$AC$230,27,FALSE)*AJ609+Q609+R609+S609-'Calc (ex-housing, ex-storage)'!AC609-AD609-AE609,IF(AI609=4,('Calc (ex-animal)'!$K$113+'Calc (ex-animal)'!$L$113)*'Calc (ex-housing, ex-storage)'!F609/100*VLOOKUP(D609,'DB technologies'!$N$294:$Y$306,12,FALSE)/100/VLOOKUP($C$607,'DB animal categories'!$C$221:$AC$230,27,FALSE)*AJ609+Q609+R609+S609-(VLOOKUP(D609,'DB technologies'!$N$294:$Y$306,12,FALSE)/100*AC609)-AD609-AE609,0))))))</f>
        <v/>
      </c>
      <c r="AY609" s="182" t="str">
        <f>IF(D609="","",IF(AS609=2,0,IF(AS609=1,'Calc (ex-animal)'!$N$113*'Calc (ex-housing, ex-storage)'!F609/100/VLOOKUP($C$607,'DB animal categories'!$C$221:$AC$230,27,FALSE)*AJ609+U609+V609+W609,IF(AS609=5,('Calc (ex-animal)'!$N$113+'Calc (ex-animal)'!$O$113)*'Calc (ex-housing, ex-storage)'!F609/100/VLOOKUP($C$607,'DB animal categories'!$C$221:$AC$230,27,FALSE)*AJ609+U609+V609+W609,IF(AS609=3,('Calc (ex-animal)'!$N$113+'Calc (ex-animal)'!$O$113)*'Calc (ex-housing, ex-storage)'!F609/100/VLOOKUP($C$607,'DB animal categories'!$C$221:$AC$230,27,FALSE)*AJ609+U609+V609+W609,IF(AS609=4,('Calc (ex-animal)'!$N$113+'Calc (ex-animal)'!$O$113)*'Calc (ex-housing, ex-storage)'!F609/100*VLOOKUP(D609,'DB technologies'!$N$294:$Y$306,12,FALSE)/100/VLOOKUP($C$607,'DB animal categories'!$C$221:$AC$230,27,FALSE)*AJ609+U609+V609+W609,0))))))</f>
        <v/>
      </c>
      <c r="AZ609" s="182" t="str">
        <f>IF(D609="","",IF(AS609=2,0,IF(AS609=1,'Calc (ex-animal)'!$Q$113*'Calc (ex-housing, ex-storage)'!F609/100/VLOOKUP($C$607,'DB animal categories'!$C$221:$AC$230,27,FALSE)*AJ609+Y609+Z609+AA609,IF(AS609=5,('Calc (ex-animal)'!$Q$113+'Calc (ex-animal)'!$R$113)*'Calc (ex-housing, ex-storage)'!F609/100/VLOOKUP($C$607,'DB animal categories'!$C$221:$AC$230,27,FALSE)*AJ609+Y609+Z609+AA609,IF(AS609=3,('Calc (ex-animal)'!$Q$113+'Calc (ex-animal)'!$R$113)*'Calc (ex-housing, ex-storage)'!F609/100/VLOOKUP($C$607,'DB animal categories'!$C$221:$AC$230,27,FALSE)*AJ609+Y609+Z609+AA609,IF(AS609=4,('Calc (ex-animal)'!$Q$113+'Calc (ex-animal)'!$R$113)*'Calc (ex-housing, ex-storage)'!F609/100*VLOOKUP(D609,'DB technologies'!$N$294:$Y$306,12,FALSE)/100/VLOOKUP($C$607,'DB animal categories'!$C$221:$AC$230,27,FALSE)*AJ609+Y609+Z609+AA609,0))))))</f>
        <v/>
      </c>
      <c r="BA609" s="506"/>
      <c r="BB609" s="506"/>
      <c r="BC609" s="506"/>
    </row>
    <row r="610" spans="1:55" x14ac:dyDescent="0.2">
      <c r="A610" s="748"/>
      <c r="B610" s="695"/>
      <c r="C610" s="255"/>
      <c r="D610" s="1357"/>
      <c r="E610" s="1399"/>
      <c r="F610" s="480" t="str">
        <f>IF('Calc (ex-animal)'!$F$113=1,"",IF($C$607=0,"",IF(D610="","",E610/'Calc (ex-animal)'!$E$113*100)))</f>
        <v/>
      </c>
      <c r="G610" s="485" t="str">
        <f>IF($C$607=0,"",IF('Calc (ex-animal)'!$F$113=1,"",IF(D610="","",SUM(H610:O610))))</f>
        <v/>
      </c>
      <c r="H610" s="423" t="str">
        <f>IF('Calc (ex-animal)'!$F$113=1,"",IF(D610="","",(((VLOOKUP($C$607,'Calc (ex-animal)'!$D$113:$Y$117,6,FALSE)-VLOOKUP($C$607,'Calc (ex-animal)'!$D$113:$Y$117,17,FALSE))*F610/100))*VLOOKUP($C$607,'Calc (ex-animal)'!$D$113:$Y$117,7,FALSE)/100*(1-VLOOKUP(D610,'DB technologies'!$N$294:$Y$306,9,FALSE)/100)))</f>
        <v/>
      </c>
      <c r="I610" s="423" t="str">
        <f>IF(D610="","",((VLOOKUP(D610,'DB technologies'!$N$294:$Y$306,2,FALSE)*VLOOKUP($C$607,'DB animal categories'!$C$221:$AC$230,27,FALSE)*E610/1000)/VLOOKUP($C$607,'DB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'!$S$6/100*(1-VLOOKUP(D610,'DB technologies'!$N$294:$Y$306,9,FALSE)/100)))</f>
        <v/>
      </c>
      <c r="J610" s="434" t="str">
        <f>IF(D610="","",((VLOOKUP(D610,'DB technologies'!$N$294:$Y$306,3,FALSE)*VLOOKUP($C$607,'DB animal categories'!$C$221:$AC$230,27,FALSE)*E610/1000)/VLOOKUP($C$607,'DB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'!$S$7/100*(1-VLOOKUP(D610,'DB technologies'!$N$294:$Y$306,9,FALSE)/100)))</f>
        <v/>
      </c>
      <c r="K610" s="434" t="str">
        <f>IF(D610="","",((VLOOKUP(D610,'DB technologies'!$N$294:$Y$306,4,FALSE)*E610*'DB additional information '!$S$8/100*(1-VLOOKUP(D610,'DB technologies'!$N$294:$Y$306,9,FALSE)/100))/VLOOKUP($C$607,'DB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L610" s="423" t="str">
        <f>IF('Calc (ex-animal)'!$F$113=1,"",IF(D610="","",(((VLOOKUP($C$607,'Calc (ex-animal)'!$D$113:$Y$117,6,FALSE)-VLOOKUP($C$607,'Calc (ex-animal)'!$D$113:$Y$117,17,FALSE))*F610/100))*(1-VLOOKUP($C$607,'Calc (ex-animal)'!$D$113:$Y$117,7,FALSE)/100)*(1-VLOOKUP(D610,'DB technologies'!$N$294:$V$306,8,FALSE)/100)))</f>
        <v/>
      </c>
      <c r="M610" s="434" t="str">
        <f>IF(D610="","",((VLOOKUP(D610,'DB technologies'!$N$294:$Y$306,2,FALSE)*VLOOKUP($C$607,'DB animal categories'!$C$221:$AC$230,27,FALSE)*E610/1000)/VLOOKUP($C$607,'DB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'!$S$6/100)*(1-VLOOKUP(D610,'DB technologies'!$N$294:$Y$306,9,FALSE)/100))</f>
        <v/>
      </c>
      <c r="N610" s="434" t="str">
        <f>IF(D610="","",((VLOOKUP(D610,'DB technologies'!$N$294:$Y$306,3,FALSE)*VLOOKUP($C$607,'DB animal categories'!$C$221:$AC$230,27,FALSE)*E610/1000)/VLOOKUP($C$607,'DB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'!$S$7/100)*(1-VLOOKUP(D610,'DB technologies'!$N$294:$Y$306,9,FALSE)/100))</f>
        <v/>
      </c>
      <c r="O610" s="423" t="str">
        <f>IF(D610="","",((VLOOKUP(D610,'DB technologies'!$N$294:$Y$306,4,FALSE)*E610*(1-'DB additional information '!$S$8/100)*(1-VLOOKUP(D610,'DB technologies'!$N$294:$Y$306,8,FALSE)/100))/VLOOKUP($C$607,'DB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P610" s="438" t="str">
        <f>IF(G610=0,0,IF(E610="","",IF(F610="","",IF($C$607=0,"",IF(D610="","",SUM(H610:K610)/G610*100)))))</f>
        <v/>
      </c>
      <c r="Q610" s="416" t="str">
        <f>IF(D610="","",(VLOOKUP(D610,'DB technologies'!$N$294:$Y$306,2,FALSE)*'DB additional information '!$S$6/100*'DB additional information '!$T$6*VLOOKUP($C$607,'DB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R610" s="416" t="str">
        <f>IF(D610="","",(VLOOKUP(D610,'DB technologies'!$N$294:$Y$306,3,FALSE)*'DB additional information '!$S$7/100*'DB additional information '!$T$7*VLOOKUP($C$607,'DB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S610" s="491" t="str">
        <f>IF(D610="","",(VLOOKUP(D610,'DB technologies'!$N$294:$Y$306,4,FALSE)*('DB additional information '!$S$8/100*'DB additional information '!$T$8*E610/1000/1000)))</f>
        <v/>
      </c>
      <c r="T610" s="264" t="str">
        <f>IF($C$607=0,"",IF('Calc (ex-animal)'!$F$113=1,"",IF(D610="","",((VLOOKUP($C$607,'Calc (ex-animal)'!$D$113:$Y$117,10,FALSE)-VLOOKUP($C$607,'Calc (ex-animal)'!$D$113:$Y$117,18,FALSE))*F610/100+Q610+R610+S610)-AC610-AD610-AE610)))</f>
        <v/>
      </c>
      <c r="U610" s="422" t="str">
        <f>IF(D610="","",(VLOOKUP(D610,'DB technologies'!$N$294:$Y$306,2,FALSE)*'DB additional information '!$S$6/100*'DB additional information '!$U$6*VLOOKUP($C$607,'DB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V610" s="418" t="str">
        <f>IF(D610="","",(VLOOKUP(D610,'DB technologies'!$N$294:$Y$306,3,FALSE)*'DB additional information '!$S$7/100*'DB additional information '!$U$7*VLOOKUP($C$607,'DB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W610" s="417" t="str">
        <f>IF(D610="","",(VLOOKUP(D610,'DB technologies'!$N$294:$Y$306,4,FALSE)*('DB additional information '!$S$8/100*'DB additional information '!$U$8*E610/1000/1000)))</f>
        <v/>
      </c>
      <c r="X610" s="261" t="str">
        <f>IF($C$607=0,"",IF('Calc (ex-animal)'!$F$113=1,"",IF(D610="","",((VLOOKUP($C$607,'Calc (ex-animal)'!$D$113:$Y$117,13,FALSE)-VLOOKUP($C$607,'Calc (ex-animal)'!$D$113:$Y$117,19,FALSE))*F610/100+U610+V610+W610))))</f>
        <v/>
      </c>
      <c r="Y610" s="418" t="str">
        <f>IF(D610="","",(VLOOKUP(D610,'DB technologies'!$N$294:$Y$306,2,FALSE)*'DB additional information '!$S$6/100*'DB additional information '!$V$6*VLOOKUP($C$607,'DB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Z610" s="418" t="str">
        <f>IF(D610="","",(VLOOKUP(D610,'DB technologies'!$N$294:$Y$306,3,FALSE)*'DB additional information '!$S$7/100*'DB additional information '!$V$7*VLOOKUP($C$607,'DB animal categories'!$C$221:$AC$230,27,FALSE)*E610/1000/1000)/VLOOKUP($C$607,'DB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AA610" s="418" t="str">
        <f>IF(D610="","",(VLOOKUP(D610,'DB technologies'!$N$294:$Y$306,4,FALSE)*('DB additional information '!$S$8/100*'DB additional information '!$V$8*E610/1000/1000)))</f>
        <v/>
      </c>
      <c r="AB610" s="261" t="str">
        <f>IF($C$607=0,"",IF('Calc (ex-animal)'!$F$113=1,"",IF(D610="","",((VLOOKUP($C$607,'Calc (ex-animal)'!$D$113:$Y$117,16,FALSE)-VLOOKUP($C$607,'Calc (ex-animal)'!$D$113:$Y$117,20,FALSE))*F610/100+Y610+Z610+AA610))))</f>
        <v/>
      </c>
      <c r="AC610" s="261" t="str">
        <f>IF($C$607=0,"",IF('Calc (ex-animal)'!$F$113=1,"",IF(D610="","",VLOOKUP($C$607,'Calc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categories'!$C$221:$AC$230,26,FALSE)/24)*F610/100*VLOOKUP(D610,'DB technologies'!$N$294:$R$306,5,FALSE)/100)))</f>
        <v/>
      </c>
      <c r="AD610" s="261" t="str">
        <f>IF($C$607=0,"",IF('Calc (ex-animal)'!$F$113=1,"",IF(D610="","",VLOOKUP($C$607,'Calc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categories'!$C$221:$AC$230,26,FALSE)/24)*F610/100*VLOOKUP(D610,'DB technologies'!$N$294:$Y$306,6,FALSE)/100)))</f>
        <v/>
      </c>
      <c r="AE610" s="262" t="str">
        <f>IF($C$607=0,"",IF('Calc (ex-animal)'!$F$113=1,"",IF(D610="","",VLOOKUP($C$607,'Calc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categories'!$C$221:$AC$230,26,FALSE)/24)*F610/100*VLOOKUP(D610,'DB technologies'!$N$294:$Y$306,7,FALSE)/100)))</f>
        <v/>
      </c>
      <c r="AI610" s="181" t="str">
        <f>IF(D610="","",VLOOKUP(D610,'DB technologies'!$N$294:$Y$306,10,FALSE))</f>
        <v/>
      </c>
      <c r="AJ610" s="449" t="e">
        <f>VLOOKUP($C$607,'DB animal categories'!$C$221:$AN$230,27,FALSE)-VLOOKUP($C$607,'DB animal categories'!$C$221:$AN$230,26,FALSE)*VLOOKUP($C$607,'DB animal categories'!$C$221:$AN$230,25,FALSE)/24</f>
        <v>#N/A</v>
      </c>
      <c r="AK610" s="442" t="str">
        <f>IF(AI610="","",AL610+AM610)</f>
        <v/>
      </c>
      <c r="AL610" s="442" t="str">
        <f>IF(D610="","",IF(AI610=2,(('Calc (ex-animal)'!$G$113*'DB additional information '!$K$24/100*(1-VLOOKUP(D610,'DB technologies'!$N$294:$Y$306,9,FALSE)/100)*'Calc (ex-housing, ex-storage)'!F610/100+'Calc (ex-animal)'!$H$113*'DB additional information '!$L$24/100*(1-VLOOKUP(D610,'DB technologies'!$N$294:$Y$306,9,FALSE)/100)*'Calc (ex-housing, ex-storage)'!F610/100))/VLOOKUP($C$607,'DB animal categories'!$C$221:$AC$230,27,FALSE)*AJ610+I610+J610+K610,IF(AI610=1,('Calc (ex-animal)'!$H$113*'DB additional information '!$L$24/100*(1-VLOOKUP(D610,'DB technologies'!$N$294:$Y$306,9,FALSE)/100)*'Calc (ex-housing, ex-storage)'!F610/100)/VLOOKUP($C$607,'DB animal categories'!$C$221:$AC$230,27,FALSE)*AJ610,IF(AI610=4,('Calc (ex-animal)'!$G$113*'DB additional information '!$K$24/100+'Calc (ex-animal)'!$H$113*'DB additional information '!$L$24/100)*(1-VLOOKUP(D610,'DB technologies'!$N$294:$Y$306,9,FALSE)/100)*'Calc (ex-housing, ex-storage)'!F610/100*VLOOKUP(D610,'DB technologies'!$N$294:$Y$306,11,FALSE)/100/VLOOKUP($C$607,'DB animal categories'!$C$221:$AC$230,27,FALSE)*AJ610,0))))</f>
        <v/>
      </c>
      <c r="AM610" s="442" t="str">
        <f>IF(D610="","",IF(AI610=2,(('Calc (ex-animal)'!$G$113*(1-'DB additional information '!$K$24/100)*(1-VLOOKUP(D610,'DB technologies'!$N$294:$Y$306,8,FALSE)/100)*'Calc (ex-housing, ex-storage)'!F610/100+'Calc (ex-animal)'!$H$113*(1-'DB additional information '!$L$24/100)*(1-VLOOKUP(D610,'DB technologies'!$N$294:$Y$306,8,FALSE)/100)*'Calc (ex-housing, ex-storage)'!F610/100))/VLOOKUP($C$607,'DB animal categories'!$C$221:$AC$230,27,FALSE)*AJ610+M610+N610+O610,IF(AI610=1,('Calc (ex-animal)'!$H$113*(1-'DB additional information '!$L$24/100)*(1-VLOOKUP(D610,'DB technologies'!$N$294:$Y$306,8,FALSE)/100)*'Calc (ex-housing, ex-storage)'!F610/100)/VLOOKUP($C$607,'DB animal categories'!$C$221:$AC$230,27,FALSE)*AJ610,IF(AI610=4,('Calc (ex-animal)'!$G$113*(1-'DB additional information '!$K$24/100)+'Calc (ex-animal)'!$H$113*(1-'DB additional information '!$L$24/100))*(1-VLOOKUP(D610,'DB technologies'!$N$294:$Y$306,8,FALSE)/100)*'Calc (ex-housing, ex-storage)'!F610/100*VLOOKUP(D610,'DB technologies'!$N$294:$Y$306,11,FALSE)/100/VLOOKUP($C$607,'DB animal categories'!$C$221:$AC$230,27,FALSE)*AJ610,0))))</f>
        <v/>
      </c>
      <c r="AN610" s="442" t="str">
        <f>IF(AI610="","",IF(AL610=0,0,AL610/AK610*100))</f>
        <v/>
      </c>
      <c r="AO610" s="182" t="str">
        <f>IF(D610="","",IF(AI610=2,(('Calc (ex-animal)'!$L$113*'Calc (ex-housing, ex-storage)'!F610/100+'Calc (ex-animal)'!$K$113*'Calc (ex-housing, ex-storage)'!F610/100))/VLOOKUP($C$607,'DB animal categories'!$C$221:$AC$230,27,FALSE)*AJ610+Q610+R610+S610-AC610,IF(AI610=1,('Calc (ex-animal)'!$L$113*'Calc (ex-housing, ex-storage)'!F610/100)/VLOOKUP($C$607,'DB animal categories'!$C$221:$AC$230,27,FALSE)*AJ610-'Calc (ex-housing, ex-storage)'!AC610,IF(AI610=4,('Calc (ex-animal)'!$L$113+'Calc (ex-animal)'!$K$113)*'Calc (ex-housing, ex-storage)'!F610/100*VLOOKUP(D610,'DB technologies'!$N$294:$Y$306,11,FALSE)/100/VLOOKUP($C$607,'DB animal categories'!$C$221:$AC$230,27,FALSE)*AJ610-AC610*VLOOKUP(D610,'DB technologies'!$N$294:$Y$306,11,FALSE)/100,0))))</f>
        <v/>
      </c>
      <c r="AP610" s="182" t="str">
        <f>IF(D610="","",IF(AO610&lt;-0.01,0,IF(AI610=2,(('Calc (ex-animal)'!$L$113*'Calc (ex-housing, ex-storage)'!F610/100+'Calc (ex-animal)'!$K$113*'Calc (ex-housing, ex-storage)'!F610/100))/VLOOKUP($C$607,'DB animal categories'!$C$221:$AC$230,27,FALSE)*AJ610+Q610+R610+S610-AC610,IF(AI610=1,('Calc (ex-animal)'!$L$113*'Calc (ex-housing, ex-storage)'!F610/100)/VLOOKUP($C$607,'DB animal categories'!$C$221:$AC$230,27,FALSE)*AJ610-'Calc (ex-housing, ex-storage)'!AC610,IF(AI610=4,('Calc (ex-animal)'!$L$113+'Calc (ex-animal)'!$K$113)*'Calc (ex-housing, ex-storage)'!F610/100*VLOOKUP(D610,'DB technologies'!$N$294:$Y$306,11,FALSE)/100/VLOOKUP($C$607,'DB animal categories'!$C$221:$AC$230,27,FALSE)*AJ610-AC610*VLOOKUP(D610,'DB technologies'!$N$294:$Y$306,11,FALSE)/100,0)))))</f>
        <v/>
      </c>
      <c r="AQ610" s="182" t="str">
        <f>IF(D610="","",IF(AI610=2,('Calc (ex-animal)'!$O$113*'Calc (ex-housing, ex-storage)'!F610/100+'Calc (ex-animal)'!$N$113*'Calc (ex-housing, ex-storage)'!F610/100)/VLOOKUP($C$607,'DB animal categories'!$C$221:$AC$230,27,FALSE)*AJ610+U610+V610+W610,IF(AI610=1,'Calc (ex-animal)'!$O$113*'Calc (ex-housing, ex-storage)'!F610/100/VLOOKUP($C$607,'DB animal categories'!$C$221:$AC$230,27,FALSE)*AJ610,IF(AI610=4,('Calc (ex-animal)'!$O$113+'Calc (ex-animal)'!$N$113)*'Calc (ex-housing, ex-storage)'!F610/100*VLOOKUP(D610,'DB technologies'!$N$294:$Y$306,11,FALSE)/100/VLOOKUP($C$607,'DB animal categories'!$C$221:$AC$230,27,FALSE)*AJ610,0))))</f>
        <v/>
      </c>
      <c r="AR610" s="182" t="str">
        <f>IF(D610="","",IF(AI610=2,('Calc (ex-animal)'!$R$113*'Calc (ex-housing, ex-storage)'!F610/100+'Calc (ex-animal)'!$Q$113*'Calc (ex-housing, ex-storage)'!F610/100)/VLOOKUP($C$607,'DB animal categories'!$C$221:$AC$230,27,FALSE)*AJ610+Y610+Z610+AA610,IF(AI610=1,'Calc (ex-animal)'!$R$113*'Calc (ex-housing, ex-storage)'!F610/100/VLOOKUP($C$607,'DB animal categories'!$C$221:$AC$230,27,FALSE)*AJ610,IF(AI610=4,('Calc (ex-animal)'!$R$113+'Calc (ex-animal)'!$Q$113)*'Calc (ex-housing, ex-storage)'!F610/100*VLOOKUP(D610,'DB technologies'!$N$294:$Y$306,11,FALSE)/100/VLOOKUP($C$607,'DB animal categories'!$C$221:$AC$230,27,FALSE)*AJ610,0))))</f>
        <v/>
      </c>
      <c r="AS610" s="181" t="str">
        <f>IF(D610="","",VLOOKUP(D610,'DB technologies'!$N$294:$Y$306,10,FALSE))</f>
        <v/>
      </c>
      <c r="AT610" s="442" t="str">
        <f>IF(AS610="","",AU610+AV610)</f>
        <v/>
      </c>
      <c r="AU610" s="442" t="str">
        <f>IF(D610="","",IF(AS610=2,0,IF(AS610=1,'Calc (ex-animal)'!$G$113*'DB additional information '!$K$24/100*(1-VLOOKUP(D610,'DB technologies'!$N$294:$Y$306,8,FALSE)/100)*'Calc (ex-housing, ex-storage)'!F610/100/VLOOKUP($C$607,'DB animal categories'!$C$221:$AC$230,27,FALSE)*AJ610+I610+J610+K610,IF(AS610=5,(('Calc (ex-animal)'!$G$113*'DB additional information '!$K$24/100+'Calc (ex-animal)'!$H$113*'DB additional information '!$L$24/100))*(1-VLOOKUP(D610,'DB technologies'!$N$294:$Y$306,9,FALSE)/100)*'Calc (ex-housing, ex-storage)'!F610/100/VLOOKUP($C$607,'DB animal categories'!$C$221:$AC$230,27,FALSE)*AJ610+I610+J610+K610,IF(AS610=3,('Calc (ex-animal)'!$G$113*'DB additional information '!$K$24/100+'Calc (ex-animal)'!$H$113*'DB additional information '!$L$24/100)*(1-VLOOKUP(D610,'DB technologies'!$N$294:$Y$306,9,FALSE)/100)*'Calc (ex-housing, ex-storage)'!F610/100/VLOOKUP($C$607,'DB animal categories'!$C$221:$AC$230,27,FALSE)*AJ610+I610+J610+K610,IF(AS610=4,('Calc (ex-animal)'!$G$113*'DB additional information '!$K$24/100+'Calc (ex-animal)'!$H$113*'DB additional information '!$L$24/100)*(1-VLOOKUP(D610,'DB technologies'!$N$294:$Y$306,9,FALSE)/100)*'Calc (ex-housing, ex-storage)'!F610/100*VLOOKUP(D610,'DB technologies'!$N$294:$Y$306,12,FALSE)/100/VLOOKUP($C$607,'DB animal categories'!$C$221:$AC$230,27,FALSE)*AJ610+I610+J610+K610,0))))))</f>
        <v/>
      </c>
      <c r="AV610" s="442" t="str">
        <f>IF(D610="","",IF(AS610=2,0,IF(AS610=1,'Calc (ex-animal)'!$G$113*(1-'DB additional information '!$K$24/100)*(1-VLOOKUP(D610,'DB technologies'!$N$294:$Y$306,8,FALSE)/100)*'Calc (ex-housing, ex-storage)'!F610/100/VLOOKUP($C$607,'DB animal categories'!$C$221:$AC$230,27,FALSE)*AJ610+M610+N610+O610,IF(AS610=5,('Calc (ex-animal)'!$G$113*(1-'DB additional information '!$K$24/100)+'Calc (ex-animal)'!$H$113*(1-'DB additional information '!$L$24/100))*(1-VLOOKUP(D610,'DB technologies'!$N$294:$Y$306,8,FALSE)/100)*'Calc (ex-housing, ex-storage)'!F610/100/VLOOKUP($C$607,'DB animal categories'!$C$221:$AC$230,27,FALSE)*AJ610+M610+N610+O610,IF(AS610=3,('Calc (ex-animal)'!$G$113*(1-'DB additional information '!$K$24/100)+'Calc (ex-animal)'!$H$113*(1-'DB additional information '!$L$24/100))*(1-VLOOKUP(D610,'DB technologies'!$N$294:$Y$306,8,FALSE)/100)*'Calc (ex-housing, ex-storage)'!F610/100/VLOOKUP($C$607,'DB animal categories'!$C$221:$AC$230,27,FALSE)*AJ610+M610+N610+O610,IF(AS610=4,('Calc (ex-animal)'!$G$113*(1-'DB additional information '!$K$24/100)+'Calc (ex-animal)'!$H$113*(1-'DB additional information '!$L$24/100))*(1-VLOOKUP(D610,'DB technologies'!$N$294:$Y$306,8,FALSE)/100)*'Calc (ex-housing, ex-storage)'!F610/100*VLOOKUP(D610,'DB technologies'!$N$294:$Y$306,12,FALSE)/100/VLOOKUP($C$607,'DB animal categories'!$C$221:$AC$230,27,FALSE)*AJ610+M610+N610+O610,0))))))</f>
        <v/>
      </c>
      <c r="AW610" s="442" t="str">
        <f>IF(AS610="","",IF(AU610=0,0,AU610/AT610*100))</f>
        <v/>
      </c>
      <c r="AX610" s="182" t="str">
        <f>IF(D610="","",IF(AS610=2,0,IF(AS610=1,'Calc (ex-animal)'!$K$113*'Calc (ex-housing, ex-storage)'!F610/100/VLOOKUP($C$607,'DB animal categories'!$C$221:$AC$230,27,FALSE)*AJ610+Q610+R610+S610,IF(AS610=5,('Calc (ex-animal)'!$K$113+'Calc (ex-animal)'!$L$113)*'Calc (ex-housing, ex-storage)'!F610/100/VLOOKUP($C$607,'DB animal categories'!$C$221:$AC$230,27,FALSE)*AJ610+Q610+R610+S610-'Calc (ex-housing, ex-storage)'!AC610,IF(AS610=3,('Calc (ex-animal)'!$K$113+'Calc (ex-animal)'!$L$113)*'Calc (ex-housing, ex-storage)'!F610/100/VLOOKUP($C$607,'DB animal categories'!$C$221:$AC$230,27,FALSE)*AJ610+Q610+R610+S610-'Calc (ex-housing, ex-storage)'!AC610-AD610-AE610,IF(AI610=4,('Calc (ex-animal)'!$K$113+'Calc (ex-animal)'!$L$113)*'Calc (ex-housing, ex-storage)'!F610/100*VLOOKUP(D610,'DB technologies'!$N$294:$Y$306,12,FALSE)/100/VLOOKUP($C$607,'DB animal categories'!$C$221:$AC$230,27,FALSE)*AJ610+Q610+R610+S610-(VLOOKUP(D610,'DB technologies'!$N$294:$Y$306,12,FALSE)/100*AC610)-AD610-AE610,0))))))</f>
        <v/>
      </c>
      <c r="AY610" s="182" t="str">
        <f>IF(D610="","",IF(AS610=2,0,IF(AS610=1,'Calc (ex-animal)'!$N$113*'Calc (ex-housing, ex-storage)'!F610/100/VLOOKUP($C$607,'DB animal categories'!$C$221:$AC$230,27,FALSE)*AJ610+U610+V610+W610,IF(AS610=5,('Calc (ex-animal)'!$N$113+'Calc (ex-animal)'!$O$113)*'Calc (ex-housing, ex-storage)'!F610/100/VLOOKUP($C$607,'DB animal categories'!$C$221:$AC$230,27,FALSE)*AJ610+U610+V610+W610,IF(AS610=3,('Calc (ex-animal)'!$N$113+'Calc (ex-animal)'!$O$113)*'Calc (ex-housing, ex-storage)'!F610/100/VLOOKUP($C$607,'DB animal categories'!$C$221:$AC$230,27,FALSE)*AJ610+U610+V610+W610,IF(AS610=4,('Calc (ex-animal)'!$N$113+'Calc (ex-animal)'!$O$113)*'Calc (ex-housing, ex-storage)'!F610/100*VLOOKUP(D610,'DB technologies'!$N$294:$Y$306,12,FALSE)/100/VLOOKUP($C$607,'DB animal categories'!$C$221:$AC$230,27,FALSE)*AJ610+U610+V610+W610,0))))))</f>
        <v/>
      </c>
      <c r="AZ610" s="182" t="str">
        <f>IF(D610="","",IF(AS610=2,0,IF(AS610=1,'Calc (ex-animal)'!$Q$113*'Calc (ex-housing, ex-storage)'!F610/100/VLOOKUP($C$607,'DB animal categories'!$C$221:$AC$230,27,FALSE)*AJ610+Y610+Z610+AA610,IF(AS610=5,('Calc (ex-animal)'!$Q$113+'Calc (ex-animal)'!$R$113)*'Calc (ex-housing, ex-storage)'!F610/100/VLOOKUP($C$607,'DB animal categories'!$C$221:$AC$230,27,FALSE)*AJ610+Y610+Z610+AA610,IF(AS610=3,('Calc (ex-animal)'!$Q$113+'Calc (ex-animal)'!$R$113)*'Calc (ex-housing, ex-storage)'!F610/100/VLOOKUP($C$607,'DB animal categories'!$C$221:$AC$230,27,FALSE)*AJ610+Y610+Z610+AA610,IF(AS610=4,('Calc (ex-animal)'!$Q$113+'Calc (ex-animal)'!$R$113)*'Calc (ex-housing, ex-storage)'!F610/100*VLOOKUP(D610,'DB technologies'!$N$294:$Y$306,12,FALSE)/100/VLOOKUP($C$607,'DB animal categories'!$C$221:$AC$230,27,FALSE)*AJ610+Y610+Z610+AA610,0))))))</f>
        <v/>
      </c>
      <c r="BA610" s="506"/>
      <c r="BB610" s="506"/>
      <c r="BC610" s="506"/>
    </row>
    <row r="611" spans="1:55" ht="12" thickBot="1" x14ac:dyDescent="0.25">
      <c r="A611" s="748"/>
      <c r="B611" s="695"/>
      <c r="C611" s="255"/>
      <c r="D611" s="1359"/>
      <c r="E611" s="1400"/>
      <c r="F611" s="481" t="str">
        <f>IF('Calc (ex-animal)'!$F$113=1,"",IF($C$607=0,"",IF(D611="","",E611/'Calc (ex-animal)'!$E$113*100)))</f>
        <v/>
      </c>
      <c r="G611" s="483" t="str">
        <f>IF($C$607=0,"",IF('Calc (ex-animal)'!$F$113=1,"",IF(D611="","",SUM(H611:O611))))</f>
        <v/>
      </c>
      <c r="H611" s="445" t="str">
        <f>IF('Calc (ex-animal)'!$F$113=1,"",IF(D611="","",(((VLOOKUP($C$607,'Calc (ex-animal)'!$D$113:$Y$117,6,FALSE)-VLOOKUP($C$607,'Calc (ex-animal)'!$D$113:$Y$117,17,FALSE))*F611/100))*VLOOKUP($C$607,'Calc (ex-animal)'!$D$113:$Y$117,7,FALSE)/100*(1-VLOOKUP(D611,'DB technologies'!$N$294:$Y$306,9,FALSE)/100)))</f>
        <v/>
      </c>
      <c r="I611" s="445" t="str">
        <f>IF(D611="","",((VLOOKUP(D611,'DB technologies'!$N$294:$Y$306,2,FALSE)*VLOOKUP($C$607,'DB animal categories'!$C$221:$AC$230,27,FALSE)*E611/1000)/VLOOKUP($C$607,'DB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'!$S$6/100*(1-VLOOKUP(D611,'DB technologies'!$N$294:$Y$306,9,FALSE)/100)))</f>
        <v/>
      </c>
      <c r="J611" s="446" t="str">
        <f>IF(D611="","",((VLOOKUP(D611,'DB technologies'!$N$294:$Y$306,3,FALSE)*VLOOKUP($C$607,'DB animal categories'!$C$221:$AC$230,27,FALSE)*E611/1000)/VLOOKUP($C$607,'DB animal categories'!$C$221:$AC$230,27,FALSE)*(VLOOKUP($C$607,'DB animal categories'!$C$221:$AC$230,27,FALSE)-(VLOOKUP($C$607,'DB animal categories'!$C$221:$AC$230,25,FALSE)*VLOOKUP($C$607,'DB animal categories'!$C$221:$AC$230,26,FALSE)/24))*'DB additional information '!$S$7/100*(1-VLOOKUP(D611,'DB technologies'!$N$294:$Y$306,9,FALSE)/100)))</f>
        <v/>
      </c>
      <c r="K611" s="446" t="str">
        <f>IF(D611="","",((VLOOKUP(D611,'DB technologies'!$N$294:$Y$306,4,FALSE)*E611*'DB additional information '!$S$8/100*(1-VLOOKUP(D611,'DB technologies'!$N$294:$Y$306,9,FALSE)/100))/VLOOKUP($C$607,'DB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L611" s="445" t="str">
        <f>IF('Calc (ex-animal)'!$F$113=1,"",IF(D611="","",(((VLOOKUP($C$607,'Calc (ex-animal)'!$D$113:$Y$117,6,FALSE)-VLOOKUP($C$607,'Calc (ex-animal)'!$D$113:$Y$117,17,FALSE))*F611/100))*(1-VLOOKUP($C$607,'Calc (ex-animal)'!$D$113:$Y$117,7,FALSE)/100)*(1-VLOOKUP(D611,'DB technologies'!$N$294:$V$306,8,FALSE)/100)))</f>
        <v/>
      </c>
      <c r="M611" s="446" t="str">
        <f>IF(D611="","",((VLOOKUP(D611,'DB technologies'!$N$294:$Y$306,2,FALSE)*VLOOKUP($C$607,'DB animal categories'!$C$221:$AC$230,27,FALSE)*E611/1000)/VLOOKUP($C$607,'DB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'!$S$6/100)*(1-VLOOKUP(D611,'DB technologies'!$N$294:$Y$306,9,FALSE)/100))</f>
        <v/>
      </c>
      <c r="N611" s="446" t="str">
        <f>IF(D611="","",((VLOOKUP(D611,'DB technologies'!$N$294:$Y$306,3,FALSE)*VLOOKUP($C$607,'DB animal categories'!$C$221:$AC$230,27,FALSE)*E611/1000)/VLOOKUP($C$607,'DB animal categories'!$C$221:$AC$230,27,FALSE)*(VLOOKUP($C$607,'DB animal categories'!$C$221:$AC$230,27,FALSE)-VLOOKUP($C$607,'DB animal categories'!$C$221:$AC$230,25,FALSE)*VLOOKUP($C$607,'DB animal categories'!$C$221:$AC$230,26,FALSE)/24))*(1-'DB additional information '!$S$7/100)*(1-VLOOKUP(D611,'DB technologies'!$N$294:$Y$306,9,FALSE)/100))</f>
        <v/>
      </c>
      <c r="O611" s="445" t="str">
        <f>IF(D611="","",((VLOOKUP(D611,'DB technologies'!$N$294:$Y$306,4,FALSE)*E611*(1-'DB additional information '!$S$8/100)*(1-VLOOKUP(D611,'DB technologies'!$N$294:$Y$306,8,FALSE)/100))/VLOOKUP($C$607,'DB animal categories'!$C$221:$AC$230,27,FALSE)*(VLOOKUP($C$607,'DB animal categories'!$C$221:$AC$230,27,FALSE)-VLOOKUP($C$607,'DB animal categories'!$C$221:$AC$230,25,FALSE)*VLOOKUP($C$607,'DB animal categories'!$C$221:$AC$230,26,FALSE)/24)))</f>
        <v/>
      </c>
      <c r="P611" s="444" t="str">
        <f>IF(G611=0,0,IF(E611="","",IF(F611="","",IF($C$607=0,"",IF(D611="","",SUM(H611:K611)/G611*100)))))</f>
        <v/>
      </c>
      <c r="Q611" s="476" t="str">
        <f>IF(D611="","",(VLOOKUP(D611,'DB technologies'!$N$294:$Y$306,2,FALSE)*'DB additional information '!$S$6/100*'DB additional information '!$T$6*VLOOKUP($C$607,'DB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R611" s="476" t="str">
        <f>IF(D611="","",(VLOOKUP(D611,'DB technologies'!$N$294:$Y$306,3,FALSE)*'DB additional information '!$S$7/100*'DB additional information '!$T$7*VLOOKUP($C$607,'DB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S611" s="494" t="str">
        <f>IF(D611="","",(VLOOKUP(D611,'DB technologies'!$N$294:$Y$306,4,FALSE)*('DB additional information '!$S$8/100*'DB additional information '!$T$8*E611/1000/1000)))</f>
        <v/>
      </c>
      <c r="T611" s="266" t="str">
        <f>IF($C$607=0,"",IF('Calc (ex-animal)'!$F$113=1,"",IF(D611="","",((VLOOKUP($C$607,'Calc (ex-animal)'!$D$113:$Y$117,10,FALSE)-VLOOKUP($C$607,'Calc (ex-animal)'!$D$113:$Y$117,18,FALSE))*F611/100+Q611+R611+S611)-AC611-AD611-AE611)))</f>
        <v/>
      </c>
      <c r="U611" s="477" t="str">
        <f>IF(D611="","",(VLOOKUP(D611,'DB technologies'!$N$294:$Y$306,2,FALSE)*'DB additional information '!$S$6/100*'DB additional information '!$U$6*VLOOKUP($C$607,'DB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V611" s="433" t="str">
        <f>IF(D611="","",(VLOOKUP(D611,'DB technologies'!$N$294:$Y$306,3,FALSE)*'DB additional information '!$S$7/100*'DB additional information '!$U$7*VLOOKUP($C$607,'DB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W611" s="475" t="str">
        <f>IF(D611="","",(VLOOKUP(D611,'DB technologies'!$N$294:$Y$306,4,FALSE)*('DB additional information '!$S$8/100*'DB additional information '!$U$8*E611/1000/1000)))</f>
        <v/>
      </c>
      <c r="X611" s="267" t="str">
        <f>IF($C$607=0,"",IF('Calc (ex-animal)'!$F$113=1,"",IF(D611="","",((VLOOKUP($C$607,'Calc (ex-animal)'!$D$113:$Y$117,13,FALSE)-VLOOKUP($C$607,'Calc (ex-animal)'!$D$113:$Y$117,19,FALSE))*F611/100+U611+V611+W611))))</f>
        <v/>
      </c>
      <c r="Y611" s="433" t="str">
        <f>IF(D611="","",(VLOOKUP(D611,'DB technologies'!$N$294:$Y$306,2,FALSE)*'DB additional information '!$S$6/100*'DB additional information '!$V$6*VLOOKUP($C$607,'DB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Z611" s="433" t="str">
        <f>IF(D611="","",(VLOOKUP(D611,'DB technologies'!$N$294:$Y$306,3,FALSE)*'DB additional information '!$S$7/100*'DB additional information '!$V$7*VLOOKUP($C$607,'DB animal categories'!$C$221:$AC$230,27,FALSE)*E611/1000/1000)/VLOOKUP($C$607,'DB animal categories'!$C$221:$AC$230,27,FALSE)*(VLOOKUP($C$607,'DB animal categories'!$C$221:$AC$230,27,FALSE)-VLOOKUP($C$607,'DB animal categories'!$C$221:$AC$230,25,FALSE)*VLOOKUP($C$607,'DB animal categories'!$C$221:$AC$230,26,FALSE)/24))</f>
        <v/>
      </c>
      <c r="AA611" s="433" t="str">
        <f>IF(D611="","",(VLOOKUP(D611,'DB technologies'!$N$294:$Y$306,4,FALSE)*('DB additional information '!$S$8/100*'DB additional information '!$V$8*E611/1000/1000)))</f>
        <v/>
      </c>
      <c r="AB611" s="267" t="str">
        <f>IF($C$607=0,"",IF('Calc (ex-animal)'!$F$113=1,"",IF(D611="","",((VLOOKUP($C$607,'Calc (ex-animal)'!$D$113:$Y$117,16,FALSE)-VLOOKUP($C$607,'Calc (ex-animal)'!$D$113:$Y$117,20,FALSE))*F611/100+Y611+Z611+AA611))))</f>
        <v/>
      </c>
      <c r="AC611" s="267" t="str">
        <f>IF($C$607=0,"",IF('Calc (ex-animal)'!$F$113=1,"",IF(D611="","",VLOOKUP($C$607,'Calc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categories'!$C$221:$AC$230,26,FALSE)/24)*F611/100*VLOOKUP(D611,'DB technologies'!$N$294:$R$306,5,FALSE)/100)))</f>
        <v/>
      </c>
      <c r="AD611" s="267" t="str">
        <f>IF($C$607=0,"",IF('Calc (ex-animal)'!$F$113=1,"",IF(D611="","",VLOOKUP($C$607,'Calc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categories'!$C$221:$AC$230,26,FALSE)/24)*F611/100*VLOOKUP(D611,'DB technologies'!$N$294:$Y$306,6,FALSE)/100)))</f>
        <v/>
      </c>
      <c r="AE611" s="268" t="str">
        <f>IF($C$607=0,"",IF('Calc (ex-animal)'!$F$113=1,"",IF(D611="","",VLOOKUP($C$607,'Calc (ex-animal)'!$D$113:$Y$117,10,FALSE)/VLOOKUP($C$607,'DB animal categories'!$C$221:$AC$230,27,FALSE)*(VLOOKUP($C$607,'DB animal categories'!$C$221:$AC$230,27,FALSE)-VLOOKUP($C$607,'DB animal categories'!$C$221:$AC$230,25,FALSE)*VLOOKUP($C$607,'DB animal categories'!$C$221:$AC$230,26,FALSE)/24)*F611/100*VLOOKUP(D611,'DB technologies'!$N$294:$Y$306,7,FALSE)/100)))</f>
        <v/>
      </c>
      <c r="AI611" s="183" t="str">
        <f>IF(D611="","",VLOOKUP(D611,'DB technologies'!$N$294:$Y$306,10,FALSE))</f>
        <v/>
      </c>
      <c r="AJ611" s="451" t="e">
        <f>VLOOKUP($C$607,'DB animal categories'!$C$221:$AN$230,27,FALSE)-VLOOKUP($C$607,'DB animal categories'!$C$221:$AN$230,26,FALSE)*VLOOKUP($C$607,'DB animal categories'!$C$221:$AN$230,25,FALSE)/24</f>
        <v>#N/A</v>
      </c>
      <c r="AK611" s="452" t="str">
        <f>IF(AI611="","",AL611+AM611)</f>
        <v/>
      </c>
      <c r="AL611" s="452" t="str">
        <f>IF(D611="","",IF(AI611=2,(('Calc (ex-animal)'!$G$113*'DB additional information '!$K$24/100*(1-VLOOKUP(D611,'DB technologies'!$N$294:$Y$306,9,FALSE)/100)*'Calc (ex-housing, ex-storage)'!F611/100+'Calc (ex-animal)'!$H$113*'DB additional information '!$L$24/100*(1-VLOOKUP(D611,'DB technologies'!$N$294:$Y$306,9,FALSE)/100)*'Calc (ex-housing, ex-storage)'!F611/100))/VLOOKUP($C$607,'DB animal categories'!$C$221:$AC$230,27,FALSE)*AJ611+I611+J611+K611,IF(AI611=1,('Calc (ex-animal)'!$H$113*'DB additional information '!$L$24/100*(1-VLOOKUP(D611,'DB technologies'!$N$294:$Y$306,9,FALSE)/100)*'Calc (ex-housing, ex-storage)'!F611/100)/VLOOKUP($C$607,'DB animal categories'!$C$221:$AC$230,27,FALSE)*AJ611,IF(AI611=4,('Calc (ex-animal)'!$G$113*'DB additional information '!$K$24/100+'Calc (ex-animal)'!$H$113*'DB additional information '!$L$24/100)*(1-VLOOKUP(D611,'DB technologies'!$N$294:$Y$306,9,FALSE)/100)*'Calc (ex-housing, ex-storage)'!F611/100*VLOOKUP(D611,'DB technologies'!$N$294:$Y$306,11,FALSE)/100/VLOOKUP($C$607,'DB animal categories'!$C$221:$AC$230,27,FALSE)*AJ611,0))))</f>
        <v/>
      </c>
      <c r="AM611" s="452" t="str">
        <f>IF(D611="","",IF(AI611=2,(('Calc (ex-animal)'!$G$113*(1-'DB additional information '!$K$24/100)*(1-VLOOKUP(D611,'DB technologies'!$N$294:$Y$306,8,FALSE)/100)*'Calc (ex-housing, ex-storage)'!F611/100+'Calc (ex-animal)'!$H$113*(1-'DB additional information '!$L$24/100)*(1-VLOOKUP(D611,'DB technologies'!$N$294:$Y$306,8,FALSE)/100)*'Calc (ex-housing, ex-storage)'!F611/100))/VLOOKUP($C$607,'DB animal categories'!$C$221:$AC$230,27,FALSE)*AJ611+M611+N611+O611,IF(AI611=1,('Calc (ex-animal)'!$H$113*(1-'DB additional information '!$L$24/100)*(1-VLOOKUP(D611,'DB technologies'!$N$294:$Y$306,8,FALSE)/100)*'Calc (ex-housing, ex-storage)'!F611/100)/VLOOKUP($C$607,'DB animal categories'!$C$221:$AC$230,27,FALSE)*AJ611,IF(AI611=4,('Calc (ex-animal)'!$G$113*(1-'DB additional information '!$K$24/100)+'Calc (ex-animal)'!$H$113*(1-'DB additional information '!$L$24/100))*(1-VLOOKUP(D611,'DB technologies'!$N$294:$Y$306,8,FALSE)/100)*'Calc (ex-housing, ex-storage)'!F611/100*VLOOKUP(D611,'DB technologies'!$N$294:$Y$306,11,FALSE)/100/VLOOKUP($C$607,'DB animal categories'!$C$221:$AC$230,27,FALSE)*AJ611,0))))</f>
        <v/>
      </c>
      <c r="AN611" s="452" t="str">
        <f>IF(AI611="","",IF(AL611=0,0,AL611/AK611*100))</f>
        <v/>
      </c>
      <c r="AO611" s="184" t="str">
        <f>IF(D611="","",IF(AI611=2,(('Calc (ex-animal)'!$L$113*'Calc (ex-housing, ex-storage)'!F611/100+'Calc (ex-animal)'!$K$113*'Calc (ex-housing, ex-storage)'!F611/100))/VLOOKUP($C$607,'DB animal categories'!$C$221:$AC$230,27,FALSE)*AJ611+Q611+R611+S611-AC611,IF(AI611=1,('Calc (ex-animal)'!$L$113*'Calc (ex-housing, ex-storage)'!F611/100)/VLOOKUP($C$607,'DB animal categories'!$C$221:$AC$230,27,FALSE)*AJ611-'Calc (ex-housing, ex-storage)'!AC611,IF(AI611=4,('Calc (ex-animal)'!$L$113+'Calc (ex-animal)'!$K$113)*'Calc (ex-housing, ex-storage)'!F611/100*VLOOKUP(D611,'DB technologies'!$N$294:$Y$306,11,FALSE)/100/VLOOKUP($C$607,'DB animal categories'!$C$221:$AC$230,27,FALSE)*AJ611-AC611*VLOOKUP(D611,'DB technologies'!$N$294:$Y$306,11,FALSE)/100,0))))</f>
        <v/>
      </c>
      <c r="AP611" s="184" t="str">
        <f>IF(D611="","",IF(AO611&lt;-0.01,0,IF(AI611=2,(('Calc (ex-animal)'!$L$113*'Calc (ex-housing, ex-storage)'!F611/100+'Calc (ex-animal)'!$K$113*'Calc (ex-housing, ex-storage)'!F611/100))/VLOOKUP($C$607,'DB animal categories'!$C$221:$AC$230,27,FALSE)*AJ611+Q611+R611+S611-AC611,IF(AI611=1,('Calc (ex-animal)'!$L$113*'Calc (ex-housing, ex-storage)'!F611/100)/VLOOKUP($C$607,'DB animal categories'!$C$221:$AC$230,27,FALSE)*AJ611-'Calc (ex-housing, ex-storage)'!AC611,IF(AI611=4,('Calc (ex-animal)'!$L$113+'Calc (ex-animal)'!$K$113)*'Calc (ex-housing, ex-storage)'!F611/100*VLOOKUP(D611,'DB technologies'!$N$294:$Y$306,11,FALSE)/100/VLOOKUP($C$607,'DB animal categories'!$C$221:$AC$230,27,FALSE)*AJ611-AC611*VLOOKUP(D611,'DB technologies'!$N$294:$Y$306,11,FALSE)/100,0)))))</f>
        <v/>
      </c>
      <c r="AQ611" s="184" t="str">
        <f>IF(D611="","",IF(AI611=2,('Calc (ex-animal)'!$O$113*'Calc (ex-housing, ex-storage)'!F611/100+'Calc (ex-animal)'!$N$113*'Calc (ex-housing, ex-storage)'!F611/100)/VLOOKUP($C$607,'DB animal categories'!$C$221:$AC$230,27,FALSE)*AJ611+U611+V611+W611,IF(AI611=1,'Calc (ex-animal)'!$O$113*'Calc (ex-housing, ex-storage)'!F611/100/VLOOKUP($C$607,'DB animal categories'!$C$221:$AC$230,27,FALSE)*AJ611,IF(AI611=4,('Calc (ex-animal)'!$O$113+'Calc (ex-animal)'!$N$113)*'Calc (ex-housing, ex-storage)'!F611/100*VLOOKUP(D611,'DB technologies'!$N$294:$Y$306,11,FALSE)/100/VLOOKUP($C$607,'DB animal categories'!$C$221:$AC$230,27,FALSE)*AJ611,0))))</f>
        <v/>
      </c>
      <c r="AR611" s="184" t="str">
        <f>IF(D611="","",IF(AI611=2,('Calc (ex-animal)'!$R$113*'Calc (ex-housing, ex-storage)'!F611/100+'Calc (ex-animal)'!$Q$113*'Calc (ex-housing, ex-storage)'!F611/100)/VLOOKUP($C$607,'DB animal categories'!$C$221:$AC$230,27,FALSE)*AJ611+Y611+Z611+AA611,IF(AI611=1,'Calc (ex-animal)'!$R$113*'Calc (ex-housing, ex-storage)'!F611/100/VLOOKUP($C$607,'DB animal categories'!$C$221:$AC$230,27,FALSE)*AJ611,IF(AI611=4,('Calc (ex-animal)'!$R$113+'Calc (ex-animal)'!$Q$113)*'Calc (ex-housing, ex-storage)'!F611/100*VLOOKUP(D611,'DB technologies'!$N$294:$Y$306,11,FALSE)/100/VLOOKUP($C$607,'DB animal categories'!$C$221:$AC$230,27,FALSE)*AJ611,0))))</f>
        <v/>
      </c>
      <c r="AS611" s="183" t="str">
        <f>IF(D611="","",VLOOKUP(D611,'DB technologies'!$N$294:$Y$306,10,FALSE))</f>
        <v/>
      </c>
      <c r="AT611" s="452" t="str">
        <f>IF(AS611="","",AU611+AV611)</f>
        <v/>
      </c>
      <c r="AU611" s="452" t="str">
        <f>IF(D611="","",IF(AS611=2,0,IF(AS611=1,'Calc (ex-animal)'!$G$113*'DB additional information '!$K$24/100*(1-VLOOKUP(D611,'DB technologies'!$N$294:$Y$306,8,FALSE)/100)*'Calc (ex-housing, ex-storage)'!F611/100/VLOOKUP($C$607,'DB animal categories'!$C$221:$AC$230,27,FALSE)*AJ611+I611+J611+K611,IF(AS611=5,(('Calc (ex-animal)'!$G$113*'DB additional information '!$K$24/100+'Calc (ex-animal)'!$H$113*'DB additional information '!$L$24/100))*(1-VLOOKUP(D611,'DB technologies'!$N$294:$Y$306,9,FALSE)/100)*'Calc (ex-housing, ex-storage)'!F611/100/VLOOKUP($C$607,'DB animal categories'!$C$221:$AC$230,27,FALSE)*AJ611+I611+J611+K611,IF(AS611=3,('Calc (ex-animal)'!$G$113*'DB additional information '!$K$24/100+'Calc (ex-animal)'!$H$113*'DB additional information '!$L$24/100)*(1-VLOOKUP(D611,'DB technologies'!$N$294:$Y$306,9,FALSE)/100)*'Calc (ex-housing, ex-storage)'!F611/100/VLOOKUP($C$607,'DB animal categories'!$C$221:$AC$230,27,FALSE)*AJ611+I611+J611+K611,IF(AS611=4,('Calc (ex-animal)'!$G$113*'DB additional information '!$K$24/100+'Calc (ex-animal)'!$H$113*'DB additional information '!$L$24/100)*(1-VLOOKUP(D611,'DB technologies'!$N$294:$Y$306,9,FALSE)/100)*'Calc (ex-housing, ex-storage)'!F611/100*VLOOKUP(D611,'DB technologies'!$N$294:$Y$306,12,FALSE)/100/VLOOKUP($C$607,'DB animal categories'!$C$221:$AC$230,27,FALSE)*AJ611+I611+J611+K611,0))))))</f>
        <v/>
      </c>
      <c r="AV611" s="452" t="str">
        <f>IF(D611="","",IF(AS611=2,0,IF(AS611=1,'Calc (ex-animal)'!$G$113*(1-'DB additional information '!$K$24/100)*(1-VLOOKUP(D611,'DB technologies'!$N$294:$Y$306,8,FALSE)/100)*'Calc (ex-housing, ex-storage)'!F611/100/VLOOKUP($C$607,'DB animal categories'!$C$221:$AC$230,27,FALSE)*AJ611+M611+N611+O611,IF(AS611=5,('Calc (ex-animal)'!$G$113*(1-'DB additional information '!$K$24/100)+'Calc (ex-animal)'!$H$113*(1-'DB additional information '!$L$24/100))*(1-VLOOKUP(D611,'DB technologies'!$N$294:$Y$306,8,FALSE)/100)*'Calc (ex-housing, ex-storage)'!F611/100/VLOOKUP($C$607,'DB animal categories'!$C$221:$AC$230,27,FALSE)*AJ611+M611+N611+O611,IF(AS611=3,('Calc (ex-animal)'!$G$113*(1-'DB additional information '!$K$24/100)+'Calc (ex-animal)'!$H$113*(1-'DB additional information '!$L$24/100))*(1-VLOOKUP(D611,'DB technologies'!$N$294:$Y$306,8,FALSE)/100)*'Calc (ex-housing, ex-storage)'!F611/100/VLOOKUP($C$607,'DB animal categories'!$C$221:$AC$230,27,FALSE)*AJ611+M611+N611+O611,IF(AS611=4,('Calc (ex-animal)'!$G$113*(1-'DB additional information '!$K$24/100)+'Calc (ex-animal)'!$H$113*(1-'DB additional information '!$L$24/100))*(1-VLOOKUP(D611,'DB technologies'!$N$294:$Y$306,8,FALSE)/100)*'Calc (ex-housing, ex-storage)'!F611/100*VLOOKUP(D611,'DB technologies'!$N$294:$Y$306,12,FALSE)/100/VLOOKUP($C$607,'DB animal categories'!$C$221:$AC$230,27,FALSE)*AJ611+M611+N611+O611,0))))))</f>
        <v/>
      </c>
      <c r="AW611" s="452" t="str">
        <f>IF(AS611="","",IF(AU611=0,0,AU611/AT611*100))</f>
        <v/>
      </c>
      <c r="AX611" s="184" t="str">
        <f>IF(D611="","",IF(AS611=2,0,IF(AS611=1,'Calc (ex-animal)'!$K$113*'Calc (ex-housing, ex-storage)'!F611/100/VLOOKUP($C$607,'DB animal categories'!$C$221:$AC$230,27,FALSE)*AJ611+Q611+R611+S611,IF(AS611=5,('Calc (ex-animal)'!$K$113+'Calc (ex-animal)'!$L$113)*'Calc (ex-housing, ex-storage)'!F611/100/VLOOKUP($C$607,'DB animal categories'!$C$221:$AC$230,27,FALSE)*AJ611+Q611+R611+S611-'Calc (ex-housing, ex-storage)'!AC611,IF(AS611=3,('Calc (ex-animal)'!$K$113+'Calc (ex-animal)'!$L$113)*'Calc (ex-housing, ex-storage)'!F611/100/VLOOKUP($C$607,'DB animal categories'!$C$221:$AC$230,27,FALSE)*AJ611+Q611+R611+S611-'Calc (ex-housing, ex-storage)'!AC611-AD611-AE611,IF(AI611=4,('Calc (ex-animal)'!$K$113+'Calc (ex-animal)'!$L$113)*'Calc (ex-housing, ex-storage)'!F611/100*VLOOKUP(D611,'DB technologies'!$N$294:$Y$306,12,FALSE)/100/VLOOKUP($C$607,'DB animal categories'!$C$221:$AC$230,27,FALSE)*AJ611+Q611+R611+S611-(VLOOKUP(D611,'DB technologies'!$N$294:$Y$306,12,FALSE)/100*AC611)-AD611-AE611,0))))))</f>
        <v/>
      </c>
      <c r="AY611" s="184" t="str">
        <f>IF(D611="","",IF(AS611=2,0,IF(AS611=1,'Calc (ex-animal)'!$N$113*'Calc (ex-housing, ex-storage)'!F611/100/VLOOKUP($C$607,'DB animal categories'!$C$221:$AC$230,27,FALSE)*AJ611+U611+V611+W611,IF(AS611=5,('Calc (ex-animal)'!$N$113+'Calc (ex-animal)'!$O$113)*'Calc (ex-housing, ex-storage)'!F611/100/VLOOKUP($C$607,'DB animal categories'!$C$221:$AC$230,27,FALSE)*AJ611+U611+V611+W611,IF(AS611=3,('Calc (ex-animal)'!$N$113+'Calc (ex-animal)'!$O$113)*'Calc (ex-housing, ex-storage)'!F611/100/VLOOKUP($C$607,'DB animal categories'!$C$221:$AC$230,27,FALSE)*AJ611+U611+V611+W611,IF(AS611=4,('Calc (ex-animal)'!$N$113+'Calc (ex-animal)'!$O$113)*'Calc (ex-housing, ex-storage)'!F611/100*VLOOKUP(D611,'DB technologies'!$N$294:$Y$306,12,FALSE)/100/VLOOKUP($C$607,'DB animal categories'!$C$221:$AC$230,27,FALSE)*AJ611+U611+V611+W611,0))))))</f>
        <v/>
      </c>
      <c r="AZ611" s="184" t="str">
        <f>IF(D611="","",IF(AS611=2,0,IF(AS611=1,'Calc (ex-animal)'!$Q$113*'Calc (ex-housing, ex-storage)'!F611/100/VLOOKUP($C$607,'DB animal categories'!$C$221:$AC$230,27,FALSE)*AJ611+Y611+Z611+AA611,IF(AS611=5,('Calc (ex-animal)'!$Q$113+'Calc (ex-animal)'!$R$113)*'Calc (ex-housing, ex-storage)'!F611/100/VLOOKUP($C$607,'DB animal categories'!$C$221:$AC$230,27,FALSE)*AJ611+Y611+Z611+AA611,IF(AS611=3,('Calc (ex-animal)'!$Q$113+'Calc (ex-animal)'!$R$113)*'Calc (ex-housing, ex-storage)'!F611/100/VLOOKUP($C$607,'DB animal categories'!$C$221:$AC$230,27,FALSE)*AJ611+Y611+Z611+AA611,IF(AS611=4,('Calc (ex-animal)'!$Q$113+'Calc (ex-animal)'!$R$113)*'Calc (ex-housing, ex-storage)'!F611/100*VLOOKUP(D611,'DB technologies'!$N$294:$Y$306,12,FALSE)/100/VLOOKUP($C$607,'DB animal categories'!$C$221:$AC$230,27,FALSE)*AJ611+Y611+Z611+AA611,0))))))</f>
        <v/>
      </c>
      <c r="BA611" s="506"/>
      <c r="BB611" s="506"/>
      <c r="BC611" s="506"/>
    </row>
    <row r="612" spans="1:55" ht="12" thickBot="1" x14ac:dyDescent="0.25">
      <c r="A612" s="748"/>
      <c r="B612" s="695"/>
      <c r="C612" s="252"/>
      <c r="D612" s="269" t="s">
        <v>58</v>
      </c>
      <c r="E612" s="270">
        <f>IF('Calc (ex-animal)'!F113=1,'Calc (ex-animal)'!E113,IF(F612&lt;=100,SUM(E607:E611),"ERROR"))</f>
        <v>0</v>
      </c>
      <c r="F612" s="284">
        <f>IF('Calc (ex-animal)'!F113=1,100,IF(SUM(F607:F611) &lt;=100,SUM(F607:F611),"ERROR, SUM&gt;100%"))</f>
        <v>0</v>
      </c>
      <c r="G612" s="550">
        <f>IF('Calc (ex-animal)'!$F$113=1,"",SUM(G607:G611))</f>
        <v>0</v>
      </c>
      <c r="H612" s="418">
        <f>IF('Calc (ex-animal)'!$F$8=1,"",SUM(H607:H611))</f>
        <v>0</v>
      </c>
      <c r="I612" s="418">
        <f>IF('Calc (ex-animal)'!$F$8=1,"",SUM(I607:I611))</f>
        <v>0</v>
      </c>
      <c r="J612" s="418">
        <f>IF('Calc (ex-animal)'!$F$8=1,"",SUM(J607:J611))</f>
        <v>0</v>
      </c>
      <c r="K612" s="418">
        <f>IF('Calc (ex-animal)'!$F$8=1,"",SUM(K607:K611))</f>
        <v>0</v>
      </c>
      <c r="L612" s="418">
        <f>IF('Calc (ex-animal)'!$F$8=1,"",SUM(L607:L611))</f>
        <v>0</v>
      </c>
      <c r="M612" s="551"/>
      <c r="N612" s="551"/>
      <c r="O612" s="551"/>
      <c r="P612" s="552">
        <f>IF(G612=0,0,IF('Calc (ex-animal)'!$F$113=1,"",IF(D612="","",SUM(H612:K612)/G612*100)))</f>
        <v>0</v>
      </c>
      <c r="Q612" s="271"/>
      <c r="R612" s="271"/>
      <c r="S612" s="271"/>
      <c r="T612" s="278">
        <f>IF('Calc (ex-animal)'!$F$113=1,"",SUM(T607:T611))</f>
        <v>0</v>
      </c>
      <c r="U612" s="279"/>
      <c r="V612" s="279"/>
      <c r="W612" s="279"/>
      <c r="X612" s="279">
        <f>IF('Calc (ex-animal)'!$F$113=1,"",SUM(X607:X611))</f>
        <v>0</v>
      </c>
      <c r="Y612" s="279"/>
      <c r="Z612" s="279"/>
      <c r="AA612" s="279"/>
      <c r="AB612" s="279">
        <f>IF('Calc (ex-animal)'!$F$113=1,"",SUM(AB607:AB611))</f>
        <v>0</v>
      </c>
      <c r="AC612" s="279">
        <f>IF('Calc (ex-animal)'!$F$113=1,"",SUM(AC607:AC611))</f>
        <v>0</v>
      </c>
      <c r="AD612" s="279">
        <f>IF('Calc (ex-animal)'!$F$113=1,"",SUM(AD607:AD611))</f>
        <v>0</v>
      </c>
      <c r="AE612" s="280">
        <f>IF('Calc (ex-animal)'!$F$113=1,"",SUM(AE607:AE611))</f>
        <v>0</v>
      </c>
    </row>
    <row r="613" spans="1:55" x14ac:dyDescent="0.2">
      <c r="A613" s="748"/>
      <c r="B613" s="695"/>
      <c r="C613" s="250">
        <f>'Calc (ex-animal)'!D114</f>
        <v>0</v>
      </c>
      <c r="D613" s="1355"/>
      <c r="E613" s="1356"/>
      <c r="F613" s="479" t="str">
        <f>IF('Calc (ex-animal)'!$F$113=1,"",IF($C$613=0,"",IF(D613="","",E613/'Calc (ex-animal)'!$E$114*100)))</f>
        <v/>
      </c>
      <c r="G613" s="484" t="str">
        <f>IF($C$613=0,"",IF('Calc (ex-animal)'!$F$113=1,"",IF(D613="","",SUM(H613:O613))))</f>
        <v/>
      </c>
      <c r="H613" s="471" t="str">
        <f>IF('Calc (ex-animal)'!$F$113=1,"",IF(D613="","",(((VLOOKUP($C$613,'Calc (ex-animal)'!$D$113:$Y$117,6,FALSE)-VLOOKUP($C$613,'Calc (ex-animal)'!$D$113:$Y$117,17,FALSE))*F613/100))*VLOOKUP($C$613,'Calc (ex-animal)'!$D$113:$Y$117,7,FALSE)/100*(1-VLOOKUP(D613,'DB technologies'!$N$294:$Y$306,9,FALSE)/100)))</f>
        <v/>
      </c>
      <c r="I613" s="471" t="str">
        <f>IF(D613="","",((VLOOKUP(D613,'DB technologies'!$N$294:$Y$306,2,FALSE)*VLOOKUP($C$613,'DB animal categories'!$C$221:$AC$230,27,FALSE)*E613/1000)/VLOOKUP($C$613,'DB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'!$S$6/100*(1-VLOOKUP(D613,'DB technologies'!$N$294:$Y$306,9,FALSE)/100)))</f>
        <v/>
      </c>
      <c r="J613" s="472" t="str">
        <f>IF(D613="","",((VLOOKUP(D613,'DB technologies'!$N$294:$Y$306,3,FALSE)*VLOOKUP($C$613,'DB animal categories'!$C$221:$AC$230,27,FALSE)*E613/1000)/VLOOKUP($C$613,'DB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'!$S$7/100*(1-VLOOKUP(D613,'DB technologies'!$N$294:$Y$306,9,FALSE)/100)))</f>
        <v/>
      </c>
      <c r="K613" s="472" t="str">
        <f>IF(D613="","",((VLOOKUP(D613,'DB technologies'!$N$294:$Y$306,4,FALSE)*E613*'DB additional information '!$S$8/100*(1-VLOOKUP(D613,'DB technologies'!$N$294:$Y$306,9,FALSE)/100))/VLOOKUP($C$613,'DB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L613" s="471" t="str">
        <f>IF('Calc (ex-animal)'!$F$113=1,"",IF(D613="","",(((VLOOKUP($C$613,'Calc (ex-animal)'!$D$113:$Y$117,6,FALSE)-VLOOKUP($C$613,'Calc (ex-animal)'!$D$113:$Y$117,17,FALSE))*F613/100))*(1-VLOOKUP($C$613,'Calc (ex-animal)'!$D$113:$Y$117,7,FALSE)/100)*(1-VLOOKUP(D613,'DB technologies'!$N$294:$V$306,8,FALSE)/100)))</f>
        <v/>
      </c>
      <c r="M613" s="472" t="str">
        <f>IF(D613="","",((VLOOKUP(D613,'DB technologies'!$N$294:$Y$306,2,FALSE)*VLOOKUP($C$613,'DB animal categories'!$C$221:$AC$230,27,FALSE)*E613/1000)/VLOOKUP($C$613,'DB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'!$S$6/100)*(1-VLOOKUP(D613,'DB technologies'!$N$294:$Y$306,9,FALSE)/100))</f>
        <v/>
      </c>
      <c r="N613" s="472" t="str">
        <f>IF(D613="","",((VLOOKUP(D613,'DB technologies'!$N$294:$Y$306,3,FALSE)*VLOOKUP($C$613,'DB animal categories'!$C$221:$AC$230,27,FALSE)*E613/1000)/VLOOKUP($C$613,'DB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'!$S$7/100)*(1-VLOOKUP(D613,'DB technologies'!$N$294:$Y$306,9,FALSE)/100))</f>
        <v/>
      </c>
      <c r="O613" s="471" t="str">
        <f>IF(D613="","",((VLOOKUP(D613,'DB technologies'!$N$294:$Y$306,4,FALSE)*E613*(1-'DB additional information '!$S$8/100)*(1-VLOOKUP(D613,'DB technologies'!$N$294:$Y$306,8,FALSE)/100))/VLOOKUP($C$613,'DB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P613" s="443" t="str">
        <f>IF(G613=0,0,IF(E613="","",IF(F613="","",IF($C$613=0,"",IF(D613="","",SUM(H613:K613)/G613*100)))))</f>
        <v/>
      </c>
      <c r="Q613" s="473" t="str">
        <f>IF(D613="","",(VLOOKUP(D613,'DB technologies'!$N$294:$Y$306,2,FALSE)*'DB additional information '!$S$6/100*'DB additional information '!$T$6*VLOOKUP($C$613,'DB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R613" s="473" t="str">
        <f>IF(D613="","",(VLOOKUP(D613,'DB technologies'!$N$294:$Y$306,3,FALSE)*'DB additional information '!$S$7/100*'DB additional information '!$T$7*VLOOKUP($C$613,'DB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S613" s="490" t="str">
        <f>IF(D613="","",(VLOOKUP(D613,'DB technologies'!$N$294:$Y$306,4,FALSE)*('DB additional information '!$S$8/100*'DB additional information '!$T$8*E613/1000/1000)))</f>
        <v/>
      </c>
      <c r="T613" s="263" t="str">
        <f>IF($C$613=0,"",IF('Calc (ex-animal)'!$F$113=1,"",IF(D613="","",((VLOOKUP($C$613,'Calc (ex-animal)'!$D$113:$Y$117,10,FALSE)-VLOOKUP($C$613,'Calc (ex-animal)'!$D$113:$Y$117,18,FALSE))*F613/100+Q613+R613+S613)-AC613-AD613-AE613)))</f>
        <v/>
      </c>
      <c r="U613" s="474" t="str">
        <f>IF(D613="","",(VLOOKUP(D613,'DB technologies'!$N$294:$Y$306,2,FALSE)*'DB additional information '!$S$6/100*'DB additional information '!$U$6*VLOOKUP($C$613,'DB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V613" s="420" t="str">
        <f>IF(D613="","",(VLOOKUP(D613,'DB technologies'!$N$294:$Y$306,3,FALSE)*'DB additional information '!$S$7/100*'DB additional information '!$U$7*VLOOKUP($C$613,'DB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W613" s="415" t="str">
        <f>IF(D613="","",(VLOOKUP(D613,'DB technologies'!$N$294:$Y$306,4,FALSE)*('DB additional information '!$S$8/100*'DB additional information '!$U$8*E613/1000/1000)))</f>
        <v/>
      </c>
      <c r="X613" s="259" t="str">
        <f>IF($C$613=0,"",IF('Calc (ex-animal)'!$F$113=1,"",IF(D613="","",((VLOOKUP($C$613,'Calc (ex-animal)'!$D$113:$Y$117,13,FALSE)-VLOOKUP($C$613,'Calc (ex-animal)'!$D$113:$Y$117,19,FALSE))*F613/100+U613+V613+W613))))</f>
        <v/>
      </c>
      <c r="Y613" s="420" t="str">
        <f>IF(D613="","",(VLOOKUP(D613,'DB technologies'!$N$294:$Y$306,2,FALSE)*'DB additional information '!$S$6/100*'DB additional information '!$V$6*VLOOKUP($C$613,'DB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Z613" s="420" t="str">
        <f>IF(D613="","",(VLOOKUP(D613,'DB technologies'!$N$294:$Y$306,3,FALSE)*'DB additional information '!$S$7/100*'DB additional information '!$V$7*VLOOKUP($C$613,'DB animal categories'!$C$221:$AC$230,27,FALSE)*E613/1000/1000)/VLOOKUP($C$613,'DB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AA613" s="420" t="str">
        <f>IF(D613="","",(VLOOKUP(D613,'DB technologies'!$N$294:$Y$306,4,FALSE)*('DB additional information '!$S$8/100*'DB additional information '!$V$8*E613/1000/1000)))</f>
        <v/>
      </c>
      <c r="AB613" s="259" t="str">
        <f>IF($C$613=0,"",IF('Calc (ex-animal)'!$F$113=1,"",IF(D613="","",((VLOOKUP($C$613,'Calc (ex-animal)'!$D$113:$Y$117,16,FALSE)-VLOOKUP($C$613,'Calc (ex-animal)'!$D$113:$Y$117,20,FALSE))*F613/100+Y613+Z613+AA613))))</f>
        <v/>
      </c>
      <c r="AC613" s="259" t="str">
        <f>IF($C$613=0,"",IF('Calc (ex-animal)'!$F$113=1,"",IF(D613="","",VLOOKUP($C$613,'Calc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categories'!$C$221:$AC$230,26,FALSE)/24)*F613/100*VLOOKUP(D613,'DB technologies'!$N$294:$R$306,5,FALSE)/100)))</f>
        <v/>
      </c>
      <c r="AD613" s="259" t="str">
        <f>IF($C$613=0,"",IF('Calc (ex-animal)'!$F$113=1,"",IF(D613="","",VLOOKUP($C$613,'Calc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categories'!$C$221:$AC$230,26,FALSE)/24)*F613/100*VLOOKUP(D613,'DB technologies'!$N$294:$Y$306,6,FALSE)/100)))</f>
        <v/>
      </c>
      <c r="AE613" s="260" t="str">
        <f>IF($C$613=0,"",IF('Calc (ex-animal)'!$F$113=1,"",IF(D613="","",VLOOKUP($C$613,'Calc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categories'!$C$221:$AC$230,26,FALSE)/24)*F613/100*VLOOKUP(D613,'DB technologies'!$N$294:$Y$306,7,FALSE)/100)))</f>
        <v/>
      </c>
      <c r="AI613" s="179" t="str">
        <f>IF(D613="","",VLOOKUP(D613,'DB technologies'!$N$294:$Y$306,10,FALSE))</f>
        <v/>
      </c>
      <c r="AJ613" s="482" t="e">
        <f>VLOOKUP($C$613,'DB animal categories'!$C$221:$AN$230,27,FALSE)-VLOOKUP($C$613,'DB animal categories'!$C$221:$AN$230,26,FALSE)*VLOOKUP($C$613,'DB animal categories'!$C$221:$AN$230,25,FALSE)/24</f>
        <v>#N/A</v>
      </c>
      <c r="AK613" s="453" t="str">
        <f>IF(AI613="","",AL613+AM613)</f>
        <v/>
      </c>
      <c r="AL613" s="453" t="str">
        <f>IF(D613="","",IF(AI613=2,(('Calc (ex-animal)'!$G$114*'DB additional information '!$K$24/100*(1-VLOOKUP(D613,'DB technologies'!$N$294:$Y$306,9,FALSE)/100)*'Calc (ex-housing, ex-storage)'!F613/100+'Calc (ex-animal)'!$H$114*'DB additional information '!$L$24/100*(1-VLOOKUP(D613,'DB technologies'!$N$294:$Y$306,9,FALSE)/100)*'Calc (ex-housing, ex-storage)'!F613/100))/VLOOKUP($C$613,'DB animal categories'!$C$221:$AC$230,27,FALSE)*AJ613+I613+J613+K613,IF(AI613=1,('Calc (ex-animal)'!$H$114*'DB additional information '!$L$24/100*(1-VLOOKUP(D613,'DB technologies'!$N$294:$Y$306,9,FALSE)/100)*'Calc (ex-housing, ex-storage)'!F613/100)/VLOOKUP($C$613,'DB animal categories'!$C$221:$AC$230,27,FALSE)*AJ613,IF(AI613=4,('Calc (ex-animal)'!$G$114*'DB additional information '!$K$24/100+'Calc (ex-animal)'!$H$114*'DB additional information '!$L$24/100)*(1-VLOOKUP(D613,'DB technologies'!$N$294:$Y$306,9,FALSE)/100)*'Calc (ex-housing, ex-storage)'!F613/100*VLOOKUP(D613,'DB technologies'!$N$294:$Y$306,11,FALSE)/100/VLOOKUP($C$613,'DB animal categories'!$C$221:$AC$230,27,FALSE)*AJ613,0))))</f>
        <v/>
      </c>
      <c r="AM613" s="453" t="str">
        <f>IF(D613="","",IF(AI613=2,(('Calc (ex-animal)'!$G$114*(1-'DB additional information '!$K$24/100)*(1-VLOOKUP(D613,'DB technologies'!$N$294:$Y$306,8,FALSE)/100)*'Calc (ex-housing, ex-storage)'!F613/100+'Calc (ex-animal)'!$H$114*(1-'DB additional information '!$L$24/100)*(1-VLOOKUP(D613,'DB technologies'!$N$294:$Y$306,8,FALSE)/100)*'Calc (ex-housing, ex-storage)'!F613/100))/VLOOKUP($C$613,'DB animal categories'!$C$221:$AC$230,27,FALSE)*AJ613+M613+N613+O613,IF(AI613=1,('Calc (ex-animal)'!$H$114*(1-'DB additional information '!$L$24/100)*(1-VLOOKUP(D613,'DB technologies'!$N$294:$Y$306,8,FALSE)/100)*'Calc (ex-housing, ex-storage)'!F613/100)/VLOOKUP($C$613,'DB animal categories'!$C$221:$AC$230,27,FALSE)*AJ613,IF(AI613=4,('Calc (ex-animal)'!$G$114*(1-'DB additional information '!$K$24/100)+'Calc (ex-animal)'!$H$114*(1-'DB additional information '!$L$24/100))*(1-VLOOKUP(D613,'DB technologies'!$N$294:$Y$306,8,FALSE)/100)*'Calc (ex-housing, ex-storage)'!F613/100*VLOOKUP(D613,'DB technologies'!$N$294:$Y$306,11,FALSE)/100/VLOOKUP($C$613,'DB animal categories'!$C$221:$AC$230,27,FALSE)*AJ613,0))))</f>
        <v/>
      </c>
      <c r="AN613" s="453" t="str">
        <f>IF(AI613="","",IF(AL613=0,0,AL613/AK613*100))</f>
        <v/>
      </c>
      <c r="AO613" s="180" t="str">
        <f>IF(D613="","",IF(AI613=2,(('Calc (ex-animal)'!$L$114*'Calc (ex-housing, ex-storage)'!F613/100+'Calc (ex-animal)'!$K$114*'Calc (ex-housing, ex-storage)'!F613/100))/VLOOKUP($C$613,'DB animal categories'!$C$221:$AC$230,27,FALSE)*AJ613+Q613+R613+S613-AC613,IF(AI613=1,('Calc (ex-animal)'!$L$114*'Calc (ex-housing, ex-storage)'!F613/100)/VLOOKUP($C$613,'DB animal categories'!$C$221:$AC$230,27,FALSE)*AJ613-'Calc (ex-housing, ex-storage)'!AC613,IF(AI613=4,('Calc (ex-animal)'!$L$114+'Calc (ex-animal)'!$K$114)*'Calc (ex-housing, ex-storage)'!F613/100*VLOOKUP(D613,'DB technologies'!$N$294:$Y$306,11,FALSE)/100/VLOOKUP($C$613,'DB animal categories'!$C$221:$AC$230,27,FALSE)*AJ613-AC613*VLOOKUP(D613,'DB technologies'!$N$294:$Y$306,11,FALSE)/100,0))))</f>
        <v/>
      </c>
      <c r="AP613" s="180" t="str">
        <f>IF(D613="","",IF(AO613&lt;-0.01,0,IF(AI613=2,(('Calc (ex-animal)'!$L$114*'Calc (ex-housing, ex-storage)'!F613/100+'Calc (ex-animal)'!$K$114*'Calc (ex-housing, ex-storage)'!F613/100))/VLOOKUP($C$613,'DB animal categories'!$C$221:$AC$230,27,FALSE)*AJ613+Q613+R613+S613-AC613,IF(AI613=1,('Calc (ex-animal)'!$L$114*'Calc (ex-housing, ex-storage)'!F613/100)/VLOOKUP($C$613,'DB animal categories'!$C$221:$AC$230,27,FALSE)*AJ613-'Calc (ex-housing, ex-storage)'!AC613,IF(AI613=4,('Calc (ex-animal)'!$L$114+'Calc (ex-animal)'!$K$114)*'Calc (ex-housing, ex-storage)'!F613/100*VLOOKUP(D613,'DB technologies'!$N$294:$Y$306,11,FALSE)/100/VLOOKUP($C$613,'DB animal categories'!$C$221:$AC$230,27,FALSE)*AJ613-AC613*VLOOKUP(D613,'DB technologies'!$N$294:$Y$306,11,FALSE)/100,0)))))</f>
        <v/>
      </c>
      <c r="AQ613" s="180" t="str">
        <f>IF(D613="","",IF(AI613=2,('Calc (ex-animal)'!$O$114*'Calc (ex-housing, ex-storage)'!F613/100+'Calc (ex-animal)'!$N$114*'Calc (ex-housing, ex-storage)'!F613/100)/VLOOKUP($C$613,'DB animal categories'!$C$221:$AC$230,27,FALSE)*AJ613+U613+V613+W613,IF(AI613=1,'Calc (ex-animal)'!$O$114*'Calc (ex-housing, ex-storage)'!F613/100/VLOOKUP($C$613,'DB animal categories'!$C$221:$AC$230,27,FALSE)*AJ613,IF(AI613=4,('Calc (ex-animal)'!$O$114+'Calc (ex-animal)'!$N$114)*'Calc (ex-housing, ex-storage)'!F613/100*VLOOKUP(D613,'DB technologies'!$N$294:$Y$306,11,FALSE)/100/VLOOKUP($C$613,'DB animal categories'!$C$221:$AC$230,27,FALSE)*AJ613,0))))</f>
        <v/>
      </c>
      <c r="AR613" s="180" t="str">
        <f>IF(D613="","",IF(AI613=2,('Calc (ex-animal)'!$R$114*'Calc (ex-housing, ex-storage)'!F613/100+'Calc (ex-animal)'!$Q$114*'Calc (ex-housing, ex-storage)'!F613/100)/VLOOKUP($C$613,'DB animal categories'!$C$221:$AC$230,27,FALSE)*AJ613+Y613+Z613+AA613,IF(AI613=1,'Calc (ex-animal)'!$R$114*'Calc (ex-housing, ex-storage)'!F613/100/VLOOKUP($C$613,'DB animal categories'!$C$221:$AC$230,27,FALSE)*AJ613,IF(AI613=4,('Calc (ex-animal)'!$R$114+'Calc (ex-animal)'!$Q$114)*'Calc (ex-housing, ex-storage)'!F613/100*VLOOKUP(D613,'DB technologies'!$N$294:$Y$306,11,FALSE)/100/VLOOKUP($C$613,'DB animal categories'!$C$221:$AC$230,27,FALSE)*AJ613,0))))</f>
        <v/>
      </c>
      <c r="AS613" s="179" t="str">
        <f>IF(D613="","",VLOOKUP(D613,'DB technologies'!$N$294:$Y$306,10,FALSE))</f>
        <v/>
      </c>
      <c r="AT613" s="453" t="str">
        <f>IF(AS613="","",AU613+AV613)</f>
        <v/>
      </c>
      <c r="AU613" s="453" t="str">
        <f>IF(D613="","",IF(AS613=2,0,IF(AS613=1,'Calc (ex-animal)'!$G$114*'DB additional information '!$K$24/100*(1-VLOOKUP(D613,'DB technologies'!$N$294:$Y$306,8,FALSE)/100)*'Calc (ex-housing, ex-storage)'!F613/100/VLOOKUP($C$613,'DB animal categories'!$C$221:$AC$230,27,FALSE)*AJ613+I613+J613+K613,IF(AS613=5,(('Calc (ex-animal)'!$G$114*'DB additional information '!$K$24/100+'Calc (ex-animal)'!$H$114*'DB additional information '!$L$24/100))*(1-VLOOKUP(D613,'DB technologies'!$N$294:$Y$306,9,FALSE)/100)*'Calc (ex-housing, ex-storage)'!F613/100/VLOOKUP($C$613,'DB animal categories'!$C$221:$AC$230,27,FALSE)*AJ613+I613+J613+K613,IF(AS613=3,('Calc (ex-animal)'!$G$114*'DB additional information '!$K$24/100+'Calc (ex-animal)'!$H$114*'DB additional information '!$L$24/100)*(1-VLOOKUP(D613,'DB technologies'!$N$294:$Y$306,9,FALSE)/100)*'Calc (ex-housing, ex-storage)'!F613/100/VLOOKUP($C$613,'DB animal categories'!$C$221:$AC$230,27,FALSE)*AJ613+I613+J613+K613,IF(AS613=4,('Calc (ex-animal)'!$G$114*'DB additional information '!$K$24/100+'Calc (ex-animal)'!$H$114*'DB additional information '!$L$24/100)*(1-VLOOKUP(D613,'DB technologies'!$N$294:$Y$306,9,FALSE)/100)*'Calc (ex-housing, ex-storage)'!F613/100*VLOOKUP(D613,'DB technologies'!$N$294:$Y$306,12,FALSE)/100/VLOOKUP($C$613,'DB animal categories'!$C$221:$AC$230,27,FALSE)*AJ613+I613+J613+K613,0))))))</f>
        <v/>
      </c>
      <c r="AV613" s="453" t="str">
        <f>IF(D613="","",IF(AS613=2,0,IF(AS613=1,'Calc (ex-animal)'!$G$114*(1-'DB additional information '!$K$24/100)*(1-VLOOKUP(D613,'DB technologies'!$N$294:$Y$306,8,FALSE)/100)*'Calc (ex-housing, ex-storage)'!F613/100/VLOOKUP($C$613,'DB animal categories'!$C$221:$AC$230,27,FALSE)*AJ613+M613+N613+O613,IF(AS613=5,('Calc (ex-animal)'!$G$114*(1-'DB additional information '!$K$24/100)+'Calc (ex-animal)'!$H$114*(1-'DB additional information '!$L$24/100))*(1-VLOOKUP(D613,'DB technologies'!$N$294:$Y$306,8,FALSE)/100)*'Calc (ex-housing, ex-storage)'!F613/100/VLOOKUP($C$613,'DB animal categories'!$C$221:$AC$230,27,FALSE)*AJ613+M613+N613+O613,IF(AS613=3,('Calc (ex-animal)'!$G$114*(1-'DB additional information '!$K$24/100)+'Calc (ex-animal)'!$H$114*(1-'DB additional information '!$L$24/100))*(1-VLOOKUP(D613,'DB technologies'!$N$294:$Y$306,8,FALSE)/100)*'Calc (ex-housing, ex-storage)'!F613/100/VLOOKUP($C$613,'DB animal categories'!$C$221:$AC$230,27,FALSE)*AJ613+M613+N613+O613,IF(AS613=4,('Calc (ex-animal)'!$G$114*(1-'DB additional information '!$K$24/100)+'Calc (ex-animal)'!$H$114*(1-'DB additional information '!$L$24/100))*(1-VLOOKUP(D613,'DB technologies'!$N$294:$Y$306,8,FALSE)/100)*'Calc (ex-housing, ex-storage)'!F613/100*VLOOKUP(D613,'DB technologies'!$N$294:$Y$306,12,FALSE)/100/VLOOKUP($C$613,'DB animal categories'!$C$221:$AC$230,27,FALSE)*AJ613+M613+N613+O613,0))))))</f>
        <v/>
      </c>
      <c r="AW613" s="453" t="str">
        <f>IF(AS613="","",IF(AU613=0,0,AU613/AT613*100))</f>
        <v/>
      </c>
      <c r="AX613" s="180" t="str">
        <f>IF(D613="","",IF(AS613=2,0,IF(AS613=1,'Calc (ex-animal)'!$K$114*'Calc (ex-housing, ex-storage)'!F613/100/VLOOKUP($C$613,'DB animal categories'!$C$221:$AC$230,27,FALSE)*AJ613+Q613+R613+S613,IF(AS613=5,('Calc (ex-animal)'!$K$114+'Calc (ex-animal)'!$L$114)*'Calc (ex-housing, ex-storage)'!F613/100/VLOOKUP($C$613,'DB animal categories'!$C$221:$AC$230,27,FALSE)*AJ613+Q613+R613+S613-'Calc (ex-housing, ex-storage)'!AC613,IF(AS613=3,('Calc (ex-animal)'!$K$114+'Calc (ex-animal)'!$L$114)*'Calc (ex-housing, ex-storage)'!F613/100/VLOOKUP($C$613,'DB animal categories'!$C$221:$AC$230,27,FALSE)*AJ613+Q613+R613+S613-'Calc (ex-housing, ex-storage)'!AC613-AD613-AE613,IF(AI613=4,('Calc (ex-animal)'!$K$114+'Calc (ex-animal)'!$L$114)*'Calc (ex-housing, ex-storage)'!F613/100*VLOOKUP(D613,'DB technologies'!$N$294:$Y$306,12,FALSE)/100/VLOOKUP($C$613,'DB animal categories'!$C$221:$AC$230,27,FALSE)*AJ613+Q613+R613+S613-(VLOOKUP(D613,'DB technologies'!$N$294:$Y$306,12,FALSE)/100*AC613)-AD613-AE613,0))))))</f>
        <v/>
      </c>
      <c r="AY613" s="180" t="str">
        <f>IF(D613="","",IF(AS613=2,0,IF(AS613=1,'Calc (ex-animal)'!$N$114*'Calc (ex-housing, ex-storage)'!F613/100/VLOOKUP($C$613,'DB animal categories'!$C$221:$AC$230,27,FALSE)*AJ613+U613+V613+W613,IF(AS613=5,('Calc (ex-animal)'!$N$114+'Calc (ex-animal)'!$O$114)*'Calc (ex-housing, ex-storage)'!F613/100/VLOOKUP($C$613,'DB animal categories'!$C$221:$AC$230,27,FALSE)*AJ613+U613+V613+W613,IF(AS613=3,('Calc (ex-animal)'!$N$114+'Calc (ex-animal)'!$O$114)*'Calc (ex-housing, ex-storage)'!F613/100/VLOOKUP($C$613,'DB animal categories'!$C$221:$AC$230,27,FALSE)*AJ613+U613+V613+W613,IF(AS613=4,('Calc (ex-animal)'!$N$114+'Calc (ex-animal)'!$O$114)*'Calc (ex-housing, ex-storage)'!F613/100*VLOOKUP(D613,'DB technologies'!$N$294:$Y$306,12,FALSE)/100/VLOOKUP($C$613,'DB animal categories'!$C$221:$AC$230,27,FALSE)*AJ613+U613+V613+W613,0))))))</f>
        <v/>
      </c>
      <c r="AZ613" s="180" t="str">
        <f>IF(D613="","",IF(AS613=2,0,IF(AS613=1,'Calc (ex-animal)'!$Q$114*'Calc (ex-housing, ex-storage)'!F613/100/VLOOKUP($C$613,'DB animal categories'!$C$221:$AC$230,27,FALSE)*AJ613+Y613+Z613+AA613,IF(AS613=5,('Calc (ex-animal)'!$Q$114+'Calc (ex-animal)'!$R$114)*'Calc (ex-housing, ex-storage)'!F613/100/VLOOKUP($C$613,'DB animal categories'!$C$221:$AC$230,27,FALSE)*AJ613+Y613+Z613+AA613,IF(AS613=3,('Calc (ex-animal)'!$Q$114+'Calc (ex-animal)'!$R$114)*'Calc (ex-housing, ex-storage)'!F613/100/VLOOKUP($C$613,'DB animal categories'!$C$221:$AC$230,27,FALSE)*AJ613+Y613+Z613+AA613,IF(AS613=4,('Calc (ex-animal)'!$Q$114+'Calc (ex-animal)'!$R$114)*'Calc (ex-housing, ex-storage)'!F613/100*VLOOKUP(D613,'DB technologies'!$N$294:$Y$306,12,FALSE)/100/VLOOKUP($C$613,'DB animal categories'!$C$221:$AC$230,27,FALSE)*AJ613+Y613+Z613+AA613,0))))))</f>
        <v/>
      </c>
      <c r="BA613" s="506"/>
      <c r="BB613" s="506"/>
      <c r="BC613" s="506"/>
    </row>
    <row r="614" spans="1:55" x14ac:dyDescent="0.2">
      <c r="A614" s="748"/>
      <c r="B614" s="695"/>
      <c r="C614" s="251"/>
      <c r="D614" s="1357"/>
      <c r="E614" s="1358"/>
      <c r="F614" s="480" t="str">
        <f>IF('Calc (ex-animal)'!$F$113=1,"",IF($C$613=0,"",IF(D614="","",E614/'Calc (ex-animal)'!$E$114*100)))</f>
        <v/>
      </c>
      <c r="G614" s="485" t="str">
        <f>IF($C$613=0,"",IF('Calc (ex-animal)'!$F$113=1,"",IF(D614="","",SUM(H614:O614))))</f>
        <v/>
      </c>
      <c r="H614" s="423" t="str">
        <f>IF('Calc (ex-animal)'!$F$113=1,"",IF(D614="","",(((VLOOKUP($C$613,'Calc (ex-animal)'!$D$113:$Y$117,6,FALSE)-VLOOKUP($C$613,'Calc (ex-animal)'!$D$113:$Y$117,17,FALSE))*F614/100))*VLOOKUP($C$613,'Calc (ex-animal)'!$D$113:$Y$117,7,FALSE)/100*(1-VLOOKUP(D614,'DB technologies'!$N$294:$Y$306,9,FALSE)/100)))</f>
        <v/>
      </c>
      <c r="I614" s="423" t="str">
        <f>IF(D614="","",((VLOOKUP(D614,'DB technologies'!$N$294:$Y$306,2,FALSE)*VLOOKUP($C$613,'DB animal categories'!$C$221:$AC$230,27,FALSE)*E614/1000)/VLOOKUP($C$613,'DB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'!$S$6/100*(1-VLOOKUP(D614,'DB technologies'!$N$294:$Y$306,9,FALSE)/100)))</f>
        <v/>
      </c>
      <c r="J614" s="434" t="str">
        <f>IF(D614="","",((VLOOKUP(D614,'DB technologies'!$N$294:$Y$306,3,FALSE)*VLOOKUP($C$613,'DB animal categories'!$C$221:$AC$230,27,FALSE)*E614/1000)/VLOOKUP($C$613,'DB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'!$S$7/100*(1-VLOOKUP(D614,'DB technologies'!$N$294:$Y$306,9,FALSE)/100)))</f>
        <v/>
      </c>
      <c r="K614" s="434" t="str">
        <f>IF(D614="","",((VLOOKUP(D614,'DB technologies'!$N$294:$Y$306,4,FALSE)*E614*'DB additional information '!$S$8/100*(1-VLOOKUP(D614,'DB technologies'!$N$294:$Y$306,9,FALSE)/100))/VLOOKUP($C$613,'DB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L614" s="423" t="str">
        <f>IF('Calc (ex-animal)'!$F$113=1,"",IF(D614="","",(((VLOOKUP($C$613,'Calc (ex-animal)'!$D$113:$Y$117,6,FALSE)-VLOOKUP($C$613,'Calc (ex-animal)'!$D$113:$Y$117,17,FALSE))*F614/100))*(1-VLOOKUP($C$613,'Calc (ex-animal)'!$D$113:$Y$117,7,FALSE)/100)*(1-VLOOKUP(D614,'DB technologies'!$N$294:$V$306,8,FALSE)/100)))</f>
        <v/>
      </c>
      <c r="M614" s="434" t="str">
        <f>IF(D614="","",((VLOOKUP(D614,'DB technologies'!$N$294:$Y$306,2,FALSE)*VLOOKUP($C$613,'DB animal categories'!$C$221:$AC$230,27,FALSE)*E614/1000)/VLOOKUP($C$613,'DB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'!$S$6/100)*(1-VLOOKUP(D614,'DB technologies'!$N$294:$Y$306,9,FALSE)/100))</f>
        <v/>
      </c>
      <c r="N614" s="434" t="str">
        <f>IF(D614="","",((VLOOKUP(D614,'DB technologies'!$N$294:$Y$306,3,FALSE)*VLOOKUP($C$613,'DB animal categories'!$C$221:$AC$230,27,FALSE)*E614/1000)/VLOOKUP($C$613,'DB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'!$S$7/100)*(1-VLOOKUP(D614,'DB technologies'!$N$294:$Y$306,9,FALSE)/100))</f>
        <v/>
      </c>
      <c r="O614" s="423" t="str">
        <f>IF(D614="","",((VLOOKUP(D614,'DB technologies'!$N$294:$Y$306,4,FALSE)*E614*(1-'DB additional information '!$S$8/100)*(1-VLOOKUP(D614,'DB technologies'!$N$294:$Y$306,8,FALSE)/100))/VLOOKUP($C$613,'DB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P614" s="438" t="str">
        <f>IF(G614=0,0,IF(E614="","",IF(F614="","",IF($C$613=0,"",IF(D614="","",SUM(H614:K614)/G614*100)))))</f>
        <v/>
      </c>
      <c r="Q614" s="416" t="str">
        <f>IF(D614="","",(VLOOKUP(D614,'DB technologies'!$N$294:$Y$306,2,FALSE)*'DB additional information '!$S$6/100*'DB additional information '!$T$6*VLOOKUP($C$613,'DB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R614" s="416" t="str">
        <f>IF(D614="","",(VLOOKUP(D614,'DB technologies'!$N$294:$Y$306,3,FALSE)*'DB additional information '!$S$7/100*'DB additional information '!$T$7*VLOOKUP($C$613,'DB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S614" s="491" t="str">
        <f>IF(D614="","",(VLOOKUP(D614,'DB technologies'!$N$294:$Y$306,4,FALSE)*('DB additional information '!$S$8/100*'DB additional information '!$T$8*E614/1000/1000)))</f>
        <v/>
      </c>
      <c r="T614" s="264" t="str">
        <f>IF($C$613=0,"",IF('Calc (ex-animal)'!$F$113=1,"",IF(D614="","",((VLOOKUP($C$613,'Calc (ex-animal)'!$D$113:$Y$117,10,FALSE)-VLOOKUP($C$613,'Calc (ex-animal)'!$D$113:$Y$117,18,FALSE))*F614/100+Q614+R614+S614)-AC614-AD614-AE614)))</f>
        <v/>
      </c>
      <c r="U614" s="422" t="str">
        <f>IF(D614="","",(VLOOKUP(D614,'DB technologies'!$N$294:$Y$306,2,FALSE)*'DB additional information '!$S$6/100*'DB additional information '!$U$6*VLOOKUP($C$613,'DB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V614" s="418" t="str">
        <f>IF(D614="","",(VLOOKUP(D614,'DB technologies'!$N$294:$Y$306,3,FALSE)*'DB additional information '!$S$7/100*'DB additional information '!$U$7*VLOOKUP($C$613,'DB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W614" s="417" t="str">
        <f>IF(D614="","",(VLOOKUP(D614,'DB technologies'!$N$294:$Y$306,4,FALSE)*('DB additional information '!$S$8/100*'DB additional information '!$U$8*E614/1000/1000)))</f>
        <v/>
      </c>
      <c r="X614" s="261" t="str">
        <f>IF($C$613=0,"",IF('Calc (ex-animal)'!$F$113=1,"",IF(D614="","",((VLOOKUP($C$613,'Calc (ex-animal)'!$D$113:$Y$117,13,FALSE)-VLOOKUP($C$613,'Calc (ex-animal)'!$D$113:$Y$117,19,FALSE))*F614/100+U614+V614+W614))))</f>
        <v/>
      </c>
      <c r="Y614" s="418" t="str">
        <f>IF(D614="","",(VLOOKUP(D614,'DB technologies'!$N$294:$Y$306,2,FALSE)*'DB additional information '!$S$6/100*'DB additional information '!$V$6*VLOOKUP($C$613,'DB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Z614" s="418" t="str">
        <f>IF(D614="","",(VLOOKUP(D614,'DB technologies'!$N$294:$Y$306,3,FALSE)*'DB additional information '!$S$7/100*'DB additional information '!$V$7*VLOOKUP($C$613,'DB animal categories'!$C$221:$AC$230,27,FALSE)*E614/1000/1000)/VLOOKUP($C$613,'DB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AA614" s="418" t="str">
        <f>IF(D614="","",(VLOOKUP(D614,'DB technologies'!$N$294:$Y$306,4,FALSE)*('DB additional information '!$S$8/100*'DB additional information '!$V$8*E614/1000/1000)))</f>
        <v/>
      </c>
      <c r="AB614" s="261" t="str">
        <f>IF($C$613=0,"",IF('Calc (ex-animal)'!$F$113=1,"",IF(D614="","",((VLOOKUP($C$613,'Calc (ex-animal)'!$D$113:$Y$117,16,FALSE)-VLOOKUP($C$613,'Calc (ex-animal)'!$D$113:$Y$117,20,FALSE))*F614/100+Y614+Z614+AA614))))</f>
        <v/>
      </c>
      <c r="AC614" s="261" t="str">
        <f>IF($C$613=0,"",IF('Calc (ex-animal)'!$F$113=1,"",IF(D614="","",VLOOKUP($C$613,'Calc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categories'!$C$221:$AC$230,26,FALSE)/24)*F614/100*VLOOKUP(D614,'DB technologies'!$N$294:$R$306,5,FALSE)/100)))</f>
        <v/>
      </c>
      <c r="AD614" s="261" t="str">
        <f>IF($C$613=0,"",IF('Calc (ex-animal)'!$F$113=1,"",IF(D614="","",VLOOKUP($C$613,'Calc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categories'!$C$221:$AC$230,26,FALSE)/24)*F614/100*VLOOKUP(D614,'DB technologies'!$N$294:$Y$306,6,FALSE)/100)))</f>
        <v/>
      </c>
      <c r="AE614" s="262" t="str">
        <f>IF($C$613=0,"",IF('Calc (ex-animal)'!$F$113=1,"",IF(D614="","",VLOOKUP($C$613,'Calc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categories'!$C$221:$AC$230,26,FALSE)/24)*F614/100*VLOOKUP(D614,'DB technologies'!$N$294:$Y$306,7,FALSE)/100)))</f>
        <v/>
      </c>
      <c r="AI614" s="181" t="str">
        <f>IF(D614="","",VLOOKUP(D614,'DB technologies'!$N$294:$Y$306,10,FALSE))</f>
        <v/>
      </c>
      <c r="AJ614" s="449" t="e">
        <f>VLOOKUP($C$613,'DB animal categories'!$C$221:$AN$230,27,FALSE)-VLOOKUP($C$613,'DB animal categories'!$C$221:$AN$230,26,FALSE)*VLOOKUP($C$613,'DB animal categories'!$C$221:$AN$230,25,FALSE)/24</f>
        <v>#N/A</v>
      </c>
      <c r="AK614" s="442" t="str">
        <f>IF(AI614="","",AL614+AM614)</f>
        <v/>
      </c>
      <c r="AL614" s="442" t="str">
        <f>IF(D614="","",IF(AI614=2,(('Calc (ex-animal)'!$G$114*'DB additional information '!$K$24/100*(1-VLOOKUP(D614,'DB technologies'!$N$294:$Y$306,9,FALSE)/100)*'Calc (ex-housing, ex-storage)'!F614/100+'Calc (ex-animal)'!$H$114*'DB additional information '!$L$24/100*(1-VLOOKUP(D614,'DB technologies'!$N$294:$Y$306,9,FALSE)/100)*'Calc (ex-housing, ex-storage)'!F614/100))/VLOOKUP($C$613,'DB animal categories'!$C$221:$AC$230,27,FALSE)*AJ614+I614+J614+K614,IF(AI614=1,('Calc (ex-animal)'!$H$114*'DB additional information '!$L$24/100*(1-VLOOKUP(D614,'DB technologies'!$N$294:$Y$306,9,FALSE)/100)*'Calc (ex-housing, ex-storage)'!F614/100)/VLOOKUP($C$613,'DB animal categories'!$C$221:$AC$230,27,FALSE)*AJ614,IF(AI614=4,('Calc (ex-animal)'!$G$114*'DB additional information '!$K$24/100+'Calc (ex-animal)'!$H$114*'DB additional information '!$L$24/100)*(1-VLOOKUP(D614,'DB technologies'!$N$294:$Y$306,9,FALSE)/100)*'Calc (ex-housing, ex-storage)'!F614/100*VLOOKUP(D614,'DB technologies'!$N$294:$Y$306,11,FALSE)/100/VLOOKUP($C$613,'DB animal categories'!$C$221:$AC$230,27,FALSE)*AJ614,0))))</f>
        <v/>
      </c>
      <c r="AM614" s="442" t="str">
        <f>IF(D614="","",IF(AI614=2,(('Calc (ex-animal)'!$G$114*(1-'DB additional information '!$K$24/100)*(1-VLOOKUP(D614,'DB technologies'!$N$294:$Y$306,8,FALSE)/100)*'Calc (ex-housing, ex-storage)'!F614/100+'Calc (ex-animal)'!$H$114*(1-'DB additional information '!$L$24/100)*(1-VLOOKUP(D614,'DB technologies'!$N$294:$Y$306,8,FALSE)/100)*'Calc (ex-housing, ex-storage)'!F614/100))/VLOOKUP($C$613,'DB animal categories'!$C$221:$AC$230,27,FALSE)*AJ614+M614+N614+O614,IF(AI614=1,('Calc (ex-animal)'!$H$114*(1-'DB additional information '!$L$24/100)*(1-VLOOKUP(D614,'DB technologies'!$N$294:$Y$306,8,FALSE)/100)*'Calc (ex-housing, ex-storage)'!F614/100)/VLOOKUP($C$613,'DB animal categories'!$C$221:$AC$230,27,FALSE)*AJ614,IF(AI614=4,('Calc (ex-animal)'!$G$114*(1-'DB additional information '!$K$24/100)+'Calc (ex-animal)'!$H$114*(1-'DB additional information '!$L$24/100))*(1-VLOOKUP(D614,'DB technologies'!$N$294:$Y$306,8,FALSE)/100)*'Calc (ex-housing, ex-storage)'!F614/100*VLOOKUP(D614,'DB technologies'!$N$294:$Y$306,11,FALSE)/100/VLOOKUP($C$613,'DB animal categories'!$C$221:$AC$230,27,FALSE)*AJ614,0))))</f>
        <v/>
      </c>
      <c r="AN614" s="442" t="str">
        <f>IF(AI614="","",IF(AL614=0,0,AL614/AK614*100))</f>
        <v/>
      </c>
      <c r="AO614" s="182" t="str">
        <f>IF(D614="","",IF(AI614=2,(('Calc (ex-animal)'!$L$114*'Calc (ex-housing, ex-storage)'!F614/100+'Calc (ex-animal)'!$K$114*'Calc (ex-housing, ex-storage)'!F614/100))/VLOOKUP($C$613,'DB animal categories'!$C$221:$AC$230,27,FALSE)*AJ614+Q614+R614+S614-AC614,IF(AI614=1,('Calc (ex-animal)'!$L$114*'Calc (ex-housing, ex-storage)'!F614/100)/VLOOKUP($C$613,'DB animal categories'!$C$221:$AC$230,27,FALSE)*AJ614-'Calc (ex-housing, ex-storage)'!AC614,IF(AI614=4,('Calc (ex-animal)'!$L$114+'Calc (ex-animal)'!$K$114)*'Calc (ex-housing, ex-storage)'!F614/100*VLOOKUP(D614,'DB technologies'!$N$294:$Y$306,11,FALSE)/100/VLOOKUP($C$613,'DB animal categories'!$C$221:$AC$230,27,FALSE)*AJ614-AC614*VLOOKUP(D614,'DB technologies'!$N$294:$Y$306,11,FALSE)/100,0))))</f>
        <v/>
      </c>
      <c r="AP614" s="182" t="str">
        <f>IF(D614="","",IF(AO614&lt;-0.01,0,IF(AI614=2,(('Calc (ex-animal)'!$L$114*'Calc (ex-housing, ex-storage)'!F614/100+'Calc (ex-animal)'!$K$114*'Calc (ex-housing, ex-storage)'!F614/100))/VLOOKUP($C$613,'DB animal categories'!$C$221:$AC$230,27,FALSE)*AJ614+Q614+R614+S614-AC614,IF(AI614=1,('Calc (ex-animal)'!$L$114*'Calc (ex-housing, ex-storage)'!F614/100)/VLOOKUP($C$613,'DB animal categories'!$C$221:$AC$230,27,FALSE)*AJ614-'Calc (ex-housing, ex-storage)'!AC614,IF(AI614=4,('Calc (ex-animal)'!$L$114+'Calc (ex-animal)'!$K$114)*'Calc (ex-housing, ex-storage)'!F614/100*VLOOKUP(D614,'DB technologies'!$N$294:$Y$306,11,FALSE)/100/VLOOKUP($C$613,'DB animal categories'!$C$221:$AC$230,27,FALSE)*AJ614-AC614*VLOOKUP(D614,'DB technologies'!$N$294:$Y$306,11,FALSE)/100,0)))))</f>
        <v/>
      </c>
      <c r="AQ614" s="182" t="str">
        <f>IF(D614="","",IF(AI614=2,('Calc (ex-animal)'!$O$114*'Calc (ex-housing, ex-storage)'!F614/100+'Calc (ex-animal)'!$N$114*'Calc (ex-housing, ex-storage)'!F614/100)/VLOOKUP($C$613,'DB animal categories'!$C$221:$AC$230,27,FALSE)*AJ614+U614+V614+W614,IF(AI614=1,'Calc (ex-animal)'!$O$114*'Calc (ex-housing, ex-storage)'!F614/100/VLOOKUP($C$613,'DB animal categories'!$C$221:$AC$230,27,FALSE)*AJ614,IF(AI614=4,('Calc (ex-animal)'!$O$114+'Calc (ex-animal)'!$N$114)*'Calc (ex-housing, ex-storage)'!F614/100*VLOOKUP(D614,'DB technologies'!$N$294:$Y$306,11,FALSE)/100/VLOOKUP($C$613,'DB animal categories'!$C$221:$AC$230,27,FALSE)*AJ614,0))))</f>
        <v/>
      </c>
      <c r="AR614" s="182" t="str">
        <f>IF(D614="","",IF(AI614=2,('Calc (ex-animal)'!$R$114*'Calc (ex-housing, ex-storage)'!F614/100+'Calc (ex-animal)'!$Q$114*'Calc (ex-housing, ex-storage)'!F614/100)/VLOOKUP($C$613,'DB animal categories'!$C$221:$AC$230,27,FALSE)*AJ614+Y614+Z614+AA614,IF(AI614=1,'Calc (ex-animal)'!$R$114*'Calc (ex-housing, ex-storage)'!F614/100/VLOOKUP($C$613,'DB animal categories'!$C$221:$AC$230,27,FALSE)*AJ614,IF(AI614=4,('Calc (ex-animal)'!$R$114+'Calc (ex-animal)'!$Q$114)*'Calc (ex-housing, ex-storage)'!F614/100*VLOOKUP(D614,'DB technologies'!$N$294:$Y$306,11,FALSE)/100/VLOOKUP($C$613,'DB animal categories'!$C$221:$AC$230,27,FALSE)*AJ614,0))))</f>
        <v/>
      </c>
      <c r="AS614" s="181" t="str">
        <f>IF(D614="","",VLOOKUP(D614,'DB technologies'!$N$294:$Y$306,10,FALSE))</f>
        <v/>
      </c>
      <c r="AT614" s="442" t="str">
        <f>IF(AS614="","",AU614+AV614)</f>
        <v/>
      </c>
      <c r="AU614" s="442" t="str">
        <f>IF(D614="","",IF(AS614=2,0,IF(AS614=1,'Calc (ex-animal)'!$G$114*'DB additional information '!$K$24/100*(1-VLOOKUP(D614,'DB technologies'!$N$294:$Y$306,8,FALSE)/100)*'Calc (ex-housing, ex-storage)'!F614/100/VLOOKUP($C$613,'DB animal categories'!$C$221:$AC$230,27,FALSE)*AJ614+I614+J614+K614,IF(AS614=5,(('Calc (ex-animal)'!$G$114*'DB additional information '!$K$24/100+'Calc (ex-animal)'!$H$114*'DB additional information '!$L$24/100))*(1-VLOOKUP(D614,'DB technologies'!$N$294:$Y$306,9,FALSE)/100)*'Calc (ex-housing, ex-storage)'!F614/100/VLOOKUP($C$613,'DB animal categories'!$C$221:$AC$230,27,FALSE)*AJ614+I614+J614+K614,IF(AS614=3,('Calc (ex-animal)'!$G$114*'DB additional information '!$K$24/100+'Calc (ex-animal)'!$H$114*'DB additional information '!$L$24/100)*(1-VLOOKUP(D614,'DB technologies'!$N$294:$Y$306,9,FALSE)/100)*'Calc (ex-housing, ex-storage)'!F614/100/VLOOKUP($C$613,'DB animal categories'!$C$221:$AC$230,27,FALSE)*AJ614+I614+J614+K614,IF(AS614=4,('Calc (ex-animal)'!$G$114*'DB additional information '!$K$24/100+'Calc (ex-animal)'!$H$114*'DB additional information '!$L$24/100)*(1-VLOOKUP(D614,'DB technologies'!$N$294:$Y$306,9,FALSE)/100)*'Calc (ex-housing, ex-storage)'!F614/100*VLOOKUP(D614,'DB technologies'!$N$294:$Y$306,12,FALSE)/100/VLOOKUP($C$613,'DB animal categories'!$C$221:$AC$230,27,FALSE)*AJ614+I614+J614+K614,0))))))</f>
        <v/>
      </c>
      <c r="AV614" s="442" t="str">
        <f>IF(D614="","",IF(AS614=2,0,IF(AS614=1,'Calc (ex-animal)'!$G$114*(1-'DB additional information '!$K$24/100)*(1-VLOOKUP(D614,'DB technologies'!$N$294:$Y$306,8,FALSE)/100)*'Calc (ex-housing, ex-storage)'!F614/100/VLOOKUP($C$613,'DB animal categories'!$C$221:$AC$230,27,FALSE)*AJ614+M614+N614+O614,IF(AS614=5,('Calc (ex-animal)'!$G$114*(1-'DB additional information '!$K$24/100)+'Calc (ex-animal)'!$H$114*(1-'DB additional information '!$L$24/100))*(1-VLOOKUP(D614,'DB technologies'!$N$294:$Y$306,8,FALSE)/100)*'Calc (ex-housing, ex-storage)'!F614/100/VLOOKUP($C$613,'DB animal categories'!$C$221:$AC$230,27,FALSE)*AJ614+M614+N614+O614,IF(AS614=3,('Calc (ex-animal)'!$G$114*(1-'DB additional information '!$K$24/100)+'Calc (ex-animal)'!$H$114*(1-'DB additional information '!$L$24/100))*(1-VLOOKUP(D614,'DB technologies'!$N$294:$Y$306,8,FALSE)/100)*'Calc (ex-housing, ex-storage)'!F614/100/VLOOKUP($C$613,'DB animal categories'!$C$221:$AC$230,27,FALSE)*AJ614+M614+N614+O614,IF(AS614=4,('Calc (ex-animal)'!$G$114*(1-'DB additional information '!$K$24/100)+'Calc (ex-animal)'!$H$114*(1-'DB additional information '!$L$24/100))*(1-VLOOKUP(D614,'DB technologies'!$N$294:$Y$306,8,FALSE)/100)*'Calc (ex-housing, ex-storage)'!F614/100*VLOOKUP(D614,'DB technologies'!$N$294:$Y$306,12,FALSE)/100/VLOOKUP($C$613,'DB animal categories'!$C$221:$AC$230,27,FALSE)*AJ614+M614+N614+O614,0))))))</f>
        <v/>
      </c>
      <c r="AW614" s="442" t="str">
        <f>IF(AS614="","",IF(AU614=0,0,AU614/AT614*100))</f>
        <v/>
      </c>
      <c r="AX614" s="182" t="str">
        <f>IF(D614="","",IF(AS614=2,0,IF(AS614=1,'Calc (ex-animal)'!$K$114*'Calc (ex-housing, ex-storage)'!F614/100/VLOOKUP($C$613,'DB animal categories'!$C$221:$AC$230,27,FALSE)*AJ614+Q614+R614+S614,IF(AS614=5,('Calc (ex-animal)'!$K$114+'Calc (ex-animal)'!$L$114)*'Calc (ex-housing, ex-storage)'!F614/100/VLOOKUP($C$613,'DB animal categories'!$C$221:$AC$230,27,FALSE)*AJ614+Q614+R614+S614-'Calc (ex-housing, ex-storage)'!AC614,IF(AS614=3,('Calc (ex-animal)'!$K$114+'Calc (ex-animal)'!$L$114)*'Calc (ex-housing, ex-storage)'!F614/100/VLOOKUP($C$613,'DB animal categories'!$C$221:$AC$230,27,FALSE)*AJ614+Q614+R614+S614-'Calc (ex-housing, ex-storage)'!AC614-AD614-AE614,IF(AI614=4,('Calc (ex-animal)'!$K$114+'Calc (ex-animal)'!$L$114)*'Calc (ex-housing, ex-storage)'!F614/100*VLOOKUP(D614,'DB technologies'!$N$294:$Y$306,12,FALSE)/100/VLOOKUP($C$613,'DB animal categories'!$C$221:$AC$230,27,FALSE)*AJ614+Q614+R614+S614-(VLOOKUP(D614,'DB technologies'!$N$294:$Y$306,12,FALSE)/100*AC614)-AD614-AE614,0))))))</f>
        <v/>
      </c>
      <c r="AY614" s="182" t="str">
        <f>IF(D614="","",IF(AS614=2,0,IF(AS614=1,'Calc (ex-animal)'!$N$114*'Calc (ex-housing, ex-storage)'!F614/100/VLOOKUP($C$613,'DB animal categories'!$C$221:$AC$230,27,FALSE)*AJ614+U614+V614+W614,IF(AS614=5,('Calc (ex-animal)'!$N$114+'Calc (ex-animal)'!$O$114)*'Calc (ex-housing, ex-storage)'!F614/100/VLOOKUP($C$613,'DB animal categories'!$C$221:$AC$230,27,FALSE)*AJ614+U614+V614+W614,IF(AS614=3,('Calc (ex-animal)'!$N$114+'Calc (ex-animal)'!$O$114)*'Calc (ex-housing, ex-storage)'!F614/100/VLOOKUP($C$613,'DB animal categories'!$C$221:$AC$230,27,FALSE)*AJ614+U614+V614+W614,IF(AS614=4,('Calc (ex-animal)'!$N$114+'Calc (ex-animal)'!$O$114)*'Calc (ex-housing, ex-storage)'!F614/100*VLOOKUP(D614,'DB technologies'!$N$294:$Y$306,12,FALSE)/100/VLOOKUP($C$613,'DB animal categories'!$C$221:$AC$230,27,FALSE)*AJ614+U614+V614+W614,0))))))</f>
        <v/>
      </c>
      <c r="AZ614" s="182" t="str">
        <f>IF(D614="","",IF(AS614=2,0,IF(AS614=1,'Calc (ex-animal)'!$Q$114*'Calc (ex-housing, ex-storage)'!F614/100/VLOOKUP($C$613,'DB animal categories'!$C$221:$AC$230,27,FALSE)*AJ614+Y614+Z614+AA614,IF(AS614=5,('Calc (ex-animal)'!$Q$114+'Calc (ex-animal)'!$R$114)*'Calc (ex-housing, ex-storage)'!F614/100/VLOOKUP($C$613,'DB animal categories'!$C$221:$AC$230,27,FALSE)*AJ614+Y614+Z614+AA614,IF(AS614=3,('Calc (ex-animal)'!$Q$114+'Calc (ex-animal)'!$R$114)*'Calc (ex-housing, ex-storage)'!F614/100/VLOOKUP($C$613,'DB animal categories'!$C$221:$AC$230,27,FALSE)*AJ614+Y614+Z614+AA614,IF(AS614=4,('Calc (ex-animal)'!$Q$114+'Calc (ex-animal)'!$R$114)*'Calc (ex-housing, ex-storage)'!F614/100*VLOOKUP(D614,'DB technologies'!$N$294:$Y$306,12,FALSE)/100/VLOOKUP($C$613,'DB animal categories'!$C$221:$AC$230,27,FALSE)*AJ614+Y614+Z614+AA614,0))))))</f>
        <v/>
      </c>
      <c r="BA614" s="506"/>
      <c r="BB614" s="506"/>
      <c r="BC614" s="506"/>
    </row>
    <row r="615" spans="1:55" x14ac:dyDescent="0.2">
      <c r="A615" s="748"/>
      <c r="B615" s="695"/>
      <c r="C615" s="251"/>
      <c r="D615" s="1357"/>
      <c r="E615" s="1358"/>
      <c r="F615" s="480" t="str">
        <f>IF('Calc (ex-animal)'!$F$113=1,"",IF($C$613=0,"",IF(D615="","",E615/'Calc (ex-animal)'!$E$114*100)))</f>
        <v/>
      </c>
      <c r="G615" s="485" t="str">
        <f>IF($C$613=0,"",IF('Calc (ex-animal)'!$F$113=1,"",IF(D615="","",SUM(H615:O615))))</f>
        <v/>
      </c>
      <c r="H615" s="423" t="str">
        <f>IF('Calc (ex-animal)'!$F$113=1,"",IF(D615="","",(((VLOOKUP($C$613,'Calc (ex-animal)'!$D$113:$Y$117,6,FALSE)-VLOOKUP($C$613,'Calc (ex-animal)'!$D$113:$Y$117,17,FALSE))*F615/100))*VLOOKUP($C$613,'Calc (ex-animal)'!$D$113:$Y$117,7,FALSE)/100*(1-VLOOKUP(D615,'DB technologies'!$N$294:$Y$306,9,FALSE)/100)))</f>
        <v/>
      </c>
      <c r="I615" s="423" t="str">
        <f>IF(D615="","",((VLOOKUP(D615,'DB technologies'!$N$294:$Y$306,2,FALSE)*VLOOKUP($C$613,'DB animal categories'!$C$221:$AC$230,27,FALSE)*E615/1000)/VLOOKUP($C$613,'DB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'!$S$6/100*(1-VLOOKUP(D615,'DB technologies'!$N$294:$Y$306,9,FALSE)/100)))</f>
        <v/>
      </c>
      <c r="J615" s="434" t="str">
        <f>IF(D615="","",((VLOOKUP(D615,'DB technologies'!$N$294:$Y$306,3,FALSE)*VLOOKUP($C$613,'DB animal categories'!$C$221:$AC$230,27,FALSE)*E615/1000)/VLOOKUP($C$613,'DB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'!$S$7/100*(1-VLOOKUP(D615,'DB technologies'!$N$294:$Y$306,9,FALSE)/100)))</f>
        <v/>
      </c>
      <c r="K615" s="434" t="str">
        <f>IF(D615="","",((VLOOKUP(D615,'DB technologies'!$N$294:$Y$306,4,FALSE)*E615*'DB additional information '!$S$8/100*(1-VLOOKUP(D615,'DB technologies'!$N$294:$Y$306,9,FALSE)/100))/VLOOKUP($C$613,'DB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L615" s="423" t="str">
        <f>IF('Calc (ex-animal)'!$F$113=1,"",IF(D615="","",(((VLOOKUP($C$613,'Calc (ex-animal)'!$D$113:$Y$117,6,FALSE)-VLOOKUP($C$613,'Calc (ex-animal)'!$D$113:$Y$117,17,FALSE))*F615/100))*(1-VLOOKUP($C$613,'Calc (ex-animal)'!$D$113:$Y$117,7,FALSE)/100)*(1-VLOOKUP(D615,'DB technologies'!$N$294:$V$306,8,FALSE)/100)))</f>
        <v/>
      </c>
      <c r="M615" s="434" t="str">
        <f>IF(D615="","",((VLOOKUP(D615,'DB technologies'!$N$294:$Y$306,2,FALSE)*VLOOKUP($C$613,'DB animal categories'!$C$221:$AC$230,27,FALSE)*E615/1000)/VLOOKUP($C$613,'DB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'!$S$6/100)*(1-VLOOKUP(D615,'DB technologies'!$N$294:$Y$306,9,FALSE)/100))</f>
        <v/>
      </c>
      <c r="N615" s="434" t="str">
        <f>IF(D615="","",((VLOOKUP(D615,'DB technologies'!$N$294:$Y$306,3,FALSE)*VLOOKUP($C$613,'DB animal categories'!$C$221:$AC$230,27,FALSE)*E615/1000)/VLOOKUP($C$613,'DB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'!$S$7/100)*(1-VLOOKUP(D615,'DB technologies'!$N$294:$Y$306,9,FALSE)/100))</f>
        <v/>
      </c>
      <c r="O615" s="423" t="str">
        <f>IF(D615="","",((VLOOKUP(D615,'DB technologies'!$N$294:$Y$306,4,FALSE)*E615*(1-'DB additional information '!$S$8/100)*(1-VLOOKUP(D615,'DB technologies'!$N$294:$Y$306,8,FALSE)/100))/VLOOKUP($C$613,'DB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P615" s="438" t="str">
        <f>IF(G615=0,0,IF(E615="","",IF(F615="","",IF($C$613=0,"",IF(D615="","",SUM(H615:K615)/G615*100)))))</f>
        <v/>
      </c>
      <c r="Q615" s="416" t="str">
        <f>IF(D615="","",(VLOOKUP(D615,'DB technologies'!$N$294:$Y$306,2,FALSE)*'DB additional information '!$S$6/100*'DB additional information '!$T$6*VLOOKUP($C$613,'DB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R615" s="416" t="str">
        <f>IF(D615="","",(VLOOKUP(D615,'DB technologies'!$N$294:$Y$306,3,FALSE)*'DB additional information '!$S$7/100*'DB additional information '!$T$7*VLOOKUP($C$613,'DB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S615" s="491" t="str">
        <f>IF(D615="","",(VLOOKUP(D615,'DB technologies'!$N$294:$Y$306,4,FALSE)*('DB additional information '!$S$8/100*'DB additional information '!$T$8*E615/1000/1000)))</f>
        <v/>
      </c>
      <c r="T615" s="264" t="str">
        <f>IF($C$613=0,"",IF('Calc (ex-animal)'!$F$113=1,"",IF(D615="","",((VLOOKUP($C$613,'Calc (ex-animal)'!$D$113:$Y$117,10,FALSE)-VLOOKUP($C$613,'Calc (ex-animal)'!$D$113:$Y$117,18,FALSE))*F615/100+Q615+R615+S615)-AC615-AD615-AE615)))</f>
        <v/>
      </c>
      <c r="U615" s="422" t="str">
        <f>IF(D615="","",(VLOOKUP(D615,'DB technologies'!$N$294:$Y$306,2,FALSE)*'DB additional information '!$S$6/100*'DB additional information '!$U$6*VLOOKUP($C$613,'DB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V615" s="418" t="str">
        <f>IF(D615="","",(VLOOKUP(D615,'DB technologies'!$N$294:$Y$306,3,FALSE)*'DB additional information '!$S$7/100*'DB additional information '!$U$7*VLOOKUP($C$613,'DB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W615" s="417" t="str">
        <f>IF(D615="","",(VLOOKUP(D615,'DB technologies'!$N$294:$Y$306,4,FALSE)*('DB additional information '!$S$8/100*'DB additional information '!$U$8*E615/1000/1000)))</f>
        <v/>
      </c>
      <c r="X615" s="261" t="str">
        <f>IF($C$613=0,"",IF('Calc (ex-animal)'!$F$113=1,"",IF(D615="","",((VLOOKUP($C$613,'Calc (ex-animal)'!$D$113:$Y$117,13,FALSE)-VLOOKUP($C$613,'Calc (ex-animal)'!$D$113:$Y$117,19,FALSE))*F615/100+U615+V615+W615))))</f>
        <v/>
      </c>
      <c r="Y615" s="418" t="str">
        <f>IF(D615="","",(VLOOKUP(D615,'DB technologies'!$N$294:$Y$306,2,FALSE)*'DB additional information '!$S$6/100*'DB additional information '!$V$6*VLOOKUP($C$613,'DB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Z615" s="418" t="str">
        <f>IF(D615="","",(VLOOKUP(D615,'DB technologies'!$N$294:$Y$306,3,FALSE)*'DB additional information '!$S$7/100*'DB additional information '!$V$7*VLOOKUP($C$613,'DB animal categories'!$C$221:$AC$230,27,FALSE)*E615/1000/1000)/VLOOKUP($C$613,'DB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AA615" s="418" t="str">
        <f>IF(D615="","",(VLOOKUP(D615,'DB technologies'!$N$294:$Y$306,4,FALSE)*('DB additional information '!$S$8/100*'DB additional information '!$V$8*E615/1000/1000)))</f>
        <v/>
      </c>
      <c r="AB615" s="261" t="str">
        <f>IF($C$613=0,"",IF('Calc (ex-animal)'!$F$113=1,"",IF(D615="","",((VLOOKUP($C$613,'Calc (ex-animal)'!$D$113:$Y$117,16,FALSE)-VLOOKUP($C$613,'Calc (ex-animal)'!$D$113:$Y$117,20,FALSE))*F615/100+Y615+Z615+AA615))))</f>
        <v/>
      </c>
      <c r="AC615" s="261" t="str">
        <f>IF($C$613=0,"",IF('Calc (ex-animal)'!$F$113=1,"",IF(D615="","",VLOOKUP($C$613,'Calc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categories'!$C$221:$AC$230,26,FALSE)/24)*F615/100*VLOOKUP(D615,'DB technologies'!$N$294:$R$306,5,FALSE)/100)))</f>
        <v/>
      </c>
      <c r="AD615" s="261" t="str">
        <f>IF($C$613=0,"",IF('Calc (ex-animal)'!$F$113=1,"",IF(D615="","",VLOOKUP($C$613,'Calc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categories'!$C$221:$AC$230,26,FALSE)/24)*F615/100*VLOOKUP(D615,'DB technologies'!$N$294:$Y$306,6,FALSE)/100)))</f>
        <v/>
      </c>
      <c r="AE615" s="262" t="str">
        <f>IF($C$613=0,"",IF('Calc (ex-animal)'!$F$113=1,"",IF(D615="","",VLOOKUP($C$613,'Calc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categories'!$C$221:$AC$230,26,FALSE)/24)*F615/100*VLOOKUP(D615,'DB technologies'!$N$294:$Y$306,7,FALSE)/100)))</f>
        <v/>
      </c>
      <c r="AI615" s="181" t="str">
        <f>IF(D615="","",VLOOKUP(D615,'DB technologies'!$N$294:$Y$306,10,FALSE))</f>
        <v/>
      </c>
      <c r="AJ615" s="449" t="e">
        <f>VLOOKUP($C$613,'DB animal categories'!$C$221:$AN$230,27,FALSE)-VLOOKUP($C$613,'DB animal categories'!$C$221:$AN$230,26,FALSE)*VLOOKUP($C$613,'DB animal categories'!$C$221:$AN$230,25,FALSE)/24</f>
        <v>#N/A</v>
      </c>
      <c r="AK615" s="442" t="str">
        <f>IF(AI615="","",AL615+AM615)</f>
        <v/>
      </c>
      <c r="AL615" s="442" t="str">
        <f>IF(D615="","",IF(AI615=2,(('Calc (ex-animal)'!$G$114*'DB additional information '!$K$24/100*(1-VLOOKUP(D615,'DB technologies'!$N$294:$Y$306,9,FALSE)/100)*'Calc (ex-housing, ex-storage)'!F615/100+'Calc (ex-animal)'!$H$114*'DB additional information '!$L$24/100*(1-VLOOKUP(D615,'DB technologies'!$N$294:$Y$306,9,FALSE)/100)*'Calc (ex-housing, ex-storage)'!F615/100))/VLOOKUP($C$613,'DB animal categories'!$C$221:$AC$230,27,FALSE)*AJ615+I615+J615+K615,IF(AI615=1,('Calc (ex-animal)'!$H$114*'DB additional information '!$L$24/100*(1-VLOOKUP(D615,'DB technologies'!$N$294:$Y$306,9,FALSE)/100)*'Calc (ex-housing, ex-storage)'!F615/100)/VLOOKUP($C$613,'DB animal categories'!$C$221:$AC$230,27,FALSE)*AJ615,IF(AI615=4,('Calc (ex-animal)'!$G$114*'DB additional information '!$K$24/100+'Calc (ex-animal)'!$H$114*'DB additional information '!$L$24/100)*(1-VLOOKUP(D615,'DB technologies'!$N$294:$Y$306,9,FALSE)/100)*'Calc (ex-housing, ex-storage)'!F615/100*VLOOKUP(D615,'DB technologies'!$N$294:$Y$306,11,FALSE)/100/VLOOKUP($C$613,'DB animal categories'!$C$221:$AC$230,27,FALSE)*AJ615,0))))</f>
        <v/>
      </c>
      <c r="AM615" s="442" t="str">
        <f>IF(D615="","",IF(AI615=2,(('Calc (ex-animal)'!$G$114*(1-'DB additional information '!$K$24/100)*(1-VLOOKUP(D615,'DB technologies'!$N$294:$Y$306,8,FALSE)/100)*'Calc (ex-housing, ex-storage)'!F615/100+'Calc (ex-animal)'!$H$114*(1-'DB additional information '!$L$24/100)*(1-VLOOKUP(D615,'DB technologies'!$N$294:$Y$306,8,FALSE)/100)*'Calc (ex-housing, ex-storage)'!F615/100))/VLOOKUP($C$613,'DB animal categories'!$C$221:$AC$230,27,FALSE)*AJ615+M615+N615+O615,IF(AI615=1,('Calc (ex-animal)'!$H$114*(1-'DB additional information '!$L$24/100)*(1-VLOOKUP(D615,'DB technologies'!$N$294:$Y$306,8,FALSE)/100)*'Calc (ex-housing, ex-storage)'!F615/100)/VLOOKUP($C$613,'DB animal categories'!$C$221:$AC$230,27,FALSE)*AJ615,IF(AI615=4,('Calc (ex-animal)'!$G$114*(1-'DB additional information '!$K$24/100)+'Calc (ex-animal)'!$H$114*(1-'DB additional information '!$L$24/100))*(1-VLOOKUP(D615,'DB technologies'!$N$294:$Y$306,8,FALSE)/100)*'Calc (ex-housing, ex-storage)'!F615/100*VLOOKUP(D615,'DB technologies'!$N$294:$Y$306,11,FALSE)/100/VLOOKUP($C$613,'DB animal categories'!$C$221:$AC$230,27,FALSE)*AJ615,0))))</f>
        <v/>
      </c>
      <c r="AN615" s="442" t="str">
        <f>IF(AI615="","",IF(AL615=0,0,AL615/AK615*100))</f>
        <v/>
      </c>
      <c r="AO615" s="182" t="str">
        <f>IF(D615="","",IF(AI615=2,(('Calc (ex-animal)'!$L$114*'Calc (ex-housing, ex-storage)'!F615/100+'Calc (ex-animal)'!$K$114*'Calc (ex-housing, ex-storage)'!F615/100))/VLOOKUP($C$613,'DB animal categories'!$C$221:$AC$230,27,FALSE)*AJ615+Q615+R615+S615-AC615,IF(AI615=1,('Calc (ex-animal)'!$L$114*'Calc (ex-housing, ex-storage)'!F615/100)/VLOOKUP($C$613,'DB animal categories'!$C$221:$AC$230,27,FALSE)*AJ615-'Calc (ex-housing, ex-storage)'!AC615,IF(AI615=4,('Calc (ex-animal)'!$L$114+'Calc (ex-animal)'!$K$114)*'Calc (ex-housing, ex-storage)'!F615/100*VLOOKUP(D615,'DB technologies'!$N$294:$Y$306,11,FALSE)/100/VLOOKUP($C$613,'DB animal categories'!$C$221:$AC$230,27,FALSE)*AJ615-AC615*VLOOKUP(D615,'DB technologies'!$N$294:$Y$306,11,FALSE)/100,0))))</f>
        <v/>
      </c>
      <c r="AP615" s="182" t="str">
        <f>IF(D615="","",IF(AO615&lt;-0.01,0,IF(AI615=2,(('Calc (ex-animal)'!$L$114*'Calc (ex-housing, ex-storage)'!F615/100+'Calc (ex-animal)'!$K$114*'Calc (ex-housing, ex-storage)'!F615/100))/VLOOKUP($C$613,'DB animal categories'!$C$221:$AC$230,27,FALSE)*AJ615+Q615+R615+S615-AC615,IF(AI615=1,('Calc (ex-animal)'!$L$114*'Calc (ex-housing, ex-storage)'!F615/100)/VLOOKUP($C$613,'DB animal categories'!$C$221:$AC$230,27,FALSE)*AJ615-'Calc (ex-housing, ex-storage)'!AC615,IF(AI615=4,('Calc (ex-animal)'!$L$114+'Calc (ex-animal)'!$K$114)*'Calc (ex-housing, ex-storage)'!F615/100*VLOOKUP(D615,'DB technologies'!$N$294:$Y$306,11,FALSE)/100/VLOOKUP($C$613,'DB animal categories'!$C$221:$AC$230,27,FALSE)*AJ615-AC615*VLOOKUP(D615,'DB technologies'!$N$294:$Y$306,11,FALSE)/100,0)))))</f>
        <v/>
      </c>
      <c r="AQ615" s="182" t="str">
        <f>IF(D615="","",IF(AI615=2,('Calc (ex-animal)'!$O$114*'Calc (ex-housing, ex-storage)'!F615/100+'Calc (ex-animal)'!$N$114*'Calc (ex-housing, ex-storage)'!F615/100)/VLOOKUP($C$613,'DB animal categories'!$C$221:$AC$230,27,FALSE)*AJ615+U615+V615+W615,IF(AI615=1,'Calc (ex-animal)'!$O$114*'Calc (ex-housing, ex-storage)'!F615/100/VLOOKUP($C$613,'DB animal categories'!$C$221:$AC$230,27,FALSE)*AJ615,IF(AI615=4,('Calc (ex-animal)'!$O$114+'Calc (ex-animal)'!$N$114)*'Calc (ex-housing, ex-storage)'!F615/100*VLOOKUP(D615,'DB technologies'!$N$294:$Y$306,11,FALSE)/100/VLOOKUP($C$613,'DB animal categories'!$C$221:$AC$230,27,FALSE)*AJ615,0))))</f>
        <v/>
      </c>
      <c r="AR615" s="182" t="str">
        <f>IF(D615="","",IF(AI615=2,('Calc (ex-animal)'!$R$114*'Calc (ex-housing, ex-storage)'!F615/100+'Calc (ex-animal)'!$Q$114*'Calc (ex-housing, ex-storage)'!F615/100)/VLOOKUP($C$613,'DB animal categories'!$C$221:$AC$230,27,FALSE)*AJ615+Y615+Z615+AA615,IF(AI615=1,'Calc (ex-animal)'!$R$114*'Calc (ex-housing, ex-storage)'!F615/100/VLOOKUP($C$613,'DB animal categories'!$C$221:$AC$230,27,FALSE)*AJ615,IF(AI615=4,('Calc (ex-animal)'!$R$114+'Calc (ex-animal)'!$Q$114)*'Calc (ex-housing, ex-storage)'!F615/100*VLOOKUP(D615,'DB technologies'!$N$294:$Y$306,11,FALSE)/100/VLOOKUP($C$613,'DB animal categories'!$C$221:$AC$230,27,FALSE)*AJ615,0))))</f>
        <v/>
      </c>
      <c r="AS615" s="181" t="str">
        <f>IF(D615="","",VLOOKUP(D615,'DB technologies'!$N$294:$Y$306,10,FALSE))</f>
        <v/>
      </c>
      <c r="AT615" s="442" t="str">
        <f>IF(AS615="","",AU615+AV615)</f>
        <v/>
      </c>
      <c r="AU615" s="442" t="str">
        <f>IF(D615="","",IF(AS615=2,0,IF(AS615=1,'Calc (ex-animal)'!$G$114*'DB additional information '!$K$24/100*(1-VLOOKUP(D615,'DB technologies'!$N$294:$Y$306,8,FALSE)/100)*'Calc (ex-housing, ex-storage)'!F615/100/VLOOKUP($C$613,'DB animal categories'!$C$221:$AC$230,27,FALSE)*AJ615+I615+J615+K615,IF(AS615=5,(('Calc (ex-animal)'!$G$114*'DB additional information '!$K$24/100+'Calc (ex-animal)'!$H$114*'DB additional information '!$L$24/100))*(1-VLOOKUP(D615,'DB technologies'!$N$294:$Y$306,9,FALSE)/100)*'Calc (ex-housing, ex-storage)'!F615/100/VLOOKUP($C$613,'DB animal categories'!$C$221:$AC$230,27,FALSE)*AJ615+I615+J615+K615,IF(AS615=3,('Calc (ex-animal)'!$G$114*'DB additional information '!$K$24/100+'Calc (ex-animal)'!$H$114*'DB additional information '!$L$24/100)*(1-VLOOKUP(D615,'DB technologies'!$N$294:$Y$306,9,FALSE)/100)*'Calc (ex-housing, ex-storage)'!F615/100/VLOOKUP($C$613,'DB animal categories'!$C$221:$AC$230,27,FALSE)*AJ615+I615+J615+K615,IF(AS615=4,('Calc (ex-animal)'!$G$114*'DB additional information '!$K$24/100+'Calc (ex-animal)'!$H$114*'DB additional information '!$L$24/100)*(1-VLOOKUP(D615,'DB technologies'!$N$294:$Y$306,9,FALSE)/100)*'Calc (ex-housing, ex-storage)'!F615/100*VLOOKUP(D615,'DB technologies'!$N$294:$Y$306,12,FALSE)/100/VLOOKUP($C$613,'DB animal categories'!$C$221:$AC$230,27,FALSE)*AJ615+I615+J615+K615,0))))))</f>
        <v/>
      </c>
      <c r="AV615" s="442" t="str">
        <f>IF(D615="","",IF(AS615=2,0,IF(AS615=1,'Calc (ex-animal)'!$G$114*(1-'DB additional information '!$K$24/100)*(1-VLOOKUP(D615,'DB technologies'!$N$294:$Y$306,8,FALSE)/100)*'Calc (ex-housing, ex-storage)'!F615/100/VLOOKUP($C$613,'DB animal categories'!$C$221:$AC$230,27,FALSE)*AJ615+M615+N615+O615,IF(AS615=5,('Calc (ex-animal)'!$G$114*(1-'DB additional information '!$K$24/100)+'Calc (ex-animal)'!$H$114*(1-'DB additional information '!$L$24/100))*(1-VLOOKUP(D615,'DB technologies'!$N$294:$Y$306,8,FALSE)/100)*'Calc (ex-housing, ex-storage)'!F615/100/VLOOKUP($C$613,'DB animal categories'!$C$221:$AC$230,27,FALSE)*AJ615+M615+N615+O615,IF(AS615=3,('Calc (ex-animal)'!$G$114*(1-'DB additional information '!$K$24/100)+'Calc (ex-animal)'!$H$114*(1-'DB additional information '!$L$24/100))*(1-VLOOKUP(D615,'DB technologies'!$N$294:$Y$306,8,FALSE)/100)*'Calc (ex-housing, ex-storage)'!F615/100/VLOOKUP($C$613,'DB animal categories'!$C$221:$AC$230,27,FALSE)*AJ615+M615+N615+O615,IF(AS615=4,('Calc (ex-animal)'!$G$114*(1-'DB additional information '!$K$24/100)+'Calc (ex-animal)'!$H$114*(1-'DB additional information '!$L$24/100))*(1-VLOOKUP(D615,'DB technologies'!$N$294:$Y$306,8,FALSE)/100)*'Calc (ex-housing, ex-storage)'!F615/100*VLOOKUP(D615,'DB technologies'!$N$294:$Y$306,12,FALSE)/100/VLOOKUP($C$613,'DB animal categories'!$C$221:$AC$230,27,FALSE)*AJ615+M615+N615+O615,0))))))</f>
        <v/>
      </c>
      <c r="AW615" s="442" t="str">
        <f>IF(AS615="","",IF(AU615=0,0,AU615/AT615*100))</f>
        <v/>
      </c>
      <c r="AX615" s="182" t="str">
        <f>IF(D615="","",IF(AS615=2,0,IF(AS615=1,'Calc (ex-animal)'!$K$114*'Calc (ex-housing, ex-storage)'!F615/100/VLOOKUP($C$613,'DB animal categories'!$C$221:$AC$230,27,FALSE)*AJ615+Q615+R615+S615,IF(AS615=5,('Calc (ex-animal)'!$K$114+'Calc (ex-animal)'!$L$114)*'Calc (ex-housing, ex-storage)'!F615/100/VLOOKUP($C$613,'DB animal categories'!$C$221:$AC$230,27,FALSE)*AJ615+Q615+R615+S615-'Calc (ex-housing, ex-storage)'!AC615,IF(AS615=3,('Calc (ex-animal)'!$K$114+'Calc (ex-animal)'!$L$114)*'Calc (ex-housing, ex-storage)'!F615/100/VLOOKUP($C$613,'DB animal categories'!$C$221:$AC$230,27,FALSE)*AJ615+Q615+R615+S615-'Calc (ex-housing, ex-storage)'!AC615-AD615-AE615,IF(AI615=4,('Calc (ex-animal)'!$K$114+'Calc (ex-animal)'!$L$114)*'Calc (ex-housing, ex-storage)'!F615/100*VLOOKUP(D615,'DB technologies'!$N$294:$Y$306,12,FALSE)/100/VLOOKUP($C$613,'DB animal categories'!$C$221:$AC$230,27,FALSE)*AJ615+Q615+R615+S615-(VLOOKUP(D615,'DB technologies'!$N$294:$Y$306,12,FALSE)/100*AC615)-AD615-AE615,0))))))</f>
        <v/>
      </c>
      <c r="AY615" s="182" t="str">
        <f>IF(D615="","",IF(AS615=2,0,IF(AS615=1,'Calc (ex-animal)'!$N$114*'Calc (ex-housing, ex-storage)'!F615/100/VLOOKUP($C$613,'DB animal categories'!$C$221:$AC$230,27,FALSE)*AJ615+U615+V615+W615,IF(AS615=5,('Calc (ex-animal)'!$N$114+'Calc (ex-animal)'!$O$114)*'Calc (ex-housing, ex-storage)'!F615/100/VLOOKUP($C$613,'DB animal categories'!$C$221:$AC$230,27,FALSE)*AJ615+U615+V615+W615,IF(AS615=3,('Calc (ex-animal)'!$N$114+'Calc (ex-animal)'!$O$114)*'Calc (ex-housing, ex-storage)'!F615/100/VLOOKUP($C$613,'DB animal categories'!$C$221:$AC$230,27,FALSE)*AJ615+U615+V615+W615,IF(AS615=4,('Calc (ex-animal)'!$N$114+'Calc (ex-animal)'!$O$114)*'Calc (ex-housing, ex-storage)'!F615/100*VLOOKUP(D615,'DB technologies'!$N$294:$Y$306,12,FALSE)/100/VLOOKUP($C$613,'DB animal categories'!$C$221:$AC$230,27,FALSE)*AJ615+U615+V615+W615,0))))))</f>
        <v/>
      </c>
      <c r="AZ615" s="182" t="str">
        <f>IF(D615="","",IF(AS615=2,0,IF(AS615=1,'Calc (ex-animal)'!$Q$114*'Calc (ex-housing, ex-storage)'!F615/100/VLOOKUP($C$613,'DB animal categories'!$C$221:$AC$230,27,FALSE)*AJ615+Y615+Z615+AA615,IF(AS615=5,('Calc (ex-animal)'!$Q$114+'Calc (ex-animal)'!$R$114)*'Calc (ex-housing, ex-storage)'!F615/100/VLOOKUP($C$613,'DB animal categories'!$C$221:$AC$230,27,FALSE)*AJ615+Y615+Z615+AA615,IF(AS615=3,('Calc (ex-animal)'!$Q$114+'Calc (ex-animal)'!$R$114)*'Calc (ex-housing, ex-storage)'!F615/100/VLOOKUP($C$613,'DB animal categories'!$C$221:$AC$230,27,FALSE)*AJ615+Y615+Z615+AA615,IF(AS615=4,('Calc (ex-animal)'!$Q$114+'Calc (ex-animal)'!$R$114)*'Calc (ex-housing, ex-storage)'!F615/100*VLOOKUP(D615,'DB technologies'!$N$294:$Y$306,12,FALSE)/100/VLOOKUP($C$613,'DB animal categories'!$C$221:$AC$230,27,FALSE)*AJ615+Y615+Z615+AA615,0))))))</f>
        <v/>
      </c>
      <c r="BA615" s="506"/>
      <c r="BB615" s="506"/>
      <c r="BC615" s="506"/>
    </row>
    <row r="616" spans="1:55" x14ac:dyDescent="0.2">
      <c r="A616" s="748"/>
      <c r="B616" s="695"/>
      <c r="C616" s="251"/>
      <c r="D616" s="1357"/>
      <c r="E616" s="1358"/>
      <c r="F616" s="480" t="str">
        <f>IF('Calc (ex-animal)'!$F$113=1,"",IF($C$613=0,"",IF(D616="","",E616/'Calc (ex-animal)'!$E$114*100)))</f>
        <v/>
      </c>
      <c r="G616" s="485" t="str">
        <f>IF($C$613=0,"",IF('Calc (ex-animal)'!$F$113=1,"",IF(D616="","",SUM(H616:O616))))</f>
        <v/>
      </c>
      <c r="H616" s="423" t="str">
        <f>IF('Calc (ex-animal)'!$F$113=1,"",IF(D616="","",(((VLOOKUP($C$613,'Calc (ex-animal)'!$D$113:$Y$117,6,FALSE)-VLOOKUP($C$613,'Calc (ex-animal)'!$D$113:$Y$117,17,FALSE))*F616/100))*VLOOKUP($C$613,'Calc (ex-animal)'!$D$113:$Y$117,7,FALSE)/100*(1-VLOOKUP(D616,'DB technologies'!$N$294:$Y$306,9,FALSE)/100)))</f>
        <v/>
      </c>
      <c r="I616" s="423" t="str">
        <f>IF(D616="","",((VLOOKUP(D616,'DB technologies'!$N$294:$Y$306,2,FALSE)*VLOOKUP($C$613,'DB animal categories'!$C$221:$AC$230,27,FALSE)*E616/1000)/VLOOKUP($C$613,'DB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'!$S$6/100*(1-VLOOKUP(D616,'DB technologies'!$N$294:$Y$306,9,FALSE)/100)))</f>
        <v/>
      </c>
      <c r="J616" s="434" t="str">
        <f>IF(D616="","",((VLOOKUP(D616,'DB technologies'!$N$294:$Y$306,3,FALSE)*VLOOKUP($C$613,'DB animal categories'!$C$221:$AC$230,27,FALSE)*E616/1000)/VLOOKUP($C$613,'DB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'!$S$7/100*(1-VLOOKUP(D616,'DB technologies'!$N$294:$Y$306,9,FALSE)/100)))</f>
        <v/>
      </c>
      <c r="K616" s="434" t="str">
        <f>IF(D616="","",((VLOOKUP(D616,'DB technologies'!$N$294:$Y$306,4,FALSE)*E616*'DB additional information '!$S$8/100*(1-VLOOKUP(D616,'DB technologies'!$N$294:$Y$306,9,FALSE)/100))/VLOOKUP($C$613,'DB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L616" s="423" t="str">
        <f>IF('Calc (ex-animal)'!$F$113=1,"",IF(D616="","",(((VLOOKUP($C$613,'Calc (ex-animal)'!$D$113:$Y$117,6,FALSE)-VLOOKUP($C$613,'Calc (ex-animal)'!$D$113:$Y$117,17,FALSE))*F616/100))*(1-VLOOKUP($C$613,'Calc (ex-animal)'!$D$113:$Y$117,7,FALSE)/100)*(1-VLOOKUP(D616,'DB technologies'!$N$294:$V$306,8,FALSE)/100)))</f>
        <v/>
      </c>
      <c r="M616" s="434" t="str">
        <f>IF(D616="","",((VLOOKUP(D616,'DB technologies'!$N$294:$Y$306,2,FALSE)*VLOOKUP($C$613,'DB animal categories'!$C$221:$AC$230,27,FALSE)*E616/1000)/VLOOKUP($C$613,'DB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'!$S$6/100)*(1-VLOOKUP(D616,'DB technologies'!$N$294:$Y$306,9,FALSE)/100))</f>
        <v/>
      </c>
      <c r="N616" s="434" t="str">
        <f>IF(D616="","",((VLOOKUP(D616,'DB technologies'!$N$294:$Y$306,3,FALSE)*VLOOKUP($C$613,'DB animal categories'!$C$221:$AC$230,27,FALSE)*E616/1000)/VLOOKUP($C$613,'DB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'!$S$7/100)*(1-VLOOKUP(D616,'DB technologies'!$N$294:$Y$306,9,FALSE)/100))</f>
        <v/>
      </c>
      <c r="O616" s="423" t="str">
        <f>IF(D616="","",((VLOOKUP(D616,'DB technologies'!$N$294:$Y$306,4,FALSE)*E616*(1-'DB additional information '!$S$8/100)*(1-VLOOKUP(D616,'DB technologies'!$N$294:$Y$306,8,FALSE)/100))/VLOOKUP($C$613,'DB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P616" s="438" t="str">
        <f>IF(G616=0,0,IF(E616="","",IF(F616="","",IF($C$613=0,"",IF(D616="","",SUM(H616:K616)/G616*100)))))</f>
        <v/>
      </c>
      <c r="Q616" s="416" t="str">
        <f>IF(D616="","",(VLOOKUP(D616,'DB technologies'!$N$294:$Y$306,2,FALSE)*'DB additional information '!$S$6/100*'DB additional information '!$T$6*VLOOKUP($C$613,'DB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R616" s="416" t="str">
        <f>IF(D616="","",(VLOOKUP(D616,'DB technologies'!$N$294:$Y$306,3,FALSE)*'DB additional information '!$S$7/100*'DB additional information '!$T$7*VLOOKUP($C$613,'DB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S616" s="491" t="str">
        <f>IF(D616="","",(VLOOKUP(D616,'DB technologies'!$N$294:$Y$306,4,FALSE)*('DB additional information '!$S$8/100*'DB additional information '!$T$8*E616/1000/1000)))</f>
        <v/>
      </c>
      <c r="T616" s="264" t="str">
        <f>IF($C$613=0,"",IF('Calc (ex-animal)'!$F$113=1,"",IF(D616="","",((VLOOKUP($C$613,'Calc (ex-animal)'!$D$113:$Y$117,10,FALSE)-VLOOKUP($C$613,'Calc (ex-animal)'!$D$113:$Y$117,18,FALSE))*F616/100+Q616+R616+S616)-AC616-AD616-AE616)))</f>
        <v/>
      </c>
      <c r="U616" s="422" t="str">
        <f>IF(D616="","",(VLOOKUP(D616,'DB technologies'!$N$294:$Y$306,2,FALSE)*'DB additional information '!$S$6/100*'DB additional information '!$U$6*VLOOKUP($C$613,'DB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V616" s="418" t="str">
        <f>IF(D616="","",(VLOOKUP(D616,'DB technologies'!$N$294:$Y$306,3,FALSE)*'DB additional information '!$S$7/100*'DB additional information '!$U$7*VLOOKUP($C$613,'DB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W616" s="417" t="str">
        <f>IF(D616="","",(VLOOKUP(D616,'DB technologies'!$N$294:$Y$306,4,FALSE)*('DB additional information '!$S$8/100*'DB additional information '!$U$8*E616/1000/1000)))</f>
        <v/>
      </c>
      <c r="X616" s="261" t="str">
        <f>IF($C$613=0,"",IF('Calc (ex-animal)'!$F$113=1,"",IF(D616="","",((VLOOKUP($C$613,'Calc (ex-animal)'!$D$113:$Y$117,13,FALSE)-VLOOKUP($C$613,'Calc (ex-animal)'!$D$113:$Y$117,19,FALSE))*F616/100+U616+V616+W616))))</f>
        <v/>
      </c>
      <c r="Y616" s="418" t="str">
        <f>IF(D616="","",(VLOOKUP(D616,'DB technologies'!$N$294:$Y$306,2,FALSE)*'DB additional information '!$S$6/100*'DB additional information '!$V$6*VLOOKUP($C$613,'DB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Z616" s="418" t="str">
        <f>IF(D616="","",(VLOOKUP(D616,'DB technologies'!$N$294:$Y$306,3,FALSE)*'DB additional information '!$S$7/100*'DB additional information '!$V$7*VLOOKUP($C$613,'DB animal categories'!$C$221:$AC$230,27,FALSE)*E616/1000/1000)/VLOOKUP($C$613,'DB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AA616" s="418" t="str">
        <f>IF(D616="","",(VLOOKUP(D616,'DB technologies'!$N$294:$Y$306,4,FALSE)*('DB additional information '!$S$8/100*'DB additional information '!$V$8*E616/1000/1000)))</f>
        <v/>
      </c>
      <c r="AB616" s="261" t="str">
        <f>IF($C$613=0,"",IF('Calc (ex-animal)'!$F$113=1,"",IF(D616="","",((VLOOKUP($C$613,'Calc (ex-animal)'!$D$113:$Y$117,16,FALSE)-VLOOKUP($C$613,'Calc (ex-animal)'!$D$113:$Y$117,20,FALSE))*F616/100+Y616+Z616+AA616))))</f>
        <v/>
      </c>
      <c r="AC616" s="261" t="str">
        <f>IF($C$613=0,"",IF('Calc (ex-animal)'!$F$113=1,"",IF(D616="","",VLOOKUP($C$613,'Calc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categories'!$C$221:$AC$230,26,FALSE)/24)*F616/100*VLOOKUP(D616,'DB technologies'!$N$294:$R$306,5,FALSE)/100)))</f>
        <v/>
      </c>
      <c r="AD616" s="261" t="str">
        <f>IF($C$613=0,"",IF('Calc (ex-animal)'!$F$113=1,"",IF(D616="","",VLOOKUP($C$613,'Calc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categories'!$C$221:$AC$230,26,FALSE)/24)*F616/100*VLOOKUP(D616,'DB technologies'!$N$294:$Y$306,6,FALSE)/100)))</f>
        <v/>
      </c>
      <c r="AE616" s="262" t="str">
        <f>IF($C$613=0,"",IF('Calc (ex-animal)'!$F$113=1,"",IF(D616="","",VLOOKUP($C$613,'Calc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categories'!$C$221:$AC$230,26,FALSE)/24)*F616/100*VLOOKUP(D616,'DB technologies'!$N$294:$Y$306,7,FALSE)/100)))</f>
        <v/>
      </c>
      <c r="AI616" s="181" t="str">
        <f>IF(D616="","",VLOOKUP(D616,'DB technologies'!$N$294:$Y$306,10,FALSE))</f>
        <v/>
      </c>
      <c r="AJ616" s="449" t="e">
        <f>VLOOKUP($C$613,'DB animal categories'!$C$221:$AN$230,27,FALSE)-VLOOKUP($C$613,'DB animal categories'!$C$221:$AN$230,26,FALSE)*VLOOKUP($C$613,'DB animal categories'!$C$221:$AN$230,25,FALSE)/24</f>
        <v>#N/A</v>
      </c>
      <c r="AK616" s="442" t="str">
        <f>IF(AI616="","",AL616+AM616)</f>
        <v/>
      </c>
      <c r="AL616" s="442" t="str">
        <f>IF(D616="","",IF(AI616=2,(('Calc (ex-animal)'!$G$114*'DB additional information '!$K$24/100*(1-VLOOKUP(D616,'DB technologies'!$N$294:$Y$306,9,FALSE)/100)*'Calc (ex-housing, ex-storage)'!F616/100+'Calc (ex-animal)'!$H$114*'DB additional information '!$L$24/100*(1-VLOOKUP(D616,'DB technologies'!$N$294:$Y$306,9,FALSE)/100)*'Calc (ex-housing, ex-storage)'!F616/100))/VLOOKUP($C$613,'DB animal categories'!$C$221:$AC$230,27,FALSE)*AJ616+I616+J616+K616,IF(AI616=1,('Calc (ex-animal)'!$H$114*'DB additional information '!$L$24/100*(1-VLOOKUP(D616,'DB technologies'!$N$294:$Y$306,9,FALSE)/100)*'Calc (ex-housing, ex-storage)'!F616/100)/VLOOKUP($C$613,'DB animal categories'!$C$221:$AC$230,27,FALSE)*AJ616,IF(AI616=4,('Calc (ex-animal)'!$G$114*'DB additional information '!$K$24/100+'Calc (ex-animal)'!$H$114*'DB additional information '!$L$24/100)*(1-VLOOKUP(D616,'DB technologies'!$N$294:$Y$306,9,FALSE)/100)*'Calc (ex-housing, ex-storage)'!F616/100*VLOOKUP(D616,'DB technologies'!$N$294:$Y$306,11,FALSE)/100/VLOOKUP($C$613,'DB animal categories'!$C$221:$AC$230,27,FALSE)*AJ616,0))))</f>
        <v/>
      </c>
      <c r="AM616" s="442" t="str">
        <f>IF(D616="","",IF(AI616=2,(('Calc (ex-animal)'!$G$114*(1-'DB additional information '!$K$24/100)*(1-VLOOKUP(D616,'DB technologies'!$N$294:$Y$306,8,FALSE)/100)*'Calc (ex-housing, ex-storage)'!F616/100+'Calc (ex-animal)'!$H$114*(1-'DB additional information '!$L$24/100)*(1-VLOOKUP(D616,'DB technologies'!$N$294:$Y$306,8,FALSE)/100)*'Calc (ex-housing, ex-storage)'!F616/100))/VLOOKUP($C$613,'DB animal categories'!$C$221:$AC$230,27,FALSE)*AJ616+M616+N616+O616,IF(AI616=1,('Calc (ex-animal)'!$H$114*(1-'DB additional information '!$L$24/100)*(1-VLOOKUP(D616,'DB technologies'!$N$294:$Y$306,8,FALSE)/100)*'Calc (ex-housing, ex-storage)'!F616/100)/VLOOKUP($C$613,'DB animal categories'!$C$221:$AC$230,27,FALSE)*AJ616,IF(AI616=4,('Calc (ex-animal)'!$G$114*(1-'DB additional information '!$K$24/100)+'Calc (ex-animal)'!$H$114*(1-'DB additional information '!$L$24/100))*(1-VLOOKUP(D616,'DB technologies'!$N$294:$Y$306,8,FALSE)/100)*'Calc (ex-housing, ex-storage)'!F616/100*VLOOKUP(D616,'DB technologies'!$N$294:$Y$306,11,FALSE)/100/VLOOKUP($C$613,'DB animal categories'!$C$221:$AC$230,27,FALSE)*AJ616,0))))</f>
        <v/>
      </c>
      <c r="AN616" s="442" t="str">
        <f>IF(AI616="","",IF(AL616=0,0,AL616/AK616*100))</f>
        <v/>
      </c>
      <c r="AO616" s="182" t="str">
        <f>IF(D616="","",IF(AI616=2,(('Calc (ex-animal)'!$L$114*'Calc (ex-housing, ex-storage)'!F616/100+'Calc (ex-animal)'!$K$114*'Calc (ex-housing, ex-storage)'!F616/100))/VLOOKUP($C$613,'DB animal categories'!$C$221:$AC$230,27,FALSE)*AJ616+Q616+R616+S616-AC616,IF(AI616=1,('Calc (ex-animal)'!$L$114*'Calc (ex-housing, ex-storage)'!F616/100)/VLOOKUP($C$613,'DB animal categories'!$C$221:$AC$230,27,FALSE)*AJ616-'Calc (ex-housing, ex-storage)'!AC616,IF(AI616=4,('Calc (ex-animal)'!$L$114+'Calc (ex-animal)'!$K$114)*'Calc (ex-housing, ex-storage)'!F616/100*VLOOKUP(D616,'DB technologies'!$N$294:$Y$306,11,FALSE)/100/VLOOKUP($C$613,'DB animal categories'!$C$221:$AC$230,27,FALSE)*AJ616-AC616*VLOOKUP(D616,'DB technologies'!$N$294:$Y$306,11,FALSE)/100,0))))</f>
        <v/>
      </c>
      <c r="AP616" s="182" t="str">
        <f>IF(D616="","",IF(AO616&lt;-0.01,0,IF(AI616=2,(('Calc (ex-animal)'!$L$114*'Calc (ex-housing, ex-storage)'!F616/100+'Calc (ex-animal)'!$K$114*'Calc (ex-housing, ex-storage)'!F616/100))/VLOOKUP($C$613,'DB animal categories'!$C$221:$AC$230,27,FALSE)*AJ616+Q616+R616+S616-AC616,IF(AI616=1,('Calc (ex-animal)'!$L$114*'Calc (ex-housing, ex-storage)'!F616/100)/VLOOKUP($C$613,'DB animal categories'!$C$221:$AC$230,27,FALSE)*AJ616-'Calc (ex-housing, ex-storage)'!AC616,IF(AI616=4,('Calc (ex-animal)'!$L$114+'Calc (ex-animal)'!$K$114)*'Calc (ex-housing, ex-storage)'!F616/100*VLOOKUP(D616,'DB technologies'!$N$294:$Y$306,11,FALSE)/100/VLOOKUP($C$613,'DB animal categories'!$C$221:$AC$230,27,FALSE)*AJ616-AC616*VLOOKUP(D616,'DB technologies'!$N$294:$Y$306,11,FALSE)/100,0)))))</f>
        <v/>
      </c>
      <c r="AQ616" s="182" t="str">
        <f>IF(D616="","",IF(AI616=2,('Calc (ex-animal)'!$O$114*'Calc (ex-housing, ex-storage)'!F616/100+'Calc (ex-animal)'!$N$114*'Calc (ex-housing, ex-storage)'!F616/100)/VLOOKUP($C$613,'DB animal categories'!$C$221:$AC$230,27,FALSE)*AJ616+U616+V616+W616,IF(AI616=1,'Calc (ex-animal)'!$O$114*'Calc (ex-housing, ex-storage)'!F616/100/VLOOKUP($C$613,'DB animal categories'!$C$221:$AC$230,27,FALSE)*AJ616,IF(AI616=4,('Calc (ex-animal)'!$O$114+'Calc (ex-animal)'!$N$114)*'Calc (ex-housing, ex-storage)'!F616/100*VLOOKUP(D616,'DB technologies'!$N$294:$Y$306,11,FALSE)/100/VLOOKUP($C$613,'DB animal categories'!$C$221:$AC$230,27,FALSE)*AJ616,0))))</f>
        <v/>
      </c>
      <c r="AR616" s="182" t="str">
        <f>IF(D616="","",IF(AI616=2,('Calc (ex-animal)'!$R$114*'Calc (ex-housing, ex-storage)'!F616/100+'Calc (ex-animal)'!$Q$114*'Calc (ex-housing, ex-storage)'!F616/100)/VLOOKUP($C$613,'DB animal categories'!$C$221:$AC$230,27,FALSE)*AJ616+Y616+Z616+AA616,IF(AI616=1,'Calc (ex-animal)'!$R$114*'Calc (ex-housing, ex-storage)'!F616/100/VLOOKUP($C$613,'DB animal categories'!$C$221:$AC$230,27,FALSE)*AJ616,IF(AI616=4,('Calc (ex-animal)'!$R$114+'Calc (ex-animal)'!$Q$114)*'Calc (ex-housing, ex-storage)'!F616/100*VLOOKUP(D616,'DB technologies'!$N$294:$Y$306,11,FALSE)/100/VLOOKUP($C$613,'DB animal categories'!$C$221:$AC$230,27,FALSE)*AJ616,0))))</f>
        <v/>
      </c>
      <c r="AS616" s="181" t="str">
        <f>IF(D616="","",VLOOKUP(D616,'DB technologies'!$N$294:$Y$306,10,FALSE))</f>
        <v/>
      </c>
      <c r="AT616" s="442" t="str">
        <f>IF(AS616="","",AU616+AV616)</f>
        <v/>
      </c>
      <c r="AU616" s="442" t="str">
        <f>IF(D616="","",IF(AS616=2,0,IF(AS616=1,'Calc (ex-animal)'!$G$114*'DB additional information '!$K$24/100*(1-VLOOKUP(D616,'DB technologies'!$N$294:$Y$306,8,FALSE)/100)*'Calc (ex-housing, ex-storage)'!F616/100/VLOOKUP($C$613,'DB animal categories'!$C$221:$AC$230,27,FALSE)*AJ616+I616+J616+K616,IF(AS616=5,(('Calc (ex-animal)'!$G$114*'DB additional information '!$K$24/100+'Calc (ex-animal)'!$H$114*'DB additional information '!$L$24/100))*(1-VLOOKUP(D616,'DB technologies'!$N$294:$Y$306,9,FALSE)/100)*'Calc (ex-housing, ex-storage)'!F616/100/VLOOKUP($C$613,'DB animal categories'!$C$221:$AC$230,27,FALSE)*AJ616+I616+J616+K616,IF(AS616=3,('Calc (ex-animal)'!$G$114*'DB additional information '!$K$24/100+'Calc (ex-animal)'!$H$114*'DB additional information '!$L$24/100)*(1-VLOOKUP(D616,'DB technologies'!$N$294:$Y$306,9,FALSE)/100)*'Calc (ex-housing, ex-storage)'!F616/100/VLOOKUP($C$613,'DB animal categories'!$C$221:$AC$230,27,FALSE)*AJ616+I616+J616+K616,IF(AS616=4,('Calc (ex-animal)'!$G$114*'DB additional information '!$K$24/100+'Calc (ex-animal)'!$H$114*'DB additional information '!$L$24/100)*(1-VLOOKUP(D616,'DB technologies'!$N$294:$Y$306,9,FALSE)/100)*'Calc (ex-housing, ex-storage)'!F616/100*VLOOKUP(D616,'DB technologies'!$N$294:$Y$306,12,FALSE)/100/VLOOKUP($C$613,'DB animal categories'!$C$221:$AC$230,27,FALSE)*AJ616+I616+J616+K616,0))))))</f>
        <v/>
      </c>
      <c r="AV616" s="442" t="str">
        <f>IF(D616="","",IF(AS616=2,0,IF(AS616=1,'Calc (ex-animal)'!$G$114*(1-'DB additional information '!$K$24/100)*(1-VLOOKUP(D616,'DB technologies'!$N$294:$Y$306,8,FALSE)/100)*'Calc (ex-housing, ex-storage)'!F616/100/VLOOKUP($C$613,'DB animal categories'!$C$221:$AC$230,27,FALSE)*AJ616+M616+N616+O616,IF(AS616=5,('Calc (ex-animal)'!$G$114*(1-'DB additional information '!$K$24/100)+'Calc (ex-animal)'!$H$114*(1-'DB additional information '!$L$24/100))*(1-VLOOKUP(D616,'DB technologies'!$N$294:$Y$306,8,FALSE)/100)*'Calc (ex-housing, ex-storage)'!F616/100/VLOOKUP($C$613,'DB animal categories'!$C$221:$AC$230,27,FALSE)*AJ616+M616+N616+O616,IF(AS616=3,('Calc (ex-animal)'!$G$114*(1-'DB additional information '!$K$24/100)+'Calc (ex-animal)'!$H$114*(1-'DB additional information '!$L$24/100))*(1-VLOOKUP(D616,'DB technologies'!$N$294:$Y$306,8,FALSE)/100)*'Calc (ex-housing, ex-storage)'!F616/100/VLOOKUP($C$613,'DB animal categories'!$C$221:$AC$230,27,FALSE)*AJ616+M616+N616+O616,IF(AS616=4,('Calc (ex-animal)'!$G$114*(1-'DB additional information '!$K$24/100)+'Calc (ex-animal)'!$H$114*(1-'DB additional information '!$L$24/100))*(1-VLOOKUP(D616,'DB technologies'!$N$294:$Y$306,8,FALSE)/100)*'Calc (ex-housing, ex-storage)'!F616/100*VLOOKUP(D616,'DB technologies'!$N$294:$Y$306,12,FALSE)/100/VLOOKUP($C$613,'DB animal categories'!$C$221:$AC$230,27,FALSE)*AJ616+M616+N616+O616,0))))))</f>
        <v/>
      </c>
      <c r="AW616" s="442" t="str">
        <f>IF(AS616="","",IF(AU616=0,0,AU616/AT616*100))</f>
        <v/>
      </c>
      <c r="AX616" s="182" t="str">
        <f>IF(D616="","",IF(AS616=2,0,IF(AS616=1,'Calc (ex-animal)'!$K$114*'Calc (ex-housing, ex-storage)'!F616/100/VLOOKUP($C$613,'DB animal categories'!$C$221:$AC$230,27,FALSE)*AJ616+Q616+R616+S616,IF(AS616=5,('Calc (ex-animal)'!$K$114+'Calc (ex-animal)'!$L$114)*'Calc (ex-housing, ex-storage)'!F616/100/VLOOKUP($C$613,'DB animal categories'!$C$221:$AC$230,27,FALSE)*AJ616+Q616+R616+S616-'Calc (ex-housing, ex-storage)'!AC616,IF(AS616=3,('Calc (ex-animal)'!$K$114+'Calc (ex-animal)'!$L$114)*'Calc (ex-housing, ex-storage)'!F616/100/VLOOKUP($C$613,'DB animal categories'!$C$221:$AC$230,27,FALSE)*AJ616+Q616+R616+S616-'Calc (ex-housing, ex-storage)'!AC616-AD616-AE616,IF(AI616=4,('Calc (ex-animal)'!$K$114+'Calc (ex-animal)'!$L$114)*'Calc (ex-housing, ex-storage)'!F616/100*VLOOKUP(D616,'DB technologies'!$N$294:$Y$306,12,FALSE)/100/VLOOKUP($C$613,'DB animal categories'!$C$221:$AC$230,27,FALSE)*AJ616+Q616+R616+S616-(VLOOKUP(D616,'DB technologies'!$N$294:$Y$306,12,FALSE)/100*AC616)-AD616-AE616,0))))))</f>
        <v/>
      </c>
      <c r="AY616" s="182" t="str">
        <f>IF(D616="","",IF(AS616=2,0,IF(AS616=1,'Calc (ex-animal)'!$N$114*'Calc (ex-housing, ex-storage)'!F616/100/VLOOKUP($C$613,'DB animal categories'!$C$221:$AC$230,27,FALSE)*AJ616+U616+V616+W616,IF(AS616=5,('Calc (ex-animal)'!$N$114+'Calc (ex-animal)'!$O$114)*'Calc (ex-housing, ex-storage)'!F616/100/VLOOKUP($C$613,'DB animal categories'!$C$221:$AC$230,27,FALSE)*AJ616+U616+V616+W616,IF(AS616=3,('Calc (ex-animal)'!$N$114+'Calc (ex-animal)'!$O$114)*'Calc (ex-housing, ex-storage)'!F616/100/VLOOKUP($C$613,'DB animal categories'!$C$221:$AC$230,27,FALSE)*AJ616+U616+V616+W616,IF(AS616=4,('Calc (ex-animal)'!$N$114+'Calc (ex-animal)'!$O$114)*'Calc (ex-housing, ex-storage)'!F616/100*VLOOKUP(D616,'DB technologies'!$N$294:$Y$306,12,FALSE)/100/VLOOKUP($C$613,'DB animal categories'!$C$221:$AC$230,27,FALSE)*AJ616+U616+V616+W616,0))))))</f>
        <v/>
      </c>
      <c r="AZ616" s="182" t="str">
        <f>IF(D616="","",IF(AS616=2,0,IF(AS616=1,'Calc (ex-animal)'!$Q$114*'Calc (ex-housing, ex-storage)'!F616/100/VLOOKUP($C$613,'DB animal categories'!$C$221:$AC$230,27,FALSE)*AJ616+Y616+Z616+AA616,IF(AS616=5,('Calc (ex-animal)'!$Q$114+'Calc (ex-animal)'!$R$114)*'Calc (ex-housing, ex-storage)'!F616/100/VLOOKUP($C$613,'DB animal categories'!$C$221:$AC$230,27,FALSE)*AJ616+Y616+Z616+AA616,IF(AS616=3,('Calc (ex-animal)'!$Q$114+'Calc (ex-animal)'!$R$114)*'Calc (ex-housing, ex-storage)'!F616/100/VLOOKUP($C$613,'DB animal categories'!$C$221:$AC$230,27,FALSE)*AJ616+Y616+Z616+AA616,IF(AS616=4,('Calc (ex-animal)'!$Q$114+'Calc (ex-animal)'!$R$114)*'Calc (ex-housing, ex-storage)'!F616/100*VLOOKUP(D616,'DB technologies'!$N$294:$Y$306,12,FALSE)/100/VLOOKUP($C$613,'DB animal categories'!$C$221:$AC$230,27,FALSE)*AJ616+Y616+Z616+AA616,0))))))</f>
        <v/>
      </c>
      <c r="BA616" s="506"/>
      <c r="BB616" s="506"/>
      <c r="BC616" s="506"/>
    </row>
    <row r="617" spans="1:55" ht="12" thickBot="1" x14ac:dyDescent="0.25">
      <c r="A617" s="748"/>
      <c r="B617" s="695"/>
      <c r="C617" s="251"/>
      <c r="D617" s="1359"/>
      <c r="E617" s="1360"/>
      <c r="F617" s="481" t="str">
        <f>IF('Calc (ex-animal)'!$F$113=1,"",IF($C$613=0,"",IF(D617="","",E617/'Calc (ex-animal)'!$E$114*100)))</f>
        <v/>
      </c>
      <c r="G617" s="483" t="str">
        <f>IF($C$613=0,"",IF('Calc (ex-animal)'!$F$113=1,"",IF(D617="","",SUM(H617:O617))))</f>
        <v/>
      </c>
      <c r="H617" s="445" t="str">
        <f>IF('Calc (ex-animal)'!$F$113=1,"",IF(D617="","",(((VLOOKUP($C$613,'Calc (ex-animal)'!$D$113:$Y$117,6,FALSE)-VLOOKUP($C$613,'Calc (ex-animal)'!$D$113:$Y$117,17,FALSE))*F617/100))*VLOOKUP($C$613,'Calc (ex-animal)'!$D$113:$Y$117,7,FALSE)/100*(1-VLOOKUP(D617,'DB technologies'!$N$294:$Y$306,9,FALSE)/100)))</f>
        <v/>
      </c>
      <c r="I617" s="445" t="str">
        <f>IF(D617="","",((VLOOKUP(D617,'DB technologies'!$N$294:$Y$306,2,FALSE)*VLOOKUP($C$613,'DB animal categories'!$C$221:$AC$230,27,FALSE)*E617/1000)/VLOOKUP($C$613,'DB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'!$S$6/100*(1-VLOOKUP(D617,'DB technologies'!$N$294:$Y$306,9,FALSE)/100)))</f>
        <v/>
      </c>
      <c r="J617" s="446" t="str">
        <f>IF(D617="","",((VLOOKUP(D617,'DB technologies'!$N$294:$Y$306,3,FALSE)*VLOOKUP($C$613,'DB animal categories'!$C$221:$AC$230,27,FALSE)*E617/1000)/VLOOKUP($C$613,'DB animal categories'!$C$221:$AC$230,27,FALSE)*(VLOOKUP($C$613,'DB animal categories'!$C$221:$AC$230,27,FALSE)-(VLOOKUP($C$613,'DB animal categories'!$C$221:$AC$230,25,FALSE)*VLOOKUP($C$613,'DB animal categories'!$C$221:$AC$230,26,FALSE)/24))*'DB additional information '!$S$7/100*(1-VLOOKUP(D617,'DB technologies'!$N$294:$Y$306,9,FALSE)/100)))</f>
        <v/>
      </c>
      <c r="K617" s="446" t="str">
        <f>IF(D617="","",((VLOOKUP(D617,'DB technologies'!$N$294:$Y$306,4,FALSE)*E617*'DB additional information '!$S$8/100*(1-VLOOKUP(D617,'DB technologies'!$N$294:$Y$306,9,FALSE)/100))/VLOOKUP($C$613,'DB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L617" s="445" t="str">
        <f>IF('Calc (ex-animal)'!$F$113=1,"",IF(D617="","",(((VLOOKUP($C$613,'Calc (ex-animal)'!$D$113:$Y$117,6,FALSE)-VLOOKUP($C$613,'Calc (ex-animal)'!$D$113:$Y$117,17,FALSE))*F617/100))*(1-VLOOKUP($C$613,'Calc (ex-animal)'!$D$113:$Y$117,7,FALSE)/100)*(1-VLOOKUP(D617,'DB technologies'!$N$294:$V$306,8,FALSE)/100)))</f>
        <v/>
      </c>
      <c r="M617" s="446" t="str">
        <f>IF(D617="","",((VLOOKUP(D617,'DB technologies'!$N$294:$Y$306,2,FALSE)*VLOOKUP($C$613,'DB animal categories'!$C$221:$AC$230,27,FALSE)*E617/1000)/VLOOKUP($C$613,'DB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'!$S$6/100)*(1-VLOOKUP(D617,'DB technologies'!$N$294:$Y$306,9,FALSE)/100))</f>
        <v/>
      </c>
      <c r="N617" s="446" t="str">
        <f>IF(D617="","",((VLOOKUP(D617,'DB technologies'!$N$294:$Y$306,3,FALSE)*VLOOKUP($C$613,'DB animal categories'!$C$221:$AC$230,27,FALSE)*E617/1000)/VLOOKUP($C$613,'DB animal categories'!$C$221:$AC$230,27,FALSE)*(VLOOKUP($C$613,'DB animal categories'!$C$221:$AC$230,27,FALSE)-VLOOKUP($C$613,'DB animal categories'!$C$221:$AC$230,25,FALSE)*VLOOKUP($C$613,'DB animal categories'!$C$221:$AC$230,26,FALSE)/24))*(1-'DB additional information '!$S$7/100)*(1-VLOOKUP(D617,'DB technologies'!$N$294:$Y$306,9,FALSE)/100))</f>
        <v/>
      </c>
      <c r="O617" s="445" t="str">
        <f>IF(D617="","",((VLOOKUP(D617,'DB technologies'!$N$294:$Y$306,4,FALSE)*E617*(1-'DB additional information '!$S$8/100)*(1-VLOOKUP(D617,'DB technologies'!$N$294:$Y$306,8,FALSE)/100))/VLOOKUP($C$613,'DB animal categories'!$C$221:$AC$230,27,FALSE)*(VLOOKUP($C$613,'DB animal categories'!$C$221:$AC$230,27,FALSE)-VLOOKUP($C$613,'DB animal categories'!$C$221:$AC$230,25,FALSE)*VLOOKUP($C$613,'DB animal categories'!$C$221:$AC$230,26,FALSE)/24)))</f>
        <v/>
      </c>
      <c r="P617" s="444" t="str">
        <f>IF(G617=0,0,IF(E617="","",IF(F617="","",IF($C$613=0,"",IF(D617="","",SUM(H617:K617)/G617*100)))))</f>
        <v/>
      </c>
      <c r="Q617" s="476" t="str">
        <f>IF(D617="","",(VLOOKUP(D617,'DB technologies'!$N$294:$Y$306,2,FALSE)*'DB additional information '!$S$6/100*'DB additional information '!$T$6*VLOOKUP($C$613,'DB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R617" s="476" t="str">
        <f>IF(D617="","",(VLOOKUP(D617,'DB technologies'!$N$294:$Y$306,3,FALSE)*'DB additional information '!$S$7/100*'DB additional information '!$T$7*VLOOKUP($C$613,'DB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S617" s="494" t="str">
        <f>IF(D617="","",(VLOOKUP(D617,'DB technologies'!$N$294:$Y$306,4,FALSE)*('DB additional information '!$S$8/100*'DB additional information '!$T$8*E617/1000/1000)))</f>
        <v/>
      </c>
      <c r="T617" s="266" t="str">
        <f>IF($C$613=0,"",IF('Calc (ex-animal)'!$F$113=1,"",IF(D617="","",((VLOOKUP($C$613,'Calc (ex-animal)'!$D$113:$Y$117,10,FALSE)-VLOOKUP($C$613,'Calc (ex-animal)'!$D$113:$Y$117,18,FALSE))*F617/100+Q617+R617+S617)-AC617-AD617-AE617)))</f>
        <v/>
      </c>
      <c r="U617" s="477" t="str">
        <f>IF(D617="","",(VLOOKUP(D617,'DB technologies'!$N$294:$Y$306,2,FALSE)*'DB additional information '!$S$6/100*'DB additional information '!$U$6*VLOOKUP($C$613,'DB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V617" s="433" t="str">
        <f>IF(D617="","",(VLOOKUP(D617,'DB technologies'!$N$294:$Y$306,3,FALSE)*'DB additional information '!$S$7/100*'DB additional information '!$U$7*VLOOKUP($C$613,'DB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W617" s="475" t="str">
        <f>IF(D617="","",(VLOOKUP(D617,'DB technologies'!$N$294:$Y$306,4,FALSE)*('DB additional information '!$S$8/100*'DB additional information '!$U$8*E617/1000/1000)))</f>
        <v/>
      </c>
      <c r="X617" s="267" t="str">
        <f>IF($C$613=0,"",IF('Calc (ex-animal)'!$F$113=1,"",IF(D617="","",((VLOOKUP($C$613,'Calc (ex-animal)'!$D$113:$Y$117,13,FALSE)-VLOOKUP($C$613,'Calc (ex-animal)'!$D$113:$Y$117,19,FALSE))*F617/100+U617+V617+W617))))</f>
        <v/>
      </c>
      <c r="Y617" s="433" t="str">
        <f>IF(D617="","",(VLOOKUP(D617,'DB technologies'!$N$294:$Y$306,2,FALSE)*'DB additional information '!$S$6/100*'DB additional information '!$V$6*VLOOKUP($C$613,'DB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Z617" s="433" t="str">
        <f>IF(D617="","",(VLOOKUP(D617,'DB technologies'!$N$294:$Y$306,3,FALSE)*'DB additional information '!$S$7/100*'DB additional information '!$V$7*VLOOKUP($C$613,'DB animal categories'!$C$221:$AC$230,27,FALSE)*E617/1000/1000)/VLOOKUP($C$613,'DB animal categories'!$C$221:$AC$230,27,FALSE)*(VLOOKUP($C$613,'DB animal categories'!$C$221:$AC$230,27,FALSE)-VLOOKUP($C$613,'DB animal categories'!$C$221:$AC$230,25,FALSE)*VLOOKUP($C$613,'DB animal categories'!$C$221:$AC$230,26,FALSE)/24))</f>
        <v/>
      </c>
      <c r="AA617" s="433" t="str">
        <f>IF(D617="","",(VLOOKUP(D617,'DB technologies'!$N$294:$Y$306,4,FALSE)*('DB additional information '!$S$8/100*'DB additional information '!$V$8*E617/1000/1000)))</f>
        <v/>
      </c>
      <c r="AB617" s="267" t="str">
        <f>IF($C$613=0,"",IF('Calc (ex-animal)'!$F$113=1,"",IF(D617="","",((VLOOKUP($C$613,'Calc (ex-animal)'!$D$113:$Y$117,16,FALSE)-VLOOKUP($C$613,'Calc (ex-animal)'!$D$113:$Y$117,20,FALSE))*F617/100+Y617+Z617+AA617))))</f>
        <v/>
      </c>
      <c r="AC617" s="267" t="str">
        <f>IF($C$613=0,"",IF('Calc (ex-animal)'!$F$113=1,"",IF(D617="","",VLOOKUP($C$613,'Calc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categories'!$C$221:$AC$230,26,FALSE)/24)*F617/100*VLOOKUP(D617,'DB technologies'!$N$294:$R$306,5,FALSE)/100)))</f>
        <v/>
      </c>
      <c r="AD617" s="267" t="str">
        <f>IF($C$613=0,"",IF('Calc (ex-animal)'!$F$113=1,"",IF(D617="","",VLOOKUP($C$613,'Calc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categories'!$C$221:$AC$230,26,FALSE)/24)*F617/100*VLOOKUP(D617,'DB technologies'!$N$294:$Y$306,6,FALSE)/100)))</f>
        <v/>
      </c>
      <c r="AE617" s="268" t="str">
        <f>IF($C$613=0,"",IF('Calc (ex-animal)'!$F$113=1,"",IF(D617="","",VLOOKUP($C$613,'Calc (ex-animal)'!$D$113:$Y$117,10,FALSE)/VLOOKUP($C$613,'DB animal categories'!$C$221:$AC$230,27,FALSE)*(VLOOKUP($C$613,'DB animal categories'!$C$221:$AC$230,27,FALSE)-VLOOKUP($C$613,'DB animal categories'!$C$221:$AC$230,25,FALSE)*VLOOKUP($C$613,'DB animal categories'!$C$221:$AC$230,26,FALSE)/24)*F617/100*VLOOKUP(D617,'DB technologies'!$N$294:$Y$306,7,FALSE)/100)))</f>
        <v/>
      </c>
      <c r="AI617" s="183" t="str">
        <f>IF(D617="","",VLOOKUP(D617,'DB technologies'!$N$294:$Y$306,10,FALSE))</f>
        <v/>
      </c>
      <c r="AJ617" s="451" t="e">
        <f>VLOOKUP($C$613,'DB animal categories'!$C$221:$AN$230,27,FALSE)-VLOOKUP($C$613,'DB animal categories'!$C$221:$AN$230,26,FALSE)*VLOOKUP($C$613,'DB animal categories'!$C$221:$AN$230,25,FALSE)/24</f>
        <v>#N/A</v>
      </c>
      <c r="AK617" s="452" t="str">
        <f>IF(AI617="","",AL617+AM617)</f>
        <v/>
      </c>
      <c r="AL617" s="452" t="str">
        <f>IF(D617="","",IF(AI617=2,(('Calc (ex-animal)'!$G$114*'DB additional information '!$K$24/100*(1-VLOOKUP(D617,'DB technologies'!$N$294:$Y$306,9,FALSE)/100)*'Calc (ex-housing, ex-storage)'!F617/100+'Calc (ex-animal)'!$H$114*'DB additional information '!$L$24/100*(1-VLOOKUP(D617,'DB technologies'!$N$294:$Y$306,9,FALSE)/100)*'Calc (ex-housing, ex-storage)'!F617/100))/VLOOKUP($C$613,'DB animal categories'!$C$221:$AC$230,27,FALSE)*AJ617+I617+J617+K617,IF(AI617=1,('Calc (ex-animal)'!$H$114*'DB additional information '!$L$24/100*(1-VLOOKUP(D617,'DB technologies'!$N$294:$Y$306,9,FALSE)/100)*'Calc (ex-housing, ex-storage)'!F617/100)/VLOOKUP($C$613,'DB animal categories'!$C$221:$AC$230,27,FALSE)*AJ617,IF(AI617=4,('Calc (ex-animal)'!$G$114*'DB additional information '!$K$24/100+'Calc (ex-animal)'!$H$114*'DB additional information '!$L$24/100)*(1-VLOOKUP(D617,'DB technologies'!$N$294:$Y$306,9,FALSE)/100)*'Calc (ex-housing, ex-storage)'!F617/100*VLOOKUP(D617,'DB technologies'!$N$294:$Y$306,11,FALSE)/100/VLOOKUP($C$613,'DB animal categories'!$C$221:$AC$230,27,FALSE)*AJ617,0))))</f>
        <v/>
      </c>
      <c r="AM617" s="452" t="str">
        <f>IF(D617="","",IF(AI617=2,(('Calc (ex-animal)'!$G$114*(1-'DB additional information '!$K$24/100)*(1-VLOOKUP(D617,'DB technologies'!$N$294:$Y$306,8,FALSE)/100)*'Calc (ex-housing, ex-storage)'!F617/100+'Calc (ex-animal)'!$H$114*(1-'DB additional information '!$L$24/100)*(1-VLOOKUP(D617,'DB technologies'!$N$294:$Y$306,8,FALSE)/100)*'Calc (ex-housing, ex-storage)'!F617/100))/VLOOKUP($C$613,'DB animal categories'!$C$221:$AC$230,27,FALSE)*AJ617+M617+N617+O617,IF(AI617=1,('Calc (ex-animal)'!$H$114*(1-'DB additional information '!$L$24/100)*(1-VLOOKUP(D617,'DB technologies'!$N$294:$Y$306,8,FALSE)/100)*'Calc (ex-housing, ex-storage)'!F617/100)/VLOOKUP($C$613,'DB animal categories'!$C$221:$AC$230,27,FALSE)*AJ617,IF(AI617=4,('Calc (ex-animal)'!$G$114*(1-'DB additional information '!$K$24/100)+'Calc (ex-animal)'!$H$114*(1-'DB additional information '!$L$24/100))*(1-VLOOKUP(D617,'DB technologies'!$N$294:$Y$306,8,FALSE)/100)*'Calc (ex-housing, ex-storage)'!F617/100*VLOOKUP(D617,'DB technologies'!$N$294:$Y$306,11,FALSE)/100/VLOOKUP($C$613,'DB animal categories'!$C$221:$AC$230,27,FALSE)*AJ617,0))))</f>
        <v/>
      </c>
      <c r="AN617" s="452" t="str">
        <f>IF(AI617="","",IF(AL617=0,0,AL617/AK617*100))</f>
        <v/>
      </c>
      <c r="AO617" s="184" t="str">
        <f>IF(D617="","",IF(AI617=2,(('Calc (ex-animal)'!$L$114*'Calc (ex-housing, ex-storage)'!F617/100+'Calc (ex-animal)'!$K$114*'Calc (ex-housing, ex-storage)'!F617/100))/VLOOKUP($C$613,'DB animal categories'!$C$221:$AC$230,27,FALSE)*AJ617+Q617+R617+S617-AC617,IF(AI617=1,('Calc (ex-animal)'!$L$114*'Calc (ex-housing, ex-storage)'!F617/100)/VLOOKUP($C$613,'DB animal categories'!$C$221:$AC$230,27,FALSE)*AJ617-'Calc (ex-housing, ex-storage)'!AC617,IF(AI617=4,('Calc (ex-animal)'!$L$114+'Calc (ex-animal)'!$K$114)*'Calc (ex-housing, ex-storage)'!F617/100*VLOOKUP(D617,'DB technologies'!$N$294:$Y$306,11,FALSE)/100/VLOOKUP($C$613,'DB animal categories'!$C$221:$AC$230,27,FALSE)*AJ617-AC617*VLOOKUP(D617,'DB technologies'!$N$294:$Y$306,11,FALSE)/100,0))))</f>
        <v/>
      </c>
      <c r="AP617" s="184" t="str">
        <f>IF(D617="","",IF(AO617&lt;-0.01,0,IF(AI617=2,(('Calc (ex-animal)'!$L$114*'Calc (ex-housing, ex-storage)'!F617/100+'Calc (ex-animal)'!$K$114*'Calc (ex-housing, ex-storage)'!F617/100))/VLOOKUP($C$613,'DB animal categories'!$C$221:$AC$230,27,FALSE)*AJ617+Q617+R617+S617-AC617,IF(AI617=1,('Calc (ex-animal)'!$L$114*'Calc (ex-housing, ex-storage)'!F617/100)/VLOOKUP($C$613,'DB animal categories'!$C$221:$AC$230,27,FALSE)*AJ617-'Calc (ex-housing, ex-storage)'!AC617,IF(AI617=4,('Calc (ex-animal)'!$L$114+'Calc (ex-animal)'!$K$114)*'Calc (ex-housing, ex-storage)'!F617/100*VLOOKUP(D617,'DB technologies'!$N$294:$Y$306,11,FALSE)/100/VLOOKUP($C$613,'DB animal categories'!$C$221:$AC$230,27,FALSE)*AJ617-AC617*VLOOKUP(D617,'DB technologies'!$N$294:$Y$306,11,FALSE)/100,0)))))</f>
        <v/>
      </c>
      <c r="AQ617" s="184" t="str">
        <f>IF(D617="","",IF(AI617=2,('Calc (ex-animal)'!$O$114*'Calc (ex-housing, ex-storage)'!F617/100+'Calc (ex-animal)'!$N$114*'Calc (ex-housing, ex-storage)'!F617/100)/VLOOKUP($C$613,'DB animal categories'!$C$221:$AC$230,27,FALSE)*AJ617+U617+V617+W617,IF(AI617=1,'Calc (ex-animal)'!$O$114*'Calc (ex-housing, ex-storage)'!F617/100/VLOOKUP($C$613,'DB animal categories'!$C$221:$AC$230,27,FALSE)*AJ617,IF(AI617=4,('Calc (ex-animal)'!$O$114+'Calc (ex-animal)'!$N$114)*'Calc (ex-housing, ex-storage)'!F617/100*VLOOKUP(D617,'DB technologies'!$N$294:$Y$306,11,FALSE)/100/VLOOKUP($C$613,'DB animal categories'!$C$221:$AC$230,27,FALSE)*AJ617,0))))</f>
        <v/>
      </c>
      <c r="AR617" s="184" t="str">
        <f>IF(D617="","",IF(AI617=2,('Calc (ex-animal)'!$R$114*'Calc (ex-housing, ex-storage)'!F617/100+'Calc (ex-animal)'!$Q$114*'Calc (ex-housing, ex-storage)'!F617/100)/VLOOKUP($C$613,'DB animal categories'!$C$221:$AC$230,27,FALSE)*AJ617+Y617+Z617+AA617,IF(AI617=1,'Calc (ex-animal)'!$R$114*'Calc (ex-housing, ex-storage)'!F617/100/VLOOKUP($C$613,'DB animal categories'!$C$221:$AC$230,27,FALSE)*AJ617,IF(AI617=4,('Calc (ex-animal)'!$R$114+'Calc (ex-animal)'!$Q$114)*'Calc (ex-housing, ex-storage)'!F617/100*VLOOKUP(D617,'DB technologies'!$N$294:$Y$306,11,FALSE)/100/VLOOKUP($C$613,'DB animal categories'!$C$221:$AC$230,27,FALSE)*AJ617,0))))</f>
        <v/>
      </c>
      <c r="AS617" s="183" t="str">
        <f>IF(D617="","",VLOOKUP(D617,'DB technologies'!$N$294:$Y$306,10,FALSE))</f>
        <v/>
      </c>
      <c r="AT617" s="452" t="str">
        <f>IF(AS617="","",AU617+AV617)</f>
        <v/>
      </c>
      <c r="AU617" s="452" t="str">
        <f>IF(D617="","",IF(AS617=2,0,IF(AS617=1,'Calc (ex-animal)'!$G$114*'DB additional information '!$K$24/100*(1-VLOOKUP(D617,'DB technologies'!$N$294:$Y$306,8,FALSE)/100)*'Calc (ex-housing, ex-storage)'!F617/100/VLOOKUP($C$613,'DB animal categories'!$C$221:$AC$230,27,FALSE)*AJ617+I617+J617+K617,IF(AS617=5,(('Calc (ex-animal)'!$G$114*'DB additional information '!$K$24/100+'Calc (ex-animal)'!$H$114*'DB additional information '!$L$24/100))*(1-VLOOKUP(D617,'DB technologies'!$N$294:$Y$306,9,FALSE)/100)*'Calc (ex-housing, ex-storage)'!F617/100/VLOOKUP($C$613,'DB animal categories'!$C$221:$AC$230,27,FALSE)*AJ617+I617+J617+K617,IF(AS617=3,('Calc (ex-animal)'!$G$114*'DB additional information '!$K$24/100+'Calc (ex-animal)'!$H$114*'DB additional information '!$L$24/100)*(1-VLOOKUP(D617,'DB technologies'!$N$294:$Y$306,9,FALSE)/100)*'Calc (ex-housing, ex-storage)'!F617/100/VLOOKUP($C$613,'DB animal categories'!$C$221:$AC$230,27,FALSE)*AJ617+I617+J617+K617,IF(AS617=4,('Calc (ex-animal)'!$G$114*'DB additional information '!$K$24/100+'Calc (ex-animal)'!$H$114*'DB additional information '!$L$24/100)*(1-VLOOKUP(D617,'DB technologies'!$N$294:$Y$306,9,FALSE)/100)*'Calc (ex-housing, ex-storage)'!F617/100*VLOOKUP(D617,'DB technologies'!$N$294:$Y$306,12,FALSE)/100/VLOOKUP($C$613,'DB animal categories'!$C$221:$AC$230,27,FALSE)*AJ617+I617+J617+K617,0))))))</f>
        <v/>
      </c>
      <c r="AV617" s="452" t="str">
        <f>IF(D617="","",IF(AS617=2,0,IF(AS617=1,'Calc (ex-animal)'!$G$114*(1-'DB additional information '!$K$24/100)*(1-VLOOKUP(D617,'DB technologies'!$N$294:$Y$306,8,FALSE)/100)*'Calc (ex-housing, ex-storage)'!F617/100/VLOOKUP($C$613,'DB animal categories'!$C$221:$AC$230,27,FALSE)*AJ617+M617+N617+O617,IF(AS617=5,('Calc (ex-animal)'!$G$114*(1-'DB additional information '!$K$24/100)+'Calc (ex-animal)'!$H$114*(1-'DB additional information '!$L$24/100))*(1-VLOOKUP(D617,'DB technologies'!$N$294:$Y$306,8,FALSE)/100)*'Calc (ex-housing, ex-storage)'!F617/100/VLOOKUP($C$613,'DB animal categories'!$C$221:$AC$230,27,FALSE)*AJ617+M617+N617+O617,IF(AS617=3,('Calc (ex-animal)'!$G$114*(1-'DB additional information '!$K$24/100)+'Calc (ex-animal)'!$H$114*(1-'DB additional information '!$L$24/100))*(1-VLOOKUP(D617,'DB technologies'!$N$294:$Y$306,8,FALSE)/100)*'Calc (ex-housing, ex-storage)'!F617/100/VLOOKUP($C$613,'DB animal categories'!$C$221:$AC$230,27,FALSE)*AJ617+M617+N617+O617,IF(AS617=4,('Calc (ex-animal)'!$G$114*(1-'DB additional information '!$K$24/100)+'Calc (ex-animal)'!$H$114*(1-'DB additional information '!$L$24/100))*(1-VLOOKUP(D617,'DB technologies'!$N$294:$Y$306,8,FALSE)/100)*'Calc (ex-housing, ex-storage)'!F617/100*VLOOKUP(D617,'DB technologies'!$N$294:$Y$306,12,FALSE)/100/VLOOKUP($C$613,'DB animal categories'!$C$221:$AC$230,27,FALSE)*AJ617+M617+N617+O617,0))))))</f>
        <v/>
      </c>
      <c r="AW617" s="452" t="str">
        <f>IF(AS617="","",IF(AU617=0,0,AU617/AT617*100))</f>
        <v/>
      </c>
      <c r="AX617" s="184" t="str">
        <f>IF(D617="","",IF(AS617=2,0,IF(AS617=1,'Calc (ex-animal)'!$K$114*'Calc (ex-housing, ex-storage)'!F617/100/VLOOKUP($C$613,'DB animal categories'!$C$221:$AC$230,27,FALSE)*AJ617+Q617+R617+S617,IF(AS617=5,('Calc (ex-animal)'!$K$114+'Calc (ex-animal)'!$L$114)*'Calc (ex-housing, ex-storage)'!F617/100/VLOOKUP($C$613,'DB animal categories'!$C$221:$AC$230,27,FALSE)*AJ617+Q617+R617+S617-'Calc (ex-housing, ex-storage)'!AC617,IF(AS617=3,('Calc (ex-animal)'!$K$114+'Calc (ex-animal)'!$L$114)*'Calc (ex-housing, ex-storage)'!F617/100/VLOOKUP($C$613,'DB animal categories'!$C$221:$AC$230,27,FALSE)*AJ617+Q617+R617+S617-'Calc (ex-housing, ex-storage)'!AC617-AD617-AE617,IF(AI617=4,('Calc (ex-animal)'!$K$114+'Calc (ex-animal)'!$L$114)*'Calc (ex-housing, ex-storage)'!F617/100*VLOOKUP(D617,'DB technologies'!$N$294:$Y$306,12,FALSE)/100/VLOOKUP($C$613,'DB animal categories'!$C$221:$AC$230,27,FALSE)*AJ617+Q617+R617+S617-(VLOOKUP(D617,'DB technologies'!$N$294:$Y$306,12,FALSE)/100*AC617)-AD617-AE617,0))))))</f>
        <v/>
      </c>
      <c r="AY617" s="184" t="str">
        <f>IF(D617="","",IF(AS617=2,0,IF(AS617=1,'Calc (ex-animal)'!$N$114*'Calc (ex-housing, ex-storage)'!F617/100/VLOOKUP($C$613,'DB animal categories'!$C$221:$AC$230,27,FALSE)*AJ617+U617+V617+W617,IF(AS617=5,('Calc (ex-animal)'!$N$114+'Calc (ex-animal)'!$O$114)*'Calc (ex-housing, ex-storage)'!F617/100/VLOOKUP($C$613,'DB animal categories'!$C$221:$AC$230,27,FALSE)*AJ617+U617+V617+W617,IF(AS617=3,('Calc (ex-animal)'!$N$114+'Calc (ex-animal)'!$O$114)*'Calc (ex-housing, ex-storage)'!F617/100/VLOOKUP($C$613,'DB animal categories'!$C$221:$AC$230,27,FALSE)*AJ617+U617+V617+W617,IF(AS617=4,('Calc (ex-animal)'!$N$114+'Calc (ex-animal)'!$O$114)*'Calc (ex-housing, ex-storage)'!F617/100*VLOOKUP(D617,'DB technologies'!$N$294:$Y$306,12,FALSE)/100/VLOOKUP($C$613,'DB animal categories'!$C$221:$AC$230,27,FALSE)*AJ617+U617+V617+W617,0))))))</f>
        <v/>
      </c>
      <c r="AZ617" s="184" t="str">
        <f>IF(D617="","",IF(AS617=2,0,IF(AS617=1,'Calc (ex-animal)'!$Q$114*'Calc (ex-housing, ex-storage)'!F617/100/VLOOKUP($C$613,'DB animal categories'!$C$221:$AC$230,27,FALSE)*AJ617+Y617+Z617+AA617,IF(AS617=5,('Calc (ex-animal)'!$Q$114+'Calc (ex-animal)'!$R$114)*'Calc (ex-housing, ex-storage)'!F617/100/VLOOKUP($C$613,'DB animal categories'!$C$221:$AC$230,27,FALSE)*AJ617+Y617+Z617+AA617,IF(AS617=3,('Calc (ex-animal)'!$Q$114+'Calc (ex-animal)'!$R$114)*'Calc (ex-housing, ex-storage)'!F617/100/VLOOKUP($C$613,'DB animal categories'!$C$221:$AC$230,27,FALSE)*AJ617+Y617+Z617+AA617,IF(AS617=4,('Calc (ex-animal)'!$Q$114+'Calc (ex-animal)'!$R$114)*'Calc (ex-housing, ex-storage)'!F617/100*VLOOKUP(D617,'DB technologies'!$N$294:$Y$306,12,FALSE)/100/VLOOKUP($C$613,'DB animal categories'!$C$221:$AC$230,27,FALSE)*AJ617+Y617+Z617+AA617,0))))))</f>
        <v/>
      </c>
      <c r="BA617" s="506"/>
      <c r="BB617" s="506"/>
      <c r="BC617" s="506"/>
    </row>
    <row r="618" spans="1:55" ht="12" thickBot="1" x14ac:dyDescent="0.25">
      <c r="A618" s="748"/>
      <c r="B618" s="695"/>
      <c r="C618" s="252"/>
      <c r="D618" s="269" t="s">
        <v>58</v>
      </c>
      <c r="E618" s="270">
        <f>IF('Calc (ex-animal)'!F114=1,'Calc (ex-animal)'!E114,IF(F618&lt;=100,SUM(E613:E617),"ERROR"))</f>
        <v>0</v>
      </c>
      <c r="F618" s="284">
        <f>IF('Calc (ex-animal)'!F114=1,100,IF(SUM(F613:F617) &lt;=100,SUM(F613:F617),"ERROR, SUM&gt;100%"))</f>
        <v>0</v>
      </c>
      <c r="G618" s="550">
        <f>IF('Calc (ex-animal)'!$F$113=1,"",SUM(G613:G617))</f>
        <v>0</v>
      </c>
      <c r="H618" s="418">
        <f>IF('Calc (ex-animal)'!$F$8=1,"",SUM(H613:H617))</f>
        <v>0</v>
      </c>
      <c r="I618" s="418">
        <f>IF('Calc (ex-animal)'!$F$8=1,"",SUM(I613:I617))</f>
        <v>0</v>
      </c>
      <c r="J618" s="418">
        <f>IF('Calc (ex-animal)'!$F$8=1,"",SUM(J613:J617))</f>
        <v>0</v>
      </c>
      <c r="K618" s="418">
        <f>IF('Calc (ex-animal)'!$F$8=1,"",SUM(K613:K617))</f>
        <v>0</v>
      </c>
      <c r="L618" s="418">
        <f>IF('Calc (ex-animal)'!$F$8=1,"",SUM(L613:L617))</f>
        <v>0</v>
      </c>
      <c r="M618" s="551"/>
      <c r="N618" s="551"/>
      <c r="O618" s="551"/>
      <c r="P618" s="552">
        <f>IF(G618=0,0,IF('Calc (ex-animal)'!$F$113=1,"",IF(D618="","",SUM(H618:K618)/G618*100)))</f>
        <v>0</v>
      </c>
      <c r="Q618" s="271"/>
      <c r="R618" s="271"/>
      <c r="S618" s="271"/>
      <c r="T618" s="278">
        <f>IF('Calc (ex-animal)'!$F$114=1,"",SUM(T613:T617))</f>
        <v>0</v>
      </c>
      <c r="U618" s="279"/>
      <c r="V618" s="279"/>
      <c r="W618" s="279"/>
      <c r="X618" s="279">
        <f>IF('Calc (ex-animal)'!$F$114=1,"",SUM(X613:X617))</f>
        <v>0</v>
      </c>
      <c r="Y618" s="279"/>
      <c r="Z618" s="279"/>
      <c r="AA618" s="279"/>
      <c r="AB618" s="279">
        <f>IF('Calc (ex-animal)'!$F$114=1,"",SUM(AB613:AB617))</f>
        <v>0</v>
      </c>
      <c r="AC618" s="279">
        <f>IF('Calc (ex-animal)'!$F$114=1,"",SUM(AC613:AC617))</f>
        <v>0</v>
      </c>
      <c r="AD618" s="279">
        <f>IF('Calc (ex-animal)'!$F$114=1,"",SUM(AD613:AD617))</f>
        <v>0</v>
      </c>
      <c r="AE618" s="280">
        <f>IF('Calc (ex-animal)'!$F$114=1,"",SUM(AE613:AE617))</f>
        <v>0</v>
      </c>
    </row>
    <row r="619" spans="1:55" x14ac:dyDescent="0.2">
      <c r="A619" s="748"/>
      <c r="B619" s="695"/>
      <c r="C619" s="250">
        <f>'Calc (ex-animal)'!D115</f>
        <v>0</v>
      </c>
      <c r="D619" s="1355"/>
      <c r="E619" s="1356"/>
      <c r="F619" s="479" t="str">
        <f>IF('Calc (ex-animal)'!$F$113=1,"",IF($C$619=0,"",IF(D619="","",E619/'Calc (ex-animal)'!$E$115*100)))</f>
        <v/>
      </c>
      <c r="G619" s="484" t="str">
        <f>IF($C$619=0,"",IF('Calc (ex-animal)'!$F$113=1,"",IF(D619="","",SUM(H619:O619))))</f>
        <v/>
      </c>
      <c r="H619" s="471" t="str">
        <f>IF('Calc (ex-animal)'!$F$113=1,"",IF(D619="","",(((VLOOKUP($C$619,'Calc (ex-animal)'!$D$113:$Y$117,6,FALSE)-VLOOKUP($C$619,'Calc (ex-animal)'!$D$113:$Y$117,17,FALSE))*F619/100))*VLOOKUP($C$619,'Calc (ex-animal)'!$D$113:$Y$117,7,FALSE)/100*(1-VLOOKUP(D619,'DB technologies'!$N$294:$Y$306,9,FALSE)/100)))</f>
        <v/>
      </c>
      <c r="I619" s="471" t="str">
        <f>IF(D619="","",((VLOOKUP(D619,'DB technologies'!$N$294:$Y$306,2,FALSE)*VLOOKUP($C$619,'DB animal categories'!$C$221:$AC$230,27,FALSE)*E619/1000)/VLOOKUP($C$619,'DB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'!$S$6/100*(1-VLOOKUP(D619,'DB technologies'!$N$294:$Y$306,9,FALSE)/100)))</f>
        <v/>
      </c>
      <c r="J619" s="472" t="str">
        <f>IF(D619="","",((VLOOKUP(D619,'DB technologies'!$N$294:$Y$306,3,FALSE)*VLOOKUP($C$619,'DB animal categories'!$C$221:$AC$230,27,FALSE)*E619/1000)/VLOOKUP($C$619,'DB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'!$S$7/100*(1-VLOOKUP(D619,'DB technologies'!$N$294:$Y$306,9,FALSE)/100)))</f>
        <v/>
      </c>
      <c r="K619" s="472" t="str">
        <f>IF(D619="","",((VLOOKUP(D619,'DB technologies'!$N$294:$Y$306,4,FALSE)*E619*'DB additional information '!$S$8/100*(1-VLOOKUP(D619,'DB technologies'!$N$294:$Y$306,9,FALSE)/100))/VLOOKUP($C$619,'DB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L619" s="471" t="str">
        <f>IF('Calc (ex-animal)'!$F$113=1,"",IF(D619="","",(((VLOOKUP($C$619,'Calc (ex-animal)'!$D$113:$Y$117,6,FALSE)-VLOOKUP($C$619,'Calc (ex-animal)'!$D$113:$Y$117,17,FALSE))*F619/100))*(1-VLOOKUP($C$619,'Calc (ex-animal)'!$D$113:$Y$117,7,FALSE)/100)*(1-VLOOKUP(D619,'DB technologies'!$N$294:$V$306,8,FALSE)/100)))</f>
        <v/>
      </c>
      <c r="M619" s="472" t="str">
        <f>IF(D619="","",((VLOOKUP(D619,'DB technologies'!$N$294:$Y$306,2,FALSE)*VLOOKUP($C$619,'DB animal categories'!$C$221:$AC$230,27,FALSE)*E619/1000)/VLOOKUP($C$619,'DB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'!$S$6/100)*(1-VLOOKUP(D619,'DB technologies'!$N$294:$Y$306,9,FALSE)/100))</f>
        <v/>
      </c>
      <c r="N619" s="472" t="str">
        <f>IF(D619="","",((VLOOKUP(D619,'DB technologies'!$N$294:$Y$306,3,FALSE)*VLOOKUP($C$619,'DB animal categories'!$C$221:$AC$230,27,FALSE)*E619/1000)/VLOOKUP($C$619,'DB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'!$S$7/100)*(1-VLOOKUP(D619,'DB technologies'!$N$294:$Y$306,9,FALSE)/100))</f>
        <v/>
      </c>
      <c r="O619" s="471" t="str">
        <f>IF(D619="","",((VLOOKUP(D619,'DB technologies'!$N$294:$Y$306,4,FALSE)*E619*(1-'DB additional information '!$S$8/100)*(1-VLOOKUP(D619,'DB technologies'!$N$294:$Y$306,8,FALSE)/100))/VLOOKUP($C$619,'DB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P619" s="443" t="str">
        <f>IF(G619=0,0,IF(E619="","",IF(F619="","",IF($C$619=0,"",IF(D619="","",SUM(H619:K619)/G619*100)))))</f>
        <v/>
      </c>
      <c r="Q619" s="473" t="str">
        <f>IF(D619="","",(VLOOKUP(D619,'DB technologies'!$N$294:$Y$306,2,FALSE)*'DB additional information '!$S$6/100*'DB additional information '!$T$6*VLOOKUP($C$619,'DB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R619" s="473" t="str">
        <f>IF(D619="","",(VLOOKUP(D619,'DB technologies'!$N$294:$Y$306,3,FALSE)*'DB additional information '!$S$7/100*'DB additional information '!$T$7*VLOOKUP($C$619,'DB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S619" s="490" t="str">
        <f>IF(D619="","",(VLOOKUP(D619,'DB technologies'!$N$294:$Y$306,4,FALSE)*('DB additional information '!$S$8/100*'DB additional information '!$T$8*E619/1000/1000)))</f>
        <v/>
      </c>
      <c r="T619" s="263" t="str">
        <f>IF($C$619=0,"",IF('Calc (ex-animal)'!$F$113=1,"",IF(D619="","",((VLOOKUP($C$619,'Calc (ex-animal)'!$D$113:$Y$117,10,FALSE)-VLOOKUP($C$619,'Calc (ex-animal)'!$D$113:$Y$117,18,FALSE))*F619/100+Q619+R619+S619)-AC619-AD619-AE619)))</f>
        <v/>
      </c>
      <c r="U619" s="474" t="str">
        <f>IF(D619="","",(VLOOKUP(D619,'DB technologies'!$N$294:$Y$306,2,FALSE)*'DB additional information '!$S$6/100*'DB additional information '!$U$6*VLOOKUP($C$619,'DB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V619" s="420" t="str">
        <f>IF(D619="","",(VLOOKUP(D619,'DB technologies'!$N$294:$Y$306,3,FALSE)*'DB additional information '!$S$7/100*'DB additional information '!$U$7*VLOOKUP($C$619,'DB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W619" s="415" t="str">
        <f>IF(D619="","",(VLOOKUP(D619,'DB technologies'!$N$294:$Y$306,4,FALSE)*('DB additional information '!$S$8/100*'DB additional information '!$U$8*E619/1000/1000)))</f>
        <v/>
      </c>
      <c r="X619" s="259" t="str">
        <f>IF($C$619=0,"",IF('Calc (ex-animal)'!$F$113=1,"",IF(D619="","",((VLOOKUP($C$619,'Calc (ex-animal)'!$D$113:$Y$117,13,FALSE)-VLOOKUP($C$619,'Calc (ex-animal)'!$D$113:$Y$117,19,FALSE))*F619/100+U619+V619+W619))))</f>
        <v/>
      </c>
      <c r="Y619" s="420" t="str">
        <f>IF(D619="","",(VLOOKUP(D619,'DB technologies'!$N$294:$Y$306,2,FALSE)*'DB additional information '!$S$6/100*'DB additional information '!$V$6*VLOOKUP($C$619,'DB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Z619" s="420" t="str">
        <f>IF(D619="","",(VLOOKUP(D619,'DB technologies'!$N$294:$Y$306,3,FALSE)*'DB additional information '!$S$7/100*'DB additional information '!$V$7*VLOOKUP($C$619,'DB animal categories'!$C$221:$AC$230,27,FALSE)*E619/1000/1000)/VLOOKUP($C$619,'DB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AA619" s="420" t="str">
        <f>IF(D619="","",(VLOOKUP(D619,'DB technologies'!$N$294:$Y$306,4,FALSE)*('DB additional information '!$S$8/100*'DB additional information '!$V$8*E619/1000/1000)))</f>
        <v/>
      </c>
      <c r="AB619" s="259" t="str">
        <f>IF($C$619=0,"",IF('Calc (ex-animal)'!$F$113=1,"",IF(D619="","",((VLOOKUP($C$619,'Calc (ex-animal)'!$D$113:$Y$117,16,FALSE)-VLOOKUP($C$619,'Calc (ex-animal)'!$D$113:$Y$117,20,FALSE))*F619/100+Y619+Z619+AA619))))</f>
        <v/>
      </c>
      <c r="AC619" s="259" t="str">
        <f>IF($C$619=0,"",IF('Calc (ex-animal)'!$F$113=1,"",IF(D619="","",VLOOKUP($C$619,'Calc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categories'!$C$221:$AC$230,26,FALSE)/24)*F619/100*VLOOKUP(D619,'DB technologies'!$N$294:$R$306,5,FALSE)/100)))</f>
        <v/>
      </c>
      <c r="AD619" s="259" t="str">
        <f>IF($C$619=0,"",IF('Calc (ex-animal)'!$F$113=1,"",IF(D619="","",VLOOKUP($C$619,'Calc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categories'!$C$221:$AC$230,26,FALSE)/24)*F619/100*VLOOKUP(D619,'DB technologies'!$N$294:$Y$306,6,FALSE)/100)))</f>
        <v/>
      </c>
      <c r="AE619" s="260" t="str">
        <f>IF($C$619=0,"",IF('Calc (ex-animal)'!$F$113=1,"",IF(D619="","",VLOOKUP($C$619,'Calc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categories'!$C$221:$AC$230,26,FALSE)/24)*F619/100*VLOOKUP(D619,'DB technologies'!$N$294:$Y$306,7,FALSE)/100)))</f>
        <v/>
      </c>
      <c r="AI619" s="179" t="str">
        <f>IF(D619="","",VLOOKUP(D619,'DB technologies'!$N$294:$Y$306,10,FALSE))</f>
        <v/>
      </c>
      <c r="AJ619" s="482" t="e">
        <f>VLOOKUP($C$619,'DB animal categories'!$C$221:$AN$230,27,FALSE)-VLOOKUP($C$619,'DB animal categories'!$C$221:$AN$230,26,FALSE)*VLOOKUP($C$619,'DB animal categories'!$C$221:$AN$230,25,FALSE)/24</f>
        <v>#N/A</v>
      </c>
      <c r="AK619" s="453" t="str">
        <f>IF(AI619="","",AL619+AM619)</f>
        <v/>
      </c>
      <c r="AL619" s="453" t="str">
        <f>IF(D619="","",IF(AI619=2,(('Calc (ex-animal)'!$G$115*'DB additional information '!$K$24/100*(1-VLOOKUP(D619,'DB technologies'!$N$294:$Y$306,9,FALSE)/100)*'Calc (ex-housing, ex-storage)'!F619/100+'Calc (ex-animal)'!$H$115*'DB additional information '!$L$24/100*(1-VLOOKUP(D619,'DB technologies'!$N$294:$Y$306,9,FALSE)/100)*'Calc (ex-housing, ex-storage)'!F619/100))/VLOOKUP($C$619,'DB animal categories'!$C$221:$AC$230,27,FALSE)*AJ619+I619+J619+K619,IF(AI619=1,('Calc (ex-animal)'!$H$115*'DB additional information '!$L$24/100*(1-VLOOKUP(D619,'DB technologies'!$N$294:$Y$306,9,FALSE)/100)*'Calc (ex-housing, ex-storage)'!F619/100)/VLOOKUP($C$619,'DB animal categories'!$C$221:$AC$230,27,FALSE)*AJ619,IF(AI619=4,('Calc (ex-animal)'!$G$115*'DB additional information '!$K$24/100+'Calc (ex-animal)'!$H$115*'DB additional information '!$L$24/100)*(1-VLOOKUP(D619,'DB technologies'!$N$294:$Y$306,9,FALSE)/100)*'Calc (ex-housing, ex-storage)'!F619/100*VLOOKUP(D619,'DB technologies'!$N$294:$Y$306,11,FALSE)/100/VLOOKUP($C$619,'DB animal categories'!$C$221:$AC$230,27,FALSE)*AJ619,0))))</f>
        <v/>
      </c>
      <c r="AM619" s="453" t="str">
        <f>IF(D619="","",IF(AI619=2,(('Calc (ex-animal)'!$G$115*(1-'DB additional information '!$K$24/100)*(1-VLOOKUP(D619,'DB technologies'!$N$294:$Y$306,8,FALSE)/100)*'Calc (ex-housing, ex-storage)'!F619/100+'Calc (ex-animal)'!$H$115*(1-'DB additional information '!$L$24/100)*(1-VLOOKUP(D619,'DB technologies'!$N$294:$Y$306,8,FALSE)/100)*'Calc (ex-housing, ex-storage)'!F619/100))/VLOOKUP($C$619,'DB animal categories'!$C$221:$AC$230,27,FALSE)*AJ619+M619+N619+O619,IF(AI619=1,('Calc (ex-animal)'!$H$115*(1-'DB additional information '!$L$24/100)*(1-VLOOKUP(D619,'DB technologies'!$N$294:$Y$306,8,FALSE)/100)*'Calc (ex-housing, ex-storage)'!F619/100)/VLOOKUP($C$619,'DB animal categories'!$C$221:$AC$230,27,FALSE)*AJ619,IF(AI619=4,('Calc (ex-animal)'!$G$115*(1-'DB additional information '!$K$24/100)+'Calc (ex-animal)'!$H$115*(1-'DB additional information '!$L$24/100))*(1-VLOOKUP(D619,'DB technologies'!$N$294:$Y$306,8,FALSE)/100)*'Calc (ex-housing, ex-storage)'!F619/100*VLOOKUP(D619,'DB technologies'!$N$294:$Y$306,11,FALSE)/100/VLOOKUP($C$619,'DB animal categories'!$C$221:$AC$230,27,FALSE)*AJ619,0))))</f>
        <v/>
      </c>
      <c r="AN619" s="453" t="str">
        <f>IF(AI619="","",IF(AL619=0,0,AL619/AK619*100))</f>
        <v/>
      </c>
      <c r="AO619" s="180" t="str">
        <f>IF(D619="","",IF(AI619=2,(('Calc (ex-animal)'!$L$115*'Calc (ex-housing, ex-storage)'!F619/100+'Calc (ex-animal)'!$K$115*'Calc (ex-housing, ex-storage)'!F619/100))/VLOOKUP($C$619,'DB animal categories'!$C$221:$AC$230,27,FALSE)*AJ619+Q619+R619+S619-AC619,IF(AI619=1,('Calc (ex-animal)'!$L$115*'Calc (ex-housing, ex-storage)'!F619/100)/VLOOKUP($C$619,'DB animal categories'!$C$221:$AC$230,27,FALSE)*AJ619-'Calc (ex-housing, ex-storage)'!AC619,IF(AI619=4,('Calc (ex-animal)'!$L$115+'Calc (ex-animal)'!$K$115)*'Calc (ex-housing, ex-storage)'!F619/100*VLOOKUP(D619,'DB technologies'!$N$294:$Y$306,11,FALSE)/100/VLOOKUP($C$619,'DB animal categories'!$C$221:$AC$230,27,FALSE)*AJ619-AC619*VLOOKUP(D619,'DB technologies'!$N$294:$Y$306,11,FALSE)/100,0))))</f>
        <v/>
      </c>
      <c r="AP619" s="180" t="str">
        <f>IF(D619="","",IF(AO619&lt;-0.01,0,IF(AI619=2,(('Calc (ex-animal)'!$L$115*'Calc (ex-housing, ex-storage)'!F619/100+'Calc (ex-animal)'!$K$115*'Calc (ex-housing, ex-storage)'!F619/100))/VLOOKUP($C$619,'DB animal categories'!$C$221:$AC$230,27,FALSE)*AJ619+Q619+R619+S619-AC619,IF(AI619=1,('Calc (ex-animal)'!$L$115*'Calc (ex-housing, ex-storage)'!F619/100)/VLOOKUP($C$619,'DB animal categories'!$C$221:$AC$230,27,FALSE)*AJ619-'Calc (ex-housing, ex-storage)'!AC619,IF(AI619=4,('Calc (ex-animal)'!$L$115+'Calc (ex-animal)'!$K$115)*'Calc (ex-housing, ex-storage)'!F619/100*VLOOKUP(D619,'DB technologies'!$N$294:$Y$306,11,FALSE)/100/VLOOKUP($C$619,'DB animal categories'!$C$221:$AC$230,27,FALSE)*AJ619-AC619*VLOOKUP(D619,'DB technologies'!$N$294:$Y$306,11,FALSE)/100,0)))))</f>
        <v/>
      </c>
      <c r="AQ619" s="180" t="str">
        <f>IF(D619="","",IF(AI619=2,('Calc (ex-animal)'!$O$115*'Calc (ex-housing, ex-storage)'!F619/100+'Calc (ex-animal)'!$N$115*'Calc (ex-housing, ex-storage)'!F619/100)/VLOOKUP($C$619,'DB animal categories'!$C$221:$AC$230,27,FALSE)*AJ619+U619+V619+W619,IF(AI619=1,'Calc (ex-animal)'!$O$115*'Calc (ex-housing, ex-storage)'!F619/100/VLOOKUP($C$619,'DB animal categories'!$C$221:$AC$230,27,FALSE)*AJ619,IF(AI619=4,('Calc (ex-animal)'!$O$115+'Calc (ex-animal)'!$N$115)*'Calc (ex-housing, ex-storage)'!F619/100*VLOOKUP(D619,'DB technologies'!$N$294:$Y$306,11,FALSE)/100/VLOOKUP($C$619,'DB animal categories'!$C$221:$AC$230,27,FALSE)*AJ619,0))))</f>
        <v/>
      </c>
      <c r="AR619" s="180" t="str">
        <f>IF(D619="","",IF(AI619=2,('Calc (ex-animal)'!$R$115*'Calc (ex-housing, ex-storage)'!F619/100+'Calc (ex-animal)'!$Q$115*'Calc (ex-housing, ex-storage)'!F619/100)/VLOOKUP($C$619,'DB animal categories'!$C$221:$AC$230,27,FALSE)*AJ619+Y619+Z619+AA619,IF(AI619=1,'Calc (ex-animal)'!$R$115*'Calc (ex-housing, ex-storage)'!F619/100/VLOOKUP($C$619,'DB animal categories'!$C$221:$AC$230,27,FALSE)*AJ619,IF(AI619=4,('Calc (ex-animal)'!$R$115+'Calc (ex-animal)'!$Q$115)*'Calc (ex-housing, ex-storage)'!F619/100*VLOOKUP(D619,'DB technologies'!$N$294:$Y$306,11,FALSE)/100/VLOOKUP($C$619,'DB animal categories'!$C$221:$AC$230,27,FALSE)*AJ619,0))))</f>
        <v/>
      </c>
      <c r="AS619" s="179" t="str">
        <f>IF(D619="","",VLOOKUP(D619,'DB technologies'!$N$294:$Y$306,10,FALSE))</f>
        <v/>
      </c>
      <c r="AT619" s="453" t="str">
        <f>IF(AS619="","",AU619+AV619)</f>
        <v/>
      </c>
      <c r="AU619" s="453" t="str">
        <f>IF(D619="","",IF(AS619=2,0,IF(AS619=1,'Calc (ex-animal)'!$G$115*'DB additional information '!$K$24/100*(1-VLOOKUP(D619,'DB technologies'!$N$294:$Y$306,8,FALSE)/100)*'Calc (ex-housing, ex-storage)'!F619/100/VLOOKUP($C$619,'DB animal categories'!$C$221:$AC$230,27,FALSE)*AJ619+I619+J619+K619,IF(AS619=5,(('Calc (ex-animal)'!$G$115*'DB additional information '!$K$24/100+'Calc (ex-animal)'!$H$115*'DB additional information '!$L$24/100))*(1-VLOOKUP(D619,'DB technologies'!$N$294:$Y$306,9,FALSE)/100)*'Calc (ex-housing, ex-storage)'!F619/100/VLOOKUP($C$619,'DB animal categories'!$C$221:$AC$230,27,FALSE)*AJ619+I619+J619+K619,IF(AS619=3,('Calc (ex-animal)'!$G$115*'DB additional information '!$K$24/100+'Calc (ex-animal)'!$H$115*'DB additional information '!$L$24/100)*(1-VLOOKUP(D619,'DB technologies'!$N$294:$Y$306,9,FALSE)/100)*'Calc (ex-housing, ex-storage)'!F619/100/VLOOKUP($C$619,'DB animal categories'!$C$221:$AC$230,27,FALSE)*AJ619+I619+J619+K619,IF(AS619=4,('Calc (ex-animal)'!$G$115*'DB additional information '!$K$24/100+'Calc (ex-animal)'!$H$115*'DB additional information '!$L$24/100)*(1-VLOOKUP(D619,'DB technologies'!$N$294:$Y$306,9,FALSE)/100)*'Calc (ex-housing, ex-storage)'!F619/100*VLOOKUP(D619,'DB technologies'!$N$294:$Y$306,12,FALSE)/100/VLOOKUP($C$619,'DB animal categories'!$C$221:$AC$230,27,FALSE)*AJ619+I619+J619+K619,0))))))</f>
        <v/>
      </c>
      <c r="AV619" s="453" t="str">
        <f>IF(D619="","",IF(AS619=2,0,IF(AS619=1,'Calc (ex-animal)'!$G$115*(1-'DB additional information '!$K$24/100)*(1-VLOOKUP(D619,'DB technologies'!$N$294:$Y$306,8,FALSE)/100)*'Calc (ex-housing, ex-storage)'!F619/100/VLOOKUP($C$619,'DB animal categories'!$C$221:$AC$230,27,FALSE)*AJ619+M619+N619+O619,IF(AS619=5,('Calc (ex-animal)'!$G$115*(1-'DB additional information '!$K$24/100)+'Calc (ex-animal)'!$H$115*(1-'DB additional information '!$L$24/100))*(1-VLOOKUP(D619,'DB technologies'!$N$294:$Y$306,8,FALSE)/100)*'Calc (ex-housing, ex-storage)'!F619/100/VLOOKUP($C$619,'DB animal categories'!$C$221:$AC$230,27,FALSE)*AJ619+M619+N619+O619,IF(AS619=3,('Calc (ex-animal)'!$G$115*(1-'DB additional information '!$K$24/100)+'Calc (ex-animal)'!$H$115*(1-'DB additional information '!$L$24/100))*(1-VLOOKUP(D619,'DB technologies'!$N$294:$Y$306,8,FALSE)/100)*'Calc (ex-housing, ex-storage)'!F619/100/VLOOKUP($C$619,'DB animal categories'!$C$221:$AC$230,27,FALSE)*AJ619+M619+N619+O619,IF(AS619=4,('Calc (ex-animal)'!$G$115*(1-'DB additional information '!$K$24/100)+'Calc (ex-animal)'!$H$115*(1-'DB additional information '!$L$24/100))*(1-VLOOKUP(D619,'DB technologies'!$N$294:$Y$306,8,FALSE)/100)*'Calc (ex-housing, ex-storage)'!F619/100*VLOOKUP(D619,'DB technologies'!$N$294:$Y$306,12,FALSE)/100/VLOOKUP($C$619,'DB animal categories'!$C$221:$AC$230,27,FALSE)*AJ619+M619+N619+O619,0))))))</f>
        <v/>
      </c>
      <c r="AW619" s="453" t="str">
        <f>IF(AS619="","",IF(AU619=0,0,AU619/AT619*100))</f>
        <v/>
      </c>
      <c r="AX619" s="180" t="str">
        <f>IF(D619="","",IF(AS619=2,0,IF(AS619=1,'Calc (ex-animal)'!$K$115*'Calc (ex-housing, ex-storage)'!F619/100/VLOOKUP($C$619,'DB animal categories'!$C$221:$AC$230,27,FALSE)*AJ619+Q619+R619+S619,IF(AS619=5,('Calc (ex-animal)'!$K$115+'Calc (ex-animal)'!$L$115)*'Calc (ex-housing, ex-storage)'!F619/100/VLOOKUP($C$619,'DB animal categories'!$C$221:$AC$230,27,FALSE)*AJ619+Q619+R619+S619-'Calc (ex-housing, ex-storage)'!AC619,IF(AS619=3,('Calc (ex-animal)'!$K$115+'Calc (ex-animal)'!$L$115)*'Calc (ex-housing, ex-storage)'!F619/100/VLOOKUP($C$619,'DB animal categories'!$C$221:$AC$230,27,FALSE)*AJ619+Q619+R619+S619-'Calc (ex-housing, ex-storage)'!AC619-AD619-AE619,IF(AI619=4,('Calc (ex-animal)'!$K$115+'Calc (ex-animal)'!$L$115)*'Calc (ex-housing, ex-storage)'!F619/100*VLOOKUP(D619,'DB technologies'!$N$294:$Y$306,12,FALSE)/100/VLOOKUP($C$619,'DB animal categories'!$C$221:$AC$230,27,FALSE)*AJ619+Q619+R619+S619-(VLOOKUP(D619,'DB technologies'!$N$294:$Y$306,12,FALSE)/100*AC619)-AD619-AE619,0))))))</f>
        <v/>
      </c>
      <c r="AY619" s="180" t="str">
        <f>IF(D619="","",IF(AS619=2,0,IF(AS619=1,'Calc (ex-animal)'!$N$115*'Calc (ex-housing, ex-storage)'!F619/100/VLOOKUP($C$619,'DB animal categories'!$C$221:$AC$230,27,FALSE)*AJ619+U619+V619+W619,IF(AS619=5,('Calc (ex-animal)'!$N$115+'Calc (ex-animal)'!$O$115)*'Calc (ex-housing, ex-storage)'!F619/100/VLOOKUP($C$619,'DB animal categories'!$C$221:$AC$230,27,FALSE)*AJ619+U619+V619+W619,IF(AS619=3,('Calc (ex-animal)'!$N$115+'Calc (ex-animal)'!$O$115)*'Calc (ex-housing, ex-storage)'!F619/100/VLOOKUP($C$619,'DB animal categories'!$C$221:$AC$230,27,FALSE)*AJ619+U619+V619+W619,IF(AS619=4,('Calc (ex-animal)'!$N$115+'Calc (ex-animal)'!$O$115)*'Calc (ex-housing, ex-storage)'!F619/100*VLOOKUP(D619,'DB technologies'!$N$294:$Y$306,12,FALSE)/100/VLOOKUP($C$619,'DB animal categories'!$C$221:$AC$230,27,FALSE)*AJ619+U619+V619+W619,0))))))</f>
        <v/>
      </c>
      <c r="AZ619" s="180" t="str">
        <f>IF(D619="","",IF(AS619=2,0,IF(AS619=1,'Calc (ex-animal)'!$Q$115*'Calc (ex-housing, ex-storage)'!F619/100/VLOOKUP($C$619,'DB animal categories'!$C$221:$AC$230,27,FALSE)*AJ619+Y619+Z619+AA619,IF(AS619=5,('Calc (ex-animal)'!$Q$115+'Calc (ex-animal)'!$R$115)*'Calc (ex-housing, ex-storage)'!F619/100/VLOOKUP($C$619,'DB animal categories'!$C$221:$AC$230,27,FALSE)*AJ619+Y619+Z619+AA619,IF(AS619=3,('Calc (ex-animal)'!$Q$115+'Calc (ex-animal)'!$R$115)*'Calc (ex-housing, ex-storage)'!F619/100/VLOOKUP($C$619,'DB animal categories'!$C$221:$AC$230,27,FALSE)*AJ619+Y619+Z619+AA619,IF(AS619=4,('Calc (ex-animal)'!$Q$115+'Calc (ex-animal)'!$R$115)*'Calc (ex-housing, ex-storage)'!F619/100*VLOOKUP(D619,'DB technologies'!$N$294:$Y$306,12,FALSE)/100/VLOOKUP($C$619,'DB animal categories'!$C$221:$AC$230,27,FALSE)*AJ619+Y619+Z619+AA619,0))))))</f>
        <v/>
      </c>
      <c r="BA619" s="506"/>
      <c r="BB619" s="506"/>
      <c r="BC619" s="506"/>
    </row>
    <row r="620" spans="1:55" x14ac:dyDescent="0.2">
      <c r="A620" s="748"/>
      <c r="B620" s="695"/>
      <c r="C620" s="251"/>
      <c r="D620" s="1357"/>
      <c r="E620" s="1399"/>
      <c r="F620" s="480" t="str">
        <f>IF('Calc (ex-animal)'!$F$113=1,"",IF($C$619=0,"",IF(D620="","",E620/'Calc (ex-animal)'!$E$115*100)))</f>
        <v/>
      </c>
      <c r="G620" s="485" t="str">
        <f>IF($C$619=0,"",IF('Calc (ex-animal)'!$F$113=1,"",IF(D620="","",SUM(H620:O620))))</f>
        <v/>
      </c>
      <c r="H620" s="423" t="str">
        <f>IF('Calc (ex-animal)'!$F$113=1,"",IF(D620="","",(((VLOOKUP($C$619,'Calc (ex-animal)'!$D$113:$Y$117,6,FALSE)-VLOOKUP($C$619,'Calc (ex-animal)'!$D$113:$Y$117,17,FALSE))*F620/100))*VLOOKUP($C$619,'Calc (ex-animal)'!$D$113:$Y$117,7,FALSE)/100*(1-VLOOKUP(D620,'DB technologies'!$N$294:$Y$306,9,FALSE)/100)))</f>
        <v/>
      </c>
      <c r="I620" s="423" t="str">
        <f>IF(D620="","",((VLOOKUP(D620,'DB technologies'!$N$294:$Y$306,2,FALSE)*VLOOKUP($C$619,'DB animal categories'!$C$221:$AC$230,27,FALSE)*E620/1000)/VLOOKUP($C$619,'DB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'!$S$6/100*(1-VLOOKUP(D620,'DB technologies'!$N$294:$Y$306,9,FALSE)/100)))</f>
        <v/>
      </c>
      <c r="J620" s="434" t="str">
        <f>IF(D620="","",((VLOOKUP(D620,'DB technologies'!$N$294:$Y$306,3,FALSE)*VLOOKUP($C$619,'DB animal categories'!$C$221:$AC$230,27,FALSE)*E620/1000)/VLOOKUP($C$619,'DB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'!$S$7/100*(1-VLOOKUP(D620,'DB technologies'!$N$294:$Y$306,9,FALSE)/100)))</f>
        <v/>
      </c>
      <c r="K620" s="434" t="str">
        <f>IF(D620="","",((VLOOKUP(D620,'DB technologies'!$N$294:$Y$306,4,FALSE)*E620*'DB additional information '!$S$8/100*(1-VLOOKUP(D620,'DB technologies'!$N$294:$Y$306,9,FALSE)/100))/VLOOKUP($C$619,'DB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L620" s="423" t="str">
        <f>IF('Calc (ex-animal)'!$F$113=1,"",IF(D620="","",(((VLOOKUP($C$619,'Calc (ex-animal)'!$D$113:$Y$117,6,FALSE)-VLOOKUP($C$619,'Calc (ex-animal)'!$D$113:$Y$117,17,FALSE))*F620/100))*(1-VLOOKUP($C$619,'Calc (ex-animal)'!$D$113:$Y$117,7,FALSE)/100)*(1-VLOOKUP(D620,'DB technologies'!$N$294:$V$306,8,FALSE)/100)))</f>
        <v/>
      </c>
      <c r="M620" s="434" t="str">
        <f>IF(D620="","",((VLOOKUP(D620,'DB technologies'!$N$294:$Y$306,2,FALSE)*VLOOKUP($C$619,'DB animal categories'!$C$221:$AC$230,27,FALSE)*E620/1000)/VLOOKUP($C$619,'DB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'!$S$6/100)*(1-VLOOKUP(D620,'DB technologies'!$N$294:$Y$306,9,FALSE)/100))</f>
        <v/>
      </c>
      <c r="N620" s="434" t="str">
        <f>IF(D620="","",((VLOOKUP(D620,'DB technologies'!$N$294:$Y$306,3,FALSE)*VLOOKUP($C$619,'DB animal categories'!$C$221:$AC$230,27,FALSE)*E620/1000)/VLOOKUP($C$619,'DB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'!$S$7/100)*(1-VLOOKUP(D620,'DB technologies'!$N$294:$Y$306,9,FALSE)/100))</f>
        <v/>
      </c>
      <c r="O620" s="423" t="str">
        <f>IF(D620="","",((VLOOKUP(D620,'DB technologies'!$N$294:$Y$306,4,FALSE)*E620*(1-'DB additional information '!$S$8/100)*(1-VLOOKUP(D620,'DB technologies'!$N$294:$Y$306,8,FALSE)/100))/VLOOKUP($C$619,'DB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P620" s="438" t="str">
        <f>IF(G620=0,0,IF(E620="","",IF(F620="","",IF($C$619=0,"",IF(D620="","",SUM(H620:K620)/G620*100)))))</f>
        <v/>
      </c>
      <c r="Q620" s="416" t="str">
        <f>IF(D620="","",(VLOOKUP(D620,'DB technologies'!$N$294:$Y$306,2,FALSE)*'DB additional information '!$S$6/100*'DB additional information '!$T$6*VLOOKUP($C$619,'DB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R620" s="416" t="str">
        <f>IF(D620="","",(VLOOKUP(D620,'DB technologies'!$N$294:$Y$306,3,FALSE)*'DB additional information '!$S$7/100*'DB additional information '!$T$7*VLOOKUP($C$619,'DB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S620" s="491" t="str">
        <f>IF(D620="","",(VLOOKUP(D620,'DB technologies'!$N$294:$Y$306,4,FALSE)*('DB additional information '!$S$8/100*'DB additional information '!$T$8*E620/1000/1000)))</f>
        <v/>
      </c>
      <c r="T620" s="264" t="str">
        <f>IF($C$619=0,"",IF('Calc (ex-animal)'!$F$113=1,"",IF(D620="","",((VLOOKUP($C$619,'Calc (ex-animal)'!$D$113:$Y$117,10,FALSE)-VLOOKUP($C$619,'Calc (ex-animal)'!$D$113:$Y$117,18,FALSE))*F620/100+Q620+R620+S620)-AC620-AD620-AE620)))</f>
        <v/>
      </c>
      <c r="U620" s="422" t="str">
        <f>IF(D620="","",(VLOOKUP(D620,'DB technologies'!$N$294:$Y$306,2,FALSE)*'DB additional information '!$S$6/100*'DB additional information '!$U$6*VLOOKUP($C$619,'DB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V620" s="418" t="str">
        <f>IF(D620="","",(VLOOKUP(D620,'DB technologies'!$N$294:$Y$306,3,FALSE)*'DB additional information '!$S$7/100*'DB additional information '!$U$7*VLOOKUP($C$619,'DB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W620" s="417" t="str">
        <f>IF(D620="","",(VLOOKUP(D620,'DB technologies'!$N$294:$Y$306,4,FALSE)*('DB additional information '!$S$8/100*'DB additional information '!$U$8*E620/1000/1000)))</f>
        <v/>
      </c>
      <c r="X620" s="261" t="str">
        <f>IF($C$619=0,"",IF('Calc (ex-animal)'!$F$113=1,"",IF(D620="","",((VLOOKUP($C$619,'Calc (ex-animal)'!$D$113:$Y$117,13,FALSE)-VLOOKUP($C$619,'Calc (ex-animal)'!$D$113:$Y$117,19,FALSE))*F620/100+U620+V620+W620))))</f>
        <v/>
      </c>
      <c r="Y620" s="418" t="str">
        <f>IF(D620="","",(VLOOKUP(D620,'DB technologies'!$N$294:$Y$306,2,FALSE)*'DB additional information '!$S$6/100*'DB additional information '!$V$6*VLOOKUP($C$619,'DB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Z620" s="418" t="str">
        <f>IF(D620="","",(VLOOKUP(D620,'DB technologies'!$N$294:$Y$306,3,FALSE)*'DB additional information '!$S$7/100*'DB additional information '!$V$7*VLOOKUP($C$619,'DB animal categories'!$C$221:$AC$230,27,FALSE)*E620/1000/1000)/VLOOKUP($C$619,'DB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AA620" s="418" t="str">
        <f>IF(D620="","",(VLOOKUP(D620,'DB technologies'!$N$294:$Y$306,4,FALSE)*('DB additional information '!$S$8/100*'DB additional information '!$V$8*E620/1000/1000)))</f>
        <v/>
      </c>
      <c r="AB620" s="261" t="str">
        <f>IF($C$619=0,"",IF('Calc (ex-animal)'!$F$113=1,"",IF(D620="","",((VLOOKUP($C$619,'Calc (ex-animal)'!$D$113:$Y$117,16,FALSE)-VLOOKUP($C$619,'Calc (ex-animal)'!$D$113:$Y$117,20,FALSE))*F620/100+Y620+Z620+AA620))))</f>
        <v/>
      </c>
      <c r="AC620" s="261" t="str">
        <f>IF($C$619=0,"",IF('Calc (ex-animal)'!$F$113=1,"",IF(D620="","",VLOOKUP($C$619,'Calc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categories'!$C$221:$AC$230,26,FALSE)/24)*F620/100*VLOOKUP(D620,'DB technologies'!$N$294:$R$306,5,FALSE)/100)))</f>
        <v/>
      </c>
      <c r="AD620" s="261" t="str">
        <f>IF($C$619=0,"",IF('Calc (ex-animal)'!$F$113=1,"",IF(D620="","",VLOOKUP($C$619,'Calc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categories'!$C$221:$AC$230,26,FALSE)/24)*F620/100*VLOOKUP(D620,'DB technologies'!$N$294:$Y$306,6,FALSE)/100)))</f>
        <v/>
      </c>
      <c r="AE620" s="262" t="str">
        <f>IF($C$619=0,"",IF('Calc (ex-animal)'!$F$113=1,"",IF(D620="","",VLOOKUP($C$619,'Calc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categories'!$C$221:$AC$230,26,FALSE)/24)*F620/100*VLOOKUP(D620,'DB technologies'!$N$294:$Y$306,7,FALSE)/100)))</f>
        <v/>
      </c>
      <c r="AI620" s="181" t="str">
        <f>IF(D620="","",VLOOKUP(D620,'DB technologies'!$N$294:$Y$306,10,FALSE))</f>
        <v/>
      </c>
      <c r="AJ620" s="449" t="e">
        <f>VLOOKUP($C$619,'DB animal categories'!$C$221:$AN$230,27,FALSE)-VLOOKUP($C$619,'DB animal categories'!$C$221:$AN$230,26,FALSE)*VLOOKUP($C$619,'DB animal categories'!$C$221:$AN$230,25,FALSE)/24</f>
        <v>#N/A</v>
      </c>
      <c r="AK620" s="442" t="str">
        <f>IF(AI620="","",AL620+AM620)</f>
        <v/>
      </c>
      <c r="AL620" s="442" t="str">
        <f>IF(D620="","",IF(AI620=2,(('Calc (ex-animal)'!$G$115*'DB additional information '!$K$24/100*(1-VLOOKUP(D620,'DB technologies'!$N$294:$Y$306,9,FALSE)/100)*'Calc (ex-housing, ex-storage)'!F620/100+'Calc (ex-animal)'!$H$115*'DB additional information '!$L$24/100*(1-VLOOKUP(D620,'DB technologies'!$N$294:$Y$306,9,FALSE)/100)*'Calc (ex-housing, ex-storage)'!F620/100))/VLOOKUP($C$619,'DB animal categories'!$C$221:$AC$230,27,FALSE)*AJ620+I620+J620+K620,IF(AI620=1,('Calc (ex-animal)'!$H$115*'DB additional information '!$L$24/100*(1-VLOOKUP(D620,'DB technologies'!$N$294:$Y$306,9,FALSE)/100)*'Calc (ex-housing, ex-storage)'!F620/100)/VLOOKUP($C$619,'DB animal categories'!$C$221:$AC$230,27,FALSE)*AJ620,IF(AI620=4,('Calc (ex-animal)'!$G$115*'DB additional information '!$K$24/100+'Calc (ex-animal)'!$H$115*'DB additional information '!$L$24/100)*(1-VLOOKUP(D620,'DB technologies'!$N$294:$Y$306,9,FALSE)/100)*'Calc (ex-housing, ex-storage)'!F620/100*VLOOKUP(D620,'DB technologies'!$N$294:$Y$306,11,FALSE)/100/VLOOKUP($C$619,'DB animal categories'!$C$221:$AC$230,27,FALSE)*AJ620,0))))</f>
        <v/>
      </c>
      <c r="AM620" s="442" t="str">
        <f>IF(D620="","",IF(AI620=2,(('Calc (ex-animal)'!$G$115*(1-'DB additional information '!$K$24/100)*(1-VLOOKUP(D620,'DB technologies'!$N$294:$Y$306,8,FALSE)/100)*'Calc (ex-housing, ex-storage)'!F620/100+'Calc (ex-animal)'!$H$115*(1-'DB additional information '!$L$24/100)*(1-VLOOKUP(D620,'DB technologies'!$N$294:$Y$306,8,FALSE)/100)*'Calc (ex-housing, ex-storage)'!F620/100))/VLOOKUP($C$619,'DB animal categories'!$C$221:$AC$230,27,FALSE)*AJ620+M620+N620+O620,IF(AI620=1,('Calc (ex-animal)'!$H$115*(1-'DB additional information '!$L$24/100)*(1-VLOOKUP(D620,'DB technologies'!$N$294:$Y$306,8,FALSE)/100)*'Calc (ex-housing, ex-storage)'!F620/100)/VLOOKUP($C$619,'DB animal categories'!$C$221:$AC$230,27,FALSE)*AJ620,IF(AI620=4,('Calc (ex-animal)'!$G$115*(1-'DB additional information '!$K$24/100)+'Calc (ex-animal)'!$H$115*(1-'DB additional information '!$L$24/100))*(1-VLOOKUP(D620,'DB technologies'!$N$294:$Y$306,8,FALSE)/100)*'Calc (ex-housing, ex-storage)'!F620/100*VLOOKUP(D620,'DB technologies'!$N$294:$Y$306,11,FALSE)/100/VLOOKUP($C$619,'DB animal categories'!$C$221:$AC$230,27,FALSE)*AJ620,0))))</f>
        <v/>
      </c>
      <c r="AN620" s="442" t="str">
        <f>IF(AI620="","",IF(AL620=0,0,AL620/AK620*100))</f>
        <v/>
      </c>
      <c r="AO620" s="182" t="str">
        <f>IF(D620="","",IF(AI620=2,(('Calc (ex-animal)'!$L$115*'Calc (ex-housing, ex-storage)'!F620/100+'Calc (ex-animal)'!$K$115*'Calc (ex-housing, ex-storage)'!F620/100))/VLOOKUP($C$619,'DB animal categories'!$C$221:$AC$230,27,FALSE)*AJ620+Q620+R620+S620-AC620,IF(AI620=1,('Calc (ex-animal)'!$L$115*'Calc (ex-housing, ex-storage)'!F620/100)/VLOOKUP($C$619,'DB animal categories'!$C$221:$AC$230,27,FALSE)*AJ620-'Calc (ex-housing, ex-storage)'!AC620,IF(AI620=4,('Calc (ex-animal)'!$L$115+'Calc (ex-animal)'!$K$115)*'Calc (ex-housing, ex-storage)'!F620/100*VLOOKUP(D620,'DB technologies'!$N$294:$Y$306,11,FALSE)/100/VLOOKUP($C$619,'DB animal categories'!$C$221:$AC$230,27,FALSE)*AJ620-AC620*VLOOKUP(D620,'DB technologies'!$N$294:$Y$306,11,FALSE)/100,0))))</f>
        <v/>
      </c>
      <c r="AP620" s="182" t="str">
        <f>IF(D620="","",IF(AO620&lt;-0.01,0,IF(AI620=2,(('Calc (ex-animal)'!$L$115*'Calc (ex-housing, ex-storage)'!F620/100+'Calc (ex-animal)'!$K$115*'Calc (ex-housing, ex-storage)'!F620/100))/VLOOKUP($C$619,'DB animal categories'!$C$221:$AC$230,27,FALSE)*AJ620+Q620+R620+S620-AC620,IF(AI620=1,('Calc (ex-animal)'!$L$115*'Calc (ex-housing, ex-storage)'!F620/100)/VLOOKUP($C$619,'DB animal categories'!$C$221:$AC$230,27,FALSE)*AJ620-'Calc (ex-housing, ex-storage)'!AC620,IF(AI620=4,('Calc (ex-animal)'!$L$115+'Calc (ex-animal)'!$K$115)*'Calc (ex-housing, ex-storage)'!F620/100*VLOOKUP(D620,'DB technologies'!$N$294:$Y$306,11,FALSE)/100/VLOOKUP($C$619,'DB animal categories'!$C$221:$AC$230,27,FALSE)*AJ620-AC620*VLOOKUP(D620,'DB technologies'!$N$294:$Y$306,11,FALSE)/100,0)))))</f>
        <v/>
      </c>
      <c r="AQ620" s="182" t="str">
        <f>IF(D620="","",IF(AI620=2,('Calc (ex-animal)'!$O$115*'Calc (ex-housing, ex-storage)'!F620/100+'Calc (ex-animal)'!$N$115*'Calc (ex-housing, ex-storage)'!F620/100)/VLOOKUP($C$619,'DB animal categories'!$C$221:$AC$230,27,FALSE)*AJ620+U620+V620+W620,IF(AI620=1,'Calc (ex-animal)'!$O$115*'Calc (ex-housing, ex-storage)'!F620/100/VLOOKUP($C$619,'DB animal categories'!$C$221:$AC$230,27,FALSE)*AJ620,IF(AI620=4,('Calc (ex-animal)'!$O$115+'Calc (ex-animal)'!$N$115)*'Calc (ex-housing, ex-storage)'!F620/100*VLOOKUP(D620,'DB technologies'!$N$294:$Y$306,11,FALSE)/100/VLOOKUP($C$619,'DB animal categories'!$C$221:$AC$230,27,FALSE)*AJ620,0))))</f>
        <v/>
      </c>
      <c r="AR620" s="182" t="str">
        <f>IF(D620="","",IF(AI620=2,('Calc (ex-animal)'!$R$115*'Calc (ex-housing, ex-storage)'!F620/100+'Calc (ex-animal)'!$Q$115*'Calc (ex-housing, ex-storage)'!F620/100)/VLOOKUP($C$619,'DB animal categories'!$C$221:$AC$230,27,FALSE)*AJ620+Y620+Z620+AA620,IF(AI620=1,'Calc (ex-animal)'!$R$115*'Calc (ex-housing, ex-storage)'!F620/100/VLOOKUP($C$619,'DB animal categories'!$C$221:$AC$230,27,FALSE)*AJ620,IF(AI620=4,('Calc (ex-animal)'!$R$115+'Calc (ex-animal)'!$Q$115)*'Calc (ex-housing, ex-storage)'!F620/100*VLOOKUP(D620,'DB technologies'!$N$294:$Y$306,11,FALSE)/100/VLOOKUP($C$619,'DB animal categories'!$C$221:$AC$230,27,FALSE)*AJ620,0))))</f>
        <v/>
      </c>
      <c r="AS620" s="181" t="str">
        <f>IF(D620="","",VLOOKUP(D620,'DB technologies'!$N$294:$Y$306,10,FALSE))</f>
        <v/>
      </c>
      <c r="AT620" s="442" t="str">
        <f>IF(AS620="","",AU620+AV620)</f>
        <v/>
      </c>
      <c r="AU620" s="442" t="str">
        <f>IF(D620="","",IF(AS620=2,0,IF(AS620=1,'Calc (ex-animal)'!$G$115*'DB additional information '!$K$24/100*(1-VLOOKUP(D620,'DB technologies'!$N$294:$Y$306,8,FALSE)/100)*'Calc (ex-housing, ex-storage)'!F620/100/VLOOKUP($C$619,'DB animal categories'!$C$221:$AC$230,27,FALSE)*AJ620+I620+J620+K620,IF(AS620=5,(('Calc (ex-animal)'!$G$115*'DB additional information '!$K$24/100+'Calc (ex-animal)'!$H$115*'DB additional information '!$L$24/100))*(1-VLOOKUP(D620,'DB technologies'!$N$294:$Y$306,9,FALSE)/100)*'Calc (ex-housing, ex-storage)'!F620/100/VLOOKUP($C$619,'DB animal categories'!$C$221:$AC$230,27,FALSE)*AJ620+I620+J620+K620,IF(AS620=3,('Calc (ex-animal)'!$G$115*'DB additional information '!$K$24/100+'Calc (ex-animal)'!$H$115*'DB additional information '!$L$24/100)*(1-VLOOKUP(D620,'DB technologies'!$N$294:$Y$306,9,FALSE)/100)*'Calc (ex-housing, ex-storage)'!F620/100/VLOOKUP($C$619,'DB animal categories'!$C$221:$AC$230,27,FALSE)*AJ620+I620+J620+K620,IF(AS620=4,('Calc (ex-animal)'!$G$115*'DB additional information '!$K$24/100+'Calc (ex-animal)'!$H$115*'DB additional information '!$L$24/100)*(1-VLOOKUP(D620,'DB technologies'!$N$294:$Y$306,9,FALSE)/100)*'Calc (ex-housing, ex-storage)'!F620/100*VLOOKUP(D620,'DB technologies'!$N$294:$Y$306,12,FALSE)/100/VLOOKUP($C$619,'DB animal categories'!$C$221:$AC$230,27,FALSE)*AJ620+I620+J620+K620,0))))))</f>
        <v/>
      </c>
      <c r="AV620" s="442" t="str">
        <f>IF(D620="","",IF(AS620=2,0,IF(AS620=1,'Calc (ex-animal)'!$G$115*(1-'DB additional information '!$K$24/100)*(1-VLOOKUP(D620,'DB technologies'!$N$294:$Y$306,8,FALSE)/100)*'Calc (ex-housing, ex-storage)'!F620/100/VLOOKUP($C$619,'DB animal categories'!$C$221:$AC$230,27,FALSE)*AJ620+M620+N620+O620,IF(AS620=5,('Calc (ex-animal)'!$G$115*(1-'DB additional information '!$K$24/100)+'Calc (ex-animal)'!$H$115*(1-'DB additional information '!$L$24/100))*(1-VLOOKUP(D620,'DB technologies'!$N$294:$Y$306,8,FALSE)/100)*'Calc (ex-housing, ex-storage)'!F620/100/VLOOKUP($C$619,'DB animal categories'!$C$221:$AC$230,27,FALSE)*AJ620+M620+N620+O620,IF(AS620=3,('Calc (ex-animal)'!$G$115*(1-'DB additional information '!$K$24/100)+'Calc (ex-animal)'!$H$115*(1-'DB additional information '!$L$24/100))*(1-VLOOKUP(D620,'DB technologies'!$N$294:$Y$306,8,FALSE)/100)*'Calc (ex-housing, ex-storage)'!F620/100/VLOOKUP($C$619,'DB animal categories'!$C$221:$AC$230,27,FALSE)*AJ620+M620+N620+O620,IF(AS620=4,('Calc (ex-animal)'!$G$115*(1-'DB additional information '!$K$24/100)+'Calc (ex-animal)'!$H$115*(1-'DB additional information '!$L$24/100))*(1-VLOOKUP(D620,'DB technologies'!$N$294:$Y$306,8,FALSE)/100)*'Calc (ex-housing, ex-storage)'!F620/100*VLOOKUP(D620,'DB technologies'!$N$294:$Y$306,12,FALSE)/100/VLOOKUP($C$619,'DB animal categories'!$C$221:$AC$230,27,FALSE)*AJ620+M620+N620+O620,0))))))</f>
        <v/>
      </c>
      <c r="AW620" s="442" t="str">
        <f>IF(AS620="","",IF(AU620=0,0,AU620/AT620*100))</f>
        <v/>
      </c>
      <c r="AX620" s="182" t="str">
        <f>IF(D620="","",IF(AS620=2,0,IF(AS620=1,'Calc (ex-animal)'!$K$115*'Calc (ex-housing, ex-storage)'!F620/100/VLOOKUP($C$619,'DB animal categories'!$C$221:$AC$230,27,FALSE)*AJ620+Q620+R620+S620,IF(AS620=5,('Calc (ex-animal)'!$K$115+'Calc (ex-animal)'!$L$115)*'Calc (ex-housing, ex-storage)'!F620/100/VLOOKUP($C$619,'DB animal categories'!$C$221:$AC$230,27,FALSE)*AJ620+Q620+R620+S620-'Calc (ex-housing, ex-storage)'!AC620,IF(AS620=3,('Calc (ex-animal)'!$K$115+'Calc (ex-animal)'!$L$115)*'Calc (ex-housing, ex-storage)'!F620/100/VLOOKUP($C$619,'DB animal categories'!$C$221:$AC$230,27,FALSE)*AJ620+Q620+R620+S620-'Calc (ex-housing, ex-storage)'!AC620-AD620-AE620,IF(AI620=4,('Calc (ex-animal)'!$K$115+'Calc (ex-animal)'!$L$115)*'Calc (ex-housing, ex-storage)'!F620/100*VLOOKUP(D620,'DB technologies'!$N$294:$Y$306,12,FALSE)/100/VLOOKUP($C$619,'DB animal categories'!$C$221:$AC$230,27,FALSE)*AJ620+Q620+R620+S620-(VLOOKUP(D620,'DB technologies'!$N$294:$Y$306,12,FALSE)/100*AC620)-AD620-AE620,0))))))</f>
        <v/>
      </c>
      <c r="AY620" s="182" t="str">
        <f>IF(D620="","",IF(AS620=2,0,IF(AS620=1,'Calc (ex-animal)'!$N$115*'Calc (ex-housing, ex-storage)'!F620/100/VLOOKUP($C$619,'DB animal categories'!$C$221:$AC$230,27,FALSE)*AJ620+U620+V620+W620,IF(AS620=5,('Calc (ex-animal)'!$N$115+'Calc (ex-animal)'!$O$115)*'Calc (ex-housing, ex-storage)'!F620/100/VLOOKUP($C$619,'DB animal categories'!$C$221:$AC$230,27,FALSE)*AJ620+U620+V620+W620,IF(AS620=3,('Calc (ex-animal)'!$N$115+'Calc (ex-animal)'!$O$115)*'Calc (ex-housing, ex-storage)'!F620/100/VLOOKUP($C$619,'DB animal categories'!$C$221:$AC$230,27,FALSE)*AJ620+U620+V620+W620,IF(AS620=4,('Calc (ex-animal)'!$N$115+'Calc (ex-animal)'!$O$115)*'Calc (ex-housing, ex-storage)'!F620/100*VLOOKUP(D620,'DB technologies'!$N$294:$Y$306,12,FALSE)/100/VLOOKUP($C$619,'DB animal categories'!$C$221:$AC$230,27,FALSE)*AJ620+U620+V620+W620,0))))))</f>
        <v/>
      </c>
      <c r="AZ620" s="182" t="str">
        <f>IF(D620="","",IF(AS620=2,0,IF(AS620=1,'Calc (ex-animal)'!$Q$115*'Calc (ex-housing, ex-storage)'!F620/100/VLOOKUP($C$619,'DB animal categories'!$C$221:$AC$230,27,FALSE)*AJ620+Y620+Z620+AA620,IF(AS620=5,('Calc (ex-animal)'!$Q$115+'Calc (ex-animal)'!$R$115)*'Calc (ex-housing, ex-storage)'!F620/100/VLOOKUP($C$619,'DB animal categories'!$C$221:$AC$230,27,FALSE)*AJ620+Y620+Z620+AA620,IF(AS620=3,('Calc (ex-animal)'!$Q$115+'Calc (ex-animal)'!$R$115)*'Calc (ex-housing, ex-storage)'!F620/100/VLOOKUP($C$619,'DB animal categories'!$C$221:$AC$230,27,FALSE)*AJ620+Y620+Z620+AA620,IF(AS620=4,('Calc (ex-animal)'!$Q$115+'Calc (ex-animal)'!$R$115)*'Calc (ex-housing, ex-storage)'!F620/100*VLOOKUP(D620,'DB technologies'!$N$294:$Y$306,12,FALSE)/100/VLOOKUP($C$619,'DB animal categories'!$C$221:$AC$230,27,FALSE)*AJ620+Y620+Z620+AA620,0))))))</f>
        <v/>
      </c>
      <c r="BA620" s="506"/>
      <c r="BB620" s="506"/>
      <c r="BC620" s="506"/>
    </row>
    <row r="621" spans="1:55" x14ac:dyDescent="0.2">
      <c r="A621" s="748"/>
      <c r="B621" s="695"/>
      <c r="C621" s="251"/>
      <c r="D621" s="1357"/>
      <c r="E621" s="1399"/>
      <c r="F621" s="480" t="str">
        <f>IF('Calc (ex-animal)'!$F$113=1,"",IF($C$619=0,"",IF(D621="","",E621/'Calc (ex-animal)'!$E$115*100)))</f>
        <v/>
      </c>
      <c r="G621" s="485" t="str">
        <f>IF($C$619=0,"",IF('Calc (ex-animal)'!$F$113=1,"",IF(D621="","",SUM(H621:O621))))</f>
        <v/>
      </c>
      <c r="H621" s="423" t="str">
        <f>IF('Calc (ex-animal)'!$F$113=1,"",IF(D621="","",(((VLOOKUP($C$619,'Calc (ex-animal)'!$D$113:$Y$117,6,FALSE)-VLOOKUP($C$619,'Calc (ex-animal)'!$D$113:$Y$117,17,FALSE))*F621/100))*VLOOKUP($C$619,'Calc (ex-animal)'!$D$113:$Y$117,7,FALSE)/100*(1-VLOOKUP(D621,'DB technologies'!$N$294:$Y$306,9,FALSE)/100)))</f>
        <v/>
      </c>
      <c r="I621" s="423" t="str">
        <f>IF(D621="","",((VLOOKUP(D621,'DB technologies'!$N$294:$Y$306,2,FALSE)*VLOOKUP($C$619,'DB animal categories'!$C$221:$AC$230,27,FALSE)*E621/1000)/VLOOKUP($C$619,'DB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'!$S$6/100*(1-VLOOKUP(D621,'DB technologies'!$N$294:$Y$306,9,FALSE)/100)))</f>
        <v/>
      </c>
      <c r="J621" s="434" t="str">
        <f>IF(D621="","",((VLOOKUP(D621,'DB technologies'!$N$294:$Y$306,3,FALSE)*VLOOKUP($C$619,'DB animal categories'!$C$221:$AC$230,27,FALSE)*E621/1000)/VLOOKUP($C$619,'DB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'!$S$7/100*(1-VLOOKUP(D621,'DB technologies'!$N$294:$Y$306,9,FALSE)/100)))</f>
        <v/>
      </c>
      <c r="K621" s="434" t="str">
        <f>IF(D621="","",((VLOOKUP(D621,'DB technologies'!$N$294:$Y$306,4,FALSE)*E621*'DB additional information '!$S$8/100*(1-VLOOKUP(D621,'DB technologies'!$N$294:$Y$306,9,FALSE)/100))/VLOOKUP($C$619,'DB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L621" s="423" t="str">
        <f>IF('Calc (ex-animal)'!$F$113=1,"",IF(D621="","",(((VLOOKUP($C$619,'Calc (ex-animal)'!$D$113:$Y$117,6,FALSE)-VLOOKUP($C$619,'Calc (ex-animal)'!$D$113:$Y$117,17,FALSE))*F621/100))*(1-VLOOKUP($C$619,'Calc (ex-animal)'!$D$113:$Y$117,7,FALSE)/100)*(1-VLOOKUP(D621,'DB technologies'!$N$294:$V$306,8,FALSE)/100)))</f>
        <v/>
      </c>
      <c r="M621" s="434" t="str">
        <f>IF(D621="","",((VLOOKUP(D621,'DB technologies'!$N$294:$Y$306,2,FALSE)*VLOOKUP($C$619,'DB animal categories'!$C$221:$AC$230,27,FALSE)*E621/1000)/VLOOKUP($C$619,'DB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'!$S$6/100)*(1-VLOOKUP(D621,'DB technologies'!$N$294:$Y$306,9,FALSE)/100))</f>
        <v/>
      </c>
      <c r="N621" s="434" t="str">
        <f>IF(D621="","",((VLOOKUP(D621,'DB technologies'!$N$294:$Y$306,3,FALSE)*VLOOKUP($C$619,'DB animal categories'!$C$221:$AC$230,27,FALSE)*E621/1000)/VLOOKUP($C$619,'DB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'!$S$7/100)*(1-VLOOKUP(D621,'DB technologies'!$N$294:$Y$306,9,FALSE)/100))</f>
        <v/>
      </c>
      <c r="O621" s="423" t="str">
        <f>IF(D621="","",((VLOOKUP(D621,'DB technologies'!$N$294:$Y$306,4,FALSE)*E621*(1-'DB additional information '!$S$8/100)*(1-VLOOKUP(D621,'DB technologies'!$N$294:$Y$306,8,FALSE)/100))/VLOOKUP($C$619,'DB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P621" s="438" t="str">
        <f>IF(G621=0,0,IF(E621="","",IF(F621="","",IF($C$619=0,"",IF(D621="","",SUM(H621:K621)/G621*100)))))</f>
        <v/>
      </c>
      <c r="Q621" s="416" t="str">
        <f>IF(D621="","",(VLOOKUP(D621,'DB technologies'!$N$294:$Y$306,2,FALSE)*'DB additional information '!$S$6/100*'DB additional information '!$T$6*VLOOKUP($C$619,'DB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R621" s="416" t="str">
        <f>IF(D621="","",(VLOOKUP(D621,'DB technologies'!$N$294:$Y$306,3,FALSE)*'DB additional information '!$S$7/100*'DB additional information '!$T$7*VLOOKUP($C$619,'DB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S621" s="491" t="str">
        <f>IF(D621="","",(VLOOKUP(D621,'DB technologies'!$N$294:$Y$306,4,FALSE)*('DB additional information '!$S$8/100*'DB additional information '!$T$8*E621/1000/1000)))</f>
        <v/>
      </c>
      <c r="T621" s="264" t="str">
        <f>IF($C$619=0,"",IF('Calc (ex-animal)'!$F$113=1,"",IF(D621="","",((VLOOKUP($C$619,'Calc (ex-animal)'!$D$113:$Y$117,10,FALSE)-VLOOKUP($C$619,'Calc (ex-animal)'!$D$113:$Y$117,18,FALSE))*F621/100+Q621+R621+S621)-AC621-AD621-AE621)))</f>
        <v/>
      </c>
      <c r="U621" s="422" t="str">
        <f>IF(D621="","",(VLOOKUP(D621,'DB technologies'!$N$294:$Y$306,2,FALSE)*'DB additional information '!$S$6/100*'DB additional information '!$U$6*VLOOKUP($C$619,'DB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V621" s="418" t="str">
        <f>IF(D621="","",(VLOOKUP(D621,'DB technologies'!$N$294:$Y$306,3,FALSE)*'DB additional information '!$S$7/100*'DB additional information '!$U$7*VLOOKUP($C$619,'DB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W621" s="417" t="str">
        <f>IF(D621="","",(VLOOKUP(D621,'DB technologies'!$N$294:$Y$306,4,FALSE)*('DB additional information '!$S$8/100*'DB additional information '!$U$8*E621/1000/1000)))</f>
        <v/>
      </c>
      <c r="X621" s="261" t="str">
        <f>IF($C$619=0,"",IF('Calc (ex-animal)'!$F$113=1,"",IF(D621="","",((VLOOKUP($C$619,'Calc (ex-animal)'!$D$113:$Y$117,13,FALSE)-VLOOKUP($C$619,'Calc (ex-animal)'!$D$113:$Y$117,19,FALSE))*F621/100+U621+V621+W621))))</f>
        <v/>
      </c>
      <c r="Y621" s="418" t="str">
        <f>IF(D621="","",(VLOOKUP(D621,'DB technologies'!$N$294:$Y$306,2,FALSE)*'DB additional information '!$S$6/100*'DB additional information '!$V$6*VLOOKUP($C$619,'DB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Z621" s="418" t="str">
        <f>IF(D621="","",(VLOOKUP(D621,'DB technologies'!$N$294:$Y$306,3,FALSE)*'DB additional information '!$S$7/100*'DB additional information '!$V$7*VLOOKUP($C$619,'DB animal categories'!$C$221:$AC$230,27,FALSE)*E621/1000/1000)/VLOOKUP($C$619,'DB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AA621" s="418" t="str">
        <f>IF(D621="","",(VLOOKUP(D621,'DB technologies'!$N$294:$Y$306,4,FALSE)*('DB additional information '!$S$8/100*'DB additional information '!$V$8*E621/1000/1000)))</f>
        <v/>
      </c>
      <c r="AB621" s="261" t="str">
        <f>IF($C$619=0,"",IF('Calc (ex-animal)'!$F$113=1,"",IF(D621="","",((VLOOKUP($C$619,'Calc (ex-animal)'!$D$113:$Y$117,16,FALSE)-VLOOKUP($C$619,'Calc (ex-animal)'!$D$113:$Y$117,20,FALSE))*F621/100+Y621+Z621+AA621))))</f>
        <v/>
      </c>
      <c r="AC621" s="261" t="str">
        <f>IF($C$619=0,"",IF('Calc (ex-animal)'!$F$113=1,"",IF(D621="","",VLOOKUP($C$619,'Calc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categories'!$C$221:$AC$230,26,FALSE)/24)*F621/100*VLOOKUP(D621,'DB technologies'!$N$294:$R$306,5,FALSE)/100)))</f>
        <v/>
      </c>
      <c r="AD621" s="261" t="str">
        <f>IF($C$619=0,"",IF('Calc (ex-animal)'!$F$113=1,"",IF(D621="","",VLOOKUP($C$619,'Calc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categories'!$C$221:$AC$230,26,FALSE)/24)*F621/100*VLOOKUP(D621,'DB technologies'!$N$294:$Y$306,6,FALSE)/100)))</f>
        <v/>
      </c>
      <c r="AE621" s="262" t="str">
        <f>IF($C$619=0,"",IF('Calc (ex-animal)'!$F$113=1,"",IF(D621="","",VLOOKUP($C$619,'Calc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categories'!$C$221:$AC$230,26,FALSE)/24)*F621/100*VLOOKUP(D621,'DB technologies'!$N$294:$Y$306,7,FALSE)/100)))</f>
        <v/>
      </c>
      <c r="AI621" s="181" t="str">
        <f>IF(D621="","",VLOOKUP(D621,'DB technologies'!$N$294:$Y$306,10,FALSE))</f>
        <v/>
      </c>
      <c r="AJ621" s="449" t="e">
        <f>VLOOKUP($C$619,'DB animal categories'!$C$221:$AN$230,27,FALSE)-VLOOKUP($C$619,'DB animal categories'!$C$221:$AN$230,26,FALSE)*VLOOKUP($C$619,'DB animal categories'!$C$221:$AN$230,25,FALSE)/24</f>
        <v>#N/A</v>
      </c>
      <c r="AK621" s="442" t="str">
        <f>IF(AI621="","",AL621+AM621)</f>
        <v/>
      </c>
      <c r="AL621" s="442" t="str">
        <f>IF(D621="","",IF(AI621=2,(('Calc (ex-animal)'!$G$115*'DB additional information '!$K$24/100*(1-VLOOKUP(D621,'DB technologies'!$N$294:$Y$306,9,FALSE)/100)*'Calc (ex-housing, ex-storage)'!F621/100+'Calc (ex-animal)'!$H$115*'DB additional information '!$L$24/100*(1-VLOOKUP(D621,'DB technologies'!$N$294:$Y$306,9,FALSE)/100)*'Calc (ex-housing, ex-storage)'!F621/100))/VLOOKUP($C$619,'DB animal categories'!$C$221:$AC$230,27,FALSE)*AJ621+I621+J621+K621,IF(AI621=1,('Calc (ex-animal)'!$H$115*'DB additional information '!$L$24/100*(1-VLOOKUP(D621,'DB technologies'!$N$294:$Y$306,9,FALSE)/100)*'Calc (ex-housing, ex-storage)'!F621/100)/VLOOKUP($C$619,'DB animal categories'!$C$221:$AC$230,27,FALSE)*AJ621,IF(AI621=4,('Calc (ex-animal)'!$G$115*'DB additional information '!$K$24/100+'Calc (ex-animal)'!$H$115*'DB additional information '!$L$24/100)*(1-VLOOKUP(D621,'DB technologies'!$N$294:$Y$306,9,FALSE)/100)*'Calc (ex-housing, ex-storage)'!F621/100*VLOOKUP(D621,'DB technologies'!$N$294:$Y$306,11,FALSE)/100/VLOOKUP($C$619,'DB animal categories'!$C$221:$AC$230,27,FALSE)*AJ621,0))))</f>
        <v/>
      </c>
      <c r="AM621" s="442" t="str">
        <f>IF(D621="","",IF(AI621=2,(('Calc (ex-animal)'!$G$115*(1-'DB additional information '!$K$24/100)*(1-VLOOKUP(D621,'DB technologies'!$N$294:$Y$306,8,FALSE)/100)*'Calc (ex-housing, ex-storage)'!F621/100+'Calc (ex-animal)'!$H$115*(1-'DB additional information '!$L$24/100)*(1-VLOOKUP(D621,'DB technologies'!$N$294:$Y$306,8,FALSE)/100)*'Calc (ex-housing, ex-storage)'!F621/100))/VLOOKUP($C$619,'DB animal categories'!$C$221:$AC$230,27,FALSE)*AJ621+M621+N621+O621,IF(AI621=1,('Calc (ex-animal)'!$H$115*(1-'DB additional information '!$L$24/100)*(1-VLOOKUP(D621,'DB technologies'!$N$294:$Y$306,8,FALSE)/100)*'Calc (ex-housing, ex-storage)'!F621/100)/VLOOKUP($C$619,'DB animal categories'!$C$221:$AC$230,27,FALSE)*AJ621,IF(AI621=4,('Calc (ex-animal)'!$G$115*(1-'DB additional information '!$K$24/100)+'Calc (ex-animal)'!$H$115*(1-'DB additional information '!$L$24/100))*(1-VLOOKUP(D621,'DB technologies'!$N$294:$Y$306,8,FALSE)/100)*'Calc (ex-housing, ex-storage)'!F621/100*VLOOKUP(D621,'DB technologies'!$N$294:$Y$306,11,FALSE)/100/VLOOKUP($C$619,'DB animal categories'!$C$221:$AC$230,27,FALSE)*AJ621,0))))</f>
        <v/>
      </c>
      <c r="AN621" s="442" t="str">
        <f>IF(AI621="","",IF(AL621=0,0,AL621/AK621*100))</f>
        <v/>
      </c>
      <c r="AO621" s="182" t="str">
        <f>IF(D621="","",IF(AI621=2,(('Calc (ex-animal)'!$L$115*'Calc (ex-housing, ex-storage)'!F621/100+'Calc (ex-animal)'!$K$115*'Calc (ex-housing, ex-storage)'!F621/100))/VLOOKUP($C$619,'DB animal categories'!$C$221:$AC$230,27,FALSE)*AJ621+Q621+R621+S621-AC621,IF(AI621=1,('Calc (ex-animal)'!$L$115*'Calc (ex-housing, ex-storage)'!F621/100)/VLOOKUP($C$619,'DB animal categories'!$C$221:$AC$230,27,FALSE)*AJ621-'Calc (ex-housing, ex-storage)'!AC621,IF(AI621=4,('Calc (ex-animal)'!$L$115+'Calc (ex-animal)'!$K$115)*'Calc (ex-housing, ex-storage)'!F621/100*VLOOKUP(D621,'DB technologies'!$N$294:$Y$306,11,FALSE)/100/VLOOKUP($C$619,'DB animal categories'!$C$221:$AC$230,27,FALSE)*AJ621-AC621*VLOOKUP(D621,'DB technologies'!$N$294:$Y$306,11,FALSE)/100,0))))</f>
        <v/>
      </c>
      <c r="AP621" s="182" t="str">
        <f>IF(D621="","",IF(AO621&lt;-0.01,0,IF(AI621=2,(('Calc (ex-animal)'!$L$115*'Calc (ex-housing, ex-storage)'!F621/100+'Calc (ex-animal)'!$K$115*'Calc (ex-housing, ex-storage)'!F621/100))/VLOOKUP($C$619,'DB animal categories'!$C$221:$AC$230,27,FALSE)*AJ621+Q621+R621+S621-AC621,IF(AI621=1,('Calc (ex-animal)'!$L$115*'Calc (ex-housing, ex-storage)'!F621/100)/VLOOKUP($C$619,'DB animal categories'!$C$221:$AC$230,27,FALSE)*AJ621-'Calc (ex-housing, ex-storage)'!AC621,IF(AI621=4,('Calc (ex-animal)'!$L$115+'Calc (ex-animal)'!$K$115)*'Calc (ex-housing, ex-storage)'!F621/100*VLOOKUP(D621,'DB technologies'!$N$294:$Y$306,11,FALSE)/100/VLOOKUP($C$619,'DB animal categories'!$C$221:$AC$230,27,FALSE)*AJ621-AC621*VLOOKUP(D621,'DB technologies'!$N$294:$Y$306,11,FALSE)/100,0)))))</f>
        <v/>
      </c>
      <c r="AQ621" s="182" t="str">
        <f>IF(D621="","",IF(AI621=2,('Calc (ex-animal)'!$O$115*'Calc (ex-housing, ex-storage)'!F621/100+'Calc (ex-animal)'!$N$115*'Calc (ex-housing, ex-storage)'!F621/100)/VLOOKUP($C$619,'DB animal categories'!$C$221:$AC$230,27,FALSE)*AJ621+U621+V621+W621,IF(AI621=1,'Calc (ex-animal)'!$O$115*'Calc (ex-housing, ex-storage)'!F621/100/VLOOKUP($C$619,'DB animal categories'!$C$221:$AC$230,27,FALSE)*AJ621,IF(AI621=4,('Calc (ex-animal)'!$O$115+'Calc (ex-animal)'!$N$115)*'Calc (ex-housing, ex-storage)'!F621/100*VLOOKUP(D621,'DB technologies'!$N$294:$Y$306,11,FALSE)/100/VLOOKUP($C$619,'DB animal categories'!$C$221:$AC$230,27,FALSE)*AJ621,0))))</f>
        <v/>
      </c>
      <c r="AR621" s="182" t="str">
        <f>IF(D621="","",IF(AI621=2,('Calc (ex-animal)'!$R$115*'Calc (ex-housing, ex-storage)'!F621/100+'Calc (ex-animal)'!$Q$115*'Calc (ex-housing, ex-storage)'!F621/100)/VLOOKUP($C$619,'DB animal categories'!$C$221:$AC$230,27,FALSE)*AJ621+Y621+Z621+AA621,IF(AI621=1,'Calc (ex-animal)'!$R$115*'Calc (ex-housing, ex-storage)'!F621/100/VLOOKUP($C$619,'DB animal categories'!$C$221:$AC$230,27,FALSE)*AJ621,IF(AI621=4,('Calc (ex-animal)'!$R$115+'Calc (ex-animal)'!$Q$115)*'Calc (ex-housing, ex-storage)'!F621/100*VLOOKUP(D621,'DB technologies'!$N$294:$Y$306,11,FALSE)/100/VLOOKUP($C$619,'DB animal categories'!$C$221:$AC$230,27,FALSE)*AJ621,0))))</f>
        <v/>
      </c>
      <c r="AS621" s="181" t="str">
        <f>IF(D621="","",VLOOKUP(D621,'DB technologies'!$N$294:$Y$306,10,FALSE))</f>
        <v/>
      </c>
      <c r="AT621" s="442" t="str">
        <f>IF(AS621="","",AU621+AV621)</f>
        <v/>
      </c>
      <c r="AU621" s="442" t="str">
        <f>IF(D621="","",IF(AS621=2,0,IF(AS621=1,'Calc (ex-animal)'!$G$115*'DB additional information '!$K$24/100*(1-VLOOKUP(D621,'DB technologies'!$N$294:$Y$306,8,FALSE)/100)*'Calc (ex-housing, ex-storage)'!F621/100/VLOOKUP($C$619,'DB animal categories'!$C$221:$AC$230,27,FALSE)*AJ621+I621+J621+K621,IF(AS621=5,(('Calc (ex-animal)'!$G$115*'DB additional information '!$K$24/100+'Calc (ex-animal)'!$H$115*'DB additional information '!$L$24/100))*(1-VLOOKUP(D621,'DB technologies'!$N$294:$Y$306,9,FALSE)/100)*'Calc (ex-housing, ex-storage)'!F621/100/VLOOKUP($C$619,'DB animal categories'!$C$221:$AC$230,27,FALSE)*AJ621+I621+J621+K621,IF(AS621=3,('Calc (ex-animal)'!$G$115*'DB additional information '!$K$24/100+'Calc (ex-animal)'!$H$115*'DB additional information '!$L$24/100)*(1-VLOOKUP(D621,'DB technologies'!$N$294:$Y$306,9,FALSE)/100)*'Calc (ex-housing, ex-storage)'!F621/100/VLOOKUP($C$619,'DB animal categories'!$C$221:$AC$230,27,FALSE)*AJ621+I621+J621+K621,IF(AS621=4,('Calc (ex-animal)'!$G$115*'DB additional information '!$K$24/100+'Calc (ex-animal)'!$H$115*'DB additional information '!$L$24/100)*(1-VLOOKUP(D621,'DB technologies'!$N$294:$Y$306,9,FALSE)/100)*'Calc (ex-housing, ex-storage)'!F621/100*VLOOKUP(D621,'DB technologies'!$N$294:$Y$306,12,FALSE)/100/VLOOKUP($C$619,'DB animal categories'!$C$221:$AC$230,27,FALSE)*AJ621+I621+J621+K621,0))))))</f>
        <v/>
      </c>
      <c r="AV621" s="442" t="str">
        <f>IF(D621="","",IF(AS621=2,0,IF(AS621=1,'Calc (ex-animal)'!$G$115*(1-'DB additional information '!$K$24/100)*(1-VLOOKUP(D621,'DB technologies'!$N$294:$Y$306,8,FALSE)/100)*'Calc (ex-housing, ex-storage)'!F621/100/VLOOKUP($C$619,'DB animal categories'!$C$221:$AC$230,27,FALSE)*AJ621+M621+N621+O621,IF(AS621=5,('Calc (ex-animal)'!$G$115*(1-'DB additional information '!$K$24/100)+'Calc (ex-animal)'!$H$115*(1-'DB additional information '!$L$24/100))*(1-VLOOKUP(D621,'DB technologies'!$N$294:$Y$306,8,FALSE)/100)*'Calc (ex-housing, ex-storage)'!F621/100/VLOOKUP($C$619,'DB animal categories'!$C$221:$AC$230,27,FALSE)*AJ621+M621+N621+O621,IF(AS621=3,('Calc (ex-animal)'!$G$115*(1-'DB additional information '!$K$24/100)+'Calc (ex-animal)'!$H$115*(1-'DB additional information '!$L$24/100))*(1-VLOOKUP(D621,'DB technologies'!$N$294:$Y$306,8,FALSE)/100)*'Calc (ex-housing, ex-storage)'!F621/100/VLOOKUP($C$619,'DB animal categories'!$C$221:$AC$230,27,FALSE)*AJ621+M621+N621+O621,IF(AS621=4,('Calc (ex-animal)'!$G$115*(1-'DB additional information '!$K$24/100)+'Calc (ex-animal)'!$H$115*(1-'DB additional information '!$L$24/100))*(1-VLOOKUP(D621,'DB technologies'!$N$294:$Y$306,8,FALSE)/100)*'Calc (ex-housing, ex-storage)'!F621/100*VLOOKUP(D621,'DB technologies'!$N$294:$Y$306,12,FALSE)/100/VLOOKUP($C$619,'DB animal categories'!$C$221:$AC$230,27,FALSE)*AJ621+M621+N621+O621,0))))))</f>
        <v/>
      </c>
      <c r="AW621" s="442" t="str">
        <f>IF(AS621="","",IF(AU621=0,0,AU621/AT621*100))</f>
        <v/>
      </c>
      <c r="AX621" s="182" t="str">
        <f>IF(D621="","",IF(AS621=2,0,IF(AS621=1,'Calc (ex-animal)'!$K$115*'Calc (ex-housing, ex-storage)'!F621/100/VLOOKUP($C$619,'DB animal categories'!$C$221:$AC$230,27,FALSE)*AJ621+Q621+R621+S621,IF(AS621=5,('Calc (ex-animal)'!$K$115+'Calc (ex-animal)'!$L$115)*'Calc (ex-housing, ex-storage)'!F621/100/VLOOKUP($C$619,'DB animal categories'!$C$221:$AC$230,27,FALSE)*AJ621+Q621+R621+S621-'Calc (ex-housing, ex-storage)'!AC621,IF(AS621=3,('Calc (ex-animal)'!$K$115+'Calc (ex-animal)'!$L$115)*'Calc (ex-housing, ex-storage)'!F621/100/VLOOKUP($C$619,'DB animal categories'!$C$221:$AC$230,27,FALSE)*AJ621+Q621+R621+S621-'Calc (ex-housing, ex-storage)'!AC621-AD621-AE621,IF(AI621=4,('Calc (ex-animal)'!$K$115+'Calc (ex-animal)'!$L$115)*'Calc (ex-housing, ex-storage)'!F621/100*VLOOKUP(D621,'DB technologies'!$N$294:$Y$306,12,FALSE)/100/VLOOKUP($C$619,'DB animal categories'!$C$221:$AC$230,27,FALSE)*AJ621+Q621+R621+S621-(VLOOKUP(D621,'DB technologies'!$N$294:$Y$306,12,FALSE)/100*AC621)-AD621-AE621,0))))))</f>
        <v/>
      </c>
      <c r="AY621" s="182" t="str">
        <f>IF(D621="","",IF(AS621=2,0,IF(AS621=1,'Calc (ex-animal)'!$N$115*'Calc (ex-housing, ex-storage)'!F621/100/VLOOKUP($C$619,'DB animal categories'!$C$221:$AC$230,27,FALSE)*AJ621+U621+V621+W621,IF(AS621=5,('Calc (ex-animal)'!$N$115+'Calc (ex-animal)'!$O$115)*'Calc (ex-housing, ex-storage)'!F621/100/VLOOKUP($C$619,'DB animal categories'!$C$221:$AC$230,27,FALSE)*AJ621+U621+V621+W621,IF(AS621=3,('Calc (ex-animal)'!$N$115+'Calc (ex-animal)'!$O$115)*'Calc (ex-housing, ex-storage)'!F621/100/VLOOKUP($C$619,'DB animal categories'!$C$221:$AC$230,27,FALSE)*AJ621+U621+V621+W621,IF(AS621=4,('Calc (ex-animal)'!$N$115+'Calc (ex-animal)'!$O$115)*'Calc (ex-housing, ex-storage)'!F621/100*VLOOKUP(D621,'DB technologies'!$N$294:$Y$306,12,FALSE)/100/VLOOKUP($C$619,'DB animal categories'!$C$221:$AC$230,27,FALSE)*AJ621+U621+V621+W621,0))))))</f>
        <v/>
      </c>
      <c r="AZ621" s="182" t="str">
        <f>IF(D621="","",IF(AS621=2,0,IF(AS621=1,'Calc (ex-animal)'!$Q$115*'Calc (ex-housing, ex-storage)'!F621/100/VLOOKUP($C$619,'DB animal categories'!$C$221:$AC$230,27,FALSE)*AJ621+Y621+Z621+AA621,IF(AS621=5,('Calc (ex-animal)'!$Q$115+'Calc (ex-animal)'!$R$115)*'Calc (ex-housing, ex-storage)'!F621/100/VLOOKUP($C$619,'DB animal categories'!$C$221:$AC$230,27,FALSE)*AJ621+Y621+Z621+AA621,IF(AS621=3,('Calc (ex-animal)'!$Q$115+'Calc (ex-animal)'!$R$115)*'Calc (ex-housing, ex-storage)'!F621/100/VLOOKUP($C$619,'DB animal categories'!$C$221:$AC$230,27,FALSE)*AJ621+Y621+Z621+AA621,IF(AS621=4,('Calc (ex-animal)'!$Q$115+'Calc (ex-animal)'!$R$115)*'Calc (ex-housing, ex-storage)'!F621/100*VLOOKUP(D621,'DB technologies'!$N$294:$Y$306,12,FALSE)/100/VLOOKUP($C$619,'DB animal categories'!$C$221:$AC$230,27,FALSE)*AJ621+Y621+Z621+AA621,0))))))</f>
        <v/>
      </c>
      <c r="BA621" s="506"/>
      <c r="BB621" s="506"/>
      <c r="BC621" s="506"/>
    </row>
    <row r="622" spans="1:55" x14ac:dyDescent="0.2">
      <c r="A622" s="748"/>
      <c r="B622" s="695"/>
      <c r="C622" s="251"/>
      <c r="D622" s="1357"/>
      <c r="E622" s="1399"/>
      <c r="F622" s="480" t="str">
        <f>IF('Calc (ex-animal)'!$F$113=1,"",IF($C$619=0,"",IF(D622="","",E622/'Calc (ex-animal)'!$E$115*100)))</f>
        <v/>
      </c>
      <c r="G622" s="485" t="str">
        <f>IF($C$619=0,"",IF('Calc (ex-animal)'!$F$113=1,"",IF(D622="","",SUM(H622:O622))))</f>
        <v/>
      </c>
      <c r="H622" s="423" t="str">
        <f>IF('Calc (ex-animal)'!$F$113=1,"",IF(D622="","",(((VLOOKUP($C$619,'Calc (ex-animal)'!$D$113:$Y$117,6,FALSE)-VLOOKUP($C$619,'Calc (ex-animal)'!$D$113:$Y$117,17,FALSE))*F622/100))*VLOOKUP($C$619,'Calc (ex-animal)'!$D$113:$Y$117,7,FALSE)/100*(1-VLOOKUP(D622,'DB technologies'!$N$294:$Y$306,9,FALSE)/100)))</f>
        <v/>
      </c>
      <c r="I622" s="423" t="str">
        <f>IF(D622="","",((VLOOKUP(D622,'DB technologies'!$N$294:$Y$306,2,FALSE)*VLOOKUP($C$619,'DB animal categories'!$C$221:$AC$230,27,FALSE)*E622/1000)/VLOOKUP($C$619,'DB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'!$S$6/100*(1-VLOOKUP(D622,'DB technologies'!$N$294:$Y$306,9,FALSE)/100)))</f>
        <v/>
      </c>
      <c r="J622" s="434" t="str">
        <f>IF(D622="","",((VLOOKUP(D622,'DB technologies'!$N$294:$Y$306,3,FALSE)*VLOOKUP($C$619,'DB animal categories'!$C$221:$AC$230,27,FALSE)*E622/1000)/VLOOKUP($C$619,'DB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'!$S$7/100*(1-VLOOKUP(D622,'DB technologies'!$N$294:$Y$306,9,FALSE)/100)))</f>
        <v/>
      </c>
      <c r="K622" s="434" t="str">
        <f>IF(D622="","",((VLOOKUP(D622,'DB technologies'!$N$294:$Y$306,4,FALSE)*E622*'DB additional information '!$S$8/100*(1-VLOOKUP(D622,'DB technologies'!$N$294:$Y$306,9,FALSE)/100))/VLOOKUP($C$619,'DB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L622" s="423" t="str">
        <f>IF('Calc (ex-animal)'!$F$113=1,"",IF(D622="","",(((VLOOKUP($C$619,'Calc (ex-animal)'!$D$113:$Y$117,6,FALSE)-VLOOKUP($C$619,'Calc (ex-animal)'!$D$113:$Y$117,17,FALSE))*F622/100))*(1-VLOOKUP($C$619,'Calc (ex-animal)'!$D$113:$Y$117,7,FALSE)/100)*(1-VLOOKUP(D622,'DB technologies'!$N$294:$V$306,8,FALSE)/100)))</f>
        <v/>
      </c>
      <c r="M622" s="434" t="str">
        <f>IF(D622="","",((VLOOKUP(D622,'DB technologies'!$N$294:$Y$306,2,FALSE)*VLOOKUP($C$619,'DB animal categories'!$C$221:$AC$230,27,FALSE)*E622/1000)/VLOOKUP($C$619,'DB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'!$S$6/100)*(1-VLOOKUP(D622,'DB technologies'!$N$294:$Y$306,9,FALSE)/100))</f>
        <v/>
      </c>
      <c r="N622" s="434" t="str">
        <f>IF(D622="","",((VLOOKUP(D622,'DB technologies'!$N$294:$Y$306,3,FALSE)*VLOOKUP($C$619,'DB animal categories'!$C$221:$AC$230,27,FALSE)*E622/1000)/VLOOKUP($C$619,'DB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'!$S$7/100)*(1-VLOOKUP(D622,'DB technologies'!$N$294:$Y$306,9,FALSE)/100))</f>
        <v/>
      </c>
      <c r="O622" s="423" t="str">
        <f>IF(D622="","",((VLOOKUP(D622,'DB technologies'!$N$294:$Y$306,4,FALSE)*E622*(1-'DB additional information '!$S$8/100)*(1-VLOOKUP(D622,'DB technologies'!$N$294:$Y$306,8,FALSE)/100))/VLOOKUP($C$619,'DB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P622" s="438" t="str">
        <f>IF(G622=0,0,IF(E622="","",IF(F622="","",IF($C$619=0,"",IF(D622="","",SUM(H622:K622)/G622*100)))))</f>
        <v/>
      </c>
      <c r="Q622" s="416" t="str">
        <f>IF(D622="","",(VLOOKUP(D622,'DB technologies'!$N$294:$Y$306,2,FALSE)*'DB additional information '!$S$6/100*'DB additional information '!$T$6*VLOOKUP($C$619,'DB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R622" s="416" t="str">
        <f>IF(D622="","",(VLOOKUP(D622,'DB technologies'!$N$294:$Y$306,3,FALSE)*'DB additional information '!$S$7/100*'DB additional information '!$T$7*VLOOKUP($C$619,'DB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S622" s="491" t="str">
        <f>IF(D622="","",(VLOOKUP(D622,'DB technologies'!$N$294:$Y$306,4,FALSE)*('DB additional information '!$S$8/100*'DB additional information '!$T$8*E622/1000/1000)))</f>
        <v/>
      </c>
      <c r="T622" s="264" t="str">
        <f>IF($C$619=0,"",IF('Calc (ex-animal)'!$F$113=1,"",IF(D622="","",((VLOOKUP($C$619,'Calc (ex-animal)'!$D$113:$Y$117,10,FALSE)-VLOOKUP($C$619,'Calc (ex-animal)'!$D$113:$Y$117,18,FALSE))*F622/100+Q622+R622+S622)-AC622-AD622-AE622)))</f>
        <v/>
      </c>
      <c r="U622" s="422" t="str">
        <f>IF(D622="","",(VLOOKUP(D622,'DB technologies'!$N$294:$Y$306,2,FALSE)*'DB additional information '!$S$6/100*'DB additional information '!$U$6*VLOOKUP($C$619,'DB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V622" s="418" t="str">
        <f>IF(D622="","",(VLOOKUP(D622,'DB technologies'!$N$294:$Y$306,3,FALSE)*'DB additional information '!$S$7/100*'DB additional information '!$U$7*VLOOKUP($C$619,'DB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W622" s="417" t="str">
        <f>IF(D622="","",(VLOOKUP(D622,'DB technologies'!$N$294:$Y$306,4,FALSE)*('DB additional information '!$S$8/100*'DB additional information '!$U$8*E622/1000/1000)))</f>
        <v/>
      </c>
      <c r="X622" s="261" t="str">
        <f>IF($C$619=0,"",IF('Calc (ex-animal)'!$F$113=1,"",IF(D622="","",((VLOOKUP($C$619,'Calc (ex-animal)'!$D$113:$Y$117,13,FALSE)-VLOOKUP($C$619,'Calc (ex-animal)'!$D$113:$Y$117,19,FALSE))*F622/100+U622+V622+W622))))</f>
        <v/>
      </c>
      <c r="Y622" s="418" t="str">
        <f>IF(D622="","",(VLOOKUP(D622,'DB technologies'!$N$294:$Y$306,2,FALSE)*'DB additional information '!$S$6/100*'DB additional information '!$V$6*VLOOKUP($C$619,'DB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Z622" s="418" t="str">
        <f>IF(D622="","",(VLOOKUP(D622,'DB technologies'!$N$294:$Y$306,3,FALSE)*'DB additional information '!$S$7/100*'DB additional information '!$V$7*VLOOKUP($C$619,'DB animal categories'!$C$221:$AC$230,27,FALSE)*E622/1000/1000)/VLOOKUP($C$619,'DB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AA622" s="418" t="str">
        <f>IF(D622="","",(VLOOKUP(D622,'DB technologies'!$N$294:$Y$306,4,FALSE)*('DB additional information '!$S$8/100*'DB additional information '!$V$8*E622/1000/1000)))</f>
        <v/>
      </c>
      <c r="AB622" s="261" t="str">
        <f>IF($C$619=0,"",IF('Calc (ex-animal)'!$F$113=1,"",IF(D622="","",((VLOOKUP($C$619,'Calc (ex-animal)'!$D$113:$Y$117,16,FALSE)-VLOOKUP($C$619,'Calc (ex-animal)'!$D$113:$Y$117,20,FALSE))*F622/100+Y622+Z622+AA622))))</f>
        <v/>
      </c>
      <c r="AC622" s="261" t="str">
        <f>IF($C$619=0,"",IF('Calc (ex-animal)'!$F$113=1,"",IF(D622="","",VLOOKUP($C$619,'Calc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categories'!$C$221:$AC$230,26,FALSE)/24)*F622/100*VLOOKUP(D622,'DB technologies'!$N$294:$R$306,5,FALSE)/100)))</f>
        <v/>
      </c>
      <c r="AD622" s="261" t="str">
        <f>IF($C$619=0,"",IF('Calc (ex-animal)'!$F$113=1,"",IF(D622="","",VLOOKUP($C$619,'Calc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categories'!$C$221:$AC$230,26,FALSE)/24)*F622/100*VLOOKUP(D622,'DB technologies'!$N$294:$Y$306,6,FALSE)/100)))</f>
        <v/>
      </c>
      <c r="AE622" s="262" t="str">
        <f>IF($C$619=0,"",IF('Calc (ex-animal)'!$F$113=1,"",IF(D622="","",VLOOKUP($C$619,'Calc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categories'!$C$221:$AC$230,26,FALSE)/24)*F622/100*VLOOKUP(D622,'DB technologies'!$N$294:$Y$306,7,FALSE)/100)))</f>
        <v/>
      </c>
      <c r="AI622" s="181" t="str">
        <f>IF(D622="","",VLOOKUP(D622,'DB technologies'!$N$294:$Y$306,10,FALSE))</f>
        <v/>
      </c>
      <c r="AJ622" s="449" t="e">
        <f>VLOOKUP($C$619,'DB animal categories'!$C$221:$AN$230,27,FALSE)-VLOOKUP($C$619,'DB animal categories'!$C$221:$AN$230,26,FALSE)*VLOOKUP($C$619,'DB animal categories'!$C$221:$AN$230,25,FALSE)/24</f>
        <v>#N/A</v>
      </c>
      <c r="AK622" s="442" t="str">
        <f>IF(AI622="","",AL622+AM622)</f>
        <v/>
      </c>
      <c r="AL622" s="442" t="str">
        <f>IF(D622="","",IF(AI622=2,(('Calc (ex-animal)'!$G$115*'DB additional information '!$K$24/100*(1-VLOOKUP(D622,'DB technologies'!$N$294:$Y$306,9,FALSE)/100)*'Calc (ex-housing, ex-storage)'!F622/100+'Calc (ex-animal)'!$H$115*'DB additional information '!$L$24/100*(1-VLOOKUP(D622,'DB technologies'!$N$294:$Y$306,9,FALSE)/100)*'Calc (ex-housing, ex-storage)'!F622/100))/VLOOKUP($C$619,'DB animal categories'!$C$221:$AC$230,27,FALSE)*AJ622+I622+J622+K622,IF(AI622=1,('Calc (ex-animal)'!$H$115*'DB additional information '!$L$24/100*(1-VLOOKUP(D622,'DB technologies'!$N$294:$Y$306,9,FALSE)/100)*'Calc (ex-housing, ex-storage)'!F622/100)/VLOOKUP($C$619,'DB animal categories'!$C$221:$AC$230,27,FALSE)*AJ622,IF(AI622=4,('Calc (ex-animal)'!$G$115*'DB additional information '!$K$24/100+'Calc (ex-animal)'!$H$115*'DB additional information '!$L$24/100)*(1-VLOOKUP(D622,'DB technologies'!$N$294:$Y$306,9,FALSE)/100)*'Calc (ex-housing, ex-storage)'!F622/100*VLOOKUP(D622,'DB technologies'!$N$294:$Y$306,11,FALSE)/100/VLOOKUP($C$619,'DB animal categories'!$C$221:$AC$230,27,FALSE)*AJ622,0))))</f>
        <v/>
      </c>
      <c r="AM622" s="442" t="str">
        <f>IF(D622="","",IF(AI622=2,(('Calc (ex-animal)'!$G$115*(1-'DB additional information '!$K$24/100)*(1-VLOOKUP(D622,'DB technologies'!$N$294:$Y$306,8,FALSE)/100)*'Calc (ex-housing, ex-storage)'!F622/100+'Calc (ex-animal)'!$H$115*(1-'DB additional information '!$L$24/100)*(1-VLOOKUP(D622,'DB technologies'!$N$294:$Y$306,8,FALSE)/100)*'Calc (ex-housing, ex-storage)'!F622/100))/VLOOKUP($C$619,'DB animal categories'!$C$221:$AC$230,27,FALSE)*AJ622+M622+N622+O622,IF(AI622=1,('Calc (ex-animal)'!$H$115*(1-'DB additional information '!$L$24/100)*(1-VLOOKUP(D622,'DB technologies'!$N$294:$Y$306,8,FALSE)/100)*'Calc (ex-housing, ex-storage)'!F622/100)/VLOOKUP($C$619,'DB animal categories'!$C$221:$AC$230,27,FALSE)*AJ622,IF(AI622=4,('Calc (ex-animal)'!$G$115*(1-'DB additional information '!$K$24/100)+'Calc (ex-animal)'!$H$115*(1-'DB additional information '!$L$24/100))*(1-VLOOKUP(D622,'DB technologies'!$N$294:$Y$306,8,FALSE)/100)*'Calc (ex-housing, ex-storage)'!F622/100*VLOOKUP(D622,'DB technologies'!$N$294:$Y$306,11,FALSE)/100/VLOOKUP($C$619,'DB animal categories'!$C$221:$AC$230,27,FALSE)*AJ622,0))))</f>
        <v/>
      </c>
      <c r="AN622" s="442" t="str">
        <f>IF(AI622="","",IF(AL622=0,0,AL622/AK622*100))</f>
        <v/>
      </c>
      <c r="AO622" s="182" t="str">
        <f>IF(D622="","",IF(AI622=2,(('Calc (ex-animal)'!$L$115*'Calc (ex-housing, ex-storage)'!F622/100+'Calc (ex-animal)'!$K$115*'Calc (ex-housing, ex-storage)'!F622/100))/VLOOKUP($C$619,'DB animal categories'!$C$221:$AC$230,27,FALSE)*AJ622+Q622+R622+S622-AC622,IF(AI622=1,('Calc (ex-animal)'!$L$115*'Calc (ex-housing, ex-storage)'!F622/100)/VLOOKUP($C$619,'DB animal categories'!$C$221:$AC$230,27,FALSE)*AJ622-'Calc (ex-housing, ex-storage)'!AC622,IF(AI622=4,('Calc (ex-animal)'!$L$115+'Calc (ex-animal)'!$K$115)*'Calc (ex-housing, ex-storage)'!F622/100*VLOOKUP(D622,'DB technologies'!$N$294:$Y$306,11,FALSE)/100/VLOOKUP($C$619,'DB animal categories'!$C$221:$AC$230,27,FALSE)*AJ622-AC622*VLOOKUP(D622,'DB technologies'!$N$294:$Y$306,11,FALSE)/100,0))))</f>
        <v/>
      </c>
      <c r="AP622" s="182" t="str">
        <f>IF(D622="","",IF(AO622&lt;-0.01,0,IF(AI622=2,(('Calc (ex-animal)'!$L$115*'Calc (ex-housing, ex-storage)'!F622/100+'Calc (ex-animal)'!$K$115*'Calc (ex-housing, ex-storage)'!F622/100))/VLOOKUP($C$619,'DB animal categories'!$C$221:$AC$230,27,FALSE)*AJ622+Q622+R622+S622-AC622,IF(AI622=1,('Calc (ex-animal)'!$L$115*'Calc (ex-housing, ex-storage)'!F622/100)/VLOOKUP($C$619,'DB animal categories'!$C$221:$AC$230,27,FALSE)*AJ622-'Calc (ex-housing, ex-storage)'!AC622,IF(AI622=4,('Calc (ex-animal)'!$L$115+'Calc (ex-animal)'!$K$115)*'Calc (ex-housing, ex-storage)'!F622/100*VLOOKUP(D622,'DB technologies'!$N$294:$Y$306,11,FALSE)/100/VLOOKUP($C$619,'DB animal categories'!$C$221:$AC$230,27,FALSE)*AJ622-AC622*VLOOKUP(D622,'DB technologies'!$N$294:$Y$306,11,FALSE)/100,0)))))</f>
        <v/>
      </c>
      <c r="AQ622" s="182" t="str">
        <f>IF(D622="","",IF(AI622=2,('Calc (ex-animal)'!$O$115*'Calc (ex-housing, ex-storage)'!F622/100+'Calc (ex-animal)'!$N$115*'Calc (ex-housing, ex-storage)'!F622/100)/VLOOKUP($C$619,'DB animal categories'!$C$221:$AC$230,27,FALSE)*AJ622+U622+V622+W622,IF(AI622=1,'Calc (ex-animal)'!$O$115*'Calc (ex-housing, ex-storage)'!F622/100/VLOOKUP($C$619,'DB animal categories'!$C$221:$AC$230,27,FALSE)*AJ622,IF(AI622=4,('Calc (ex-animal)'!$O$115+'Calc (ex-animal)'!$N$115)*'Calc (ex-housing, ex-storage)'!F622/100*VLOOKUP(D622,'DB technologies'!$N$294:$Y$306,11,FALSE)/100/VLOOKUP($C$619,'DB animal categories'!$C$221:$AC$230,27,FALSE)*AJ622,0))))</f>
        <v/>
      </c>
      <c r="AR622" s="182" t="str">
        <f>IF(D622="","",IF(AI622=2,('Calc (ex-animal)'!$R$115*'Calc (ex-housing, ex-storage)'!F622/100+'Calc (ex-animal)'!$Q$115*'Calc (ex-housing, ex-storage)'!F622/100)/VLOOKUP($C$619,'DB animal categories'!$C$221:$AC$230,27,FALSE)*AJ622+Y622+Z622+AA622,IF(AI622=1,'Calc (ex-animal)'!$R$115*'Calc (ex-housing, ex-storage)'!F622/100/VLOOKUP($C$619,'DB animal categories'!$C$221:$AC$230,27,FALSE)*AJ622,IF(AI622=4,('Calc (ex-animal)'!$R$115+'Calc (ex-animal)'!$Q$115)*'Calc (ex-housing, ex-storage)'!F622/100*VLOOKUP(D622,'DB technologies'!$N$294:$Y$306,11,FALSE)/100/VLOOKUP($C$619,'DB animal categories'!$C$221:$AC$230,27,FALSE)*AJ622,0))))</f>
        <v/>
      </c>
      <c r="AS622" s="181" t="str">
        <f>IF(D622="","",VLOOKUP(D622,'DB technologies'!$N$294:$Y$306,10,FALSE))</f>
        <v/>
      </c>
      <c r="AT622" s="442" t="str">
        <f>IF(AS622="","",AU622+AV622)</f>
        <v/>
      </c>
      <c r="AU622" s="442" t="str">
        <f>IF(D622="","",IF(AS622=2,0,IF(AS622=1,'Calc (ex-animal)'!$G$115*'DB additional information '!$K$24/100*(1-VLOOKUP(D622,'DB technologies'!$N$294:$Y$306,8,FALSE)/100)*'Calc (ex-housing, ex-storage)'!F622/100/VLOOKUP($C$619,'DB animal categories'!$C$221:$AC$230,27,FALSE)*AJ622+I622+J622+K622,IF(AS622=5,(('Calc (ex-animal)'!$G$115*'DB additional information '!$K$24/100+'Calc (ex-animal)'!$H$115*'DB additional information '!$L$24/100))*(1-VLOOKUP(D622,'DB technologies'!$N$294:$Y$306,9,FALSE)/100)*'Calc (ex-housing, ex-storage)'!F622/100/VLOOKUP($C$619,'DB animal categories'!$C$221:$AC$230,27,FALSE)*AJ622+I622+J622+K622,IF(AS622=3,('Calc (ex-animal)'!$G$115*'DB additional information '!$K$24/100+'Calc (ex-animal)'!$H$115*'DB additional information '!$L$24/100)*(1-VLOOKUP(D622,'DB technologies'!$N$294:$Y$306,9,FALSE)/100)*'Calc (ex-housing, ex-storage)'!F622/100/VLOOKUP($C$619,'DB animal categories'!$C$221:$AC$230,27,FALSE)*AJ622+I622+J622+K622,IF(AS622=4,('Calc (ex-animal)'!$G$115*'DB additional information '!$K$24/100+'Calc (ex-animal)'!$H$115*'DB additional information '!$L$24/100)*(1-VLOOKUP(D622,'DB technologies'!$N$294:$Y$306,9,FALSE)/100)*'Calc (ex-housing, ex-storage)'!F622/100*VLOOKUP(D622,'DB technologies'!$N$294:$Y$306,12,FALSE)/100/VLOOKUP($C$619,'DB animal categories'!$C$221:$AC$230,27,FALSE)*AJ622+I622+J622+K622,0))))))</f>
        <v/>
      </c>
      <c r="AV622" s="442" t="str">
        <f>IF(D622="","",IF(AS622=2,0,IF(AS622=1,'Calc (ex-animal)'!$G$115*(1-'DB additional information '!$K$24/100)*(1-VLOOKUP(D622,'DB technologies'!$N$294:$Y$306,8,FALSE)/100)*'Calc (ex-housing, ex-storage)'!F622/100/VLOOKUP($C$619,'DB animal categories'!$C$221:$AC$230,27,FALSE)*AJ622+M622+N622+O622,IF(AS622=5,('Calc (ex-animal)'!$G$115*(1-'DB additional information '!$K$24/100)+'Calc (ex-animal)'!$H$115*(1-'DB additional information '!$L$24/100))*(1-VLOOKUP(D622,'DB technologies'!$N$294:$Y$306,8,FALSE)/100)*'Calc (ex-housing, ex-storage)'!F622/100/VLOOKUP($C$619,'DB animal categories'!$C$221:$AC$230,27,FALSE)*AJ622+M622+N622+O622,IF(AS622=3,('Calc (ex-animal)'!$G$115*(1-'DB additional information '!$K$24/100)+'Calc (ex-animal)'!$H$115*(1-'DB additional information '!$L$24/100))*(1-VLOOKUP(D622,'DB technologies'!$N$294:$Y$306,8,FALSE)/100)*'Calc (ex-housing, ex-storage)'!F622/100/VLOOKUP($C$619,'DB animal categories'!$C$221:$AC$230,27,FALSE)*AJ622+M622+N622+O622,IF(AS622=4,('Calc (ex-animal)'!$G$115*(1-'DB additional information '!$K$24/100)+'Calc (ex-animal)'!$H$115*(1-'DB additional information '!$L$24/100))*(1-VLOOKUP(D622,'DB technologies'!$N$294:$Y$306,8,FALSE)/100)*'Calc (ex-housing, ex-storage)'!F622/100*VLOOKUP(D622,'DB technologies'!$N$294:$Y$306,12,FALSE)/100/VLOOKUP($C$619,'DB animal categories'!$C$221:$AC$230,27,FALSE)*AJ622+M622+N622+O622,0))))))</f>
        <v/>
      </c>
      <c r="AW622" s="442" t="str">
        <f>IF(AS622="","",IF(AU622=0,0,AU622/AT622*100))</f>
        <v/>
      </c>
      <c r="AX622" s="182" t="str">
        <f>IF(D622="","",IF(AS622=2,0,IF(AS622=1,'Calc (ex-animal)'!$K$115*'Calc (ex-housing, ex-storage)'!F622/100/VLOOKUP($C$619,'DB animal categories'!$C$221:$AC$230,27,FALSE)*AJ622+Q622+R622+S622,IF(AS622=5,('Calc (ex-animal)'!$K$115+'Calc (ex-animal)'!$L$115)*'Calc (ex-housing, ex-storage)'!F622/100/VLOOKUP($C$619,'DB animal categories'!$C$221:$AC$230,27,FALSE)*AJ622+Q622+R622+S622-'Calc (ex-housing, ex-storage)'!AC622,IF(AS622=3,('Calc (ex-animal)'!$K$115+'Calc (ex-animal)'!$L$115)*'Calc (ex-housing, ex-storage)'!F622/100/VLOOKUP($C$619,'DB animal categories'!$C$221:$AC$230,27,FALSE)*AJ622+Q622+R622+S622-'Calc (ex-housing, ex-storage)'!AC622-AD622-AE622,IF(AI622=4,('Calc (ex-animal)'!$K$115+'Calc (ex-animal)'!$L$115)*'Calc (ex-housing, ex-storage)'!F622/100*VLOOKUP(D622,'DB technologies'!$N$294:$Y$306,12,FALSE)/100/VLOOKUP($C$619,'DB animal categories'!$C$221:$AC$230,27,FALSE)*AJ622+Q622+R622+S622-(VLOOKUP(D622,'DB technologies'!$N$294:$Y$306,12,FALSE)/100*AC622)-AD622-AE622,0))))))</f>
        <v/>
      </c>
      <c r="AY622" s="182" t="str">
        <f>IF(D622="","",IF(AS622=2,0,IF(AS622=1,'Calc (ex-animal)'!$N$115*'Calc (ex-housing, ex-storage)'!F622/100/VLOOKUP($C$619,'DB animal categories'!$C$221:$AC$230,27,FALSE)*AJ622+U622+V622+W622,IF(AS622=5,('Calc (ex-animal)'!$N$115+'Calc (ex-animal)'!$O$115)*'Calc (ex-housing, ex-storage)'!F622/100/VLOOKUP($C$619,'DB animal categories'!$C$221:$AC$230,27,FALSE)*AJ622+U622+V622+W622,IF(AS622=3,('Calc (ex-animal)'!$N$115+'Calc (ex-animal)'!$O$115)*'Calc (ex-housing, ex-storage)'!F622/100/VLOOKUP($C$619,'DB animal categories'!$C$221:$AC$230,27,FALSE)*AJ622+U622+V622+W622,IF(AS622=4,('Calc (ex-animal)'!$N$115+'Calc (ex-animal)'!$O$115)*'Calc (ex-housing, ex-storage)'!F622/100*VLOOKUP(D622,'DB technologies'!$N$294:$Y$306,12,FALSE)/100/VLOOKUP($C$619,'DB animal categories'!$C$221:$AC$230,27,FALSE)*AJ622+U622+V622+W622,0))))))</f>
        <v/>
      </c>
      <c r="AZ622" s="182" t="str">
        <f>IF(D622="","",IF(AS622=2,0,IF(AS622=1,'Calc (ex-animal)'!$Q$115*'Calc (ex-housing, ex-storage)'!F622/100/VLOOKUP($C$619,'DB animal categories'!$C$221:$AC$230,27,FALSE)*AJ622+Y622+Z622+AA622,IF(AS622=5,('Calc (ex-animal)'!$Q$115+'Calc (ex-animal)'!$R$115)*'Calc (ex-housing, ex-storage)'!F622/100/VLOOKUP($C$619,'DB animal categories'!$C$221:$AC$230,27,FALSE)*AJ622+Y622+Z622+AA622,IF(AS622=3,('Calc (ex-animal)'!$Q$115+'Calc (ex-animal)'!$R$115)*'Calc (ex-housing, ex-storage)'!F622/100/VLOOKUP($C$619,'DB animal categories'!$C$221:$AC$230,27,FALSE)*AJ622+Y622+Z622+AA622,IF(AS622=4,('Calc (ex-animal)'!$Q$115+'Calc (ex-animal)'!$R$115)*'Calc (ex-housing, ex-storage)'!F622/100*VLOOKUP(D622,'DB technologies'!$N$294:$Y$306,12,FALSE)/100/VLOOKUP($C$619,'DB animal categories'!$C$221:$AC$230,27,FALSE)*AJ622+Y622+Z622+AA622,0))))))</f>
        <v/>
      </c>
      <c r="BA622" s="506"/>
      <c r="BB622" s="506"/>
      <c r="BC622" s="506"/>
    </row>
    <row r="623" spans="1:55" ht="12" thickBot="1" x14ac:dyDescent="0.25">
      <c r="A623" s="748"/>
      <c r="B623" s="695"/>
      <c r="C623" s="251"/>
      <c r="D623" s="1359"/>
      <c r="E623" s="1400"/>
      <c r="F623" s="481" t="str">
        <f>IF('Calc (ex-animal)'!$F$113=1,"",IF($C$619=0,"",IF(D623="","",E623/'Calc (ex-animal)'!$E$115*100)))</f>
        <v/>
      </c>
      <c r="G623" s="483" t="str">
        <f>IF($C$619=0,"",IF('Calc (ex-animal)'!$F$113=1,"",IF(D623="","",SUM(H623:O623))))</f>
        <v/>
      </c>
      <c r="H623" s="445" t="str">
        <f>IF('Calc (ex-animal)'!$F$113=1,"",IF(D623="","",(((VLOOKUP($C$619,'Calc (ex-animal)'!$D$113:$Y$117,6,FALSE)-VLOOKUP($C$619,'Calc (ex-animal)'!$D$113:$Y$117,17,FALSE))*F623/100))*VLOOKUP($C$619,'Calc (ex-animal)'!$D$113:$Y$117,7,FALSE)/100*(1-VLOOKUP(D623,'DB technologies'!$N$294:$Y$306,9,FALSE)/100)))</f>
        <v/>
      </c>
      <c r="I623" s="445" t="str">
        <f>IF(D623="","",((VLOOKUP(D623,'DB technologies'!$N$294:$Y$306,2,FALSE)*VLOOKUP($C$619,'DB animal categories'!$C$221:$AC$230,27,FALSE)*E623/1000)/VLOOKUP($C$619,'DB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'!$S$6/100*(1-VLOOKUP(D623,'DB technologies'!$N$294:$Y$306,9,FALSE)/100)))</f>
        <v/>
      </c>
      <c r="J623" s="446" t="str">
        <f>IF(D623="","",((VLOOKUP(D623,'DB technologies'!$N$294:$Y$306,3,FALSE)*VLOOKUP($C$619,'DB animal categories'!$C$221:$AC$230,27,FALSE)*E623/1000)/VLOOKUP($C$619,'DB animal categories'!$C$221:$AC$230,27,FALSE)*(VLOOKUP($C$619,'DB animal categories'!$C$221:$AC$230,27,FALSE)-(VLOOKUP($C$619,'DB animal categories'!$C$221:$AC$230,25,FALSE)*VLOOKUP($C$619,'DB animal categories'!$C$221:$AC$230,26,FALSE)/24))*'DB additional information '!$S$7/100*(1-VLOOKUP(D623,'DB technologies'!$N$294:$Y$306,9,FALSE)/100)))</f>
        <v/>
      </c>
      <c r="K623" s="446" t="str">
        <f>IF(D623="","",((VLOOKUP(D623,'DB technologies'!$N$294:$Y$306,4,FALSE)*E623*'DB additional information '!$S$8/100*(1-VLOOKUP(D623,'DB technologies'!$N$294:$Y$306,9,FALSE)/100))/VLOOKUP($C$619,'DB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L623" s="445" t="str">
        <f>IF('Calc (ex-animal)'!$F$113=1,"",IF(D623="","",(((VLOOKUP($C$619,'Calc (ex-animal)'!$D$113:$Y$117,6,FALSE)-VLOOKUP($C$619,'Calc (ex-animal)'!$D$113:$Y$117,17,FALSE))*F623/100))*(1-VLOOKUP($C$619,'Calc (ex-animal)'!$D$113:$Y$117,7,FALSE)/100)*(1-VLOOKUP(D623,'DB technologies'!$N$294:$V$306,8,FALSE)/100)))</f>
        <v/>
      </c>
      <c r="M623" s="446" t="str">
        <f>IF(D623="","",((VLOOKUP(D623,'DB technologies'!$N$294:$Y$306,2,FALSE)*VLOOKUP($C$619,'DB animal categories'!$C$221:$AC$230,27,FALSE)*E623/1000)/VLOOKUP($C$619,'DB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'!$S$6/100)*(1-VLOOKUP(D623,'DB technologies'!$N$294:$Y$306,9,FALSE)/100))</f>
        <v/>
      </c>
      <c r="N623" s="446" t="str">
        <f>IF(D623="","",((VLOOKUP(D623,'DB technologies'!$N$294:$Y$306,3,FALSE)*VLOOKUP($C$619,'DB animal categories'!$C$221:$AC$230,27,FALSE)*E623/1000)/VLOOKUP($C$619,'DB animal categories'!$C$221:$AC$230,27,FALSE)*(VLOOKUP($C$619,'DB animal categories'!$C$221:$AC$230,27,FALSE)-VLOOKUP($C$619,'DB animal categories'!$C$221:$AC$230,25,FALSE)*VLOOKUP($C$619,'DB animal categories'!$C$221:$AC$230,26,FALSE)/24))*(1-'DB additional information '!$S$7/100)*(1-VLOOKUP(D623,'DB technologies'!$N$294:$Y$306,9,FALSE)/100))</f>
        <v/>
      </c>
      <c r="O623" s="445" t="str">
        <f>IF(D623="","",((VLOOKUP(D623,'DB technologies'!$N$294:$Y$306,4,FALSE)*E623*(1-'DB additional information '!$S$8/100)*(1-VLOOKUP(D623,'DB technologies'!$N$294:$Y$306,8,FALSE)/100))/VLOOKUP($C$619,'DB animal categories'!$C$221:$AC$230,27,FALSE)*(VLOOKUP($C$619,'DB animal categories'!$C$221:$AC$230,27,FALSE)-VLOOKUP($C$619,'DB animal categories'!$C$221:$AC$230,25,FALSE)*VLOOKUP($C$619,'DB animal categories'!$C$221:$AC$230,26,FALSE)/24)))</f>
        <v/>
      </c>
      <c r="P623" s="444" t="str">
        <f>IF(G623=0,0,IF(E623="","",IF(F623="","",IF($C$619=0,"",IF(D623="","",SUM(H623:K623)/G623*100)))))</f>
        <v/>
      </c>
      <c r="Q623" s="476" t="str">
        <f>IF(D623="","",(VLOOKUP(D623,'DB technologies'!$N$294:$Y$306,2,FALSE)*'DB additional information '!$S$6/100*'DB additional information '!$T$6*VLOOKUP($C$619,'DB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R623" s="476" t="str">
        <f>IF(D623="","",(VLOOKUP(D623,'DB technologies'!$N$294:$Y$306,3,FALSE)*'DB additional information '!$S$7/100*'DB additional information '!$T$7*VLOOKUP($C$619,'DB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S623" s="494" t="str">
        <f>IF(D623="","",(VLOOKUP(D623,'DB technologies'!$N$294:$Y$306,4,FALSE)*('DB additional information '!$S$8/100*'DB additional information '!$T$8*E623/1000/1000)))</f>
        <v/>
      </c>
      <c r="T623" s="266" t="str">
        <f>IF($C$619=0,"",IF('Calc (ex-animal)'!$F$113=1,"",IF(D623="","",((VLOOKUP($C$619,'Calc (ex-animal)'!$D$113:$Y$117,10,FALSE)-VLOOKUP($C$619,'Calc (ex-animal)'!$D$113:$Y$117,18,FALSE))*F623/100+Q623+R623+S623)-AC623-AD623-AE623)))</f>
        <v/>
      </c>
      <c r="U623" s="477" t="str">
        <f>IF(D623="","",(VLOOKUP(D623,'DB technologies'!$N$294:$Y$306,2,FALSE)*'DB additional information '!$S$6/100*'DB additional information '!$U$6*VLOOKUP($C$619,'DB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V623" s="433" t="str">
        <f>IF(D623="","",(VLOOKUP(D623,'DB technologies'!$N$294:$Y$306,3,FALSE)*'DB additional information '!$S$7/100*'DB additional information '!$U$7*VLOOKUP($C$619,'DB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W623" s="475" t="str">
        <f>IF(D623="","",(VLOOKUP(D623,'DB technologies'!$N$294:$Y$306,4,FALSE)*('DB additional information '!$S$8/100*'DB additional information '!$U$8*E623/1000/1000)))</f>
        <v/>
      </c>
      <c r="X623" s="267" t="str">
        <f>IF($C$619=0,"",IF('Calc (ex-animal)'!$F$113=1,"",IF(D623="","",((VLOOKUP($C$619,'Calc (ex-animal)'!$D$113:$Y$117,13,FALSE)-VLOOKUP($C$619,'Calc (ex-animal)'!$D$113:$Y$117,19,FALSE))*F623/100+U623+V623+W623))))</f>
        <v/>
      </c>
      <c r="Y623" s="433" t="str">
        <f>IF(D623="","",(VLOOKUP(D623,'DB technologies'!$N$294:$Y$306,2,FALSE)*'DB additional information '!$S$6/100*'DB additional information '!$V$6*VLOOKUP($C$619,'DB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Z623" s="433" t="str">
        <f>IF(D623="","",(VLOOKUP(D623,'DB technologies'!$N$294:$Y$306,3,FALSE)*'DB additional information '!$S$7/100*'DB additional information '!$V$7*VLOOKUP($C$619,'DB animal categories'!$C$221:$AC$230,27,FALSE)*E623/1000/1000)/VLOOKUP($C$619,'DB animal categories'!$C$221:$AC$230,27,FALSE)*(VLOOKUP($C$619,'DB animal categories'!$C$221:$AC$230,27,FALSE)-VLOOKUP($C$619,'DB animal categories'!$C$221:$AC$230,25,FALSE)*VLOOKUP($C$619,'DB animal categories'!$C$221:$AC$230,26,FALSE)/24))</f>
        <v/>
      </c>
      <c r="AA623" s="433" t="str">
        <f>IF(D623="","",(VLOOKUP(D623,'DB technologies'!$N$294:$Y$306,4,FALSE)*('DB additional information '!$S$8/100*'DB additional information '!$V$8*E623/1000/1000)))</f>
        <v/>
      </c>
      <c r="AB623" s="267" t="str">
        <f>IF($C$619=0,"",IF('Calc (ex-animal)'!$F$113=1,"",IF(D623="","",((VLOOKUP($C$619,'Calc (ex-animal)'!$D$113:$Y$117,16,FALSE)-VLOOKUP($C$619,'Calc (ex-animal)'!$D$113:$Y$117,20,FALSE))*F623/100+Y623+Z623+AA623))))</f>
        <v/>
      </c>
      <c r="AC623" s="267" t="str">
        <f>IF($C$619=0,"",IF('Calc (ex-animal)'!$F$113=1,"",IF(D623="","",VLOOKUP($C$619,'Calc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categories'!$C$221:$AC$230,26,FALSE)/24)*F623/100*VLOOKUP(D623,'DB technologies'!$N$294:$R$306,5,FALSE)/100)))</f>
        <v/>
      </c>
      <c r="AD623" s="267" t="str">
        <f>IF($C$619=0,"",IF('Calc (ex-animal)'!$F$113=1,"",IF(D623="","",VLOOKUP($C$619,'Calc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categories'!$C$221:$AC$230,26,FALSE)/24)*F623/100*VLOOKUP(D623,'DB technologies'!$N$294:$Y$306,6,FALSE)/100)))</f>
        <v/>
      </c>
      <c r="AE623" s="268" t="str">
        <f>IF($C$619=0,"",IF('Calc (ex-animal)'!$F$113=1,"",IF(D623="","",VLOOKUP($C$619,'Calc (ex-animal)'!$D$113:$Y$117,10,FALSE)/VLOOKUP($C$619,'DB animal categories'!$C$221:$AC$230,27,FALSE)*(VLOOKUP($C$619,'DB animal categories'!$C$221:$AC$230,27,FALSE)-VLOOKUP($C$619,'DB animal categories'!$C$221:$AC$230,25,FALSE)*VLOOKUP($C$619,'DB animal categories'!$C$221:$AC$230,26,FALSE)/24)*F623/100*VLOOKUP(D623,'DB technologies'!$N$294:$Y$306,7,FALSE)/100)))</f>
        <v/>
      </c>
      <c r="AI623" s="183" t="str">
        <f>IF(D623="","",VLOOKUP(D623,'DB technologies'!$N$294:$Y$306,10,FALSE))</f>
        <v/>
      </c>
      <c r="AJ623" s="451" t="e">
        <f>VLOOKUP($C$619,'DB animal categories'!$C$221:$AN$230,27,FALSE)-VLOOKUP($C$619,'DB animal categories'!$C$221:$AN$230,26,FALSE)*VLOOKUP($C$619,'DB animal categories'!$C$221:$AN$230,25,FALSE)/24</f>
        <v>#N/A</v>
      </c>
      <c r="AK623" s="452" t="str">
        <f>IF(AI623="","",AL623+AM623)</f>
        <v/>
      </c>
      <c r="AL623" s="452" t="str">
        <f>IF(D623="","",IF(AI623=2,(('Calc (ex-animal)'!$G$115*'DB additional information '!$K$24/100*(1-VLOOKUP(D623,'DB technologies'!$N$294:$Y$306,9,FALSE)/100)*'Calc (ex-housing, ex-storage)'!F623/100+'Calc (ex-animal)'!$H$115*'DB additional information '!$L$24/100*(1-VLOOKUP(D623,'DB technologies'!$N$294:$Y$306,9,FALSE)/100)*'Calc (ex-housing, ex-storage)'!F623/100))/VLOOKUP($C$619,'DB animal categories'!$C$221:$AC$230,27,FALSE)*AJ623+I623+J623+K623,IF(AI623=1,('Calc (ex-animal)'!$H$115*'DB additional information '!$L$24/100*(1-VLOOKUP(D623,'DB technologies'!$N$294:$Y$306,9,FALSE)/100)*'Calc (ex-housing, ex-storage)'!F623/100)/VLOOKUP($C$619,'DB animal categories'!$C$221:$AC$230,27,FALSE)*AJ623,IF(AI623=4,('Calc (ex-animal)'!$G$115*'DB additional information '!$K$24/100+'Calc (ex-animal)'!$H$115*'DB additional information '!$L$24/100)*(1-VLOOKUP(D623,'DB technologies'!$N$294:$Y$306,9,FALSE)/100)*'Calc (ex-housing, ex-storage)'!F623/100*VLOOKUP(D623,'DB technologies'!$N$294:$Y$306,11,FALSE)/100/VLOOKUP($C$619,'DB animal categories'!$C$221:$AC$230,27,FALSE)*AJ623,0))))</f>
        <v/>
      </c>
      <c r="AM623" s="452" t="str">
        <f>IF(D623="","",IF(AI623=2,(('Calc (ex-animal)'!$G$115*(1-'DB additional information '!$K$24/100)*(1-VLOOKUP(D623,'DB technologies'!$N$294:$Y$306,8,FALSE)/100)*'Calc (ex-housing, ex-storage)'!F623/100+'Calc (ex-animal)'!$H$115*(1-'DB additional information '!$L$24/100)*(1-VLOOKUP(D623,'DB technologies'!$N$294:$Y$306,8,FALSE)/100)*'Calc (ex-housing, ex-storage)'!F623/100))/VLOOKUP($C$619,'DB animal categories'!$C$221:$AC$230,27,FALSE)*AJ623+M623+N623+O623,IF(AI623=1,('Calc (ex-animal)'!$H$115*(1-'DB additional information '!$L$24/100)*(1-VLOOKUP(D623,'DB technologies'!$N$294:$Y$306,8,FALSE)/100)*'Calc (ex-housing, ex-storage)'!F623/100)/VLOOKUP($C$619,'DB animal categories'!$C$221:$AC$230,27,FALSE)*AJ623,IF(AI623=4,('Calc (ex-animal)'!$G$115*(1-'DB additional information '!$K$24/100)+'Calc (ex-animal)'!$H$115*(1-'DB additional information '!$L$24/100))*(1-VLOOKUP(D623,'DB technologies'!$N$294:$Y$306,8,FALSE)/100)*'Calc (ex-housing, ex-storage)'!F623/100*VLOOKUP(D623,'DB technologies'!$N$294:$Y$306,11,FALSE)/100/VLOOKUP($C$619,'DB animal categories'!$C$221:$AC$230,27,FALSE)*AJ623,0))))</f>
        <v/>
      </c>
      <c r="AN623" s="452" t="str">
        <f>IF(AI623="","",IF(AL623=0,0,AL623/AK623*100))</f>
        <v/>
      </c>
      <c r="AO623" s="184" t="str">
        <f>IF(D623="","",IF(AI623=2,(('Calc (ex-animal)'!$L$115*'Calc (ex-housing, ex-storage)'!F623/100+'Calc (ex-animal)'!$K$115*'Calc (ex-housing, ex-storage)'!F623/100))/VLOOKUP($C$619,'DB animal categories'!$C$221:$AC$230,27,FALSE)*AJ623+Q623+R623+S623-AC623,IF(AI623=1,('Calc (ex-animal)'!$L$115*'Calc (ex-housing, ex-storage)'!F623/100)/VLOOKUP($C$619,'DB animal categories'!$C$221:$AC$230,27,FALSE)*AJ623-'Calc (ex-housing, ex-storage)'!AC623,IF(AI623=4,('Calc (ex-animal)'!$L$115+'Calc (ex-animal)'!$K$115)*'Calc (ex-housing, ex-storage)'!F623/100*VLOOKUP(D623,'DB technologies'!$N$294:$Y$306,11,FALSE)/100/VLOOKUP($C$619,'DB animal categories'!$C$221:$AC$230,27,FALSE)*AJ623-AC623*VLOOKUP(D623,'DB technologies'!$N$294:$Y$306,11,FALSE)/100,0))))</f>
        <v/>
      </c>
      <c r="AP623" s="184" t="str">
        <f>IF(D623="","",IF(AO623&lt;-0.01,0,IF(AI623=2,(('Calc (ex-animal)'!$L$115*'Calc (ex-housing, ex-storage)'!F623/100+'Calc (ex-animal)'!$K$115*'Calc (ex-housing, ex-storage)'!F623/100))/VLOOKUP($C$619,'DB animal categories'!$C$221:$AC$230,27,FALSE)*AJ623+Q623+R623+S623-AC623,IF(AI623=1,('Calc (ex-animal)'!$L$115*'Calc (ex-housing, ex-storage)'!F623/100)/VLOOKUP($C$619,'DB animal categories'!$C$221:$AC$230,27,FALSE)*AJ623-'Calc (ex-housing, ex-storage)'!AC623,IF(AI623=4,('Calc (ex-animal)'!$L$115+'Calc (ex-animal)'!$K$115)*'Calc (ex-housing, ex-storage)'!F623/100*VLOOKUP(D623,'DB technologies'!$N$294:$Y$306,11,FALSE)/100/VLOOKUP($C$619,'DB animal categories'!$C$221:$AC$230,27,FALSE)*AJ623-AC623*VLOOKUP(D623,'DB technologies'!$N$294:$Y$306,11,FALSE)/100,0)))))</f>
        <v/>
      </c>
      <c r="AQ623" s="184" t="str">
        <f>IF(D623="","",IF(AI623=2,('Calc (ex-animal)'!$O$115*'Calc (ex-housing, ex-storage)'!F623/100+'Calc (ex-animal)'!$N$115*'Calc (ex-housing, ex-storage)'!F623/100)/VLOOKUP($C$619,'DB animal categories'!$C$221:$AC$230,27,FALSE)*AJ623+U623+V623+W623,IF(AI623=1,'Calc (ex-animal)'!$O$115*'Calc (ex-housing, ex-storage)'!F623/100/VLOOKUP($C$619,'DB animal categories'!$C$221:$AC$230,27,FALSE)*AJ623,IF(AI623=4,('Calc (ex-animal)'!$O$115+'Calc (ex-animal)'!$N$115)*'Calc (ex-housing, ex-storage)'!F623/100*VLOOKUP(D623,'DB technologies'!$N$294:$Y$306,11,FALSE)/100/VLOOKUP($C$619,'DB animal categories'!$C$221:$AC$230,27,FALSE)*AJ623,0))))</f>
        <v/>
      </c>
      <c r="AR623" s="184" t="str">
        <f>IF(D623="","",IF(AI623=2,('Calc (ex-animal)'!$R$115*'Calc (ex-housing, ex-storage)'!F623/100+'Calc (ex-animal)'!$Q$115*'Calc (ex-housing, ex-storage)'!F623/100)/VLOOKUP($C$619,'DB animal categories'!$C$221:$AC$230,27,FALSE)*AJ623+Y623+Z623+AA623,IF(AI623=1,'Calc (ex-animal)'!$R$115*'Calc (ex-housing, ex-storage)'!F623/100/VLOOKUP($C$619,'DB animal categories'!$C$221:$AC$230,27,FALSE)*AJ623,IF(AI623=4,('Calc (ex-animal)'!$R$115+'Calc (ex-animal)'!$Q$115)*'Calc (ex-housing, ex-storage)'!F623/100*VLOOKUP(D623,'DB technologies'!$N$294:$Y$306,11,FALSE)/100/VLOOKUP($C$619,'DB animal categories'!$C$221:$AC$230,27,FALSE)*AJ623,0))))</f>
        <v/>
      </c>
      <c r="AS623" s="183" t="str">
        <f>IF(D623="","",VLOOKUP(D623,'DB technologies'!$N$294:$Y$306,10,FALSE))</f>
        <v/>
      </c>
      <c r="AT623" s="452" t="str">
        <f>IF(AS623="","",AU623+AV623)</f>
        <v/>
      </c>
      <c r="AU623" s="452" t="str">
        <f>IF(D623="","",IF(AS623=2,0,IF(AS623=1,'Calc (ex-animal)'!$G$115*'DB additional information '!$K$24/100*(1-VLOOKUP(D623,'DB technologies'!$N$294:$Y$306,8,FALSE)/100)*'Calc (ex-housing, ex-storage)'!F623/100/VLOOKUP($C$619,'DB animal categories'!$C$221:$AC$230,27,FALSE)*AJ623+I623+J623+K623,IF(AS623=5,(('Calc (ex-animal)'!$G$115*'DB additional information '!$K$24/100+'Calc (ex-animal)'!$H$115*'DB additional information '!$L$24/100))*(1-VLOOKUP(D623,'DB technologies'!$N$294:$Y$306,9,FALSE)/100)*'Calc (ex-housing, ex-storage)'!F623/100/VLOOKUP($C$619,'DB animal categories'!$C$221:$AC$230,27,FALSE)*AJ623+I623+J623+K623,IF(AS623=3,('Calc (ex-animal)'!$G$115*'DB additional information '!$K$24/100+'Calc (ex-animal)'!$H$115*'DB additional information '!$L$24/100)*(1-VLOOKUP(D623,'DB technologies'!$N$294:$Y$306,9,FALSE)/100)*'Calc (ex-housing, ex-storage)'!F623/100/VLOOKUP($C$619,'DB animal categories'!$C$221:$AC$230,27,FALSE)*AJ623+I623+J623+K623,IF(AS623=4,('Calc (ex-animal)'!$G$115*'DB additional information '!$K$24/100+'Calc (ex-animal)'!$H$115*'DB additional information '!$L$24/100)*(1-VLOOKUP(D623,'DB technologies'!$N$294:$Y$306,9,FALSE)/100)*'Calc (ex-housing, ex-storage)'!F623/100*VLOOKUP(D623,'DB technologies'!$N$294:$Y$306,12,FALSE)/100/VLOOKUP($C$619,'DB animal categories'!$C$221:$AC$230,27,FALSE)*AJ623+I623+J623+K623,0))))))</f>
        <v/>
      </c>
      <c r="AV623" s="452" t="str">
        <f>IF(D623="","",IF(AS623=2,0,IF(AS623=1,'Calc (ex-animal)'!$G$115*(1-'DB additional information '!$K$24/100)*(1-VLOOKUP(D623,'DB technologies'!$N$294:$Y$306,8,FALSE)/100)*'Calc (ex-housing, ex-storage)'!F623/100/VLOOKUP($C$619,'DB animal categories'!$C$221:$AC$230,27,FALSE)*AJ623+M623+N623+O623,IF(AS623=5,('Calc (ex-animal)'!$G$115*(1-'DB additional information '!$K$24/100)+'Calc (ex-animal)'!$H$115*(1-'DB additional information '!$L$24/100))*(1-VLOOKUP(D623,'DB technologies'!$N$294:$Y$306,8,FALSE)/100)*'Calc (ex-housing, ex-storage)'!F623/100/VLOOKUP($C$619,'DB animal categories'!$C$221:$AC$230,27,FALSE)*AJ623+M623+N623+O623,IF(AS623=3,('Calc (ex-animal)'!$G$115*(1-'DB additional information '!$K$24/100)+'Calc (ex-animal)'!$H$115*(1-'DB additional information '!$L$24/100))*(1-VLOOKUP(D623,'DB technologies'!$N$294:$Y$306,8,FALSE)/100)*'Calc (ex-housing, ex-storage)'!F623/100/VLOOKUP($C$619,'DB animal categories'!$C$221:$AC$230,27,FALSE)*AJ623+M623+N623+O623,IF(AS623=4,('Calc (ex-animal)'!$G$115*(1-'DB additional information '!$K$24/100)+'Calc (ex-animal)'!$H$115*(1-'DB additional information '!$L$24/100))*(1-VLOOKUP(D623,'DB technologies'!$N$294:$Y$306,8,FALSE)/100)*'Calc (ex-housing, ex-storage)'!F623/100*VLOOKUP(D623,'DB technologies'!$N$294:$Y$306,12,FALSE)/100/VLOOKUP($C$619,'DB animal categories'!$C$221:$AC$230,27,FALSE)*AJ623+M623+N623+O623,0))))))</f>
        <v/>
      </c>
      <c r="AW623" s="452" t="str">
        <f>IF(AS623="","",IF(AU623=0,0,AU623/AT623*100))</f>
        <v/>
      </c>
      <c r="AX623" s="184" t="str">
        <f>IF(D623="","",IF(AS623=2,0,IF(AS623=1,'Calc (ex-animal)'!$K$115*'Calc (ex-housing, ex-storage)'!F623/100/VLOOKUP($C$619,'DB animal categories'!$C$221:$AC$230,27,FALSE)*AJ623+Q623+R623+S623,IF(AS623=5,('Calc (ex-animal)'!$K$115+'Calc (ex-animal)'!$L$115)*'Calc (ex-housing, ex-storage)'!F623/100/VLOOKUP($C$619,'DB animal categories'!$C$221:$AC$230,27,FALSE)*AJ623+Q623+R623+S623-'Calc (ex-housing, ex-storage)'!AC623,IF(AS623=3,('Calc (ex-animal)'!$K$115+'Calc (ex-animal)'!$L$115)*'Calc (ex-housing, ex-storage)'!F623/100/VLOOKUP($C$619,'DB animal categories'!$C$221:$AC$230,27,FALSE)*AJ623+Q623+R623+S623-'Calc (ex-housing, ex-storage)'!AC623-AD623-AE623,IF(AI623=4,('Calc (ex-animal)'!$K$115+'Calc (ex-animal)'!$L$115)*'Calc (ex-housing, ex-storage)'!F623/100*VLOOKUP(D623,'DB technologies'!$N$294:$Y$306,12,FALSE)/100/VLOOKUP($C$619,'DB animal categories'!$C$221:$AC$230,27,FALSE)*AJ623+Q623+R623+S623-(VLOOKUP(D623,'DB technologies'!$N$294:$Y$306,12,FALSE)/100*AC623)-AD623-AE623,0))))))</f>
        <v/>
      </c>
      <c r="AY623" s="184" t="str">
        <f>IF(D623="","",IF(AS623=2,0,IF(AS623=1,'Calc (ex-animal)'!$N$115*'Calc (ex-housing, ex-storage)'!F623/100/VLOOKUP($C$619,'DB animal categories'!$C$221:$AC$230,27,FALSE)*AJ623+U623+V623+W623,IF(AS623=5,('Calc (ex-animal)'!$N$115+'Calc (ex-animal)'!$O$115)*'Calc (ex-housing, ex-storage)'!F623/100/VLOOKUP($C$619,'DB animal categories'!$C$221:$AC$230,27,FALSE)*AJ623+U623+V623+W623,IF(AS623=3,('Calc (ex-animal)'!$N$115+'Calc (ex-animal)'!$O$115)*'Calc (ex-housing, ex-storage)'!F623/100/VLOOKUP($C$619,'DB animal categories'!$C$221:$AC$230,27,FALSE)*AJ623+U623+V623+W623,IF(AS623=4,('Calc (ex-animal)'!$N$115+'Calc (ex-animal)'!$O$115)*'Calc (ex-housing, ex-storage)'!F623/100*VLOOKUP(D623,'DB technologies'!$N$294:$Y$306,12,FALSE)/100/VLOOKUP($C$619,'DB animal categories'!$C$221:$AC$230,27,FALSE)*AJ623+U623+V623+W623,0))))))</f>
        <v/>
      </c>
      <c r="AZ623" s="184" t="str">
        <f>IF(D623="","",IF(AS623=2,0,IF(AS623=1,'Calc (ex-animal)'!$Q$115*'Calc (ex-housing, ex-storage)'!F623/100/VLOOKUP($C$619,'DB animal categories'!$C$221:$AC$230,27,FALSE)*AJ623+Y623+Z623+AA623,IF(AS623=5,('Calc (ex-animal)'!$Q$115+'Calc (ex-animal)'!$R$115)*'Calc (ex-housing, ex-storage)'!F623/100/VLOOKUP($C$619,'DB animal categories'!$C$221:$AC$230,27,FALSE)*AJ623+Y623+Z623+AA623,IF(AS623=3,('Calc (ex-animal)'!$Q$115+'Calc (ex-animal)'!$R$115)*'Calc (ex-housing, ex-storage)'!F623/100/VLOOKUP($C$619,'DB animal categories'!$C$221:$AC$230,27,FALSE)*AJ623+Y623+Z623+AA623,IF(AS623=4,('Calc (ex-animal)'!$Q$115+'Calc (ex-animal)'!$R$115)*'Calc (ex-housing, ex-storage)'!F623/100*VLOOKUP(D623,'DB technologies'!$N$294:$Y$306,12,FALSE)/100/VLOOKUP($C$619,'DB animal categories'!$C$221:$AC$230,27,FALSE)*AJ623+Y623+Z623+AA623,0))))))</f>
        <v/>
      </c>
      <c r="BA623" s="506"/>
      <c r="BB623" s="506"/>
      <c r="BC623" s="506"/>
    </row>
    <row r="624" spans="1:55" ht="12" thickBot="1" x14ac:dyDescent="0.25">
      <c r="A624" s="748"/>
      <c r="B624" s="695"/>
      <c r="C624" s="252"/>
      <c r="D624" s="269" t="s">
        <v>58</v>
      </c>
      <c r="E624" s="270">
        <f>IF('Calc (ex-animal)'!F115=1,'Calc (ex-animal)'!E115,IF(F624&lt;=100,SUM(E619:E623),"ERROR"))</f>
        <v>0</v>
      </c>
      <c r="F624" s="284">
        <f>IF('Calc (ex-animal)'!F115=1,100,IF(SUM(F619:F623) &lt;=100,SUM(F619:F623),"ERROR, SUM&gt;100%"))</f>
        <v>0</v>
      </c>
      <c r="G624" s="550">
        <f>IF('Calc (ex-animal)'!$F$113=1,"",SUM(G619:G623))</f>
        <v>0</v>
      </c>
      <c r="H624" s="418">
        <f>IF('Calc (ex-animal)'!$F$8=1,"",SUM(H619:H623))</f>
        <v>0</v>
      </c>
      <c r="I624" s="418">
        <f>IF('Calc (ex-animal)'!$F$8=1,"",SUM(I619:I623))</f>
        <v>0</v>
      </c>
      <c r="J624" s="418">
        <f>IF('Calc (ex-animal)'!$F$8=1,"",SUM(J619:J623))</f>
        <v>0</v>
      </c>
      <c r="K624" s="418">
        <f>IF('Calc (ex-animal)'!$F$8=1,"",SUM(K619:K623))</f>
        <v>0</v>
      </c>
      <c r="L624" s="418">
        <f>IF('Calc (ex-animal)'!$F$8=1,"",SUM(L619:L623))</f>
        <v>0</v>
      </c>
      <c r="M624" s="551"/>
      <c r="N624" s="551"/>
      <c r="O624" s="551"/>
      <c r="P624" s="552">
        <f>IF(G624=0,0,IF('Calc (ex-animal)'!$F$113=1,"",IF(D624="","",SUM(H624:K624)/G624*100)))</f>
        <v>0</v>
      </c>
      <c r="Q624" s="271"/>
      <c r="R624" s="271"/>
      <c r="S624" s="271"/>
      <c r="T624" s="285">
        <f>IF('Calc (ex-animal)'!$F$115=1,"",SUM(T619:T623))</f>
        <v>0</v>
      </c>
      <c r="U624" s="286"/>
      <c r="V624" s="286"/>
      <c r="W624" s="286"/>
      <c r="X624" s="286">
        <f>IF('Calc (ex-animal)'!$F$115=1,"",SUM(X619:X623))</f>
        <v>0</v>
      </c>
      <c r="Y624" s="286"/>
      <c r="Z624" s="286"/>
      <c r="AA624" s="286"/>
      <c r="AB624" s="286">
        <f>IF('Calc (ex-animal)'!$F$115=1,"",SUM(AB619:AB623))</f>
        <v>0</v>
      </c>
      <c r="AC624" s="286">
        <f>IF('Calc (ex-animal)'!$F$115=1,"",SUM(AC619:AC623))</f>
        <v>0</v>
      </c>
      <c r="AD624" s="286">
        <f>IF('Calc (ex-animal)'!$F$115=1,"",SUM(AD619:AD623))</f>
        <v>0</v>
      </c>
      <c r="AE624" s="287">
        <f>IF('Calc (ex-animal)'!$F$115=1,"",SUM(AE619:AE623))</f>
        <v>0</v>
      </c>
    </row>
    <row r="625" spans="1:55" x14ac:dyDescent="0.2">
      <c r="A625" s="748"/>
      <c r="B625" s="695"/>
      <c r="C625" s="250">
        <f>'Calc (ex-animal)'!D116</f>
        <v>0</v>
      </c>
      <c r="D625" s="1355"/>
      <c r="E625" s="1356"/>
      <c r="F625" s="479" t="str">
        <f>IF('Calc (ex-animal)'!$F$113=1,"",IF($C$625=0,"",IF(D625="","",E625/'Calc (ex-animal)'!$E$116*100)))</f>
        <v/>
      </c>
      <c r="G625" s="484" t="str">
        <f>IF($C$625=0,"",IF('Calc (ex-animal)'!$F$113=1,"",IF(D625="","",SUM(H625:O625))))</f>
        <v/>
      </c>
      <c r="H625" s="471" t="str">
        <f>IF('Calc (ex-animal)'!$F$113=1,"",IF(D625="","",(((VLOOKUP($C$625,'Calc (ex-animal)'!$D$113:$Y$117,6,FALSE)-VLOOKUP($C$625,'Calc (ex-animal)'!$D$113:$Y$117,17,FALSE))*F625/100))*VLOOKUP($C$625,'Calc (ex-animal)'!$D$113:$Y$117,7,FALSE)/100*(1-VLOOKUP(D625,'DB technologies'!$N$294:$Y$306,9,FALSE)/100)))</f>
        <v/>
      </c>
      <c r="I625" s="471" t="str">
        <f>IF(D625="","",((VLOOKUP(D625,'DB technologies'!$N$294:$Y$306,2,FALSE)*VLOOKUP($C$625,'DB animal categories'!$C$221:$AC$230,27,FALSE)*E625/1000)/VLOOKUP($C$625,'DB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'!$S$6/100*(1-VLOOKUP(D625,'DB technologies'!$N$294:$Y$306,9,FALSE)/100)))</f>
        <v/>
      </c>
      <c r="J625" s="472" t="str">
        <f>IF(D625="","",((VLOOKUP(D625,'DB technologies'!$N$294:$Y$306,3,FALSE)*VLOOKUP($C$625,'DB animal categories'!$C$221:$AC$230,27,FALSE)*E625/1000)/VLOOKUP($C$625,'DB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'!$S$7/100*(1-VLOOKUP(D625,'DB technologies'!$N$294:$Y$306,9,FALSE)/100)))</f>
        <v/>
      </c>
      <c r="K625" s="472" t="str">
        <f>IF(D625="","",((VLOOKUP(D625,'DB technologies'!$N$294:$Y$306,4,FALSE)*E625*'DB additional information '!$S$8/100*(1-VLOOKUP(D625,'DB technologies'!$N$294:$Y$306,9,FALSE)/100))/VLOOKUP($C$625,'DB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L625" s="471" t="str">
        <f>IF('Calc (ex-animal)'!$F$113=1,"",IF(D625="","",(((VLOOKUP($C$625,'Calc (ex-animal)'!$D$113:$Y$117,6,FALSE)-VLOOKUP($C$625,'Calc (ex-animal)'!$D$113:$Y$117,17,FALSE))*F625/100))*(1-VLOOKUP($C$625,'Calc (ex-animal)'!$D$113:$Y$117,7,FALSE)/100)*(1-VLOOKUP(D625,'DB technologies'!$N$294:$V$306,8,FALSE)/100)))</f>
        <v/>
      </c>
      <c r="M625" s="472" t="str">
        <f>IF(D625="","",((VLOOKUP(D625,'DB technologies'!$N$294:$Y$306,2,FALSE)*VLOOKUP($C$625,'DB animal categories'!$C$221:$AC$230,27,FALSE)*E625/1000)/VLOOKUP($C$625,'DB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'!$S$6/100)*(1-VLOOKUP(D625,'DB technologies'!$N$294:$Y$306,9,FALSE)/100))</f>
        <v/>
      </c>
      <c r="N625" s="472" t="str">
        <f>IF(D625="","",((VLOOKUP(D625,'DB technologies'!$N$294:$Y$306,3,FALSE)*VLOOKUP($C$625,'DB animal categories'!$C$221:$AC$230,27,FALSE)*E625/1000)/VLOOKUP($C$625,'DB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'!$S$7/100)*(1-VLOOKUP(D625,'DB technologies'!$N$294:$Y$306,9,FALSE)/100))</f>
        <v/>
      </c>
      <c r="O625" s="471" t="str">
        <f>IF(D625="","",((VLOOKUP(D625,'DB technologies'!$N$294:$Y$306,4,FALSE)*E625*(1-'DB additional information '!$S$8/100)*(1-VLOOKUP(D625,'DB technologies'!$N$294:$Y$306,8,FALSE)/100))/VLOOKUP($C$625,'DB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P625" s="443" t="str">
        <f>IF(G625=0,0,IF(E625="","",IF(F625="","",IF($C$625=0,"",IF(D625="","",SUM(H625:K625)/G625*100)))))</f>
        <v/>
      </c>
      <c r="Q625" s="473" t="str">
        <f>IF(D625="","",(VLOOKUP(D625,'DB technologies'!$N$294:$Y$306,2,FALSE)*'DB additional information '!$S$6/100*'DB additional information '!$T$6*VLOOKUP($C$625,'DB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R625" s="473" t="str">
        <f>IF(D625="","",(VLOOKUP(D625,'DB technologies'!$N$294:$Y$306,3,FALSE)*'DB additional information '!$S$7/100*'DB additional information '!$T$7*VLOOKUP($C$625,'DB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S625" s="490" t="str">
        <f>IF(D625="","",(VLOOKUP(D625,'DB technologies'!$N$294:$Y$306,4,FALSE)*('DB additional information '!$S$8/100*'DB additional information '!$T$8*E625/1000/1000)))</f>
        <v/>
      </c>
      <c r="T625" s="263" t="str">
        <f>IF($C$625=0,"",IF('Calc (ex-animal)'!$F$113=1,"",IF(D625="","",((VLOOKUP($C$625,'Calc (ex-animal)'!$D$113:$Y$117,10,FALSE)-VLOOKUP($C$625,'Calc (ex-animal)'!$D$113:$Y$117,18,FALSE))*F625/100+Q625+R625+S625)-AC625-AD625-AE625)))</f>
        <v/>
      </c>
      <c r="U625" s="474" t="str">
        <f>IF(D625="","",(VLOOKUP(D625,'DB technologies'!$N$294:$Y$306,2,FALSE)*'DB additional information '!$S$6/100*'DB additional information '!$U$6*VLOOKUP($C$625,'DB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V625" s="420" t="str">
        <f>IF(D625="","",(VLOOKUP(D625,'DB technologies'!$N$294:$Y$306,3,FALSE)*'DB additional information '!$S$7/100*'DB additional information '!$U$7*VLOOKUP($C$625,'DB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W625" s="415" t="str">
        <f>IF(D625="","",(VLOOKUP(D625,'DB technologies'!$N$294:$Y$306,4,FALSE)*('DB additional information '!$S$8/100*'DB additional information '!$U$8*E625/1000/1000)))</f>
        <v/>
      </c>
      <c r="X625" s="259" t="str">
        <f>IF($C$625=0,"",IF('Calc (ex-animal)'!$F$113=1,"",IF(D625="","",((VLOOKUP($C$625,'Calc (ex-animal)'!$D$113:$Y$117,13,FALSE)-VLOOKUP($C$625,'Calc (ex-animal)'!$D$113:$Y$117,19,FALSE))*F625/100+U625+V625+W625))))</f>
        <v/>
      </c>
      <c r="Y625" s="420" t="str">
        <f>IF(D625="","",(VLOOKUP(D625,'DB technologies'!$N$294:$Y$306,2,FALSE)*'DB additional information '!$S$6/100*'DB additional information '!$V$6*VLOOKUP($C$625,'DB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Z625" s="420" t="str">
        <f>IF(D625="","",(VLOOKUP(D625,'DB technologies'!$N$294:$Y$306,3,FALSE)*'DB additional information '!$S$7/100*'DB additional information '!$V$7*VLOOKUP($C$625,'DB animal categories'!$C$221:$AC$230,27,FALSE)*E625/1000/1000)/VLOOKUP($C$625,'DB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AA625" s="420" t="str">
        <f>IF(D625="","",(VLOOKUP(D625,'DB technologies'!$N$294:$Y$306,4,FALSE)*('DB additional information '!$S$8/100*'DB additional information '!$V$8*E625/1000/1000)))</f>
        <v/>
      </c>
      <c r="AB625" s="259" t="str">
        <f>IF($C$625=0,"",IF('Calc (ex-animal)'!$F$113=1,"",IF(D625="","",((VLOOKUP($C$625,'Calc (ex-animal)'!$D$113:$Y$117,16,FALSE)-VLOOKUP($C$625,'Calc (ex-animal)'!$D$113:$Y$117,20,FALSE))*F625/100+Y625+Z625+AA625))))</f>
        <v/>
      </c>
      <c r="AC625" s="259" t="str">
        <f>IF($C$625=0,"",IF('Calc (ex-animal)'!$F$113=1,"",IF(D625="","",VLOOKUP($C$625,'Calc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categories'!$C$221:$AC$230,26,FALSE)/24)*F625/100*VLOOKUP(D625,'DB technologies'!$N$294:$R$306,5,FALSE)/100)))</f>
        <v/>
      </c>
      <c r="AD625" s="259" t="str">
        <f>IF($C$625=0,"",IF('Calc (ex-animal)'!$F$113=1,"",IF(D625="","",VLOOKUP($C$625,'Calc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categories'!$C$221:$AC$230,26,FALSE)/24)*F625/100*VLOOKUP(D625,'DB technologies'!$N$294:$Y$306,6,FALSE)/100)))</f>
        <v/>
      </c>
      <c r="AE625" s="260" t="str">
        <f>IF($C$625=0,"",IF('Calc (ex-animal)'!$F$113=1,"",IF(D625="","",VLOOKUP($C$625,'Calc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categories'!$C$221:$AC$230,26,FALSE)/24)*F625/100*VLOOKUP(D625,'DB technologies'!$N$294:$Y$306,7,FALSE)/100)))</f>
        <v/>
      </c>
      <c r="AI625" s="179" t="str">
        <f>IF(D625="","",VLOOKUP(D625,'DB technologies'!$N$294:$Y$306,10,FALSE))</f>
        <v/>
      </c>
      <c r="AJ625" s="482" t="e">
        <f>VLOOKUP($C$625,'DB animal categories'!$C$221:$AN$230,27,FALSE)-VLOOKUP($C$625,'DB animal categories'!$C$221:$AN$230,26,FALSE)*VLOOKUP($C$625,'DB animal categories'!$C$221:$AN$230,25,FALSE)/24</f>
        <v>#N/A</v>
      </c>
      <c r="AK625" s="453" t="str">
        <f>IF(AI625="","",AL625+AM625)</f>
        <v/>
      </c>
      <c r="AL625" s="453" t="str">
        <f>IF(D625="","",IF(AI625=2,(('Calc (ex-animal)'!$G$116*'DB additional information '!$K$24/100*(1-VLOOKUP(D625,'DB technologies'!$N$294:$Y$306,9,FALSE)/100)*'Calc (ex-housing, ex-storage)'!F625/100+'Calc (ex-animal)'!$H$116*'DB additional information '!$L$24/100*(1-VLOOKUP(D625,'DB technologies'!$N$294:$Y$306,9,FALSE)/100)*'Calc (ex-housing, ex-storage)'!F625/100))/VLOOKUP($C$625,'DB animal categories'!$C$221:$AC$230,27,FALSE)*AJ625+I625+J625+K625,IF(AI625=1,('Calc (ex-animal)'!$H$116*'DB additional information '!$L$24/100*(1-VLOOKUP(D625,'DB technologies'!$N$294:$Y$306,9,FALSE)/100)*'Calc (ex-housing, ex-storage)'!F625/100)/VLOOKUP($C$625,'DB animal categories'!$C$221:$AC$230,27,FALSE)*AJ625,IF(AI625=4,('Calc (ex-animal)'!$G$116*'DB additional information '!$K$24/100+'Calc (ex-animal)'!$H$116*'DB additional information '!$L$24/100)*(1-VLOOKUP(D625,'DB technologies'!$N$294:$Y$306,9,FALSE)/100)*'Calc (ex-housing, ex-storage)'!F625/100*VLOOKUP(D625,'DB technologies'!$N$294:$Y$306,11,FALSE)/100/VLOOKUP($C$625,'DB animal categories'!$C$221:$AC$230,27,FALSE)*AJ625,0))))</f>
        <v/>
      </c>
      <c r="AM625" s="453" t="str">
        <f>IF(D625="","",IF(AI625=2,(('Calc (ex-animal)'!$G$116*(1-'DB additional information '!$K$24/100)*(1-VLOOKUP(D625,'DB technologies'!$N$294:$Y$306,8,FALSE)/100)*'Calc (ex-housing, ex-storage)'!F625/100+'Calc (ex-animal)'!$H$116*(1-'DB additional information '!$L$24/100)*(1-VLOOKUP(D625,'DB technologies'!$N$294:$Y$306,8,FALSE)/100)*'Calc (ex-housing, ex-storage)'!F625/100))/VLOOKUP($C$625,'DB animal categories'!$C$221:$AC$230,27,FALSE)*AJ625+M625+N625+O625,IF(AI625=1,('Calc (ex-animal)'!$H$116*(1-'DB additional information '!$L$24/100)*(1-VLOOKUP(D625,'DB technologies'!$N$294:$Y$306,8,FALSE)/100)*'Calc (ex-housing, ex-storage)'!F625/100)/VLOOKUP($C$625,'DB animal categories'!$C$221:$AC$230,27,FALSE)*AJ625,IF(AI625=4,('Calc (ex-animal)'!$G$116*(1-'DB additional information '!$K$24/100)+'Calc (ex-animal)'!$H$116*(1-'DB additional information '!$L$24/100))*(1-VLOOKUP(D625,'DB technologies'!$N$294:$Y$306,8,FALSE)/100)*'Calc (ex-housing, ex-storage)'!F625/100*VLOOKUP(D625,'DB technologies'!$N$294:$Y$306,11,FALSE)/100/VLOOKUP($C$625,'DB animal categories'!$C$221:$AC$230,27,FALSE)*AJ625,0))))</f>
        <v/>
      </c>
      <c r="AN625" s="453" t="str">
        <f>IF(AI625="","",IF(AL625=0,0,AL625/AK625*100))</f>
        <v/>
      </c>
      <c r="AO625" s="180" t="str">
        <f>IF(D625="","",IF(AI625=2,(('Calc (ex-animal)'!$L$116*'Calc (ex-housing, ex-storage)'!F625/100+'Calc (ex-animal)'!$K$116*'Calc (ex-housing, ex-storage)'!F625/100))/VLOOKUP($C$625,'DB animal categories'!$C$221:$AC$230,27,FALSE)*AJ625+Q625+R625+S625-AC625,IF(AI625=1,('Calc (ex-animal)'!$L$116*'Calc (ex-housing, ex-storage)'!F625/100)/VLOOKUP($C$625,'DB animal categories'!$C$221:$AC$230,27,FALSE)*AJ625-'Calc (ex-housing, ex-storage)'!AC625,IF(AI625=4,('Calc (ex-animal)'!$L$116+'Calc (ex-animal)'!$K$116)*'Calc (ex-housing, ex-storage)'!F625/100*VLOOKUP(D625,'DB technologies'!$N$294:$Y$306,11,FALSE)/100/VLOOKUP($C$625,'DB animal categories'!$C$221:$AC$230,27,FALSE)*AJ625-AC625*VLOOKUP(D625,'DB technologies'!$N$294:$Y$306,11,FALSE)/100,0))))</f>
        <v/>
      </c>
      <c r="AP625" s="180" t="str">
        <f>IF(D625="","",IF(AO625&lt;-0.01,0,IF(AI625=2,(('Calc (ex-animal)'!$L$116*'Calc (ex-housing, ex-storage)'!F625/100+'Calc (ex-animal)'!$K$116*'Calc (ex-housing, ex-storage)'!F625/100))/VLOOKUP($C$625,'DB animal categories'!$C$221:$AC$230,27,FALSE)*AJ625+Q625+R625+S625-AC625,IF(AI625=1,('Calc (ex-animal)'!$L$116*'Calc (ex-housing, ex-storage)'!F625/100)/VLOOKUP($C$625,'DB animal categories'!$C$221:$AC$230,27,FALSE)*AJ625-'Calc (ex-housing, ex-storage)'!AC625,IF(AI625=4,('Calc (ex-animal)'!$L$116+'Calc (ex-animal)'!$K$116)*'Calc (ex-housing, ex-storage)'!F625/100*VLOOKUP(D625,'DB technologies'!$N$294:$Y$306,11,FALSE)/100/VLOOKUP($C$625,'DB animal categories'!$C$221:$AC$230,27,FALSE)*AJ625-AC625*VLOOKUP(D625,'DB technologies'!$N$294:$Y$306,11,FALSE)/100,0)))))</f>
        <v/>
      </c>
      <c r="AQ625" s="180" t="str">
        <f>IF(D625="","",IF(AI625=2,('Calc (ex-animal)'!$O$116*'Calc (ex-housing, ex-storage)'!F625/100+'Calc (ex-animal)'!$N$116*'Calc (ex-housing, ex-storage)'!F625/100)/VLOOKUP($C$625,'DB animal categories'!$C$221:$AC$230,27,FALSE)*AJ625+U625+V625+W625,IF(AI625=1,'Calc (ex-animal)'!$O$116*'Calc (ex-housing, ex-storage)'!F625/100/VLOOKUP($C$625,'DB animal categories'!$C$221:$AC$230,27,FALSE)*AJ625,IF(AI625=4,('Calc (ex-animal)'!$O$116+'Calc (ex-animal)'!$N$116)*'Calc (ex-housing, ex-storage)'!F625/100*VLOOKUP(D625,'DB technologies'!$N$294:$Y$306,11,FALSE)/100/VLOOKUP($C$625,'DB animal categories'!$C$221:$AC$230,27,FALSE)*AJ625,0))))</f>
        <v/>
      </c>
      <c r="AR625" s="180" t="str">
        <f>IF(D625="","",IF(AI625=2,('Calc (ex-animal)'!$R$116*'Calc (ex-housing, ex-storage)'!F625/100+'Calc (ex-animal)'!$Q$116*'Calc (ex-housing, ex-storage)'!F625/100)/VLOOKUP($C$625,'DB animal categories'!$C$221:$AC$230,27,FALSE)*AJ625+Y625+Z625+AA625,IF(AI625=1,'Calc (ex-animal)'!$R$116*'Calc (ex-housing, ex-storage)'!F625/100/VLOOKUP($C$625,'DB animal categories'!$C$221:$AC$230,27,FALSE)*AJ625,IF(AI625=4,('Calc (ex-animal)'!$R$116+'Calc (ex-animal)'!$Q$116)*'Calc (ex-housing, ex-storage)'!F625/100*VLOOKUP(D625,'DB technologies'!$N$294:$Y$306,11,FALSE)/100/VLOOKUP($C$625,'DB animal categories'!$C$221:$AC$230,27,FALSE)*AJ625,0))))</f>
        <v/>
      </c>
      <c r="AS625" s="179" t="str">
        <f>IF(D625="","",VLOOKUP(D625,'DB technologies'!$N$294:$Y$306,10,FALSE))</f>
        <v/>
      </c>
      <c r="AT625" s="453" t="str">
        <f>IF(AS625="","",AU625+AV625)</f>
        <v/>
      </c>
      <c r="AU625" s="453" t="str">
        <f>IF(D625="","",IF(AS625=2,0,IF(AS625=1,'Calc (ex-animal)'!$G$116*'DB additional information '!$K$24/100*(1-VLOOKUP(D625,'DB technologies'!$N$294:$Y$306,8,FALSE)/100)*'Calc (ex-housing, ex-storage)'!F625/100/VLOOKUP($C$625,'DB animal categories'!$C$221:$AC$230,27,FALSE)*AJ625+I625+J625+K625,IF(AS625=5,(('Calc (ex-animal)'!$G$116*'DB additional information '!$K$24/100+'Calc (ex-animal)'!$H$116*'DB additional information '!$L$24/100))*(1-VLOOKUP(D625,'DB technologies'!$N$294:$Y$306,9,FALSE)/100)*'Calc (ex-housing, ex-storage)'!F625/100/VLOOKUP($C$625,'DB animal categories'!$C$221:$AC$230,27,FALSE)*AJ625+I625+J625+K625,IF(AS625=3,('Calc (ex-animal)'!$G$116*'DB additional information '!$K$24/100+'Calc (ex-animal)'!$H$116*'DB additional information '!$L$24/100)*(1-VLOOKUP(D625,'DB technologies'!$N$294:$Y$306,9,FALSE)/100)*'Calc (ex-housing, ex-storage)'!F625/100/VLOOKUP($C$625,'DB animal categories'!$C$221:$AC$230,27,FALSE)*AJ625+I625+J625+K625,IF(AS625=4,('Calc (ex-animal)'!$G$116*'DB additional information '!$K$24/100+'Calc (ex-animal)'!$H$116*'DB additional information '!$L$24/100)*(1-VLOOKUP(D625,'DB technologies'!$N$294:$Y$306,9,FALSE)/100)*'Calc (ex-housing, ex-storage)'!F625/100*VLOOKUP(D625,'DB technologies'!$N$294:$Y$306,12,FALSE)/100/VLOOKUP($C$625,'DB animal categories'!$C$221:$AC$230,27,FALSE)*AJ625+I625+J625+K625,0))))))</f>
        <v/>
      </c>
      <c r="AV625" s="453" t="str">
        <f>IF(D625="","",IF(AS625=2,0,IF(AS625=1,'Calc (ex-animal)'!$G$116*(1-'DB additional information '!$K$24/100)*(1-VLOOKUP(D625,'DB technologies'!$N$294:$Y$306,8,FALSE)/100)*'Calc (ex-housing, ex-storage)'!F625/100/VLOOKUP($C$625,'DB animal categories'!$C$221:$AC$230,27,FALSE)*AJ625+M625+N625+O625,IF(AS625=5,('Calc (ex-animal)'!$G$116*(1-'DB additional information '!$K$24/100)+'Calc (ex-animal)'!$H$116*(1-'DB additional information '!$L$24/100))*(1-VLOOKUP(D625,'DB technologies'!$N$294:$Y$306,8,FALSE)/100)*'Calc (ex-housing, ex-storage)'!F625/100/VLOOKUP($C$625,'DB animal categories'!$C$221:$AC$230,27,FALSE)*AJ625+M625+N625+O625,IF(AS625=3,('Calc (ex-animal)'!$G$116*(1-'DB additional information '!$K$24/100)+'Calc (ex-animal)'!$H$116*(1-'DB additional information '!$L$24/100))*(1-VLOOKUP(D625,'DB technologies'!$N$294:$Y$306,8,FALSE)/100)*'Calc (ex-housing, ex-storage)'!F625/100/VLOOKUP($C$625,'DB animal categories'!$C$221:$AC$230,27,FALSE)*AJ625+M625+N625+O625,IF(AS625=4,('Calc (ex-animal)'!$G$116*(1-'DB additional information '!$K$24/100)+'Calc (ex-animal)'!$H$116*(1-'DB additional information '!$L$24/100))*(1-VLOOKUP(D625,'DB technologies'!$N$294:$Y$306,8,FALSE)/100)*'Calc (ex-housing, ex-storage)'!F625/100*VLOOKUP(D625,'DB technologies'!$N$294:$Y$306,12,FALSE)/100/VLOOKUP($C$625,'DB animal categories'!$C$221:$AC$230,27,FALSE)*AJ625+M625+N625+O625,0))))))</f>
        <v/>
      </c>
      <c r="AW625" s="453" t="str">
        <f>IF(AS625="","",IF(AU625=0,0,AU625/AT625*100))</f>
        <v/>
      </c>
      <c r="AX625" s="180" t="str">
        <f>IF(D625="","",IF(AS625=2,0,IF(AS625=1,'Calc (ex-animal)'!$K$116*'Calc (ex-housing, ex-storage)'!F625/100/VLOOKUP($C$625,'DB animal categories'!$C$221:$AC$230,27,FALSE)*AJ625+Q625+R625+S625,IF(AS625=5,('Calc (ex-animal)'!$K$116+'Calc (ex-animal)'!$L$116)*'Calc (ex-housing, ex-storage)'!F625/100/VLOOKUP($C$625,'DB animal categories'!$C$221:$AC$230,27,FALSE)*AJ625+Q625+R625+S625-'Calc (ex-housing, ex-storage)'!AC625,IF(AS625=3,('Calc (ex-animal)'!$K$116+'Calc (ex-animal)'!$L$116)*'Calc (ex-housing, ex-storage)'!F625/100/VLOOKUP($C$625,'DB animal categories'!$C$221:$AC$230,27,FALSE)*AJ625+Q625+R625+S625-'Calc (ex-housing, ex-storage)'!AC625-AD625-AE625,IF(AI625=4,('Calc (ex-animal)'!$K$116+'Calc (ex-animal)'!$L$116)*'Calc (ex-housing, ex-storage)'!F625/100*VLOOKUP(D625,'DB technologies'!$N$294:$Y$306,12,FALSE)/100/VLOOKUP($C$625,'DB animal categories'!$C$221:$AC$230,27,FALSE)*AJ625+Q625+R625+S625-(VLOOKUP(D625,'DB technologies'!$N$294:$Y$306,12,FALSE)/100*AC625)-AD625-AE625,0))))))</f>
        <v/>
      </c>
      <c r="AY625" s="180" t="str">
        <f>IF(D625="","",IF(AS625=2,0,IF(AS625=1,'Calc (ex-animal)'!$N$116*'Calc (ex-housing, ex-storage)'!F625/100/VLOOKUP($C$625,'DB animal categories'!$C$221:$AC$230,27,FALSE)*AJ625+U625+V625+W625,IF(AS625=5,('Calc (ex-animal)'!$N$116+'Calc (ex-animal)'!$O$116)*'Calc (ex-housing, ex-storage)'!F625/100/VLOOKUP($C$625,'DB animal categories'!$C$221:$AC$230,27,FALSE)*AJ625+U625+V625+W625,IF(AS625=3,('Calc (ex-animal)'!$N$116+'Calc (ex-animal)'!$O$116)*'Calc (ex-housing, ex-storage)'!F625/100/VLOOKUP($C$625,'DB animal categories'!$C$221:$AC$230,27,FALSE)*AJ625+U625+V625+W625,IF(AS625=4,('Calc (ex-animal)'!$N$116+'Calc (ex-animal)'!$O$116)*'Calc (ex-housing, ex-storage)'!F625/100*VLOOKUP(D625,'DB technologies'!$N$294:$Y$306,12,FALSE)/100/VLOOKUP($C$625,'DB animal categories'!$C$221:$AC$230,27,FALSE)*AJ625+U625+V625+W625,0))))))</f>
        <v/>
      </c>
      <c r="AZ625" s="180" t="str">
        <f>IF(D625="","",IF(AS625=2,0,IF(AS625=1,'Calc (ex-animal)'!$Q$116*'Calc (ex-housing, ex-storage)'!F625/100/VLOOKUP($C$625,'DB animal categories'!$C$221:$AC$230,27,FALSE)*AJ625+Y625+Z625+AA625,IF(AS625=5,('Calc (ex-animal)'!$Q$116+'Calc (ex-animal)'!$R$116)*'Calc (ex-housing, ex-storage)'!F625/100/VLOOKUP($C$625,'DB animal categories'!$C$221:$AC$230,27,FALSE)*AJ625+Y625+Z625+AA625,IF(AS625=3,('Calc (ex-animal)'!$Q$116+'Calc (ex-animal)'!$R$116)*'Calc (ex-housing, ex-storage)'!F625/100/VLOOKUP($C$625,'DB animal categories'!$C$221:$AC$230,27,FALSE)*AJ625+Y625+Z625+AA625,IF(AS625=4,('Calc (ex-animal)'!$Q$116+'Calc (ex-animal)'!$R$116)*'Calc (ex-housing, ex-storage)'!F625/100*VLOOKUP(D625,'DB technologies'!$N$294:$Y$306,12,FALSE)/100/VLOOKUP($C$625,'DB animal categories'!$C$221:$AC$230,27,FALSE)*AJ625+Y625+Z625+AA625,0))))))</f>
        <v/>
      </c>
      <c r="BA625" s="506"/>
      <c r="BB625" s="506"/>
      <c r="BC625" s="506"/>
    </row>
    <row r="626" spans="1:55" x14ac:dyDescent="0.2">
      <c r="A626" s="748"/>
      <c r="B626" s="695"/>
      <c r="C626" s="251"/>
      <c r="D626" s="1357"/>
      <c r="E626" s="1399"/>
      <c r="F626" s="480" t="str">
        <f>IF('Calc (ex-animal)'!$F$113=1,"",IF($C$625=0,"",IF(D626="","",E626/'Calc (ex-animal)'!$E$116*100)))</f>
        <v/>
      </c>
      <c r="G626" s="485" t="str">
        <f>IF($C$625=0,"",IF('Calc (ex-animal)'!$F$113=1,"",IF(D626="","",SUM(H626:O626))))</f>
        <v/>
      </c>
      <c r="H626" s="423" t="str">
        <f>IF('Calc (ex-animal)'!$F$113=1,"",IF(D626="","",(((VLOOKUP($C$625,'Calc (ex-animal)'!$D$113:$Y$117,6,FALSE)-VLOOKUP($C$625,'Calc (ex-animal)'!$D$113:$Y$117,17,FALSE))*F626/100))*VLOOKUP($C$625,'Calc (ex-animal)'!$D$113:$Y$117,7,FALSE)/100*(1-VLOOKUP(D626,'DB technologies'!$N$294:$Y$306,9,FALSE)/100)))</f>
        <v/>
      </c>
      <c r="I626" s="423" t="str">
        <f>IF(D626="","",((VLOOKUP(D626,'DB technologies'!$N$294:$Y$306,2,FALSE)*VLOOKUP($C$625,'DB animal categories'!$C$221:$AC$230,27,FALSE)*E626/1000)/VLOOKUP($C$625,'DB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'!$S$6/100*(1-VLOOKUP(D626,'DB technologies'!$N$294:$Y$306,9,FALSE)/100)))</f>
        <v/>
      </c>
      <c r="J626" s="434" t="str">
        <f>IF(D626="","",((VLOOKUP(D626,'DB technologies'!$N$294:$Y$306,3,FALSE)*VLOOKUP($C$625,'DB animal categories'!$C$221:$AC$230,27,FALSE)*E626/1000)/VLOOKUP($C$625,'DB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'!$S$7/100*(1-VLOOKUP(D626,'DB technologies'!$N$294:$Y$306,9,FALSE)/100)))</f>
        <v/>
      </c>
      <c r="K626" s="434" t="str">
        <f>IF(D626="","",((VLOOKUP(D626,'DB technologies'!$N$294:$Y$306,4,FALSE)*E626*'DB additional information '!$S$8/100*(1-VLOOKUP(D626,'DB technologies'!$N$294:$Y$306,9,FALSE)/100))/VLOOKUP($C$625,'DB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L626" s="423" t="str">
        <f>IF('Calc (ex-animal)'!$F$113=1,"",IF(D626="","",(((VLOOKUP($C$625,'Calc (ex-animal)'!$D$113:$Y$117,6,FALSE)-VLOOKUP($C$625,'Calc (ex-animal)'!$D$113:$Y$117,17,FALSE))*F626/100))*(1-VLOOKUP($C$625,'Calc (ex-animal)'!$D$113:$Y$117,7,FALSE)/100)*(1-VLOOKUP(D626,'DB technologies'!$N$294:$V$306,8,FALSE)/100)))</f>
        <v/>
      </c>
      <c r="M626" s="434" t="str">
        <f>IF(D626="","",((VLOOKUP(D626,'DB technologies'!$N$294:$Y$306,2,FALSE)*VLOOKUP($C$625,'DB animal categories'!$C$221:$AC$230,27,FALSE)*E626/1000)/VLOOKUP($C$625,'DB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'!$S$6/100)*(1-VLOOKUP(D626,'DB technologies'!$N$294:$Y$306,9,FALSE)/100))</f>
        <v/>
      </c>
      <c r="N626" s="434" t="str">
        <f>IF(D626="","",((VLOOKUP(D626,'DB technologies'!$N$294:$Y$306,3,FALSE)*VLOOKUP($C$625,'DB animal categories'!$C$221:$AC$230,27,FALSE)*E626/1000)/VLOOKUP($C$625,'DB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'!$S$7/100)*(1-VLOOKUP(D626,'DB technologies'!$N$294:$Y$306,9,FALSE)/100))</f>
        <v/>
      </c>
      <c r="O626" s="423" t="str">
        <f>IF(D626="","",((VLOOKUP(D626,'DB technologies'!$N$294:$Y$306,4,FALSE)*E626*(1-'DB additional information '!$S$8/100)*(1-VLOOKUP(D626,'DB technologies'!$N$294:$Y$306,8,FALSE)/100))/VLOOKUP($C$625,'DB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P626" s="438" t="str">
        <f>IF(G626=0,0,IF(E626="","",IF(F626="","",IF($C$625=0,"",IF(D626="","",SUM(H626:K626)/G626*100)))))</f>
        <v/>
      </c>
      <c r="Q626" s="416" t="str">
        <f>IF(D626="","",(VLOOKUP(D626,'DB technologies'!$N$294:$Y$306,2,FALSE)*'DB additional information '!$S$6/100*'DB additional information '!$T$6*VLOOKUP($C$625,'DB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R626" s="416" t="str">
        <f>IF(D626="","",(VLOOKUP(D626,'DB technologies'!$N$294:$Y$306,3,FALSE)*'DB additional information '!$S$7/100*'DB additional information '!$T$7*VLOOKUP($C$625,'DB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S626" s="491" t="str">
        <f>IF(D626="","",(VLOOKUP(D626,'DB technologies'!$N$294:$Y$306,4,FALSE)*('DB additional information '!$S$8/100*'DB additional information '!$T$8*E626/1000/1000)))</f>
        <v/>
      </c>
      <c r="T626" s="264" t="str">
        <f>IF($C$625=0,"",IF('Calc (ex-animal)'!$F$113=1,"",IF(D626="","",((VLOOKUP($C$625,'Calc (ex-animal)'!$D$113:$Y$117,10,FALSE)-VLOOKUP($C$625,'Calc (ex-animal)'!$D$113:$Y$117,18,FALSE))*F626/100+Q626+R626+S626)-AC626-AD626-AE626)))</f>
        <v/>
      </c>
      <c r="U626" s="422" t="str">
        <f>IF(D626="","",(VLOOKUP(D626,'DB technologies'!$N$294:$Y$306,2,FALSE)*'DB additional information '!$S$6/100*'DB additional information '!$U$6*VLOOKUP($C$625,'DB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V626" s="418" t="str">
        <f>IF(D626="","",(VLOOKUP(D626,'DB technologies'!$N$294:$Y$306,3,FALSE)*'DB additional information '!$S$7/100*'DB additional information '!$U$7*VLOOKUP($C$625,'DB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W626" s="417" t="str">
        <f>IF(D626="","",(VLOOKUP(D626,'DB technologies'!$N$294:$Y$306,4,FALSE)*('DB additional information '!$S$8/100*'DB additional information '!$U$8*E626/1000/1000)))</f>
        <v/>
      </c>
      <c r="X626" s="261" t="str">
        <f>IF($C$625=0,"",IF('Calc (ex-animal)'!$F$113=1,"",IF(D626="","",((VLOOKUP($C$625,'Calc (ex-animal)'!$D$113:$Y$117,13,FALSE)-VLOOKUP($C$625,'Calc (ex-animal)'!$D$113:$Y$117,19,FALSE))*F626/100+U626+V626+W626))))</f>
        <v/>
      </c>
      <c r="Y626" s="418" t="str">
        <f>IF(D626="","",(VLOOKUP(D626,'DB technologies'!$N$294:$Y$306,2,FALSE)*'DB additional information '!$S$6/100*'DB additional information '!$V$6*VLOOKUP($C$625,'DB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Z626" s="418" t="str">
        <f>IF(D626="","",(VLOOKUP(D626,'DB technologies'!$N$294:$Y$306,3,FALSE)*'DB additional information '!$S$7/100*'DB additional information '!$V$7*VLOOKUP($C$625,'DB animal categories'!$C$221:$AC$230,27,FALSE)*E626/1000/1000)/VLOOKUP($C$625,'DB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AA626" s="418" t="str">
        <f>IF(D626="","",(VLOOKUP(D626,'DB technologies'!$N$294:$Y$306,4,FALSE)*('DB additional information '!$S$8/100*'DB additional information '!$V$8*E626/1000/1000)))</f>
        <v/>
      </c>
      <c r="AB626" s="261" t="str">
        <f>IF($C$625=0,"",IF('Calc (ex-animal)'!$F$113=1,"",IF(D626="","",((VLOOKUP($C$625,'Calc (ex-animal)'!$D$113:$Y$117,16,FALSE)-VLOOKUP($C$625,'Calc (ex-animal)'!$D$113:$Y$117,20,FALSE))*F626/100+Y626+Z626+AA626))))</f>
        <v/>
      </c>
      <c r="AC626" s="261" t="str">
        <f>IF($C$625=0,"",IF('Calc (ex-animal)'!$F$113=1,"",IF(D626="","",VLOOKUP($C$625,'Calc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categories'!$C$221:$AC$230,26,FALSE)/24)*F626/100*VLOOKUP(D626,'DB technologies'!$N$294:$R$306,5,FALSE)/100)))</f>
        <v/>
      </c>
      <c r="AD626" s="261" t="str">
        <f>IF($C$625=0,"",IF('Calc (ex-animal)'!$F$113=1,"",IF(D626="","",VLOOKUP($C$625,'Calc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categories'!$C$221:$AC$230,26,FALSE)/24)*F626/100*VLOOKUP(D626,'DB technologies'!$N$294:$Y$306,6,FALSE)/100)))</f>
        <v/>
      </c>
      <c r="AE626" s="262" t="str">
        <f>IF($C$625=0,"",IF('Calc (ex-animal)'!$F$113=1,"",IF(D626="","",VLOOKUP($C$625,'Calc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categories'!$C$221:$AC$230,26,FALSE)/24)*F626/100*VLOOKUP(D626,'DB technologies'!$N$294:$Y$306,7,FALSE)/100)))</f>
        <v/>
      </c>
      <c r="AI626" s="181" t="str">
        <f>IF(D626="","",VLOOKUP(D626,'DB technologies'!$N$294:$Y$306,10,FALSE))</f>
        <v/>
      </c>
      <c r="AJ626" s="449" t="e">
        <f>VLOOKUP($C$625,'DB animal categories'!$C$221:$AN$230,27,FALSE)-VLOOKUP($C$625,'DB animal categories'!$C$221:$AN$230,26,FALSE)*VLOOKUP($C$625,'DB animal categories'!$C$221:$AN$230,25,FALSE)/24</f>
        <v>#N/A</v>
      </c>
      <c r="AK626" s="442" t="str">
        <f>IF(AI626="","",AL626+AM626)</f>
        <v/>
      </c>
      <c r="AL626" s="442" t="str">
        <f>IF(D626="","",IF(AI626=2,(('Calc (ex-animal)'!$G$116*'DB additional information '!$K$24/100*(1-VLOOKUP(D626,'DB technologies'!$N$294:$Y$306,9,FALSE)/100)*'Calc (ex-housing, ex-storage)'!F626/100+'Calc (ex-animal)'!$H$116*'DB additional information '!$L$24/100*(1-VLOOKUP(D626,'DB technologies'!$N$294:$Y$306,9,FALSE)/100)*'Calc (ex-housing, ex-storage)'!F626/100))/VLOOKUP($C$625,'DB animal categories'!$C$221:$AC$230,27,FALSE)*AJ626+I626+J626+K626,IF(AI626=1,('Calc (ex-animal)'!$H$116*'DB additional information '!$L$24/100*(1-VLOOKUP(D626,'DB technologies'!$N$294:$Y$306,9,FALSE)/100)*'Calc (ex-housing, ex-storage)'!F626/100)/VLOOKUP($C$625,'DB animal categories'!$C$221:$AC$230,27,FALSE)*AJ626,IF(AI626=4,('Calc (ex-animal)'!$G$116*'DB additional information '!$K$24/100+'Calc (ex-animal)'!$H$116*'DB additional information '!$L$24/100)*(1-VLOOKUP(D626,'DB technologies'!$N$294:$Y$306,9,FALSE)/100)*'Calc (ex-housing, ex-storage)'!F626/100*VLOOKUP(D626,'DB technologies'!$N$294:$Y$306,11,FALSE)/100/VLOOKUP($C$625,'DB animal categories'!$C$221:$AC$230,27,FALSE)*AJ626,0))))</f>
        <v/>
      </c>
      <c r="AM626" s="442" t="str">
        <f>IF(D626="","",IF(AI626=2,(('Calc (ex-animal)'!$G$116*(1-'DB additional information '!$K$24/100)*(1-VLOOKUP(D626,'DB technologies'!$N$294:$Y$306,8,FALSE)/100)*'Calc (ex-housing, ex-storage)'!F626/100+'Calc (ex-animal)'!$H$116*(1-'DB additional information '!$L$24/100)*(1-VLOOKUP(D626,'DB technologies'!$N$294:$Y$306,8,FALSE)/100)*'Calc (ex-housing, ex-storage)'!F626/100))/VLOOKUP($C$625,'DB animal categories'!$C$221:$AC$230,27,FALSE)*AJ626+M626+N626+O626,IF(AI626=1,('Calc (ex-animal)'!$H$116*(1-'DB additional information '!$L$24/100)*(1-VLOOKUP(D626,'DB technologies'!$N$294:$Y$306,8,FALSE)/100)*'Calc (ex-housing, ex-storage)'!F626/100)/VLOOKUP($C$625,'DB animal categories'!$C$221:$AC$230,27,FALSE)*AJ626,IF(AI626=4,('Calc (ex-animal)'!$G$116*(1-'DB additional information '!$K$24/100)+'Calc (ex-animal)'!$H$116*(1-'DB additional information '!$L$24/100))*(1-VLOOKUP(D626,'DB technologies'!$N$294:$Y$306,8,FALSE)/100)*'Calc (ex-housing, ex-storage)'!F626/100*VLOOKUP(D626,'DB technologies'!$N$294:$Y$306,11,FALSE)/100/VLOOKUP($C$625,'DB animal categories'!$C$221:$AC$230,27,FALSE)*AJ626,0))))</f>
        <v/>
      </c>
      <c r="AN626" s="442" t="str">
        <f>IF(AI626="","",IF(AL626=0,0,AL626/AK626*100))</f>
        <v/>
      </c>
      <c r="AO626" s="182" t="str">
        <f>IF(D626="","",IF(AI626=2,(('Calc (ex-animal)'!$L$116*'Calc (ex-housing, ex-storage)'!F626/100+'Calc (ex-animal)'!$K$116*'Calc (ex-housing, ex-storage)'!F626/100))/VLOOKUP($C$625,'DB animal categories'!$C$221:$AC$230,27,FALSE)*AJ626+Q626+R626+S626-AC626,IF(AI626=1,('Calc (ex-animal)'!$L$116*'Calc (ex-housing, ex-storage)'!F626/100)/VLOOKUP($C$625,'DB animal categories'!$C$221:$AC$230,27,FALSE)*AJ626-'Calc (ex-housing, ex-storage)'!AC626,IF(AI626=4,('Calc (ex-animal)'!$L$116+'Calc (ex-animal)'!$K$116)*'Calc (ex-housing, ex-storage)'!F626/100*VLOOKUP(D626,'DB technologies'!$N$294:$Y$306,11,FALSE)/100/VLOOKUP($C$625,'DB animal categories'!$C$221:$AC$230,27,FALSE)*AJ626-AC626*VLOOKUP(D626,'DB technologies'!$N$294:$Y$306,11,FALSE)/100,0))))</f>
        <v/>
      </c>
      <c r="AP626" s="182" t="str">
        <f>IF(D626="","",IF(AO626&lt;-0.01,0,IF(AI626=2,(('Calc (ex-animal)'!$L$116*'Calc (ex-housing, ex-storage)'!F626/100+'Calc (ex-animal)'!$K$116*'Calc (ex-housing, ex-storage)'!F626/100))/VLOOKUP($C$625,'DB animal categories'!$C$221:$AC$230,27,FALSE)*AJ626+Q626+R626+S626-AC626,IF(AI626=1,('Calc (ex-animal)'!$L$116*'Calc (ex-housing, ex-storage)'!F626/100)/VLOOKUP($C$625,'DB animal categories'!$C$221:$AC$230,27,FALSE)*AJ626-'Calc (ex-housing, ex-storage)'!AC626,IF(AI626=4,('Calc (ex-animal)'!$L$116+'Calc (ex-animal)'!$K$116)*'Calc (ex-housing, ex-storage)'!F626/100*VLOOKUP(D626,'DB technologies'!$N$294:$Y$306,11,FALSE)/100/VLOOKUP($C$625,'DB animal categories'!$C$221:$AC$230,27,FALSE)*AJ626-AC626*VLOOKUP(D626,'DB technologies'!$N$294:$Y$306,11,FALSE)/100,0)))))</f>
        <v/>
      </c>
      <c r="AQ626" s="182" t="str">
        <f>IF(D626="","",IF(AI626=2,('Calc (ex-animal)'!$O$116*'Calc (ex-housing, ex-storage)'!F626/100+'Calc (ex-animal)'!$N$116*'Calc (ex-housing, ex-storage)'!F626/100)/VLOOKUP($C$625,'DB animal categories'!$C$221:$AC$230,27,FALSE)*AJ626+U626+V626+W626,IF(AI626=1,'Calc (ex-animal)'!$O$116*'Calc (ex-housing, ex-storage)'!F626/100/VLOOKUP($C$625,'DB animal categories'!$C$221:$AC$230,27,FALSE)*AJ626,IF(AI626=4,('Calc (ex-animal)'!$O$116+'Calc (ex-animal)'!$N$116)*'Calc (ex-housing, ex-storage)'!F626/100*VLOOKUP(D626,'DB technologies'!$N$294:$Y$306,11,FALSE)/100/VLOOKUP($C$625,'DB animal categories'!$C$221:$AC$230,27,FALSE)*AJ626,0))))</f>
        <v/>
      </c>
      <c r="AR626" s="182" t="str">
        <f>IF(D626="","",IF(AI626=2,('Calc (ex-animal)'!$R$116*'Calc (ex-housing, ex-storage)'!F626/100+'Calc (ex-animal)'!$Q$116*'Calc (ex-housing, ex-storage)'!F626/100)/VLOOKUP($C$625,'DB animal categories'!$C$221:$AC$230,27,FALSE)*AJ626+Y626+Z626+AA626,IF(AI626=1,'Calc (ex-animal)'!$R$116*'Calc (ex-housing, ex-storage)'!F626/100/VLOOKUP($C$625,'DB animal categories'!$C$221:$AC$230,27,FALSE)*AJ626,IF(AI626=4,('Calc (ex-animal)'!$R$116+'Calc (ex-animal)'!$Q$116)*'Calc (ex-housing, ex-storage)'!F626/100*VLOOKUP(D626,'DB technologies'!$N$294:$Y$306,11,FALSE)/100/VLOOKUP($C$625,'DB animal categories'!$C$221:$AC$230,27,FALSE)*AJ626,0))))</f>
        <v/>
      </c>
      <c r="AS626" s="181" t="str">
        <f>IF(D626="","",VLOOKUP(D626,'DB technologies'!$N$294:$Y$306,10,FALSE))</f>
        <v/>
      </c>
      <c r="AT626" s="442" t="str">
        <f>IF(AS626="","",AU626+AV626)</f>
        <v/>
      </c>
      <c r="AU626" s="442" t="str">
        <f>IF(D626="","",IF(AS626=2,0,IF(AS626=1,'Calc (ex-animal)'!$G$116*'DB additional information '!$K$24/100*(1-VLOOKUP(D626,'DB technologies'!$N$294:$Y$306,8,FALSE)/100)*'Calc (ex-housing, ex-storage)'!F626/100/VLOOKUP($C$625,'DB animal categories'!$C$221:$AC$230,27,FALSE)*AJ626+I626+J626+K626,IF(AS626=5,(('Calc (ex-animal)'!$G$116*'DB additional information '!$K$24/100+'Calc (ex-animal)'!$H$116*'DB additional information '!$L$24/100))*(1-VLOOKUP(D626,'DB technologies'!$N$294:$Y$306,9,FALSE)/100)*'Calc (ex-housing, ex-storage)'!F626/100/VLOOKUP($C$625,'DB animal categories'!$C$221:$AC$230,27,FALSE)*AJ626+I626+J626+K626,IF(AS626=3,('Calc (ex-animal)'!$G$116*'DB additional information '!$K$24/100+'Calc (ex-animal)'!$H$116*'DB additional information '!$L$24/100)*(1-VLOOKUP(D626,'DB technologies'!$N$294:$Y$306,9,FALSE)/100)*'Calc (ex-housing, ex-storage)'!F626/100/VLOOKUP($C$625,'DB animal categories'!$C$221:$AC$230,27,FALSE)*AJ626+I626+J626+K626,IF(AS626=4,('Calc (ex-animal)'!$G$116*'DB additional information '!$K$24/100+'Calc (ex-animal)'!$H$116*'DB additional information '!$L$24/100)*(1-VLOOKUP(D626,'DB technologies'!$N$294:$Y$306,9,FALSE)/100)*'Calc (ex-housing, ex-storage)'!F626/100*VLOOKUP(D626,'DB technologies'!$N$294:$Y$306,12,FALSE)/100/VLOOKUP($C$625,'DB animal categories'!$C$221:$AC$230,27,FALSE)*AJ626+I626+J626+K626,0))))))</f>
        <v/>
      </c>
      <c r="AV626" s="442" t="str">
        <f>IF(D626="","",IF(AS626=2,0,IF(AS626=1,'Calc (ex-animal)'!$G$116*(1-'DB additional information '!$K$24/100)*(1-VLOOKUP(D626,'DB technologies'!$N$294:$Y$306,8,FALSE)/100)*'Calc (ex-housing, ex-storage)'!F626/100/VLOOKUP($C$625,'DB animal categories'!$C$221:$AC$230,27,FALSE)*AJ626+M626+N626+O626,IF(AS626=5,('Calc (ex-animal)'!$G$116*(1-'DB additional information '!$K$24/100)+'Calc (ex-animal)'!$H$116*(1-'DB additional information '!$L$24/100))*(1-VLOOKUP(D626,'DB technologies'!$N$294:$Y$306,8,FALSE)/100)*'Calc (ex-housing, ex-storage)'!F626/100/VLOOKUP($C$625,'DB animal categories'!$C$221:$AC$230,27,FALSE)*AJ626+M626+N626+O626,IF(AS626=3,('Calc (ex-animal)'!$G$116*(1-'DB additional information '!$K$24/100)+'Calc (ex-animal)'!$H$116*(1-'DB additional information '!$L$24/100))*(1-VLOOKUP(D626,'DB technologies'!$N$294:$Y$306,8,FALSE)/100)*'Calc (ex-housing, ex-storage)'!F626/100/VLOOKUP($C$625,'DB animal categories'!$C$221:$AC$230,27,FALSE)*AJ626+M626+N626+O626,IF(AS626=4,('Calc (ex-animal)'!$G$116*(1-'DB additional information '!$K$24/100)+'Calc (ex-animal)'!$H$116*(1-'DB additional information '!$L$24/100))*(1-VLOOKUP(D626,'DB technologies'!$N$294:$Y$306,8,FALSE)/100)*'Calc (ex-housing, ex-storage)'!F626/100*VLOOKUP(D626,'DB technologies'!$N$294:$Y$306,12,FALSE)/100/VLOOKUP($C$625,'DB animal categories'!$C$221:$AC$230,27,FALSE)*AJ626+M626+N626+O626,0))))))</f>
        <v/>
      </c>
      <c r="AW626" s="442" t="str">
        <f>IF(AS626="","",IF(AU626=0,0,AU626/AT626*100))</f>
        <v/>
      </c>
      <c r="AX626" s="182" t="str">
        <f>IF(D626="","",IF(AS626=2,0,IF(AS626=1,'Calc (ex-animal)'!$K$116*'Calc (ex-housing, ex-storage)'!F626/100/VLOOKUP($C$625,'DB animal categories'!$C$221:$AC$230,27,FALSE)*AJ626+Q626+R626+S626,IF(AS626=5,('Calc (ex-animal)'!$K$116+'Calc (ex-animal)'!$L$116)*'Calc (ex-housing, ex-storage)'!F626/100/VLOOKUP($C$625,'DB animal categories'!$C$221:$AC$230,27,FALSE)*AJ626+Q626+R626+S626-'Calc (ex-housing, ex-storage)'!AC626,IF(AS626=3,('Calc (ex-animal)'!$K$116+'Calc (ex-animal)'!$L$116)*'Calc (ex-housing, ex-storage)'!F626/100/VLOOKUP($C$625,'DB animal categories'!$C$221:$AC$230,27,FALSE)*AJ626+Q626+R626+S626-'Calc (ex-housing, ex-storage)'!AC626-AD626-AE626,IF(AI626=4,('Calc (ex-animal)'!$K$116+'Calc (ex-animal)'!$L$116)*'Calc (ex-housing, ex-storage)'!F626/100*VLOOKUP(D626,'DB technologies'!$N$294:$Y$306,12,FALSE)/100/VLOOKUP($C$625,'DB animal categories'!$C$221:$AC$230,27,FALSE)*AJ626+Q626+R626+S626-(VLOOKUP(D626,'DB technologies'!$N$294:$Y$306,12,FALSE)/100*AC626)-AD626-AE626,0))))))</f>
        <v/>
      </c>
      <c r="AY626" s="182" t="str">
        <f>IF(D626="","",IF(AS626=2,0,IF(AS626=1,'Calc (ex-animal)'!$N$116*'Calc (ex-housing, ex-storage)'!F626/100/VLOOKUP($C$625,'DB animal categories'!$C$221:$AC$230,27,FALSE)*AJ626+U626+V626+W626,IF(AS626=5,('Calc (ex-animal)'!$N$116+'Calc (ex-animal)'!$O$116)*'Calc (ex-housing, ex-storage)'!F626/100/VLOOKUP($C$625,'DB animal categories'!$C$221:$AC$230,27,FALSE)*AJ626+U626+V626+W626,IF(AS626=3,('Calc (ex-animal)'!$N$116+'Calc (ex-animal)'!$O$116)*'Calc (ex-housing, ex-storage)'!F626/100/VLOOKUP($C$625,'DB animal categories'!$C$221:$AC$230,27,FALSE)*AJ626+U626+V626+W626,IF(AS626=4,('Calc (ex-animal)'!$N$116+'Calc (ex-animal)'!$O$116)*'Calc (ex-housing, ex-storage)'!F626/100*VLOOKUP(D626,'DB technologies'!$N$294:$Y$306,12,FALSE)/100/VLOOKUP($C$625,'DB animal categories'!$C$221:$AC$230,27,FALSE)*AJ626+U626+V626+W626,0))))))</f>
        <v/>
      </c>
      <c r="AZ626" s="182" t="str">
        <f>IF(D626="","",IF(AS626=2,0,IF(AS626=1,'Calc (ex-animal)'!$Q$116*'Calc (ex-housing, ex-storage)'!F626/100/VLOOKUP($C$625,'DB animal categories'!$C$221:$AC$230,27,FALSE)*AJ626+Y626+Z626+AA626,IF(AS626=5,('Calc (ex-animal)'!$Q$116+'Calc (ex-animal)'!$R$116)*'Calc (ex-housing, ex-storage)'!F626/100/VLOOKUP($C$625,'DB animal categories'!$C$221:$AC$230,27,FALSE)*AJ626+Y626+Z626+AA626,IF(AS626=3,('Calc (ex-animal)'!$Q$116+'Calc (ex-animal)'!$R$116)*'Calc (ex-housing, ex-storage)'!F626/100/VLOOKUP($C$625,'DB animal categories'!$C$221:$AC$230,27,FALSE)*AJ626+Y626+Z626+AA626,IF(AS626=4,('Calc (ex-animal)'!$Q$116+'Calc (ex-animal)'!$R$116)*'Calc (ex-housing, ex-storage)'!F626/100*VLOOKUP(D626,'DB technologies'!$N$294:$Y$306,12,FALSE)/100/VLOOKUP($C$625,'DB animal categories'!$C$221:$AC$230,27,FALSE)*AJ626+Y626+Z626+AA626,0))))))</f>
        <v/>
      </c>
      <c r="BA626" s="506"/>
      <c r="BB626" s="506"/>
      <c r="BC626" s="506"/>
    </row>
    <row r="627" spans="1:55" x14ac:dyDescent="0.2">
      <c r="A627" s="748"/>
      <c r="B627" s="695"/>
      <c r="C627" s="251"/>
      <c r="D627" s="1357"/>
      <c r="E627" s="1399"/>
      <c r="F627" s="480" t="str">
        <f>IF('Calc (ex-animal)'!$F$113=1,"",IF($C$625=0,"",IF(D627="","",E627/'Calc (ex-animal)'!$E$116*100)))</f>
        <v/>
      </c>
      <c r="G627" s="485" t="str">
        <f>IF($C$625=0,"",IF('Calc (ex-animal)'!$F$113=1,"",IF(D627="","",SUM(H627:O627))))</f>
        <v/>
      </c>
      <c r="H627" s="423" t="str">
        <f>IF('Calc (ex-animal)'!$F$113=1,"",IF(D627="","",(((VLOOKUP($C$625,'Calc (ex-animal)'!$D$113:$Y$117,6,FALSE)-VLOOKUP($C$625,'Calc (ex-animal)'!$D$113:$Y$117,17,FALSE))*F627/100))*VLOOKUP($C$625,'Calc (ex-animal)'!$D$113:$Y$117,7,FALSE)/100*(1-VLOOKUP(D627,'DB technologies'!$N$294:$Y$306,9,FALSE)/100)))</f>
        <v/>
      </c>
      <c r="I627" s="423" t="str">
        <f>IF(D627="","",((VLOOKUP(D627,'DB technologies'!$N$294:$Y$306,2,FALSE)*VLOOKUP($C$625,'DB animal categories'!$C$221:$AC$230,27,FALSE)*E627/1000)/VLOOKUP($C$625,'DB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'!$S$6/100*(1-VLOOKUP(D627,'DB technologies'!$N$294:$Y$306,9,FALSE)/100)))</f>
        <v/>
      </c>
      <c r="J627" s="434" t="str">
        <f>IF(D627="","",((VLOOKUP(D627,'DB technologies'!$N$294:$Y$306,3,FALSE)*VLOOKUP($C$625,'DB animal categories'!$C$221:$AC$230,27,FALSE)*E627/1000)/VLOOKUP($C$625,'DB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'!$S$7/100*(1-VLOOKUP(D627,'DB technologies'!$N$294:$Y$306,9,FALSE)/100)))</f>
        <v/>
      </c>
      <c r="K627" s="434" t="str">
        <f>IF(D627="","",((VLOOKUP(D627,'DB technologies'!$N$294:$Y$306,4,FALSE)*E627*'DB additional information '!$S$8/100*(1-VLOOKUP(D627,'DB technologies'!$N$294:$Y$306,9,FALSE)/100))/VLOOKUP($C$625,'DB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L627" s="423" t="str">
        <f>IF('Calc (ex-animal)'!$F$113=1,"",IF(D627="","",(((VLOOKUP($C$625,'Calc (ex-animal)'!$D$113:$Y$117,6,FALSE)-VLOOKUP($C$625,'Calc (ex-animal)'!$D$113:$Y$117,17,FALSE))*F627/100))*(1-VLOOKUP($C$625,'Calc (ex-animal)'!$D$113:$Y$117,7,FALSE)/100)*(1-VLOOKUP(D627,'DB technologies'!$N$294:$V$306,8,FALSE)/100)))</f>
        <v/>
      </c>
      <c r="M627" s="434" t="str">
        <f>IF(D627="","",((VLOOKUP(D627,'DB technologies'!$N$294:$Y$306,2,FALSE)*VLOOKUP($C$625,'DB animal categories'!$C$221:$AC$230,27,FALSE)*E627/1000)/VLOOKUP($C$625,'DB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'!$S$6/100)*(1-VLOOKUP(D627,'DB technologies'!$N$294:$Y$306,9,FALSE)/100))</f>
        <v/>
      </c>
      <c r="N627" s="434" t="str">
        <f>IF(D627="","",((VLOOKUP(D627,'DB technologies'!$N$294:$Y$306,3,FALSE)*VLOOKUP($C$625,'DB animal categories'!$C$221:$AC$230,27,FALSE)*E627/1000)/VLOOKUP($C$625,'DB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'!$S$7/100)*(1-VLOOKUP(D627,'DB technologies'!$N$294:$Y$306,9,FALSE)/100))</f>
        <v/>
      </c>
      <c r="O627" s="423" t="str">
        <f>IF(D627="","",((VLOOKUP(D627,'DB technologies'!$N$294:$Y$306,4,FALSE)*E627*(1-'DB additional information '!$S$8/100)*(1-VLOOKUP(D627,'DB technologies'!$N$294:$Y$306,8,FALSE)/100))/VLOOKUP($C$625,'DB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P627" s="438" t="str">
        <f>IF(G627=0,0,IF(E627="","",IF(F627="","",IF($C$625=0,"",IF(D627="","",SUM(H627:K627)/G627*100)))))</f>
        <v/>
      </c>
      <c r="Q627" s="416" t="str">
        <f>IF(D627="","",(VLOOKUP(D627,'DB technologies'!$N$294:$Y$306,2,FALSE)*'DB additional information '!$S$6/100*'DB additional information '!$T$6*VLOOKUP($C$625,'DB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R627" s="416" t="str">
        <f>IF(D627="","",(VLOOKUP(D627,'DB technologies'!$N$294:$Y$306,3,FALSE)*'DB additional information '!$S$7/100*'DB additional information '!$T$7*VLOOKUP($C$625,'DB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S627" s="491" t="str">
        <f>IF(D627="","",(VLOOKUP(D627,'DB technologies'!$N$294:$Y$306,4,FALSE)*('DB additional information '!$S$8/100*'DB additional information '!$T$8*E627/1000/1000)))</f>
        <v/>
      </c>
      <c r="T627" s="264" t="str">
        <f>IF($C$625=0,"",IF('Calc (ex-animal)'!$F$113=1,"",IF(D627="","",((VLOOKUP($C$625,'Calc (ex-animal)'!$D$113:$Y$117,10,FALSE)-VLOOKUP($C$625,'Calc (ex-animal)'!$D$113:$Y$117,18,FALSE))*F627/100+Q627+R627+S627)-AC627-AD627-AE627)))</f>
        <v/>
      </c>
      <c r="U627" s="422" t="str">
        <f>IF(D627="","",(VLOOKUP(D627,'DB technologies'!$N$294:$Y$306,2,FALSE)*'DB additional information '!$S$6/100*'DB additional information '!$U$6*VLOOKUP($C$625,'DB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V627" s="418" t="str">
        <f>IF(D627="","",(VLOOKUP(D627,'DB technologies'!$N$294:$Y$306,3,FALSE)*'DB additional information '!$S$7/100*'DB additional information '!$U$7*VLOOKUP($C$625,'DB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W627" s="417" t="str">
        <f>IF(D627="","",(VLOOKUP(D627,'DB technologies'!$N$294:$Y$306,4,FALSE)*('DB additional information '!$S$8/100*'DB additional information '!$U$8*E627/1000/1000)))</f>
        <v/>
      </c>
      <c r="X627" s="261" t="str">
        <f>IF($C$625=0,"",IF('Calc (ex-animal)'!$F$113=1,"",IF(D627="","",((VLOOKUP($C$625,'Calc (ex-animal)'!$D$113:$Y$117,13,FALSE)-VLOOKUP($C$625,'Calc (ex-animal)'!$D$113:$Y$117,19,FALSE))*F627/100+U627+V627+W627))))</f>
        <v/>
      </c>
      <c r="Y627" s="418" t="str">
        <f>IF(D627="","",(VLOOKUP(D627,'DB technologies'!$N$294:$Y$306,2,FALSE)*'DB additional information '!$S$6/100*'DB additional information '!$V$6*VLOOKUP($C$625,'DB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Z627" s="418" t="str">
        <f>IF(D627="","",(VLOOKUP(D627,'DB technologies'!$N$294:$Y$306,3,FALSE)*'DB additional information '!$S$7/100*'DB additional information '!$V$7*VLOOKUP($C$625,'DB animal categories'!$C$221:$AC$230,27,FALSE)*E627/1000/1000)/VLOOKUP($C$625,'DB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AA627" s="418" t="str">
        <f>IF(D627="","",(VLOOKUP(D627,'DB technologies'!$N$294:$Y$306,4,FALSE)*('DB additional information '!$S$8/100*'DB additional information '!$V$8*E627/1000/1000)))</f>
        <v/>
      </c>
      <c r="AB627" s="261" t="str">
        <f>IF($C$625=0,"",IF('Calc (ex-animal)'!$F$113=1,"",IF(D627="","",((VLOOKUP($C$625,'Calc (ex-animal)'!$D$113:$Y$117,16,FALSE)-VLOOKUP($C$625,'Calc (ex-animal)'!$D$113:$Y$117,20,FALSE))*F627/100+Y627+Z627+AA627))))</f>
        <v/>
      </c>
      <c r="AC627" s="261" t="str">
        <f>IF($C$625=0,"",IF('Calc (ex-animal)'!$F$113=1,"",IF(D627="","",VLOOKUP($C$625,'Calc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categories'!$C$221:$AC$230,26,FALSE)/24)*F627/100*VLOOKUP(D627,'DB technologies'!$N$294:$R$306,5,FALSE)/100)))</f>
        <v/>
      </c>
      <c r="AD627" s="261" t="str">
        <f>IF($C$625=0,"",IF('Calc (ex-animal)'!$F$113=1,"",IF(D627="","",VLOOKUP($C$625,'Calc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categories'!$C$221:$AC$230,26,FALSE)/24)*F627/100*VLOOKUP(D627,'DB technologies'!$N$294:$Y$306,6,FALSE)/100)))</f>
        <v/>
      </c>
      <c r="AE627" s="262" t="str">
        <f>IF($C$625=0,"",IF('Calc (ex-animal)'!$F$113=1,"",IF(D627="","",VLOOKUP($C$625,'Calc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categories'!$C$221:$AC$230,26,FALSE)/24)*F627/100*VLOOKUP(D627,'DB technologies'!$N$294:$Y$306,7,FALSE)/100)))</f>
        <v/>
      </c>
      <c r="AI627" s="181" t="str">
        <f>IF(D627="","",VLOOKUP(D627,'DB technologies'!$N$294:$Y$306,10,FALSE))</f>
        <v/>
      </c>
      <c r="AJ627" s="449" t="e">
        <f>VLOOKUP($C$625,'DB animal categories'!$C$221:$AN$230,27,FALSE)-VLOOKUP($C$625,'DB animal categories'!$C$221:$AN$230,26,FALSE)*VLOOKUP($C$625,'DB animal categories'!$C$221:$AN$230,25,FALSE)/24</f>
        <v>#N/A</v>
      </c>
      <c r="AK627" s="442" t="str">
        <f>IF(AI627="","",AL627+AM627)</f>
        <v/>
      </c>
      <c r="AL627" s="442" t="str">
        <f>IF(D627="","",IF(AI627=2,(('Calc (ex-animal)'!$G$116*'DB additional information '!$K$24/100*(1-VLOOKUP(D627,'DB technologies'!$N$294:$Y$306,9,FALSE)/100)*'Calc (ex-housing, ex-storage)'!F627/100+'Calc (ex-animal)'!$H$116*'DB additional information '!$L$24/100*(1-VLOOKUP(D627,'DB technologies'!$N$294:$Y$306,9,FALSE)/100)*'Calc (ex-housing, ex-storage)'!F627/100))/VLOOKUP($C$625,'DB animal categories'!$C$221:$AC$230,27,FALSE)*AJ627+I627+J627+K627,IF(AI627=1,('Calc (ex-animal)'!$H$116*'DB additional information '!$L$24/100*(1-VLOOKUP(D627,'DB technologies'!$N$294:$Y$306,9,FALSE)/100)*'Calc (ex-housing, ex-storage)'!F627/100)/VLOOKUP($C$625,'DB animal categories'!$C$221:$AC$230,27,FALSE)*AJ627,IF(AI627=4,('Calc (ex-animal)'!$G$116*'DB additional information '!$K$24/100+'Calc (ex-animal)'!$H$116*'DB additional information '!$L$24/100)*(1-VLOOKUP(D627,'DB technologies'!$N$294:$Y$306,9,FALSE)/100)*'Calc (ex-housing, ex-storage)'!F627/100*VLOOKUP(D627,'DB technologies'!$N$294:$Y$306,11,FALSE)/100/VLOOKUP($C$625,'DB animal categories'!$C$221:$AC$230,27,FALSE)*AJ627,0))))</f>
        <v/>
      </c>
      <c r="AM627" s="442" t="str">
        <f>IF(D627="","",IF(AI627=2,(('Calc (ex-animal)'!$G$116*(1-'DB additional information '!$K$24/100)*(1-VLOOKUP(D627,'DB technologies'!$N$294:$Y$306,8,FALSE)/100)*'Calc (ex-housing, ex-storage)'!F627/100+'Calc (ex-animal)'!$H$116*(1-'DB additional information '!$L$24/100)*(1-VLOOKUP(D627,'DB technologies'!$N$294:$Y$306,8,FALSE)/100)*'Calc (ex-housing, ex-storage)'!F627/100))/VLOOKUP($C$625,'DB animal categories'!$C$221:$AC$230,27,FALSE)*AJ627+M627+N627+O627,IF(AI627=1,('Calc (ex-animal)'!$H$116*(1-'DB additional information '!$L$24/100)*(1-VLOOKUP(D627,'DB technologies'!$N$294:$Y$306,8,FALSE)/100)*'Calc (ex-housing, ex-storage)'!F627/100)/VLOOKUP($C$625,'DB animal categories'!$C$221:$AC$230,27,FALSE)*AJ627,IF(AI627=4,('Calc (ex-animal)'!$G$116*(1-'DB additional information '!$K$24/100)+'Calc (ex-animal)'!$H$116*(1-'DB additional information '!$L$24/100))*(1-VLOOKUP(D627,'DB technologies'!$N$294:$Y$306,8,FALSE)/100)*'Calc (ex-housing, ex-storage)'!F627/100*VLOOKUP(D627,'DB technologies'!$N$294:$Y$306,11,FALSE)/100/VLOOKUP($C$625,'DB animal categories'!$C$221:$AC$230,27,FALSE)*AJ627,0))))</f>
        <v/>
      </c>
      <c r="AN627" s="442" t="str">
        <f>IF(AI627="","",IF(AL627=0,0,AL627/AK627*100))</f>
        <v/>
      </c>
      <c r="AO627" s="182" t="str">
        <f>IF(D627="","",IF(AI627=2,(('Calc (ex-animal)'!$L$116*'Calc (ex-housing, ex-storage)'!F627/100+'Calc (ex-animal)'!$K$116*'Calc (ex-housing, ex-storage)'!F627/100))/VLOOKUP($C$625,'DB animal categories'!$C$221:$AC$230,27,FALSE)*AJ627+Q627+R627+S627-AC627,IF(AI627=1,('Calc (ex-animal)'!$L$116*'Calc (ex-housing, ex-storage)'!F627/100)/VLOOKUP($C$625,'DB animal categories'!$C$221:$AC$230,27,FALSE)*AJ627-'Calc (ex-housing, ex-storage)'!AC627,IF(AI627=4,('Calc (ex-animal)'!$L$116+'Calc (ex-animal)'!$K$116)*'Calc (ex-housing, ex-storage)'!F627/100*VLOOKUP(D627,'DB technologies'!$N$294:$Y$306,11,FALSE)/100/VLOOKUP($C$625,'DB animal categories'!$C$221:$AC$230,27,FALSE)*AJ627-AC627*VLOOKUP(D627,'DB technologies'!$N$294:$Y$306,11,FALSE)/100,0))))</f>
        <v/>
      </c>
      <c r="AP627" s="182" t="str">
        <f>IF(D627="","",IF(AO627&lt;-0.01,0,IF(AI627=2,(('Calc (ex-animal)'!$L$116*'Calc (ex-housing, ex-storage)'!F627/100+'Calc (ex-animal)'!$K$116*'Calc (ex-housing, ex-storage)'!F627/100))/VLOOKUP($C$625,'DB animal categories'!$C$221:$AC$230,27,FALSE)*AJ627+Q627+R627+S627-AC627,IF(AI627=1,('Calc (ex-animal)'!$L$116*'Calc (ex-housing, ex-storage)'!F627/100)/VLOOKUP($C$625,'DB animal categories'!$C$221:$AC$230,27,FALSE)*AJ627-'Calc (ex-housing, ex-storage)'!AC627,IF(AI627=4,('Calc (ex-animal)'!$L$116+'Calc (ex-animal)'!$K$116)*'Calc (ex-housing, ex-storage)'!F627/100*VLOOKUP(D627,'DB technologies'!$N$294:$Y$306,11,FALSE)/100/VLOOKUP($C$625,'DB animal categories'!$C$221:$AC$230,27,FALSE)*AJ627-AC627*VLOOKUP(D627,'DB technologies'!$N$294:$Y$306,11,FALSE)/100,0)))))</f>
        <v/>
      </c>
      <c r="AQ627" s="182" t="str">
        <f>IF(D627="","",IF(AI627=2,('Calc (ex-animal)'!$O$116*'Calc (ex-housing, ex-storage)'!F627/100+'Calc (ex-animal)'!$N$116*'Calc (ex-housing, ex-storage)'!F627/100)/VLOOKUP($C$625,'DB animal categories'!$C$221:$AC$230,27,FALSE)*AJ627+U627+V627+W627,IF(AI627=1,'Calc (ex-animal)'!$O$116*'Calc (ex-housing, ex-storage)'!F627/100/VLOOKUP($C$625,'DB animal categories'!$C$221:$AC$230,27,FALSE)*AJ627,IF(AI627=4,('Calc (ex-animal)'!$O$116+'Calc (ex-animal)'!$N$116)*'Calc (ex-housing, ex-storage)'!F627/100*VLOOKUP(D627,'DB technologies'!$N$294:$Y$306,11,FALSE)/100/VLOOKUP($C$625,'DB animal categories'!$C$221:$AC$230,27,FALSE)*AJ627,0))))</f>
        <v/>
      </c>
      <c r="AR627" s="182" t="str">
        <f>IF(D627="","",IF(AI627=2,('Calc (ex-animal)'!$R$116*'Calc (ex-housing, ex-storage)'!F627/100+'Calc (ex-animal)'!$Q$116*'Calc (ex-housing, ex-storage)'!F627/100)/VLOOKUP($C$625,'DB animal categories'!$C$221:$AC$230,27,FALSE)*AJ627+Y627+Z627+AA627,IF(AI627=1,'Calc (ex-animal)'!$R$116*'Calc (ex-housing, ex-storage)'!F627/100/VLOOKUP($C$625,'DB animal categories'!$C$221:$AC$230,27,FALSE)*AJ627,IF(AI627=4,('Calc (ex-animal)'!$R$116+'Calc (ex-animal)'!$Q$116)*'Calc (ex-housing, ex-storage)'!F627/100*VLOOKUP(D627,'DB technologies'!$N$294:$Y$306,11,FALSE)/100/VLOOKUP($C$625,'DB animal categories'!$C$221:$AC$230,27,FALSE)*AJ627,0))))</f>
        <v/>
      </c>
      <c r="AS627" s="181" t="str">
        <f>IF(D627="","",VLOOKUP(D627,'DB technologies'!$N$294:$Y$306,10,FALSE))</f>
        <v/>
      </c>
      <c r="AT627" s="442" t="str">
        <f>IF(AS627="","",AU627+AV627)</f>
        <v/>
      </c>
      <c r="AU627" s="442" t="str">
        <f>IF(D627="","",IF(AS627=2,0,IF(AS627=1,'Calc (ex-animal)'!$G$116*'DB additional information '!$K$24/100*(1-VLOOKUP(D627,'DB technologies'!$N$294:$Y$306,8,FALSE)/100)*'Calc (ex-housing, ex-storage)'!F627/100/VLOOKUP($C$625,'DB animal categories'!$C$221:$AC$230,27,FALSE)*AJ627+I627+J627+K627,IF(AS627=5,(('Calc (ex-animal)'!$G$116*'DB additional information '!$K$24/100+'Calc (ex-animal)'!$H$116*'DB additional information '!$L$24/100))*(1-VLOOKUP(D627,'DB technologies'!$N$294:$Y$306,9,FALSE)/100)*'Calc (ex-housing, ex-storage)'!F627/100/VLOOKUP($C$625,'DB animal categories'!$C$221:$AC$230,27,FALSE)*AJ627+I627+J627+K627,IF(AS627=3,('Calc (ex-animal)'!$G$116*'DB additional information '!$K$24/100+'Calc (ex-animal)'!$H$116*'DB additional information '!$L$24/100)*(1-VLOOKUP(D627,'DB technologies'!$N$294:$Y$306,9,FALSE)/100)*'Calc (ex-housing, ex-storage)'!F627/100/VLOOKUP($C$625,'DB animal categories'!$C$221:$AC$230,27,FALSE)*AJ627+I627+J627+K627,IF(AS627=4,('Calc (ex-animal)'!$G$116*'DB additional information '!$K$24/100+'Calc (ex-animal)'!$H$116*'DB additional information '!$L$24/100)*(1-VLOOKUP(D627,'DB technologies'!$N$294:$Y$306,9,FALSE)/100)*'Calc (ex-housing, ex-storage)'!F627/100*VLOOKUP(D627,'DB technologies'!$N$294:$Y$306,12,FALSE)/100/VLOOKUP($C$625,'DB animal categories'!$C$221:$AC$230,27,FALSE)*AJ627+I627+J627+K627,0))))))</f>
        <v/>
      </c>
      <c r="AV627" s="442" t="str">
        <f>IF(D627="","",IF(AS627=2,0,IF(AS627=1,'Calc (ex-animal)'!$G$116*(1-'DB additional information '!$K$24/100)*(1-VLOOKUP(D627,'DB technologies'!$N$294:$Y$306,8,FALSE)/100)*'Calc (ex-housing, ex-storage)'!F627/100/VLOOKUP($C$625,'DB animal categories'!$C$221:$AC$230,27,FALSE)*AJ627+M627+N627+O627,IF(AS627=5,('Calc (ex-animal)'!$G$116*(1-'DB additional information '!$K$24/100)+'Calc (ex-animal)'!$H$116*(1-'DB additional information '!$L$24/100))*(1-VLOOKUP(D627,'DB technologies'!$N$294:$Y$306,8,FALSE)/100)*'Calc (ex-housing, ex-storage)'!F627/100/VLOOKUP($C$625,'DB animal categories'!$C$221:$AC$230,27,FALSE)*AJ627+M627+N627+O627,IF(AS627=3,('Calc (ex-animal)'!$G$116*(1-'DB additional information '!$K$24/100)+'Calc (ex-animal)'!$H$116*(1-'DB additional information '!$L$24/100))*(1-VLOOKUP(D627,'DB technologies'!$N$294:$Y$306,8,FALSE)/100)*'Calc (ex-housing, ex-storage)'!F627/100/VLOOKUP($C$625,'DB animal categories'!$C$221:$AC$230,27,FALSE)*AJ627+M627+N627+O627,IF(AS627=4,('Calc (ex-animal)'!$G$116*(1-'DB additional information '!$K$24/100)+'Calc (ex-animal)'!$H$116*(1-'DB additional information '!$L$24/100))*(1-VLOOKUP(D627,'DB technologies'!$N$294:$Y$306,8,FALSE)/100)*'Calc (ex-housing, ex-storage)'!F627/100*VLOOKUP(D627,'DB technologies'!$N$294:$Y$306,12,FALSE)/100/VLOOKUP($C$625,'DB animal categories'!$C$221:$AC$230,27,FALSE)*AJ627+M627+N627+O627,0))))))</f>
        <v/>
      </c>
      <c r="AW627" s="442" t="str">
        <f>IF(AS627="","",IF(AU627=0,0,AU627/AT627*100))</f>
        <v/>
      </c>
      <c r="AX627" s="182" t="str">
        <f>IF(D627="","",IF(AS627=2,0,IF(AS627=1,'Calc (ex-animal)'!$K$116*'Calc (ex-housing, ex-storage)'!F627/100/VLOOKUP($C$625,'DB animal categories'!$C$221:$AC$230,27,FALSE)*AJ627+Q627+R627+S627,IF(AS627=5,('Calc (ex-animal)'!$K$116+'Calc (ex-animal)'!$L$116)*'Calc (ex-housing, ex-storage)'!F627/100/VLOOKUP($C$625,'DB animal categories'!$C$221:$AC$230,27,FALSE)*AJ627+Q627+R627+S627-'Calc (ex-housing, ex-storage)'!AC627,IF(AS627=3,('Calc (ex-animal)'!$K$116+'Calc (ex-animal)'!$L$116)*'Calc (ex-housing, ex-storage)'!F627/100/VLOOKUP($C$625,'DB animal categories'!$C$221:$AC$230,27,FALSE)*AJ627+Q627+R627+S627-'Calc (ex-housing, ex-storage)'!AC627-AD627-AE627,IF(AI627=4,('Calc (ex-animal)'!$K$116+'Calc (ex-animal)'!$L$116)*'Calc (ex-housing, ex-storage)'!F627/100*VLOOKUP(D627,'DB technologies'!$N$294:$Y$306,12,FALSE)/100/VLOOKUP($C$625,'DB animal categories'!$C$221:$AC$230,27,FALSE)*AJ627+Q627+R627+S627-(VLOOKUP(D627,'DB technologies'!$N$294:$Y$306,12,FALSE)/100*AC627)-AD627-AE627,0))))))</f>
        <v/>
      </c>
      <c r="AY627" s="182" t="str">
        <f>IF(D627="","",IF(AS627=2,0,IF(AS627=1,'Calc (ex-animal)'!$N$116*'Calc (ex-housing, ex-storage)'!F627/100/VLOOKUP($C$625,'DB animal categories'!$C$221:$AC$230,27,FALSE)*AJ627+U627+V627+W627,IF(AS627=5,('Calc (ex-animal)'!$N$116+'Calc (ex-animal)'!$O$116)*'Calc (ex-housing, ex-storage)'!F627/100/VLOOKUP($C$625,'DB animal categories'!$C$221:$AC$230,27,FALSE)*AJ627+U627+V627+W627,IF(AS627=3,('Calc (ex-animal)'!$N$116+'Calc (ex-animal)'!$O$116)*'Calc (ex-housing, ex-storage)'!F627/100/VLOOKUP($C$625,'DB animal categories'!$C$221:$AC$230,27,FALSE)*AJ627+U627+V627+W627,IF(AS627=4,('Calc (ex-animal)'!$N$116+'Calc (ex-animal)'!$O$116)*'Calc (ex-housing, ex-storage)'!F627/100*VLOOKUP(D627,'DB technologies'!$N$294:$Y$306,12,FALSE)/100/VLOOKUP($C$625,'DB animal categories'!$C$221:$AC$230,27,FALSE)*AJ627+U627+V627+W627,0))))))</f>
        <v/>
      </c>
      <c r="AZ627" s="182" t="str">
        <f>IF(D627="","",IF(AS627=2,0,IF(AS627=1,'Calc (ex-animal)'!$Q$116*'Calc (ex-housing, ex-storage)'!F627/100/VLOOKUP($C$625,'DB animal categories'!$C$221:$AC$230,27,FALSE)*AJ627+Y627+Z627+AA627,IF(AS627=5,('Calc (ex-animal)'!$Q$116+'Calc (ex-animal)'!$R$116)*'Calc (ex-housing, ex-storage)'!F627/100/VLOOKUP($C$625,'DB animal categories'!$C$221:$AC$230,27,FALSE)*AJ627+Y627+Z627+AA627,IF(AS627=3,('Calc (ex-animal)'!$Q$116+'Calc (ex-animal)'!$R$116)*'Calc (ex-housing, ex-storage)'!F627/100/VLOOKUP($C$625,'DB animal categories'!$C$221:$AC$230,27,FALSE)*AJ627+Y627+Z627+AA627,IF(AS627=4,('Calc (ex-animal)'!$Q$116+'Calc (ex-animal)'!$R$116)*'Calc (ex-housing, ex-storage)'!F627/100*VLOOKUP(D627,'DB technologies'!$N$294:$Y$306,12,FALSE)/100/VLOOKUP($C$625,'DB animal categories'!$C$221:$AC$230,27,FALSE)*AJ627+Y627+Z627+AA627,0))))))</f>
        <v/>
      </c>
      <c r="BA627" s="506"/>
      <c r="BB627" s="506"/>
      <c r="BC627" s="506"/>
    </row>
    <row r="628" spans="1:55" x14ac:dyDescent="0.2">
      <c r="A628" s="748"/>
      <c r="B628" s="695"/>
      <c r="C628" s="251"/>
      <c r="D628" s="1357"/>
      <c r="E628" s="1399"/>
      <c r="F628" s="480" t="str">
        <f>IF('Calc (ex-animal)'!$F$113=1,"",IF($C$625=0,"",IF(D628="","",E628/'Calc (ex-animal)'!$E$116*100)))</f>
        <v/>
      </c>
      <c r="G628" s="485" t="str">
        <f>IF($C$625=0,"",IF('Calc (ex-animal)'!$F$113=1,"",IF(D628="","",SUM(H628:O628))))</f>
        <v/>
      </c>
      <c r="H628" s="423" t="str">
        <f>IF('Calc (ex-animal)'!$F$113=1,"",IF(D628="","",(((VLOOKUP($C$625,'Calc (ex-animal)'!$D$113:$Y$117,6,FALSE)-VLOOKUP($C$625,'Calc (ex-animal)'!$D$113:$Y$117,17,FALSE))*F628/100))*VLOOKUP($C$625,'Calc (ex-animal)'!$D$113:$Y$117,7,FALSE)/100*(1-VLOOKUP(D628,'DB technologies'!$N$294:$Y$306,9,FALSE)/100)))</f>
        <v/>
      </c>
      <c r="I628" s="423" t="str">
        <f>IF(D628="","",((VLOOKUP(D628,'DB technologies'!$N$294:$Y$306,2,FALSE)*VLOOKUP($C$625,'DB animal categories'!$C$221:$AC$230,27,FALSE)*E628/1000)/VLOOKUP($C$625,'DB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'!$S$6/100*(1-VLOOKUP(D628,'DB technologies'!$N$294:$Y$306,9,FALSE)/100)))</f>
        <v/>
      </c>
      <c r="J628" s="434" t="str">
        <f>IF(D628="","",((VLOOKUP(D628,'DB technologies'!$N$294:$Y$306,3,FALSE)*VLOOKUP($C$625,'DB animal categories'!$C$221:$AC$230,27,FALSE)*E628/1000)/VLOOKUP($C$625,'DB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'!$S$7/100*(1-VLOOKUP(D628,'DB technologies'!$N$294:$Y$306,9,FALSE)/100)))</f>
        <v/>
      </c>
      <c r="K628" s="434" t="str">
        <f>IF(D628="","",((VLOOKUP(D628,'DB technologies'!$N$294:$Y$306,4,FALSE)*E628*'DB additional information '!$S$8/100*(1-VLOOKUP(D628,'DB technologies'!$N$294:$Y$306,9,FALSE)/100))/VLOOKUP($C$625,'DB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L628" s="423" t="str">
        <f>IF('Calc (ex-animal)'!$F$113=1,"",IF(D628="","",(((VLOOKUP($C$625,'Calc (ex-animal)'!$D$113:$Y$117,6,FALSE)-VLOOKUP($C$625,'Calc (ex-animal)'!$D$113:$Y$117,17,FALSE))*F628/100))*(1-VLOOKUP($C$625,'Calc (ex-animal)'!$D$113:$Y$117,7,FALSE)/100)*(1-VLOOKUP(D628,'DB technologies'!$N$294:$V$306,8,FALSE)/100)))</f>
        <v/>
      </c>
      <c r="M628" s="434" t="str">
        <f>IF(D628="","",((VLOOKUP(D628,'DB technologies'!$N$294:$Y$306,2,FALSE)*VLOOKUP($C$625,'DB animal categories'!$C$221:$AC$230,27,FALSE)*E628/1000)/VLOOKUP($C$625,'DB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'!$S$6/100)*(1-VLOOKUP(D628,'DB technologies'!$N$294:$Y$306,9,FALSE)/100))</f>
        <v/>
      </c>
      <c r="N628" s="434" t="str">
        <f>IF(D628="","",((VLOOKUP(D628,'DB technologies'!$N$294:$Y$306,3,FALSE)*VLOOKUP($C$625,'DB animal categories'!$C$221:$AC$230,27,FALSE)*E628/1000)/VLOOKUP($C$625,'DB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'!$S$7/100)*(1-VLOOKUP(D628,'DB technologies'!$N$294:$Y$306,9,FALSE)/100))</f>
        <v/>
      </c>
      <c r="O628" s="423" t="str">
        <f>IF(D628="","",((VLOOKUP(D628,'DB technologies'!$N$294:$Y$306,4,FALSE)*E628*(1-'DB additional information '!$S$8/100)*(1-VLOOKUP(D628,'DB technologies'!$N$294:$Y$306,8,FALSE)/100))/VLOOKUP($C$625,'DB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P628" s="438" t="str">
        <f>IF(G628=0,0,IF(E628="","",IF(F628="","",IF($C$625=0,"",IF(D628="","",SUM(H628:K628)/G628*100)))))</f>
        <v/>
      </c>
      <c r="Q628" s="416" t="str">
        <f>IF(D628="","",(VLOOKUP(D628,'DB technologies'!$N$294:$Y$306,2,FALSE)*'DB additional information '!$S$6/100*'DB additional information '!$T$6*VLOOKUP($C$625,'DB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R628" s="416" t="str">
        <f>IF(D628="","",(VLOOKUP(D628,'DB technologies'!$N$294:$Y$306,3,FALSE)*'DB additional information '!$S$7/100*'DB additional information '!$T$7*VLOOKUP($C$625,'DB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S628" s="491" t="str">
        <f>IF(D628="","",(VLOOKUP(D628,'DB technologies'!$N$294:$Y$306,4,FALSE)*('DB additional information '!$S$8/100*'DB additional information '!$T$8*E628/1000/1000)))</f>
        <v/>
      </c>
      <c r="T628" s="264" t="str">
        <f>IF($C$625=0,"",IF('Calc (ex-animal)'!$F$113=1,"",IF(D628="","",((VLOOKUP($C$625,'Calc (ex-animal)'!$D$113:$Y$117,10,FALSE)-VLOOKUP($C$625,'Calc (ex-animal)'!$D$113:$Y$117,18,FALSE))*F628/100+Q628+R628+S628)-AC628-AD628-AE628)))</f>
        <v/>
      </c>
      <c r="U628" s="422" t="str">
        <f>IF(D628="","",(VLOOKUP(D628,'DB technologies'!$N$294:$Y$306,2,FALSE)*'DB additional information '!$S$6/100*'DB additional information '!$U$6*VLOOKUP($C$625,'DB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V628" s="418" t="str">
        <f>IF(D628="","",(VLOOKUP(D628,'DB technologies'!$N$294:$Y$306,3,FALSE)*'DB additional information '!$S$7/100*'DB additional information '!$U$7*VLOOKUP($C$625,'DB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W628" s="417" t="str">
        <f>IF(D628="","",(VLOOKUP(D628,'DB technologies'!$N$294:$Y$306,4,FALSE)*('DB additional information '!$S$8/100*'DB additional information '!$U$8*E628/1000/1000)))</f>
        <v/>
      </c>
      <c r="X628" s="261" t="str">
        <f>IF($C$625=0,"",IF('Calc (ex-animal)'!$F$113=1,"",IF(D628="","",((VLOOKUP($C$625,'Calc (ex-animal)'!$D$113:$Y$117,13,FALSE)-VLOOKUP($C$625,'Calc (ex-animal)'!$D$113:$Y$117,19,FALSE))*F628/100+U628+V628+W628))))</f>
        <v/>
      </c>
      <c r="Y628" s="418" t="str">
        <f>IF(D628="","",(VLOOKUP(D628,'DB technologies'!$N$294:$Y$306,2,FALSE)*'DB additional information '!$S$6/100*'DB additional information '!$V$6*VLOOKUP($C$625,'DB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Z628" s="418" t="str">
        <f>IF(D628="","",(VLOOKUP(D628,'DB technologies'!$N$294:$Y$306,3,FALSE)*'DB additional information '!$S$7/100*'DB additional information '!$V$7*VLOOKUP($C$625,'DB animal categories'!$C$221:$AC$230,27,FALSE)*E628/1000/1000)/VLOOKUP($C$625,'DB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AA628" s="418" t="str">
        <f>IF(D628="","",(VLOOKUP(D628,'DB technologies'!$N$294:$Y$306,4,FALSE)*('DB additional information '!$S$8/100*'DB additional information '!$V$8*E628/1000/1000)))</f>
        <v/>
      </c>
      <c r="AB628" s="261" t="str">
        <f>IF($C$625=0,"",IF('Calc (ex-animal)'!$F$113=1,"",IF(D628="","",((VLOOKUP($C$625,'Calc (ex-animal)'!$D$113:$Y$117,16,FALSE)-VLOOKUP($C$625,'Calc (ex-animal)'!$D$113:$Y$117,20,FALSE))*F628/100+Y628+Z628+AA628))))</f>
        <v/>
      </c>
      <c r="AC628" s="261" t="str">
        <f>IF($C$625=0,"",IF('Calc (ex-animal)'!$F$113=1,"",IF(D628="","",VLOOKUP($C$625,'Calc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categories'!$C$221:$AC$230,26,FALSE)/24)*F628/100*VLOOKUP(D628,'DB technologies'!$N$294:$R$306,5,FALSE)/100)))</f>
        <v/>
      </c>
      <c r="AD628" s="261" t="str">
        <f>IF($C$625=0,"",IF('Calc (ex-animal)'!$F$113=1,"",IF(D628="","",VLOOKUP($C$625,'Calc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categories'!$C$221:$AC$230,26,FALSE)/24)*F628/100*VLOOKUP(D628,'DB technologies'!$N$294:$Y$306,6,FALSE)/100)))</f>
        <v/>
      </c>
      <c r="AE628" s="262" t="str">
        <f>IF($C$625=0,"",IF('Calc (ex-animal)'!$F$113=1,"",IF(D628="","",VLOOKUP($C$625,'Calc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categories'!$C$221:$AC$230,26,FALSE)/24)*F628/100*VLOOKUP(D628,'DB technologies'!$N$294:$Y$306,7,FALSE)/100)))</f>
        <v/>
      </c>
      <c r="AI628" s="181" t="str">
        <f>IF(D628="","",VLOOKUP(D628,'DB technologies'!$N$294:$Y$306,10,FALSE))</f>
        <v/>
      </c>
      <c r="AJ628" s="449" t="e">
        <f>VLOOKUP($C$625,'DB animal categories'!$C$221:$AN$230,27,FALSE)-VLOOKUP($C$625,'DB animal categories'!$C$221:$AN$230,26,FALSE)*VLOOKUP($C$625,'DB animal categories'!$C$221:$AN$230,25,FALSE)/24</f>
        <v>#N/A</v>
      </c>
      <c r="AK628" s="442" t="str">
        <f>IF(AI628="","",AL628+AM628)</f>
        <v/>
      </c>
      <c r="AL628" s="442" t="str">
        <f>IF(D628="","",IF(AI628=2,(('Calc (ex-animal)'!$G$116*'DB additional information '!$K$24/100*(1-VLOOKUP(D628,'DB technologies'!$N$294:$Y$306,9,FALSE)/100)*'Calc (ex-housing, ex-storage)'!F628/100+'Calc (ex-animal)'!$H$116*'DB additional information '!$L$24/100*(1-VLOOKUP(D628,'DB technologies'!$N$294:$Y$306,9,FALSE)/100)*'Calc (ex-housing, ex-storage)'!F628/100))/VLOOKUP($C$625,'DB animal categories'!$C$221:$AC$230,27,FALSE)*AJ628+I628+J628+K628,IF(AI628=1,('Calc (ex-animal)'!$H$116*'DB additional information '!$L$24/100*(1-VLOOKUP(D628,'DB technologies'!$N$294:$Y$306,9,FALSE)/100)*'Calc (ex-housing, ex-storage)'!F628/100)/VLOOKUP($C$625,'DB animal categories'!$C$221:$AC$230,27,FALSE)*AJ628,IF(AI628=4,('Calc (ex-animal)'!$G$116*'DB additional information '!$K$24/100+'Calc (ex-animal)'!$H$116*'DB additional information '!$L$24/100)*(1-VLOOKUP(D628,'DB technologies'!$N$294:$Y$306,9,FALSE)/100)*'Calc (ex-housing, ex-storage)'!F628/100*VLOOKUP(D628,'DB technologies'!$N$294:$Y$306,11,FALSE)/100/VLOOKUP($C$625,'DB animal categories'!$C$221:$AC$230,27,FALSE)*AJ628,0))))</f>
        <v/>
      </c>
      <c r="AM628" s="442" t="str">
        <f>IF(D628="","",IF(AI628=2,(('Calc (ex-animal)'!$G$116*(1-'DB additional information '!$K$24/100)*(1-VLOOKUP(D628,'DB technologies'!$N$294:$Y$306,8,FALSE)/100)*'Calc (ex-housing, ex-storage)'!F628/100+'Calc (ex-animal)'!$H$116*(1-'DB additional information '!$L$24/100)*(1-VLOOKUP(D628,'DB technologies'!$N$294:$Y$306,8,FALSE)/100)*'Calc (ex-housing, ex-storage)'!F628/100))/VLOOKUP($C$625,'DB animal categories'!$C$221:$AC$230,27,FALSE)*AJ628+M628+N628+O628,IF(AI628=1,('Calc (ex-animal)'!$H$116*(1-'DB additional information '!$L$24/100)*(1-VLOOKUP(D628,'DB technologies'!$N$294:$Y$306,8,FALSE)/100)*'Calc (ex-housing, ex-storage)'!F628/100)/VLOOKUP($C$625,'DB animal categories'!$C$221:$AC$230,27,FALSE)*AJ628,IF(AI628=4,('Calc (ex-animal)'!$G$116*(1-'DB additional information '!$K$24/100)+'Calc (ex-animal)'!$H$116*(1-'DB additional information '!$L$24/100))*(1-VLOOKUP(D628,'DB technologies'!$N$294:$Y$306,8,FALSE)/100)*'Calc (ex-housing, ex-storage)'!F628/100*VLOOKUP(D628,'DB technologies'!$N$294:$Y$306,11,FALSE)/100/VLOOKUP($C$625,'DB animal categories'!$C$221:$AC$230,27,FALSE)*AJ628,0))))</f>
        <v/>
      </c>
      <c r="AN628" s="442" t="str">
        <f>IF(AI628="","",IF(AL628=0,0,AL628/AK628*100))</f>
        <v/>
      </c>
      <c r="AO628" s="182" t="str">
        <f>IF(D628="","",IF(AI628=2,(('Calc (ex-animal)'!$L$116*'Calc (ex-housing, ex-storage)'!F628/100+'Calc (ex-animal)'!$K$116*'Calc (ex-housing, ex-storage)'!F628/100))/VLOOKUP($C$625,'DB animal categories'!$C$221:$AC$230,27,FALSE)*AJ628+Q628+R628+S628-AC628,IF(AI628=1,('Calc (ex-animal)'!$L$116*'Calc (ex-housing, ex-storage)'!F628/100)/VLOOKUP($C$625,'DB animal categories'!$C$221:$AC$230,27,FALSE)*AJ628-'Calc (ex-housing, ex-storage)'!AC628,IF(AI628=4,('Calc (ex-animal)'!$L$116+'Calc (ex-animal)'!$K$116)*'Calc (ex-housing, ex-storage)'!F628/100*VLOOKUP(D628,'DB technologies'!$N$294:$Y$306,11,FALSE)/100/VLOOKUP($C$625,'DB animal categories'!$C$221:$AC$230,27,FALSE)*AJ628-AC628*VLOOKUP(D628,'DB technologies'!$N$294:$Y$306,11,FALSE)/100,0))))</f>
        <v/>
      </c>
      <c r="AP628" s="182" t="str">
        <f>IF(D628="","",IF(AO628&lt;-0.01,0,IF(AI628=2,(('Calc (ex-animal)'!$L$116*'Calc (ex-housing, ex-storage)'!F628/100+'Calc (ex-animal)'!$K$116*'Calc (ex-housing, ex-storage)'!F628/100))/VLOOKUP($C$625,'DB animal categories'!$C$221:$AC$230,27,FALSE)*AJ628+Q628+R628+S628-AC628,IF(AI628=1,('Calc (ex-animal)'!$L$116*'Calc (ex-housing, ex-storage)'!F628/100)/VLOOKUP($C$625,'DB animal categories'!$C$221:$AC$230,27,FALSE)*AJ628-'Calc (ex-housing, ex-storage)'!AC628,IF(AI628=4,('Calc (ex-animal)'!$L$116+'Calc (ex-animal)'!$K$116)*'Calc (ex-housing, ex-storage)'!F628/100*VLOOKUP(D628,'DB technologies'!$N$294:$Y$306,11,FALSE)/100/VLOOKUP($C$625,'DB animal categories'!$C$221:$AC$230,27,FALSE)*AJ628-AC628*VLOOKUP(D628,'DB technologies'!$N$294:$Y$306,11,FALSE)/100,0)))))</f>
        <v/>
      </c>
      <c r="AQ628" s="182" t="str">
        <f>IF(D628="","",IF(AI628=2,('Calc (ex-animal)'!$O$116*'Calc (ex-housing, ex-storage)'!F628/100+'Calc (ex-animal)'!$N$116*'Calc (ex-housing, ex-storage)'!F628/100)/VLOOKUP($C$625,'DB animal categories'!$C$221:$AC$230,27,FALSE)*AJ628+U628+V628+W628,IF(AI628=1,'Calc (ex-animal)'!$O$116*'Calc (ex-housing, ex-storage)'!F628/100/VLOOKUP($C$625,'DB animal categories'!$C$221:$AC$230,27,FALSE)*AJ628,IF(AI628=4,('Calc (ex-animal)'!$O$116+'Calc (ex-animal)'!$N$116)*'Calc (ex-housing, ex-storage)'!F628/100*VLOOKUP(D628,'DB technologies'!$N$294:$Y$306,11,FALSE)/100/VLOOKUP($C$625,'DB animal categories'!$C$221:$AC$230,27,FALSE)*AJ628,0))))</f>
        <v/>
      </c>
      <c r="AR628" s="182" t="str">
        <f>IF(D628="","",IF(AI628=2,('Calc (ex-animal)'!$R$116*'Calc (ex-housing, ex-storage)'!F628/100+'Calc (ex-animal)'!$Q$116*'Calc (ex-housing, ex-storage)'!F628/100)/VLOOKUP($C$625,'DB animal categories'!$C$221:$AC$230,27,FALSE)*AJ628+Y628+Z628+AA628,IF(AI628=1,'Calc (ex-animal)'!$R$116*'Calc (ex-housing, ex-storage)'!F628/100/VLOOKUP($C$625,'DB animal categories'!$C$221:$AC$230,27,FALSE)*AJ628,IF(AI628=4,('Calc (ex-animal)'!$R$116+'Calc (ex-animal)'!$Q$116)*'Calc (ex-housing, ex-storage)'!F628/100*VLOOKUP(D628,'DB technologies'!$N$294:$Y$306,11,FALSE)/100/VLOOKUP($C$625,'DB animal categories'!$C$221:$AC$230,27,FALSE)*AJ628,0))))</f>
        <v/>
      </c>
      <c r="AS628" s="181" t="str">
        <f>IF(D628="","",VLOOKUP(D628,'DB technologies'!$N$294:$Y$306,10,FALSE))</f>
        <v/>
      </c>
      <c r="AT628" s="442" t="str">
        <f>IF(AS628="","",AU628+AV628)</f>
        <v/>
      </c>
      <c r="AU628" s="442" t="str">
        <f>IF(D628="","",IF(AS628=2,0,IF(AS628=1,'Calc (ex-animal)'!$G$116*'DB additional information '!$K$24/100*(1-VLOOKUP(D628,'DB technologies'!$N$294:$Y$306,8,FALSE)/100)*'Calc (ex-housing, ex-storage)'!F628/100/VLOOKUP($C$625,'DB animal categories'!$C$221:$AC$230,27,FALSE)*AJ628+I628+J628+K628,IF(AS628=5,(('Calc (ex-animal)'!$G$116*'DB additional information '!$K$24/100+'Calc (ex-animal)'!$H$116*'DB additional information '!$L$24/100))*(1-VLOOKUP(D628,'DB technologies'!$N$294:$Y$306,9,FALSE)/100)*'Calc (ex-housing, ex-storage)'!F628/100/VLOOKUP($C$625,'DB animal categories'!$C$221:$AC$230,27,FALSE)*AJ628+I628+J628+K628,IF(AS628=3,('Calc (ex-animal)'!$G$116*'DB additional information '!$K$24/100+'Calc (ex-animal)'!$H$116*'DB additional information '!$L$24/100)*(1-VLOOKUP(D628,'DB technologies'!$N$294:$Y$306,9,FALSE)/100)*'Calc (ex-housing, ex-storage)'!F628/100/VLOOKUP($C$625,'DB animal categories'!$C$221:$AC$230,27,FALSE)*AJ628+I628+J628+K628,IF(AS628=4,('Calc (ex-animal)'!$G$116*'DB additional information '!$K$24/100+'Calc (ex-animal)'!$H$116*'DB additional information '!$L$24/100)*(1-VLOOKUP(D628,'DB technologies'!$N$294:$Y$306,9,FALSE)/100)*'Calc (ex-housing, ex-storage)'!F628/100*VLOOKUP(D628,'DB technologies'!$N$294:$Y$306,12,FALSE)/100/VLOOKUP($C$625,'DB animal categories'!$C$221:$AC$230,27,FALSE)*AJ628+I628+J628+K628,0))))))</f>
        <v/>
      </c>
      <c r="AV628" s="442" t="str">
        <f>IF(D628="","",IF(AS628=2,0,IF(AS628=1,'Calc (ex-animal)'!$G$116*(1-'DB additional information '!$K$24/100)*(1-VLOOKUP(D628,'DB technologies'!$N$294:$Y$306,8,FALSE)/100)*'Calc (ex-housing, ex-storage)'!F628/100/VLOOKUP($C$625,'DB animal categories'!$C$221:$AC$230,27,FALSE)*AJ628+M628+N628+O628,IF(AS628=5,('Calc (ex-animal)'!$G$116*(1-'DB additional information '!$K$24/100)+'Calc (ex-animal)'!$H$116*(1-'DB additional information '!$L$24/100))*(1-VLOOKUP(D628,'DB technologies'!$N$294:$Y$306,8,FALSE)/100)*'Calc (ex-housing, ex-storage)'!F628/100/VLOOKUP($C$625,'DB animal categories'!$C$221:$AC$230,27,FALSE)*AJ628+M628+N628+O628,IF(AS628=3,('Calc (ex-animal)'!$G$116*(1-'DB additional information '!$K$24/100)+'Calc (ex-animal)'!$H$116*(1-'DB additional information '!$L$24/100))*(1-VLOOKUP(D628,'DB technologies'!$N$294:$Y$306,8,FALSE)/100)*'Calc (ex-housing, ex-storage)'!F628/100/VLOOKUP($C$625,'DB animal categories'!$C$221:$AC$230,27,FALSE)*AJ628+M628+N628+O628,IF(AS628=4,('Calc (ex-animal)'!$G$116*(1-'DB additional information '!$K$24/100)+'Calc (ex-animal)'!$H$116*(1-'DB additional information '!$L$24/100))*(1-VLOOKUP(D628,'DB technologies'!$N$294:$Y$306,8,FALSE)/100)*'Calc (ex-housing, ex-storage)'!F628/100*VLOOKUP(D628,'DB technologies'!$N$294:$Y$306,12,FALSE)/100/VLOOKUP($C$625,'DB animal categories'!$C$221:$AC$230,27,FALSE)*AJ628+M628+N628+O628,0))))))</f>
        <v/>
      </c>
      <c r="AW628" s="442" t="str">
        <f>IF(AS628="","",IF(AU628=0,0,AU628/AT628*100))</f>
        <v/>
      </c>
      <c r="AX628" s="182" t="str">
        <f>IF(D628="","",IF(AS628=2,0,IF(AS628=1,'Calc (ex-animal)'!$K$116*'Calc (ex-housing, ex-storage)'!F628/100/VLOOKUP($C$625,'DB animal categories'!$C$221:$AC$230,27,FALSE)*AJ628+Q628+R628+S628,IF(AS628=5,('Calc (ex-animal)'!$K$116+'Calc (ex-animal)'!$L$116)*'Calc (ex-housing, ex-storage)'!F628/100/VLOOKUP($C$625,'DB animal categories'!$C$221:$AC$230,27,FALSE)*AJ628+Q628+R628+S628-'Calc (ex-housing, ex-storage)'!AC628,IF(AS628=3,('Calc (ex-animal)'!$K$116+'Calc (ex-animal)'!$L$116)*'Calc (ex-housing, ex-storage)'!F628/100/VLOOKUP($C$625,'DB animal categories'!$C$221:$AC$230,27,FALSE)*AJ628+Q628+R628+S628-'Calc (ex-housing, ex-storage)'!AC628-AD628-AE628,IF(AI628=4,('Calc (ex-animal)'!$K$116+'Calc (ex-animal)'!$L$116)*'Calc (ex-housing, ex-storage)'!F628/100*VLOOKUP(D628,'DB technologies'!$N$294:$Y$306,12,FALSE)/100/VLOOKUP($C$625,'DB animal categories'!$C$221:$AC$230,27,FALSE)*AJ628+Q628+R628+S628-(VLOOKUP(D628,'DB technologies'!$N$294:$Y$306,12,FALSE)/100*AC628)-AD628-AE628,0))))))</f>
        <v/>
      </c>
      <c r="AY628" s="182" t="str">
        <f>IF(D628="","",IF(AS628=2,0,IF(AS628=1,'Calc (ex-animal)'!$N$116*'Calc (ex-housing, ex-storage)'!F628/100/VLOOKUP($C$625,'DB animal categories'!$C$221:$AC$230,27,FALSE)*AJ628+U628+V628+W628,IF(AS628=5,('Calc (ex-animal)'!$N$116+'Calc (ex-animal)'!$O$116)*'Calc (ex-housing, ex-storage)'!F628/100/VLOOKUP($C$625,'DB animal categories'!$C$221:$AC$230,27,FALSE)*AJ628+U628+V628+W628,IF(AS628=3,('Calc (ex-animal)'!$N$116+'Calc (ex-animal)'!$O$116)*'Calc (ex-housing, ex-storage)'!F628/100/VLOOKUP($C$625,'DB animal categories'!$C$221:$AC$230,27,FALSE)*AJ628+U628+V628+W628,IF(AS628=4,('Calc (ex-animal)'!$N$116+'Calc (ex-animal)'!$O$116)*'Calc (ex-housing, ex-storage)'!F628/100*VLOOKUP(D628,'DB technologies'!$N$294:$Y$306,12,FALSE)/100/VLOOKUP($C$625,'DB animal categories'!$C$221:$AC$230,27,FALSE)*AJ628+U628+V628+W628,0))))))</f>
        <v/>
      </c>
      <c r="AZ628" s="182" t="str">
        <f>IF(D628="","",IF(AS628=2,0,IF(AS628=1,'Calc (ex-animal)'!$Q$116*'Calc (ex-housing, ex-storage)'!F628/100/VLOOKUP($C$625,'DB animal categories'!$C$221:$AC$230,27,FALSE)*AJ628+Y628+Z628+AA628,IF(AS628=5,('Calc (ex-animal)'!$Q$116+'Calc (ex-animal)'!$R$116)*'Calc (ex-housing, ex-storage)'!F628/100/VLOOKUP($C$625,'DB animal categories'!$C$221:$AC$230,27,FALSE)*AJ628+Y628+Z628+AA628,IF(AS628=3,('Calc (ex-animal)'!$Q$116+'Calc (ex-animal)'!$R$116)*'Calc (ex-housing, ex-storage)'!F628/100/VLOOKUP($C$625,'DB animal categories'!$C$221:$AC$230,27,FALSE)*AJ628+Y628+Z628+AA628,IF(AS628=4,('Calc (ex-animal)'!$Q$116+'Calc (ex-animal)'!$R$116)*'Calc (ex-housing, ex-storage)'!F628/100*VLOOKUP(D628,'DB technologies'!$N$294:$Y$306,12,FALSE)/100/VLOOKUP($C$625,'DB animal categories'!$C$221:$AC$230,27,FALSE)*AJ628+Y628+Z628+AA628,0))))))</f>
        <v/>
      </c>
      <c r="BA628" s="506"/>
      <c r="BB628" s="506"/>
      <c r="BC628" s="506"/>
    </row>
    <row r="629" spans="1:55" ht="12" thickBot="1" x14ac:dyDescent="0.25">
      <c r="A629" s="748"/>
      <c r="B629" s="695"/>
      <c r="C629" s="251"/>
      <c r="D629" s="1359"/>
      <c r="E629" s="1400"/>
      <c r="F629" s="481" t="str">
        <f>IF('Calc (ex-animal)'!$F$113=1,"",IF($C$625=0,"",IF(D629="","",E629/'Calc (ex-animal)'!$E$116*100)))</f>
        <v/>
      </c>
      <c r="G629" s="483" t="str">
        <f>IF($C$625=0,"",IF('Calc (ex-animal)'!$F$113=1,"",IF(D629="","",SUM(H629:O629))))</f>
        <v/>
      </c>
      <c r="H629" s="445" t="str">
        <f>IF('Calc (ex-animal)'!$F$113=1,"",IF(D629="","",(((VLOOKUP($C$625,'Calc (ex-animal)'!$D$113:$Y$117,6,FALSE)-VLOOKUP($C$625,'Calc (ex-animal)'!$D$113:$Y$117,17,FALSE))*F629/100))*VLOOKUP($C$625,'Calc (ex-animal)'!$D$113:$Y$117,7,FALSE)/100*(1-VLOOKUP(D629,'DB technologies'!$N$294:$Y$306,9,FALSE)/100)))</f>
        <v/>
      </c>
      <c r="I629" s="445" t="str">
        <f>IF(D629="","",((VLOOKUP(D629,'DB technologies'!$N$294:$Y$306,2,FALSE)*VLOOKUP($C$625,'DB animal categories'!$C$221:$AC$230,27,FALSE)*E629/1000)/VLOOKUP($C$625,'DB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'!$S$6/100*(1-VLOOKUP(D629,'DB technologies'!$N$294:$Y$306,9,FALSE)/100)))</f>
        <v/>
      </c>
      <c r="J629" s="446" t="str">
        <f>IF(D629="","",((VLOOKUP(D629,'DB technologies'!$N$294:$Y$306,3,FALSE)*VLOOKUP($C$625,'DB animal categories'!$C$221:$AC$230,27,FALSE)*E629/1000)/VLOOKUP($C$625,'DB animal categories'!$C$221:$AC$230,27,FALSE)*(VLOOKUP($C$625,'DB animal categories'!$C$221:$AC$230,27,FALSE)-(VLOOKUP($C$625,'DB animal categories'!$C$221:$AC$230,25,FALSE)*VLOOKUP($C$625,'DB animal categories'!$C$221:$AC$230,26,FALSE)/24))*'DB additional information '!$S$7/100*(1-VLOOKUP(D629,'DB technologies'!$N$294:$Y$306,9,FALSE)/100)))</f>
        <v/>
      </c>
      <c r="K629" s="446" t="str">
        <f>IF(D629="","",((VLOOKUP(D629,'DB technologies'!$N$294:$Y$306,4,FALSE)*E629*'DB additional information '!$S$8/100*(1-VLOOKUP(D629,'DB technologies'!$N$294:$Y$306,9,FALSE)/100))/VLOOKUP($C$625,'DB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L629" s="445" t="str">
        <f>IF('Calc (ex-animal)'!$F$113=1,"",IF(D629="","",(((VLOOKUP($C$625,'Calc (ex-animal)'!$D$113:$Y$117,6,FALSE)-VLOOKUP($C$625,'Calc (ex-animal)'!$D$113:$Y$117,17,FALSE))*F629/100))*(1-VLOOKUP($C$625,'Calc (ex-animal)'!$D$113:$Y$117,7,FALSE)/100)*(1-VLOOKUP(D629,'DB technologies'!$N$294:$V$306,8,FALSE)/100)))</f>
        <v/>
      </c>
      <c r="M629" s="446" t="str">
        <f>IF(D629="","",((VLOOKUP(D629,'DB technologies'!$N$294:$Y$306,2,FALSE)*VLOOKUP($C$625,'DB animal categories'!$C$221:$AC$230,27,FALSE)*E629/1000)/VLOOKUP($C$625,'DB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'!$S$6/100)*(1-VLOOKUP(D629,'DB technologies'!$N$294:$Y$306,9,FALSE)/100))</f>
        <v/>
      </c>
      <c r="N629" s="446" t="str">
        <f>IF(D629="","",((VLOOKUP(D629,'DB technologies'!$N$294:$Y$306,3,FALSE)*VLOOKUP($C$625,'DB animal categories'!$C$221:$AC$230,27,FALSE)*E629/1000)/VLOOKUP($C$625,'DB animal categories'!$C$221:$AC$230,27,FALSE)*(VLOOKUP($C$625,'DB animal categories'!$C$221:$AC$230,27,FALSE)-VLOOKUP($C$625,'DB animal categories'!$C$221:$AC$230,25,FALSE)*VLOOKUP($C$625,'DB animal categories'!$C$221:$AC$230,26,FALSE)/24))*(1-'DB additional information '!$S$7/100)*(1-VLOOKUP(D629,'DB technologies'!$N$294:$Y$306,9,FALSE)/100))</f>
        <v/>
      </c>
      <c r="O629" s="445" t="str">
        <f>IF(D629="","",((VLOOKUP(D629,'DB technologies'!$N$294:$Y$306,4,FALSE)*E629*(1-'DB additional information '!$S$8/100)*(1-VLOOKUP(D629,'DB technologies'!$N$294:$Y$306,8,FALSE)/100))/VLOOKUP($C$625,'DB animal categories'!$C$221:$AC$230,27,FALSE)*(VLOOKUP($C$625,'DB animal categories'!$C$221:$AC$230,27,FALSE)-VLOOKUP($C$625,'DB animal categories'!$C$221:$AC$230,25,FALSE)*VLOOKUP($C$625,'DB animal categories'!$C$221:$AC$230,26,FALSE)/24)))</f>
        <v/>
      </c>
      <c r="P629" s="444" t="str">
        <f>IF(G629=0,0,IF(E629="","",IF(F629="","",IF($C$625=0,"",IF(D629="","",SUM(H629:K629)/G629*100)))))</f>
        <v/>
      </c>
      <c r="Q629" s="476" t="str">
        <f>IF(D629="","",(VLOOKUP(D629,'DB technologies'!$N$294:$Y$306,2,FALSE)*'DB additional information '!$S$6/100*'DB additional information '!$T$6*VLOOKUP($C$625,'DB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R629" s="476" t="str">
        <f>IF(D629="","",(VLOOKUP(D629,'DB technologies'!$N$294:$Y$306,3,FALSE)*'DB additional information '!$S$7/100*'DB additional information '!$T$7*VLOOKUP($C$625,'DB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S629" s="494" t="str">
        <f>IF(D629="","",(VLOOKUP(D629,'DB technologies'!$N$294:$Y$306,4,FALSE)*('DB additional information '!$S$8/100*'DB additional information '!$T$8*E629/1000/1000)))</f>
        <v/>
      </c>
      <c r="T629" s="266" t="str">
        <f>IF($C$625=0,"",IF('Calc (ex-animal)'!$F$113=1,"",IF(D629="","",((VLOOKUP($C$625,'Calc (ex-animal)'!$D$113:$Y$117,10,FALSE)-VLOOKUP($C$625,'Calc (ex-animal)'!$D$113:$Y$117,18,FALSE))*F629/100+Q629+R629+S629)-AC629-AD629-AE629)))</f>
        <v/>
      </c>
      <c r="U629" s="477" t="str">
        <f>IF(D629="","",(VLOOKUP(D629,'DB technologies'!$N$294:$Y$306,2,FALSE)*'DB additional information '!$S$6/100*'DB additional information '!$U$6*VLOOKUP($C$625,'DB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V629" s="433" t="str">
        <f>IF(D629="","",(VLOOKUP(D629,'DB technologies'!$N$294:$Y$306,3,FALSE)*'DB additional information '!$S$7/100*'DB additional information '!$U$7*VLOOKUP($C$625,'DB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W629" s="475" t="str">
        <f>IF(D629="","",(VLOOKUP(D629,'DB technologies'!$N$294:$Y$306,4,FALSE)*('DB additional information '!$S$8/100*'DB additional information '!$U$8*E629/1000/1000)))</f>
        <v/>
      </c>
      <c r="X629" s="267" t="str">
        <f>IF($C$625=0,"",IF('Calc (ex-animal)'!$F$113=1,"",IF(D629="","",((VLOOKUP($C$625,'Calc (ex-animal)'!$D$113:$Y$117,13,FALSE)-VLOOKUP($C$625,'Calc (ex-animal)'!$D$113:$Y$117,19,FALSE))*F629/100+U629+V629+W629))))</f>
        <v/>
      </c>
      <c r="Y629" s="433" t="str">
        <f>IF(D629="","",(VLOOKUP(D629,'DB technologies'!$N$294:$Y$306,2,FALSE)*'DB additional information '!$S$6/100*'DB additional information '!$V$6*VLOOKUP($C$625,'DB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Z629" s="433" t="str">
        <f>IF(D629="","",(VLOOKUP(D629,'DB technologies'!$N$294:$Y$306,3,FALSE)*'DB additional information '!$S$7/100*'DB additional information '!$V$7*VLOOKUP($C$625,'DB animal categories'!$C$221:$AC$230,27,FALSE)*E629/1000/1000)/VLOOKUP($C$625,'DB animal categories'!$C$221:$AC$230,27,FALSE)*(VLOOKUP($C$625,'DB animal categories'!$C$221:$AC$230,27,FALSE)-VLOOKUP($C$625,'DB animal categories'!$C$221:$AC$230,25,FALSE)*VLOOKUP($C$625,'DB animal categories'!$C$221:$AC$230,26,FALSE)/24))</f>
        <v/>
      </c>
      <c r="AA629" s="433" t="str">
        <f>IF(D629="","",(VLOOKUP(D629,'DB technologies'!$N$294:$Y$306,4,FALSE)*('DB additional information '!$S$8/100*'DB additional information '!$V$8*E629/1000/1000)))</f>
        <v/>
      </c>
      <c r="AB629" s="267" t="str">
        <f>IF($C$625=0,"",IF('Calc (ex-animal)'!$F$113=1,"",IF(D629="","",((VLOOKUP($C$625,'Calc (ex-animal)'!$D$113:$Y$117,16,FALSE)-VLOOKUP($C$625,'Calc (ex-animal)'!$D$113:$Y$117,20,FALSE))*F629/100+Y629+Z629+AA629))))</f>
        <v/>
      </c>
      <c r="AC629" s="267" t="str">
        <f>IF($C$625=0,"",IF('Calc (ex-animal)'!$F$113=1,"",IF(D629="","",VLOOKUP($C$625,'Calc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categories'!$C$221:$AC$230,26,FALSE)/24)*F629/100*VLOOKUP(D629,'DB technologies'!$N$294:$R$306,5,FALSE)/100)))</f>
        <v/>
      </c>
      <c r="AD629" s="267" t="str">
        <f>IF($C$625=0,"",IF('Calc (ex-animal)'!$F$113=1,"",IF(D629="","",VLOOKUP($C$625,'Calc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categories'!$C$221:$AC$230,26,FALSE)/24)*F629/100*VLOOKUP(D629,'DB technologies'!$N$294:$Y$306,6,FALSE)/100)))</f>
        <v/>
      </c>
      <c r="AE629" s="268" t="str">
        <f>IF($C$625=0,"",IF('Calc (ex-animal)'!$F$113=1,"",IF(D629="","",VLOOKUP($C$625,'Calc (ex-animal)'!$D$113:$Y$117,10,FALSE)/VLOOKUP($C$625,'DB animal categories'!$C$221:$AC$230,27,FALSE)*(VLOOKUP($C$625,'DB animal categories'!$C$221:$AC$230,27,FALSE)-VLOOKUP($C$625,'DB animal categories'!$C$221:$AC$230,25,FALSE)*VLOOKUP($C$625,'DB animal categories'!$C$221:$AC$230,26,FALSE)/24)*F629/100*VLOOKUP(D629,'DB technologies'!$N$294:$Y$306,7,FALSE)/100)))</f>
        <v/>
      </c>
      <c r="AI629" s="183" t="str">
        <f>IF(D629="","",VLOOKUP(D629,'DB technologies'!$N$294:$Y$306,10,FALSE))</f>
        <v/>
      </c>
      <c r="AJ629" s="451" t="e">
        <f>VLOOKUP($C$625,'DB animal categories'!$C$221:$AN$230,27,FALSE)-VLOOKUP($C$625,'DB animal categories'!$C$221:$AN$230,26,FALSE)*VLOOKUP($C$625,'DB animal categories'!$C$221:$AN$230,25,FALSE)/24</f>
        <v>#N/A</v>
      </c>
      <c r="AK629" s="452" t="str">
        <f>IF(AI629="","",AL629+AM629)</f>
        <v/>
      </c>
      <c r="AL629" s="452" t="str">
        <f>IF(D629="","",IF(AI629=2,(('Calc (ex-animal)'!$G$116*'DB additional information '!$K$24/100*(1-VLOOKUP(D629,'DB technologies'!$N$294:$Y$306,9,FALSE)/100)*'Calc (ex-housing, ex-storage)'!F629/100+'Calc (ex-animal)'!$H$116*'DB additional information '!$L$24/100*(1-VLOOKUP(D629,'DB technologies'!$N$294:$Y$306,9,FALSE)/100)*'Calc (ex-housing, ex-storage)'!F629/100))/VLOOKUP($C$625,'DB animal categories'!$C$221:$AC$230,27,FALSE)*AJ629+I629+J629+K629,IF(AI629=1,('Calc (ex-animal)'!$H$116*'DB additional information '!$L$24/100*(1-VLOOKUP(D629,'DB technologies'!$N$294:$Y$306,9,FALSE)/100)*'Calc (ex-housing, ex-storage)'!F629/100)/VLOOKUP($C$625,'DB animal categories'!$C$221:$AC$230,27,FALSE)*AJ629,IF(AI629=4,('Calc (ex-animal)'!$G$116*'DB additional information '!$K$24/100+'Calc (ex-animal)'!$H$116*'DB additional information '!$L$24/100)*(1-VLOOKUP(D629,'DB technologies'!$N$294:$Y$306,9,FALSE)/100)*'Calc (ex-housing, ex-storage)'!F629/100*VLOOKUP(D629,'DB technologies'!$N$294:$Y$306,11,FALSE)/100/VLOOKUP($C$625,'DB animal categories'!$C$221:$AC$230,27,FALSE)*AJ629,0))))</f>
        <v/>
      </c>
      <c r="AM629" s="452" t="str">
        <f>IF(D629="","",IF(AI629=2,(('Calc (ex-animal)'!$G$116*(1-'DB additional information '!$K$24/100)*(1-VLOOKUP(D629,'DB technologies'!$N$294:$Y$306,8,FALSE)/100)*'Calc (ex-housing, ex-storage)'!F629/100+'Calc (ex-animal)'!$H$116*(1-'DB additional information '!$L$24/100)*(1-VLOOKUP(D629,'DB technologies'!$N$294:$Y$306,8,FALSE)/100)*'Calc (ex-housing, ex-storage)'!F629/100))/VLOOKUP($C$625,'DB animal categories'!$C$221:$AC$230,27,FALSE)*AJ629+M629+N629+O629,IF(AI629=1,('Calc (ex-animal)'!$H$116*(1-'DB additional information '!$L$24/100)*(1-VLOOKUP(D629,'DB technologies'!$N$294:$Y$306,8,FALSE)/100)*'Calc (ex-housing, ex-storage)'!F629/100)/VLOOKUP($C$625,'DB animal categories'!$C$221:$AC$230,27,FALSE)*AJ629,IF(AI629=4,('Calc (ex-animal)'!$G$116*(1-'DB additional information '!$K$24/100)+'Calc (ex-animal)'!$H$116*(1-'DB additional information '!$L$24/100))*(1-VLOOKUP(D629,'DB technologies'!$N$294:$Y$306,8,FALSE)/100)*'Calc (ex-housing, ex-storage)'!F629/100*VLOOKUP(D629,'DB technologies'!$N$294:$Y$306,11,FALSE)/100/VLOOKUP($C$625,'DB animal categories'!$C$221:$AC$230,27,FALSE)*AJ629,0))))</f>
        <v/>
      </c>
      <c r="AN629" s="452" t="str">
        <f>IF(AI629="","",IF(AL629=0,0,AL629/AK629*100))</f>
        <v/>
      </c>
      <c r="AO629" s="184" t="str">
        <f>IF(D629="","",IF(AI629=2,(('Calc (ex-animal)'!$L$116*'Calc (ex-housing, ex-storage)'!F629/100+'Calc (ex-animal)'!$K$116*'Calc (ex-housing, ex-storage)'!F629/100))/VLOOKUP($C$625,'DB animal categories'!$C$221:$AC$230,27,FALSE)*AJ629+Q629+R629+S629-AC629,IF(AI629=1,('Calc (ex-animal)'!$L$116*'Calc (ex-housing, ex-storage)'!F629/100)/VLOOKUP($C$625,'DB animal categories'!$C$221:$AC$230,27,FALSE)*AJ629-'Calc (ex-housing, ex-storage)'!AC629,IF(AI629=4,('Calc (ex-animal)'!$L$116+'Calc (ex-animal)'!$K$116)*'Calc (ex-housing, ex-storage)'!F629/100*VLOOKUP(D629,'DB technologies'!$N$294:$Y$306,11,FALSE)/100/VLOOKUP($C$625,'DB animal categories'!$C$221:$AC$230,27,FALSE)*AJ629-AC629*VLOOKUP(D629,'DB technologies'!$N$294:$Y$306,11,FALSE)/100,0))))</f>
        <v/>
      </c>
      <c r="AP629" s="184" t="str">
        <f>IF(D629="","",IF(AO629&lt;-0.01,0,IF(AI629=2,(('Calc (ex-animal)'!$L$116*'Calc (ex-housing, ex-storage)'!F629/100+'Calc (ex-animal)'!$K$116*'Calc (ex-housing, ex-storage)'!F629/100))/VLOOKUP($C$625,'DB animal categories'!$C$221:$AC$230,27,FALSE)*AJ629+Q629+R629+S629-AC629,IF(AI629=1,('Calc (ex-animal)'!$L$116*'Calc (ex-housing, ex-storage)'!F629/100)/VLOOKUP($C$625,'DB animal categories'!$C$221:$AC$230,27,FALSE)*AJ629-'Calc (ex-housing, ex-storage)'!AC629,IF(AI629=4,('Calc (ex-animal)'!$L$116+'Calc (ex-animal)'!$K$116)*'Calc (ex-housing, ex-storage)'!F629/100*VLOOKUP(D629,'DB technologies'!$N$294:$Y$306,11,FALSE)/100/VLOOKUP($C$625,'DB animal categories'!$C$221:$AC$230,27,FALSE)*AJ629-AC629*VLOOKUP(D629,'DB technologies'!$N$294:$Y$306,11,FALSE)/100,0)))))</f>
        <v/>
      </c>
      <c r="AQ629" s="184" t="str">
        <f>IF(D629="","",IF(AI629=2,('Calc (ex-animal)'!$O$116*'Calc (ex-housing, ex-storage)'!F629/100+'Calc (ex-animal)'!$N$116*'Calc (ex-housing, ex-storage)'!F629/100)/VLOOKUP($C$625,'DB animal categories'!$C$221:$AC$230,27,FALSE)*AJ629+U629+V629+W629,IF(AI629=1,'Calc (ex-animal)'!$O$116*'Calc (ex-housing, ex-storage)'!F629/100/VLOOKUP($C$625,'DB animal categories'!$C$221:$AC$230,27,FALSE)*AJ629,IF(AI629=4,('Calc (ex-animal)'!$O$116+'Calc (ex-animal)'!$N$116)*'Calc (ex-housing, ex-storage)'!F629/100*VLOOKUP(D629,'DB technologies'!$N$294:$Y$306,11,FALSE)/100/VLOOKUP($C$625,'DB animal categories'!$C$221:$AC$230,27,FALSE)*AJ629,0))))</f>
        <v/>
      </c>
      <c r="AR629" s="184" t="str">
        <f>IF(D629="","",IF(AI629=2,('Calc (ex-animal)'!$R$116*'Calc (ex-housing, ex-storage)'!F629/100+'Calc (ex-animal)'!$Q$116*'Calc (ex-housing, ex-storage)'!F629/100)/VLOOKUP($C$625,'DB animal categories'!$C$221:$AC$230,27,FALSE)*AJ629+Y629+Z629+AA629,IF(AI629=1,'Calc (ex-animal)'!$R$116*'Calc (ex-housing, ex-storage)'!F629/100/VLOOKUP($C$625,'DB animal categories'!$C$221:$AC$230,27,FALSE)*AJ629,IF(AI629=4,('Calc (ex-animal)'!$R$116+'Calc (ex-animal)'!$Q$116)*'Calc (ex-housing, ex-storage)'!F629/100*VLOOKUP(D629,'DB technologies'!$N$294:$Y$306,11,FALSE)/100/VLOOKUP($C$625,'DB animal categories'!$C$221:$AC$230,27,FALSE)*AJ629,0))))</f>
        <v/>
      </c>
      <c r="AS629" s="183" t="str">
        <f>IF(D629="","",VLOOKUP(D629,'DB technologies'!$N$294:$Y$306,10,FALSE))</f>
        <v/>
      </c>
      <c r="AT629" s="452" t="str">
        <f>IF(AS629="","",AU629+AV629)</f>
        <v/>
      </c>
      <c r="AU629" s="452" t="str">
        <f>IF(D629="","",IF(AS629=2,0,IF(AS629=1,'Calc (ex-animal)'!$G$116*'DB additional information '!$K$24/100*(1-VLOOKUP(D629,'DB technologies'!$N$294:$Y$306,8,FALSE)/100)*'Calc (ex-housing, ex-storage)'!F629/100/VLOOKUP($C$625,'DB animal categories'!$C$221:$AC$230,27,FALSE)*AJ629+I629+J629+K629,IF(AS629=5,(('Calc (ex-animal)'!$G$116*'DB additional information '!$K$24/100+'Calc (ex-animal)'!$H$116*'DB additional information '!$L$24/100))*(1-VLOOKUP(D629,'DB technologies'!$N$294:$Y$306,9,FALSE)/100)*'Calc (ex-housing, ex-storage)'!F629/100/VLOOKUP($C$625,'DB animal categories'!$C$221:$AC$230,27,FALSE)*AJ629+I629+J629+K629,IF(AS629=3,('Calc (ex-animal)'!$G$116*'DB additional information '!$K$24/100+'Calc (ex-animal)'!$H$116*'DB additional information '!$L$24/100)*(1-VLOOKUP(D629,'DB technologies'!$N$294:$Y$306,9,FALSE)/100)*'Calc (ex-housing, ex-storage)'!F629/100/VLOOKUP($C$625,'DB animal categories'!$C$221:$AC$230,27,FALSE)*AJ629+I629+J629+K629,IF(AS629=4,('Calc (ex-animal)'!$G$116*'DB additional information '!$K$24/100+'Calc (ex-animal)'!$H$116*'DB additional information '!$L$24/100)*(1-VLOOKUP(D629,'DB technologies'!$N$294:$Y$306,9,FALSE)/100)*'Calc (ex-housing, ex-storage)'!F629/100*VLOOKUP(D629,'DB technologies'!$N$294:$Y$306,12,FALSE)/100/VLOOKUP($C$625,'DB animal categories'!$C$221:$AC$230,27,FALSE)*AJ629+I629+J629+K629,0))))))</f>
        <v/>
      </c>
      <c r="AV629" s="452" t="str">
        <f>IF(D629="","",IF(AS629=2,0,IF(AS629=1,'Calc (ex-animal)'!$G$116*(1-'DB additional information '!$K$24/100)*(1-VLOOKUP(D629,'DB technologies'!$N$294:$Y$306,8,FALSE)/100)*'Calc (ex-housing, ex-storage)'!F629/100/VLOOKUP($C$625,'DB animal categories'!$C$221:$AC$230,27,FALSE)*AJ629+M629+N629+O629,IF(AS629=5,('Calc (ex-animal)'!$G$116*(1-'DB additional information '!$K$24/100)+'Calc (ex-animal)'!$H$116*(1-'DB additional information '!$L$24/100))*(1-VLOOKUP(D629,'DB technologies'!$N$294:$Y$306,8,FALSE)/100)*'Calc (ex-housing, ex-storage)'!F629/100/VLOOKUP($C$625,'DB animal categories'!$C$221:$AC$230,27,FALSE)*AJ629+M629+N629+O629,IF(AS629=3,('Calc (ex-animal)'!$G$116*(1-'DB additional information '!$K$24/100)+'Calc (ex-animal)'!$H$116*(1-'DB additional information '!$L$24/100))*(1-VLOOKUP(D629,'DB technologies'!$N$294:$Y$306,8,FALSE)/100)*'Calc (ex-housing, ex-storage)'!F629/100/VLOOKUP($C$625,'DB animal categories'!$C$221:$AC$230,27,FALSE)*AJ629+M629+N629+O629,IF(AS629=4,('Calc (ex-animal)'!$G$116*(1-'DB additional information '!$K$24/100)+'Calc (ex-animal)'!$H$116*(1-'DB additional information '!$L$24/100))*(1-VLOOKUP(D629,'DB technologies'!$N$294:$Y$306,8,FALSE)/100)*'Calc (ex-housing, ex-storage)'!F629/100*VLOOKUP(D629,'DB technologies'!$N$294:$Y$306,12,FALSE)/100/VLOOKUP($C$625,'DB animal categories'!$C$221:$AC$230,27,FALSE)*AJ629+M629+N629+O629,0))))))</f>
        <v/>
      </c>
      <c r="AW629" s="452" t="str">
        <f>IF(AS629="","",IF(AU629=0,0,AU629/AT629*100))</f>
        <v/>
      </c>
      <c r="AX629" s="184" t="str">
        <f>IF(D629="","",IF(AS629=2,0,IF(AS629=1,'Calc (ex-animal)'!$K$116*'Calc (ex-housing, ex-storage)'!F629/100/VLOOKUP($C$625,'DB animal categories'!$C$221:$AC$230,27,FALSE)*AJ629+Q629+R629+S629,IF(AS629=5,('Calc (ex-animal)'!$K$116+'Calc (ex-animal)'!$L$116)*'Calc (ex-housing, ex-storage)'!F629/100/VLOOKUP($C$625,'DB animal categories'!$C$221:$AC$230,27,FALSE)*AJ629+Q629+R629+S629-'Calc (ex-housing, ex-storage)'!AC629,IF(AS629=3,('Calc (ex-animal)'!$K$116+'Calc (ex-animal)'!$L$116)*'Calc (ex-housing, ex-storage)'!F629/100/VLOOKUP($C$625,'DB animal categories'!$C$221:$AC$230,27,FALSE)*AJ629+Q629+R629+S629-'Calc (ex-housing, ex-storage)'!AC629-AD629-AE629,IF(AI629=4,('Calc (ex-animal)'!$K$116+'Calc (ex-animal)'!$L$116)*'Calc (ex-housing, ex-storage)'!F629/100*VLOOKUP(D629,'DB technologies'!$N$294:$Y$306,12,FALSE)/100/VLOOKUP($C$625,'DB animal categories'!$C$221:$AC$230,27,FALSE)*AJ629+Q629+R629+S629-(VLOOKUP(D629,'DB technologies'!$N$294:$Y$306,12,FALSE)/100*AC629)-AD629-AE629,0))))))</f>
        <v/>
      </c>
      <c r="AY629" s="184" t="str">
        <f>IF(D629="","",IF(AS629=2,0,IF(AS629=1,'Calc (ex-animal)'!$N$116*'Calc (ex-housing, ex-storage)'!F629/100/VLOOKUP($C$625,'DB animal categories'!$C$221:$AC$230,27,FALSE)*AJ629+U629+V629+W629,IF(AS629=5,('Calc (ex-animal)'!$N$116+'Calc (ex-animal)'!$O$116)*'Calc (ex-housing, ex-storage)'!F629/100/VLOOKUP($C$625,'DB animal categories'!$C$221:$AC$230,27,FALSE)*AJ629+U629+V629+W629,IF(AS629=3,('Calc (ex-animal)'!$N$116+'Calc (ex-animal)'!$O$116)*'Calc (ex-housing, ex-storage)'!F629/100/VLOOKUP($C$625,'DB animal categories'!$C$221:$AC$230,27,FALSE)*AJ629+U629+V629+W629,IF(AS629=4,('Calc (ex-animal)'!$N$116+'Calc (ex-animal)'!$O$116)*'Calc (ex-housing, ex-storage)'!F629/100*VLOOKUP(D629,'DB technologies'!$N$294:$Y$306,12,FALSE)/100/VLOOKUP($C$625,'DB animal categories'!$C$221:$AC$230,27,FALSE)*AJ629+U629+V629+W629,0))))))</f>
        <v/>
      </c>
      <c r="AZ629" s="184" t="str">
        <f>IF(D629="","",IF(AS629=2,0,IF(AS629=1,'Calc (ex-animal)'!$Q$116*'Calc (ex-housing, ex-storage)'!F629/100/VLOOKUP($C$625,'DB animal categories'!$C$221:$AC$230,27,FALSE)*AJ629+Y629+Z629+AA629,IF(AS629=5,('Calc (ex-animal)'!$Q$116+'Calc (ex-animal)'!$R$116)*'Calc (ex-housing, ex-storage)'!F629/100/VLOOKUP($C$625,'DB animal categories'!$C$221:$AC$230,27,FALSE)*AJ629+Y629+Z629+AA629,IF(AS629=3,('Calc (ex-animal)'!$Q$116+'Calc (ex-animal)'!$R$116)*'Calc (ex-housing, ex-storage)'!F629/100/VLOOKUP($C$625,'DB animal categories'!$C$221:$AC$230,27,FALSE)*AJ629+Y629+Z629+AA629,IF(AS629=4,('Calc (ex-animal)'!$Q$116+'Calc (ex-animal)'!$R$116)*'Calc (ex-housing, ex-storage)'!F629/100*VLOOKUP(D629,'DB technologies'!$N$294:$Y$306,12,FALSE)/100/VLOOKUP($C$625,'DB animal categories'!$C$221:$AC$230,27,FALSE)*AJ629+Y629+Z629+AA629,0))))))</f>
        <v/>
      </c>
      <c r="BA629" s="506"/>
      <c r="BB629" s="506"/>
      <c r="BC629" s="506"/>
    </row>
    <row r="630" spans="1:55" ht="12" thickBot="1" x14ac:dyDescent="0.25">
      <c r="A630" s="748"/>
      <c r="B630" s="695"/>
      <c r="C630" s="252"/>
      <c r="D630" s="269" t="s">
        <v>58</v>
      </c>
      <c r="E630" s="270">
        <f>IF(F630&lt;=100,SUM(E625:E629),"ERROR")</f>
        <v>0</v>
      </c>
      <c r="F630" s="284">
        <f>IF(SUM(F625:F629) &lt;=100,SUM(F625:F629),"ERROR, SUM&gt;100%")</f>
        <v>0</v>
      </c>
      <c r="G630" s="550">
        <f>IF('Calc (ex-animal)'!$F$113=1,"",SUM(G625:G629))</f>
        <v>0</v>
      </c>
      <c r="H630" s="418">
        <f>IF('Calc (ex-animal)'!$F$8=1,"",SUM(H625:H629))</f>
        <v>0</v>
      </c>
      <c r="I630" s="418">
        <f>IF('Calc (ex-animal)'!$F$8=1,"",SUM(I625:I629))</f>
        <v>0</v>
      </c>
      <c r="J630" s="418">
        <f>IF('Calc (ex-animal)'!$F$8=1,"",SUM(J625:J629))</f>
        <v>0</v>
      </c>
      <c r="K630" s="418">
        <f>IF('Calc (ex-animal)'!$F$8=1,"",SUM(K625:K629))</f>
        <v>0</v>
      </c>
      <c r="L630" s="418">
        <f>IF('Calc (ex-animal)'!$F$8=1,"",SUM(L625:L629))</f>
        <v>0</v>
      </c>
      <c r="M630" s="551"/>
      <c r="N630" s="551"/>
      <c r="O630" s="551"/>
      <c r="P630" s="552">
        <f>IF(G630=0,0,IF('Calc (ex-animal)'!$F$113=1,"",IF(D630="","",SUM(H630:K630)/G630*100)))</f>
        <v>0</v>
      </c>
      <c r="Q630" s="271"/>
      <c r="R630" s="271"/>
      <c r="S630" s="271"/>
      <c r="T630" s="278">
        <f>IF('Calc (ex-animal)'!$F$116=1,"",SUM(T625:T629))</f>
        <v>0</v>
      </c>
      <c r="U630" s="279"/>
      <c r="V630" s="279"/>
      <c r="W630" s="279"/>
      <c r="X630" s="279">
        <f>IF('Calc (ex-animal)'!$F$116=1,"",SUM(X625:X629))</f>
        <v>0</v>
      </c>
      <c r="Y630" s="279"/>
      <c r="Z630" s="279"/>
      <c r="AA630" s="279"/>
      <c r="AB630" s="279">
        <f>IF('Calc (ex-animal)'!$F$116=1,"",SUM(AB625:AB629))</f>
        <v>0</v>
      </c>
      <c r="AC630" s="279">
        <f>IF('Calc (ex-animal)'!$F$116=1,"",SUM(AC625:AC629))</f>
        <v>0</v>
      </c>
      <c r="AD630" s="279">
        <f>IF('Calc (ex-animal)'!$F$116=1,"",SUM(AD625:AD629))</f>
        <v>0</v>
      </c>
      <c r="AE630" s="280">
        <f>IF('Calc (ex-animal)'!$F$116=1,"",SUM(AE625:AE629))</f>
        <v>0</v>
      </c>
    </row>
    <row r="631" spans="1:55" x14ac:dyDescent="0.2">
      <c r="A631" s="748"/>
      <c r="B631" s="695"/>
      <c r="C631" s="250">
        <f>'Calc (ex-animal)'!D117</f>
        <v>0</v>
      </c>
      <c r="D631" s="1355"/>
      <c r="E631" s="1356"/>
      <c r="F631" s="479" t="str">
        <f>IF('Calc (ex-animal)'!$F$113=1,"",IF($C$631=0,"",IF(D631="","",E631/'Calc (ex-animal)'!$E$117*100)))</f>
        <v/>
      </c>
      <c r="G631" s="484" t="str">
        <f>IF($C$631=0,"",IF('Calc (ex-animal)'!$F$113=1,"",IF(D631="","",SUM(H631:O631))))</f>
        <v/>
      </c>
      <c r="H631" s="471" t="str">
        <f>IF('Calc (ex-animal)'!$F$113=1,"",IF(D631="","",(((VLOOKUP($C$631,'Calc (ex-animal)'!$D$113:$Y$117,6,FALSE)-VLOOKUP($C$631,'Calc (ex-animal)'!$D$113:$Y$117,17,FALSE))*F631/100))*VLOOKUP($C$631,'Calc (ex-animal)'!$D$113:$Y$117,7,FALSE)/100*(1-VLOOKUP(D631,'DB technologies'!$N$294:$Y$306,9,FALSE)/100)))</f>
        <v/>
      </c>
      <c r="I631" s="471" t="str">
        <f>IF(D631="","",((VLOOKUP(D631,'DB technologies'!$N$294:$Y$306,2,FALSE)*VLOOKUP($C$631,'DB animal categories'!$C$221:$AC$230,27,FALSE)*E631/1000)/VLOOKUP($C$631,'DB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'!$S$6/100*(1-VLOOKUP(D631,'DB technologies'!$N$294:$Y$306,9,FALSE)/100)))</f>
        <v/>
      </c>
      <c r="J631" s="472" t="str">
        <f>IF(D631="","",((VLOOKUP(D631,'DB technologies'!$N$294:$Y$306,3,FALSE)*VLOOKUP($C$631,'DB animal categories'!$C$221:$AC$230,27,FALSE)*E631/1000)/VLOOKUP($C$631,'DB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'!$S$7/100*(1-VLOOKUP(D631,'DB technologies'!$N$294:$Y$306,9,FALSE)/100)))</f>
        <v/>
      </c>
      <c r="K631" s="472" t="str">
        <f>IF(D631="","",((VLOOKUP(D631,'DB technologies'!$N$294:$Y$306,4,FALSE)*E631*'DB additional information '!$S$8/100*(1-VLOOKUP(D631,'DB technologies'!$N$294:$Y$306,9,FALSE)/100))/VLOOKUP($C$631,'DB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L631" s="471" t="str">
        <f>IF('Calc (ex-animal)'!$F$113=1,"",IF(D631="","",(((VLOOKUP($C$631,'Calc (ex-animal)'!$D$113:$Y$117,6,FALSE)-VLOOKUP($C$631,'Calc (ex-animal)'!$D$113:$Y$117,17,FALSE))*F631/100))*(1-VLOOKUP($C$631,'Calc (ex-animal)'!$D$113:$Y$117,7,FALSE)/100)*(1-VLOOKUP(D631,'DB technologies'!$N$294:$V$306,8,FALSE)/100)))</f>
        <v/>
      </c>
      <c r="M631" s="472" t="str">
        <f>IF(D631="","",((VLOOKUP(D631,'DB technologies'!$N$294:$Y$306,2,FALSE)*VLOOKUP($C$631,'DB animal categories'!$C$221:$AC$230,27,FALSE)*E631/1000)/VLOOKUP($C$631,'DB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'!$S$6/100)*(1-VLOOKUP(D631,'DB technologies'!$N$294:$Y$306,9,FALSE)/100))</f>
        <v/>
      </c>
      <c r="N631" s="472" t="str">
        <f>IF(D631="","",((VLOOKUP(D631,'DB technologies'!$N$294:$Y$306,3,FALSE)*VLOOKUP($C$631,'DB animal categories'!$C$221:$AC$230,27,FALSE)*E631/1000)/VLOOKUP($C$631,'DB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'!$S$7/100)*(1-VLOOKUP(D631,'DB technologies'!$N$294:$Y$306,9,FALSE)/100))</f>
        <v/>
      </c>
      <c r="O631" s="471" t="str">
        <f>IF(D631="","",((VLOOKUP(D631,'DB technologies'!$N$294:$Y$306,4,FALSE)*E631*(1-'DB additional information '!$S$8/100)*(1-VLOOKUP(D631,'DB technologies'!$N$294:$Y$306,8,FALSE)/100))/VLOOKUP($C$631,'DB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P631" s="443" t="str">
        <f>IF(G631=0,0,IF(E631="","",IF(F631="","",IF($C$631=0,"",IF(D631="","",SUM(H631:K631)/G631*100)))))</f>
        <v/>
      </c>
      <c r="Q631" s="473" t="str">
        <f>IF(D631="","",(VLOOKUP(D631,'DB technologies'!$N$294:$Y$306,2,FALSE)*'DB additional information '!$S$6/100*'DB additional information '!$T$6*VLOOKUP($C$631,'DB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R631" s="473" t="str">
        <f>IF(D631="","",(VLOOKUP(D631,'DB technologies'!$N$294:$Y$306,3,FALSE)*'DB additional information '!$S$7/100*'DB additional information '!$T$7*VLOOKUP($C$631,'DB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S631" s="490" t="str">
        <f>IF(D631="","",(VLOOKUP(D631,'DB technologies'!$N$294:$Y$306,4,FALSE)*('DB additional information '!$S$8/100*'DB additional information '!$T$8*E631/1000/1000)))</f>
        <v/>
      </c>
      <c r="T631" s="263" t="str">
        <f>IF($C$631=0,"",IF('Calc (ex-animal)'!$F$113=1,"",IF(D631="","",((VLOOKUP($C$631,'Calc (ex-animal)'!$D$113:$Y$117,10,FALSE)-VLOOKUP($C$631,'Calc (ex-animal)'!$D$113:$Y$117,18,FALSE))*F631/100+Q631+R631+S631)-AC631-AD631-AE631)))</f>
        <v/>
      </c>
      <c r="U631" s="474" t="str">
        <f>IF(D631="","",(VLOOKUP(D631,'DB technologies'!$N$294:$Y$306,2,FALSE)*'DB additional information '!$S$6/100*'DB additional information '!$U$6*VLOOKUP($C$631,'DB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V631" s="420" t="str">
        <f>IF(D631="","",(VLOOKUP(D631,'DB technologies'!$N$294:$Y$306,3,FALSE)*'DB additional information '!$S$7/100*'DB additional information '!$U$7*VLOOKUP($C$631,'DB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W631" s="415" t="str">
        <f>IF(D631="","",(VLOOKUP(D631,'DB technologies'!$N$294:$Y$306,4,FALSE)*('DB additional information '!$S$8/100*'DB additional information '!$U$8*E631/1000/1000)))</f>
        <v/>
      </c>
      <c r="X631" s="259" t="str">
        <f>IF($C$631=0,"",IF('Calc (ex-animal)'!$F$113=1,"",IF(D631="","",((VLOOKUP($C$631,'Calc (ex-animal)'!$D$113:$Y$117,13,FALSE)-VLOOKUP($C$631,'Calc (ex-animal)'!$D$113:$Y$117,19,FALSE))*F631/100+U631+V631+W631))))</f>
        <v/>
      </c>
      <c r="Y631" s="420" t="str">
        <f>IF(D631="","",(VLOOKUP(D631,'DB technologies'!$N$294:$Y$306,2,FALSE)*'DB additional information '!$S$6/100*'DB additional information '!$V$6*VLOOKUP($C$631,'DB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Z631" s="420" t="str">
        <f>IF(D631="","",(VLOOKUP(D631,'DB technologies'!$N$294:$Y$306,3,FALSE)*'DB additional information '!$S$7/100*'DB additional information '!$V$7*VLOOKUP($C$631,'DB animal categories'!$C$221:$AC$230,27,FALSE)*E631/1000/1000)/VLOOKUP($C$631,'DB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AA631" s="420" t="str">
        <f>IF(D631="","",(VLOOKUP(D631,'DB technologies'!$N$294:$Y$306,4,FALSE)*('DB additional information '!$S$8/100*'DB additional information '!$V$8*E631/1000/1000)))</f>
        <v/>
      </c>
      <c r="AB631" s="259" t="str">
        <f>IF($C$631=0,"",IF('Calc (ex-animal)'!$F$113=1,"",IF(D631="","",((VLOOKUP($C$631,'Calc (ex-animal)'!$D$113:$Y$117,16,FALSE)-VLOOKUP($C$631,'Calc (ex-animal)'!$D$113:$Y$117,20,FALSE))*F631/100+Y631+Z631+AA631))))</f>
        <v/>
      </c>
      <c r="AC631" s="259" t="str">
        <f>IF($C$631=0,"",IF('Calc (ex-animal)'!$F$113=1,"",IF(D631="","",VLOOKUP($C$631,'Calc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categories'!$C$221:$AC$230,26,FALSE)/24)*F631/100*VLOOKUP(D631,'DB technologies'!$N$294:$R$306,5,FALSE)/100)))</f>
        <v/>
      </c>
      <c r="AD631" s="259" t="str">
        <f>IF($C$631=0,"",IF('Calc (ex-animal)'!$F$113=1,"",IF(D631="","",VLOOKUP($C$631,'Calc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categories'!$C$221:$AC$230,26,FALSE)/24)*F631/100*VLOOKUP(D631,'DB technologies'!$N$294:$Y$306,6,FALSE)/100)))</f>
        <v/>
      </c>
      <c r="AE631" s="260" t="str">
        <f>IF($C$631=0,"",IF('Calc (ex-animal)'!$F$113=1,"",IF(D631="","",VLOOKUP($C$631,'Calc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categories'!$C$221:$AC$230,26,FALSE)/24)*F631/100*VLOOKUP(D631,'DB technologies'!$N$294:$Y$306,7,FALSE)/100)))</f>
        <v/>
      </c>
      <c r="AI631" s="179" t="str">
        <f>IF(D631="","",VLOOKUP(D631,'DB technologies'!$N$294:$Y$306,10,FALSE))</f>
        <v/>
      </c>
      <c r="AJ631" s="482" t="e">
        <f>VLOOKUP($C$631,'DB animal categories'!$C$221:$AN$230,27,FALSE)-VLOOKUP($C$631,'DB animal categories'!$C$221:$AN$230,26,FALSE)*VLOOKUP($C$631,'DB animal categories'!$C$221:$AN$230,25,FALSE)/24</f>
        <v>#N/A</v>
      </c>
      <c r="AK631" s="453" t="str">
        <f>IF(AI631="","",AL631+AM631)</f>
        <v/>
      </c>
      <c r="AL631" s="453" t="str">
        <f>IF(D631="","",IF(AI631=2,(('Calc (ex-animal)'!$G$117*'DB additional information '!$K$24/100*(1-VLOOKUP(D631,'DB technologies'!$N$294:$Y$306,9,FALSE)/100)*'Calc (ex-housing, ex-storage)'!F631/100+'Calc (ex-animal)'!$H$117*'DB additional information '!$L$24/100*(1-VLOOKUP(D631,'DB technologies'!$N$294:$Y$306,9,FALSE)/100)*'Calc (ex-housing, ex-storage)'!F631/100))/VLOOKUP($C$631,'DB animal categories'!$C$221:$AC$230,27,FALSE)*AJ631+I631+J631+K631,IF(AI631=1,('Calc (ex-animal)'!$H$117*'DB additional information '!$L$24/100*(1-VLOOKUP(D631,'DB technologies'!$N$294:$Y$306,9,FALSE)/100)*'Calc (ex-housing, ex-storage)'!F631/100)/VLOOKUP($C$631,'DB animal categories'!$C$221:$AC$230,27,FALSE)*AJ631,IF(AI631=4,('Calc (ex-animal)'!$G$117*'DB additional information '!$K$24/100+'Calc (ex-animal)'!$H$117*'DB additional information '!$L$24/100)*(1-VLOOKUP(D631,'DB technologies'!$N$294:$Y$306,9,FALSE)/100)*'Calc (ex-housing, ex-storage)'!F631/100*VLOOKUP(D631,'DB technologies'!$N$294:$Y$306,11,FALSE)/100/VLOOKUP($C$631,'DB animal categories'!$C$221:$AC$230,27,FALSE)*AJ631,0))))</f>
        <v/>
      </c>
      <c r="AM631" s="453" t="str">
        <f>IF(D631="","",IF(AI631=2,(('Calc (ex-animal)'!$G$117*(1-'DB additional information '!$K$24/100)*(1-VLOOKUP(D631,'DB technologies'!$N$294:$Y$306,8,FALSE)/100)*'Calc (ex-housing, ex-storage)'!F631/100+'Calc (ex-animal)'!$H$117*(1-'DB additional information '!$L$24/100)*(1-VLOOKUP(D631,'DB technologies'!$N$294:$Y$306,8,FALSE)/100)*'Calc (ex-housing, ex-storage)'!F631/100))/VLOOKUP($C$631,'DB animal categories'!$C$221:$AC$230,27,FALSE)*AJ631+M631+N631+O631,IF(AI631=1,('Calc (ex-animal)'!$H$117*(1-'DB additional information '!$L$24/100)*(1-VLOOKUP(D631,'DB technologies'!$N$294:$Y$306,8,FALSE)/100)*'Calc (ex-housing, ex-storage)'!F631/100)/VLOOKUP($C$631,'DB animal categories'!$C$221:$AC$230,27,FALSE)*AJ631,IF(AI631=4,('Calc (ex-animal)'!$G$117*(1-'DB additional information '!$K$24/100)+'Calc (ex-animal)'!$H$117*(1-'DB additional information '!$L$24/100))*(1-VLOOKUP(D631,'DB technologies'!$N$294:$Y$306,8,FALSE)/100)*'Calc (ex-housing, ex-storage)'!F631/100*VLOOKUP(D631,'DB technologies'!$N$294:$Y$306,11,FALSE)/100/VLOOKUP($C$631,'DB animal categories'!$C$221:$AC$230,27,FALSE)*AJ631,0))))</f>
        <v/>
      </c>
      <c r="AN631" s="453" t="str">
        <f>IF(AI631="","",IF(AL631=0,0,AL631/AK631*100))</f>
        <v/>
      </c>
      <c r="AO631" s="180" t="str">
        <f>IF(D631="","",IF(AI631=2,(('Calc (ex-animal)'!$L$117*'Calc (ex-housing, ex-storage)'!F631/100+'Calc (ex-animal)'!$K$117*'Calc (ex-housing, ex-storage)'!F631/100))/VLOOKUP($C$631,'DB animal categories'!$C$221:$AC$230,27,FALSE)*AJ631+Q631+R631+S631-AC631,IF(AI631=1,('Calc (ex-animal)'!$L$117*'Calc (ex-housing, ex-storage)'!F631/100)/VLOOKUP($C$631,'DB animal categories'!$C$221:$AC$230,27,FALSE)*AJ631-'Calc (ex-housing, ex-storage)'!AC631,IF(AI631=4,('Calc (ex-animal)'!$L$117+'Calc (ex-animal)'!$K$117)*'Calc (ex-housing, ex-storage)'!F631/100*VLOOKUP(D631,'DB technologies'!$N$294:$Y$306,11,FALSE)/100/VLOOKUP($C$631,'DB animal categories'!$C$221:$AC$230,27,FALSE)*AJ631-AC631*VLOOKUP(D631,'DB technologies'!$N$294:$Y$306,11,FALSE)/100,0))))</f>
        <v/>
      </c>
      <c r="AP631" s="180" t="str">
        <f>IF(D631="","",IF(AO631&lt;-0.01,0,IF(AI631=2,(('Calc (ex-animal)'!$L$117*'Calc (ex-housing, ex-storage)'!F631/100+'Calc (ex-animal)'!$K$117*'Calc (ex-housing, ex-storage)'!F631/100))/VLOOKUP($C$631,'DB animal categories'!$C$221:$AC$230,27,FALSE)*AJ631+Q631+R631+S631-AC631,IF(AI631=1,('Calc (ex-animal)'!$L$117*'Calc (ex-housing, ex-storage)'!F631/100)/VLOOKUP($C$631,'DB animal categories'!$C$221:$AC$230,27,FALSE)*AJ631-'Calc (ex-housing, ex-storage)'!AC631,IF(AI631=4,('Calc (ex-animal)'!$L$117+'Calc (ex-animal)'!$K$117)*'Calc (ex-housing, ex-storage)'!F631/100*VLOOKUP(D631,'DB technologies'!$N$294:$Y$306,11,FALSE)/100/VLOOKUP($C$631,'DB animal categories'!$C$221:$AC$230,27,FALSE)*AJ631-AC631*VLOOKUP(D631,'DB technologies'!$N$294:$Y$306,11,FALSE)/100,0)))))</f>
        <v/>
      </c>
      <c r="AQ631" s="180" t="str">
        <f>IF(D631="","",IF(AI631=2,('Calc (ex-animal)'!$O$117*'Calc (ex-housing, ex-storage)'!F631/100+'Calc (ex-animal)'!$N$117*'Calc (ex-housing, ex-storage)'!F631/100)/VLOOKUP($C$631,'DB animal categories'!$C$221:$AC$230,27,FALSE)*AJ631+U631+V631+W631,IF(AI631=1,'Calc (ex-animal)'!$O$117*'Calc (ex-housing, ex-storage)'!F631/100/VLOOKUP($C$631,'DB animal categories'!$C$221:$AC$230,27,FALSE)*AJ631,IF(AI631=4,('Calc (ex-animal)'!$O$117+'Calc (ex-animal)'!$N$117)*'Calc (ex-housing, ex-storage)'!F631/100*VLOOKUP(D631,'DB technologies'!$N$294:$Y$306,11,FALSE)/100/VLOOKUP($C$631,'DB animal categories'!$C$221:$AC$230,27,FALSE)*AJ631,0))))</f>
        <v/>
      </c>
      <c r="AR631" s="180" t="str">
        <f>IF(D631="","",IF(AI631=2,('Calc (ex-animal)'!$R$117*'Calc (ex-housing, ex-storage)'!F631/100+'Calc (ex-animal)'!$Q$117*'Calc (ex-housing, ex-storage)'!F631/100)/VLOOKUP($C$631,'DB animal categories'!$C$221:$AC$230,27,FALSE)*AJ631+Y631+Z631+AA631,IF(AI631=1,'Calc (ex-animal)'!$R$117*'Calc (ex-housing, ex-storage)'!F631/100/VLOOKUP($C$631,'DB animal categories'!$C$221:$AC$230,27,FALSE)*AJ631,IF(AI631=4,('Calc (ex-animal)'!$R$117+'Calc (ex-animal)'!$Q$117)*'Calc (ex-housing, ex-storage)'!F631/100*VLOOKUP(D631,'DB technologies'!$N$294:$Y$306,11,FALSE)/100/VLOOKUP($C$631,'DB animal categories'!$C$221:$AC$230,27,FALSE)*AJ631,0))))</f>
        <v/>
      </c>
      <c r="AS631" s="179" t="str">
        <f>IF(D631="","",VLOOKUP(D631,'DB technologies'!$N$294:$Y$306,10,FALSE))</f>
        <v/>
      </c>
      <c r="AT631" s="453" t="str">
        <f>IF(AS631="","",AU631+AV631)</f>
        <v/>
      </c>
      <c r="AU631" s="453" t="str">
        <f>IF(D631="","",IF(AS631=2,0,IF(AS631=1,'Calc (ex-animal)'!$G$117*'DB additional information '!$K$24/100*(1-VLOOKUP(D631,'DB technologies'!$N$294:$Y$306,8,FALSE)/100)*'Calc (ex-housing, ex-storage)'!F631/100/VLOOKUP($C$631,'DB animal categories'!$C$221:$AC$230,27,FALSE)*AJ631+I631+J631+K631,IF(AS631=5,(('Calc (ex-animal)'!$G$117*'DB additional information '!$K$24/100+'Calc (ex-animal)'!$H$117*'DB additional information '!$L$24/100))*(1-VLOOKUP(D631,'DB technologies'!$N$294:$Y$306,9,FALSE)/100)*'Calc (ex-housing, ex-storage)'!F631/100/VLOOKUP($C$631,'DB animal categories'!$C$221:$AC$230,27,FALSE)*AJ631+I631+J631+K631,IF(AS631=3,('Calc (ex-animal)'!$G$117*'DB additional information '!$K$24/100+'Calc (ex-animal)'!$H$117*'DB additional information '!$L$24/100)*(1-VLOOKUP(D631,'DB technologies'!$N$294:$Y$306,9,FALSE)/100)*'Calc (ex-housing, ex-storage)'!F631/100/VLOOKUP($C$631,'DB animal categories'!$C$221:$AC$230,27,FALSE)*AJ631+I631+J631+K631,IF(AS631=4,('Calc (ex-animal)'!$G$117*'DB additional information '!$K$24/100+'Calc (ex-animal)'!$H$117*'DB additional information '!$L$24/100)*(1-VLOOKUP(D631,'DB technologies'!$N$294:$Y$306,9,FALSE)/100)*'Calc (ex-housing, ex-storage)'!F631/100*VLOOKUP(D631,'DB technologies'!$N$294:$Y$306,12,FALSE)/100/VLOOKUP($C$631,'DB animal categories'!$C$221:$AC$230,27,FALSE)*AJ631+I631+J631+K631,0))))))</f>
        <v/>
      </c>
      <c r="AV631" s="453" t="str">
        <f>IF(D631="","",IF(AS631=2,0,IF(AS631=1,'Calc (ex-animal)'!$G$117*(1-'DB additional information '!$K$24/100)*(1-VLOOKUP(D631,'DB technologies'!$N$294:$Y$306,8,FALSE)/100)*'Calc (ex-housing, ex-storage)'!F631/100/VLOOKUP($C$631,'DB animal categories'!$C$221:$AC$230,27,FALSE)*AJ631+M631+N631+O631,IF(AS631=5,('Calc (ex-animal)'!$G$117*(1-'DB additional information '!$K$24/100)+'Calc (ex-animal)'!$H$117*(1-'DB additional information '!$L$24/100))*(1-VLOOKUP(D631,'DB technologies'!$N$294:$Y$306,8,FALSE)/100)*'Calc (ex-housing, ex-storage)'!F631/100/VLOOKUP($C$631,'DB animal categories'!$C$221:$AC$230,27,FALSE)*AJ631+M631+N631+O631,IF(AS631=3,('Calc (ex-animal)'!$G$117*(1-'DB additional information '!$K$24/100)+'Calc (ex-animal)'!$H$117*(1-'DB additional information '!$L$24/100))*(1-VLOOKUP(D631,'DB technologies'!$N$294:$Y$306,8,FALSE)/100)*'Calc (ex-housing, ex-storage)'!F631/100/VLOOKUP($C$631,'DB animal categories'!$C$221:$AC$230,27,FALSE)*AJ631+M631+N631+O631,IF(AS631=4,('Calc (ex-animal)'!$G$117*(1-'DB additional information '!$K$24/100)+'Calc (ex-animal)'!$H$117*(1-'DB additional information '!$L$24/100))*(1-VLOOKUP(D631,'DB technologies'!$N$294:$Y$306,8,FALSE)/100)*'Calc (ex-housing, ex-storage)'!F631/100*VLOOKUP(D631,'DB technologies'!$N$294:$Y$306,12,FALSE)/100/VLOOKUP($C$631,'DB animal categories'!$C$221:$AC$230,27,FALSE)*AJ631+M631+N631+O631,0))))))</f>
        <v/>
      </c>
      <c r="AW631" s="453" t="str">
        <f>IF(AS631="","",IF(AU631=0,0,AU631/AT631*100))</f>
        <v/>
      </c>
      <c r="AX631" s="180" t="str">
        <f>IF(D631="","",IF(AS631=2,0,IF(AS631=1,'Calc (ex-animal)'!$K$117*'Calc (ex-housing, ex-storage)'!F631/100/VLOOKUP($C$631,'DB animal categories'!$C$221:$AC$230,27,FALSE)*AJ631+Q631+R631+S631,IF(AS631=5,('Calc (ex-animal)'!$K$117+'Calc (ex-animal)'!$L$117)*'Calc (ex-housing, ex-storage)'!F631/100/VLOOKUP($C$631,'DB animal categories'!$C$221:$AC$230,27,FALSE)*AJ631+Q631+R631+S631-'Calc (ex-housing, ex-storage)'!AC631,IF(AS631=3,('Calc (ex-animal)'!$K$117+'Calc (ex-animal)'!$L$117)*'Calc (ex-housing, ex-storage)'!F631/100/VLOOKUP($C$631,'DB animal categories'!$C$221:$AC$230,27,FALSE)*AJ631+Q631+R631+S631-'Calc (ex-housing, ex-storage)'!AC631-AD631-AE631,IF(AI631=4,('Calc (ex-animal)'!$K$117+'Calc (ex-animal)'!$L$117)*'Calc (ex-housing, ex-storage)'!F631/100*VLOOKUP(D631,'DB technologies'!$N$294:$Y$306,12,FALSE)/100/VLOOKUP($C$631,'DB animal categories'!$C$221:$AC$230,27,FALSE)*AJ631+Q631+R631+S631-(VLOOKUP(D631,'DB technologies'!$N$294:$Y$306,12,FALSE)/100*AC631)-AD631-AE631,0))))))</f>
        <v/>
      </c>
      <c r="AY631" s="180" t="str">
        <f>IF(D631="","",IF(AS631=2,0,IF(AS631=1,'Calc (ex-animal)'!$N$117*'Calc (ex-housing, ex-storage)'!F631/100/VLOOKUP($C$631,'DB animal categories'!$C$221:$AC$230,27,FALSE)*AJ631+U631+V631+W631,IF(AS631=5,('Calc (ex-animal)'!$N$117+'Calc (ex-animal)'!$O$117)*'Calc (ex-housing, ex-storage)'!F631/100/VLOOKUP($C$631,'DB animal categories'!$C$221:$AC$230,27,FALSE)*AJ631+U631+V631+W631,IF(AS631=3,('Calc (ex-animal)'!$N$117+'Calc (ex-animal)'!$O$117)*'Calc (ex-housing, ex-storage)'!F631/100/VLOOKUP($C$631,'DB animal categories'!$C$221:$AC$230,27,FALSE)*AJ631+U631+V631+W631,IF(AS631=4,('Calc (ex-animal)'!$N$117+'Calc (ex-animal)'!$O$117)*'Calc (ex-housing, ex-storage)'!F631/100*VLOOKUP(D631,'DB technologies'!$N$294:$Y$306,12,FALSE)/100/VLOOKUP($C$631,'DB animal categories'!$C$221:$AC$230,27,FALSE)*AJ631+U631+V631+W631,0))))))</f>
        <v/>
      </c>
      <c r="AZ631" s="180" t="str">
        <f>IF(D631="","",IF(AS631=2,0,IF(AS631=1,'Calc (ex-animal)'!$Q$117*'Calc (ex-housing, ex-storage)'!F631/100/VLOOKUP($C$631,'DB animal categories'!$C$221:$AC$230,27,FALSE)*AJ631+Y631+Z631+AA631,IF(AS631=5,('Calc (ex-animal)'!$Q$117+'Calc (ex-animal)'!$R$117)*'Calc (ex-housing, ex-storage)'!F631/100/VLOOKUP($C$631,'DB animal categories'!$C$221:$AC$230,27,FALSE)*AJ631+Y631+Z631+AA631,IF(AS631=3,('Calc (ex-animal)'!$Q$117+'Calc (ex-animal)'!$R$117)*'Calc (ex-housing, ex-storage)'!F631/100/VLOOKUP($C$631,'DB animal categories'!$C$221:$AC$230,27,FALSE)*AJ631+Y631+Z631+AA631,IF(AS631=4,('Calc (ex-animal)'!$Q$117+'Calc (ex-animal)'!$R$117)*'Calc (ex-housing, ex-storage)'!F631/100*VLOOKUP(D631,'DB technologies'!$N$294:$Y$306,12,FALSE)/100/VLOOKUP($C$631,'DB animal categories'!$C$221:$AC$230,27,FALSE)*AJ631+Y631+Z631+AA631,0))))))</f>
        <v/>
      </c>
      <c r="BA631" s="506"/>
      <c r="BB631" s="506"/>
      <c r="BC631" s="506"/>
    </row>
    <row r="632" spans="1:55" x14ac:dyDescent="0.2">
      <c r="A632" s="748"/>
      <c r="B632" s="695"/>
      <c r="C632" s="251"/>
      <c r="D632" s="1357"/>
      <c r="E632" s="1399"/>
      <c r="F632" s="480" t="str">
        <f>IF('Calc (ex-animal)'!$F$113=1,"",IF($C$631=0,"",IF(D632="","",E632/'Calc (ex-animal)'!$E$117*100)))</f>
        <v/>
      </c>
      <c r="G632" s="485" t="str">
        <f>IF($C$631=0,"",IF('Calc (ex-animal)'!$F$113=1,"",IF(D632="","",SUM(H632:O632))))</f>
        <v/>
      </c>
      <c r="H632" s="423" t="str">
        <f>IF('Calc (ex-animal)'!$F$113=1,"",IF(D632="","",(((VLOOKUP($C$631,'Calc (ex-animal)'!$D$113:$Y$117,6,FALSE)-VLOOKUP($C$631,'Calc (ex-animal)'!$D$113:$Y$117,17,FALSE))*F632/100))*VLOOKUP($C$631,'Calc (ex-animal)'!$D$113:$Y$117,7,FALSE)/100*(1-VLOOKUP(D632,'DB technologies'!$N$294:$Y$306,9,FALSE)/100)))</f>
        <v/>
      </c>
      <c r="I632" s="423" t="str">
        <f>IF(D632="","",((VLOOKUP(D632,'DB technologies'!$N$294:$Y$306,2,FALSE)*VLOOKUP($C$631,'DB animal categories'!$C$221:$AC$230,27,FALSE)*E632/1000)/VLOOKUP($C$631,'DB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'!$S$6/100*(1-VLOOKUP(D632,'DB technologies'!$N$294:$Y$306,9,FALSE)/100)))</f>
        <v/>
      </c>
      <c r="J632" s="434" t="str">
        <f>IF(D632="","",((VLOOKUP(D632,'DB technologies'!$N$294:$Y$306,3,FALSE)*VLOOKUP($C$631,'DB animal categories'!$C$221:$AC$230,27,FALSE)*E632/1000)/VLOOKUP($C$631,'DB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'!$S$7/100*(1-VLOOKUP(D632,'DB technologies'!$N$294:$Y$306,9,FALSE)/100)))</f>
        <v/>
      </c>
      <c r="K632" s="434" t="str">
        <f>IF(D632="","",((VLOOKUP(D632,'DB technologies'!$N$294:$Y$306,4,FALSE)*E632*'DB additional information '!$S$8/100*(1-VLOOKUP(D632,'DB technologies'!$N$294:$Y$306,9,FALSE)/100))/VLOOKUP($C$631,'DB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L632" s="423" t="str">
        <f>IF('Calc (ex-animal)'!$F$113=1,"",IF(D632="","",(((VLOOKUP($C$631,'Calc (ex-animal)'!$D$113:$Y$117,6,FALSE)-VLOOKUP($C$631,'Calc (ex-animal)'!$D$113:$Y$117,17,FALSE))*F632/100))*(1-VLOOKUP($C$631,'Calc (ex-animal)'!$D$113:$Y$117,7,FALSE)/100)*(1-VLOOKUP(D632,'DB technologies'!$N$294:$V$306,8,FALSE)/100)))</f>
        <v/>
      </c>
      <c r="M632" s="434" t="str">
        <f>IF(D632="","",((VLOOKUP(D632,'DB technologies'!$N$294:$Y$306,2,FALSE)*VLOOKUP($C$631,'DB animal categories'!$C$221:$AC$230,27,FALSE)*E632/1000)/VLOOKUP($C$631,'DB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'!$S$6/100)*(1-VLOOKUP(D632,'DB technologies'!$N$294:$Y$306,9,FALSE)/100))</f>
        <v/>
      </c>
      <c r="N632" s="434" t="str">
        <f>IF(D632="","",((VLOOKUP(D632,'DB technologies'!$N$294:$Y$306,3,FALSE)*VLOOKUP($C$631,'DB animal categories'!$C$221:$AC$230,27,FALSE)*E632/1000)/VLOOKUP($C$631,'DB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'!$S$7/100)*(1-VLOOKUP(D632,'DB technologies'!$N$294:$Y$306,9,FALSE)/100))</f>
        <v/>
      </c>
      <c r="O632" s="423" t="str">
        <f>IF(D632="","",((VLOOKUP(D632,'DB technologies'!$N$294:$Y$306,4,FALSE)*E632*(1-'DB additional information '!$S$8/100)*(1-VLOOKUP(D632,'DB technologies'!$N$294:$Y$306,8,FALSE)/100))/VLOOKUP($C$631,'DB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P632" s="438" t="str">
        <f>IF(G632=0,0,IF(E632="","",IF(F632="","",IF($C$631=0,"",IF(D632="","",SUM(H632:K632)/G632*100)))))</f>
        <v/>
      </c>
      <c r="Q632" s="416" t="str">
        <f>IF(D632="","",(VLOOKUP(D632,'DB technologies'!$N$294:$Y$306,2,FALSE)*'DB additional information '!$S$6/100*'DB additional information '!$T$6*VLOOKUP($C$631,'DB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R632" s="416" t="str">
        <f>IF(D632="","",(VLOOKUP(D632,'DB technologies'!$N$294:$Y$306,3,FALSE)*'DB additional information '!$S$7/100*'DB additional information '!$T$7*VLOOKUP($C$631,'DB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S632" s="491" t="str">
        <f>IF(D632="","",(VLOOKUP(D632,'DB technologies'!$N$294:$Y$306,4,FALSE)*('DB additional information '!$S$8/100*'DB additional information '!$T$8*E632/1000/1000)))</f>
        <v/>
      </c>
      <c r="T632" s="264" t="str">
        <f>IF($C$631=0,"",IF('Calc (ex-animal)'!$F$113=1,"",IF(D632="","",((VLOOKUP($C$631,'Calc (ex-animal)'!$D$113:$Y$117,10,FALSE)-VLOOKUP($C$631,'Calc (ex-animal)'!$D$113:$Y$117,18,FALSE))*F632/100+Q632+R632+S632)-AC632-AD632-AE632)))</f>
        <v/>
      </c>
      <c r="U632" s="422" t="str">
        <f>IF(D632="","",(VLOOKUP(D632,'DB technologies'!$N$294:$Y$306,2,FALSE)*'DB additional information '!$S$6/100*'DB additional information '!$U$6*VLOOKUP($C$631,'DB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V632" s="418" t="str">
        <f>IF(D632="","",(VLOOKUP(D632,'DB technologies'!$N$294:$Y$306,3,FALSE)*'DB additional information '!$S$7/100*'DB additional information '!$U$7*VLOOKUP($C$631,'DB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W632" s="417" t="str">
        <f>IF(D632="","",(VLOOKUP(D632,'DB technologies'!$N$294:$Y$306,4,FALSE)*('DB additional information '!$S$8/100*'DB additional information '!$U$8*E632/1000/1000)))</f>
        <v/>
      </c>
      <c r="X632" s="261" t="str">
        <f>IF($C$631=0,"",IF('Calc (ex-animal)'!$F$113=1,"",IF(D632="","",((VLOOKUP($C$631,'Calc (ex-animal)'!$D$113:$Y$117,13,FALSE)-VLOOKUP($C$631,'Calc (ex-animal)'!$D$113:$Y$117,19,FALSE))*F632/100+U632+V632+W632))))</f>
        <v/>
      </c>
      <c r="Y632" s="418" t="str">
        <f>IF(D632="","",(VLOOKUP(D632,'DB technologies'!$N$294:$Y$306,2,FALSE)*'DB additional information '!$S$6/100*'DB additional information '!$V$6*VLOOKUP($C$631,'DB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Z632" s="418" t="str">
        <f>IF(D632="","",(VLOOKUP(D632,'DB technologies'!$N$294:$Y$306,3,FALSE)*'DB additional information '!$S$7/100*'DB additional information '!$V$7*VLOOKUP($C$631,'DB animal categories'!$C$221:$AC$230,27,FALSE)*E632/1000/1000)/VLOOKUP($C$631,'DB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AA632" s="418" t="str">
        <f>IF(D632="","",(VLOOKUP(D632,'DB technologies'!$N$294:$Y$306,4,FALSE)*('DB additional information '!$S$8/100*'DB additional information '!$V$8*E632/1000/1000)))</f>
        <v/>
      </c>
      <c r="AB632" s="261" t="str">
        <f>IF($C$631=0,"",IF('Calc (ex-animal)'!$F$113=1,"",IF(D632="","",((VLOOKUP($C$631,'Calc (ex-animal)'!$D$113:$Y$117,16,FALSE)-VLOOKUP($C$631,'Calc (ex-animal)'!$D$113:$Y$117,20,FALSE))*F632/100+Y632+Z632+AA632))))</f>
        <v/>
      </c>
      <c r="AC632" s="261" t="str">
        <f>IF($C$631=0,"",IF('Calc (ex-animal)'!$F$113=1,"",IF(D632="","",VLOOKUP($C$631,'Calc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categories'!$C$221:$AC$230,26,FALSE)/24)*F632/100*VLOOKUP(D632,'DB technologies'!$N$294:$R$306,5,FALSE)/100)))</f>
        <v/>
      </c>
      <c r="AD632" s="261" t="str">
        <f>IF($C$631=0,"",IF('Calc (ex-animal)'!$F$113=1,"",IF(D632="","",VLOOKUP($C$631,'Calc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categories'!$C$221:$AC$230,26,FALSE)/24)*F632/100*VLOOKUP(D632,'DB technologies'!$N$294:$Y$306,6,FALSE)/100)))</f>
        <v/>
      </c>
      <c r="AE632" s="262" t="str">
        <f>IF($C$631=0,"",IF('Calc (ex-animal)'!$F$113=1,"",IF(D632="","",VLOOKUP($C$631,'Calc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categories'!$C$221:$AC$230,26,FALSE)/24)*F632/100*VLOOKUP(D632,'DB technologies'!$N$294:$Y$306,7,FALSE)/100)))</f>
        <v/>
      </c>
      <c r="AI632" s="181" t="str">
        <f>IF(D632="","",VLOOKUP(D632,'DB technologies'!$N$294:$Y$306,10,FALSE))</f>
        <v/>
      </c>
      <c r="AJ632" s="449" t="e">
        <f>VLOOKUP($C$631,'DB animal categories'!$C$221:$AN$230,27,FALSE)-VLOOKUP($C$631,'DB animal categories'!$C$221:$AN$230,26,FALSE)*VLOOKUP($C$631,'DB animal categories'!$C$221:$AN$230,25,FALSE)/24</f>
        <v>#N/A</v>
      </c>
      <c r="AK632" s="442" t="str">
        <f>IF(AI632="","",AL632+AM632)</f>
        <v/>
      </c>
      <c r="AL632" s="442" t="str">
        <f>IF(D632="","",IF(AI632=2,(('Calc (ex-animal)'!$G$117*'DB additional information '!$K$24/100*(1-VLOOKUP(D632,'DB technologies'!$N$294:$Y$306,9,FALSE)/100)*'Calc (ex-housing, ex-storage)'!F632/100+'Calc (ex-animal)'!$H$117*'DB additional information '!$L$24/100*(1-VLOOKUP(D632,'DB technologies'!$N$294:$Y$306,9,FALSE)/100)*'Calc (ex-housing, ex-storage)'!F632/100))/VLOOKUP($C$631,'DB animal categories'!$C$221:$AC$230,27,FALSE)*AJ632+I632+J632+K632,IF(AI632=1,('Calc (ex-animal)'!$H$117*'DB additional information '!$L$24/100*(1-VLOOKUP(D632,'DB technologies'!$N$294:$Y$306,9,FALSE)/100)*'Calc (ex-housing, ex-storage)'!F632/100)/VLOOKUP($C$631,'DB animal categories'!$C$221:$AC$230,27,FALSE)*AJ632,IF(AI632=4,('Calc (ex-animal)'!$G$117*'DB additional information '!$K$24/100+'Calc (ex-animal)'!$H$117*'DB additional information '!$L$24/100)*(1-VLOOKUP(D632,'DB technologies'!$N$294:$Y$306,9,FALSE)/100)*'Calc (ex-housing, ex-storage)'!F632/100*VLOOKUP(D632,'DB technologies'!$N$294:$Y$306,11,FALSE)/100/VLOOKUP($C$631,'DB animal categories'!$C$221:$AC$230,27,FALSE)*AJ632,0))))</f>
        <v/>
      </c>
      <c r="AM632" s="442" t="str">
        <f>IF(D632="","",IF(AI632=2,(('Calc (ex-animal)'!$G$117*(1-'DB additional information '!$K$24/100)*(1-VLOOKUP(D632,'DB technologies'!$N$294:$Y$306,8,FALSE)/100)*'Calc (ex-housing, ex-storage)'!F632/100+'Calc (ex-animal)'!$H$117*(1-'DB additional information '!$L$24/100)*(1-VLOOKUP(D632,'DB technologies'!$N$294:$Y$306,8,FALSE)/100)*'Calc (ex-housing, ex-storage)'!F632/100))/VLOOKUP($C$631,'DB animal categories'!$C$221:$AC$230,27,FALSE)*AJ632+M632+N632+O632,IF(AI632=1,('Calc (ex-animal)'!$H$117*(1-'DB additional information '!$L$24/100)*(1-VLOOKUP(D632,'DB technologies'!$N$294:$Y$306,8,FALSE)/100)*'Calc (ex-housing, ex-storage)'!F632/100)/VLOOKUP($C$631,'DB animal categories'!$C$221:$AC$230,27,FALSE)*AJ632,IF(AI632=4,('Calc (ex-animal)'!$G$117*(1-'DB additional information '!$K$24/100)+'Calc (ex-animal)'!$H$117*(1-'DB additional information '!$L$24/100))*(1-VLOOKUP(D632,'DB technologies'!$N$294:$Y$306,8,FALSE)/100)*'Calc (ex-housing, ex-storage)'!F632/100*VLOOKUP(D632,'DB technologies'!$N$294:$Y$306,11,FALSE)/100/VLOOKUP($C$631,'DB animal categories'!$C$221:$AC$230,27,FALSE)*AJ632,0))))</f>
        <v/>
      </c>
      <c r="AN632" s="442" t="str">
        <f>IF(AI632="","",IF(AL632=0,0,AL632/AK632*100))</f>
        <v/>
      </c>
      <c r="AO632" s="182" t="str">
        <f>IF(D632="","",IF(AI632=2,(('Calc (ex-animal)'!$L$117*'Calc (ex-housing, ex-storage)'!F632/100+'Calc (ex-animal)'!$K$117*'Calc (ex-housing, ex-storage)'!F632/100))/VLOOKUP($C$631,'DB animal categories'!$C$221:$AC$230,27,FALSE)*AJ632+Q632+R632+S632-AC632,IF(AI632=1,('Calc (ex-animal)'!$L$117*'Calc (ex-housing, ex-storage)'!F632/100)/VLOOKUP($C$631,'DB animal categories'!$C$221:$AC$230,27,FALSE)*AJ632-'Calc (ex-housing, ex-storage)'!AC632,IF(AI632=4,('Calc (ex-animal)'!$L$117+'Calc (ex-animal)'!$K$117)*'Calc (ex-housing, ex-storage)'!F632/100*VLOOKUP(D632,'DB technologies'!$N$294:$Y$306,11,FALSE)/100/VLOOKUP($C$631,'DB animal categories'!$C$221:$AC$230,27,FALSE)*AJ632-AC632*VLOOKUP(D632,'DB technologies'!$N$294:$Y$306,11,FALSE)/100,0))))</f>
        <v/>
      </c>
      <c r="AP632" s="182" t="str">
        <f>IF(D632="","",IF(AO632&lt;-0.01,0,IF(AI632=2,(('Calc (ex-animal)'!$L$117*'Calc (ex-housing, ex-storage)'!F632/100+'Calc (ex-animal)'!$K$117*'Calc (ex-housing, ex-storage)'!F632/100))/VLOOKUP($C$631,'DB animal categories'!$C$221:$AC$230,27,FALSE)*AJ632+Q632+R632+S632-AC632,IF(AI632=1,('Calc (ex-animal)'!$L$117*'Calc (ex-housing, ex-storage)'!F632/100)/VLOOKUP($C$631,'DB animal categories'!$C$221:$AC$230,27,FALSE)*AJ632-'Calc (ex-housing, ex-storage)'!AC632,IF(AI632=4,('Calc (ex-animal)'!$L$117+'Calc (ex-animal)'!$K$117)*'Calc (ex-housing, ex-storage)'!F632/100*VLOOKUP(D632,'DB technologies'!$N$294:$Y$306,11,FALSE)/100/VLOOKUP($C$631,'DB animal categories'!$C$221:$AC$230,27,FALSE)*AJ632-AC632*VLOOKUP(D632,'DB technologies'!$N$294:$Y$306,11,FALSE)/100,0)))))</f>
        <v/>
      </c>
      <c r="AQ632" s="182" t="str">
        <f>IF(D632="","",IF(AI632=2,('Calc (ex-animal)'!$O$117*'Calc (ex-housing, ex-storage)'!F632/100+'Calc (ex-animal)'!$N$117*'Calc (ex-housing, ex-storage)'!F632/100)/VLOOKUP($C$631,'DB animal categories'!$C$221:$AC$230,27,FALSE)*AJ632+U632+V632+W632,IF(AI632=1,'Calc (ex-animal)'!$O$117*'Calc (ex-housing, ex-storage)'!F632/100/VLOOKUP($C$631,'DB animal categories'!$C$221:$AC$230,27,FALSE)*AJ632,IF(AI632=4,('Calc (ex-animal)'!$O$117+'Calc (ex-animal)'!$N$117)*'Calc (ex-housing, ex-storage)'!F632/100*VLOOKUP(D632,'DB technologies'!$N$294:$Y$306,11,FALSE)/100/VLOOKUP($C$631,'DB animal categories'!$C$221:$AC$230,27,FALSE)*AJ632,0))))</f>
        <v/>
      </c>
      <c r="AR632" s="182" t="str">
        <f>IF(D632="","",IF(AI632=2,('Calc (ex-animal)'!$R$117*'Calc (ex-housing, ex-storage)'!F632/100+'Calc (ex-animal)'!$Q$117*'Calc (ex-housing, ex-storage)'!F632/100)/VLOOKUP($C$631,'DB animal categories'!$C$221:$AC$230,27,FALSE)*AJ632+Y632+Z632+AA632,IF(AI632=1,'Calc (ex-animal)'!$R$117*'Calc (ex-housing, ex-storage)'!F632/100/VLOOKUP($C$631,'DB animal categories'!$C$221:$AC$230,27,FALSE)*AJ632,IF(AI632=4,('Calc (ex-animal)'!$R$117+'Calc (ex-animal)'!$Q$117)*'Calc (ex-housing, ex-storage)'!F632/100*VLOOKUP(D632,'DB technologies'!$N$294:$Y$306,11,FALSE)/100/VLOOKUP($C$631,'DB animal categories'!$C$221:$AC$230,27,FALSE)*AJ632,0))))</f>
        <v/>
      </c>
      <c r="AS632" s="181" t="str">
        <f>IF(D632="","",VLOOKUP(D632,'DB technologies'!$N$294:$Y$306,10,FALSE))</f>
        <v/>
      </c>
      <c r="AT632" s="442" t="str">
        <f>IF(AS632="","",AU632+AV632)</f>
        <v/>
      </c>
      <c r="AU632" s="442" t="str">
        <f>IF(D632="","",IF(AS632=2,0,IF(AS632=1,'Calc (ex-animal)'!$G$117*'DB additional information '!$K$24/100*(1-VLOOKUP(D632,'DB technologies'!$N$294:$Y$306,8,FALSE)/100)*'Calc (ex-housing, ex-storage)'!F632/100/VLOOKUP($C$631,'DB animal categories'!$C$221:$AC$230,27,FALSE)*AJ632+I632+J632+K632,IF(AS632=5,(('Calc (ex-animal)'!$G$117*'DB additional information '!$K$24/100+'Calc (ex-animal)'!$H$117*'DB additional information '!$L$24/100))*(1-VLOOKUP(D632,'DB technologies'!$N$294:$Y$306,9,FALSE)/100)*'Calc (ex-housing, ex-storage)'!F632/100/VLOOKUP($C$631,'DB animal categories'!$C$221:$AC$230,27,FALSE)*AJ632+I632+J632+K632,IF(AS632=3,('Calc (ex-animal)'!$G$117*'DB additional information '!$K$24/100+'Calc (ex-animal)'!$H$117*'DB additional information '!$L$24/100)*(1-VLOOKUP(D632,'DB technologies'!$N$294:$Y$306,9,FALSE)/100)*'Calc (ex-housing, ex-storage)'!F632/100/VLOOKUP($C$631,'DB animal categories'!$C$221:$AC$230,27,FALSE)*AJ632+I632+J632+K632,IF(AS632=4,('Calc (ex-animal)'!$G$117*'DB additional information '!$K$24/100+'Calc (ex-animal)'!$H$117*'DB additional information '!$L$24/100)*(1-VLOOKUP(D632,'DB technologies'!$N$294:$Y$306,9,FALSE)/100)*'Calc (ex-housing, ex-storage)'!F632/100*VLOOKUP(D632,'DB technologies'!$N$294:$Y$306,12,FALSE)/100/VLOOKUP($C$631,'DB animal categories'!$C$221:$AC$230,27,FALSE)*AJ632+I632+J632+K632,0))))))</f>
        <v/>
      </c>
      <c r="AV632" s="442" t="str">
        <f>IF(D632="","",IF(AS632=2,0,IF(AS632=1,'Calc (ex-animal)'!$G$117*(1-'DB additional information '!$K$24/100)*(1-VLOOKUP(D632,'DB technologies'!$N$294:$Y$306,8,FALSE)/100)*'Calc (ex-housing, ex-storage)'!F632/100/VLOOKUP($C$631,'DB animal categories'!$C$221:$AC$230,27,FALSE)*AJ632+M632+N632+O632,IF(AS632=5,('Calc (ex-animal)'!$G$117*(1-'DB additional information '!$K$24/100)+'Calc (ex-animal)'!$H$117*(1-'DB additional information '!$L$24/100))*(1-VLOOKUP(D632,'DB technologies'!$N$294:$Y$306,8,FALSE)/100)*'Calc (ex-housing, ex-storage)'!F632/100/VLOOKUP($C$631,'DB animal categories'!$C$221:$AC$230,27,FALSE)*AJ632+M632+N632+O632,IF(AS632=3,('Calc (ex-animal)'!$G$117*(1-'DB additional information '!$K$24/100)+'Calc (ex-animal)'!$H$117*(1-'DB additional information '!$L$24/100))*(1-VLOOKUP(D632,'DB technologies'!$N$294:$Y$306,8,FALSE)/100)*'Calc (ex-housing, ex-storage)'!F632/100/VLOOKUP($C$631,'DB animal categories'!$C$221:$AC$230,27,FALSE)*AJ632+M632+N632+O632,IF(AS632=4,('Calc (ex-animal)'!$G$117*(1-'DB additional information '!$K$24/100)+'Calc (ex-animal)'!$H$117*(1-'DB additional information '!$L$24/100))*(1-VLOOKUP(D632,'DB technologies'!$N$294:$Y$306,8,FALSE)/100)*'Calc (ex-housing, ex-storage)'!F632/100*VLOOKUP(D632,'DB technologies'!$N$294:$Y$306,12,FALSE)/100/VLOOKUP($C$631,'DB animal categories'!$C$221:$AC$230,27,FALSE)*AJ632+M632+N632+O632,0))))))</f>
        <v/>
      </c>
      <c r="AW632" s="442" t="str">
        <f>IF(AS632="","",IF(AU632=0,0,AU632/AT632*100))</f>
        <v/>
      </c>
      <c r="AX632" s="182" t="str">
        <f>IF(D632="","",IF(AS632=2,0,IF(AS632=1,'Calc (ex-animal)'!$K$117*'Calc (ex-housing, ex-storage)'!F632/100/VLOOKUP($C$631,'DB animal categories'!$C$221:$AC$230,27,FALSE)*AJ632+Q632+R632+S632,IF(AS632=5,('Calc (ex-animal)'!$K$117+'Calc (ex-animal)'!$L$117)*'Calc (ex-housing, ex-storage)'!F632/100/VLOOKUP($C$631,'DB animal categories'!$C$221:$AC$230,27,FALSE)*AJ632+Q632+R632+S632-'Calc (ex-housing, ex-storage)'!AC632,IF(AS632=3,('Calc (ex-animal)'!$K$117+'Calc (ex-animal)'!$L$117)*'Calc (ex-housing, ex-storage)'!F632/100/VLOOKUP($C$631,'DB animal categories'!$C$221:$AC$230,27,FALSE)*AJ632+Q632+R632+S632-'Calc (ex-housing, ex-storage)'!AC632-AD632-AE632,IF(AI632=4,('Calc (ex-animal)'!$K$117+'Calc (ex-animal)'!$L$117)*'Calc (ex-housing, ex-storage)'!F632/100*VLOOKUP(D632,'DB technologies'!$N$294:$Y$306,12,FALSE)/100/VLOOKUP($C$631,'DB animal categories'!$C$221:$AC$230,27,FALSE)*AJ632+Q632+R632+S632-(VLOOKUP(D632,'DB technologies'!$N$294:$Y$306,12,FALSE)/100*AC632)-AD632-AE632,0))))))</f>
        <v/>
      </c>
      <c r="AY632" s="182" t="str">
        <f>IF(D632="","",IF(AS632=2,0,IF(AS632=1,'Calc (ex-animal)'!$N$117*'Calc (ex-housing, ex-storage)'!F632/100/VLOOKUP($C$631,'DB animal categories'!$C$221:$AC$230,27,FALSE)*AJ632+U632+V632+W632,IF(AS632=5,('Calc (ex-animal)'!$N$117+'Calc (ex-animal)'!$O$117)*'Calc (ex-housing, ex-storage)'!F632/100/VLOOKUP($C$631,'DB animal categories'!$C$221:$AC$230,27,FALSE)*AJ632+U632+V632+W632,IF(AS632=3,('Calc (ex-animal)'!$N$117+'Calc (ex-animal)'!$O$117)*'Calc (ex-housing, ex-storage)'!F632/100/VLOOKUP($C$631,'DB animal categories'!$C$221:$AC$230,27,FALSE)*AJ632+U632+V632+W632,IF(AS632=4,('Calc (ex-animal)'!$N$117+'Calc (ex-animal)'!$O$117)*'Calc (ex-housing, ex-storage)'!F632/100*VLOOKUP(D632,'DB technologies'!$N$294:$Y$306,12,FALSE)/100/VLOOKUP($C$631,'DB animal categories'!$C$221:$AC$230,27,FALSE)*AJ632+U632+V632+W632,0))))))</f>
        <v/>
      </c>
      <c r="AZ632" s="182" t="str">
        <f>IF(D632="","",IF(AS632=2,0,IF(AS632=1,'Calc (ex-animal)'!$Q$117*'Calc (ex-housing, ex-storage)'!F632/100/VLOOKUP($C$631,'DB animal categories'!$C$221:$AC$230,27,FALSE)*AJ632+Y632+Z632+AA632,IF(AS632=5,('Calc (ex-animal)'!$Q$117+'Calc (ex-animal)'!$R$117)*'Calc (ex-housing, ex-storage)'!F632/100/VLOOKUP($C$631,'DB animal categories'!$C$221:$AC$230,27,FALSE)*AJ632+Y632+Z632+AA632,IF(AS632=3,('Calc (ex-animal)'!$Q$117+'Calc (ex-animal)'!$R$117)*'Calc (ex-housing, ex-storage)'!F632/100/VLOOKUP($C$631,'DB animal categories'!$C$221:$AC$230,27,FALSE)*AJ632+Y632+Z632+AA632,IF(AS632=4,('Calc (ex-animal)'!$Q$117+'Calc (ex-animal)'!$R$117)*'Calc (ex-housing, ex-storage)'!F632/100*VLOOKUP(D632,'DB technologies'!$N$294:$Y$306,12,FALSE)/100/VLOOKUP($C$631,'DB animal categories'!$C$221:$AC$230,27,FALSE)*AJ632+Y632+Z632+AA632,0))))))</f>
        <v/>
      </c>
      <c r="BA632" s="506"/>
      <c r="BB632" s="506"/>
      <c r="BC632" s="506"/>
    </row>
    <row r="633" spans="1:55" x14ac:dyDescent="0.2">
      <c r="A633" s="748"/>
      <c r="B633" s="695"/>
      <c r="C633" s="251"/>
      <c r="D633" s="1357"/>
      <c r="E633" s="1399"/>
      <c r="F633" s="480" t="str">
        <f>IF('Calc (ex-animal)'!$F$113=1,"",IF($C$631=0,"",IF(D633="","",E633/'Calc (ex-animal)'!$E$117*100)))</f>
        <v/>
      </c>
      <c r="G633" s="485" t="str">
        <f>IF($C$631=0,"",IF('Calc (ex-animal)'!$F$113=1,"",IF(D633="","",SUM(H633:O633))))</f>
        <v/>
      </c>
      <c r="H633" s="423" t="str">
        <f>IF('Calc (ex-animal)'!$F$113=1,"",IF(D633="","",(((VLOOKUP($C$631,'Calc (ex-animal)'!$D$113:$Y$117,6,FALSE)-VLOOKUP($C$631,'Calc (ex-animal)'!$D$113:$Y$117,17,FALSE))*F633/100))*VLOOKUP($C$631,'Calc (ex-animal)'!$D$113:$Y$117,7,FALSE)/100*(1-VLOOKUP(D633,'DB technologies'!$N$294:$Y$306,9,FALSE)/100)))</f>
        <v/>
      </c>
      <c r="I633" s="423" t="str">
        <f>IF(D633="","",((VLOOKUP(D633,'DB technologies'!$N$294:$Y$306,2,FALSE)*VLOOKUP($C$631,'DB animal categories'!$C$221:$AC$230,27,FALSE)*E633/1000)/VLOOKUP($C$631,'DB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'!$S$6/100*(1-VLOOKUP(D633,'DB technologies'!$N$294:$Y$306,9,FALSE)/100)))</f>
        <v/>
      </c>
      <c r="J633" s="434" t="str">
        <f>IF(D633="","",((VLOOKUP(D633,'DB technologies'!$N$294:$Y$306,3,FALSE)*VLOOKUP($C$631,'DB animal categories'!$C$221:$AC$230,27,FALSE)*E633/1000)/VLOOKUP($C$631,'DB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'!$S$7/100*(1-VLOOKUP(D633,'DB technologies'!$N$294:$Y$306,9,FALSE)/100)))</f>
        <v/>
      </c>
      <c r="K633" s="434" t="str">
        <f>IF(D633="","",((VLOOKUP(D633,'DB technologies'!$N$294:$Y$306,4,FALSE)*E633*'DB additional information '!$S$8/100*(1-VLOOKUP(D633,'DB technologies'!$N$294:$Y$306,9,FALSE)/100))/VLOOKUP($C$631,'DB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L633" s="423" t="str">
        <f>IF('Calc (ex-animal)'!$F$113=1,"",IF(D633="","",(((VLOOKUP($C$631,'Calc (ex-animal)'!$D$113:$Y$117,6,FALSE)-VLOOKUP($C$631,'Calc (ex-animal)'!$D$113:$Y$117,17,FALSE))*F633/100))*(1-VLOOKUP($C$631,'Calc (ex-animal)'!$D$113:$Y$117,7,FALSE)/100)*(1-VLOOKUP(D633,'DB technologies'!$N$294:$V$306,8,FALSE)/100)))</f>
        <v/>
      </c>
      <c r="M633" s="434" t="str">
        <f>IF(D633="","",((VLOOKUP(D633,'DB technologies'!$N$294:$Y$306,2,FALSE)*VLOOKUP($C$631,'DB animal categories'!$C$221:$AC$230,27,FALSE)*E633/1000)/VLOOKUP($C$631,'DB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'!$S$6/100)*(1-VLOOKUP(D633,'DB technologies'!$N$294:$Y$306,9,FALSE)/100))</f>
        <v/>
      </c>
      <c r="N633" s="434" t="str">
        <f>IF(D633="","",((VLOOKUP(D633,'DB technologies'!$N$294:$Y$306,3,FALSE)*VLOOKUP($C$631,'DB animal categories'!$C$221:$AC$230,27,FALSE)*E633/1000)/VLOOKUP($C$631,'DB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'!$S$7/100)*(1-VLOOKUP(D633,'DB technologies'!$N$294:$Y$306,9,FALSE)/100))</f>
        <v/>
      </c>
      <c r="O633" s="423" t="str">
        <f>IF(D633="","",((VLOOKUP(D633,'DB technologies'!$N$294:$Y$306,4,FALSE)*E633*(1-'DB additional information '!$S$8/100)*(1-VLOOKUP(D633,'DB technologies'!$N$294:$Y$306,8,FALSE)/100))/VLOOKUP($C$631,'DB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P633" s="438" t="str">
        <f>IF(G633=0,0,IF(E633="","",IF(F633="","",IF($C$631=0,"",IF(D633="","",SUM(H633:K633)/G633*100)))))</f>
        <v/>
      </c>
      <c r="Q633" s="416" t="str">
        <f>IF(D633="","",(VLOOKUP(D633,'DB technologies'!$N$294:$Y$306,2,FALSE)*'DB additional information '!$S$6/100*'DB additional information '!$T$6*VLOOKUP($C$631,'DB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R633" s="416" t="str">
        <f>IF(D633="","",(VLOOKUP(D633,'DB technologies'!$N$294:$Y$306,3,FALSE)*'DB additional information '!$S$7/100*'DB additional information '!$T$7*VLOOKUP($C$631,'DB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S633" s="491" t="str">
        <f>IF(D633="","",(VLOOKUP(D633,'DB technologies'!$N$294:$Y$306,4,FALSE)*('DB additional information '!$S$8/100*'DB additional information '!$T$8*E633/1000/1000)))</f>
        <v/>
      </c>
      <c r="T633" s="264" t="str">
        <f>IF($C$631=0,"",IF('Calc (ex-animal)'!$F$113=1,"",IF(D633="","",((VLOOKUP($C$631,'Calc (ex-animal)'!$D$113:$Y$117,10,FALSE)-VLOOKUP($C$631,'Calc (ex-animal)'!$D$113:$Y$117,18,FALSE))*F633/100+Q633+R633+S633)-AC633-AD633-AE633)))</f>
        <v/>
      </c>
      <c r="U633" s="422" t="str">
        <f>IF(D633="","",(VLOOKUP(D633,'DB technologies'!$N$294:$Y$306,2,FALSE)*'DB additional information '!$S$6/100*'DB additional information '!$U$6*VLOOKUP($C$631,'DB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V633" s="418" t="str">
        <f>IF(D633="","",(VLOOKUP(D633,'DB technologies'!$N$294:$Y$306,3,FALSE)*'DB additional information '!$S$7/100*'DB additional information '!$U$7*VLOOKUP($C$631,'DB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W633" s="417" t="str">
        <f>IF(D633="","",(VLOOKUP(D633,'DB technologies'!$N$294:$Y$306,4,FALSE)*('DB additional information '!$S$8/100*'DB additional information '!$U$8*E633/1000/1000)))</f>
        <v/>
      </c>
      <c r="X633" s="261" t="str">
        <f>IF($C$631=0,"",IF('Calc (ex-animal)'!$F$113=1,"",IF(D633="","",((VLOOKUP($C$631,'Calc (ex-animal)'!$D$113:$Y$117,13,FALSE)-VLOOKUP($C$631,'Calc (ex-animal)'!$D$113:$Y$117,19,FALSE))*F633/100+U633+V633+W633))))</f>
        <v/>
      </c>
      <c r="Y633" s="418" t="str">
        <f>IF(D633="","",(VLOOKUP(D633,'DB technologies'!$N$294:$Y$306,2,FALSE)*'DB additional information '!$S$6/100*'DB additional information '!$V$6*VLOOKUP($C$631,'DB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Z633" s="418" t="str">
        <f>IF(D633="","",(VLOOKUP(D633,'DB technologies'!$N$294:$Y$306,3,FALSE)*'DB additional information '!$S$7/100*'DB additional information '!$V$7*VLOOKUP($C$631,'DB animal categories'!$C$221:$AC$230,27,FALSE)*E633/1000/1000)/VLOOKUP($C$631,'DB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AA633" s="418" t="str">
        <f>IF(D633="","",(VLOOKUP(D633,'DB technologies'!$N$294:$Y$306,4,FALSE)*('DB additional information '!$S$8/100*'DB additional information '!$V$8*E633/1000/1000)))</f>
        <v/>
      </c>
      <c r="AB633" s="261" t="str">
        <f>IF($C$631=0,"",IF('Calc (ex-animal)'!$F$113=1,"",IF(D633="","",((VLOOKUP($C$631,'Calc (ex-animal)'!$D$113:$Y$117,16,FALSE)-VLOOKUP($C$631,'Calc (ex-animal)'!$D$113:$Y$117,20,FALSE))*F633/100+Y633+Z633+AA633))))</f>
        <v/>
      </c>
      <c r="AC633" s="261" t="str">
        <f>IF($C$631=0,"",IF('Calc (ex-animal)'!$F$113=1,"",IF(D633="","",VLOOKUP($C$631,'Calc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categories'!$C$221:$AC$230,26,FALSE)/24)*F633/100*VLOOKUP(D633,'DB technologies'!$N$294:$R$306,5,FALSE)/100)))</f>
        <v/>
      </c>
      <c r="AD633" s="261" t="str">
        <f>IF($C$631=0,"",IF('Calc (ex-animal)'!$F$113=1,"",IF(D633="","",VLOOKUP($C$631,'Calc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categories'!$C$221:$AC$230,26,FALSE)/24)*F633/100*VLOOKUP(D633,'DB technologies'!$N$294:$Y$306,6,FALSE)/100)))</f>
        <v/>
      </c>
      <c r="AE633" s="262" t="str">
        <f>IF($C$631=0,"",IF('Calc (ex-animal)'!$F$113=1,"",IF(D633="","",VLOOKUP($C$631,'Calc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categories'!$C$221:$AC$230,26,FALSE)/24)*F633/100*VLOOKUP(D633,'DB technologies'!$N$294:$Y$306,7,FALSE)/100)))</f>
        <v/>
      </c>
      <c r="AI633" s="181" t="str">
        <f>IF(D633="","",VLOOKUP(D633,'DB technologies'!$N$294:$Y$306,10,FALSE))</f>
        <v/>
      </c>
      <c r="AJ633" s="449" t="e">
        <f>VLOOKUP($C$631,'DB animal categories'!$C$221:$AN$230,27,FALSE)-VLOOKUP($C$631,'DB animal categories'!$C$221:$AN$230,26,FALSE)*VLOOKUP($C$631,'DB animal categories'!$C$221:$AN$230,25,FALSE)/24</f>
        <v>#N/A</v>
      </c>
      <c r="AK633" s="442" t="str">
        <f>IF(AI633="","",AL633+AM633)</f>
        <v/>
      </c>
      <c r="AL633" s="442" t="str">
        <f>IF(D633="","",IF(AI633=2,(('Calc (ex-animal)'!$G$117*'DB additional information '!$K$24/100*(1-VLOOKUP(D633,'DB technologies'!$N$294:$Y$306,9,FALSE)/100)*'Calc (ex-housing, ex-storage)'!F633/100+'Calc (ex-animal)'!$H$117*'DB additional information '!$L$24/100*(1-VLOOKUP(D633,'DB technologies'!$N$294:$Y$306,9,FALSE)/100)*'Calc (ex-housing, ex-storage)'!F633/100))/VLOOKUP($C$631,'DB animal categories'!$C$221:$AC$230,27,FALSE)*AJ633+I633+J633+K633,IF(AI633=1,('Calc (ex-animal)'!$H$117*'DB additional information '!$L$24/100*(1-VLOOKUP(D633,'DB technologies'!$N$294:$Y$306,9,FALSE)/100)*'Calc (ex-housing, ex-storage)'!F633/100)/VLOOKUP($C$631,'DB animal categories'!$C$221:$AC$230,27,FALSE)*AJ633,IF(AI633=4,('Calc (ex-animal)'!$G$117*'DB additional information '!$K$24/100+'Calc (ex-animal)'!$H$117*'DB additional information '!$L$24/100)*(1-VLOOKUP(D633,'DB technologies'!$N$294:$Y$306,9,FALSE)/100)*'Calc (ex-housing, ex-storage)'!F633/100*VLOOKUP(D633,'DB technologies'!$N$294:$Y$306,11,FALSE)/100/VLOOKUP($C$631,'DB animal categories'!$C$221:$AC$230,27,FALSE)*AJ633,0))))</f>
        <v/>
      </c>
      <c r="AM633" s="442" t="str">
        <f>IF(D633="","",IF(AI633=2,(('Calc (ex-animal)'!$G$117*(1-'DB additional information '!$K$24/100)*(1-VLOOKUP(D633,'DB technologies'!$N$294:$Y$306,8,FALSE)/100)*'Calc (ex-housing, ex-storage)'!F633/100+'Calc (ex-animal)'!$H$117*(1-'DB additional information '!$L$24/100)*(1-VLOOKUP(D633,'DB technologies'!$N$294:$Y$306,8,FALSE)/100)*'Calc (ex-housing, ex-storage)'!F633/100))/VLOOKUP($C$631,'DB animal categories'!$C$221:$AC$230,27,FALSE)*AJ633+M633+N633+O633,IF(AI633=1,('Calc (ex-animal)'!$H$117*(1-'DB additional information '!$L$24/100)*(1-VLOOKUP(D633,'DB technologies'!$N$294:$Y$306,8,FALSE)/100)*'Calc (ex-housing, ex-storage)'!F633/100)/VLOOKUP($C$631,'DB animal categories'!$C$221:$AC$230,27,FALSE)*AJ633,IF(AI633=4,('Calc (ex-animal)'!$G$117*(1-'DB additional information '!$K$24/100)+'Calc (ex-animal)'!$H$117*(1-'DB additional information '!$L$24/100))*(1-VLOOKUP(D633,'DB technologies'!$N$294:$Y$306,8,FALSE)/100)*'Calc (ex-housing, ex-storage)'!F633/100*VLOOKUP(D633,'DB technologies'!$N$294:$Y$306,11,FALSE)/100/VLOOKUP($C$631,'DB animal categories'!$C$221:$AC$230,27,FALSE)*AJ633,0))))</f>
        <v/>
      </c>
      <c r="AN633" s="442" t="str">
        <f>IF(AI633="","",IF(AL633=0,0,AL633/AK633*100))</f>
        <v/>
      </c>
      <c r="AO633" s="182" t="str">
        <f>IF(D633="","",IF(AI633=2,(('Calc (ex-animal)'!$L$117*'Calc (ex-housing, ex-storage)'!F633/100+'Calc (ex-animal)'!$K$117*'Calc (ex-housing, ex-storage)'!F633/100))/VLOOKUP($C$631,'DB animal categories'!$C$221:$AC$230,27,FALSE)*AJ633+Q633+R633+S633-AC633,IF(AI633=1,('Calc (ex-animal)'!$L$117*'Calc (ex-housing, ex-storage)'!F633/100)/VLOOKUP($C$631,'DB animal categories'!$C$221:$AC$230,27,FALSE)*AJ633-'Calc (ex-housing, ex-storage)'!AC633,IF(AI633=4,('Calc (ex-animal)'!$L$117+'Calc (ex-animal)'!$K$117)*'Calc (ex-housing, ex-storage)'!F633/100*VLOOKUP(D633,'DB technologies'!$N$294:$Y$306,11,FALSE)/100/VLOOKUP($C$631,'DB animal categories'!$C$221:$AC$230,27,FALSE)*AJ633-AC633*VLOOKUP(D633,'DB technologies'!$N$294:$Y$306,11,FALSE)/100,0))))</f>
        <v/>
      </c>
      <c r="AP633" s="182" t="str">
        <f>IF(D633="","",IF(AO633&lt;-0.01,0,IF(AI633=2,(('Calc (ex-animal)'!$L$117*'Calc (ex-housing, ex-storage)'!F633/100+'Calc (ex-animal)'!$K$117*'Calc (ex-housing, ex-storage)'!F633/100))/VLOOKUP($C$631,'DB animal categories'!$C$221:$AC$230,27,FALSE)*AJ633+Q633+R633+S633-AC633,IF(AI633=1,('Calc (ex-animal)'!$L$117*'Calc (ex-housing, ex-storage)'!F633/100)/VLOOKUP($C$631,'DB animal categories'!$C$221:$AC$230,27,FALSE)*AJ633-'Calc (ex-housing, ex-storage)'!AC633,IF(AI633=4,('Calc (ex-animal)'!$L$117+'Calc (ex-animal)'!$K$117)*'Calc (ex-housing, ex-storage)'!F633/100*VLOOKUP(D633,'DB technologies'!$N$294:$Y$306,11,FALSE)/100/VLOOKUP($C$631,'DB animal categories'!$C$221:$AC$230,27,FALSE)*AJ633-AC633*VLOOKUP(D633,'DB technologies'!$N$294:$Y$306,11,FALSE)/100,0)))))</f>
        <v/>
      </c>
      <c r="AQ633" s="182" t="str">
        <f>IF(D633="","",IF(AI633=2,('Calc (ex-animal)'!$O$117*'Calc (ex-housing, ex-storage)'!F633/100+'Calc (ex-animal)'!$N$117*'Calc (ex-housing, ex-storage)'!F633/100)/VLOOKUP($C$631,'DB animal categories'!$C$221:$AC$230,27,FALSE)*AJ633+U633+V633+W633,IF(AI633=1,'Calc (ex-animal)'!$O$117*'Calc (ex-housing, ex-storage)'!F633/100/VLOOKUP($C$631,'DB animal categories'!$C$221:$AC$230,27,FALSE)*AJ633,IF(AI633=4,('Calc (ex-animal)'!$O$117+'Calc (ex-animal)'!$N$117)*'Calc (ex-housing, ex-storage)'!F633/100*VLOOKUP(D633,'DB technologies'!$N$294:$Y$306,11,FALSE)/100/VLOOKUP($C$631,'DB animal categories'!$C$221:$AC$230,27,FALSE)*AJ633,0))))</f>
        <v/>
      </c>
      <c r="AR633" s="182" t="str">
        <f>IF(D633="","",IF(AI633=2,('Calc (ex-animal)'!$R$117*'Calc (ex-housing, ex-storage)'!F633/100+'Calc (ex-animal)'!$Q$117*'Calc (ex-housing, ex-storage)'!F633/100)/VLOOKUP($C$631,'DB animal categories'!$C$221:$AC$230,27,FALSE)*AJ633+Y633+Z633+AA633,IF(AI633=1,'Calc (ex-animal)'!$R$117*'Calc (ex-housing, ex-storage)'!F633/100/VLOOKUP($C$631,'DB animal categories'!$C$221:$AC$230,27,FALSE)*AJ633,IF(AI633=4,('Calc (ex-animal)'!$R$117+'Calc (ex-animal)'!$Q$117)*'Calc (ex-housing, ex-storage)'!F633/100*VLOOKUP(D633,'DB technologies'!$N$294:$Y$306,11,FALSE)/100/VLOOKUP($C$631,'DB animal categories'!$C$221:$AC$230,27,FALSE)*AJ633,0))))</f>
        <v/>
      </c>
      <c r="AS633" s="181" t="str">
        <f>IF(D633="","",VLOOKUP(D633,'DB technologies'!$N$294:$Y$306,10,FALSE))</f>
        <v/>
      </c>
      <c r="AT633" s="442" t="str">
        <f>IF(AS633="","",AU633+AV633)</f>
        <v/>
      </c>
      <c r="AU633" s="442" t="str">
        <f>IF(D633="","",IF(AS633=2,0,IF(AS633=1,'Calc (ex-animal)'!$G$117*'DB additional information '!$K$24/100*(1-VLOOKUP(D633,'DB technologies'!$N$294:$Y$306,8,FALSE)/100)*'Calc (ex-housing, ex-storage)'!F633/100/VLOOKUP($C$631,'DB animal categories'!$C$221:$AC$230,27,FALSE)*AJ633+I633+J633+K633,IF(AS633=5,(('Calc (ex-animal)'!$G$117*'DB additional information '!$K$24/100+'Calc (ex-animal)'!$H$117*'DB additional information '!$L$24/100))*(1-VLOOKUP(D633,'DB technologies'!$N$294:$Y$306,9,FALSE)/100)*'Calc (ex-housing, ex-storage)'!F633/100/VLOOKUP($C$631,'DB animal categories'!$C$221:$AC$230,27,FALSE)*AJ633+I633+J633+K633,IF(AS633=3,('Calc (ex-animal)'!$G$117*'DB additional information '!$K$24/100+'Calc (ex-animal)'!$H$117*'DB additional information '!$L$24/100)*(1-VLOOKUP(D633,'DB technologies'!$N$294:$Y$306,9,FALSE)/100)*'Calc (ex-housing, ex-storage)'!F633/100/VLOOKUP($C$631,'DB animal categories'!$C$221:$AC$230,27,FALSE)*AJ633+I633+J633+K633,IF(AS633=4,('Calc (ex-animal)'!$G$117*'DB additional information '!$K$24/100+'Calc (ex-animal)'!$H$117*'DB additional information '!$L$24/100)*(1-VLOOKUP(D633,'DB technologies'!$N$294:$Y$306,9,FALSE)/100)*'Calc (ex-housing, ex-storage)'!F633/100*VLOOKUP(D633,'DB technologies'!$N$294:$Y$306,12,FALSE)/100/VLOOKUP($C$631,'DB animal categories'!$C$221:$AC$230,27,FALSE)*AJ633+I633+J633+K633,0))))))</f>
        <v/>
      </c>
      <c r="AV633" s="442" t="str">
        <f>IF(D633="","",IF(AS633=2,0,IF(AS633=1,'Calc (ex-animal)'!$G$117*(1-'DB additional information '!$K$24/100)*(1-VLOOKUP(D633,'DB technologies'!$N$294:$Y$306,8,FALSE)/100)*'Calc (ex-housing, ex-storage)'!F633/100/VLOOKUP($C$631,'DB animal categories'!$C$221:$AC$230,27,FALSE)*AJ633+M633+N633+O633,IF(AS633=5,('Calc (ex-animal)'!$G$117*(1-'DB additional information '!$K$24/100)+'Calc (ex-animal)'!$H$117*(1-'DB additional information '!$L$24/100))*(1-VLOOKUP(D633,'DB technologies'!$N$294:$Y$306,8,FALSE)/100)*'Calc (ex-housing, ex-storage)'!F633/100/VLOOKUP($C$631,'DB animal categories'!$C$221:$AC$230,27,FALSE)*AJ633+M633+N633+O633,IF(AS633=3,('Calc (ex-animal)'!$G$117*(1-'DB additional information '!$K$24/100)+'Calc (ex-animal)'!$H$117*(1-'DB additional information '!$L$24/100))*(1-VLOOKUP(D633,'DB technologies'!$N$294:$Y$306,8,FALSE)/100)*'Calc (ex-housing, ex-storage)'!F633/100/VLOOKUP($C$631,'DB animal categories'!$C$221:$AC$230,27,FALSE)*AJ633+M633+N633+O633,IF(AS633=4,('Calc (ex-animal)'!$G$117*(1-'DB additional information '!$K$24/100)+'Calc (ex-animal)'!$H$117*(1-'DB additional information '!$L$24/100))*(1-VLOOKUP(D633,'DB technologies'!$N$294:$Y$306,8,FALSE)/100)*'Calc (ex-housing, ex-storage)'!F633/100*VLOOKUP(D633,'DB technologies'!$N$294:$Y$306,12,FALSE)/100/VLOOKUP($C$631,'DB animal categories'!$C$221:$AC$230,27,FALSE)*AJ633+M633+N633+O633,0))))))</f>
        <v/>
      </c>
      <c r="AW633" s="442" t="str">
        <f>IF(AS633="","",IF(AU633=0,0,AU633/AT633*100))</f>
        <v/>
      </c>
      <c r="AX633" s="182" t="str">
        <f>IF(D633="","",IF(AS633=2,0,IF(AS633=1,'Calc (ex-animal)'!$K$117*'Calc (ex-housing, ex-storage)'!F633/100/VLOOKUP($C$631,'DB animal categories'!$C$221:$AC$230,27,FALSE)*AJ633+Q633+R633+S633,IF(AS633=5,('Calc (ex-animal)'!$K$117+'Calc (ex-animal)'!$L$117)*'Calc (ex-housing, ex-storage)'!F633/100/VLOOKUP($C$631,'DB animal categories'!$C$221:$AC$230,27,FALSE)*AJ633+Q633+R633+S633-'Calc (ex-housing, ex-storage)'!AC633,IF(AS633=3,('Calc (ex-animal)'!$K$117+'Calc (ex-animal)'!$L$117)*'Calc (ex-housing, ex-storage)'!F633/100/VLOOKUP($C$631,'DB animal categories'!$C$221:$AC$230,27,FALSE)*AJ633+Q633+R633+S633-'Calc (ex-housing, ex-storage)'!AC633-AD633-AE633,IF(AI633=4,('Calc (ex-animal)'!$K$117+'Calc (ex-animal)'!$L$117)*'Calc (ex-housing, ex-storage)'!F633/100*VLOOKUP(D633,'DB technologies'!$N$294:$Y$306,12,FALSE)/100/VLOOKUP($C$631,'DB animal categories'!$C$221:$AC$230,27,FALSE)*AJ633+Q633+R633+S633-(VLOOKUP(D633,'DB technologies'!$N$294:$Y$306,12,FALSE)/100*AC633)-AD633-AE633,0))))))</f>
        <v/>
      </c>
      <c r="AY633" s="182" t="str">
        <f>IF(D633="","",IF(AS633=2,0,IF(AS633=1,'Calc (ex-animal)'!$N$117*'Calc (ex-housing, ex-storage)'!F633/100/VLOOKUP($C$631,'DB animal categories'!$C$221:$AC$230,27,FALSE)*AJ633+U633+V633+W633,IF(AS633=5,('Calc (ex-animal)'!$N$117+'Calc (ex-animal)'!$O$117)*'Calc (ex-housing, ex-storage)'!F633/100/VLOOKUP($C$631,'DB animal categories'!$C$221:$AC$230,27,FALSE)*AJ633+U633+V633+W633,IF(AS633=3,('Calc (ex-animal)'!$N$117+'Calc (ex-animal)'!$O$117)*'Calc (ex-housing, ex-storage)'!F633/100/VLOOKUP($C$631,'DB animal categories'!$C$221:$AC$230,27,FALSE)*AJ633+U633+V633+W633,IF(AS633=4,('Calc (ex-animal)'!$N$117+'Calc (ex-animal)'!$O$117)*'Calc (ex-housing, ex-storage)'!F633/100*VLOOKUP(D633,'DB technologies'!$N$294:$Y$306,12,FALSE)/100/VLOOKUP($C$631,'DB animal categories'!$C$221:$AC$230,27,FALSE)*AJ633+U633+V633+W633,0))))))</f>
        <v/>
      </c>
      <c r="AZ633" s="182" t="str">
        <f>IF(D633="","",IF(AS633=2,0,IF(AS633=1,'Calc (ex-animal)'!$Q$117*'Calc (ex-housing, ex-storage)'!F633/100/VLOOKUP($C$631,'DB animal categories'!$C$221:$AC$230,27,FALSE)*AJ633+Y633+Z633+AA633,IF(AS633=5,('Calc (ex-animal)'!$Q$117+'Calc (ex-animal)'!$R$117)*'Calc (ex-housing, ex-storage)'!F633/100/VLOOKUP($C$631,'DB animal categories'!$C$221:$AC$230,27,FALSE)*AJ633+Y633+Z633+AA633,IF(AS633=3,('Calc (ex-animal)'!$Q$117+'Calc (ex-animal)'!$R$117)*'Calc (ex-housing, ex-storage)'!F633/100/VLOOKUP($C$631,'DB animal categories'!$C$221:$AC$230,27,FALSE)*AJ633+Y633+Z633+AA633,IF(AS633=4,('Calc (ex-animal)'!$Q$117+'Calc (ex-animal)'!$R$117)*'Calc (ex-housing, ex-storage)'!F633/100*VLOOKUP(D633,'DB technologies'!$N$294:$Y$306,12,FALSE)/100/VLOOKUP($C$631,'DB animal categories'!$C$221:$AC$230,27,FALSE)*AJ633+Y633+Z633+AA633,0))))))</f>
        <v/>
      </c>
      <c r="BA633" s="506"/>
      <c r="BB633" s="506"/>
      <c r="BC633" s="506"/>
    </row>
    <row r="634" spans="1:55" x14ac:dyDescent="0.2">
      <c r="A634" s="748"/>
      <c r="B634" s="695"/>
      <c r="C634" s="251"/>
      <c r="D634" s="1357"/>
      <c r="E634" s="1399"/>
      <c r="F634" s="480" t="str">
        <f>IF('Calc (ex-animal)'!$F$113=1,"",IF($C$631=0,"",IF(D634="","",E634/'Calc (ex-animal)'!$E$117*100)))</f>
        <v/>
      </c>
      <c r="G634" s="485" t="str">
        <f>IF($C$631=0,"",IF('Calc (ex-animal)'!$F$113=1,"",IF(D634="","",SUM(H634:O634))))</f>
        <v/>
      </c>
      <c r="H634" s="423" t="str">
        <f>IF('Calc (ex-animal)'!$F$113=1,"",IF(D634="","",(((VLOOKUP($C$631,'Calc (ex-animal)'!$D$113:$Y$117,6,FALSE)-VLOOKUP($C$631,'Calc (ex-animal)'!$D$113:$Y$117,17,FALSE))*F634/100))*VLOOKUP($C$631,'Calc (ex-animal)'!$D$113:$Y$117,7,FALSE)/100*(1-VLOOKUP(D634,'DB technologies'!$N$294:$Y$306,9,FALSE)/100)))</f>
        <v/>
      </c>
      <c r="I634" s="423" t="str">
        <f>IF(D634="","",((VLOOKUP(D634,'DB technologies'!$N$294:$Y$306,2,FALSE)*VLOOKUP($C$631,'DB animal categories'!$C$221:$AC$230,27,FALSE)*E634/1000)/VLOOKUP($C$631,'DB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'!$S$6/100*(1-VLOOKUP(D634,'DB technologies'!$N$294:$Y$306,9,FALSE)/100)))</f>
        <v/>
      </c>
      <c r="J634" s="434" t="str">
        <f>IF(D634="","",((VLOOKUP(D634,'DB technologies'!$N$294:$Y$306,3,FALSE)*VLOOKUP($C$631,'DB animal categories'!$C$221:$AC$230,27,FALSE)*E634/1000)/VLOOKUP($C$631,'DB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'!$S$7/100*(1-VLOOKUP(D634,'DB technologies'!$N$294:$Y$306,9,FALSE)/100)))</f>
        <v/>
      </c>
      <c r="K634" s="434" t="str">
        <f>IF(D634="","",((VLOOKUP(D634,'DB technologies'!$N$294:$Y$306,4,FALSE)*E634*'DB additional information '!$S$8/100*(1-VLOOKUP(D634,'DB technologies'!$N$294:$Y$306,9,FALSE)/100))/VLOOKUP($C$631,'DB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L634" s="423" t="str">
        <f>IF('Calc (ex-animal)'!$F$113=1,"",IF(D634="","",(((VLOOKUP($C$631,'Calc (ex-animal)'!$D$113:$Y$117,6,FALSE)-VLOOKUP($C$631,'Calc (ex-animal)'!$D$113:$Y$117,17,FALSE))*F634/100))*(1-VLOOKUP($C$631,'Calc (ex-animal)'!$D$113:$Y$117,7,FALSE)/100)*(1-VLOOKUP(D634,'DB technologies'!$N$294:$V$306,8,FALSE)/100)))</f>
        <v/>
      </c>
      <c r="M634" s="434" t="str">
        <f>IF(D634="","",((VLOOKUP(D634,'DB technologies'!$N$294:$Y$306,2,FALSE)*VLOOKUP($C$631,'DB animal categories'!$C$221:$AC$230,27,FALSE)*E634/1000)/VLOOKUP($C$631,'DB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'!$S$6/100)*(1-VLOOKUP(D634,'DB technologies'!$N$294:$Y$306,9,FALSE)/100))</f>
        <v/>
      </c>
      <c r="N634" s="434" t="str">
        <f>IF(D634="","",((VLOOKUP(D634,'DB technologies'!$N$294:$Y$306,3,FALSE)*VLOOKUP($C$631,'DB animal categories'!$C$221:$AC$230,27,FALSE)*E634/1000)/VLOOKUP($C$631,'DB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'!$S$7/100)*(1-VLOOKUP(D634,'DB technologies'!$N$294:$Y$306,9,FALSE)/100))</f>
        <v/>
      </c>
      <c r="O634" s="423" t="str">
        <f>IF(D634="","",((VLOOKUP(D634,'DB technologies'!$N$294:$Y$306,4,FALSE)*E634*(1-'DB additional information '!$S$8/100)*(1-VLOOKUP(D634,'DB technologies'!$N$294:$Y$306,8,FALSE)/100))/VLOOKUP($C$631,'DB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P634" s="438" t="str">
        <f>IF(G634=0,0,IF(E634="","",IF(F634="","",IF($C$631=0,"",IF(D634="","",SUM(H634:K634)/G634*100)))))</f>
        <v/>
      </c>
      <c r="Q634" s="416" t="str">
        <f>IF(D634="","",(VLOOKUP(D634,'DB technologies'!$N$294:$Y$306,2,FALSE)*'DB additional information '!$S$6/100*'DB additional information '!$T$6*VLOOKUP($C$631,'DB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R634" s="416" t="str">
        <f>IF(D634="","",(VLOOKUP(D634,'DB technologies'!$N$294:$Y$306,3,FALSE)*'DB additional information '!$S$7/100*'DB additional information '!$T$7*VLOOKUP($C$631,'DB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S634" s="491" t="str">
        <f>IF(D634="","",(VLOOKUP(D634,'DB technologies'!$N$294:$Y$306,4,FALSE)*('DB additional information '!$S$8/100*'DB additional information '!$T$8*E634/1000/1000)))</f>
        <v/>
      </c>
      <c r="T634" s="264" t="str">
        <f>IF($C$631=0,"",IF('Calc (ex-animal)'!$F$113=1,"",IF(D634="","",((VLOOKUP($C$631,'Calc (ex-animal)'!$D$113:$Y$117,10,FALSE)-VLOOKUP($C$631,'Calc (ex-animal)'!$D$113:$Y$117,18,FALSE))*F634/100+Q634+R634+S634)-AC634-AD634-AE634)))</f>
        <v/>
      </c>
      <c r="U634" s="422" t="str">
        <f>IF(D634="","",(VLOOKUP(D634,'DB technologies'!$N$294:$Y$306,2,FALSE)*'DB additional information '!$S$6/100*'DB additional information '!$U$6*VLOOKUP($C$631,'DB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V634" s="418" t="str">
        <f>IF(D634="","",(VLOOKUP(D634,'DB technologies'!$N$294:$Y$306,3,FALSE)*'DB additional information '!$S$7/100*'DB additional information '!$U$7*VLOOKUP($C$631,'DB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W634" s="417" t="str">
        <f>IF(D634="","",(VLOOKUP(D634,'DB technologies'!$N$294:$Y$306,4,FALSE)*('DB additional information '!$S$8/100*'DB additional information '!$U$8*E634/1000/1000)))</f>
        <v/>
      </c>
      <c r="X634" s="261" t="str">
        <f>IF($C$631=0,"",IF('Calc (ex-animal)'!$F$113=1,"",IF(D634="","",((VLOOKUP($C$631,'Calc (ex-animal)'!$D$113:$Y$117,13,FALSE)-VLOOKUP($C$631,'Calc (ex-animal)'!$D$113:$Y$117,19,FALSE))*F634/100+U634+V634+W634))))</f>
        <v/>
      </c>
      <c r="Y634" s="418" t="str">
        <f>IF(D634="","",(VLOOKUP(D634,'DB technologies'!$N$294:$Y$306,2,FALSE)*'DB additional information '!$S$6/100*'DB additional information '!$V$6*VLOOKUP($C$631,'DB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Z634" s="418" t="str">
        <f>IF(D634="","",(VLOOKUP(D634,'DB technologies'!$N$294:$Y$306,3,FALSE)*'DB additional information '!$S$7/100*'DB additional information '!$V$7*VLOOKUP($C$631,'DB animal categories'!$C$221:$AC$230,27,FALSE)*E634/1000/1000)/VLOOKUP($C$631,'DB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AA634" s="418" t="str">
        <f>IF(D634="","",(VLOOKUP(D634,'DB technologies'!$N$294:$Y$306,4,FALSE)*('DB additional information '!$S$8/100*'DB additional information '!$V$8*E634/1000/1000)))</f>
        <v/>
      </c>
      <c r="AB634" s="261" t="str">
        <f>IF($C$631=0,"",IF('Calc (ex-animal)'!$F$113=1,"",IF(D634="","",((VLOOKUP($C$631,'Calc (ex-animal)'!$D$113:$Y$117,16,FALSE)-VLOOKUP($C$631,'Calc (ex-animal)'!$D$113:$Y$117,20,FALSE))*F634/100+Y634+Z634+AA634))))</f>
        <v/>
      </c>
      <c r="AC634" s="261" t="str">
        <f>IF($C$631=0,"",IF('Calc (ex-animal)'!$F$113=1,"",IF(D634="","",VLOOKUP($C$631,'Calc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categories'!$C$221:$AC$230,26,FALSE)/24)*F634/100*VLOOKUP(D634,'DB technologies'!$N$294:$R$306,5,FALSE)/100)))</f>
        <v/>
      </c>
      <c r="AD634" s="261" t="str">
        <f>IF($C$631=0,"",IF('Calc (ex-animal)'!$F$113=1,"",IF(D634="","",VLOOKUP($C$631,'Calc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categories'!$C$221:$AC$230,26,FALSE)/24)*F634/100*VLOOKUP(D634,'DB technologies'!$N$294:$Y$306,6,FALSE)/100)))</f>
        <v/>
      </c>
      <c r="AE634" s="262" t="str">
        <f>IF($C$631=0,"",IF('Calc (ex-animal)'!$F$113=1,"",IF(D634="","",VLOOKUP($C$631,'Calc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categories'!$C$221:$AC$230,26,FALSE)/24)*F634/100*VLOOKUP(D634,'DB technologies'!$N$294:$Y$306,7,FALSE)/100)))</f>
        <v/>
      </c>
      <c r="AI634" s="181" t="str">
        <f>IF(D634="","",VLOOKUP(D634,'DB technologies'!$N$294:$Y$306,10,FALSE))</f>
        <v/>
      </c>
      <c r="AJ634" s="449" t="e">
        <f>VLOOKUP($C$631,'DB animal categories'!$C$221:$AN$230,27,FALSE)-VLOOKUP($C$631,'DB animal categories'!$C$221:$AN$230,26,FALSE)*VLOOKUP($C$631,'DB animal categories'!$C$221:$AN$230,25,FALSE)/24</f>
        <v>#N/A</v>
      </c>
      <c r="AK634" s="442" t="str">
        <f>IF(AI634="","",AL634+AM634)</f>
        <v/>
      </c>
      <c r="AL634" s="442" t="str">
        <f>IF(D634="","",IF(AI634=2,(('Calc (ex-animal)'!$G$117*'DB additional information '!$K$24/100*(1-VLOOKUP(D634,'DB technologies'!$N$294:$Y$306,9,FALSE)/100)*'Calc (ex-housing, ex-storage)'!F634/100+'Calc (ex-animal)'!$H$117*'DB additional information '!$L$24/100*(1-VLOOKUP(D634,'DB technologies'!$N$294:$Y$306,9,FALSE)/100)*'Calc (ex-housing, ex-storage)'!F634/100))/VLOOKUP($C$631,'DB animal categories'!$C$221:$AC$230,27,FALSE)*AJ634+I634+J634+K634,IF(AI634=1,('Calc (ex-animal)'!$H$117*'DB additional information '!$L$24/100*(1-VLOOKUP(D634,'DB technologies'!$N$294:$Y$306,9,FALSE)/100)*'Calc (ex-housing, ex-storage)'!F634/100)/VLOOKUP($C$631,'DB animal categories'!$C$221:$AC$230,27,FALSE)*AJ634,IF(AI634=4,('Calc (ex-animal)'!$G$117*'DB additional information '!$K$24/100+'Calc (ex-animal)'!$H$117*'DB additional information '!$L$24/100)*(1-VLOOKUP(D634,'DB technologies'!$N$294:$Y$306,9,FALSE)/100)*'Calc (ex-housing, ex-storage)'!F634/100*VLOOKUP(D634,'DB technologies'!$N$294:$Y$306,11,FALSE)/100/VLOOKUP($C$631,'DB animal categories'!$C$221:$AC$230,27,FALSE)*AJ634,0))))</f>
        <v/>
      </c>
      <c r="AM634" s="442" t="str">
        <f>IF(D634="","",IF(AI634=2,(('Calc (ex-animal)'!$G$117*(1-'DB additional information '!$K$24/100)*(1-VLOOKUP(D634,'DB technologies'!$N$294:$Y$306,8,FALSE)/100)*'Calc (ex-housing, ex-storage)'!F634/100+'Calc (ex-animal)'!$H$117*(1-'DB additional information '!$L$24/100)*(1-VLOOKUP(D634,'DB technologies'!$N$294:$Y$306,8,FALSE)/100)*'Calc (ex-housing, ex-storage)'!F634/100))/VLOOKUP($C$631,'DB animal categories'!$C$221:$AC$230,27,FALSE)*AJ634+M634+N634+O634,IF(AI634=1,('Calc (ex-animal)'!$H$117*(1-'DB additional information '!$L$24/100)*(1-VLOOKUP(D634,'DB technologies'!$N$294:$Y$306,8,FALSE)/100)*'Calc (ex-housing, ex-storage)'!F634/100)/VLOOKUP($C$631,'DB animal categories'!$C$221:$AC$230,27,FALSE)*AJ634,IF(AI634=4,('Calc (ex-animal)'!$G$117*(1-'DB additional information '!$K$24/100)+'Calc (ex-animal)'!$H$117*(1-'DB additional information '!$L$24/100))*(1-VLOOKUP(D634,'DB technologies'!$N$294:$Y$306,8,FALSE)/100)*'Calc (ex-housing, ex-storage)'!F634/100*VLOOKUP(D634,'DB technologies'!$N$294:$Y$306,11,FALSE)/100/VLOOKUP($C$631,'DB animal categories'!$C$221:$AC$230,27,FALSE)*AJ634,0))))</f>
        <v/>
      </c>
      <c r="AN634" s="442" t="str">
        <f>IF(AI634="","",IF(AL634=0,0,AL634/AK634*100))</f>
        <v/>
      </c>
      <c r="AO634" s="182" t="str">
        <f>IF(D634="","",IF(AI634=2,(('Calc (ex-animal)'!$L$117*'Calc (ex-housing, ex-storage)'!F634/100+'Calc (ex-animal)'!$K$117*'Calc (ex-housing, ex-storage)'!F634/100))/VLOOKUP($C$631,'DB animal categories'!$C$221:$AC$230,27,FALSE)*AJ634+Q634+R634+S634-AC634,IF(AI634=1,('Calc (ex-animal)'!$L$117*'Calc (ex-housing, ex-storage)'!F634/100)/VLOOKUP($C$631,'DB animal categories'!$C$221:$AC$230,27,FALSE)*AJ634-'Calc (ex-housing, ex-storage)'!AC634,IF(AI634=4,('Calc (ex-animal)'!$L$117+'Calc (ex-animal)'!$K$117)*'Calc (ex-housing, ex-storage)'!F634/100*VLOOKUP(D634,'DB technologies'!$N$294:$Y$306,11,FALSE)/100/VLOOKUP($C$631,'DB animal categories'!$C$221:$AC$230,27,FALSE)*AJ634-AC634*VLOOKUP(D634,'DB technologies'!$N$294:$Y$306,11,FALSE)/100,0))))</f>
        <v/>
      </c>
      <c r="AP634" s="182" t="str">
        <f>IF(D634="","",IF(AO634&lt;-0.01,0,IF(AI634=2,(('Calc (ex-animal)'!$L$117*'Calc (ex-housing, ex-storage)'!F634/100+'Calc (ex-animal)'!$K$117*'Calc (ex-housing, ex-storage)'!F634/100))/VLOOKUP($C$631,'DB animal categories'!$C$221:$AC$230,27,FALSE)*AJ634+Q634+R634+S634-AC634,IF(AI634=1,('Calc (ex-animal)'!$L$117*'Calc (ex-housing, ex-storage)'!F634/100)/VLOOKUP($C$631,'DB animal categories'!$C$221:$AC$230,27,FALSE)*AJ634-'Calc (ex-housing, ex-storage)'!AC634,IF(AI634=4,('Calc (ex-animal)'!$L$117+'Calc (ex-animal)'!$K$117)*'Calc (ex-housing, ex-storage)'!F634/100*VLOOKUP(D634,'DB technologies'!$N$294:$Y$306,11,FALSE)/100/VLOOKUP($C$631,'DB animal categories'!$C$221:$AC$230,27,FALSE)*AJ634-AC634*VLOOKUP(D634,'DB technologies'!$N$294:$Y$306,11,FALSE)/100,0)))))</f>
        <v/>
      </c>
      <c r="AQ634" s="182" t="str">
        <f>IF(D634="","",IF(AI634=2,('Calc (ex-animal)'!$O$117*'Calc (ex-housing, ex-storage)'!F634/100+'Calc (ex-animal)'!$N$117*'Calc (ex-housing, ex-storage)'!F634/100)/VLOOKUP($C$631,'DB animal categories'!$C$221:$AC$230,27,FALSE)*AJ634+U634+V634+W634,IF(AI634=1,'Calc (ex-animal)'!$O$117*'Calc (ex-housing, ex-storage)'!F634/100/VLOOKUP($C$631,'DB animal categories'!$C$221:$AC$230,27,FALSE)*AJ634,IF(AI634=4,('Calc (ex-animal)'!$O$117+'Calc (ex-animal)'!$N$117)*'Calc (ex-housing, ex-storage)'!F634/100*VLOOKUP(D634,'DB technologies'!$N$294:$Y$306,11,FALSE)/100/VLOOKUP($C$631,'DB animal categories'!$C$221:$AC$230,27,FALSE)*AJ634,0))))</f>
        <v/>
      </c>
      <c r="AR634" s="182" t="str">
        <f>IF(D634="","",IF(AI634=2,('Calc (ex-animal)'!$R$117*'Calc (ex-housing, ex-storage)'!F634/100+'Calc (ex-animal)'!$Q$117*'Calc (ex-housing, ex-storage)'!F634/100)/VLOOKUP($C$631,'DB animal categories'!$C$221:$AC$230,27,FALSE)*AJ634+Y634+Z634+AA634,IF(AI634=1,'Calc (ex-animal)'!$R$117*'Calc (ex-housing, ex-storage)'!F634/100/VLOOKUP($C$631,'DB animal categories'!$C$221:$AC$230,27,FALSE)*AJ634,IF(AI634=4,('Calc (ex-animal)'!$R$117+'Calc (ex-animal)'!$Q$117)*'Calc (ex-housing, ex-storage)'!F634/100*VLOOKUP(D634,'DB technologies'!$N$294:$Y$306,11,FALSE)/100/VLOOKUP($C$631,'DB animal categories'!$C$221:$AC$230,27,FALSE)*AJ634,0))))</f>
        <v/>
      </c>
      <c r="AS634" s="181" t="str">
        <f>IF(D634="","",VLOOKUP(D634,'DB technologies'!$N$294:$Y$306,10,FALSE))</f>
        <v/>
      </c>
      <c r="AT634" s="442" t="str">
        <f>IF(AS634="","",AU634+AV634)</f>
        <v/>
      </c>
      <c r="AU634" s="442" t="str">
        <f>IF(D634="","",IF(AS634=2,0,IF(AS634=1,'Calc (ex-animal)'!$G$117*'DB additional information '!$K$24/100*(1-VLOOKUP(D634,'DB technologies'!$N$294:$Y$306,8,FALSE)/100)*'Calc (ex-housing, ex-storage)'!F634/100/VLOOKUP($C$631,'DB animal categories'!$C$221:$AC$230,27,FALSE)*AJ634+I634+J634+K634,IF(AS634=5,(('Calc (ex-animal)'!$G$117*'DB additional information '!$K$24/100+'Calc (ex-animal)'!$H$117*'DB additional information '!$L$24/100))*(1-VLOOKUP(D634,'DB technologies'!$N$294:$Y$306,9,FALSE)/100)*'Calc (ex-housing, ex-storage)'!F634/100/VLOOKUP($C$631,'DB animal categories'!$C$221:$AC$230,27,FALSE)*AJ634+I634+J634+K634,IF(AS634=3,('Calc (ex-animal)'!$G$117*'DB additional information '!$K$24/100+'Calc (ex-animal)'!$H$117*'DB additional information '!$L$24/100)*(1-VLOOKUP(D634,'DB technologies'!$N$294:$Y$306,9,FALSE)/100)*'Calc (ex-housing, ex-storage)'!F634/100/VLOOKUP($C$631,'DB animal categories'!$C$221:$AC$230,27,FALSE)*AJ634+I634+J634+K634,IF(AS634=4,('Calc (ex-animal)'!$G$117*'DB additional information '!$K$24/100+'Calc (ex-animal)'!$H$117*'DB additional information '!$L$24/100)*(1-VLOOKUP(D634,'DB technologies'!$N$294:$Y$306,9,FALSE)/100)*'Calc (ex-housing, ex-storage)'!F634/100*VLOOKUP(D634,'DB technologies'!$N$294:$Y$306,12,FALSE)/100/VLOOKUP($C$631,'DB animal categories'!$C$221:$AC$230,27,FALSE)*AJ634+I634+J634+K634,0))))))</f>
        <v/>
      </c>
      <c r="AV634" s="442" t="str">
        <f>IF(D634="","",IF(AS634=2,0,IF(AS634=1,'Calc (ex-animal)'!$G$117*(1-'DB additional information '!$K$24/100)*(1-VLOOKUP(D634,'DB technologies'!$N$294:$Y$306,8,FALSE)/100)*'Calc (ex-housing, ex-storage)'!F634/100/VLOOKUP($C$631,'DB animal categories'!$C$221:$AC$230,27,FALSE)*AJ634+M634+N634+O634,IF(AS634=5,('Calc (ex-animal)'!$G$117*(1-'DB additional information '!$K$24/100)+'Calc (ex-animal)'!$H$117*(1-'DB additional information '!$L$24/100))*(1-VLOOKUP(D634,'DB technologies'!$N$294:$Y$306,8,FALSE)/100)*'Calc (ex-housing, ex-storage)'!F634/100/VLOOKUP($C$631,'DB animal categories'!$C$221:$AC$230,27,FALSE)*AJ634+M634+N634+O634,IF(AS634=3,('Calc (ex-animal)'!$G$117*(1-'DB additional information '!$K$24/100)+'Calc (ex-animal)'!$H$117*(1-'DB additional information '!$L$24/100))*(1-VLOOKUP(D634,'DB technologies'!$N$294:$Y$306,8,FALSE)/100)*'Calc (ex-housing, ex-storage)'!F634/100/VLOOKUP($C$631,'DB animal categories'!$C$221:$AC$230,27,FALSE)*AJ634+M634+N634+O634,IF(AS634=4,('Calc (ex-animal)'!$G$117*(1-'DB additional information '!$K$24/100)+'Calc (ex-animal)'!$H$117*(1-'DB additional information '!$L$24/100))*(1-VLOOKUP(D634,'DB technologies'!$N$294:$Y$306,8,FALSE)/100)*'Calc (ex-housing, ex-storage)'!F634/100*VLOOKUP(D634,'DB technologies'!$N$294:$Y$306,12,FALSE)/100/VLOOKUP($C$631,'DB animal categories'!$C$221:$AC$230,27,FALSE)*AJ634+M634+N634+O634,0))))))</f>
        <v/>
      </c>
      <c r="AW634" s="442" t="str">
        <f>IF(AS634="","",IF(AU634=0,0,AU634/AT634*100))</f>
        <v/>
      </c>
      <c r="AX634" s="182" t="str">
        <f>IF(D634="","",IF(AS634=2,0,IF(AS634=1,'Calc (ex-animal)'!$K$117*'Calc (ex-housing, ex-storage)'!F634/100/VLOOKUP($C$631,'DB animal categories'!$C$221:$AC$230,27,FALSE)*AJ634+Q634+R634+S634,IF(AS634=5,('Calc (ex-animal)'!$K$117+'Calc (ex-animal)'!$L$117)*'Calc (ex-housing, ex-storage)'!F634/100/VLOOKUP($C$631,'DB animal categories'!$C$221:$AC$230,27,FALSE)*AJ634+Q634+R634+S634-'Calc (ex-housing, ex-storage)'!AC634,IF(AS634=3,('Calc (ex-animal)'!$K$117+'Calc (ex-animal)'!$L$117)*'Calc (ex-housing, ex-storage)'!F634/100/VLOOKUP($C$631,'DB animal categories'!$C$221:$AC$230,27,FALSE)*AJ634+Q634+R634+S634-'Calc (ex-housing, ex-storage)'!AC634-AD634-AE634,IF(AI634=4,('Calc (ex-animal)'!$K$117+'Calc (ex-animal)'!$L$117)*'Calc (ex-housing, ex-storage)'!F634/100*VLOOKUP(D634,'DB technologies'!$N$294:$Y$306,12,FALSE)/100/VLOOKUP($C$631,'DB animal categories'!$C$221:$AC$230,27,FALSE)*AJ634+Q634+R634+S634-(VLOOKUP(D634,'DB technologies'!$N$294:$Y$306,12,FALSE)/100*AC634)-AD634-AE634,0))))))</f>
        <v/>
      </c>
      <c r="AY634" s="182" t="str">
        <f>IF(D634="","",IF(AS634=2,0,IF(AS634=1,'Calc (ex-animal)'!$N$117*'Calc (ex-housing, ex-storage)'!F634/100/VLOOKUP($C$631,'DB animal categories'!$C$221:$AC$230,27,FALSE)*AJ634+U634+V634+W634,IF(AS634=5,('Calc (ex-animal)'!$N$117+'Calc (ex-animal)'!$O$117)*'Calc (ex-housing, ex-storage)'!F634/100/VLOOKUP($C$631,'DB animal categories'!$C$221:$AC$230,27,FALSE)*AJ634+U634+V634+W634,IF(AS634=3,('Calc (ex-animal)'!$N$117+'Calc (ex-animal)'!$O$117)*'Calc (ex-housing, ex-storage)'!F634/100/VLOOKUP($C$631,'DB animal categories'!$C$221:$AC$230,27,FALSE)*AJ634+U634+V634+W634,IF(AS634=4,('Calc (ex-animal)'!$N$117+'Calc (ex-animal)'!$O$117)*'Calc (ex-housing, ex-storage)'!F634/100*VLOOKUP(D634,'DB technologies'!$N$294:$Y$306,12,FALSE)/100/VLOOKUP($C$631,'DB animal categories'!$C$221:$AC$230,27,FALSE)*AJ634+U634+V634+W634,0))))))</f>
        <v/>
      </c>
      <c r="AZ634" s="182" t="str">
        <f>IF(D634="","",IF(AS634=2,0,IF(AS634=1,'Calc (ex-animal)'!$Q$117*'Calc (ex-housing, ex-storage)'!F634/100/VLOOKUP($C$631,'DB animal categories'!$C$221:$AC$230,27,FALSE)*AJ634+Y634+Z634+AA634,IF(AS634=5,('Calc (ex-animal)'!$Q$117+'Calc (ex-animal)'!$R$117)*'Calc (ex-housing, ex-storage)'!F634/100/VLOOKUP($C$631,'DB animal categories'!$C$221:$AC$230,27,FALSE)*AJ634+Y634+Z634+AA634,IF(AS634=3,('Calc (ex-animal)'!$Q$117+'Calc (ex-animal)'!$R$117)*'Calc (ex-housing, ex-storage)'!F634/100/VLOOKUP($C$631,'DB animal categories'!$C$221:$AC$230,27,FALSE)*AJ634+Y634+Z634+AA634,IF(AS634=4,('Calc (ex-animal)'!$Q$117+'Calc (ex-animal)'!$R$117)*'Calc (ex-housing, ex-storage)'!F634/100*VLOOKUP(D634,'DB technologies'!$N$294:$Y$306,12,FALSE)/100/VLOOKUP($C$631,'DB animal categories'!$C$221:$AC$230,27,FALSE)*AJ634+Y634+Z634+AA634,0))))))</f>
        <v/>
      </c>
      <c r="BA634" s="506"/>
      <c r="BB634" s="506"/>
      <c r="BC634" s="506"/>
    </row>
    <row r="635" spans="1:55" ht="12" thickBot="1" x14ac:dyDescent="0.25">
      <c r="A635" s="748"/>
      <c r="B635" s="695"/>
      <c r="C635" s="251"/>
      <c r="D635" s="1359"/>
      <c r="E635" s="1400"/>
      <c r="F635" s="481" t="str">
        <f>IF('Calc (ex-animal)'!$F$113=1,"",IF($C$631=0,"",IF(D635="","",E635/'Calc (ex-animal)'!$E$117*100)))</f>
        <v/>
      </c>
      <c r="G635" s="483" t="str">
        <f>IF($C$631=0,"",IF('Calc (ex-animal)'!$F$113=1,"",IF(D635="","",SUM(H635:O635))))</f>
        <v/>
      </c>
      <c r="H635" s="445" t="str">
        <f>IF('Calc (ex-animal)'!$F$113=1,"",IF(D635="","",(((VLOOKUP($C$631,'Calc (ex-animal)'!$D$113:$Y$117,6,FALSE)-VLOOKUP($C$631,'Calc (ex-animal)'!$D$113:$Y$117,17,FALSE))*F635/100))*VLOOKUP($C$631,'Calc (ex-animal)'!$D$113:$Y$117,7,FALSE)/100*(1-VLOOKUP(D635,'DB technologies'!$N$294:$Y$306,9,FALSE)/100)))</f>
        <v/>
      </c>
      <c r="I635" s="445" t="str">
        <f>IF(D635="","",((VLOOKUP(D635,'DB technologies'!$N$294:$Y$306,2,FALSE)*VLOOKUP($C$631,'DB animal categories'!$C$221:$AC$230,27,FALSE)*E635/1000)/VLOOKUP($C$631,'DB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'!$S$6/100*(1-VLOOKUP(D635,'DB technologies'!$N$294:$Y$306,9,FALSE)/100)))</f>
        <v/>
      </c>
      <c r="J635" s="446" t="str">
        <f>IF(D635="","",((VLOOKUP(D635,'DB technologies'!$N$294:$Y$306,3,FALSE)*VLOOKUP($C$631,'DB animal categories'!$C$221:$AC$230,27,FALSE)*E635/1000)/VLOOKUP($C$631,'DB animal categories'!$C$221:$AC$230,27,FALSE)*(VLOOKUP($C$631,'DB animal categories'!$C$221:$AC$230,27,FALSE)-(VLOOKUP($C$631,'DB animal categories'!$C$221:$AC$230,25,FALSE)*VLOOKUP($C$631,'DB animal categories'!$C$221:$AC$230,26,FALSE)/24))*'DB additional information '!$S$7/100*(1-VLOOKUP(D635,'DB technologies'!$N$294:$Y$306,9,FALSE)/100)))</f>
        <v/>
      </c>
      <c r="K635" s="446" t="str">
        <f>IF(D635="","",((VLOOKUP(D635,'DB technologies'!$N$294:$Y$306,4,FALSE)*E635*'DB additional information '!$S$8/100*(1-VLOOKUP(D635,'DB technologies'!$N$294:$Y$306,9,FALSE)/100))/VLOOKUP($C$631,'DB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L635" s="445" t="str">
        <f>IF('Calc (ex-animal)'!$F$113=1,"",IF(D635="","",(((VLOOKUP($C$631,'Calc (ex-animal)'!$D$113:$Y$117,6,FALSE)-VLOOKUP($C$631,'Calc (ex-animal)'!$D$113:$Y$117,17,FALSE))*F635/100))*(1-VLOOKUP($C$631,'Calc (ex-animal)'!$D$113:$Y$117,7,FALSE)/100)*(1-VLOOKUP(D635,'DB technologies'!$N$294:$V$306,8,FALSE)/100)))</f>
        <v/>
      </c>
      <c r="M635" s="446" t="str">
        <f>IF(D635="","",((VLOOKUP(D635,'DB technologies'!$N$294:$Y$306,2,FALSE)*VLOOKUP($C$631,'DB animal categories'!$C$221:$AC$230,27,FALSE)*E635/1000)/VLOOKUP($C$631,'DB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'!$S$6/100)*(1-VLOOKUP(D635,'DB technologies'!$N$294:$Y$306,9,FALSE)/100))</f>
        <v/>
      </c>
      <c r="N635" s="446" t="str">
        <f>IF(D635="","",((VLOOKUP(D635,'DB technologies'!$N$294:$Y$306,3,FALSE)*VLOOKUP($C$631,'DB animal categories'!$C$221:$AC$230,27,FALSE)*E635/1000)/VLOOKUP($C$631,'DB animal categories'!$C$221:$AC$230,27,FALSE)*(VLOOKUP($C$631,'DB animal categories'!$C$221:$AC$230,27,FALSE)-VLOOKUP($C$631,'DB animal categories'!$C$221:$AC$230,25,FALSE)*VLOOKUP($C$631,'DB animal categories'!$C$221:$AC$230,26,FALSE)/24))*(1-'DB additional information '!$S$7/100)*(1-VLOOKUP(D635,'DB technologies'!$N$294:$Y$306,9,FALSE)/100))</f>
        <v/>
      </c>
      <c r="O635" s="445" t="str">
        <f>IF(D635="","",((VLOOKUP(D635,'DB technologies'!$N$294:$Y$306,4,FALSE)*E635*(1-'DB additional information '!$S$8/100)*(1-VLOOKUP(D635,'DB technologies'!$N$294:$Y$306,8,FALSE)/100))/VLOOKUP($C$631,'DB animal categories'!$C$221:$AC$230,27,FALSE)*(VLOOKUP($C$631,'DB animal categories'!$C$221:$AC$230,27,FALSE)-VLOOKUP($C$631,'DB animal categories'!$C$221:$AC$230,25,FALSE)*VLOOKUP($C$631,'DB animal categories'!$C$221:$AC$230,26,FALSE)/24)))</f>
        <v/>
      </c>
      <c r="P635" s="444" t="str">
        <f>IF(G635=0,0,IF(E635="","",IF(F635="","",IF($C$631=0,"",IF(D635="","",SUM(H635:K635)/G635*100)))))</f>
        <v/>
      </c>
      <c r="Q635" s="476" t="str">
        <f>IF(D635="","",(VLOOKUP(D635,'DB technologies'!$N$294:$Y$306,2,FALSE)*'DB additional information '!$S$6/100*'DB additional information '!$T$6*VLOOKUP($C$631,'DB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R635" s="476" t="str">
        <f>IF(D635="","",(VLOOKUP(D635,'DB technologies'!$N$294:$Y$306,3,FALSE)*'DB additional information '!$S$7/100*'DB additional information '!$T$7*VLOOKUP($C$631,'DB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S635" s="494" t="str">
        <f>IF(D635="","",(VLOOKUP(D635,'DB technologies'!$N$294:$Y$306,4,FALSE)*('DB additional information '!$S$8/100*'DB additional information '!$T$8*E635/1000/1000)))</f>
        <v/>
      </c>
      <c r="T635" s="266" t="str">
        <f>IF($C$631=0,"",IF('Calc (ex-animal)'!$F$113=1,"",IF(D635="","",((VLOOKUP($C$631,'Calc (ex-animal)'!$D$113:$Y$117,10,FALSE)-VLOOKUP($C$631,'Calc (ex-animal)'!$D$113:$Y$117,18,FALSE))*F635/100+Q635+R635+S635)-AC635-AD635-AE635)))</f>
        <v/>
      </c>
      <c r="U635" s="477" t="str">
        <f>IF(D635="","",(VLOOKUP(D635,'DB technologies'!$N$294:$Y$306,2,FALSE)*'DB additional information '!$S$6/100*'DB additional information '!$U$6*VLOOKUP($C$631,'DB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V635" s="433" t="str">
        <f>IF(D635="","",(VLOOKUP(D635,'DB technologies'!$N$294:$Y$306,3,FALSE)*'DB additional information '!$S$7/100*'DB additional information '!$U$7*VLOOKUP($C$631,'DB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W635" s="475" t="str">
        <f>IF(D635="","",(VLOOKUP(D635,'DB technologies'!$N$294:$Y$306,4,FALSE)*('DB additional information '!$S$8/100*'DB additional information '!$U$8*E635/1000/1000)))</f>
        <v/>
      </c>
      <c r="X635" s="267" t="str">
        <f>IF($C$631=0,"",IF('Calc (ex-animal)'!$F$113=1,"",IF(D635="","",((VLOOKUP($C$631,'Calc (ex-animal)'!$D$113:$Y$117,13,FALSE)-VLOOKUP($C$631,'Calc (ex-animal)'!$D$113:$Y$117,19,FALSE))*F635/100+U635+V635+W635))))</f>
        <v/>
      </c>
      <c r="Y635" s="433" t="str">
        <f>IF(D635="","",(VLOOKUP(D635,'DB technologies'!$N$294:$Y$306,2,FALSE)*'DB additional information '!$S$6/100*'DB additional information '!$V$6*VLOOKUP($C$631,'DB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Z635" s="433" t="str">
        <f>IF(D635="","",(VLOOKUP(D635,'DB technologies'!$N$294:$Y$306,3,FALSE)*'DB additional information '!$S$7/100*'DB additional information '!$V$7*VLOOKUP($C$631,'DB animal categories'!$C$221:$AC$230,27,FALSE)*E635/1000/1000)/VLOOKUP($C$631,'DB animal categories'!$C$221:$AC$230,27,FALSE)*(VLOOKUP($C$631,'DB animal categories'!$C$221:$AC$230,27,FALSE)-VLOOKUP($C$631,'DB animal categories'!$C$221:$AC$230,25,FALSE)*VLOOKUP($C$631,'DB animal categories'!$C$221:$AC$230,26,FALSE)/24))</f>
        <v/>
      </c>
      <c r="AA635" s="433" t="str">
        <f>IF(D635="","",(VLOOKUP(D635,'DB technologies'!$N$294:$Y$306,4,FALSE)*('DB additional information '!$S$8/100*'DB additional information '!$V$8*E635/1000/1000)))</f>
        <v/>
      </c>
      <c r="AB635" s="267" t="str">
        <f>IF($C$631=0,"",IF('Calc (ex-animal)'!$F$113=1,"",IF(D635="","",((VLOOKUP($C$631,'Calc (ex-animal)'!$D$113:$Y$117,16,FALSE)-VLOOKUP($C$631,'Calc (ex-animal)'!$D$113:$Y$117,20,FALSE))*F635/100+Y635+Z635+AA635))))</f>
        <v/>
      </c>
      <c r="AC635" s="267" t="str">
        <f>IF($C$631=0,"",IF('Calc (ex-animal)'!$F$113=1,"",IF(D635="","",VLOOKUP($C$631,'Calc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categories'!$C$221:$AC$230,26,FALSE)/24)*F635/100*VLOOKUP(D635,'DB technologies'!$N$294:$R$306,5,FALSE)/100)))</f>
        <v/>
      </c>
      <c r="AD635" s="267" t="str">
        <f>IF($C$631=0,"",IF('Calc (ex-animal)'!$F$113=1,"",IF(D635="","",VLOOKUP($C$631,'Calc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categories'!$C$221:$AC$230,26,FALSE)/24)*F635/100*VLOOKUP(D635,'DB technologies'!$N$294:$Y$306,6,FALSE)/100)))</f>
        <v/>
      </c>
      <c r="AE635" s="268" t="str">
        <f>IF($C$631=0,"",IF('Calc (ex-animal)'!$F$113=1,"",IF(D635="","",VLOOKUP($C$631,'Calc (ex-animal)'!$D$113:$Y$117,10,FALSE)/VLOOKUP($C$631,'DB animal categories'!$C$221:$AC$230,27,FALSE)*(VLOOKUP($C$631,'DB animal categories'!$C$221:$AC$230,27,FALSE)-VLOOKUP($C$631,'DB animal categories'!$C$221:$AC$230,25,FALSE)*VLOOKUP($C$631,'DB animal categories'!$C$221:$AC$230,26,FALSE)/24)*F635/100*VLOOKUP(D635,'DB technologies'!$N$294:$Y$306,7,FALSE)/100)))</f>
        <v/>
      </c>
      <c r="AI635" s="183" t="str">
        <f>IF(D635="","",VLOOKUP(D635,'DB technologies'!$N$294:$Y$306,10,FALSE))</f>
        <v/>
      </c>
      <c r="AJ635" s="451" t="e">
        <f>VLOOKUP($C$631,'DB animal categories'!$C$221:$AN$230,27,FALSE)-VLOOKUP($C$631,'DB animal categories'!$C$221:$AN$230,26,FALSE)*VLOOKUP($C$631,'DB animal categories'!$C$221:$AN$230,25,FALSE)/24</f>
        <v>#N/A</v>
      </c>
      <c r="AK635" s="452" t="str">
        <f>IF(AI635="","",AL635+AM635)</f>
        <v/>
      </c>
      <c r="AL635" s="452" t="str">
        <f>IF(D635="","",IF(AI635=2,(('Calc (ex-animal)'!$G$117*'DB additional information '!$K$24/100*(1-VLOOKUP(D635,'DB technologies'!$N$294:$Y$306,9,FALSE)/100)*'Calc (ex-housing, ex-storage)'!F635/100+'Calc (ex-animal)'!$H$117*'DB additional information '!$L$24/100*(1-VLOOKUP(D635,'DB technologies'!$N$294:$Y$306,9,FALSE)/100)*'Calc (ex-housing, ex-storage)'!F635/100))/VLOOKUP($C$631,'DB animal categories'!$C$221:$AC$230,27,FALSE)*AJ635+I635+J635+K635,IF(AI635=1,('Calc (ex-animal)'!$H$117*'DB additional information '!$L$24/100*(1-VLOOKUP(D635,'DB technologies'!$N$294:$Y$306,9,FALSE)/100)*'Calc (ex-housing, ex-storage)'!F635/100)/VLOOKUP($C$631,'DB animal categories'!$C$221:$AC$230,27,FALSE)*AJ635,IF(AI635=4,('Calc (ex-animal)'!$G$117*'DB additional information '!$K$24/100+'Calc (ex-animal)'!$H$117*'DB additional information '!$L$24/100)*(1-VLOOKUP(D635,'DB technologies'!$N$294:$Y$306,9,FALSE)/100)*'Calc (ex-housing, ex-storage)'!F635/100*VLOOKUP(D635,'DB technologies'!$N$294:$Y$306,11,FALSE)/100/VLOOKUP($C$631,'DB animal categories'!$C$221:$AC$230,27,FALSE)*AJ635,0))))</f>
        <v/>
      </c>
      <c r="AM635" s="452" t="str">
        <f>IF(D635="","",IF(AI635=2,(('Calc (ex-animal)'!$G$117*(1-'DB additional information '!$K$24/100)*(1-VLOOKUP(D635,'DB technologies'!$N$294:$Y$306,8,FALSE)/100)*'Calc (ex-housing, ex-storage)'!F635/100+'Calc (ex-animal)'!$H$117*(1-'DB additional information '!$L$24/100)*(1-VLOOKUP(D635,'DB technologies'!$N$294:$Y$306,8,FALSE)/100)*'Calc (ex-housing, ex-storage)'!F635/100))/VLOOKUP($C$631,'DB animal categories'!$C$221:$AC$230,27,FALSE)*AJ635+M635+N635+O635,IF(AI635=1,('Calc (ex-animal)'!$H$117*(1-'DB additional information '!$L$24/100)*(1-VLOOKUP(D635,'DB technologies'!$N$294:$Y$306,8,FALSE)/100)*'Calc (ex-housing, ex-storage)'!F635/100)/VLOOKUP($C$631,'DB animal categories'!$C$221:$AC$230,27,FALSE)*AJ635,IF(AI635=4,('Calc (ex-animal)'!$G$117*(1-'DB additional information '!$K$24/100)+'Calc (ex-animal)'!$H$117*(1-'DB additional information '!$L$24/100))*(1-VLOOKUP(D635,'DB technologies'!$N$294:$Y$306,8,FALSE)/100)*'Calc (ex-housing, ex-storage)'!F635/100*VLOOKUP(D635,'DB technologies'!$N$294:$Y$306,11,FALSE)/100/VLOOKUP($C$631,'DB animal categories'!$C$221:$AC$230,27,FALSE)*AJ635,0))))</f>
        <v/>
      </c>
      <c r="AN635" s="452" t="str">
        <f>IF(AI635="","",IF(AL635=0,0,AL635/AK635*100))</f>
        <v/>
      </c>
      <c r="AO635" s="184" t="str">
        <f>IF(D635="","",IF(AI635=2,(('Calc (ex-animal)'!$L$117*'Calc (ex-housing, ex-storage)'!F635/100+'Calc (ex-animal)'!$K$117*'Calc (ex-housing, ex-storage)'!F635/100))/VLOOKUP($C$631,'DB animal categories'!$C$221:$AC$230,27,FALSE)*AJ635+Q635+R635+S635-AC635,IF(AI635=1,('Calc (ex-animal)'!$L$117*'Calc (ex-housing, ex-storage)'!F635/100)/VLOOKUP($C$631,'DB animal categories'!$C$221:$AC$230,27,FALSE)*AJ635-'Calc (ex-housing, ex-storage)'!AC635,IF(AI635=4,('Calc (ex-animal)'!$L$117+'Calc (ex-animal)'!$K$117)*'Calc (ex-housing, ex-storage)'!F635/100*VLOOKUP(D635,'DB technologies'!$N$294:$Y$306,11,FALSE)/100/VLOOKUP($C$631,'DB animal categories'!$C$221:$AC$230,27,FALSE)*AJ635-AC635*VLOOKUP(D635,'DB technologies'!$N$294:$Y$306,11,FALSE)/100,0))))</f>
        <v/>
      </c>
      <c r="AP635" s="184" t="str">
        <f>IF(D635="","",IF(AO635&lt;-0.01,0,IF(AI635=2,(('Calc (ex-animal)'!$L$117*'Calc (ex-housing, ex-storage)'!F635/100+'Calc (ex-animal)'!$K$117*'Calc (ex-housing, ex-storage)'!F635/100))/VLOOKUP($C$631,'DB animal categories'!$C$221:$AC$230,27,FALSE)*AJ635+Q635+R635+S635-AC635,IF(AI635=1,('Calc (ex-animal)'!$L$117*'Calc (ex-housing, ex-storage)'!F635/100)/VLOOKUP($C$631,'DB animal categories'!$C$221:$AC$230,27,FALSE)*AJ635-'Calc (ex-housing, ex-storage)'!AC635,IF(AI635=4,('Calc (ex-animal)'!$L$117+'Calc (ex-animal)'!$K$117)*'Calc (ex-housing, ex-storage)'!F635/100*VLOOKUP(D635,'DB technologies'!$N$294:$Y$306,11,FALSE)/100/VLOOKUP($C$631,'DB animal categories'!$C$221:$AC$230,27,FALSE)*AJ635-AC635*VLOOKUP(D635,'DB technologies'!$N$294:$Y$306,11,FALSE)/100,0)))))</f>
        <v/>
      </c>
      <c r="AQ635" s="184" t="str">
        <f>IF(D635="","",IF(AI635=2,('Calc (ex-animal)'!$O$117*'Calc (ex-housing, ex-storage)'!F635/100+'Calc (ex-animal)'!$N$117*'Calc (ex-housing, ex-storage)'!F635/100)/VLOOKUP($C$631,'DB animal categories'!$C$221:$AC$230,27,FALSE)*AJ635+U635+V635+W635,IF(AI635=1,'Calc (ex-animal)'!$O$117*'Calc (ex-housing, ex-storage)'!F635/100/VLOOKUP($C$631,'DB animal categories'!$C$221:$AC$230,27,FALSE)*AJ635,IF(AI635=4,('Calc (ex-animal)'!$O$117+'Calc (ex-animal)'!$N$117)*'Calc (ex-housing, ex-storage)'!F635/100*VLOOKUP(D635,'DB technologies'!$N$294:$Y$306,11,FALSE)/100/VLOOKUP($C$631,'DB animal categories'!$C$221:$AC$230,27,FALSE)*AJ635,0))))</f>
        <v/>
      </c>
      <c r="AR635" s="184" t="str">
        <f>IF(D635="","",IF(AI635=2,('Calc (ex-animal)'!$R$117*'Calc (ex-housing, ex-storage)'!F635/100+'Calc (ex-animal)'!$Q$117*'Calc (ex-housing, ex-storage)'!F635/100)/VLOOKUP($C$631,'DB animal categories'!$C$221:$AC$230,27,FALSE)*AJ635+Y635+Z635+AA635,IF(AI635=1,'Calc (ex-animal)'!$R$117*'Calc (ex-housing, ex-storage)'!F635/100/VLOOKUP($C$631,'DB animal categories'!$C$221:$AC$230,27,FALSE)*AJ635,IF(AI635=4,('Calc (ex-animal)'!$R$117+'Calc (ex-animal)'!$Q$117)*'Calc (ex-housing, ex-storage)'!F635/100*VLOOKUP(D635,'DB technologies'!$N$294:$Y$306,11,FALSE)/100/VLOOKUP($C$631,'DB animal categories'!$C$221:$AC$230,27,FALSE)*AJ635,0))))</f>
        <v/>
      </c>
      <c r="AS635" s="183" t="str">
        <f>IF(D635="","",VLOOKUP(D635,'DB technologies'!$N$294:$Y$306,10,FALSE))</f>
        <v/>
      </c>
      <c r="AT635" s="452" t="str">
        <f>IF(AS635="","",AU635+AV635)</f>
        <v/>
      </c>
      <c r="AU635" s="452" t="str">
        <f>IF(D635="","",IF(AS635=2,0,IF(AS635=1,'Calc (ex-animal)'!$G$117*'DB additional information '!$K$24/100*(1-VLOOKUP(D635,'DB technologies'!$N$294:$Y$306,8,FALSE)/100)*'Calc (ex-housing, ex-storage)'!F635/100/VLOOKUP($C$631,'DB animal categories'!$C$221:$AC$230,27,FALSE)*AJ635+I635+J635+K635,IF(AS635=5,(('Calc (ex-animal)'!$G$117*'DB additional information '!$K$24/100+'Calc (ex-animal)'!$H$117*'DB additional information '!$L$24/100))*(1-VLOOKUP(D635,'DB technologies'!$N$294:$Y$306,9,FALSE)/100)*'Calc (ex-housing, ex-storage)'!F635/100/VLOOKUP($C$631,'DB animal categories'!$C$221:$AC$230,27,FALSE)*AJ635+I635+J635+K635,IF(AS635=3,('Calc (ex-animal)'!$G$117*'DB additional information '!$K$24/100+'Calc (ex-animal)'!$H$117*'DB additional information '!$L$24/100)*(1-VLOOKUP(D635,'DB technologies'!$N$294:$Y$306,9,FALSE)/100)*'Calc (ex-housing, ex-storage)'!F635/100/VLOOKUP($C$631,'DB animal categories'!$C$221:$AC$230,27,FALSE)*AJ635+I635+J635+K635,IF(AS635=4,('Calc (ex-animal)'!$G$117*'DB additional information '!$K$24/100+'Calc (ex-animal)'!$H$117*'DB additional information '!$L$24/100)*(1-VLOOKUP(D635,'DB technologies'!$N$294:$Y$306,9,FALSE)/100)*'Calc (ex-housing, ex-storage)'!F635/100*VLOOKUP(D635,'DB technologies'!$N$294:$Y$306,12,FALSE)/100/VLOOKUP($C$631,'DB animal categories'!$C$221:$AC$230,27,FALSE)*AJ635+I635+J635+K635,0))))))</f>
        <v/>
      </c>
      <c r="AV635" s="452" t="str">
        <f>IF(D635="","",IF(AS635=2,0,IF(AS635=1,'Calc (ex-animal)'!$G$117*(1-'DB additional information '!$K$24/100)*(1-VLOOKUP(D635,'DB technologies'!$N$294:$Y$306,8,FALSE)/100)*'Calc (ex-housing, ex-storage)'!F635/100/VLOOKUP($C$631,'DB animal categories'!$C$221:$AC$230,27,FALSE)*AJ635+M635+N635+O635,IF(AS635=5,('Calc (ex-animal)'!$G$117*(1-'DB additional information '!$K$24/100)+'Calc (ex-animal)'!$H$117*(1-'DB additional information '!$L$24/100))*(1-VLOOKUP(D635,'DB technologies'!$N$294:$Y$306,8,FALSE)/100)*'Calc (ex-housing, ex-storage)'!F635/100/VLOOKUP($C$631,'DB animal categories'!$C$221:$AC$230,27,FALSE)*AJ635+M635+N635+O635,IF(AS635=3,('Calc (ex-animal)'!$G$117*(1-'DB additional information '!$K$24/100)+'Calc (ex-animal)'!$H$117*(1-'DB additional information '!$L$24/100))*(1-VLOOKUP(D635,'DB technologies'!$N$294:$Y$306,8,FALSE)/100)*'Calc (ex-housing, ex-storage)'!F635/100/VLOOKUP($C$631,'DB animal categories'!$C$221:$AC$230,27,FALSE)*AJ635+M635+N635+O635,IF(AS635=4,('Calc (ex-animal)'!$G$117*(1-'DB additional information '!$K$24/100)+'Calc (ex-animal)'!$H$117*(1-'DB additional information '!$L$24/100))*(1-VLOOKUP(D635,'DB technologies'!$N$294:$Y$306,8,FALSE)/100)*'Calc (ex-housing, ex-storage)'!F635/100*VLOOKUP(D635,'DB technologies'!$N$294:$Y$306,12,FALSE)/100/VLOOKUP($C$631,'DB animal categories'!$C$221:$AC$230,27,FALSE)*AJ635+M635+N635+O635,0))))))</f>
        <v/>
      </c>
      <c r="AW635" s="452" t="str">
        <f>IF(AS635="","",IF(AU635=0,0,AU635/AT635*100))</f>
        <v/>
      </c>
      <c r="AX635" s="184" t="str">
        <f>IF(D635="","",IF(AS635=2,0,IF(AS635=1,'Calc (ex-animal)'!$K$117*'Calc (ex-housing, ex-storage)'!F635/100/VLOOKUP($C$631,'DB animal categories'!$C$221:$AC$230,27,FALSE)*AJ635+Q635+R635+S635,IF(AS635=5,('Calc (ex-animal)'!$K$117+'Calc (ex-animal)'!$L$117)*'Calc (ex-housing, ex-storage)'!F635/100/VLOOKUP($C$631,'DB animal categories'!$C$221:$AC$230,27,FALSE)*AJ635+Q635+R635+S635-'Calc (ex-housing, ex-storage)'!AC635,IF(AS635=3,('Calc (ex-animal)'!$K$117+'Calc (ex-animal)'!$L$117)*'Calc (ex-housing, ex-storage)'!F635/100/VLOOKUP($C$631,'DB animal categories'!$C$221:$AC$230,27,FALSE)*AJ635+Q635+R635+S635-'Calc (ex-housing, ex-storage)'!AC635-AD635-AE635,IF(AI635=4,('Calc (ex-animal)'!$K$117+'Calc (ex-animal)'!$L$117)*'Calc (ex-housing, ex-storage)'!F635/100*VLOOKUP(D635,'DB technologies'!$N$294:$Y$306,12,FALSE)/100/VLOOKUP($C$631,'DB animal categories'!$C$221:$AC$230,27,FALSE)*AJ635+Q635+R635+S635-(VLOOKUP(D635,'DB technologies'!$N$294:$Y$306,12,FALSE)/100*AC635)-AD635-AE635,0))))))</f>
        <v/>
      </c>
      <c r="AY635" s="184" t="str">
        <f>IF(D635="","",IF(AS635=2,0,IF(AS635=1,'Calc (ex-animal)'!$N$117*'Calc (ex-housing, ex-storage)'!F635/100/VLOOKUP($C$631,'DB animal categories'!$C$221:$AC$230,27,FALSE)*AJ635+U635+V635+W635,IF(AS635=5,('Calc (ex-animal)'!$N$117+'Calc (ex-animal)'!$O$117)*'Calc (ex-housing, ex-storage)'!F635/100/VLOOKUP($C$631,'DB animal categories'!$C$221:$AC$230,27,FALSE)*AJ635+U635+V635+W635,IF(AS635=3,('Calc (ex-animal)'!$N$117+'Calc (ex-animal)'!$O$117)*'Calc (ex-housing, ex-storage)'!F635/100/VLOOKUP($C$631,'DB animal categories'!$C$221:$AC$230,27,FALSE)*AJ635+U635+V635+W635,IF(AS635=4,('Calc (ex-animal)'!$N$117+'Calc (ex-animal)'!$O$117)*'Calc (ex-housing, ex-storage)'!F635/100*VLOOKUP(D635,'DB technologies'!$N$294:$Y$306,12,FALSE)/100/VLOOKUP($C$631,'DB animal categories'!$C$221:$AC$230,27,FALSE)*AJ635+U635+V635+W635,0))))))</f>
        <v/>
      </c>
      <c r="AZ635" s="184" t="str">
        <f>IF(D635="","",IF(AS635=2,0,IF(AS635=1,'Calc (ex-animal)'!$Q$117*'Calc (ex-housing, ex-storage)'!F635/100/VLOOKUP($C$631,'DB animal categories'!$C$221:$AC$230,27,FALSE)*AJ635+Y635+Z635+AA635,IF(AS635=5,('Calc (ex-animal)'!$Q$117+'Calc (ex-animal)'!$R$117)*'Calc (ex-housing, ex-storage)'!F635/100/VLOOKUP($C$631,'DB animal categories'!$C$221:$AC$230,27,FALSE)*AJ635+Y635+Z635+AA635,IF(AS635=3,('Calc (ex-animal)'!$Q$117+'Calc (ex-animal)'!$R$117)*'Calc (ex-housing, ex-storage)'!F635/100/VLOOKUP($C$631,'DB animal categories'!$C$221:$AC$230,27,FALSE)*AJ635+Y635+Z635+AA635,IF(AS635=4,('Calc (ex-animal)'!$Q$117+'Calc (ex-animal)'!$R$117)*'Calc (ex-housing, ex-storage)'!F635/100*VLOOKUP(D635,'DB technologies'!$N$294:$Y$306,12,FALSE)/100/VLOOKUP($C$631,'DB animal categories'!$C$221:$AC$230,27,FALSE)*AJ635+Y635+Z635+AA635,0))))))</f>
        <v/>
      </c>
      <c r="BA635" s="506"/>
      <c r="BB635" s="506"/>
      <c r="BC635" s="506"/>
    </row>
    <row r="636" spans="1:55" ht="12" thickBot="1" x14ac:dyDescent="0.25">
      <c r="A636" s="748"/>
      <c r="B636" s="696"/>
      <c r="C636" s="252"/>
      <c r="D636" s="269" t="s">
        <v>58</v>
      </c>
      <c r="E636" s="270">
        <f>IF(F636&lt;=100,SUM(E631:E635),"ERROR")</f>
        <v>0</v>
      </c>
      <c r="F636" s="284">
        <f>IF(SUM(F631:F635) &lt;=100,SUM(F631:F635),"ERROR, SUM&gt;100%")</f>
        <v>0</v>
      </c>
      <c r="G636" s="546">
        <f>IF('Calc (ex-animal)'!$F$113=1,"",SUM(G631:G635))</f>
        <v>0</v>
      </c>
      <c r="H636" s="421">
        <f>IF('Calc (ex-animal)'!$F$8=1,"",SUM(H631:H635))</f>
        <v>0</v>
      </c>
      <c r="I636" s="421">
        <f>IF('Calc (ex-animal)'!$F$8=1,"",SUM(I631:I635))</f>
        <v>0</v>
      </c>
      <c r="J636" s="421">
        <f>IF('Calc (ex-animal)'!$F$8=1,"",SUM(J631:J635))</f>
        <v>0</v>
      </c>
      <c r="K636" s="421">
        <f>IF('Calc (ex-animal)'!$F$8=1,"",SUM(K631:K635))</f>
        <v>0</v>
      </c>
      <c r="L636" s="421">
        <f>IF('Calc (ex-animal)'!$F$8=1,"",SUM(L631:L635))</f>
        <v>0</v>
      </c>
      <c r="M636" s="522"/>
      <c r="N636" s="522"/>
      <c r="O636" s="522"/>
      <c r="P636" s="496">
        <f>IF(G636=0,0,IF('Calc (ex-animal)'!$F$113=1,"",IF(D636="","",SUM(H636:K636)/G636*100)))</f>
        <v>0</v>
      </c>
      <c r="Q636" s="277"/>
      <c r="R636" s="277"/>
      <c r="S636" s="288"/>
      <c r="T636" s="278">
        <f>IF('Calc (ex-animal)'!$F$117=1,"",SUM(T631:T635))</f>
        <v>0</v>
      </c>
      <c r="U636" s="279"/>
      <c r="V636" s="279"/>
      <c r="W636" s="279"/>
      <c r="X636" s="279">
        <f>IF('Calc (ex-animal)'!$F$117=1,"",SUM(X631:X635))</f>
        <v>0</v>
      </c>
      <c r="Y636" s="279"/>
      <c r="Z636" s="279"/>
      <c r="AA636" s="279"/>
      <c r="AB636" s="279">
        <f>IF('Calc (ex-animal)'!$F$117=1,"",SUM(AB631:AB635))</f>
        <v>0</v>
      </c>
      <c r="AC636" s="279">
        <f>IF('Calc (ex-animal)'!$F$117=1,"",SUM(AC631:AC635))</f>
        <v>0</v>
      </c>
      <c r="AD636" s="279">
        <f>IF('Calc (ex-animal)'!$F$117=1,"",SUM(AD631:AD635))</f>
        <v>0</v>
      </c>
      <c r="AE636" s="280">
        <f>IF('Calc (ex-animal)'!$F$117=1,"",SUM(AE631:AE635))</f>
        <v>0</v>
      </c>
    </row>
  </sheetData>
  <sheetProtection algorithmName="SHA-512" hashValue="qise2SZX7bYqtrqWSLH/4utgJKYmuY53LiAZINyFLPLGtoXsm1xW4wRtwn7PaSGc5IQUAVMwJSsYmHzXHgMk5w==" saltValue="/6kzL1vcWn9MuyUVKCVcaw==" spinCount="100000" sheet="1" formatCells="0" formatColumns="0" formatRows="0" insertColumns="0" insertRows="0" insertHyperlinks="0" deleteColumns="0" deleteRows="0" sort="0" autoFilter="0" pivotTables="0"/>
  <mergeCells count="208">
    <mergeCell ref="A2:BT2"/>
    <mergeCell ref="A487:A636"/>
    <mergeCell ref="AG84:AG101"/>
    <mergeCell ref="AH84:AH89"/>
    <mergeCell ref="AH90:AH95"/>
    <mergeCell ref="AH96:AH101"/>
    <mergeCell ref="B577:B606"/>
    <mergeCell ref="B427:B456"/>
    <mergeCell ref="A277:A486"/>
    <mergeCell ref="B457:B486"/>
    <mergeCell ref="B337:B366"/>
    <mergeCell ref="B367:B396"/>
    <mergeCell ref="B275:B276"/>
    <mergeCell ref="F164:F165"/>
    <mergeCell ref="F166:F167"/>
    <mergeCell ref="F168:F169"/>
    <mergeCell ref="E166:E167"/>
    <mergeCell ref="E168:E169"/>
    <mergeCell ref="AG162:AG163"/>
    <mergeCell ref="AG164:AG165"/>
    <mergeCell ref="AG166:AG167"/>
    <mergeCell ref="E160:E161"/>
    <mergeCell ref="F160:F161"/>
    <mergeCell ref="E162:E163"/>
    <mergeCell ref="B277:B306"/>
    <mergeCell ref="B160:B214"/>
    <mergeCell ref="AG182:AG183"/>
    <mergeCell ref="B215:B244"/>
    <mergeCell ref="E171:E172"/>
    <mergeCell ref="F171:F172"/>
    <mergeCell ref="AG171:AG172"/>
    <mergeCell ref="E210:E211"/>
    <mergeCell ref="F210:F211"/>
    <mergeCell ref="E212:E213"/>
    <mergeCell ref="F212:F213"/>
    <mergeCell ref="E193:E194"/>
    <mergeCell ref="F193:F194"/>
    <mergeCell ref="E195:E196"/>
    <mergeCell ref="F195:F196"/>
    <mergeCell ref="E197:E198"/>
    <mergeCell ref="F197:F198"/>
    <mergeCell ref="E199:E200"/>
    <mergeCell ref="F199:F200"/>
    <mergeCell ref="E201:E202"/>
    <mergeCell ref="F201:F202"/>
    <mergeCell ref="B245:B274"/>
    <mergeCell ref="E179:E180"/>
    <mergeCell ref="F179:F180"/>
    <mergeCell ref="AG179:AG180"/>
    <mergeCell ref="F177:F178"/>
    <mergeCell ref="AG177:AG178"/>
    <mergeCell ref="AH177:AH178"/>
    <mergeCell ref="E177:E178"/>
    <mergeCell ref="F162:F163"/>
    <mergeCell ref="A160:A276"/>
    <mergeCell ref="B158:B159"/>
    <mergeCell ref="A8:A159"/>
    <mergeCell ref="B128:B157"/>
    <mergeCell ref="B38:B67"/>
    <mergeCell ref="B68:B97"/>
    <mergeCell ref="B98:B127"/>
    <mergeCell ref="E184:E185"/>
    <mergeCell ref="F184:F185"/>
    <mergeCell ref="E186:E187"/>
    <mergeCell ref="AH20:AH25"/>
    <mergeCell ref="E175:E176"/>
    <mergeCell ref="F175:F176"/>
    <mergeCell ref="AH164:AH165"/>
    <mergeCell ref="AG155:AG158"/>
    <mergeCell ref="AH160:AH161"/>
    <mergeCell ref="AG160:AG161"/>
    <mergeCell ref="AG159:AH159"/>
    <mergeCell ref="AH155:AH158"/>
    <mergeCell ref="D4:D7"/>
    <mergeCell ref="E4:F5"/>
    <mergeCell ref="E6:E7"/>
    <mergeCell ref="F6:F7"/>
    <mergeCell ref="BO5:BO6"/>
    <mergeCell ref="BP5:BP6"/>
    <mergeCell ref="BQ5:BQ6"/>
    <mergeCell ref="BO4:BQ4"/>
    <mergeCell ref="G5:G6"/>
    <mergeCell ref="P5:P6"/>
    <mergeCell ref="H7:O7"/>
    <mergeCell ref="BA5:BA6"/>
    <mergeCell ref="BB5:BC6"/>
    <mergeCell ref="T4:AB4"/>
    <mergeCell ref="T5:T6"/>
    <mergeCell ref="X5:X6"/>
    <mergeCell ref="AB5:AB6"/>
    <mergeCell ref="AC5:AC6"/>
    <mergeCell ref="AC4:AE4"/>
    <mergeCell ref="BN5:BN6"/>
    <mergeCell ref="BG4:BG7"/>
    <mergeCell ref="BH4:BH7"/>
    <mergeCell ref="AZ5:AZ7"/>
    <mergeCell ref="A4:C7"/>
    <mergeCell ref="AG103:AG120"/>
    <mergeCell ref="AH103:AH108"/>
    <mergeCell ref="AH109:AH114"/>
    <mergeCell ref="AH115:AH120"/>
    <mergeCell ref="AG46:AG63"/>
    <mergeCell ref="AH46:AH51"/>
    <mergeCell ref="AH52:AH57"/>
    <mergeCell ref="AH58:AH63"/>
    <mergeCell ref="B8:B37"/>
    <mergeCell ref="AG27:AG44"/>
    <mergeCell ref="AH27:AH32"/>
    <mergeCell ref="AH33:AH38"/>
    <mergeCell ref="AH39:AH44"/>
    <mergeCell ref="AD5:AD6"/>
    <mergeCell ref="AE5:AE6"/>
    <mergeCell ref="T7:AE7"/>
    <mergeCell ref="AG8:AG25"/>
    <mergeCell ref="AH14:AH19"/>
    <mergeCell ref="AH8:AH13"/>
    <mergeCell ref="AG4:AG7"/>
    <mergeCell ref="AH4:AH7"/>
    <mergeCell ref="BI4:BN4"/>
    <mergeCell ref="AQ5:AQ7"/>
    <mergeCell ref="AR5:AR7"/>
    <mergeCell ref="AO5:AP7"/>
    <mergeCell ref="AI5:AI7"/>
    <mergeCell ref="BR4:BT4"/>
    <mergeCell ref="BR5:BR6"/>
    <mergeCell ref="BI5:BI6"/>
    <mergeCell ref="BK5:BK6"/>
    <mergeCell ref="BS5:BS6"/>
    <mergeCell ref="BT5:BT6"/>
    <mergeCell ref="BL5:BL6"/>
    <mergeCell ref="BF5:BF6"/>
    <mergeCell ref="BE5:BE6"/>
    <mergeCell ref="BD7:BF7"/>
    <mergeCell ref="AX5:AX7"/>
    <mergeCell ref="AS5:AS7"/>
    <mergeCell ref="BD5:BD6"/>
    <mergeCell ref="BM5:BM6"/>
    <mergeCell ref="AY5:AY7"/>
    <mergeCell ref="BL7:BT7"/>
    <mergeCell ref="AH171:AH172"/>
    <mergeCell ref="E173:E174"/>
    <mergeCell ref="F173:F174"/>
    <mergeCell ref="AG173:AG174"/>
    <mergeCell ref="AH173:AH174"/>
    <mergeCell ref="AG168:AG169"/>
    <mergeCell ref="AH168:AH169"/>
    <mergeCell ref="AG175:AG176"/>
    <mergeCell ref="AH175:AH176"/>
    <mergeCell ref="AH206:AH207"/>
    <mergeCell ref="AH182:AH183"/>
    <mergeCell ref="AG184:AG185"/>
    <mergeCell ref="AH184:AH185"/>
    <mergeCell ref="AG186:AG187"/>
    <mergeCell ref="AH186:AH187"/>
    <mergeCell ref="AG188:AG189"/>
    <mergeCell ref="AH188:AH189"/>
    <mergeCell ref="AG190:AG191"/>
    <mergeCell ref="AH190:AH191"/>
    <mergeCell ref="AG197:AG198"/>
    <mergeCell ref="AH197:AH198"/>
    <mergeCell ref="B607:B636"/>
    <mergeCell ref="AG122:AG139"/>
    <mergeCell ref="AH122:AH127"/>
    <mergeCell ref="AH128:AH133"/>
    <mergeCell ref="AH134:AH139"/>
    <mergeCell ref="B487:B516"/>
    <mergeCell ref="B517:B546"/>
    <mergeCell ref="AG65:AG82"/>
    <mergeCell ref="AH65:AH70"/>
    <mergeCell ref="AH71:AH76"/>
    <mergeCell ref="AH77:AH82"/>
    <mergeCell ref="B547:B576"/>
    <mergeCell ref="B397:B426"/>
    <mergeCell ref="E182:E183"/>
    <mergeCell ref="F182:F183"/>
    <mergeCell ref="AH162:AH163"/>
    <mergeCell ref="E204:E205"/>
    <mergeCell ref="F204:F205"/>
    <mergeCell ref="E206:E207"/>
    <mergeCell ref="F206:F207"/>
    <mergeCell ref="E164:E165"/>
    <mergeCell ref="B307:B336"/>
    <mergeCell ref="AH166:AH167"/>
    <mergeCell ref="E208:E209"/>
    <mergeCell ref="E188:E189"/>
    <mergeCell ref="F188:F189"/>
    <mergeCell ref="E190:E191"/>
    <mergeCell ref="AH195:AH196"/>
    <mergeCell ref="F208:F209"/>
    <mergeCell ref="F190:F191"/>
    <mergeCell ref="AH179:AH180"/>
    <mergeCell ref="AG212:AG213"/>
    <mergeCell ref="AH212:AH213"/>
    <mergeCell ref="AG193:AG194"/>
    <mergeCell ref="AH193:AH194"/>
    <mergeCell ref="AG195:AG196"/>
    <mergeCell ref="AG199:AG200"/>
    <mergeCell ref="AH199:AH200"/>
    <mergeCell ref="AG201:AG202"/>
    <mergeCell ref="AH201:AH202"/>
    <mergeCell ref="AG208:AG209"/>
    <mergeCell ref="AH208:AH209"/>
    <mergeCell ref="AG210:AG211"/>
    <mergeCell ref="AH210:AH211"/>
    <mergeCell ref="F186:F187"/>
    <mergeCell ref="AG204:AG205"/>
    <mergeCell ref="AH204:AH205"/>
    <mergeCell ref="AG206:AG207"/>
  </mergeCells>
  <pageMargins left="0.7" right="0.7" top="0.75" bottom="0.75" header="0.3" footer="0.3"/>
  <pageSetup paperSize="9" orientation="portrait" r:id="rId1"/>
  <ignoredErrors>
    <ignoredError sqref="F19 F31 F37" formula="1"/>
  </ignoredError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'DB technologies'!$N$11:$N$25</xm:f>
          </x14:formula1>
          <xm:sqref>D8:D12 D14:D18 D32:D36 D26:D30 D20:D24</xm:sqref>
        </x14:dataValidation>
        <x14:dataValidation type="list" allowBlank="1" showInputMessage="1" showErrorMessage="1">
          <x14:formula1>
            <xm:f>'DB technologies'!$AC$11:$AC$15</xm:f>
          </x14:formula1>
          <xm:sqref>BG8:BG12 BG65:BG69 BG84:BG88 BG122:BG126</xm:sqref>
        </x14:dataValidation>
        <x14:dataValidation type="list" allowBlank="1" showInputMessage="1" showErrorMessage="1">
          <x14:formula1>
            <xm:f>'DB technologies'!$AC$16:$AC$20</xm:f>
          </x14:formula1>
          <xm:sqref>BG14:BG18 BG71:BG75 BG90:BG94 BG128:BG132</xm:sqref>
        </x14:dataValidation>
        <x14:dataValidation type="list" allowBlank="1" showInputMessage="1" showErrorMessage="1">
          <x14:formula1>
            <xm:f>'DB technologies'!$AC$21:$AC$25</xm:f>
          </x14:formula1>
          <xm:sqref>BG20:BG24 BG77:BG81 BG96:BG100 BG134:BG138</xm:sqref>
        </x14:dataValidation>
        <x14:dataValidation type="list" allowBlank="1" showInputMessage="1" showErrorMessage="1">
          <x14:formula1>
            <xm:f>'DB technologies'!$N$27:$N$38</xm:f>
          </x14:formula1>
          <xm:sqref>D38:D42 D44:D48 D50:D54 D56:D60 D62:D66</xm:sqref>
        </x14:dataValidation>
        <x14:dataValidation type="list" allowBlank="1" showInputMessage="1" showErrorMessage="1">
          <x14:formula1>
            <xm:f>'DB technologies'!$N$40:$N$51</xm:f>
          </x14:formula1>
          <xm:sqref>D68:D72 D74:D78 D80:D84 D86:D90 D92:D96</xm:sqref>
        </x14:dataValidation>
        <x14:dataValidation type="list" allowBlank="1" showInputMessage="1" showErrorMessage="1">
          <x14:formula1>
            <xm:f>'DB technologies'!$N$53:$N$64</xm:f>
          </x14:formula1>
          <xm:sqref>D98:D102 D104:D108 D110:D114 D116:D120 D122:D126</xm:sqref>
        </x14:dataValidation>
        <x14:dataValidation type="list" allowBlank="1" showInputMessage="1" showErrorMessage="1">
          <x14:formula1>
            <xm:f>'DB technologies'!$N$66:$N$77</xm:f>
          </x14:formula1>
          <xm:sqref>D128:D132 D134:D138 D140:D144 D146:D150 D152:D156</xm:sqref>
        </x14:dataValidation>
        <x14:dataValidation type="list" allowBlank="1" showInputMessage="1" showErrorMessage="1">
          <x14:formula1>
            <xm:f>'DB technologies'!$AC$27:$AC$31</xm:f>
          </x14:formula1>
          <xm:sqref>BG27:BG31</xm:sqref>
        </x14:dataValidation>
        <x14:dataValidation type="list" allowBlank="1" showInputMessage="1" showErrorMessage="1">
          <x14:formula1>
            <xm:f>'DB technologies'!$AC$32:$AC$36</xm:f>
          </x14:formula1>
          <xm:sqref>BG33:BG37</xm:sqref>
        </x14:dataValidation>
        <x14:dataValidation type="list" allowBlank="1" showInputMessage="1" showErrorMessage="1">
          <x14:formula1>
            <xm:f>'DB technologies'!$AC$37:$AC$41</xm:f>
          </x14:formula1>
          <xm:sqref>BG39:BG43</xm:sqref>
        </x14:dataValidation>
        <x14:dataValidation type="list" allowBlank="1" showInputMessage="1" showErrorMessage="1">
          <x14:formula1>
            <xm:f>'DB technologies'!$N$109:$N$120</xm:f>
          </x14:formula1>
          <xm:sqref>D215:D219 D221:D225 D227:D231 D233:D237 D239:D243</xm:sqref>
        </x14:dataValidation>
        <x14:dataValidation type="list" allowBlank="1" showInputMessage="1" showErrorMessage="1">
          <x14:formula1>
            <xm:f>'DB technologies'!$N$122:$N$133</xm:f>
          </x14:formula1>
          <xm:sqref>D245:D249 D251:D255 D257:D261 D263:D267 D269:D273</xm:sqref>
        </x14:dataValidation>
        <x14:dataValidation type="list" allowBlank="1" showInputMessage="1" showErrorMessage="1">
          <x14:formula1>
            <xm:f>'DB technologies'!$AC$43:$AC$47</xm:f>
          </x14:formula1>
          <xm:sqref>BG46:BG50</xm:sqref>
        </x14:dataValidation>
        <x14:dataValidation type="list" allowBlank="1" showInputMessage="1" showErrorMessage="1">
          <x14:formula1>
            <xm:f>'DB technologies'!$AC$48:$AC$52</xm:f>
          </x14:formula1>
          <xm:sqref>BG52:BG56</xm:sqref>
        </x14:dataValidation>
        <x14:dataValidation type="list" allowBlank="1" showInputMessage="1" showErrorMessage="1">
          <x14:formula1>
            <xm:f>'DB technologies'!$AC$53:$AC$57</xm:f>
          </x14:formula1>
          <xm:sqref>BG58:BG62</xm:sqref>
        </x14:dataValidation>
        <x14:dataValidation type="list" allowBlank="1" showInputMessage="1" showErrorMessage="1">
          <x14:formula1>
            <xm:f>'DB technologies'!$N$154:$N$166</xm:f>
          </x14:formula1>
          <xm:sqref>D307:D311 D313:D317 D319:D323 D325:D329 D331:D335</xm:sqref>
        </x14:dataValidation>
        <x14:dataValidation type="list" allowBlank="1" showInputMessage="1" showErrorMessage="1">
          <x14:formula1>
            <xm:f>'DB technologies'!$N$168:$N$180</xm:f>
          </x14:formula1>
          <xm:sqref>D337:D341 D343:D347 D349:D353 D355:D359 D361:D365</xm:sqref>
        </x14:dataValidation>
        <x14:dataValidation type="list" allowBlank="1" showInputMessage="1" showErrorMessage="1">
          <x14:formula1>
            <xm:f>'DB technologies'!$N$182:$N$194</xm:f>
          </x14:formula1>
          <xm:sqref>D367:D371 D373:D377 D379:D383 D385:D389 D391:D395</xm:sqref>
        </x14:dataValidation>
        <x14:dataValidation type="list" allowBlank="1" showInputMessage="1" showErrorMessage="1">
          <x14:formula1>
            <xm:f>'DB technologies'!$N$196:$N$208</xm:f>
          </x14:formula1>
          <xm:sqref>D397:D401 D403:D407 D409:D413 D415:D419 D421:D425</xm:sqref>
        </x14:dataValidation>
        <x14:dataValidation type="list" allowBlank="1" showInputMessage="1" showErrorMessage="1">
          <x14:formula1>
            <xm:f>'DB technologies'!$N$210:$N$222</xm:f>
          </x14:formula1>
          <xm:sqref>D427:D431 D433:D437 D439:D443 D445:D449 D451:D455</xm:sqref>
        </x14:dataValidation>
        <x14:dataValidation type="list" allowBlank="1" showInputMessage="1" showErrorMessage="1">
          <x14:formula1>
            <xm:f>'DB technologies'!$N$224:$N$236</xm:f>
          </x14:formula1>
          <xm:sqref>D457:D461 D463:D467 D469:D473 D475:D479 D481:D485</xm:sqref>
        </x14:dataValidation>
        <x14:dataValidation type="list" allowBlank="1" showInputMessage="1" showErrorMessage="1">
          <x14:formula1>
            <xm:f>'DB technologies'!$N$238:$N$250</xm:f>
          </x14:formula1>
          <xm:sqref>D487:D491 D493:D497 D499:D503 D505:D509 D511:D515</xm:sqref>
        </x14:dataValidation>
        <x14:dataValidation type="list" allowBlank="1" showInputMessage="1" showErrorMessage="1">
          <x14:formula1>
            <xm:f>'DB technologies'!$N$252:$N$264</xm:f>
          </x14:formula1>
          <xm:sqref>D517:D521 D523:D527 D529:D533 D535:D539 D541:D545</xm:sqref>
        </x14:dataValidation>
        <x14:dataValidation type="list" allowBlank="1" showInputMessage="1" showErrorMessage="1">
          <x14:formula1>
            <xm:f>'DB technologies'!$N$266:$N$278</xm:f>
          </x14:formula1>
          <xm:sqref>D547:D551 D553:D557 D559:D563 D565:D569 D571:D575</xm:sqref>
        </x14:dataValidation>
        <x14:dataValidation type="list" allowBlank="1" showInputMessage="1" showErrorMessage="1">
          <x14:formula1>
            <xm:f>'DB technologies'!$N$280:$N$292</xm:f>
          </x14:formula1>
          <xm:sqref>D577:D581 D583:D587 D589:D593 D595:D599 D601:D605</xm:sqref>
        </x14:dataValidation>
        <x14:dataValidation type="list" allowBlank="1" showInputMessage="1" showErrorMessage="1">
          <x14:formula1>
            <xm:f>'DB technologies'!$AC$59:$AC$63</xm:f>
          </x14:formula1>
          <xm:sqref>BG103:BG107</xm:sqref>
        </x14:dataValidation>
        <x14:dataValidation type="list" allowBlank="1" showInputMessage="1" showErrorMessage="1">
          <x14:formula1>
            <xm:f>'DB technologies'!$AC$64:$AC$68</xm:f>
          </x14:formula1>
          <xm:sqref>BG109:BG113</xm:sqref>
        </x14:dataValidation>
        <x14:dataValidation type="list" allowBlank="1" showInputMessage="1" showErrorMessage="1">
          <x14:formula1>
            <xm:f>'DB technologies'!$AC$69:$AC$73</xm:f>
          </x14:formula1>
          <xm:sqref>BG115:BG119</xm:sqref>
        </x14:dataValidation>
        <x14:dataValidation type="list" allowBlank="1" showInputMessage="1" showErrorMessage="1">
          <x14:formula1>
            <xm:f>'DB technologies'!$N$294:$N$306</xm:f>
          </x14:formula1>
          <xm:sqref>D607:D611 D613:D617 D619:D623 D625:D629 D631:D635</xm:sqref>
        </x14:dataValidation>
        <x14:dataValidation type="list" allowBlank="1" showInputMessage="1" showErrorMessage="1">
          <x14:formula1>
            <xm:f>'DB technologies'!$N$83:$N$94</xm:f>
          </x14:formula1>
          <xm:sqref>D160 D162 D164 D166 D168 D171 D173 D175 D177 D179 D182 D184 D186 D188 D190 D193 D195 D197 D199 D201 D204 D206 D208 D210 D212</xm:sqref>
        </x14:dataValidation>
        <x14:dataValidation type="list" allowBlank="1" showInputMessage="1" showErrorMessage="1">
          <x14:formula1>
            <xm:f>'DB technologies'!$N$96:$N$107</xm:f>
          </x14:formula1>
          <xm:sqref>D161 D163 D165 D167 D169 D172 D174 D176 D178 D180 D183 D185 D187 D189 D191 D194 D196 D198 D200 D202 D205 D207 D209 D211 D213</xm:sqref>
        </x14:dataValidation>
        <x14:dataValidation type="list" allowBlank="1" showInputMessage="1" showErrorMessage="1">
          <x14:formula1>
            <xm:f>'DB technologies'!$N$138:$N$152</xm:f>
          </x14:formula1>
          <xm:sqref>D277:D281 D283:D287 D289:D293 D295:D299 D301:D305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30"/>
  <sheetViews>
    <sheetView topLeftCell="A4" zoomScaleNormal="100" workbookViewId="0">
      <selection activeCell="AJ10" sqref="AJ10"/>
    </sheetView>
  </sheetViews>
  <sheetFormatPr defaultColWidth="9.140625" defaultRowHeight="11.25" x14ac:dyDescent="0.2"/>
  <cols>
    <col min="1" max="1" width="1.28515625" style="983" customWidth="1"/>
    <col min="2" max="2" width="9.5703125" style="983" customWidth="1"/>
    <col min="3" max="3" width="32.28515625" style="983" customWidth="1"/>
    <col min="4" max="4" width="7.85546875" style="983" customWidth="1"/>
    <col min="5" max="5" width="9.140625" style="983" customWidth="1"/>
    <col min="6" max="6" width="7.85546875" style="983" hidden="1" customWidth="1"/>
    <col min="7" max="8" width="8.7109375" style="983" customWidth="1"/>
    <col min="9" max="9" width="9" style="983" customWidth="1"/>
    <col min="10" max="11" width="7.5703125" style="983" customWidth="1"/>
    <col min="12" max="12" width="11.42578125" style="983" customWidth="1"/>
    <col min="13" max="14" width="7.85546875" style="983" customWidth="1"/>
    <col min="15" max="15" width="7.7109375" style="983" customWidth="1"/>
    <col min="16" max="16" width="7.85546875" style="983" customWidth="1"/>
    <col min="17" max="17" width="7.7109375" style="983" customWidth="1"/>
    <col min="18" max="18" width="7.5703125" style="983" hidden="1" customWidth="1"/>
    <col min="19" max="19" width="7.85546875" style="983" hidden="1" customWidth="1"/>
    <col min="20" max="20" width="7.85546875" style="983" customWidth="1"/>
    <col min="21" max="21" width="7.5703125" style="983" hidden="1" customWidth="1"/>
    <col min="22" max="22" width="7.85546875" style="983" hidden="1" customWidth="1"/>
    <col min="23" max="23" width="8" style="983" customWidth="1"/>
    <col min="24" max="24" width="7.85546875" style="983" hidden="1" customWidth="1"/>
    <col min="25" max="25" width="7.7109375" style="983" hidden="1" customWidth="1"/>
    <col min="26" max="26" width="7.85546875" style="983" customWidth="1"/>
    <col min="27" max="28" width="6.7109375" style="983" customWidth="1"/>
    <col min="29" max="29" width="6.28515625" style="984" customWidth="1"/>
    <col min="30" max="31" width="7.42578125" style="983" customWidth="1"/>
    <col min="32" max="32" width="7.7109375" style="983" hidden="1" customWidth="1"/>
    <col min="33" max="33" width="7.7109375" style="983" customWidth="1"/>
    <col min="34" max="34" width="7.5703125" style="983" customWidth="1"/>
    <col min="35" max="35" width="7.7109375" style="983" customWidth="1"/>
    <col min="36" max="36" width="7.85546875" style="983" customWidth="1"/>
    <col min="37" max="37" width="7.85546875" style="983" hidden="1" customWidth="1"/>
    <col min="38" max="40" width="7.85546875" style="983" customWidth="1"/>
    <col min="41" max="16384" width="9.140625" style="983"/>
  </cols>
  <sheetData>
    <row r="1" spans="2:40" ht="12" thickBot="1" x14ac:dyDescent="0.25"/>
    <row r="2" spans="2:40" ht="16.5" thickBot="1" x14ac:dyDescent="0.3">
      <c r="B2" s="985" t="s">
        <v>43</v>
      </c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6"/>
      <c r="AF2" s="986"/>
      <c r="AG2" s="986"/>
      <c r="AH2" s="986"/>
      <c r="AI2" s="986"/>
      <c r="AJ2" s="986"/>
      <c r="AK2" s="986"/>
      <c r="AL2" s="986"/>
      <c r="AM2" s="986"/>
      <c r="AN2" s="987"/>
    </row>
    <row r="5" spans="2:40" ht="11.25" customHeight="1" x14ac:dyDescent="0.2">
      <c r="B5" s="988" t="s">
        <v>63</v>
      </c>
      <c r="C5" s="989" t="s">
        <v>57</v>
      </c>
      <c r="D5" s="990" t="s">
        <v>222</v>
      </c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2"/>
      <c r="P5" s="990" t="s">
        <v>223</v>
      </c>
      <c r="Q5" s="991"/>
      <c r="R5" s="991"/>
      <c r="S5" s="991"/>
      <c r="T5" s="991"/>
      <c r="U5" s="991"/>
      <c r="V5" s="991"/>
      <c r="W5" s="991"/>
      <c r="X5" s="991"/>
      <c r="Y5" s="991"/>
      <c r="Z5" s="992"/>
      <c r="AA5" s="990" t="s">
        <v>224</v>
      </c>
      <c r="AB5" s="991"/>
      <c r="AC5" s="992"/>
      <c r="AD5" s="990" t="s">
        <v>112</v>
      </c>
      <c r="AE5" s="991"/>
      <c r="AF5" s="991"/>
      <c r="AG5" s="991"/>
      <c r="AH5" s="991"/>
      <c r="AI5" s="991"/>
      <c r="AJ5" s="991"/>
      <c r="AK5" s="991"/>
      <c r="AL5" s="991"/>
      <c r="AM5" s="991"/>
      <c r="AN5" s="992"/>
    </row>
    <row r="6" spans="2:40" ht="11.25" customHeight="1" x14ac:dyDescent="0.2">
      <c r="B6" s="993"/>
      <c r="C6" s="994"/>
      <c r="D6" s="995" t="s">
        <v>47</v>
      </c>
      <c r="E6" s="995"/>
      <c r="F6" s="995"/>
      <c r="G6" s="996" t="s">
        <v>230</v>
      </c>
      <c r="H6" s="997"/>
      <c r="I6" s="998"/>
      <c r="J6" s="999" t="s">
        <v>48</v>
      </c>
      <c r="K6" s="1000"/>
      <c r="L6" s="1000"/>
      <c r="M6" s="1000"/>
      <c r="N6" s="1000"/>
      <c r="O6" s="1001"/>
      <c r="P6" s="999" t="s">
        <v>52</v>
      </c>
      <c r="Q6" s="1000"/>
      <c r="R6" s="1000"/>
      <c r="S6" s="1000"/>
      <c r="T6" s="1000"/>
      <c r="U6" s="1000"/>
      <c r="V6" s="1000"/>
      <c r="W6" s="1000"/>
      <c r="X6" s="1000"/>
      <c r="Y6" s="1000"/>
      <c r="Z6" s="1001"/>
      <c r="AA6" s="999" t="s">
        <v>56</v>
      </c>
      <c r="AB6" s="1001"/>
      <c r="AC6" s="989" t="s">
        <v>72</v>
      </c>
      <c r="AD6" s="1002" t="s">
        <v>52</v>
      </c>
      <c r="AE6" s="1003"/>
      <c r="AF6" s="1003"/>
      <c r="AG6" s="1003"/>
      <c r="AH6" s="1004"/>
      <c r="AI6" s="1002" t="s">
        <v>117</v>
      </c>
      <c r="AJ6" s="1003"/>
      <c r="AK6" s="1003"/>
      <c r="AL6" s="1003"/>
      <c r="AM6" s="1004"/>
      <c r="AN6" s="989" t="s">
        <v>227</v>
      </c>
    </row>
    <row r="7" spans="2:40" ht="11.25" customHeight="1" x14ac:dyDescent="0.2">
      <c r="B7" s="993"/>
      <c r="C7" s="994"/>
      <c r="D7" s="1005" t="s">
        <v>44</v>
      </c>
      <c r="E7" s="995" t="s">
        <v>46</v>
      </c>
      <c r="F7" s="995"/>
      <c r="G7" s="1006"/>
      <c r="H7" s="1007"/>
      <c r="I7" s="1008"/>
      <c r="J7" s="999" t="s">
        <v>49</v>
      </c>
      <c r="K7" s="1001"/>
      <c r="L7" s="1005" t="s">
        <v>50</v>
      </c>
      <c r="M7" s="1005" t="s">
        <v>291</v>
      </c>
      <c r="N7" s="1005" t="s">
        <v>11</v>
      </c>
      <c r="O7" s="1005" t="s">
        <v>12</v>
      </c>
      <c r="P7" s="1005" t="s">
        <v>53</v>
      </c>
      <c r="Q7" s="1005" t="s">
        <v>68</v>
      </c>
      <c r="R7" s="999" t="s">
        <v>9</v>
      </c>
      <c r="S7" s="1000"/>
      <c r="T7" s="1001"/>
      <c r="U7" s="999" t="s">
        <v>11</v>
      </c>
      <c r="V7" s="1000"/>
      <c r="W7" s="1001"/>
      <c r="X7" s="999" t="s">
        <v>12</v>
      </c>
      <c r="Y7" s="1000"/>
      <c r="Z7" s="1001"/>
      <c r="AA7" s="1009" t="s">
        <v>73</v>
      </c>
      <c r="AB7" s="989" t="s">
        <v>74</v>
      </c>
      <c r="AC7" s="1010"/>
      <c r="AD7" s="1005" t="s">
        <v>53</v>
      </c>
      <c r="AE7" s="1011" t="s">
        <v>114</v>
      </c>
      <c r="AF7" s="1011" t="s">
        <v>115</v>
      </c>
      <c r="AG7" s="1011" t="s">
        <v>11</v>
      </c>
      <c r="AH7" s="1011" t="s">
        <v>12</v>
      </c>
      <c r="AI7" s="1005" t="s">
        <v>53</v>
      </c>
      <c r="AJ7" s="1011" t="s">
        <v>114</v>
      </c>
      <c r="AK7" s="1011" t="s">
        <v>115</v>
      </c>
      <c r="AL7" s="1011" t="s">
        <v>11</v>
      </c>
      <c r="AM7" s="1011" t="s">
        <v>12</v>
      </c>
      <c r="AN7" s="994"/>
    </row>
    <row r="8" spans="2:40" ht="11.25" customHeight="1" x14ac:dyDescent="0.2">
      <c r="B8" s="993"/>
      <c r="C8" s="994"/>
      <c r="D8" s="995" t="s">
        <v>45</v>
      </c>
      <c r="E8" s="995" t="s">
        <v>30</v>
      </c>
      <c r="F8" s="995" t="s">
        <v>45</v>
      </c>
      <c r="G8" s="1012" t="s">
        <v>7</v>
      </c>
      <c r="H8" s="1013"/>
      <c r="I8" s="1014" t="s">
        <v>45</v>
      </c>
      <c r="J8" s="1012" t="s">
        <v>88</v>
      </c>
      <c r="K8" s="1013"/>
      <c r="L8" s="995" t="s">
        <v>30</v>
      </c>
      <c r="M8" s="995" t="s">
        <v>51</v>
      </c>
      <c r="N8" s="995"/>
      <c r="O8" s="995"/>
      <c r="P8" s="995" t="s">
        <v>54</v>
      </c>
      <c r="Q8" s="995" t="s">
        <v>30</v>
      </c>
      <c r="R8" s="1005" t="s">
        <v>55</v>
      </c>
      <c r="S8" s="1005" t="s">
        <v>41</v>
      </c>
      <c r="T8" s="999" t="s">
        <v>58</v>
      </c>
      <c r="U8" s="1000"/>
      <c r="V8" s="1000"/>
      <c r="W8" s="1000"/>
      <c r="X8" s="1000"/>
      <c r="Y8" s="1000"/>
      <c r="Z8" s="1001"/>
      <c r="AA8" s="1009"/>
      <c r="AB8" s="994"/>
      <c r="AC8" s="989" t="s">
        <v>73</v>
      </c>
      <c r="AD8" s="995" t="s">
        <v>54</v>
      </c>
      <c r="AE8" s="999" t="s">
        <v>58</v>
      </c>
      <c r="AF8" s="1000"/>
      <c r="AG8" s="1000"/>
      <c r="AH8" s="1001"/>
      <c r="AI8" s="995" t="s">
        <v>54</v>
      </c>
      <c r="AJ8" s="999" t="s">
        <v>58</v>
      </c>
      <c r="AK8" s="1000"/>
      <c r="AL8" s="1000"/>
      <c r="AM8" s="1001"/>
      <c r="AN8" s="1015" t="s">
        <v>228</v>
      </c>
    </row>
    <row r="9" spans="2:40" ht="11.25" customHeight="1" x14ac:dyDescent="0.2">
      <c r="B9" s="1016"/>
      <c r="C9" s="1010"/>
      <c r="D9" s="995"/>
      <c r="E9" s="995"/>
      <c r="F9" s="995"/>
      <c r="G9" s="1017"/>
      <c r="H9" s="1018"/>
      <c r="I9" s="1019"/>
      <c r="J9" s="1017"/>
      <c r="K9" s="1018"/>
      <c r="L9" s="995"/>
      <c r="M9" s="995"/>
      <c r="N9" s="995"/>
      <c r="O9" s="995"/>
      <c r="P9" s="995"/>
      <c r="Q9" s="995"/>
      <c r="R9" s="1020" t="s">
        <v>45</v>
      </c>
      <c r="S9" s="1020"/>
      <c r="T9" s="1021"/>
      <c r="U9" s="1021"/>
      <c r="V9" s="1021"/>
      <c r="W9" s="1021"/>
      <c r="X9" s="1021"/>
      <c r="Y9" s="1021"/>
      <c r="Z9" s="1021"/>
      <c r="AA9" s="1009"/>
      <c r="AB9" s="1010"/>
      <c r="AC9" s="1010"/>
      <c r="AD9" s="1022"/>
      <c r="AE9" s="1023" t="s">
        <v>45</v>
      </c>
      <c r="AF9" s="1024"/>
      <c r="AG9" s="1024"/>
      <c r="AH9" s="1025"/>
      <c r="AI9" s="1022"/>
      <c r="AJ9" s="1023" t="s">
        <v>45</v>
      </c>
      <c r="AK9" s="1024"/>
      <c r="AL9" s="1024"/>
      <c r="AM9" s="1025"/>
      <c r="AN9" s="1026" t="s">
        <v>30</v>
      </c>
    </row>
    <row r="10" spans="2:40" ht="11.25" customHeight="1" x14ac:dyDescent="0.2">
      <c r="B10" s="1022" t="s">
        <v>59</v>
      </c>
      <c r="C10" s="933" t="s">
        <v>153</v>
      </c>
      <c r="D10" s="1027"/>
      <c r="E10" s="1027"/>
      <c r="F10" s="1028"/>
      <c r="G10" s="1027"/>
      <c r="H10" s="1027"/>
      <c r="I10" s="1027"/>
      <c r="J10" s="1027"/>
      <c r="K10" s="1027"/>
      <c r="L10" s="1027"/>
      <c r="M10" s="1027"/>
      <c r="N10" s="1027"/>
      <c r="O10" s="1027"/>
      <c r="P10" s="1029"/>
      <c r="Q10" s="1028"/>
      <c r="R10" s="1030"/>
      <c r="S10" s="1030"/>
      <c r="T10" s="1030"/>
      <c r="U10" s="1030"/>
      <c r="V10" s="1030"/>
      <c r="W10" s="1030"/>
      <c r="X10" s="1030"/>
      <c r="Y10" s="1030"/>
      <c r="Z10" s="1030"/>
      <c r="AA10" s="1031"/>
      <c r="AB10" s="1031"/>
      <c r="AC10" s="1032"/>
      <c r="AD10" s="973">
        <v>22.9</v>
      </c>
      <c r="AE10" s="974">
        <v>134</v>
      </c>
      <c r="AF10" s="975"/>
      <c r="AG10" s="975">
        <v>30.1</v>
      </c>
      <c r="AH10" s="974">
        <v>101</v>
      </c>
      <c r="AI10" s="976"/>
      <c r="AJ10" s="974"/>
      <c r="AK10" s="975"/>
      <c r="AL10" s="975"/>
      <c r="AM10" s="975"/>
      <c r="AN10" s="977">
        <v>15.3</v>
      </c>
    </row>
    <row r="11" spans="2:40" ht="11.25" customHeight="1" x14ac:dyDescent="0.2">
      <c r="B11" s="1014"/>
      <c r="C11" s="934" t="s">
        <v>116</v>
      </c>
      <c r="D11" s="1027"/>
      <c r="E11" s="1027"/>
      <c r="F11" s="1027"/>
      <c r="G11" s="1027"/>
      <c r="H11" s="1027"/>
      <c r="I11" s="1027"/>
      <c r="J11" s="1027"/>
      <c r="K11" s="1027"/>
      <c r="L11" s="1027"/>
      <c r="M11" s="1027"/>
      <c r="N11" s="1027"/>
      <c r="O11" s="1027"/>
      <c r="P11" s="1033"/>
      <c r="Q11" s="1027"/>
      <c r="R11" s="1034"/>
      <c r="S11" s="1034"/>
      <c r="T11" s="1035"/>
      <c r="U11" s="1035"/>
      <c r="V11" s="1035"/>
      <c r="W11" s="1035"/>
      <c r="X11" s="1035"/>
      <c r="Y11" s="1035"/>
      <c r="Z11" s="1035"/>
      <c r="AA11" s="1031"/>
      <c r="AB11" s="1031"/>
      <c r="AC11" s="1032"/>
      <c r="AD11" s="978">
        <v>22.9</v>
      </c>
      <c r="AE11" s="979">
        <v>134</v>
      </c>
      <c r="AF11" s="980"/>
      <c r="AG11" s="980">
        <v>30.1</v>
      </c>
      <c r="AH11" s="979">
        <v>101</v>
      </c>
      <c r="AI11" s="981">
        <v>3.8</v>
      </c>
      <c r="AJ11" s="979">
        <v>22</v>
      </c>
      <c r="AK11" s="980"/>
      <c r="AL11" s="980">
        <v>4.9000000000000004</v>
      </c>
      <c r="AM11" s="980">
        <v>16.600000000000001</v>
      </c>
      <c r="AN11" s="982">
        <v>15.3</v>
      </c>
    </row>
    <row r="12" spans="2:40" ht="11.25" customHeight="1" x14ac:dyDescent="0.2">
      <c r="B12" s="1014"/>
      <c r="C12" s="935"/>
      <c r="D12" s="936"/>
      <c r="E12" s="937"/>
      <c r="F12" s="938"/>
      <c r="G12" s="939"/>
      <c r="H12" s="939"/>
      <c r="I12" s="939"/>
      <c r="J12" s="940"/>
      <c r="K12" s="940"/>
      <c r="L12" s="937"/>
      <c r="M12" s="937"/>
      <c r="N12" s="167"/>
      <c r="O12" s="941"/>
      <c r="P12" s="942"/>
      <c r="Q12" s="943"/>
      <c r="R12" s="944"/>
      <c r="S12" s="944"/>
      <c r="T12" s="945"/>
      <c r="U12" s="946"/>
      <c r="V12" s="947"/>
      <c r="W12" s="945"/>
      <c r="X12" s="946"/>
      <c r="Y12" s="946"/>
      <c r="Z12" s="948"/>
      <c r="AA12" s="944"/>
      <c r="AB12" s="944"/>
      <c r="AC12" s="944"/>
      <c r="AD12" s="949"/>
      <c r="AE12" s="950"/>
      <c r="AF12" s="950"/>
      <c r="AG12" s="950"/>
      <c r="AH12" s="950"/>
      <c r="AI12" s="950"/>
      <c r="AJ12" s="950"/>
      <c r="AK12" s="950"/>
      <c r="AL12" s="950"/>
      <c r="AM12" s="950"/>
      <c r="AN12" s="951"/>
    </row>
    <row r="13" spans="2:40" ht="11.25" customHeight="1" x14ac:dyDescent="0.2">
      <c r="B13" s="1014"/>
      <c r="C13" s="952"/>
      <c r="D13" s="953"/>
      <c r="E13" s="128"/>
      <c r="F13" s="129"/>
      <c r="G13" s="954"/>
      <c r="H13" s="954"/>
      <c r="I13" s="954"/>
      <c r="J13" s="955"/>
      <c r="K13" s="955"/>
      <c r="L13" s="127"/>
      <c r="M13" s="127"/>
      <c r="N13" s="128"/>
      <c r="O13" s="956"/>
      <c r="P13" s="957"/>
      <c r="Q13" s="945"/>
      <c r="R13" s="946"/>
      <c r="S13" s="946"/>
      <c r="T13" s="945"/>
      <c r="U13" s="946"/>
      <c r="V13" s="947"/>
      <c r="W13" s="945"/>
      <c r="X13" s="946"/>
      <c r="Y13" s="946"/>
      <c r="Z13" s="948"/>
      <c r="AA13" s="946"/>
      <c r="AB13" s="958"/>
      <c r="AC13" s="946"/>
      <c r="AD13" s="959"/>
      <c r="AE13" s="960"/>
      <c r="AF13" s="960"/>
      <c r="AG13" s="960"/>
      <c r="AH13" s="960"/>
      <c r="AI13" s="960"/>
      <c r="AJ13" s="960"/>
      <c r="AK13" s="960"/>
      <c r="AL13" s="960"/>
      <c r="AM13" s="960"/>
      <c r="AN13" s="961"/>
    </row>
    <row r="14" spans="2:40" ht="11.25" customHeight="1" x14ac:dyDescent="0.2">
      <c r="B14" s="1014"/>
      <c r="C14" s="952"/>
      <c r="D14" s="953"/>
      <c r="E14" s="128"/>
      <c r="F14" s="129"/>
      <c r="G14" s="954"/>
      <c r="H14" s="954"/>
      <c r="I14" s="954"/>
      <c r="J14" s="955"/>
      <c r="K14" s="955"/>
      <c r="L14" s="127"/>
      <c r="M14" s="127"/>
      <c r="N14" s="128"/>
      <c r="O14" s="956"/>
      <c r="P14" s="957"/>
      <c r="Q14" s="945"/>
      <c r="R14" s="946"/>
      <c r="S14" s="946"/>
      <c r="T14" s="945"/>
      <c r="U14" s="946"/>
      <c r="V14" s="947"/>
      <c r="W14" s="945"/>
      <c r="X14" s="946"/>
      <c r="Y14" s="946"/>
      <c r="Z14" s="948"/>
      <c r="AA14" s="946"/>
      <c r="AB14" s="946"/>
      <c r="AC14" s="946"/>
      <c r="AD14" s="959"/>
      <c r="AE14" s="960"/>
      <c r="AF14" s="960"/>
      <c r="AG14" s="960"/>
      <c r="AH14" s="960"/>
      <c r="AI14" s="960"/>
      <c r="AJ14" s="960"/>
      <c r="AK14" s="960"/>
      <c r="AL14" s="960"/>
      <c r="AM14" s="960"/>
      <c r="AN14" s="961"/>
    </row>
    <row r="15" spans="2:40" x14ac:dyDescent="0.2">
      <c r="B15" s="1014"/>
      <c r="C15" s="952"/>
      <c r="D15" s="953"/>
      <c r="E15" s="128"/>
      <c r="F15" s="129"/>
      <c r="G15" s="954"/>
      <c r="H15" s="954"/>
      <c r="I15" s="954"/>
      <c r="J15" s="954"/>
      <c r="K15" s="954"/>
      <c r="L15" s="127"/>
      <c r="M15" s="127"/>
      <c r="N15" s="128"/>
      <c r="O15" s="956"/>
      <c r="P15" s="957"/>
      <c r="Q15" s="945"/>
      <c r="R15" s="946"/>
      <c r="S15" s="946"/>
      <c r="T15" s="945"/>
      <c r="U15" s="946"/>
      <c r="V15" s="947"/>
      <c r="W15" s="945"/>
      <c r="X15" s="946"/>
      <c r="Y15" s="946"/>
      <c r="Z15" s="948"/>
      <c r="AA15" s="946"/>
      <c r="AB15" s="946"/>
      <c r="AC15" s="946"/>
      <c r="AD15" s="959"/>
      <c r="AE15" s="960"/>
      <c r="AF15" s="960"/>
      <c r="AG15" s="960"/>
      <c r="AH15" s="960"/>
      <c r="AI15" s="960"/>
      <c r="AJ15" s="960"/>
      <c r="AK15" s="960"/>
      <c r="AL15" s="960"/>
      <c r="AM15" s="960"/>
      <c r="AN15" s="961"/>
    </row>
    <row r="16" spans="2:40" x14ac:dyDescent="0.2">
      <c r="B16" s="1014"/>
      <c r="C16" s="952"/>
      <c r="D16" s="953"/>
      <c r="E16" s="128"/>
      <c r="F16" s="129"/>
      <c r="G16" s="954"/>
      <c r="H16" s="954"/>
      <c r="I16" s="954"/>
      <c r="J16" s="954"/>
      <c r="K16" s="954"/>
      <c r="L16" s="127"/>
      <c r="M16" s="127"/>
      <c r="N16" s="128"/>
      <c r="O16" s="956"/>
      <c r="P16" s="957"/>
      <c r="Q16" s="945"/>
      <c r="R16" s="946"/>
      <c r="S16" s="946"/>
      <c r="T16" s="945"/>
      <c r="U16" s="946"/>
      <c r="V16" s="947"/>
      <c r="W16" s="945"/>
      <c r="X16" s="946"/>
      <c r="Y16" s="946"/>
      <c r="Z16" s="948"/>
      <c r="AA16" s="946"/>
      <c r="AB16" s="946"/>
      <c r="AC16" s="946"/>
      <c r="AD16" s="959"/>
      <c r="AE16" s="960"/>
      <c r="AF16" s="960"/>
      <c r="AG16" s="960"/>
      <c r="AH16" s="960"/>
      <c r="AI16" s="960"/>
      <c r="AJ16" s="960"/>
      <c r="AK16" s="960"/>
      <c r="AL16" s="960"/>
      <c r="AM16" s="960"/>
      <c r="AN16" s="961"/>
    </row>
    <row r="17" spans="2:40" x14ac:dyDescent="0.2">
      <c r="B17" s="1014"/>
      <c r="C17" s="952"/>
      <c r="D17" s="953"/>
      <c r="E17" s="128"/>
      <c r="F17" s="129"/>
      <c r="G17" s="954"/>
      <c r="H17" s="954"/>
      <c r="I17" s="954"/>
      <c r="J17" s="954"/>
      <c r="K17" s="954"/>
      <c r="L17" s="127"/>
      <c r="M17" s="127"/>
      <c r="N17" s="128"/>
      <c r="O17" s="956"/>
      <c r="P17" s="957"/>
      <c r="Q17" s="945"/>
      <c r="R17" s="946"/>
      <c r="S17" s="946"/>
      <c r="T17" s="945"/>
      <c r="U17" s="946"/>
      <c r="V17" s="947"/>
      <c r="W17" s="945"/>
      <c r="X17" s="946"/>
      <c r="Y17" s="946"/>
      <c r="Z17" s="948"/>
      <c r="AA17" s="946"/>
      <c r="AB17" s="946"/>
      <c r="AC17" s="946"/>
      <c r="AD17" s="959"/>
      <c r="AE17" s="960"/>
      <c r="AF17" s="960"/>
      <c r="AG17" s="960"/>
      <c r="AH17" s="960"/>
      <c r="AI17" s="960"/>
      <c r="AJ17" s="960"/>
      <c r="AK17" s="960"/>
      <c r="AL17" s="960"/>
      <c r="AM17" s="960"/>
      <c r="AN17" s="961"/>
    </row>
    <row r="18" spans="2:40" x14ac:dyDescent="0.2">
      <c r="B18" s="1014"/>
      <c r="C18" s="952"/>
      <c r="D18" s="953"/>
      <c r="E18" s="128"/>
      <c r="F18" s="129"/>
      <c r="G18" s="954"/>
      <c r="H18" s="954"/>
      <c r="I18" s="954"/>
      <c r="J18" s="954"/>
      <c r="K18" s="954"/>
      <c r="L18" s="127"/>
      <c r="M18" s="127"/>
      <c r="N18" s="128"/>
      <c r="O18" s="956"/>
      <c r="P18" s="957"/>
      <c r="Q18" s="945"/>
      <c r="R18" s="946"/>
      <c r="S18" s="946"/>
      <c r="T18" s="945"/>
      <c r="U18" s="946"/>
      <c r="V18" s="947"/>
      <c r="W18" s="945"/>
      <c r="X18" s="946"/>
      <c r="Y18" s="946"/>
      <c r="Z18" s="948"/>
      <c r="AA18" s="946"/>
      <c r="AB18" s="946"/>
      <c r="AC18" s="946"/>
      <c r="AD18" s="959"/>
      <c r="AE18" s="960"/>
      <c r="AF18" s="960"/>
      <c r="AG18" s="960"/>
      <c r="AH18" s="960"/>
      <c r="AI18" s="960"/>
      <c r="AJ18" s="960"/>
      <c r="AK18" s="960"/>
      <c r="AL18" s="960"/>
      <c r="AM18" s="960"/>
      <c r="AN18" s="961"/>
    </row>
    <row r="19" spans="2:40" x14ac:dyDescent="0.2">
      <c r="B19" s="1014"/>
      <c r="C19" s="952"/>
      <c r="D19" s="953"/>
      <c r="E19" s="128"/>
      <c r="F19" s="129"/>
      <c r="G19" s="954"/>
      <c r="H19" s="954"/>
      <c r="I19" s="954"/>
      <c r="J19" s="954"/>
      <c r="K19" s="954"/>
      <c r="L19" s="127"/>
      <c r="M19" s="127"/>
      <c r="N19" s="128"/>
      <c r="O19" s="956"/>
      <c r="P19" s="957"/>
      <c r="Q19" s="945"/>
      <c r="R19" s="946"/>
      <c r="S19" s="946"/>
      <c r="T19" s="945"/>
      <c r="U19" s="946"/>
      <c r="V19" s="947"/>
      <c r="W19" s="945"/>
      <c r="X19" s="946"/>
      <c r="Y19" s="946"/>
      <c r="Z19" s="948"/>
      <c r="AA19" s="946"/>
      <c r="AB19" s="946"/>
      <c r="AC19" s="946"/>
      <c r="AD19" s="959"/>
      <c r="AE19" s="960"/>
      <c r="AF19" s="960"/>
      <c r="AG19" s="960"/>
      <c r="AH19" s="960"/>
      <c r="AI19" s="960"/>
      <c r="AJ19" s="960"/>
      <c r="AK19" s="960"/>
      <c r="AL19" s="960"/>
      <c r="AM19" s="960"/>
      <c r="AN19" s="961"/>
    </row>
    <row r="20" spans="2:40" x14ac:dyDescent="0.2">
      <c r="B20" s="1014"/>
      <c r="C20" s="952"/>
      <c r="D20" s="953"/>
      <c r="E20" s="128"/>
      <c r="F20" s="129"/>
      <c r="G20" s="954"/>
      <c r="H20" s="954"/>
      <c r="I20" s="954"/>
      <c r="J20" s="954"/>
      <c r="K20" s="954"/>
      <c r="L20" s="127"/>
      <c r="M20" s="127"/>
      <c r="N20" s="128"/>
      <c r="O20" s="956"/>
      <c r="P20" s="957"/>
      <c r="Q20" s="945"/>
      <c r="R20" s="946"/>
      <c r="S20" s="946"/>
      <c r="T20" s="945"/>
      <c r="U20" s="946"/>
      <c r="V20" s="947"/>
      <c r="W20" s="945"/>
      <c r="X20" s="946"/>
      <c r="Y20" s="946"/>
      <c r="Z20" s="948"/>
      <c r="AA20" s="946"/>
      <c r="AB20" s="946"/>
      <c r="AC20" s="946"/>
      <c r="AD20" s="959"/>
      <c r="AE20" s="960"/>
      <c r="AF20" s="960"/>
      <c r="AG20" s="960"/>
      <c r="AH20" s="960"/>
      <c r="AI20" s="960"/>
      <c r="AJ20" s="960"/>
      <c r="AK20" s="960"/>
      <c r="AL20" s="960"/>
      <c r="AM20" s="960"/>
      <c r="AN20" s="961"/>
    </row>
    <row r="21" spans="2:40" x14ac:dyDescent="0.2">
      <c r="B21" s="1019"/>
      <c r="C21" s="952"/>
      <c r="D21" s="962"/>
      <c r="E21" s="963"/>
      <c r="F21" s="964"/>
      <c r="G21" s="965"/>
      <c r="H21" s="965"/>
      <c r="I21" s="965"/>
      <c r="J21" s="965"/>
      <c r="K21" s="965"/>
      <c r="L21" s="966"/>
      <c r="M21" s="966"/>
      <c r="N21" s="963"/>
      <c r="O21" s="967"/>
      <c r="P21" s="968"/>
      <c r="Q21" s="969"/>
      <c r="R21" s="970"/>
      <c r="S21" s="970"/>
      <c r="T21" s="969"/>
      <c r="U21" s="970"/>
      <c r="V21" s="971"/>
      <c r="W21" s="969"/>
      <c r="X21" s="970"/>
      <c r="Y21" s="970"/>
      <c r="Z21" s="972"/>
      <c r="AA21" s="970"/>
      <c r="AB21" s="970"/>
      <c r="AC21" s="970"/>
      <c r="AD21" s="959"/>
      <c r="AE21" s="960"/>
      <c r="AF21" s="960"/>
      <c r="AG21" s="960"/>
      <c r="AH21" s="960"/>
      <c r="AI21" s="960"/>
      <c r="AJ21" s="960"/>
      <c r="AK21" s="960"/>
      <c r="AL21" s="960"/>
      <c r="AM21" s="960"/>
      <c r="AN21" s="961"/>
    </row>
    <row r="22" spans="2:40" ht="11.25" customHeight="1" x14ac:dyDescent="0.2">
      <c r="B22" s="1045" t="s">
        <v>60</v>
      </c>
      <c r="C22" s="1104"/>
      <c r="D22" s="1105"/>
      <c r="E22" s="955"/>
      <c r="F22" s="955"/>
      <c r="G22" s="938"/>
      <c r="H22" s="938"/>
      <c r="I22" s="938"/>
      <c r="J22" s="939"/>
      <c r="K22" s="939"/>
      <c r="L22" s="937"/>
      <c r="M22" s="937"/>
      <c r="N22" s="167"/>
      <c r="O22" s="941"/>
      <c r="P22" s="942"/>
      <c r="Q22" s="943"/>
      <c r="R22" s="944"/>
      <c r="S22" s="944"/>
      <c r="T22" s="943"/>
      <c r="U22" s="944"/>
      <c r="V22" s="1106"/>
      <c r="W22" s="943"/>
      <c r="X22" s="944"/>
      <c r="Y22" s="944"/>
      <c r="Z22" s="1107"/>
      <c r="AA22" s="944"/>
      <c r="AB22" s="946"/>
      <c r="AC22" s="944"/>
      <c r="AD22" s="1029"/>
      <c r="AE22" s="1028"/>
      <c r="AF22" s="1028"/>
      <c r="AG22" s="1028"/>
      <c r="AH22" s="1028"/>
      <c r="AI22" s="1039"/>
      <c r="AJ22" s="1039"/>
      <c r="AK22" s="1039"/>
      <c r="AL22" s="1039"/>
      <c r="AM22" s="1039"/>
      <c r="AN22" s="1040"/>
    </row>
    <row r="23" spans="2:40" x14ac:dyDescent="0.2">
      <c r="B23" s="1012"/>
      <c r="C23" s="1108"/>
      <c r="D23" s="1105"/>
      <c r="E23" s="955"/>
      <c r="F23" s="955"/>
      <c r="G23" s="129"/>
      <c r="H23" s="129"/>
      <c r="I23" s="129"/>
      <c r="J23" s="954"/>
      <c r="K23" s="954"/>
      <c r="L23" s="127"/>
      <c r="M23" s="127"/>
      <c r="N23" s="128"/>
      <c r="O23" s="956"/>
      <c r="P23" s="957"/>
      <c r="Q23" s="945"/>
      <c r="R23" s="946"/>
      <c r="S23" s="946"/>
      <c r="T23" s="945"/>
      <c r="U23" s="946"/>
      <c r="V23" s="947"/>
      <c r="W23" s="945"/>
      <c r="X23" s="946"/>
      <c r="Y23" s="946"/>
      <c r="Z23" s="1109"/>
      <c r="AA23" s="946"/>
      <c r="AB23" s="946"/>
      <c r="AC23" s="946"/>
      <c r="AD23" s="1033"/>
      <c r="AE23" s="1027"/>
      <c r="AF23" s="1027"/>
      <c r="AG23" s="1027"/>
      <c r="AH23" s="1027"/>
      <c r="AI23" s="1043"/>
      <c r="AJ23" s="1043"/>
      <c r="AK23" s="1043"/>
      <c r="AL23" s="1043"/>
      <c r="AM23" s="1043"/>
      <c r="AN23" s="1044"/>
    </row>
    <row r="24" spans="2:40" x14ac:dyDescent="0.2">
      <c r="B24" s="1012"/>
      <c r="C24" s="1108"/>
      <c r="D24" s="1105"/>
      <c r="E24" s="955"/>
      <c r="F24" s="955"/>
      <c r="G24" s="129"/>
      <c r="H24" s="129"/>
      <c r="I24" s="129"/>
      <c r="J24" s="954"/>
      <c r="K24" s="954"/>
      <c r="L24" s="127"/>
      <c r="M24" s="127"/>
      <c r="N24" s="128"/>
      <c r="O24" s="956"/>
      <c r="P24" s="957"/>
      <c r="Q24" s="945"/>
      <c r="R24" s="946"/>
      <c r="S24" s="946"/>
      <c r="T24" s="945"/>
      <c r="U24" s="946"/>
      <c r="V24" s="947"/>
      <c r="W24" s="945"/>
      <c r="X24" s="946"/>
      <c r="Y24" s="946"/>
      <c r="Z24" s="1109"/>
      <c r="AA24" s="946"/>
      <c r="AB24" s="946"/>
      <c r="AC24" s="946"/>
      <c r="AD24" s="1033"/>
      <c r="AE24" s="1027"/>
      <c r="AF24" s="1027"/>
      <c r="AG24" s="1027"/>
      <c r="AH24" s="1027"/>
      <c r="AI24" s="1043"/>
      <c r="AJ24" s="1043"/>
      <c r="AK24" s="1043"/>
      <c r="AL24" s="1043"/>
      <c r="AM24" s="1043"/>
      <c r="AN24" s="1044"/>
    </row>
    <row r="25" spans="2:40" x14ac:dyDescent="0.2">
      <c r="B25" s="1012"/>
      <c r="C25" s="1108"/>
      <c r="D25" s="1105"/>
      <c r="E25" s="955"/>
      <c r="F25" s="955"/>
      <c r="G25" s="129"/>
      <c r="H25" s="129"/>
      <c r="I25" s="129"/>
      <c r="J25" s="954"/>
      <c r="K25" s="954"/>
      <c r="L25" s="127"/>
      <c r="M25" s="127"/>
      <c r="N25" s="128"/>
      <c r="O25" s="956"/>
      <c r="P25" s="957"/>
      <c r="Q25" s="945"/>
      <c r="R25" s="946"/>
      <c r="S25" s="946"/>
      <c r="T25" s="945"/>
      <c r="U25" s="946"/>
      <c r="V25" s="947"/>
      <c r="W25" s="945"/>
      <c r="X25" s="946"/>
      <c r="Y25" s="946"/>
      <c r="Z25" s="1109"/>
      <c r="AA25" s="946"/>
      <c r="AB25" s="946"/>
      <c r="AC25" s="946"/>
      <c r="AD25" s="1033"/>
      <c r="AE25" s="1027"/>
      <c r="AF25" s="1027"/>
      <c r="AG25" s="1027"/>
      <c r="AH25" s="1027"/>
      <c r="AI25" s="1043"/>
      <c r="AJ25" s="1043"/>
      <c r="AK25" s="1043"/>
      <c r="AL25" s="1043"/>
      <c r="AM25" s="1043"/>
      <c r="AN25" s="1044"/>
    </row>
    <row r="26" spans="2:40" x14ac:dyDescent="0.2">
      <c r="B26" s="1012"/>
      <c r="C26" s="1108"/>
      <c r="D26" s="1105"/>
      <c r="E26" s="955"/>
      <c r="F26" s="955"/>
      <c r="G26" s="129"/>
      <c r="H26" s="129"/>
      <c r="I26" s="129"/>
      <c r="J26" s="954"/>
      <c r="K26" s="954"/>
      <c r="L26" s="127"/>
      <c r="M26" s="127"/>
      <c r="N26" s="128"/>
      <c r="O26" s="956"/>
      <c r="P26" s="957"/>
      <c r="Q26" s="945"/>
      <c r="R26" s="946"/>
      <c r="S26" s="946"/>
      <c r="T26" s="945"/>
      <c r="U26" s="946"/>
      <c r="V26" s="947"/>
      <c r="W26" s="945"/>
      <c r="X26" s="946"/>
      <c r="Y26" s="946"/>
      <c r="Z26" s="1109"/>
      <c r="AA26" s="946"/>
      <c r="AB26" s="946"/>
      <c r="AC26" s="946"/>
      <c r="AD26" s="1033"/>
      <c r="AE26" s="1027"/>
      <c r="AF26" s="1027"/>
      <c r="AG26" s="1027"/>
      <c r="AH26" s="1027"/>
      <c r="AI26" s="1043"/>
      <c r="AJ26" s="1043"/>
      <c r="AK26" s="1043"/>
      <c r="AL26" s="1043"/>
      <c r="AM26" s="1043"/>
      <c r="AN26" s="1044"/>
    </row>
    <row r="27" spans="2:40" x14ac:dyDescent="0.2">
      <c r="B27" s="1012"/>
      <c r="C27" s="1108"/>
      <c r="D27" s="1105"/>
      <c r="E27" s="955"/>
      <c r="F27" s="955"/>
      <c r="G27" s="129"/>
      <c r="H27" s="129"/>
      <c r="I27" s="129"/>
      <c r="J27" s="954"/>
      <c r="K27" s="954"/>
      <c r="L27" s="127"/>
      <c r="M27" s="127"/>
      <c r="N27" s="128"/>
      <c r="O27" s="956"/>
      <c r="P27" s="957"/>
      <c r="Q27" s="945"/>
      <c r="R27" s="946"/>
      <c r="S27" s="946"/>
      <c r="T27" s="945"/>
      <c r="U27" s="946"/>
      <c r="V27" s="947"/>
      <c r="W27" s="945"/>
      <c r="X27" s="946"/>
      <c r="Y27" s="946"/>
      <c r="Z27" s="1109"/>
      <c r="AA27" s="946"/>
      <c r="AB27" s="946"/>
      <c r="AC27" s="946"/>
      <c r="AD27" s="1033"/>
      <c r="AE27" s="1027"/>
      <c r="AF27" s="1027"/>
      <c r="AG27" s="1027"/>
      <c r="AH27" s="1027"/>
      <c r="AI27" s="1043"/>
      <c r="AJ27" s="1043"/>
      <c r="AK27" s="1043"/>
      <c r="AL27" s="1043"/>
      <c r="AM27" s="1043"/>
      <c r="AN27" s="1044"/>
    </row>
    <row r="28" spans="2:40" x14ac:dyDescent="0.2">
      <c r="B28" s="1012"/>
      <c r="C28" s="1108"/>
      <c r="D28" s="1105"/>
      <c r="E28" s="955"/>
      <c r="F28" s="955"/>
      <c r="G28" s="129"/>
      <c r="H28" s="129"/>
      <c r="I28" s="129"/>
      <c r="J28" s="954"/>
      <c r="K28" s="954"/>
      <c r="L28" s="127"/>
      <c r="M28" s="127"/>
      <c r="N28" s="128"/>
      <c r="O28" s="956"/>
      <c r="P28" s="957"/>
      <c r="Q28" s="945"/>
      <c r="R28" s="946"/>
      <c r="S28" s="946"/>
      <c r="T28" s="945"/>
      <c r="U28" s="946"/>
      <c r="V28" s="947"/>
      <c r="W28" s="945"/>
      <c r="X28" s="946"/>
      <c r="Y28" s="946"/>
      <c r="Z28" s="1109"/>
      <c r="AA28" s="946"/>
      <c r="AB28" s="946"/>
      <c r="AC28" s="946"/>
      <c r="AD28" s="1033"/>
      <c r="AE28" s="1027"/>
      <c r="AF28" s="1027"/>
      <c r="AG28" s="1027"/>
      <c r="AH28" s="1027"/>
      <c r="AI28" s="1043"/>
      <c r="AJ28" s="1043"/>
      <c r="AK28" s="1043"/>
      <c r="AL28" s="1043"/>
      <c r="AM28" s="1043"/>
      <c r="AN28" s="1044"/>
    </row>
    <row r="29" spans="2:40" x14ac:dyDescent="0.2">
      <c r="B29" s="1012"/>
      <c r="C29" s="1108"/>
      <c r="D29" s="1105"/>
      <c r="E29" s="955"/>
      <c r="F29" s="955"/>
      <c r="G29" s="129"/>
      <c r="H29" s="129"/>
      <c r="I29" s="129"/>
      <c r="J29" s="954"/>
      <c r="K29" s="954"/>
      <c r="L29" s="127"/>
      <c r="M29" s="127"/>
      <c r="N29" s="128"/>
      <c r="O29" s="956"/>
      <c r="P29" s="957"/>
      <c r="Q29" s="945"/>
      <c r="R29" s="946"/>
      <c r="S29" s="946"/>
      <c r="T29" s="945"/>
      <c r="U29" s="946"/>
      <c r="V29" s="947"/>
      <c r="W29" s="945"/>
      <c r="X29" s="946"/>
      <c r="Y29" s="946"/>
      <c r="Z29" s="1109"/>
      <c r="AA29" s="946"/>
      <c r="AB29" s="946"/>
      <c r="AC29" s="946"/>
      <c r="AD29" s="1033"/>
      <c r="AE29" s="1027"/>
      <c r="AF29" s="1027"/>
      <c r="AG29" s="1027"/>
      <c r="AH29" s="1027"/>
      <c r="AI29" s="1043"/>
      <c r="AJ29" s="1043"/>
      <c r="AK29" s="1043"/>
      <c r="AL29" s="1043"/>
      <c r="AM29" s="1043"/>
      <c r="AN29" s="1044"/>
    </row>
    <row r="30" spans="2:40" x14ac:dyDescent="0.2">
      <c r="B30" s="1012"/>
      <c r="C30" s="1108"/>
      <c r="D30" s="1105"/>
      <c r="E30" s="955"/>
      <c r="F30" s="955"/>
      <c r="G30" s="129"/>
      <c r="H30" s="129"/>
      <c r="I30" s="129"/>
      <c r="J30" s="954"/>
      <c r="K30" s="954"/>
      <c r="L30" s="127"/>
      <c r="M30" s="127"/>
      <c r="N30" s="128"/>
      <c r="O30" s="956"/>
      <c r="P30" s="957"/>
      <c r="Q30" s="945"/>
      <c r="R30" s="946"/>
      <c r="S30" s="946"/>
      <c r="T30" s="945"/>
      <c r="U30" s="946"/>
      <c r="V30" s="947"/>
      <c r="W30" s="945"/>
      <c r="X30" s="946"/>
      <c r="Y30" s="946"/>
      <c r="Z30" s="1109"/>
      <c r="AA30" s="946"/>
      <c r="AB30" s="946"/>
      <c r="AC30" s="946"/>
      <c r="AD30" s="1033"/>
      <c r="AE30" s="1027"/>
      <c r="AF30" s="1027"/>
      <c r="AG30" s="1027"/>
      <c r="AH30" s="1027"/>
      <c r="AI30" s="1043"/>
      <c r="AJ30" s="1043"/>
      <c r="AK30" s="1043"/>
      <c r="AL30" s="1043"/>
      <c r="AM30" s="1043"/>
      <c r="AN30" s="1044"/>
    </row>
    <row r="31" spans="2:40" x14ac:dyDescent="0.2">
      <c r="B31" s="1017"/>
      <c r="C31" s="1110"/>
      <c r="D31" s="1111"/>
      <c r="E31" s="1112"/>
      <c r="F31" s="1112"/>
      <c r="G31" s="964"/>
      <c r="H31" s="964"/>
      <c r="I31" s="964"/>
      <c r="J31" s="965"/>
      <c r="K31" s="965"/>
      <c r="L31" s="966"/>
      <c r="M31" s="966"/>
      <c r="N31" s="963"/>
      <c r="O31" s="967"/>
      <c r="P31" s="968"/>
      <c r="Q31" s="969"/>
      <c r="R31" s="970"/>
      <c r="S31" s="970"/>
      <c r="T31" s="969"/>
      <c r="U31" s="970"/>
      <c r="V31" s="971"/>
      <c r="W31" s="969"/>
      <c r="X31" s="970"/>
      <c r="Y31" s="970"/>
      <c r="Z31" s="1113"/>
      <c r="AA31" s="970"/>
      <c r="AB31" s="946"/>
      <c r="AC31" s="970"/>
      <c r="AD31" s="1033"/>
      <c r="AE31" s="1027"/>
      <c r="AF31" s="1027"/>
      <c r="AG31" s="1027"/>
      <c r="AH31" s="1027"/>
      <c r="AI31" s="1043"/>
      <c r="AJ31" s="1043"/>
      <c r="AK31" s="1043"/>
      <c r="AL31" s="1043"/>
      <c r="AM31" s="1043"/>
      <c r="AN31" s="1044"/>
    </row>
    <row r="32" spans="2:40" ht="11.25" customHeight="1" x14ac:dyDescent="0.2">
      <c r="B32" s="1022" t="s">
        <v>61</v>
      </c>
      <c r="C32" s="1104"/>
      <c r="D32" s="1114"/>
      <c r="E32" s="940"/>
      <c r="F32" s="940"/>
      <c r="G32" s="937"/>
      <c r="H32" s="937"/>
      <c r="I32" s="937"/>
      <c r="J32" s="940"/>
      <c r="K32" s="940"/>
      <c r="L32" s="937"/>
      <c r="M32" s="937"/>
      <c r="N32" s="167"/>
      <c r="O32" s="1115"/>
      <c r="P32" s="942"/>
      <c r="Q32" s="943"/>
      <c r="R32" s="943"/>
      <c r="S32" s="943"/>
      <c r="T32" s="943"/>
      <c r="U32" s="943"/>
      <c r="V32" s="1106"/>
      <c r="W32" s="943"/>
      <c r="X32" s="943"/>
      <c r="Y32" s="943"/>
      <c r="Z32" s="1116"/>
      <c r="AA32" s="944"/>
      <c r="AB32" s="944"/>
      <c r="AC32" s="944"/>
      <c r="AD32" s="1038"/>
      <c r="AE32" s="1039"/>
      <c r="AF32" s="1039"/>
      <c r="AG32" s="1039"/>
      <c r="AH32" s="1039"/>
      <c r="AI32" s="1039"/>
      <c r="AJ32" s="1039"/>
      <c r="AK32" s="1039"/>
      <c r="AL32" s="1039"/>
      <c r="AM32" s="1039"/>
      <c r="AN32" s="1040"/>
    </row>
    <row r="33" spans="2:40" ht="11.25" customHeight="1" x14ac:dyDescent="0.2">
      <c r="B33" s="1014"/>
      <c r="C33" s="1108"/>
      <c r="D33" s="1105"/>
      <c r="E33" s="955"/>
      <c r="F33" s="955"/>
      <c r="G33" s="129"/>
      <c r="H33" s="129"/>
      <c r="I33" s="129"/>
      <c r="J33" s="955"/>
      <c r="K33" s="955"/>
      <c r="L33" s="127"/>
      <c r="M33" s="127"/>
      <c r="N33" s="128"/>
      <c r="O33" s="956"/>
      <c r="P33" s="957"/>
      <c r="Q33" s="945"/>
      <c r="R33" s="945"/>
      <c r="S33" s="946"/>
      <c r="T33" s="946"/>
      <c r="U33" s="946"/>
      <c r="V33" s="947"/>
      <c r="W33" s="946"/>
      <c r="X33" s="946"/>
      <c r="Y33" s="946"/>
      <c r="Z33" s="1109"/>
      <c r="AA33" s="946"/>
      <c r="AB33" s="946"/>
      <c r="AC33" s="946"/>
      <c r="AD33" s="1033"/>
      <c r="AE33" s="1027"/>
      <c r="AF33" s="1027"/>
      <c r="AG33" s="1027"/>
      <c r="AH33" s="1027"/>
      <c r="AI33" s="1043"/>
      <c r="AJ33" s="1043"/>
      <c r="AK33" s="1043"/>
      <c r="AL33" s="1043"/>
      <c r="AM33" s="1043"/>
      <c r="AN33" s="1044"/>
    </row>
    <row r="34" spans="2:40" ht="11.25" customHeight="1" x14ac:dyDescent="0.2">
      <c r="B34" s="1014"/>
      <c r="C34" s="1108"/>
      <c r="D34" s="1105"/>
      <c r="E34" s="955"/>
      <c r="F34" s="955"/>
      <c r="G34" s="127"/>
      <c r="H34" s="127"/>
      <c r="I34" s="127"/>
      <c r="J34" s="955"/>
      <c r="K34" s="955"/>
      <c r="L34" s="127"/>
      <c r="M34" s="127"/>
      <c r="N34" s="128"/>
      <c r="O34" s="956"/>
      <c r="P34" s="1117"/>
      <c r="Q34" s="945"/>
      <c r="R34" s="945"/>
      <c r="S34" s="946"/>
      <c r="T34" s="945"/>
      <c r="U34" s="946"/>
      <c r="V34" s="947"/>
      <c r="W34" s="946"/>
      <c r="X34" s="946"/>
      <c r="Y34" s="946"/>
      <c r="Z34" s="1109"/>
      <c r="AA34" s="946"/>
      <c r="AB34" s="946"/>
      <c r="AC34" s="946"/>
      <c r="AD34" s="1033"/>
      <c r="AE34" s="1027"/>
      <c r="AF34" s="1027"/>
      <c r="AG34" s="1027"/>
      <c r="AH34" s="1027"/>
      <c r="AI34" s="1043"/>
      <c r="AJ34" s="1043"/>
      <c r="AK34" s="1043"/>
      <c r="AL34" s="1043"/>
      <c r="AM34" s="1043"/>
      <c r="AN34" s="1044"/>
    </row>
    <row r="35" spans="2:40" x14ac:dyDescent="0.2">
      <c r="B35" s="1014"/>
      <c r="C35" s="1108"/>
      <c r="D35" s="1105"/>
      <c r="E35" s="955"/>
      <c r="F35" s="955"/>
      <c r="G35" s="127"/>
      <c r="H35" s="127"/>
      <c r="I35" s="127"/>
      <c r="J35" s="955"/>
      <c r="K35" s="955"/>
      <c r="L35" s="127"/>
      <c r="M35" s="127"/>
      <c r="N35" s="128"/>
      <c r="O35" s="956"/>
      <c r="P35" s="1117"/>
      <c r="Q35" s="945"/>
      <c r="R35" s="945"/>
      <c r="S35" s="946"/>
      <c r="T35" s="945"/>
      <c r="U35" s="946"/>
      <c r="V35" s="947"/>
      <c r="W35" s="946"/>
      <c r="X35" s="946"/>
      <c r="Y35" s="946"/>
      <c r="Z35" s="1109"/>
      <c r="AA35" s="946"/>
      <c r="AB35" s="946"/>
      <c r="AC35" s="946"/>
      <c r="AD35" s="1033"/>
      <c r="AE35" s="1027"/>
      <c r="AF35" s="1027"/>
      <c r="AG35" s="1027"/>
      <c r="AH35" s="1027"/>
      <c r="AI35" s="1043"/>
      <c r="AJ35" s="1043"/>
      <c r="AK35" s="1043"/>
      <c r="AL35" s="1043"/>
      <c r="AM35" s="1043"/>
      <c r="AN35" s="1044"/>
    </row>
    <row r="36" spans="2:40" x14ac:dyDescent="0.2">
      <c r="B36" s="1014"/>
      <c r="C36" s="1108"/>
      <c r="D36" s="1105"/>
      <c r="E36" s="955"/>
      <c r="F36" s="955"/>
      <c r="G36" s="127"/>
      <c r="H36" s="127"/>
      <c r="I36" s="127"/>
      <c r="J36" s="955"/>
      <c r="K36" s="955"/>
      <c r="L36" s="127"/>
      <c r="M36" s="127"/>
      <c r="N36" s="128"/>
      <c r="O36" s="956"/>
      <c r="P36" s="1117"/>
      <c r="Q36" s="945"/>
      <c r="R36" s="945"/>
      <c r="S36" s="946"/>
      <c r="T36" s="945"/>
      <c r="U36" s="946"/>
      <c r="V36" s="947"/>
      <c r="W36" s="946"/>
      <c r="X36" s="946"/>
      <c r="Y36" s="946"/>
      <c r="Z36" s="1109"/>
      <c r="AA36" s="946"/>
      <c r="AB36" s="946"/>
      <c r="AC36" s="946"/>
      <c r="AD36" s="1033"/>
      <c r="AE36" s="1027"/>
      <c r="AF36" s="1027"/>
      <c r="AG36" s="1027"/>
      <c r="AH36" s="1027"/>
      <c r="AI36" s="1043"/>
      <c r="AJ36" s="1043"/>
      <c r="AK36" s="1043"/>
      <c r="AL36" s="1043"/>
      <c r="AM36" s="1043"/>
      <c r="AN36" s="1044"/>
    </row>
    <row r="37" spans="2:40" x14ac:dyDescent="0.2">
      <c r="B37" s="1014"/>
      <c r="C37" s="1108"/>
      <c r="D37" s="1105"/>
      <c r="E37" s="955"/>
      <c r="F37" s="955"/>
      <c r="G37" s="127"/>
      <c r="H37" s="127"/>
      <c r="I37" s="127"/>
      <c r="J37" s="955"/>
      <c r="K37" s="955"/>
      <c r="L37" s="127"/>
      <c r="M37" s="127"/>
      <c r="N37" s="128"/>
      <c r="O37" s="956"/>
      <c r="P37" s="1117"/>
      <c r="Q37" s="945"/>
      <c r="R37" s="945"/>
      <c r="S37" s="946"/>
      <c r="T37" s="945"/>
      <c r="U37" s="946"/>
      <c r="V37" s="947"/>
      <c r="W37" s="946"/>
      <c r="X37" s="946"/>
      <c r="Y37" s="946"/>
      <c r="Z37" s="1109"/>
      <c r="AA37" s="946"/>
      <c r="AB37" s="946"/>
      <c r="AC37" s="946"/>
      <c r="AD37" s="1033"/>
      <c r="AE37" s="1027"/>
      <c r="AF37" s="1027"/>
      <c r="AG37" s="1027"/>
      <c r="AH37" s="1027"/>
      <c r="AI37" s="1043"/>
      <c r="AJ37" s="1043"/>
      <c r="AK37" s="1043"/>
      <c r="AL37" s="1043"/>
      <c r="AM37" s="1043"/>
      <c r="AN37" s="1044"/>
    </row>
    <row r="38" spans="2:40" x14ac:dyDescent="0.2">
      <c r="B38" s="1014"/>
      <c r="C38" s="1108"/>
      <c r="D38" s="1105"/>
      <c r="E38" s="955"/>
      <c r="F38" s="955"/>
      <c r="G38" s="127"/>
      <c r="H38" s="127"/>
      <c r="I38" s="127"/>
      <c r="J38" s="955"/>
      <c r="K38" s="955"/>
      <c r="L38" s="127"/>
      <c r="M38" s="127"/>
      <c r="N38" s="128"/>
      <c r="O38" s="956"/>
      <c r="P38" s="1117"/>
      <c r="Q38" s="945"/>
      <c r="R38" s="945"/>
      <c r="S38" s="946"/>
      <c r="T38" s="945"/>
      <c r="U38" s="946"/>
      <c r="V38" s="947"/>
      <c r="W38" s="946"/>
      <c r="X38" s="946"/>
      <c r="Y38" s="946"/>
      <c r="Z38" s="1109"/>
      <c r="AA38" s="946"/>
      <c r="AB38" s="946"/>
      <c r="AC38" s="946"/>
      <c r="AD38" s="1033"/>
      <c r="AE38" s="1027"/>
      <c r="AF38" s="1027"/>
      <c r="AG38" s="1027"/>
      <c r="AH38" s="1027"/>
      <c r="AI38" s="1043"/>
      <c r="AJ38" s="1043"/>
      <c r="AK38" s="1043"/>
      <c r="AL38" s="1043"/>
      <c r="AM38" s="1043"/>
      <c r="AN38" s="1044"/>
    </row>
    <row r="39" spans="2:40" x14ac:dyDescent="0.2">
      <c r="B39" s="1014"/>
      <c r="C39" s="1108"/>
      <c r="D39" s="1105"/>
      <c r="E39" s="955"/>
      <c r="F39" s="955"/>
      <c r="G39" s="127"/>
      <c r="H39" s="127"/>
      <c r="I39" s="127"/>
      <c r="J39" s="955"/>
      <c r="K39" s="955"/>
      <c r="L39" s="127"/>
      <c r="M39" s="127"/>
      <c r="N39" s="128"/>
      <c r="O39" s="956"/>
      <c r="P39" s="1117"/>
      <c r="Q39" s="945"/>
      <c r="R39" s="945"/>
      <c r="S39" s="946"/>
      <c r="T39" s="945"/>
      <c r="U39" s="946"/>
      <c r="V39" s="947"/>
      <c r="W39" s="946"/>
      <c r="X39" s="946"/>
      <c r="Y39" s="946"/>
      <c r="Z39" s="1109"/>
      <c r="AA39" s="946"/>
      <c r="AB39" s="946"/>
      <c r="AC39" s="946"/>
      <c r="AD39" s="1033"/>
      <c r="AE39" s="1027"/>
      <c r="AF39" s="1027"/>
      <c r="AG39" s="1027"/>
      <c r="AH39" s="1027"/>
      <c r="AI39" s="1043"/>
      <c r="AJ39" s="1043"/>
      <c r="AK39" s="1043"/>
      <c r="AL39" s="1043"/>
      <c r="AM39" s="1043"/>
      <c r="AN39" s="1044"/>
    </row>
    <row r="40" spans="2:40" x14ac:dyDescent="0.2">
      <c r="B40" s="1014"/>
      <c r="C40" s="1108"/>
      <c r="D40" s="1105"/>
      <c r="E40" s="955"/>
      <c r="F40" s="955"/>
      <c r="G40" s="127"/>
      <c r="H40" s="127"/>
      <c r="I40" s="127"/>
      <c r="J40" s="955"/>
      <c r="K40" s="955"/>
      <c r="L40" s="127"/>
      <c r="M40" s="127"/>
      <c r="N40" s="128"/>
      <c r="O40" s="956"/>
      <c r="P40" s="1117"/>
      <c r="Q40" s="945"/>
      <c r="R40" s="945"/>
      <c r="S40" s="946"/>
      <c r="T40" s="945"/>
      <c r="U40" s="946"/>
      <c r="V40" s="947"/>
      <c r="W40" s="946"/>
      <c r="X40" s="946"/>
      <c r="Y40" s="946"/>
      <c r="Z40" s="1109"/>
      <c r="AA40" s="946"/>
      <c r="AB40" s="946"/>
      <c r="AC40" s="946"/>
      <c r="AD40" s="1033"/>
      <c r="AE40" s="1027"/>
      <c r="AF40" s="1027"/>
      <c r="AG40" s="1027"/>
      <c r="AH40" s="1027"/>
      <c r="AI40" s="1043"/>
      <c r="AJ40" s="1043"/>
      <c r="AK40" s="1043"/>
      <c r="AL40" s="1043"/>
      <c r="AM40" s="1043"/>
      <c r="AN40" s="1044"/>
    </row>
    <row r="41" spans="2:40" x14ac:dyDescent="0.2">
      <c r="B41" s="1019"/>
      <c r="C41" s="1110"/>
      <c r="D41" s="1111"/>
      <c r="E41" s="1112"/>
      <c r="F41" s="1112"/>
      <c r="G41" s="966"/>
      <c r="H41" s="966"/>
      <c r="I41" s="966"/>
      <c r="J41" s="1112"/>
      <c r="K41" s="1112"/>
      <c r="L41" s="966"/>
      <c r="M41" s="966"/>
      <c r="N41" s="963"/>
      <c r="O41" s="967"/>
      <c r="P41" s="1118"/>
      <c r="Q41" s="969"/>
      <c r="R41" s="969"/>
      <c r="S41" s="970"/>
      <c r="T41" s="969"/>
      <c r="U41" s="970"/>
      <c r="V41" s="971"/>
      <c r="W41" s="970"/>
      <c r="X41" s="970"/>
      <c r="Y41" s="970"/>
      <c r="Z41" s="1113"/>
      <c r="AA41" s="970"/>
      <c r="AB41" s="970"/>
      <c r="AC41" s="970"/>
      <c r="AD41" s="1033"/>
      <c r="AE41" s="1027"/>
      <c r="AF41" s="1027"/>
      <c r="AG41" s="1027"/>
      <c r="AH41" s="1027"/>
      <c r="AI41" s="1043"/>
      <c r="AJ41" s="1043"/>
      <c r="AK41" s="1043"/>
      <c r="AL41" s="1043"/>
      <c r="AM41" s="1043"/>
      <c r="AN41" s="1044"/>
    </row>
    <row r="42" spans="2:40" x14ac:dyDescent="0.2">
      <c r="B42" s="1022" t="s">
        <v>62</v>
      </c>
      <c r="C42" s="1104"/>
      <c r="D42" s="1114"/>
      <c r="E42" s="940"/>
      <c r="F42" s="940"/>
      <c r="G42" s="937"/>
      <c r="H42" s="937"/>
      <c r="I42" s="937"/>
      <c r="J42" s="940"/>
      <c r="K42" s="940"/>
      <c r="L42" s="937"/>
      <c r="M42" s="937"/>
      <c r="N42" s="167"/>
      <c r="O42" s="1115"/>
      <c r="P42" s="942"/>
      <c r="Q42" s="943"/>
      <c r="R42" s="943"/>
      <c r="S42" s="943"/>
      <c r="T42" s="943"/>
      <c r="U42" s="1106"/>
      <c r="V42" s="1106"/>
      <c r="W42" s="943"/>
      <c r="X42" s="943"/>
      <c r="Y42" s="943"/>
      <c r="Z42" s="1116"/>
      <c r="AA42" s="944"/>
      <c r="AB42" s="946"/>
      <c r="AC42" s="944"/>
      <c r="AD42" s="1038"/>
      <c r="AE42" s="1039"/>
      <c r="AF42" s="1039"/>
      <c r="AG42" s="1039"/>
      <c r="AH42" s="1039"/>
      <c r="AI42" s="1039"/>
      <c r="AJ42" s="1039"/>
      <c r="AK42" s="1039"/>
      <c r="AL42" s="1039"/>
      <c r="AM42" s="1039"/>
      <c r="AN42" s="1040"/>
    </row>
    <row r="43" spans="2:40" x14ac:dyDescent="0.2">
      <c r="B43" s="1014"/>
      <c r="C43" s="1108"/>
      <c r="D43" s="1105"/>
      <c r="E43" s="955"/>
      <c r="F43" s="955"/>
      <c r="G43" s="127"/>
      <c r="H43" s="127"/>
      <c r="I43" s="127"/>
      <c r="J43" s="955"/>
      <c r="K43" s="955"/>
      <c r="L43" s="127"/>
      <c r="M43" s="127"/>
      <c r="N43" s="128"/>
      <c r="O43" s="1119"/>
      <c r="P43" s="957"/>
      <c r="Q43" s="945"/>
      <c r="R43" s="945"/>
      <c r="S43" s="945"/>
      <c r="T43" s="945"/>
      <c r="U43" s="947"/>
      <c r="V43" s="947"/>
      <c r="W43" s="945"/>
      <c r="X43" s="945"/>
      <c r="Y43" s="945"/>
      <c r="Z43" s="948"/>
      <c r="AA43" s="946"/>
      <c r="AB43" s="946"/>
      <c r="AC43" s="946"/>
      <c r="AD43" s="1042"/>
      <c r="AE43" s="1043"/>
      <c r="AF43" s="1043"/>
      <c r="AG43" s="1043"/>
      <c r="AH43" s="1043"/>
      <c r="AI43" s="1043"/>
      <c r="AJ43" s="1043"/>
      <c r="AK43" s="1043"/>
      <c r="AL43" s="1043"/>
      <c r="AM43" s="1043"/>
      <c r="AN43" s="1044"/>
    </row>
    <row r="44" spans="2:40" x14ac:dyDescent="0.2">
      <c r="B44" s="1014"/>
      <c r="C44" s="1108"/>
      <c r="D44" s="1105"/>
      <c r="E44" s="955"/>
      <c r="F44" s="955"/>
      <c r="G44" s="127"/>
      <c r="H44" s="127"/>
      <c r="I44" s="127"/>
      <c r="J44" s="955"/>
      <c r="K44" s="955"/>
      <c r="L44" s="127"/>
      <c r="M44" s="127"/>
      <c r="N44" s="128"/>
      <c r="O44" s="1119"/>
      <c r="P44" s="957"/>
      <c r="Q44" s="945"/>
      <c r="R44" s="945"/>
      <c r="S44" s="945"/>
      <c r="T44" s="945"/>
      <c r="U44" s="947"/>
      <c r="V44" s="947"/>
      <c r="W44" s="945"/>
      <c r="X44" s="945"/>
      <c r="Y44" s="945"/>
      <c r="Z44" s="948"/>
      <c r="AA44" s="946"/>
      <c r="AB44" s="946"/>
      <c r="AC44" s="946"/>
      <c r="AD44" s="1042"/>
      <c r="AE44" s="1043"/>
      <c r="AF44" s="1043"/>
      <c r="AG44" s="1043"/>
      <c r="AH44" s="1043"/>
      <c r="AI44" s="1043"/>
      <c r="AJ44" s="1043"/>
      <c r="AK44" s="1043"/>
      <c r="AL44" s="1043"/>
      <c r="AM44" s="1043"/>
      <c r="AN44" s="1044"/>
    </row>
    <row r="45" spans="2:40" x14ac:dyDescent="0.2">
      <c r="B45" s="1014"/>
      <c r="C45" s="1108"/>
      <c r="D45" s="1105"/>
      <c r="E45" s="955"/>
      <c r="F45" s="955"/>
      <c r="G45" s="127"/>
      <c r="H45" s="127"/>
      <c r="I45" s="127"/>
      <c r="J45" s="955"/>
      <c r="K45" s="955"/>
      <c r="L45" s="127"/>
      <c r="M45" s="127"/>
      <c r="N45" s="128"/>
      <c r="O45" s="1119"/>
      <c r="P45" s="957"/>
      <c r="Q45" s="945"/>
      <c r="R45" s="945"/>
      <c r="S45" s="945"/>
      <c r="T45" s="945"/>
      <c r="U45" s="947"/>
      <c r="V45" s="947"/>
      <c r="W45" s="945"/>
      <c r="X45" s="945"/>
      <c r="Y45" s="945"/>
      <c r="Z45" s="948"/>
      <c r="AA45" s="946"/>
      <c r="AB45" s="946"/>
      <c r="AC45" s="946"/>
      <c r="AD45" s="1042"/>
      <c r="AE45" s="1043"/>
      <c r="AF45" s="1043"/>
      <c r="AG45" s="1043"/>
      <c r="AH45" s="1043"/>
      <c r="AI45" s="1043"/>
      <c r="AJ45" s="1043"/>
      <c r="AK45" s="1043"/>
      <c r="AL45" s="1043"/>
      <c r="AM45" s="1043"/>
      <c r="AN45" s="1044"/>
    </row>
    <row r="46" spans="2:40" x14ac:dyDescent="0.2">
      <c r="B46" s="1014"/>
      <c r="C46" s="1108"/>
      <c r="D46" s="1105"/>
      <c r="E46" s="955"/>
      <c r="F46" s="955"/>
      <c r="G46" s="127"/>
      <c r="H46" s="127"/>
      <c r="I46" s="127"/>
      <c r="J46" s="955"/>
      <c r="K46" s="955"/>
      <c r="L46" s="127"/>
      <c r="M46" s="127"/>
      <c r="N46" s="128"/>
      <c r="O46" s="1119"/>
      <c r="P46" s="957"/>
      <c r="Q46" s="945"/>
      <c r="R46" s="945"/>
      <c r="S46" s="945"/>
      <c r="T46" s="945"/>
      <c r="U46" s="947"/>
      <c r="V46" s="947"/>
      <c r="W46" s="945"/>
      <c r="X46" s="945"/>
      <c r="Y46" s="945"/>
      <c r="Z46" s="948"/>
      <c r="AA46" s="946"/>
      <c r="AB46" s="946"/>
      <c r="AC46" s="946"/>
      <c r="AD46" s="1042"/>
      <c r="AE46" s="1043"/>
      <c r="AF46" s="1043"/>
      <c r="AG46" s="1043"/>
      <c r="AH46" s="1043"/>
      <c r="AI46" s="1043"/>
      <c r="AJ46" s="1043"/>
      <c r="AK46" s="1043"/>
      <c r="AL46" s="1043"/>
      <c r="AM46" s="1043"/>
      <c r="AN46" s="1044"/>
    </row>
    <row r="47" spans="2:40" x14ac:dyDescent="0.2">
      <c r="B47" s="1014"/>
      <c r="C47" s="1108"/>
      <c r="D47" s="1105"/>
      <c r="E47" s="955"/>
      <c r="F47" s="955"/>
      <c r="G47" s="127"/>
      <c r="H47" s="127"/>
      <c r="I47" s="127"/>
      <c r="J47" s="955"/>
      <c r="K47" s="955"/>
      <c r="L47" s="127"/>
      <c r="M47" s="127"/>
      <c r="N47" s="128"/>
      <c r="O47" s="1119"/>
      <c r="P47" s="957"/>
      <c r="Q47" s="945"/>
      <c r="R47" s="945"/>
      <c r="S47" s="945"/>
      <c r="T47" s="945"/>
      <c r="U47" s="947"/>
      <c r="V47" s="947"/>
      <c r="W47" s="945"/>
      <c r="X47" s="945"/>
      <c r="Y47" s="945"/>
      <c r="Z47" s="948"/>
      <c r="AA47" s="946"/>
      <c r="AB47" s="946"/>
      <c r="AC47" s="946"/>
      <c r="AD47" s="1042"/>
      <c r="AE47" s="1043"/>
      <c r="AF47" s="1043"/>
      <c r="AG47" s="1043"/>
      <c r="AH47" s="1043"/>
      <c r="AI47" s="1043"/>
      <c r="AJ47" s="1043"/>
      <c r="AK47" s="1043"/>
      <c r="AL47" s="1043"/>
      <c r="AM47" s="1043"/>
      <c r="AN47" s="1044"/>
    </row>
    <row r="48" spans="2:40" x14ac:dyDescent="0.2">
      <c r="B48" s="1014"/>
      <c r="C48" s="1108"/>
      <c r="D48" s="1105"/>
      <c r="E48" s="955"/>
      <c r="F48" s="955"/>
      <c r="G48" s="127"/>
      <c r="H48" s="127"/>
      <c r="I48" s="127"/>
      <c r="J48" s="955"/>
      <c r="K48" s="955"/>
      <c r="L48" s="127"/>
      <c r="M48" s="127"/>
      <c r="N48" s="128"/>
      <c r="O48" s="1119"/>
      <c r="P48" s="957"/>
      <c r="Q48" s="945"/>
      <c r="R48" s="945"/>
      <c r="S48" s="945"/>
      <c r="T48" s="945"/>
      <c r="U48" s="947"/>
      <c r="V48" s="947"/>
      <c r="W48" s="945"/>
      <c r="X48" s="945"/>
      <c r="Y48" s="945"/>
      <c r="Z48" s="948"/>
      <c r="AA48" s="946"/>
      <c r="AB48" s="946"/>
      <c r="AC48" s="946"/>
      <c r="AD48" s="1042"/>
      <c r="AE48" s="1043"/>
      <c r="AF48" s="1043"/>
      <c r="AG48" s="1043"/>
      <c r="AH48" s="1043"/>
      <c r="AI48" s="1043"/>
      <c r="AJ48" s="1043"/>
      <c r="AK48" s="1043"/>
      <c r="AL48" s="1043"/>
      <c r="AM48" s="1043"/>
      <c r="AN48" s="1044"/>
    </row>
    <row r="49" spans="2:40" x14ac:dyDescent="0.2">
      <c r="B49" s="1014"/>
      <c r="C49" s="1108"/>
      <c r="D49" s="1105"/>
      <c r="E49" s="955"/>
      <c r="F49" s="955"/>
      <c r="G49" s="127"/>
      <c r="H49" s="127"/>
      <c r="I49" s="127"/>
      <c r="J49" s="955"/>
      <c r="K49" s="955"/>
      <c r="L49" s="127"/>
      <c r="M49" s="127"/>
      <c r="N49" s="128"/>
      <c r="O49" s="1119"/>
      <c r="P49" s="957"/>
      <c r="Q49" s="945"/>
      <c r="R49" s="945"/>
      <c r="S49" s="945"/>
      <c r="T49" s="945"/>
      <c r="U49" s="947"/>
      <c r="V49" s="947"/>
      <c r="W49" s="945"/>
      <c r="X49" s="945"/>
      <c r="Y49" s="945"/>
      <c r="Z49" s="948"/>
      <c r="AA49" s="946"/>
      <c r="AB49" s="946"/>
      <c r="AC49" s="946"/>
      <c r="AD49" s="1042"/>
      <c r="AE49" s="1043"/>
      <c r="AF49" s="1043"/>
      <c r="AG49" s="1043"/>
      <c r="AH49" s="1043"/>
      <c r="AI49" s="1043"/>
      <c r="AJ49" s="1043"/>
      <c r="AK49" s="1043"/>
      <c r="AL49" s="1043"/>
      <c r="AM49" s="1043"/>
      <c r="AN49" s="1044"/>
    </row>
    <row r="50" spans="2:40" x14ac:dyDescent="0.2">
      <c r="B50" s="1014"/>
      <c r="C50" s="1108"/>
      <c r="D50" s="1105"/>
      <c r="E50" s="955"/>
      <c r="F50" s="955"/>
      <c r="G50" s="127"/>
      <c r="H50" s="127"/>
      <c r="I50" s="127"/>
      <c r="J50" s="955"/>
      <c r="K50" s="955"/>
      <c r="L50" s="127"/>
      <c r="M50" s="127"/>
      <c r="N50" s="128"/>
      <c r="O50" s="1119"/>
      <c r="P50" s="957"/>
      <c r="Q50" s="945"/>
      <c r="R50" s="945"/>
      <c r="S50" s="945"/>
      <c r="T50" s="945"/>
      <c r="U50" s="947"/>
      <c r="V50" s="947"/>
      <c r="W50" s="945"/>
      <c r="X50" s="945"/>
      <c r="Y50" s="945"/>
      <c r="Z50" s="948"/>
      <c r="AA50" s="946"/>
      <c r="AB50" s="946"/>
      <c r="AC50" s="946"/>
      <c r="AD50" s="1042"/>
      <c r="AE50" s="1043"/>
      <c r="AF50" s="1043"/>
      <c r="AG50" s="1043"/>
      <c r="AH50" s="1043"/>
      <c r="AI50" s="1043"/>
      <c r="AJ50" s="1043"/>
      <c r="AK50" s="1043"/>
      <c r="AL50" s="1043"/>
      <c r="AM50" s="1043"/>
      <c r="AN50" s="1044"/>
    </row>
    <row r="51" spans="2:40" x14ac:dyDescent="0.2">
      <c r="B51" s="1019"/>
      <c r="C51" s="1110"/>
      <c r="D51" s="1111"/>
      <c r="E51" s="1112"/>
      <c r="F51" s="1112"/>
      <c r="G51" s="966"/>
      <c r="H51" s="966"/>
      <c r="I51" s="966"/>
      <c r="J51" s="1112"/>
      <c r="K51" s="1112"/>
      <c r="L51" s="966"/>
      <c r="M51" s="966"/>
      <c r="N51" s="963"/>
      <c r="O51" s="1120"/>
      <c r="P51" s="968"/>
      <c r="Q51" s="969"/>
      <c r="R51" s="969"/>
      <c r="S51" s="969"/>
      <c r="T51" s="969"/>
      <c r="U51" s="971"/>
      <c r="V51" s="971"/>
      <c r="W51" s="969"/>
      <c r="X51" s="969"/>
      <c r="Y51" s="969"/>
      <c r="Z51" s="972"/>
      <c r="AA51" s="970"/>
      <c r="AB51" s="946"/>
      <c r="AC51" s="946"/>
      <c r="AD51" s="1042"/>
      <c r="AE51" s="1043"/>
      <c r="AF51" s="1043"/>
      <c r="AG51" s="1043"/>
      <c r="AH51" s="1043"/>
      <c r="AI51" s="1043"/>
      <c r="AJ51" s="1043"/>
      <c r="AK51" s="1043"/>
      <c r="AL51" s="1043"/>
      <c r="AM51" s="1043"/>
      <c r="AN51" s="1044"/>
    </row>
    <row r="52" spans="2:40" x14ac:dyDescent="0.2">
      <c r="B52" s="1022" t="s">
        <v>27</v>
      </c>
      <c r="C52" s="1104"/>
      <c r="D52" s="1114"/>
      <c r="E52" s="940"/>
      <c r="F52" s="940"/>
      <c r="G52" s="937"/>
      <c r="H52" s="937"/>
      <c r="I52" s="937"/>
      <c r="J52" s="940"/>
      <c r="K52" s="940"/>
      <c r="L52" s="937"/>
      <c r="M52" s="937"/>
      <c r="N52" s="167"/>
      <c r="O52" s="1115"/>
      <c r="P52" s="942"/>
      <c r="Q52" s="943"/>
      <c r="R52" s="943"/>
      <c r="S52" s="944"/>
      <c r="T52" s="943"/>
      <c r="U52" s="944"/>
      <c r="V52" s="944"/>
      <c r="W52" s="943"/>
      <c r="X52" s="944"/>
      <c r="Y52" s="944"/>
      <c r="Z52" s="1116"/>
      <c r="AA52" s="944"/>
      <c r="AB52" s="944"/>
      <c r="AC52" s="944"/>
      <c r="AD52" s="1038"/>
      <c r="AE52" s="1039"/>
      <c r="AF52" s="1039"/>
      <c r="AG52" s="1039"/>
      <c r="AH52" s="1039"/>
      <c r="AI52" s="1046"/>
      <c r="AJ52" s="1046"/>
      <c r="AK52" s="1046"/>
      <c r="AL52" s="1046"/>
      <c r="AM52" s="1046"/>
      <c r="AN52" s="1040"/>
    </row>
    <row r="53" spans="2:40" x14ac:dyDescent="0.2">
      <c r="B53" s="1014"/>
      <c r="C53" s="1108"/>
      <c r="D53" s="1105"/>
      <c r="E53" s="955"/>
      <c r="F53" s="955"/>
      <c r="G53" s="127"/>
      <c r="H53" s="127"/>
      <c r="I53" s="127"/>
      <c r="J53" s="955"/>
      <c r="K53" s="955"/>
      <c r="L53" s="127"/>
      <c r="M53" s="127"/>
      <c r="N53" s="128"/>
      <c r="O53" s="1119"/>
      <c r="P53" s="957"/>
      <c r="Q53" s="945"/>
      <c r="R53" s="945"/>
      <c r="S53" s="946"/>
      <c r="T53" s="945"/>
      <c r="U53" s="946"/>
      <c r="V53" s="946"/>
      <c r="W53" s="945"/>
      <c r="X53" s="946"/>
      <c r="Y53" s="946"/>
      <c r="Z53" s="948"/>
      <c r="AA53" s="946"/>
      <c r="AB53" s="946"/>
      <c r="AC53" s="946"/>
      <c r="AD53" s="1042"/>
      <c r="AE53" s="1043"/>
      <c r="AF53" s="1043"/>
      <c r="AG53" s="1043"/>
      <c r="AH53" s="1043"/>
      <c r="AI53" s="1047"/>
      <c r="AJ53" s="1047"/>
      <c r="AK53" s="1047"/>
      <c r="AL53" s="1047"/>
      <c r="AM53" s="1047"/>
      <c r="AN53" s="1044"/>
    </row>
    <row r="54" spans="2:40" x14ac:dyDescent="0.2">
      <c r="B54" s="1014"/>
      <c r="C54" s="1108"/>
      <c r="D54" s="1105"/>
      <c r="E54" s="955"/>
      <c r="F54" s="955"/>
      <c r="G54" s="127"/>
      <c r="H54" s="127"/>
      <c r="I54" s="127"/>
      <c r="J54" s="955"/>
      <c r="K54" s="955"/>
      <c r="L54" s="127"/>
      <c r="M54" s="127"/>
      <c r="N54" s="128"/>
      <c r="O54" s="1119"/>
      <c r="P54" s="957"/>
      <c r="Q54" s="945"/>
      <c r="R54" s="945"/>
      <c r="S54" s="946"/>
      <c r="T54" s="945"/>
      <c r="U54" s="946"/>
      <c r="V54" s="946"/>
      <c r="W54" s="945"/>
      <c r="X54" s="946"/>
      <c r="Y54" s="946"/>
      <c r="Z54" s="948"/>
      <c r="AA54" s="946"/>
      <c r="AB54" s="946"/>
      <c r="AC54" s="946"/>
      <c r="AD54" s="1042"/>
      <c r="AE54" s="1043"/>
      <c r="AF54" s="1043"/>
      <c r="AG54" s="1043"/>
      <c r="AH54" s="1043"/>
      <c r="AI54" s="1047"/>
      <c r="AJ54" s="1047"/>
      <c r="AK54" s="1047"/>
      <c r="AL54" s="1047"/>
      <c r="AM54" s="1047"/>
      <c r="AN54" s="1044"/>
    </row>
    <row r="55" spans="2:40" x14ac:dyDescent="0.2">
      <c r="B55" s="1014"/>
      <c r="C55" s="1108"/>
      <c r="D55" s="1105"/>
      <c r="E55" s="955"/>
      <c r="F55" s="955"/>
      <c r="G55" s="127"/>
      <c r="H55" s="127"/>
      <c r="I55" s="127"/>
      <c r="J55" s="955"/>
      <c r="K55" s="955"/>
      <c r="L55" s="127"/>
      <c r="M55" s="127"/>
      <c r="N55" s="128"/>
      <c r="O55" s="1119"/>
      <c r="P55" s="957"/>
      <c r="Q55" s="945"/>
      <c r="R55" s="945"/>
      <c r="S55" s="946"/>
      <c r="T55" s="945"/>
      <c r="U55" s="946"/>
      <c r="V55" s="946"/>
      <c r="W55" s="945"/>
      <c r="X55" s="946"/>
      <c r="Y55" s="946"/>
      <c r="Z55" s="948"/>
      <c r="AA55" s="946"/>
      <c r="AB55" s="946"/>
      <c r="AC55" s="946"/>
      <c r="AD55" s="1042"/>
      <c r="AE55" s="1043"/>
      <c r="AF55" s="1043"/>
      <c r="AG55" s="1043"/>
      <c r="AH55" s="1043"/>
      <c r="AI55" s="1047"/>
      <c r="AJ55" s="1047"/>
      <c r="AK55" s="1047"/>
      <c r="AL55" s="1047"/>
      <c r="AM55" s="1047"/>
      <c r="AN55" s="1044"/>
    </row>
    <row r="56" spans="2:40" x14ac:dyDescent="0.2">
      <c r="B56" s="1014"/>
      <c r="C56" s="1108"/>
      <c r="D56" s="1105"/>
      <c r="E56" s="955"/>
      <c r="F56" s="955"/>
      <c r="G56" s="127"/>
      <c r="H56" s="127"/>
      <c r="I56" s="127"/>
      <c r="J56" s="955"/>
      <c r="K56" s="955"/>
      <c r="L56" s="127"/>
      <c r="M56" s="127"/>
      <c r="N56" s="128"/>
      <c r="O56" s="1119"/>
      <c r="P56" s="957"/>
      <c r="Q56" s="945"/>
      <c r="R56" s="945"/>
      <c r="S56" s="946"/>
      <c r="T56" s="945"/>
      <c r="U56" s="946"/>
      <c r="V56" s="946"/>
      <c r="W56" s="945"/>
      <c r="X56" s="946"/>
      <c r="Y56" s="946"/>
      <c r="Z56" s="948"/>
      <c r="AA56" s="946"/>
      <c r="AB56" s="946"/>
      <c r="AC56" s="946"/>
      <c r="AD56" s="1042"/>
      <c r="AE56" s="1043"/>
      <c r="AF56" s="1043"/>
      <c r="AG56" s="1043"/>
      <c r="AH56" s="1043"/>
      <c r="AI56" s="1047"/>
      <c r="AJ56" s="1047"/>
      <c r="AK56" s="1047"/>
      <c r="AL56" s="1047"/>
      <c r="AM56" s="1047"/>
      <c r="AN56" s="1044"/>
    </row>
    <row r="57" spans="2:40" x14ac:dyDescent="0.2">
      <c r="B57" s="1014"/>
      <c r="C57" s="1108"/>
      <c r="D57" s="1105"/>
      <c r="E57" s="955"/>
      <c r="F57" s="955"/>
      <c r="G57" s="1121"/>
      <c r="H57" s="1121"/>
      <c r="I57" s="1121"/>
      <c r="J57" s="1122"/>
      <c r="K57" s="1122"/>
      <c r="L57" s="1121"/>
      <c r="M57" s="1121"/>
      <c r="N57" s="1123"/>
      <c r="O57" s="1124"/>
      <c r="P57" s="1125"/>
      <c r="Q57" s="1126"/>
      <c r="R57" s="1126"/>
      <c r="S57" s="1127"/>
      <c r="T57" s="1126"/>
      <c r="U57" s="1127"/>
      <c r="V57" s="1127"/>
      <c r="W57" s="1126"/>
      <c r="X57" s="1127"/>
      <c r="Y57" s="1127"/>
      <c r="Z57" s="1128"/>
      <c r="AA57" s="1127"/>
      <c r="AB57" s="946"/>
      <c r="AC57" s="946"/>
      <c r="AD57" s="1048"/>
      <c r="AE57" s="1049"/>
      <c r="AF57" s="1049"/>
      <c r="AG57" s="1049"/>
      <c r="AH57" s="1049"/>
      <c r="AI57" s="1047"/>
      <c r="AJ57" s="1047"/>
      <c r="AK57" s="1047"/>
      <c r="AL57" s="1047"/>
      <c r="AM57" s="1047"/>
      <c r="AN57" s="1044"/>
    </row>
    <row r="58" spans="2:40" x14ac:dyDescent="0.2">
      <c r="B58" s="1014"/>
      <c r="C58" s="1108"/>
      <c r="D58" s="1105"/>
      <c r="E58" s="955"/>
      <c r="F58" s="955"/>
      <c r="G58" s="1121"/>
      <c r="H58" s="1121"/>
      <c r="I58" s="1121"/>
      <c r="J58" s="1122"/>
      <c r="K58" s="1122"/>
      <c r="L58" s="1121"/>
      <c r="M58" s="1121"/>
      <c r="N58" s="1123"/>
      <c r="O58" s="1124"/>
      <c r="P58" s="1125"/>
      <c r="Q58" s="1126"/>
      <c r="R58" s="1126"/>
      <c r="S58" s="1127"/>
      <c r="T58" s="1126"/>
      <c r="U58" s="1127"/>
      <c r="V58" s="1127"/>
      <c r="W58" s="1126"/>
      <c r="X58" s="1127"/>
      <c r="Y58" s="1127"/>
      <c r="Z58" s="1128"/>
      <c r="AA58" s="1127"/>
      <c r="AB58" s="946"/>
      <c r="AC58" s="946"/>
      <c r="AD58" s="1048"/>
      <c r="AE58" s="1049"/>
      <c r="AF58" s="1049"/>
      <c r="AG58" s="1049"/>
      <c r="AH58" s="1049"/>
      <c r="AI58" s="1047"/>
      <c r="AJ58" s="1047"/>
      <c r="AK58" s="1047"/>
      <c r="AL58" s="1047"/>
      <c r="AM58" s="1047"/>
      <c r="AN58" s="1044"/>
    </row>
    <row r="59" spans="2:40" x14ac:dyDescent="0.2">
      <c r="B59" s="1014"/>
      <c r="C59" s="1108"/>
      <c r="D59" s="1105"/>
      <c r="E59" s="955"/>
      <c r="F59" s="955"/>
      <c r="G59" s="1121"/>
      <c r="H59" s="1121"/>
      <c r="I59" s="1121"/>
      <c r="J59" s="1122"/>
      <c r="K59" s="1122"/>
      <c r="L59" s="1121"/>
      <c r="M59" s="1121"/>
      <c r="N59" s="1123"/>
      <c r="O59" s="1124"/>
      <c r="P59" s="1125"/>
      <c r="Q59" s="1126"/>
      <c r="R59" s="1126"/>
      <c r="S59" s="1127"/>
      <c r="T59" s="1126"/>
      <c r="U59" s="1127"/>
      <c r="V59" s="1127"/>
      <c r="W59" s="1126"/>
      <c r="X59" s="1127"/>
      <c r="Y59" s="1127"/>
      <c r="Z59" s="1128"/>
      <c r="AA59" s="1127"/>
      <c r="AB59" s="946"/>
      <c r="AC59" s="946"/>
      <c r="AD59" s="1048"/>
      <c r="AE59" s="1049"/>
      <c r="AF59" s="1049"/>
      <c r="AG59" s="1049"/>
      <c r="AH59" s="1049"/>
      <c r="AI59" s="1047"/>
      <c r="AJ59" s="1047"/>
      <c r="AK59" s="1047"/>
      <c r="AL59" s="1047"/>
      <c r="AM59" s="1047"/>
      <c r="AN59" s="1044"/>
    </row>
    <row r="60" spans="2:40" x14ac:dyDescent="0.2">
      <c r="B60" s="1014"/>
      <c r="C60" s="1108"/>
      <c r="D60" s="1105"/>
      <c r="E60" s="955"/>
      <c r="F60" s="955"/>
      <c r="G60" s="1121"/>
      <c r="H60" s="1121"/>
      <c r="I60" s="1121"/>
      <c r="J60" s="1122"/>
      <c r="K60" s="1122"/>
      <c r="L60" s="1121"/>
      <c r="M60" s="1121"/>
      <c r="N60" s="1123"/>
      <c r="O60" s="1124"/>
      <c r="P60" s="1125"/>
      <c r="Q60" s="1126"/>
      <c r="R60" s="1126"/>
      <c r="S60" s="1127"/>
      <c r="T60" s="1126"/>
      <c r="U60" s="1127"/>
      <c r="V60" s="1127"/>
      <c r="W60" s="1126"/>
      <c r="X60" s="1127"/>
      <c r="Y60" s="1127"/>
      <c r="Z60" s="1128"/>
      <c r="AA60" s="1127"/>
      <c r="AB60" s="946"/>
      <c r="AC60" s="946"/>
      <c r="AD60" s="1048"/>
      <c r="AE60" s="1049"/>
      <c r="AF60" s="1049"/>
      <c r="AG60" s="1049"/>
      <c r="AH60" s="1049"/>
      <c r="AI60" s="1047"/>
      <c r="AJ60" s="1047"/>
      <c r="AK60" s="1047"/>
      <c r="AL60" s="1047"/>
      <c r="AM60" s="1047"/>
      <c r="AN60" s="1044"/>
    </row>
    <row r="61" spans="2:40" x14ac:dyDescent="0.2">
      <c r="B61" s="1019"/>
      <c r="C61" s="1110"/>
      <c r="D61" s="1111"/>
      <c r="E61" s="1112"/>
      <c r="F61" s="1112"/>
      <c r="G61" s="1121"/>
      <c r="H61" s="1121"/>
      <c r="I61" s="1121"/>
      <c r="J61" s="1129"/>
      <c r="K61" s="1129"/>
      <c r="L61" s="1121"/>
      <c r="M61" s="1130"/>
      <c r="N61" s="1131"/>
      <c r="O61" s="1132"/>
      <c r="P61" s="1125"/>
      <c r="Q61" s="1126"/>
      <c r="R61" s="1126"/>
      <c r="S61" s="1127"/>
      <c r="T61" s="1126"/>
      <c r="U61" s="1127"/>
      <c r="V61" s="1127"/>
      <c r="W61" s="1126"/>
      <c r="X61" s="1127"/>
      <c r="Y61" s="1127"/>
      <c r="Z61" s="1128"/>
      <c r="AA61" s="1127"/>
      <c r="AB61" s="970"/>
      <c r="AC61" s="970"/>
      <c r="AD61" s="1048"/>
      <c r="AE61" s="1049"/>
      <c r="AF61" s="1049"/>
      <c r="AG61" s="1049"/>
      <c r="AH61" s="1049"/>
      <c r="AI61" s="1047"/>
      <c r="AJ61" s="1047"/>
      <c r="AK61" s="1047"/>
      <c r="AL61" s="1047"/>
      <c r="AM61" s="1047"/>
      <c r="AN61" s="1044"/>
    </row>
    <row r="62" spans="2:40" x14ac:dyDescent="0.2">
      <c r="B62" s="1022" t="s">
        <v>70</v>
      </c>
      <c r="C62" s="1050" t="s">
        <v>157</v>
      </c>
      <c r="D62" s="1051"/>
      <c r="E62" s="1052"/>
      <c r="F62" s="1052"/>
      <c r="G62" s="1028"/>
      <c r="H62" s="1028"/>
      <c r="I62" s="1028"/>
      <c r="J62" s="1053"/>
      <c r="K62" s="1053"/>
      <c r="L62" s="1028"/>
      <c r="M62" s="1028"/>
      <c r="N62" s="1054"/>
      <c r="O62" s="1028"/>
      <c r="P62" s="1038"/>
      <c r="Q62" s="1039"/>
      <c r="R62" s="1039"/>
      <c r="S62" s="1039"/>
      <c r="T62" s="1039"/>
      <c r="U62" s="1039"/>
      <c r="V62" s="1039"/>
      <c r="W62" s="1039"/>
      <c r="X62" s="1039"/>
      <c r="Y62" s="1039"/>
      <c r="Z62" s="1039"/>
      <c r="AA62" s="1028"/>
      <c r="AB62" s="1028"/>
      <c r="AC62" s="1028"/>
      <c r="AD62" s="973">
        <v>20.6</v>
      </c>
      <c r="AE62" s="975">
        <v>134</v>
      </c>
      <c r="AF62" s="975">
        <v>25.4</v>
      </c>
      <c r="AG62" s="975">
        <v>30.1</v>
      </c>
      <c r="AH62" s="974">
        <v>101</v>
      </c>
      <c r="AI62" s="976"/>
      <c r="AJ62" s="974"/>
      <c r="AK62" s="975"/>
      <c r="AL62" s="975"/>
      <c r="AM62" s="975"/>
      <c r="AN62" s="977">
        <v>10.5</v>
      </c>
    </row>
    <row r="63" spans="2:40" x14ac:dyDescent="0.2">
      <c r="B63" s="1014"/>
      <c r="C63" s="1055" t="s">
        <v>158</v>
      </c>
      <c r="D63" s="1056"/>
      <c r="E63" s="1057"/>
      <c r="F63" s="1057"/>
      <c r="G63" s="1058"/>
      <c r="H63" s="1058"/>
      <c r="I63" s="1058"/>
      <c r="J63" s="1059"/>
      <c r="K63" s="1059"/>
      <c r="L63" s="1058"/>
      <c r="M63" s="1058"/>
      <c r="N63" s="1058"/>
      <c r="O63" s="1058"/>
      <c r="P63" s="1060"/>
      <c r="Q63" s="1061"/>
      <c r="R63" s="1061"/>
      <c r="S63" s="1061"/>
      <c r="T63" s="1061"/>
      <c r="U63" s="1061"/>
      <c r="V63" s="1061"/>
      <c r="W63" s="1061"/>
      <c r="X63" s="1061"/>
      <c r="Y63" s="1061"/>
      <c r="Z63" s="1061"/>
      <c r="AA63" s="1062"/>
      <c r="AB63" s="1062"/>
      <c r="AC63" s="1062"/>
      <c r="AD63" s="1133">
        <v>20.3</v>
      </c>
      <c r="AE63" s="1134">
        <v>134</v>
      </c>
      <c r="AF63" s="1134">
        <v>25.4</v>
      </c>
      <c r="AG63" s="1134">
        <v>30.1</v>
      </c>
      <c r="AH63" s="1135">
        <v>101</v>
      </c>
      <c r="AI63" s="1136"/>
      <c r="AJ63" s="1135"/>
      <c r="AK63" s="1134"/>
      <c r="AL63" s="1134"/>
      <c r="AM63" s="1134"/>
      <c r="AN63" s="1137">
        <v>10.5</v>
      </c>
    </row>
    <row r="64" spans="2:40" ht="11.25" customHeight="1" x14ac:dyDescent="0.2">
      <c r="B64" s="1063" t="s">
        <v>76</v>
      </c>
      <c r="C64" s="1022" t="s">
        <v>57</v>
      </c>
      <c r="D64" s="989" t="s">
        <v>83</v>
      </c>
      <c r="E64" s="996" t="s">
        <v>85</v>
      </c>
      <c r="F64" s="998"/>
      <c r="G64" s="996" t="s">
        <v>230</v>
      </c>
      <c r="H64" s="997"/>
      <c r="I64" s="998"/>
      <c r="J64" s="999" t="s">
        <v>48</v>
      </c>
      <c r="K64" s="1000"/>
      <c r="L64" s="1000"/>
      <c r="M64" s="1000"/>
      <c r="N64" s="1000"/>
      <c r="O64" s="1001"/>
      <c r="P64" s="995" t="s">
        <v>52</v>
      </c>
      <c r="Q64" s="995"/>
      <c r="R64" s="995"/>
      <c r="S64" s="995"/>
      <c r="T64" s="995"/>
      <c r="U64" s="995"/>
      <c r="V64" s="995"/>
      <c r="W64" s="995"/>
      <c r="X64" s="1005"/>
      <c r="Y64" s="1005"/>
      <c r="Z64" s="1064"/>
      <c r="AA64" s="1000" t="s">
        <v>80</v>
      </c>
      <c r="AB64" s="1001"/>
      <c r="AC64" s="989" t="s">
        <v>72</v>
      </c>
      <c r="AD64" s="1002" t="s">
        <v>52</v>
      </c>
      <c r="AE64" s="1003"/>
      <c r="AF64" s="1003"/>
      <c r="AG64" s="1003"/>
      <c r="AH64" s="1004"/>
      <c r="AI64" s="1002" t="s">
        <v>175</v>
      </c>
      <c r="AJ64" s="1003"/>
      <c r="AK64" s="1003"/>
      <c r="AL64" s="1003"/>
      <c r="AM64" s="1004"/>
      <c r="AN64" s="994" t="s">
        <v>227</v>
      </c>
    </row>
    <row r="65" spans="2:40" ht="11.25" customHeight="1" x14ac:dyDescent="0.2">
      <c r="B65" s="1065"/>
      <c r="C65" s="1014"/>
      <c r="D65" s="994"/>
      <c r="E65" s="1066"/>
      <c r="F65" s="1067"/>
      <c r="G65" s="1006"/>
      <c r="H65" s="1007"/>
      <c r="I65" s="1008"/>
      <c r="J65" s="999" t="s">
        <v>77</v>
      </c>
      <c r="K65" s="1001"/>
      <c r="L65" s="1005" t="s">
        <v>50</v>
      </c>
      <c r="M65" s="1005" t="s">
        <v>291</v>
      </c>
      <c r="N65" s="1005" t="s">
        <v>11</v>
      </c>
      <c r="O65" s="1005" t="s">
        <v>12</v>
      </c>
      <c r="P65" s="1005" t="s">
        <v>53</v>
      </c>
      <c r="Q65" s="1068" t="s">
        <v>68</v>
      </c>
      <c r="R65" s="999" t="s">
        <v>9</v>
      </c>
      <c r="S65" s="1000"/>
      <c r="T65" s="1001"/>
      <c r="U65" s="999" t="s">
        <v>11</v>
      </c>
      <c r="V65" s="1000"/>
      <c r="W65" s="1001"/>
      <c r="X65" s="999" t="s">
        <v>12</v>
      </c>
      <c r="Y65" s="1000"/>
      <c r="Z65" s="1001"/>
      <c r="AA65" s="1069" t="s">
        <v>73</v>
      </c>
      <c r="AB65" s="989" t="s">
        <v>74</v>
      </c>
      <c r="AC65" s="1010"/>
      <c r="AD65" s="1005" t="s">
        <v>53</v>
      </c>
      <c r="AE65" s="1011" t="s">
        <v>114</v>
      </c>
      <c r="AF65" s="1011" t="s">
        <v>115</v>
      </c>
      <c r="AG65" s="1011" t="s">
        <v>11</v>
      </c>
      <c r="AH65" s="1011" t="s">
        <v>12</v>
      </c>
      <c r="AI65" s="1005" t="s">
        <v>53</v>
      </c>
      <c r="AJ65" s="1011" t="s">
        <v>114</v>
      </c>
      <c r="AK65" s="1011" t="s">
        <v>115</v>
      </c>
      <c r="AL65" s="1011" t="s">
        <v>11</v>
      </c>
      <c r="AM65" s="1011" t="s">
        <v>12</v>
      </c>
      <c r="AN65" s="994"/>
    </row>
    <row r="66" spans="2:40" ht="11.25" customHeight="1" x14ac:dyDescent="0.2">
      <c r="B66" s="1065"/>
      <c r="C66" s="1014"/>
      <c r="D66" s="1010"/>
      <c r="E66" s="1006"/>
      <c r="F66" s="1008"/>
      <c r="G66" s="1012" t="s">
        <v>7</v>
      </c>
      <c r="H66" s="1013"/>
      <c r="I66" s="1014" t="s">
        <v>45</v>
      </c>
      <c r="J66" s="989" t="s">
        <v>90</v>
      </c>
      <c r="K66" s="1022" t="s">
        <v>78</v>
      </c>
      <c r="L66" s="995" t="s">
        <v>30</v>
      </c>
      <c r="M66" s="995" t="s">
        <v>169</v>
      </c>
      <c r="N66" s="995"/>
      <c r="O66" s="995"/>
      <c r="P66" s="995" t="s">
        <v>54</v>
      </c>
      <c r="Q66" s="1022" t="s">
        <v>30</v>
      </c>
      <c r="R66" s="1005" t="s">
        <v>55</v>
      </c>
      <c r="S66" s="1005" t="s">
        <v>41</v>
      </c>
      <c r="T66" s="999" t="s">
        <v>58</v>
      </c>
      <c r="U66" s="1000"/>
      <c r="V66" s="1000"/>
      <c r="W66" s="1000"/>
      <c r="X66" s="1000"/>
      <c r="Y66" s="1000"/>
      <c r="Z66" s="1001"/>
      <c r="AA66" s="1069"/>
      <c r="AB66" s="994"/>
      <c r="AC66" s="989" t="s">
        <v>73</v>
      </c>
      <c r="AD66" s="995" t="s">
        <v>54</v>
      </c>
      <c r="AE66" s="999" t="s">
        <v>58</v>
      </c>
      <c r="AF66" s="1000"/>
      <c r="AG66" s="1000"/>
      <c r="AH66" s="1001"/>
      <c r="AI66" s="995" t="s">
        <v>54</v>
      </c>
      <c r="AJ66" s="999" t="s">
        <v>58</v>
      </c>
      <c r="AK66" s="1000"/>
      <c r="AL66" s="1000"/>
      <c r="AM66" s="1001"/>
      <c r="AN66" s="1015" t="s">
        <v>228</v>
      </c>
    </row>
    <row r="67" spans="2:40" x14ac:dyDescent="0.2">
      <c r="B67" s="1070"/>
      <c r="C67" s="1014"/>
      <c r="D67" s="1071" t="s">
        <v>84</v>
      </c>
      <c r="E67" s="1045" t="s">
        <v>7</v>
      </c>
      <c r="F67" s="1072"/>
      <c r="G67" s="1012"/>
      <c r="H67" s="1013"/>
      <c r="I67" s="1014"/>
      <c r="J67" s="994"/>
      <c r="K67" s="1014"/>
      <c r="L67" s="1022"/>
      <c r="M67" s="995"/>
      <c r="N67" s="995"/>
      <c r="O67" s="995"/>
      <c r="P67" s="1022"/>
      <c r="Q67" s="1014"/>
      <c r="R67" s="1021" t="s">
        <v>45</v>
      </c>
      <c r="S67" s="1021"/>
      <c r="T67" s="1021"/>
      <c r="U67" s="1021"/>
      <c r="V67" s="1021"/>
      <c r="W67" s="1021"/>
      <c r="X67" s="1021"/>
      <c r="Y67" s="1021"/>
      <c r="Z67" s="1021"/>
      <c r="AA67" s="998"/>
      <c r="AB67" s="994"/>
      <c r="AC67" s="994"/>
      <c r="AD67" s="1022"/>
      <c r="AE67" s="1023" t="s">
        <v>45</v>
      </c>
      <c r="AF67" s="1024"/>
      <c r="AG67" s="1024"/>
      <c r="AH67" s="1025"/>
      <c r="AI67" s="1022"/>
      <c r="AJ67" s="1023" t="s">
        <v>45</v>
      </c>
      <c r="AK67" s="1024"/>
      <c r="AL67" s="1024"/>
      <c r="AM67" s="1025"/>
      <c r="AN67" s="1026" t="s">
        <v>30</v>
      </c>
    </row>
    <row r="68" spans="2:40" ht="11.25" customHeight="1" x14ac:dyDescent="0.2">
      <c r="B68" s="1022" t="s">
        <v>32</v>
      </c>
      <c r="C68" s="1073" t="s">
        <v>153</v>
      </c>
      <c r="D68" s="1074"/>
      <c r="E68" s="1028"/>
      <c r="F68" s="1028"/>
      <c r="G68" s="1028"/>
      <c r="H68" s="1028"/>
      <c r="I68" s="1028"/>
      <c r="J68" s="1075"/>
      <c r="K68" s="1028"/>
      <c r="L68" s="1028"/>
      <c r="M68" s="1028"/>
      <c r="N68" s="1028"/>
      <c r="O68" s="1028"/>
      <c r="P68" s="1029"/>
      <c r="Q68" s="1028"/>
      <c r="R68" s="1030"/>
      <c r="S68" s="1030"/>
      <c r="T68" s="1030"/>
      <c r="U68" s="1030"/>
      <c r="V68" s="1030"/>
      <c r="W68" s="1030"/>
      <c r="X68" s="1030"/>
      <c r="Y68" s="1030"/>
      <c r="Z68" s="1030"/>
      <c r="AA68" s="1075"/>
      <c r="AB68" s="1075"/>
      <c r="AC68" s="1075"/>
      <c r="AD68" s="1138">
        <v>4</v>
      </c>
      <c r="AE68" s="975">
        <v>25.1</v>
      </c>
      <c r="AF68" s="975"/>
      <c r="AG68" s="975">
        <v>5.4</v>
      </c>
      <c r="AH68" s="975">
        <v>10.1</v>
      </c>
      <c r="AI68" s="976"/>
      <c r="AJ68" s="976"/>
      <c r="AK68" s="976"/>
      <c r="AL68" s="976"/>
      <c r="AM68" s="976"/>
      <c r="AN68" s="977">
        <v>9.5</v>
      </c>
    </row>
    <row r="69" spans="2:40" ht="11.25" customHeight="1" x14ac:dyDescent="0.2">
      <c r="B69" s="1014"/>
      <c r="C69" s="1076" t="s">
        <v>116</v>
      </c>
      <c r="D69" s="1077"/>
      <c r="E69" s="1027"/>
      <c r="F69" s="1027"/>
      <c r="G69" s="1027"/>
      <c r="H69" s="1027"/>
      <c r="I69" s="1027"/>
      <c r="J69" s="1031"/>
      <c r="K69" s="1027"/>
      <c r="L69" s="1027"/>
      <c r="M69" s="1027"/>
      <c r="N69" s="1027"/>
      <c r="O69" s="1027"/>
      <c r="P69" s="1033"/>
      <c r="Q69" s="1027"/>
      <c r="R69" s="1034"/>
      <c r="S69" s="1034"/>
      <c r="T69" s="1034"/>
      <c r="U69" s="1034"/>
      <c r="V69" s="1034"/>
      <c r="W69" s="1034"/>
      <c r="X69" s="1034"/>
      <c r="Y69" s="1034"/>
      <c r="Z69" s="1034"/>
      <c r="AA69" s="1031"/>
      <c r="AB69" s="1031"/>
      <c r="AC69" s="1031"/>
      <c r="AD69" s="1139">
        <v>4</v>
      </c>
      <c r="AE69" s="980">
        <v>25.1</v>
      </c>
      <c r="AF69" s="980"/>
      <c r="AG69" s="980">
        <v>5.4</v>
      </c>
      <c r="AH69" s="980">
        <v>10.1</v>
      </c>
      <c r="AI69" s="981"/>
      <c r="AJ69" s="981"/>
      <c r="AK69" s="981"/>
      <c r="AL69" s="981"/>
      <c r="AM69" s="981"/>
      <c r="AN69" s="982">
        <v>9.5</v>
      </c>
    </row>
    <row r="70" spans="2:40" ht="11.25" customHeight="1" x14ac:dyDescent="0.2">
      <c r="B70" s="1014"/>
      <c r="C70" s="1078" t="s">
        <v>168</v>
      </c>
      <c r="D70" s="1079"/>
      <c r="E70" s="1062"/>
      <c r="F70" s="1062"/>
      <c r="G70" s="1062"/>
      <c r="H70" s="1062"/>
      <c r="I70" s="1062"/>
      <c r="J70" s="1080"/>
      <c r="K70" s="1062"/>
      <c r="L70" s="1062"/>
      <c r="M70" s="1062"/>
      <c r="N70" s="1062"/>
      <c r="O70" s="1062"/>
      <c r="P70" s="1081"/>
      <c r="Q70" s="1062"/>
      <c r="R70" s="1035"/>
      <c r="S70" s="1035"/>
      <c r="T70" s="1035"/>
      <c r="U70" s="1035"/>
      <c r="V70" s="1035"/>
      <c r="W70" s="1035"/>
      <c r="X70" s="1035"/>
      <c r="Y70" s="1035"/>
      <c r="Z70" s="1035"/>
      <c r="AA70" s="1080"/>
      <c r="AB70" s="1080"/>
      <c r="AC70" s="1080"/>
      <c r="AD70" s="1139">
        <v>4</v>
      </c>
      <c r="AE70" s="980">
        <v>25.1</v>
      </c>
      <c r="AF70" s="980"/>
      <c r="AG70" s="980">
        <v>5.4</v>
      </c>
      <c r="AH70" s="980">
        <v>10.1</v>
      </c>
      <c r="AI70" s="1140">
        <v>4</v>
      </c>
      <c r="AJ70" s="981">
        <v>25.1</v>
      </c>
      <c r="AK70" s="981"/>
      <c r="AL70" s="981">
        <v>5.4</v>
      </c>
      <c r="AM70" s="981">
        <v>10.1</v>
      </c>
      <c r="AN70" s="982">
        <v>9.5</v>
      </c>
    </row>
    <row r="71" spans="2:40" x14ac:dyDescent="0.2">
      <c r="B71" s="1014"/>
      <c r="C71" s="1104"/>
      <c r="D71" s="953"/>
      <c r="E71" s="955"/>
      <c r="F71" s="955"/>
      <c r="G71" s="1122"/>
      <c r="H71" s="1122"/>
      <c r="I71" s="1122"/>
      <c r="J71" s="624"/>
      <c r="K71" s="624"/>
      <c r="L71" s="624"/>
      <c r="M71" s="1141"/>
      <c r="N71" s="1141"/>
      <c r="O71" s="941"/>
      <c r="P71" s="957"/>
      <c r="Q71" s="945"/>
      <c r="R71" s="945"/>
      <c r="S71" s="945"/>
      <c r="T71" s="945"/>
      <c r="U71" s="945"/>
      <c r="V71" s="945"/>
      <c r="W71" s="945"/>
      <c r="X71" s="945"/>
      <c r="Y71" s="945"/>
      <c r="Z71" s="948"/>
      <c r="AA71" s="1127"/>
      <c r="AB71" s="1127"/>
      <c r="AC71" s="946"/>
      <c r="AD71" s="1082"/>
      <c r="AE71" s="1046"/>
      <c r="AF71" s="1046"/>
      <c r="AG71" s="1046"/>
      <c r="AH71" s="1046"/>
      <c r="AI71" s="1046"/>
      <c r="AJ71" s="1046"/>
      <c r="AK71" s="1046"/>
      <c r="AL71" s="1046"/>
      <c r="AM71" s="1046"/>
      <c r="AN71" s="1040"/>
    </row>
    <row r="72" spans="2:40" x14ac:dyDescent="0.2">
      <c r="B72" s="1014"/>
      <c r="C72" s="1108"/>
      <c r="D72" s="953"/>
      <c r="E72" s="955"/>
      <c r="F72" s="955"/>
      <c r="G72" s="1122"/>
      <c r="H72" s="1122"/>
      <c r="I72" s="1122"/>
      <c r="J72" s="624"/>
      <c r="K72" s="624"/>
      <c r="L72" s="624"/>
      <c r="M72" s="624"/>
      <c r="N72" s="624"/>
      <c r="O72" s="956"/>
      <c r="P72" s="957"/>
      <c r="Q72" s="945"/>
      <c r="R72" s="945"/>
      <c r="S72" s="945"/>
      <c r="T72" s="945"/>
      <c r="U72" s="945"/>
      <c r="V72" s="945"/>
      <c r="W72" s="945"/>
      <c r="X72" s="945"/>
      <c r="Y72" s="945"/>
      <c r="Z72" s="948"/>
      <c r="AA72" s="1127"/>
      <c r="AB72" s="1127"/>
      <c r="AC72" s="946"/>
      <c r="AD72" s="1083"/>
      <c r="AE72" s="1047"/>
      <c r="AF72" s="1047"/>
      <c r="AG72" s="1047"/>
      <c r="AH72" s="1047"/>
      <c r="AI72" s="1047"/>
      <c r="AJ72" s="1047"/>
      <c r="AK72" s="1047"/>
      <c r="AL72" s="1047"/>
      <c r="AM72" s="1047"/>
      <c r="AN72" s="1044"/>
    </row>
    <row r="73" spans="2:40" x14ac:dyDescent="0.2">
      <c r="B73" s="1014"/>
      <c r="C73" s="1108"/>
      <c r="D73" s="953"/>
      <c r="E73" s="955"/>
      <c r="F73" s="955"/>
      <c r="G73" s="1122"/>
      <c r="H73" s="1122"/>
      <c r="I73" s="1122"/>
      <c r="J73" s="624"/>
      <c r="K73" s="624"/>
      <c r="L73" s="624"/>
      <c r="M73" s="624"/>
      <c r="N73" s="624"/>
      <c r="O73" s="956"/>
      <c r="P73" s="957"/>
      <c r="Q73" s="945"/>
      <c r="R73" s="945"/>
      <c r="S73" s="945"/>
      <c r="T73" s="945"/>
      <c r="U73" s="945"/>
      <c r="V73" s="945"/>
      <c r="W73" s="945"/>
      <c r="X73" s="945"/>
      <c r="Y73" s="945"/>
      <c r="Z73" s="948"/>
      <c r="AA73" s="1127"/>
      <c r="AB73" s="1127"/>
      <c r="AC73" s="946"/>
      <c r="AD73" s="1083"/>
      <c r="AE73" s="1047"/>
      <c r="AF73" s="1047"/>
      <c r="AG73" s="1047"/>
      <c r="AH73" s="1047"/>
      <c r="AI73" s="1047"/>
      <c r="AJ73" s="1047"/>
      <c r="AK73" s="1047"/>
      <c r="AL73" s="1047"/>
      <c r="AM73" s="1047"/>
      <c r="AN73" s="1044"/>
    </row>
    <row r="74" spans="2:40" x14ac:dyDescent="0.2">
      <c r="B74" s="1014"/>
      <c r="C74" s="1108"/>
      <c r="D74" s="953"/>
      <c r="E74" s="955"/>
      <c r="F74" s="955"/>
      <c r="G74" s="1122"/>
      <c r="H74" s="1122"/>
      <c r="I74" s="1122"/>
      <c r="J74" s="624"/>
      <c r="K74" s="624"/>
      <c r="L74" s="624"/>
      <c r="M74" s="624"/>
      <c r="N74" s="624"/>
      <c r="O74" s="956"/>
      <c r="P74" s="957"/>
      <c r="Q74" s="945"/>
      <c r="R74" s="945"/>
      <c r="S74" s="945"/>
      <c r="T74" s="945"/>
      <c r="U74" s="945"/>
      <c r="V74" s="945"/>
      <c r="W74" s="945"/>
      <c r="X74" s="945"/>
      <c r="Y74" s="945"/>
      <c r="Z74" s="948"/>
      <c r="AA74" s="1127"/>
      <c r="AB74" s="1127"/>
      <c r="AC74" s="946"/>
      <c r="AD74" s="1083"/>
      <c r="AE74" s="1047"/>
      <c r="AF74" s="1047"/>
      <c r="AG74" s="1047"/>
      <c r="AH74" s="1047"/>
      <c r="AI74" s="1047"/>
      <c r="AJ74" s="1047"/>
      <c r="AK74" s="1047"/>
      <c r="AL74" s="1047"/>
      <c r="AM74" s="1047"/>
      <c r="AN74" s="1044"/>
    </row>
    <row r="75" spans="2:40" x14ac:dyDescent="0.2">
      <c r="B75" s="1014"/>
      <c r="C75" s="1108"/>
      <c r="D75" s="953"/>
      <c r="E75" s="955"/>
      <c r="F75" s="955"/>
      <c r="G75" s="1122"/>
      <c r="H75" s="1122"/>
      <c r="I75" s="1122"/>
      <c r="J75" s="624"/>
      <c r="K75" s="624"/>
      <c r="L75" s="624"/>
      <c r="M75" s="624"/>
      <c r="N75" s="624"/>
      <c r="O75" s="956"/>
      <c r="P75" s="957"/>
      <c r="Q75" s="945"/>
      <c r="R75" s="945"/>
      <c r="S75" s="945"/>
      <c r="T75" s="945"/>
      <c r="U75" s="945"/>
      <c r="V75" s="945"/>
      <c r="W75" s="945"/>
      <c r="X75" s="945"/>
      <c r="Y75" s="945"/>
      <c r="Z75" s="948"/>
      <c r="AA75" s="1127"/>
      <c r="AB75" s="1127"/>
      <c r="AC75" s="946"/>
      <c r="AD75" s="1083"/>
      <c r="AE75" s="1047"/>
      <c r="AF75" s="1047"/>
      <c r="AG75" s="1047"/>
      <c r="AH75" s="1047"/>
      <c r="AI75" s="1047"/>
      <c r="AJ75" s="1047"/>
      <c r="AK75" s="1047"/>
      <c r="AL75" s="1047"/>
      <c r="AM75" s="1047"/>
      <c r="AN75" s="1044"/>
    </row>
    <row r="76" spans="2:40" x14ac:dyDescent="0.2">
      <c r="B76" s="1014"/>
      <c r="C76" s="1108"/>
      <c r="D76" s="953"/>
      <c r="E76" s="955"/>
      <c r="F76" s="955"/>
      <c r="G76" s="1122"/>
      <c r="H76" s="1122"/>
      <c r="I76" s="1122"/>
      <c r="J76" s="624"/>
      <c r="K76" s="624"/>
      <c r="L76" s="624"/>
      <c r="M76" s="624"/>
      <c r="N76" s="624"/>
      <c r="O76" s="956"/>
      <c r="P76" s="957"/>
      <c r="Q76" s="945"/>
      <c r="R76" s="945"/>
      <c r="S76" s="945"/>
      <c r="T76" s="945"/>
      <c r="U76" s="945"/>
      <c r="V76" s="945"/>
      <c r="W76" s="945"/>
      <c r="X76" s="945"/>
      <c r="Y76" s="945"/>
      <c r="Z76" s="948"/>
      <c r="AA76" s="1127"/>
      <c r="AB76" s="1127"/>
      <c r="AC76" s="946"/>
      <c r="AD76" s="1083"/>
      <c r="AE76" s="1047"/>
      <c r="AF76" s="1047"/>
      <c r="AG76" s="1047"/>
      <c r="AH76" s="1047"/>
      <c r="AI76" s="1047"/>
      <c r="AJ76" s="1047"/>
      <c r="AK76" s="1047"/>
      <c r="AL76" s="1047"/>
      <c r="AM76" s="1047"/>
      <c r="AN76" s="1044"/>
    </row>
    <row r="77" spans="2:40" x14ac:dyDescent="0.2">
      <c r="B77" s="1014"/>
      <c r="C77" s="1108"/>
      <c r="D77" s="953"/>
      <c r="E77" s="955"/>
      <c r="F77" s="955"/>
      <c r="G77" s="1122"/>
      <c r="H77" s="1122"/>
      <c r="I77" s="1122"/>
      <c r="J77" s="624"/>
      <c r="K77" s="624"/>
      <c r="L77" s="624"/>
      <c r="M77" s="624"/>
      <c r="N77" s="624"/>
      <c r="O77" s="956"/>
      <c r="P77" s="957"/>
      <c r="Q77" s="945"/>
      <c r="R77" s="945"/>
      <c r="S77" s="945"/>
      <c r="T77" s="945"/>
      <c r="U77" s="945"/>
      <c r="V77" s="945"/>
      <c r="W77" s="945"/>
      <c r="X77" s="945"/>
      <c r="Y77" s="945"/>
      <c r="Z77" s="948"/>
      <c r="AA77" s="1127"/>
      <c r="AB77" s="1127"/>
      <c r="AC77" s="946"/>
      <c r="AD77" s="1083"/>
      <c r="AE77" s="1047"/>
      <c r="AF77" s="1047"/>
      <c r="AG77" s="1047"/>
      <c r="AH77" s="1047"/>
      <c r="AI77" s="1047"/>
      <c r="AJ77" s="1047"/>
      <c r="AK77" s="1047"/>
      <c r="AL77" s="1047"/>
      <c r="AM77" s="1047"/>
      <c r="AN77" s="1044"/>
    </row>
    <row r="78" spans="2:40" x14ac:dyDescent="0.2">
      <c r="B78" s="1014"/>
      <c r="C78" s="1108"/>
      <c r="D78" s="953"/>
      <c r="E78" s="955"/>
      <c r="F78" s="955"/>
      <c r="G78" s="1122"/>
      <c r="H78" s="1122"/>
      <c r="I78" s="1122"/>
      <c r="J78" s="624"/>
      <c r="K78" s="624"/>
      <c r="L78" s="624"/>
      <c r="M78" s="624"/>
      <c r="N78" s="624"/>
      <c r="O78" s="956"/>
      <c r="P78" s="957"/>
      <c r="Q78" s="945"/>
      <c r="R78" s="945"/>
      <c r="S78" s="945"/>
      <c r="T78" s="945"/>
      <c r="U78" s="945"/>
      <c r="V78" s="945"/>
      <c r="W78" s="945"/>
      <c r="X78" s="945"/>
      <c r="Y78" s="945"/>
      <c r="Z78" s="948"/>
      <c r="AA78" s="1127"/>
      <c r="AB78" s="1127"/>
      <c r="AC78" s="946"/>
      <c r="AD78" s="1083"/>
      <c r="AE78" s="1047"/>
      <c r="AF78" s="1047"/>
      <c r="AG78" s="1047"/>
      <c r="AH78" s="1047"/>
      <c r="AI78" s="1047"/>
      <c r="AJ78" s="1047"/>
      <c r="AK78" s="1047"/>
      <c r="AL78" s="1047"/>
      <c r="AM78" s="1047"/>
      <c r="AN78" s="1044"/>
    </row>
    <row r="79" spans="2:40" x14ac:dyDescent="0.2">
      <c r="B79" s="1014"/>
      <c r="C79" s="1108"/>
      <c r="D79" s="953"/>
      <c r="E79" s="955"/>
      <c r="F79" s="955"/>
      <c r="G79" s="1122"/>
      <c r="H79" s="1122"/>
      <c r="I79" s="1122"/>
      <c r="J79" s="624"/>
      <c r="K79" s="624"/>
      <c r="L79" s="624"/>
      <c r="M79" s="624"/>
      <c r="N79" s="624"/>
      <c r="O79" s="956"/>
      <c r="P79" s="957"/>
      <c r="Q79" s="945"/>
      <c r="R79" s="945"/>
      <c r="S79" s="945"/>
      <c r="T79" s="945"/>
      <c r="U79" s="945"/>
      <c r="V79" s="945"/>
      <c r="W79" s="945"/>
      <c r="X79" s="945"/>
      <c r="Y79" s="945"/>
      <c r="Z79" s="948"/>
      <c r="AA79" s="1127"/>
      <c r="AB79" s="1127"/>
      <c r="AC79" s="946"/>
      <c r="AD79" s="1083"/>
      <c r="AE79" s="1047"/>
      <c r="AF79" s="1047"/>
      <c r="AG79" s="1047"/>
      <c r="AH79" s="1047"/>
      <c r="AI79" s="1047"/>
      <c r="AJ79" s="1047"/>
      <c r="AK79" s="1047"/>
      <c r="AL79" s="1047"/>
      <c r="AM79" s="1047"/>
      <c r="AN79" s="1044"/>
    </row>
    <row r="80" spans="2:40" x14ac:dyDescent="0.2">
      <c r="B80" s="1019"/>
      <c r="C80" s="1110"/>
      <c r="D80" s="962"/>
      <c r="E80" s="1112"/>
      <c r="F80" s="1112"/>
      <c r="G80" s="1129"/>
      <c r="H80" s="1129"/>
      <c r="I80" s="1129"/>
      <c r="J80" s="1142"/>
      <c r="K80" s="1142"/>
      <c r="L80" s="1142"/>
      <c r="M80" s="1142"/>
      <c r="N80" s="1142"/>
      <c r="O80" s="967"/>
      <c r="P80" s="968"/>
      <c r="Q80" s="969"/>
      <c r="R80" s="969"/>
      <c r="S80" s="969"/>
      <c r="T80" s="969"/>
      <c r="U80" s="969"/>
      <c r="V80" s="969"/>
      <c r="W80" s="969"/>
      <c r="X80" s="969"/>
      <c r="Y80" s="969"/>
      <c r="Z80" s="972"/>
      <c r="AA80" s="1143"/>
      <c r="AB80" s="1143"/>
      <c r="AC80" s="970"/>
      <c r="AD80" s="1083"/>
      <c r="AE80" s="1047"/>
      <c r="AF80" s="1047"/>
      <c r="AG80" s="1047"/>
      <c r="AH80" s="1047"/>
      <c r="AI80" s="1047"/>
      <c r="AJ80" s="1047"/>
      <c r="AK80" s="1047"/>
      <c r="AL80" s="1047"/>
      <c r="AM80" s="1047"/>
      <c r="AN80" s="1044"/>
    </row>
    <row r="81" spans="2:40" x14ac:dyDescent="0.2">
      <c r="B81" s="989" t="s">
        <v>28</v>
      </c>
      <c r="C81" s="1104"/>
      <c r="D81" s="1114"/>
      <c r="E81" s="940"/>
      <c r="F81" s="940"/>
      <c r="G81" s="937"/>
      <c r="H81" s="937"/>
      <c r="I81" s="1141"/>
      <c r="J81" s="1141"/>
      <c r="K81" s="1141"/>
      <c r="L81" s="937"/>
      <c r="M81" s="937"/>
      <c r="N81" s="1141"/>
      <c r="O81" s="1115"/>
      <c r="P81" s="1144"/>
      <c r="Q81" s="944"/>
      <c r="R81" s="944"/>
      <c r="S81" s="944"/>
      <c r="T81" s="943"/>
      <c r="U81" s="944"/>
      <c r="V81" s="944"/>
      <c r="W81" s="943"/>
      <c r="X81" s="944"/>
      <c r="Y81" s="944"/>
      <c r="Z81" s="1107"/>
      <c r="AA81" s="944"/>
      <c r="AB81" s="944"/>
      <c r="AC81" s="944"/>
      <c r="AD81" s="1029"/>
      <c r="AE81" s="1028"/>
      <c r="AF81" s="1028"/>
      <c r="AG81" s="1028"/>
      <c r="AH81" s="1028"/>
      <c r="AI81" s="1046"/>
      <c r="AJ81" s="1046"/>
      <c r="AK81" s="1046"/>
      <c r="AL81" s="1046"/>
      <c r="AM81" s="1046"/>
      <c r="AN81" s="1040"/>
    </row>
    <row r="82" spans="2:40" x14ac:dyDescent="0.2">
      <c r="B82" s="994"/>
      <c r="C82" s="1108"/>
      <c r="D82" s="1105"/>
      <c r="E82" s="955"/>
      <c r="F82" s="955"/>
      <c r="G82" s="127"/>
      <c r="H82" s="127"/>
      <c r="I82" s="624"/>
      <c r="J82" s="624"/>
      <c r="K82" s="624"/>
      <c r="L82" s="127"/>
      <c r="M82" s="127"/>
      <c r="N82" s="624"/>
      <c r="O82" s="1119"/>
      <c r="P82" s="1117"/>
      <c r="Q82" s="946"/>
      <c r="R82" s="946"/>
      <c r="S82" s="946"/>
      <c r="T82" s="945"/>
      <c r="U82" s="946"/>
      <c r="V82" s="946"/>
      <c r="W82" s="945"/>
      <c r="X82" s="946"/>
      <c r="Y82" s="946"/>
      <c r="Z82" s="1109"/>
      <c r="AA82" s="946"/>
      <c r="AB82" s="946"/>
      <c r="AC82" s="946"/>
      <c r="AD82" s="1033"/>
      <c r="AE82" s="1027"/>
      <c r="AF82" s="1027"/>
      <c r="AG82" s="1027"/>
      <c r="AH82" s="1027"/>
      <c r="AI82" s="1047"/>
      <c r="AJ82" s="1047"/>
      <c r="AK82" s="1047"/>
      <c r="AL82" s="1047"/>
      <c r="AM82" s="1047"/>
      <c r="AN82" s="1044"/>
    </row>
    <row r="83" spans="2:40" x14ac:dyDescent="0.2">
      <c r="B83" s="994"/>
      <c r="C83" s="1108"/>
      <c r="D83" s="1105"/>
      <c r="E83" s="955"/>
      <c r="F83" s="955"/>
      <c r="G83" s="127"/>
      <c r="H83" s="127"/>
      <c r="I83" s="624"/>
      <c r="J83" s="624"/>
      <c r="K83" s="624"/>
      <c r="L83" s="127"/>
      <c r="M83" s="127"/>
      <c r="N83" s="624"/>
      <c r="O83" s="1119"/>
      <c r="P83" s="1117"/>
      <c r="Q83" s="946"/>
      <c r="R83" s="946"/>
      <c r="S83" s="946"/>
      <c r="T83" s="945"/>
      <c r="U83" s="946"/>
      <c r="V83" s="946"/>
      <c r="W83" s="945"/>
      <c r="X83" s="946"/>
      <c r="Y83" s="946"/>
      <c r="Z83" s="1109"/>
      <c r="AA83" s="946"/>
      <c r="AB83" s="946"/>
      <c r="AC83" s="946"/>
      <c r="AD83" s="1033"/>
      <c r="AE83" s="1027"/>
      <c r="AF83" s="1027"/>
      <c r="AG83" s="1027"/>
      <c r="AH83" s="1027"/>
      <c r="AI83" s="1047"/>
      <c r="AJ83" s="1047"/>
      <c r="AK83" s="1047"/>
      <c r="AL83" s="1047"/>
      <c r="AM83" s="1047"/>
      <c r="AN83" s="1044"/>
    </row>
    <row r="84" spans="2:40" x14ac:dyDescent="0.2">
      <c r="B84" s="994"/>
      <c r="C84" s="1108"/>
      <c r="D84" s="1105"/>
      <c r="E84" s="955"/>
      <c r="F84" s="955"/>
      <c r="G84" s="127"/>
      <c r="H84" s="127"/>
      <c r="I84" s="624"/>
      <c r="J84" s="624"/>
      <c r="K84" s="624"/>
      <c r="L84" s="127"/>
      <c r="M84" s="127"/>
      <c r="N84" s="624"/>
      <c r="O84" s="1119"/>
      <c r="P84" s="1117"/>
      <c r="Q84" s="946"/>
      <c r="R84" s="946"/>
      <c r="S84" s="946"/>
      <c r="T84" s="945"/>
      <c r="U84" s="946"/>
      <c r="V84" s="946"/>
      <c r="W84" s="945"/>
      <c r="X84" s="946"/>
      <c r="Y84" s="946"/>
      <c r="Z84" s="1109"/>
      <c r="AA84" s="946"/>
      <c r="AB84" s="946"/>
      <c r="AC84" s="946"/>
      <c r="AD84" s="1033"/>
      <c r="AE84" s="1027"/>
      <c r="AF84" s="1027"/>
      <c r="AG84" s="1027"/>
      <c r="AH84" s="1027"/>
      <c r="AI84" s="1047"/>
      <c r="AJ84" s="1047"/>
      <c r="AK84" s="1047"/>
      <c r="AL84" s="1047"/>
      <c r="AM84" s="1047"/>
      <c r="AN84" s="1044"/>
    </row>
    <row r="85" spans="2:40" x14ac:dyDescent="0.2">
      <c r="B85" s="994"/>
      <c r="C85" s="1108"/>
      <c r="D85" s="1105"/>
      <c r="E85" s="955"/>
      <c r="F85" s="955"/>
      <c r="G85" s="127"/>
      <c r="H85" s="127"/>
      <c r="I85" s="624"/>
      <c r="J85" s="624"/>
      <c r="K85" s="624"/>
      <c r="L85" s="127"/>
      <c r="M85" s="127"/>
      <c r="N85" s="624"/>
      <c r="O85" s="1119"/>
      <c r="P85" s="1117"/>
      <c r="Q85" s="946"/>
      <c r="R85" s="946"/>
      <c r="S85" s="946"/>
      <c r="T85" s="945"/>
      <c r="U85" s="946"/>
      <c r="V85" s="946"/>
      <c r="W85" s="945"/>
      <c r="X85" s="946"/>
      <c r="Y85" s="946"/>
      <c r="Z85" s="1109"/>
      <c r="AA85" s="946"/>
      <c r="AB85" s="946"/>
      <c r="AC85" s="946"/>
      <c r="AD85" s="1033"/>
      <c r="AE85" s="1027"/>
      <c r="AF85" s="1027"/>
      <c r="AG85" s="1027"/>
      <c r="AH85" s="1027"/>
      <c r="AI85" s="1047"/>
      <c r="AJ85" s="1047"/>
      <c r="AK85" s="1047"/>
      <c r="AL85" s="1047"/>
      <c r="AM85" s="1047"/>
      <c r="AN85" s="1044"/>
    </row>
    <row r="86" spans="2:40" x14ac:dyDescent="0.2">
      <c r="B86" s="994"/>
      <c r="C86" s="1108"/>
      <c r="D86" s="1105"/>
      <c r="E86" s="955"/>
      <c r="F86" s="955"/>
      <c r="G86" s="127"/>
      <c r="H86" s="127"/>
      <c r="I86" s="624"/>
      <c r="J86" s="624"/>
      <c r="K86" s="624"/>
      <c r="L86" s="127"/>
      <c r="M86" s="127"/>
      <c r="N86" s="624"/>
      <c r="O86" s="1119"/>
      <c r="P86" s="1117"/>
      <c r="Q86" s="946"/>
      <c r="R86" s="946"/>
      <c r="S86" s="946"/>
      <c r="T86" s="945"/>
      <c r="U86" s="946"/>
      <c r="V86" s="946"/>
      <c r="W86" s="945"/>
      <c r="X86" s="946"/>
      <c r="Y86" s="946"/>
      <c r="Z86" s="1109"/>
      <c r="AA86" s="946"/>
      <c r="AB86" s="946"/>
      <c r="AC86" s="946"/>
      <c r="AD86" s="1033"/>
      <c r="AE86" s="1027"/>
      <c r="AF86" s="1027"/>
      <c r="AG86" s="1027"/>
      <c r="AH86" s="1027"/>
      <c r="AI86" s="1047"/>
      <c r="AJ86" s="1047"/>
      <c r="AK86" s="1047"/>
      <c r="AL86" s="1047"/>
      <c r="AM86" s="1047"/>
      <c r="AN86" s="1044"/>
    </row>
    <row r="87" spans="2:40" x14ac:dyDescent="0.2">
      <c r="B87" s="994"/>
      <c r="C87" s="1108"/>
      <c r="D87" s="1105"/>
      <c r="E87" s="955"/>
      <c r="F87" s="955"/>
      <c r="G87" s="127"/>
      <c r="H87" s="127"/>
      <c r="I87" s="624"/>
      <c r="J87" s="624"/>
      <c r="K87" s="624"/>
      <c r="L87" s="127"/>
      <c r="M87" s="127"/>
      <c r="N87" s="624"/>
      <c r="O87" s="1119"/>
      <c r="P87" s="1117"/>
      <c r="Q87" s="946"/>
      <c r="R87" s="946"/>
      <c r="S87" s="946"/>
      <c r="T87" s="945"/>
      <c r="U87" s="946"/>
      <c r="V87" s="946"/>
      <c r="W87" s="945"/>
      <c r="X87" s="946"/>
      <c r="Y87" s="946"/>
      <c r="Z87" s="1109"/>
      <c r="AA87" s="946"/>
      <c r="AB87" s="946"/>
      <c r="AC87" s="946"/>
      <c r="AD87" s="1033"/>
      <c r="AE87" s="1027"/>
      <c r="AF87" s="1027"/>
      <c r="AG87" s="1027"/>
      <c r="AH87" s="1027"/>
      <c r="AI87" s="1047"/>
      <c r="AJ87" s="1047"/>
      <c r="AK87" s="1047"/>
      <c r="AL87" s="1047"/>
      <c r="AM87" s="1047"/>
      <c r="AN87" s="1044"/>
    </row>
    <row r="88" spans="2:40" x14ac:dyDescent="0.2">
      <c r="B88" s="994"/>
      <c r="C88" s="1108"/>
      <c r="D88" s="1105"/>
      <c r="E88" s="955"/>
      <c r="F88" s="955"/>
      <c r="G88" s="127"/>
      <c r="H88" s="127"/>
      <c r="I88" s="624"/>
      <c r="J88" s="624"/>
      <c r="K88" s="624"/>
      <c r="L88" s="127"/>
      <c r="M88" s="127"/>
      <c r="N88" s="624"/>
      <c r="O88" s="1119"/>
      <c r="P88" s="1117"/>
      <c r="Q88" s="946"/>
      <c r="R88" s="946"/>
      <c r="S88" s="946"/>
      <c r="T88" s="945"/>
      <c r="U88" s="946"/>
      <c r="V88" s="946"/>
      <c r="W88" s="945"/>
      <c r="X88" s="946"/>
      <c r="Y88" s="946"/>
      <c r="Z88" s="1109"/>
      <c r="AA88" s="946"/>
      <c r="AB88" s="946"/>
      <c r="AC88" s="946"/>
      <c r="AD88" s="1033"/>
      <c r="AE88" s="1027"/>
      <c r="AF88" s="1027"/>
      <c r="AG88" s="1027"/>
      <c r="AH88" s="1027"/>
      <c r="AI88" s="1047"/>
      <c r="AJ88" s="1047"/>
      <c r="AK88" s="1047"/>
      <c r="AL88" s="1047"/>
      <c r="AM88" s="1047"/>
      <c r="AN88" s="1044"/>
    </row>
    <row r="89" spans="2:40" x14ac:dyDescent="0.2">
      <c r="B89" s="994"/>
      <c r="C89" s="1108"/>
      <c r="D89" s="1105"/>
      <c r="E89" s="955"/>
      <c r="F89" s="955"/>
      <c r="G89" s="127"/>
      <c r="H89" s="127"/>
      <c r="I89" s="624"/>
      <c r="J89" s="624"/>
      <c r="K89" s="624"/>
      <c r="L89" s="127"/>
      <c r="M89" s="127"/>
      <c r="N89" s="624"/>
      <c r="O89" s="1119"/>
      <c r="P89" s="1117"/>
      <c r="Q89" s="946"/>
      <c r="R89" s="946"/>
      <c r="S89" s="946"/>
      <c r="T89" s="945"/>
      <c r="U89" s="946"/>
      <c r="V89" s="946"/>
      <c r="W89" s="945"/>
      <c r="X89" s="946"/>
      <c r="Y89" s="946"/>
      <c r="Z89" s="1109"/>
      <c r="AA89" s="946"/>
      <c r="AB89" s="946"/>
      <c r="AC89" s="946"/>
      <c r="AD89" s="1033"/>
      <c r="AE89" s="1027"/>
      <c r="AF89" s="1027"/>
      <c r="AG89" s="1027"/>
      <c r="AH89" s="1027"/>
      <c r="AI89" s="1047"/>
      <c r="AJ89" s="1047"/>
      <c r="AK89" s="1047"/>
      <c r="AL89" s="1047"/>
      <c r="AM89" s="1047"/>
      <c r="AN89" s="1044"/>
    </row>
    <row r="90" spans="2:40" x14ac:dyDescent="0.2">
      <c r="B90" s="1010"/>
      <c r="C90" s="1110"/>
      <c r="D90" s="1111"/>
      <c r="E90" s="1112"/>
      <c r="F90" s="1112"/>
      <c r="G90" s="966"/>
      <c r="H90" s="966"/>
      <c r="I90" s="1142"/>
      <c r="J90" s="1142"/>
      <c r="K90" s="1142"/>
      <c r="L90" s="966"/>
      <c r="M90" s="966"/>
      <c r="N90" s="1142"/>
      <c r="O90" s="1120"/>
      <c r="P90" s="1118"/>
      <c r="Q90" s="970"/>
      <c r="R90" s="970"/>
      <c r="S90" s="970"/>
      <c r="T90" s="969"/>
      <c r="U90" s="970"/>
      <c r="V90" s="970"/>
      <c r="W90" s="969"/>
      <c r="X90" s="970"/>
      <c r="Y90" s="970"/>
      <c r="Z90" s="1113"/>
      <c r="AA90" s="970"/>
      <c r="AB90" s="970"/>
      <c r="AC90" s="970"/>
      <c r="AD90" s="1033"/>
      <c r="AE90" s="1027"/>
      <c r="AF90" s="1027"/>
      <c r="AG90" s="1027"/>
      <c r="AH90" s="1027"/>
      <c r="AI90" s="1047"/>
      <c r="AJ90" s="1047"/>
      <c r="AK90" s="1047"/>
      <c r="AL90" s="1047"/>
      <c r="AM90" s="1047"/>
      <c r="AN90" s="1044"/>
    </row>
    <row r="91" spans="2:40" x14ac:dyDescent="0.2">
      <c r="B91" s="1022" t="s">
        <v>31</v>
      </c>
      <c r="C91" s="1104"/>
      <c r="D91" s="1145"/>
      <c r="E91" s="1146"/>
      <c r="F91" s="1146"/>
      <c r="G91" s="1141"/>
      <c r="H91" s="1141"/>
      <c r="I91" s="1141"/>
      <c r="J91" s="1141"/>
      <c r="K91" s="1141"/>
      <c r="L91" s="1141"/>
      <c r="M91" s="1141"/>
      <c r="N91" s="1141"/>
      <c r="O91" s="941"/>
      <c r="P91" s="942"/>
      <c r="Q91" s="943"/>
      <c r="R91" s="943"/>
      <c r="S91" s="943"/>
      <c r="T91" s="943"/>
      <c r="U91" s="943"/>
      <c r="V91" s="943"/>
      <c r="W91" s="943"/>
      <c r="X91" s="943"/>
      <c r="Y91" s="943"/>
      <c r="Z91" s="1116"/>
      <c r="AA91" s="1147"/>
      <c r="AB91" s="1147"/>
      <c r="AC91" s="1147"/>
      <c r="AD91" s="1082"/>
      <c r="AE91" s="1046"/>
      <c r="AF91" s="1046"/>
      <c r="AG91" s="1046"/>
      <c r="AH91" s="1046"/>
      <c r="AI91" s="1046"/>
      <c r="AJ91" s="1046"/>
      <c r="AK91" s="1046"/>
      <c r="AL91" s="1046"/>
      <c r="AM91" s="1046"/>
      <c r="AN91" s="1040"/>
    </row>
    <row r="92" spans="2:40" x14ac:dyDescent="0.2">
      <c r="B92" s="1014"/>
      <c r="C92" s="1108"/>
      <c r="D92" s="1148"/>
      <c r="E92" s="1122"/>
      <c r="F92" s="1122"/>
      <c r="G92" s="624"/>
      <c r="H92" s="624"/>
      <c r="I92" s="624"/>
      <c r="J92" s="624"/>
      <c r="K92" s="624"/>
      <c r="L92" s="624"/>
      <c r="M92" s="624"/>
      <c r="N92" s="624"/>
      <c r="O92" s="956"/>
      <c r="P92" s="957"/>
      <c r="Q92" s="945"/>
      <c r="R92" s="945"/>
      <c r="S92" s="945"/>
      <c r="T92" s="945"/>
      <c r="U92" s="945"/>
      <c r="V92" s="945"/>
      <c r="W92" s="945"/>
      <c r="X92" s="945"/>
      <c r="Y92" s="945"/>
      <c r="Z92" s="948"/>
      <c r="AA92" s="1149"/>
      <c r="AB92" s="1149"/>
      <c r="AC92" s="1149"/>
      <c r="AD92" s="1083"/>
      <c r="AE92" s="1047"/>
      <c r="AF92" s="1047"/>
      <c r="AG92" s="1047"/>
      <c r="AH92" s="1047"/>
      <c r="AI92" s="1047"/>
      <c r="AJ92" s="1047"/>
      <c r="AK92" s="1047"/>
      <c r="AL92" s="1047"/>
      <c r="AM92" s="1047"/>
      <c r="AN92" s="1044"/>
    </row>
    <row r="93" spans="2:40" x14ac:dyDescent="0.2">
      <c r="B93" s="1014"/>
      <c r="C93" s="1108"/>
      <c r="D93" s="1148"/>
      <c r="E93" s="1122"/>
      <c r="F93" s="1122"/>
      <c r="G93" s="624"/>
      <c r="H93" s="624"/>
      <c r="I93" s="624"/>
      <c r="J93" s="624"/>
      <c r="K93" s="624"/>
      <c r="L93" s="624"/>
      <c r="M93" s="624"/>
      <c r="N93" s="624"/>
      <c r="O93" s="956"/>
      <c r="P93" s="957"/>
      <c r="Q93" s="945"/>
      <c r="R93" s="945"/>
      <c r="S93" s="945"/>
      <c r="T93" s="945"/>
      <c r="U93" s="945"/>
      <c r="V93" s="945"/>
      <c r="W93" s="945"/>
      <c r="X93" s="945"/>
      <c r="Y93" s="945"/>
      <c r="Z93" s="948"/>
      <c r="AA93" s="1149"/>
      <c r="AB93" s="1149"/>
      <c r="AC93" s="1149"/>
      <c r="AD93" s="1083"/>
      <c r="AE93" s="1047"/>
      <c r="AF93" s="1047"/>
      <c r="AG93" s="1047"/>
      <c r="AH93" s="1047"/>
      <c r="AI93" s="1047"/>
      <c r="AJ93" s="1047"/>
      <c r="AK93" s="1047"/>
      <c r="AL93" s="1047"/>
      <c r="AM93" s="1047"/>
      <c r="AN93" s="1044"/>
    </row>
    <row r="94" spans="2:40" x14ac:dyDescent="0.2">
      <c r="B94" s="1014"/>
      <c r="C94" s="1108"/>
      <c r="D94" s="1148"/>
      <c r="E94" s="1122"/>
      <c r="F94" s="1122"/>
      <c r="G94" s="624"/>
      <c r="H94" s="624"/>
      <c r="I94" s="624"/>
      <c r="J94" s="624"/>
      <c r="K94" s="624"/>
      <c r="L94" s="624"/>
      <c r="M94" s="624"/>
      <c r="N94" s="624"/>
      <c r="O94" s="956"/>
      <c r="P94" s="957"/>
      <c r="Q94" s="945"/>
      <c r="R94" s="945"/>
      <c r="S94" s="945"/>
      <c r="T94" s="945"/>
      <c r="U94" s="945"/>
      <c r="V94" s="945"/>
      <c r="W94" s="945"/>
      <c r="X94" s="945"/>
      <c r="Y94" s="945"/>
      <c r="Z94" s="948"/>
      <c r="AA94" s="1149"/>
      <c r="AB94" s="1149"/>
      <c r="AC94" s="1149"/>
      <c r="AD94" s="1083"/>
      <c r="AE94" s="1047"/>
      <c r="AF94" s="1047"/>
      <c r="AG94" s="1047"/>
      <c r="AH94" s="1047"/>
      <c r="AI94" s="1047"/>
      <c r="AJ94" s="1047"/>
      <c r="AK94" s="1047"/>
      <c r="AL94" s="1047"/>
      <c r="AM94" s="1047"/>
      <c r="AN94" s="1044"/>
    </row>
    <row r="95" spans="2:40" x14ac:dyDescent="0.2">
      <c r="B95" s="1014"/>
      <c r="C95" s="1108"/>
      <c r="D95" s="1148"/>
      <c r="E95" s="1122"/>
      <c r="F95" s="1122"/>
      <c r="G95" s="624"/>
      <c r="H95" s="624"/>
      <c r="I95" s="624"/>
      <c r="J95" s="624"/>
      <c r="K95" s="624"/>
      <c r="L95" s="624"/>
      <c r="M95" s="624"/>
      <c r="N95" s="624"/>
      <c r="O95" s="956"/>
      <c r="P95" s="957"/>
      <c r="Q95" s="945"/>
      <c r="R95" s="945"/>
      <c r="S95" s="945"/>
      <c r="T95" s="945"/>
      <c r="U95" s="945"/>
      <c r="V95" s="945"/>
      <c r="W95" s="945"/>
      <c r="X95" s="945"/>
      <c r="Y95" s="945"/>
      <c r="Z95" s="948"/>
      <c r="AA95" s="1149"/>
      <c r="AB95" s="1149"/>
      <c r="AC95" s="1149"/>
      <c r="AD95" s="1083"/>
      <c r="AE95" s="1047"/>
      <c r="AF95" s="1047"/>
      <c r="AG95" s="1047"/>
      <c r="AH95" s="1047"/>
      <c r="AI95" s="1047"/>
      <c r="AJ95" s="1047"/>
      <c r="AK95" s="1047"/>
      <c r="AL95" s="1047"/>
      <c r="AM95" s="1047"/>
      <c r="AN95" s="1044"/>
    </row>
    <row r="96" spans="2:40" x14ac:dyDescent="0.2">
      <c r="B96" s="1014"/>
      <c r="C96" s="1108"/>
      <c r="D96" s="1148"/>
      <c r="E96" s="1122"/>
      <c r="F96" s="1122"/>
      <c r="G96" s="624"/>
      <c r="H96" s="624"/>
      <c r="I96" s="624"/>
      <c r="J96" s="624"/>
      <c r="K96" s="624"/>
      <c r="L96" s="624"/>
      <c r="M96" s="624"/>
      <c r="N96" s="624"/>
      <c r="O96" s="956"/>
      <c r="P96" s="957"/>
      <c r="Q96" s="945"/>
      <c r="R96" s="945"/>
      <c r="S96" s="945"/>
      <c r="T96" s="945"/>
      <c r="U96" s="945"/>
      <c r="V96" s="945"/>
      <c r="W96" s="945"/>
      <c r="X96" s="945"/>
      <c r="Y96" s="945"/>
      <c r="Z96" s="948"/>
      <c r="AA96" s="1149"/>
      <c r="AB96" s="1149"/>
      <c r="AC96" s="1149"/>
      <c r="AD96" s="1083"/>
      <c r="AE96" s="1047"/>
      <c r="AF96" s="1047"/>
      <c r="AG96" s="1047"/>
      <c r="AH96" s="1047"/>
      <c r="AI96" s="1047"/>
      <c r="AJ96" s="1047"/>
      <c r="AK96" s="1047"/>
      <c r="AL96" s="1047"/>
      <c r="AM96" s="1047"/>
      <c r="AN96" s="1044"/>
    </row>
    <row r="97" spans="2:40" x14ac:dyDescent="0.2">
      <c r="B97" s="1014"/>
      <c r="C97" s="1108"/>
      <c r="D97" s="1148"/>
      <c r="E97" s="1122"/>
      <c r="F97" s="1122"/>
      <c r="G97" s="624"/>
      <c r="H97" s="624"/>
      <c r="I97" s="624"/>
      <c r="J97" s="624"/>
      <c r="K97" s="624"/>
      <c r="L97" s="624"/>
      <c r="M97" s="624"/>
      <c r="N97" s="624"/>
      <c r="O97" s="956"/>
      <c r="P97" s="957"/>
      <c r="Q97" s="945"/>
      <c r="R97" s="945"/>
      <c r="S97" s="945"/>
      <c r="T97" s="945"/>
      <c r="U97" s="945"/>
      <c r="V97" s="945"/>
      <c r="W97" s="945"/>
      <c r="X97" s="945"/>
      <c r="Y97" s="945"/>
      <c r="Z97" s="948"/>
      <c r="AA97" s="1149"/>
      <c r="AB97" s="1149"/>
      <c r="AC97" s="1149"/>
      <c r="AD97" s="1083"/>
      <c r="AE97" s="1047"/>
      <c r="AF97" s="1047"/>
      <c r="AG97" s="1047"/>
      <c r="AH97" s="1047"/>
      <c r="AI97" s="1047"/>
      <c r="AJ97" s="1047"/>
      <c r="AK97" s="1047"/>
      <c r="AL97" s="1047"/>
      <c r="AM97" s="1047"/>
      <c r="AN97" s="1044"/>
    </row>
    <row r="98" spans="2:40" x14ac:dyDescent="0.2">
      <c r="B98" s="1014"/>
      <c r="C98" s="1108"/>
      <c r="D98" s="1148"/>
      <c r="E98" s="1122"/>
      <c r="F98" s="1122"/>
      <c r="G98" s="624"/>
      <c r="H98" s="624"/>
      <c r="I98" s="624"/>
      <c r="J98" s="624"/>
      <c r="K98" s="624"/>
      <c r="L98" s="624"/>
      <c r="M98" s="624"/>
      <c r="N98" s="624"/>
      <c r="O98" s="956"/>
      <c r="P98" s="957"/>
      <c r="Q98" s="945"/>
      <c r="R98" s="945"/>
      <c r="S98" s="945"/>
      <c r="T98" s="945"/>
      <c r="U98" s="945"/>
      <c r="V98" s="945"/>
      <c r="W98" s="945"/>
      <c r="X98" s="945"/>
      <c r="Y98" s="945"/>
      <c r="Z98" s="948"/>
      <c r="AA98" s="1149"/>
      <c r="AB98" s="1149"/>
      <c r="AC98" s="1149"/>
      <c r="AD98" s="1083"/>
      <c r="AE98" s="1047"/>
      <c r="AF98" s="1047"/>
      <c r="AG98" s="1047"/>
      <c r="AH98" s="1047"/>
      <c r="AI98" s="1047"/>
      <c r="AJ98" s="1047"/>
      <c r="AK98" s="1047"/>
      <c r="AL98" s="1047"/>
      <c r="AM98" s="1047"/>
      <c r="AN98" s="1044"/>
    </row>
    <row r="99" spans="2:40" x14ac:dyDescent="0.2">
      <c r="B99" s="1014"/>
      <c r="C99" s="1108"/>
      <c r="D99" s="1148"/>
      <c r="E99" s="1122"/>
      <c r="F99" s="1122"/>
      <c r="G99" s="624"/>
      <c r="H99" s="624"/>
      <c r="I99" s="624"/>
      <c r="J99" s="624"/>
      <c r="K99" s="624"/>
      <c r="L99" s="624"/>
      <c r="M99" s="624"/>
      <c r="N99" s="624"/>
      <c r="O99" s="956"/>
      <c r="P99" s="957"/>
      <c r="Q99" s="945"/>
      <c r="R99" s="945"/>
      <c r="S99" s="945"/>
      <c r="T99" s="945"/>
      <c r="U99" s="945"/>
      <c r="V99" s="945"/>
      <c r="W99" s="945"/>
      <c r="X99" s="945"/>
      <c r="Y99" s="945"/>
      <c r="Z99" s="948"/>
      <c r="AA99" s="1149"/>
      <c r="AB99" s="1149"/>
      <c r="AC99" s="1149"/>
      <c r="AD99" s="1083"/>
      <c r="AE99" s="1047"/>
      <c r="AF99" s="1047"/>
      <c r="AG99" s="1047"/>
      <c r="AH99" s="1047"/>
      <c r="AI99" s="1047"/>
      <c r="AJ99" s="1047"/>
      <c r="AK99" s="1047"/>
      <c r="AL99" s="1047"/>
      <c r="AM99" s="1047"/>
      <c r="AN99" s="1044"/>
    </row>
    <row r="100" spans="2:40" x14ac:dyDescent="0.2">
      <c r="B100" s="1019"/>
      <c r="C100" s="1110"/>
      <c r="D100" s="1150"/>
      <c r="E100" s="1129"/>
      <c r="F100" s="1129"/>
      <c r="G100" s="1142"/>
      <c r="H100" s="1142"/>
      <c r="I100" s="1142"/>
      <c r="J100" s="1142"/>
      <c r="K100" s="1142"/>
      <c r="L100" s="1142"/>
      <c r="M100" s="1142"/>
      <c r="N100" s="1142"/>
      <c r="O100" s="967"/>
      <c r="P100" s="968"/>
      <c r="Q100" s="969"/>
      <c r="R100" s="969"/>
      <c r="S100" s="969"/>
      <c r="T100" s="969"/>
      <c r="U100" s="969"/>
      <c r="V100" s="969"/>
      <c r="W100" s="969"/>
      <c r="X100" s="969"/>
      <c r="Y100" s="969"/>
      <c r="Z100" s="948"/>
      <c r="AA100" s="1151"/>
      <c r="AB100" s="1151"/>
      <c r="AC100" s="1151"/>
      <c r="AD100" s="1083"/>
      <c r="AE100" s="1047"/>
      <c r="AF100" s="1047"/>
      <c r="AG100" s="1047"/>
      <c r="AH100" s="1047"/>
      <c r="AI100" s="1047"/>
      <c r="AJ100" s="1047"/>
      <c r="AK100" s="1047"/>
      <c r="AL100" s="1047"/>
      <c r="AM100" s="1047"/>
      <c r="AN100" s="1044"/>
    </row>
    <row r="101" spans="2:40" x14ac:dyDescent="0.2">
      <c r="B101" s="1022" t="s">
        <v>75</v>
      </c>
      <c r="C101" s="1084" t="s">
        <v>173</v>
      </c>
      <c r="D101" s="1074"/>
      <c r="E101" s="1085"/>
      <c r="F101" s="1085"/>
      <c r="G101" s="1028"/>
      <c r="H101" s="1028"/>
      <c r="I101" s="1028"/>
      <c r="J101" s="1028"/>
      <c r="K101" s="1028"/>
      <c r="L101" s="1028"/>
      <c r="M101" s="1028"/>
      <c r="N101" s="1028"/>
      <c r="O101" s="1028"/>
      <c r="P101" s="1029"/>
      <c r="Q101" s="1028"/>
      <c r="R101" s="1028"/>
      <c r="S101" s="1028"/>
      <c r="T101" s="1028"/>
      <c r="U101" s="1028"/>
      <c r="V101" s="1028"/>
      <c r="W101" s="1028"/>
      <c r="X101" s="1028"/>
      <c r="Y101" s="1028"/>
      <c r="Z101" s="1028"/>
      <c r="AA101" s="1028"/>
      <c r="AB101" s="1030"/>
      <c r="AC101" s="1028"/>
      <c r="AD101" s="1152">
        <v>0.5</v>
      </c>
      <c r="AE101" s="1153">
        <v>3.3</v>
      </c>
      <c r="AF101" s="1153"/>
      <c r="AG101" s="1153">
        <v>0.6</v>
      </c>
      <c r="AH101" s="1153">
        <v>1.3</v>
      </c>
      <c r="AI101" s="1153"/>
      <c r="AJ101" s="1153"/>
      <c r="AK101" s="1153"/>
      <c r="AL101" s="1153"/>
      <c r="AM101" s="1153"/>
      <c r="AN101" s="1154">
        <v>5</v>
      </c>
    </row>
    <row r="102" spans="2:40" x14ac:dyDescent="0.2">
      <c r="B102" s="1014"/>
      <c r="C102" s="1055" t="s">
        <v>176</v>
      </c>
      <c r="D102" s="1079"/>
      <c r="E102" s="1086"/>
      <c r="F102" s="1086"/>
      <c r="G102" s="1058"/>
      <c r="H102" s="1058"/>
      <c r="I102" s="1058"/>
      <c r="J102" s="1058"/>
      <c r="K102" s="1058"/>
      <c r="L102" s="1058"/>
      <c r="M102" s="1058"/>
      <c r="N102" s="1058"/>
      <c r="O102" s="1058"/>
      <c r="P102" s="1087"/>
      <c r="Q102" s="1058"/>
      <c r="R102" s="1058"/>
      <c r="S102" s="1058"/>
      <c r="T102" s="1058"/>
      <c r="U102" s="1058"/>
      <c r="V102" s="1058"/>
      <c r="W102" s="1058"/>
      <c r="X102" s="1058"/>
      <c r="Y102" s="1058"/>
      <c r="Z102" s="1058"/>
      <c r="AA102" s="1058"/>
      <c r="AB102" s="1058"/>
      <c r="AC102" s="1062"/>
      <c r="AD102" s="1155">
        <v>0.5</v>
      </c>
      <c r="AE102" s="1156">
        <v>3.3</v>
      </c>
      <c r="AF102" s="1156"/>
      <c r="AG102" s="1156">
        <v>0.6</v>
      </c>
      <c r="AH102" s="1156">
        <v>1.3</v>
      </c>
      <c r="AI102" s="1156"/>
      <c r="AJ102" s="1156"/>
      <c r="AK102" s="1156"/>
      <c r="AL102" s="1156"/>
      <c r="AM102" s="1156"/>
      <c r="AN102" s="1157">
        <v>5</v>
      </c>
    </row>
    <row r="103" spans="2:40" ht="11.25" customHeight="1" x14ac:dyDescent="0.2">
      <c r="B103" s="1063" t="s">
        <v>79</v>
      </c>
      <c r="C103" s="1022" t="s">
        <v>57</v>
      </c>
      <c r="D103" s="1045" t="s">
        <v>86</v>
      </c>
      <c r="E103" s="1088"/>
      <c r="F103" s="1072"/>
      <c r="G103" s="996" t="s">
        <v>230</v>
      </c>
      <c r="H103" s="997"/>
      <c r="I103" s="998"/>
      <c r="J103" s="999" t="s">
        <v>81</v>
      </c>
      <c r="K103" s="1000"/>
      <c r="L103" s="1000"/>
      <c r="M103" s="1000"/>
      <c r="N103" s="1000"/>
      <c r="O103" s="1001"/>
      <c r="P103" s="995" t="s">
        <v>52</v>
      </c>
      <c r="Q103" s="995"/>
      <c r="R103" s="995"/>
      <c r="S103" s="995"/>
      <c r="T103" s="995"/>
      <c r="U103" s="995"/>
      <c r="V103" s="995"/>
      <c r="W103" s="995"/>
      <c r="X103" s="1005"/>
      <c r="Y103" s="1005"/>
      <c r="Z103" s="1064"/>
      <c r="AA103" s="1000" t="s">
        <v>80</v>
      </c>
      <c r="AB103" s="1001"/>
      <c r="AC103" s="989" t="s">
        <v>72</v>
      </c>
      <c r="AD103" s="1002" t="s">
        <v>52</v>
      </c>
      <c r="AE103" s="1003"/>
      <c r="AF103" s="1003"/>
      <c r="AG103" s="1003"/>
      <c r="AH103" s="1004"/>
      <c r="AI103" s="1002" t="s">
        <v>175</v>
      </c>
      <c r="AJ103" s="1003"/>
      <c r="AK103" s="1003"/>
      <c r="AL103" s="1003"/>
      <c r="AM103" s="1004"/>
      <c r="AN103" s="989" t="s">
        <v>227</v>
      </c>
    </row>
    <row r="104" spans="2:40" ht="11.25" customHeight="1" x14ac:dyDescent="0.2">
      <c r="B104" s="1065"/>
      <c r="C104" s="1014"/>
      <c r="D104" s="1017"/>
      <c r="E104" s="1089"/>
      <c r="F104" s="1018"/>
      <c r="G104" s="1006"/>
      <c r="H104" s="1007"/>
      <c r="I104" s="1008"/>
      <c r="J104" s="999" t="s">
        <v>77</v>
      </c>
      <c r="K104" s="1001"/>
      <c r="L104" s="1005" t="s">
        <v>50</v>
      </c>
      <c r="M104" s="1005" t="s">
        <v>291</v>
      </c>
      <c r="N104" s="1005" t="s">
        <v>11</v>
      </c>
      <c r="O104" s="1005" t="s">
        <v>12</v>
      </c>
      <c r="P104" s="1005" t="s">
        <v>53</v>
      </c>
      <c r="Q104" s="1068" t="s">
        <v>68</v>
      </c>
      <c r="R104" s="999" t="s">
        <v>9</v>
      </c>
      <c r="S104" s="1000"/>
      <c r="T104" s="1001"/>
      <c r="U104" s="999" t="s">
        <v>11</v>
      </c>
      <c r="V104" s="1000"/>
      <c r="W104" s="1001"/>
      <c r="X104" s="999" t="s">
        <v>12</v>
      </c>
      <c r="Y104" s="1000"/>
      <c r="Z104" s="1001"/>
      <c r="AA104" s="1069" t="s">
        <v>73</v>
      </c>
      <c r="AB104" s="989" t="s">
        <v>74</v>
      </c>
      <c r="AC104" s="1010"/>
      <c r="AD104" s="1005" t="s">
        <v>53</v>
      </c>
      <c r="AE104" s="1011" t="s">
        <v>114</v>
      </c>
      <c r="AF104" s="1011" t="s">
        <v>115</v>
      </c>
      <c r="AG104" s="1011" t="s">
        <v>11</v>
      </c>
      <c r="AH104" s="1011" t="s">
        <v>12</v>
      </c>
      <c r="AI104" s="1005" t="s">
        <v>53</v>
      </c>
      <c r="AJ104" s="1011" t="s">
        <v>114</v>
      </c>
      <c r="AK104" s="1011" t="s">
        <v>115</v>
      </c>
      <c r="AL104" s="1011" t="s">
        <v>11</v>
      </c>
      <c r="AM104" s="1011" t="s">
        <v>12</v>
      </c>
      <c r="AN104" s="994"/>
    </row>
    <row r="105" spans="2:40" ht="11.25" customHeight="1" x14ac:dyDescent="0.2">
      <c r="B105" s="1065"/>
      <c r="C105" s="1014"/>
      <c r="D105" s="1045" t="s">
        <v>87</v>
      </c>
      <c r="E105" s="1088"/>
      <c r="F105" s="1072"/>
      <c r="G105" s="1012" t="s">
        <v>7</v>
      </c>
      <c r="H105" s="1013"/>
      <c r="I105" s="1014" t="s">
        <v>45</v>
      </c>
      <c r="J105" s="989" t="s">
        <v>89</v>
      </c>
      <c r="K105" s="1022" t="s">
        <v>78</v>
      </c>
      <c r="L105" s="995" t="s">
        <v>30</v>
      </c>
      <c r="M105" s="995" t="s">
        <v>169</v>
      </c>
      <c r="N105" s="995"/>
      <c r="O105" s="995"/>
      <c r="P105" s="995" t="s">
        <v>54</v>
      </c>
      <c r="Q105" s="1022" t="s">
        <v>30</v>
      </c>
      <c r="R105" s="1005" t="s">
        <v>55</v>
      </c>
      <c r="S105" s="1005" t="s">
        <v>41</v>
      </c>
      <c r="T105" s="999" t="s">
        <v>58</v>
      </c>
      <c r="U105" s="1000"/>
      <c r="V105" s="1000"/>
      <c r="W105" s="1000"/>
      <c r="X105" s="1000"/>
      <c r="Y105" s="1000"/>
      <c r="Z105" s="1001"/>
      <c r="AA105" s="1069"/>
      <c r="AB105" s="994"/>
      <c r="AC105" s="989" t="s">
        <v>73</v>
      </c>
      <c r="AD105" s="995" t="s">
        <v>54</v>
      </c>
      <c r="AE105" s="999" t="s">
        <v>58</v>
      </c>
      <c r="AF105" s="1000"/>
      <c r="AG105" s="1000"/>
      <c r="AH105" s="1001"/>
      <c r="AI105" s="995" t="s">
        <v>54</v>
      </c>
      <c r="AJ105" s="999" t="s">
        <v>58</v>
      </c>
      <c r="AK105" s="1000"/>
      <c r="AL105" s="1000"/>
      <c r="AM105" s="1001"/>
      <c r="AN105" s="1015" t="s">
        <v>228</v>
      </c>
    </row>
    <row r="106" spans="2:40" x14ac:dyDescent="0.2">
      <c r="B106" s="1070"/>
      <c r="C106" s="1019"/>
      <c r="D106" s="1017"/>
      <c r="E106" s="1089"/>
      <c r="F106" s="1018"/>
      <c r="G106" s="1017"/>
      <c r="H106" s="1018"/>
      <c r="I106" s="1019"/>
      <c r="J106" s="1010"/>
      <c r="K106" s="1019"/>
      <c r="L106" s="995"/>
      <c r="M106" s="995"/>
      <c r="N106" s="995"/>
      <c r="O106" s="995"/>
      <c r="P106" s="995"/>
      <c r="Q106" s="1019"/>
      <c r="R106" s="1020" t="s">
        <v>45</v>
      </c>
      <c r="S106" s="1020"/>
      <c r="T106" s="1020"/>
      <c r="U106" s="1020"/>
      <c r="V106" s="1020"/>
      <c r="W106" s="1020"/>
      <c r="X106" s="1020"/>
      <c r="Y106" s="1020"/>
      <c r="Z106" s="1021"/>
      <c r="AA106" s="1069"/>
      <c r="AB106" s="1010"/>
      <c r="AC106" s="1010"/>
      <c r="AD106" s="1022"/>
      <c r="AE106" s="1023" t="s">
        <v>45</v>
      </c>
      <c r="AF106" s="1024"/>
      <c r="AG106" s="1024"/>
      <c r="AH106" s="1025"/>
      <c r="AI106" s="1022"/>
      <c r="AJ106" s="1023" t="s">
        <v>45</v>
      </c>
      <c r="AK106" s="1024"/>
      <c r="AL106" s="1024"/>
      <c r="AM106" s="1025"/>
      <c r="AN106" s="1026" t="s">
        <v>30</v>
      </c>
    </row>
    <row r="107" spans="2:40" x14ac:dyDescent="0.2">
      <c r="B107" s="1022" t="s">
        <v>36</v>
      </c>
      <c r="C107" s="1050" t="s">
        <v>177</v>
      </c>
      <c r="D107" s="1090"/>
      <c r="E107" s="1090"/>
      <c r="F107" s="1090"/>
      <c r="G107" s="1090"/>
      <c r="H107" s="1090"/>
      <c r="I107" s="1090"/>
      <c r="J107" s="1090"/>
      <c r="K107" s="1090"/>
      <c r="L107" s="1090"/>
      <c r="M107" s="1090"/>
      <c r="N107" s="1090"/>
      <c r="O107" s="1090"/>
      <c r="P107" s="1083"/>
      <c r="Q107" s="1047"/>
      <c r="R107" s="1047"/>
      <c r="S107" s="1047"/>
      <c r="T107" s="1047"/>
      <c r="U107" s="1047"/>
      <c r="V107" s="1047"/>
      <c r="W107" s="1047"/>
      <c r="X107" s="1047"/>
      <c r="Y107" s="1047"/>
      <c r="Z107" s="1046"/>
      <c r="AA107" s="1090"/>
      <c r="AB107" s="1090"/>
      <c r="AC107" s="1091"/>
      <c r="AD107" s="1158">
        <v>4.3999999999999997E-2</v>
      </c>
      <c r="AE107" s="1159">
        <v>0.69299999999999995</v>
      </c>
      <c r="AF107" s="1159"/>
      <c r="AG107" s="1159">
        <v>0.156</v>
      </c>
      <c r="AH107" s="1159">
        <v>0.255</v>
      </c>
      <c r="AI107" s="1159"/>
      <c r="AJ107" s="1159"/>
      <c r="AK107" s="1159"/>
      <c r="AL107" s="1159"/>
      <c r="AM107" s="1159"/>
      <c r="AN107" s="1154">
        <v>25</v>
      </c>
    </row>
    <row r="108" spans="2:40" x14ac:dyDescent="0.2">
      <c r="B108" s="1014"/>
      <c r="C108" s="1092" t="s">
        <v>178</v>
      </c>
      <c r="D108" s="1090"/>
      <c r="E108" s="1090"/>
      <c r="F108" s="1090"/>
      <c r="G108" s="1090"/>
      <c r="H108" s="1090"/>
      <c r="I108" s="1090"/>
      <c r="J108" s="1090"/>
      <c r="K108" s="1090"/>
      <c r="L108" s="1090"/>
      <c r="M108" s="1090"/>
      <c r="N108" s="1090"/>
      <c r="O108" s="1090"/>
      <c r="P108" s="1083"/>
      <c r="Q108" s="1047"/>
      <c r="R108" s="1047"/>
      <c r="S108" s="1047"/>
      <c r="T108" s="1047"/>
      <c r="U108" s="1047"/>
      <c r="V108" s="1047"/>
      <c r="W108" s="1047"/>
      <c r="X108" s="1047"/>
      <c r="Y108" s="1047"/>
      <c r="Z108" s="1047"/>
      <c r="AA108" s="1090"/>
      <c r="AB108" s="1090"/>
      <c r="AC108" s="1091"/>
      <c r="AD108" s="1160">
        <v>4.3999999999999997E-2</v>
      </c>
      <c r="AE108" s="1161">
        <v>0.69299999999999995</v>
      </c>
      <c r="AF108" s="1161"/>
      <c r="AG108" s="1161">
        <v>0.156</v>
      </c>
      <c r="AH108" s="1161">
        <v>0.255</v>
      </c>
      <c r="AI108" s="1161">
        <v>2.1999999999999999E-2</v>
      </c>
      <c r="AJ108" s="1161">
        <v>0.34499999999999997</v>
      </c>
      <c r="AK108" s="1161"/>
      <c r="AL108" s="1161">
        <v>7.4999999999999997E-2</v>
      </c>
      <c r="AM108" s="1161">
        <v>0.125</v>
      </c>
      <c r="AN108" s="1162">
        <v>25</v>
      </c>
    </row>
    <row r="109" spans="2:40" x14ac:dyDescent="0.2">
      <c r="B109" s="1014"/>
      <c r="C109" s="1104"/>
      <c r="D109" s="1145"/>
      <c r="E109" s="1146"/>
      <c r="F109" s="1146"/>
      <c r="G109" s="937"/>
      <c r="H109" s="937"/>
      <c r="I109" s="167"/>
      <c r="J109" s="1141"/>
      <c r="K109" s="1141"/>
      <c r="L109" s="1141"/>
      <c r="M109" s="1141"/>
      <c r="N109" s="1141"/>
      <c r="O109" s="1141"/>
      <c r="P109" s="1144"/>
      <c r="Q109" s="943"/>
      <c r="R109" s="1163"/>
      <c r="S109" s="1163"/>
      <c r="T109" s="1163"/>
      <c r="U109" s="1163"/>
      <c r="V109" s="1163"/>
      <c r="W109" s="1163"/>
      <c r="X109" s="1163"/>
      <c r="Y109" s="1163"/>
      <c r="Z109" s="1164"/>
      <c r="AA109" s="1147"/>
      <c r="AB109" s="1147"/>
      <c r="AC109" s="1147"/>
      <c r="AD109" s="1082"/>
      <c r="AE109" s="1046"/>
      <c r="AF109" s="1046"/>
      <c r="AG109" s="1046"/>
      <c r="AH109" s="1046"/>
      <c r="AI109" s="1046"/>
      <c r="AJ109" s="1046"/>
      <c r="AK109" s="1046"/>
      <c r="AL109" s="1046"/>
      <c r="AM109" s="1046"/>
      <c r="AN109" s="1040"/>
    </row>
    <row r="110" spans="2:40" x14ac:dyDescent="0.2">
      <c r="B110" s="1014"/>
      <c r="C110" s="1108"/>
      <c r="D110" s="1148"/>
      <c r="E110" s="1122"/>
      <c r="F110" s="1122"/>
      <c r="G110" s="127"/>
      <c r="H110" s="127"/>
      <c r="I110" s="128"/>
      <c r="J110" s="624"/>
      <c r="K110" s="624"/>
      <c r="L110" s="624"/>
      <c r="M110" s="624"/>
      <c r="N110" s="624"/>
      <c r="O110" s="624"/>
      <c r="P110" s="1117"/>
      <c r="Q110" s="945"/>
      <c r="R110" s="1165"/>
      <c r="S110" s="1165"/>
      <c r="T110" s="1165"/>
      <c r="U110" s="1165"/>
      <c r="V110" s="1165"/>
      <c r="W110" s="1165"/>
      <c r="X110" s="1165"/>
      <c r="Y110" s="1165"/>
      <c r="Z110" s="1166"/>
      <c r="AA110" s="1149"/>
      <c r="AB110" s="1149"/>
      <c r="AC110" s="1149"/>
      <c r="AD110" s="1083"/>
      <c r="AE110" s="1047"/>
      <c r="AF110" s="1047"/>
      <c r="AG110" s="1047"/>
      <c r="AH110" s="1047"/>
      <c r="AI110" s="1047"/>
      <c r="AJ110" s="1047"/>
      <c r="AK110" s="1047"/>
      <c r="AL110" s="1047"/>
      <c r="AM110" s="1047"/>
      <c r="AN110" s="1044"/>
    </row>
    <row r="111" spans="2:40" x14ac:dyDescent="0.2">
      <c r="B111" s="1014"/>
      <c r="C111" s="1108"/>
      <c r="D111" s="1148"/>
      <c r="E111" s="1122"/>
      <c r="F111" s="1122"/>
      <c r="G111" s="127"/>
      <c r="H111" s="127"/>
      <c r="I111" s="128"/>
      <c r="J111" s="624"/>
      <c r="K111" s="624"/>
      <c r="L111" s="624"/>
      <c r="M111" s="1167"/>
      <c r="N111" s="624"/>
      <c r="O111" s="624"/>
      <c r="P111" s="1168"/>
      <c r="Q111" s="945"/>
      <c r="R111" s="1165"/>
      <c r="S111" s="1165"/>
      <c r="T111" s="1165"/>
      <c r="U111" s="1165"/>
      <c r="V111" s="1165"/>
      <c r="W111" s="1165"/>
      <c r="X111" s="1165"/>
      <c r="Y111" s="1165"/>
      <c r="Z111" s="1166"/>
      <c r="AA111" s="1149"/>
      <c r="AB111" s="1149"/>
      <c r="AC111" s="1149"/>
      <c r="AD111" s="1083"/>
      <c r="AE111" s="1047"/>
      <c r="AF111" s="1047"/>
      <c r="AG111" s="1047"/>
      <c r="AH111" s="1047"/>
      <c r="AI111" s="1047"/>
      <c r="AJ111" s="1047"/>
      <c r="AK111" s="1047"/>
      <c r="AL111" s="1047"/>
      <c r="AM111" s="1047"/>
      <c r="AN111" s="1044"/>
    </row>
    <row r="112" spans="2:40" x14ac:dyDescent="0.2">
      <c r="B112" s="1014"/>
      <c r="C112" s="1108"/>
      <c r="D112" s="1148"/>
      <c r="E112" s="1122"/>
      <c r="F112" s="1122"/>
      <c r="G112" s="127"/>
      <c r="H112" s="127"/>
      <c r="I112" s="128"/>
      <c r="J112" s="624"/>
      <c r="K112" s="624"/>
      <c r="L112" s="624"/>
      <c r="M112" s="624"/>
      <c r="N112" s="624"/>
      <c r="O112" s="624"/>
      <c r="P112" s="1168"/>
      <c r="Q112" s="945"/>
      <c r="R112" s="1165"/>
      <c r="S112" s="1165"/>
      <c r="T112" s="1165"/>
      <c r="U112" s="1165"/>
      <c r="V112" s="1165"/>
      <c r="W112" s="1165"/>
      <c r="X112" s="1165"/>
      <c r="Y112" s="1165"/>
      <c r="Z112" s="1166"/>
      <c r="AA112" s="1149"/>
      <c r="AB112" s="1149"/>
      <c r="AC112" s="1149"/>
      <c r="AD112" s="1083"/>
      <c r="AE112" s="1047"/>
      <c r="AF112" s="1047"/>
      <c r="AG112" s="1047"/>
      <c r="AH112" s="1047"/>
      <c r="AI112" s="1047"/>
      <c r="AJ112" s="1047"/>
      <c r="AK112" s="1047"/>
      <c r="AL112" s="1047"/>
      <c r="AM112" s="1047"/>
      <c r="AN112" s="1044"/>
    </row>
    <row r="113" spans="2:40" x14ac:dyDescent="0.2">
      <c r="B113" s="1014"/>
      <c r="C113" s="1108"/>
      <c r="D113" s="1148"/>
      <c r="E113" s="1122"/>
      <c r="F113" s="1122"/>
      <c r="G113" s="127"/>
      <c r="H113" s="127"/>
      <c r="I113" s="128"/>
      <c r="J113" s="624"/>
      <c r="K113" s="624"/>
      <c r="L113" s="624"/>
      <c r="M113" s="624"/>
      <c r="N113" s="624"/>
      <c r="O113" s="624"/>
      <c r="P113" s="1168"/>
      <c r="Q113" s="945"/>
      <c r="R113" s="1165"/>
      <c r="S113" s="1165"/>
      <c r="T113" s="1165"/>
      <c r="U113" s="1165"/>
      <c r="V113" s="1165"/>
      <c r="W113" s="1165"/>
      <c r="X113" s="1165"/>
      <c r="Y113" s="1165"/>
      <c r="Z113" s="1166"/>
      <c r="AA113" s="1149"/>
      <c r="AB113" s="1149"/>
      <c r="AC113" s="1149"/>
      <c r="AD113" s="1083"/>
      <c r="AE113" s="1047"/>
      <c r="AF113" s="1047"/>
      <c r="AG113" s="1047"/>
      <c r="AH113" s="1047"/>
      <c r="AI113" s="1047"/>
      <c r="AJ113" s="1047"/>
      <c r="AK113" s="1047"/>
      <c r="AL113" s="1047"/>
      <c r="AM113" s="1047"/>
      <c r="AN113" s="1044"/>
    </row>
    <row r="114" spans="2:40" x14ac:dyDescent="0.2">
      <c r="B114" s="1014"/>
      <c r="C114" s="1108"/>
      <c r="D114" s="1148"/>
      <c r="E114" s="1122"/>
      <c r="F114" s="1122"/>
      <c r="G114" s="127"/>
      <c r="H114" s="127"/>
      <c r="I114" s="128"/>
      <c r="J114" s="624"/>
      <c r="K114" s="624"/>
      <c r="L114" s="624"/>
      <c r="M114" s="624"/>
      <c r="N114" s="624"/>
      <c r="O114" s="624"/>
      <c r="P114" s="1168"/>
      <c r="Q114" s="945"/>
      <c r="R114" s="1165"/>
      <c r="S114" s="1165"/>
      <c r="T114" s="1165"/>
      <c r="U114" s="1165"/>
      <c r="V114" s="1165"/>
      <c r="W114" s="1165"/>
      <c r="X114" s="1165"/>
      <c r="Y114" s="1165"/>
      <c r="Z114" s="1166"/>
      <c r="AA114" s="1149"/>
      <c r="AB114" s="1149"/>
      <c r="AC114" s="1149"/>
      <c r="AD114" s="1083"/>
      <c r="AE114" s="1047"/>
      <c r="AF114" s="1047"/>
      <c r="AG114" s="1047"/>
      <c r="AH114" s="1047"/>
      <c r="AI114" s="1047"/>
      <c r="AJ114" s="1047"/>
      <c r="AK114" s="1047"/>
      <c r="AL114" s="1047"/>
      <c r="AM114" s="1047"/>
      <c r="AN114" s="1044"/>
    </row>
    <row r="115" spans="2:40" x14ac:dyDescent="0.2">
      <c r="B115" s="1014"/>
      <c r="C115" s="1108"/>
      <c r="D115" s="1148"/>
      <c r="E115" s="1122"/>
      <c r="F115" s="1122"/>
      <c r="G115" s="127"/>
      <c r="H115" s="127"/>
      <c r="I115" s="128"/>
      <c r="J115" s="624"/>
      <c r="K115" s="624"/>
      <c r="L115" s="624"/>
      <c r="M115" s="624"/>
      <c r="N115" s="624"/>
      <c r="O115" s="624"/>
      <c r="P115" s="1168"/>
      <c r="Q115" s="945"/>
      <c r="R115" s="1165"/>
      <c r="S115" s="1165"/>
      <c r="T115" s="1165"/>
      <c r="U115" s="1165"/>
      <c r="V115" s="1165"/>
      <c r="W115" s="1165"/>
      <c r="X115" s="1165"/>
      <c r="Y115" s="1165"/>
      <c r="Z115" s="1166"/>
      <c r="AA115" s="1149"/>
      <c r="AB115" s="1149"/>
      <c r="AC115" s="1149"/>
      <c r="AD115" s="1083"/>
      <c r="AE115" s="1047"/>
      <c r="AF115" s="1047"/>
      <c r="AG115" s="1047"/>
      <c r="AH115" s="1047"/>
      <c r="AI115" s="1047"/>
      <c r="AJ115" s="1047"/>
      <c r="AK115" s="1047"/>
      <c r="AL115" s="1047"/>
      <c r="AM115" s="1047"/>
      <c r="AN115" s="1044"/>
    </row>
    <row r="116" spans="2:40" x14ac:dyDescent="0.2">
      <c r="B116" s="1019"/>
      <c r="C116" s="1110"/>
      <c r="D116" s="1150"/>
      <c r="E116" s="1129"/>
      <c r="F116" s="1129"/>
      <c r="G116" s="966"/>
      <c r="H116" s="966"/>
      <c r="I116" s="963"/>
      <c r="J116" s="1142"/>
      <c r="K116" s="1142"/>
      <c r="L116" s="1142"/>
      <c r="M116" s="1142"/>
      <c r="N116" s="1142"/>
      <c r="O116" s="1142"/>
      <c r="P116" s="1169"/>
      <c r="Q116" s="969"/>
      <c r="R116" s="1170"/>
      <c r="S116" s="1170"/>
      <c r="T116" s="1170"/>
      <c r="U116" s="1170"/>
      <c r="V116" s="1170"/>
      <c r="W116" s="1170"/>
      <c r="X116" s="1170"/>
      <c r="Y116" s="1170"/>
      <c r="Z116" s="1171"/>
      <c r="AA116" s="1151"/>
      <c r="AB116" s="1151"/>
      <c r="AC116" s="1151"/>
      <c r="AD116" s="1087"/>
      <c r="AE116" s="1058"/>
      <c r="AF116" s="1058"/>
      <c r="AG116" s="1058"/>
      <c r="AH116" s="1058"/>
      <c r="AI116" s="1058"/>
      <c r="AJ116" s="1058"/>
      <c r="AK116" s="1058"/>
      <c r="AL116" s="1058"/>
      <c r="AM116" s="1058"/>
      <c r="AN116" s="1093"/>
    </row>
    <row r="117" spans="2:40" x14ac:dyDescent="0.2">
      <c r="B117" s="989" t="s">
        <v>34</v>
      </c>
      <c r="C117" s="1094" t="s">
        <v>182</v>
      </c>
      <c r="D117" s="1095"/>
      <c r="E117" s="1096"/>
      <c r="F117" s="1096"/>
      <c r="G117" s="1097"/>
      <c r="H117" s="1097"/>
      <c r="I117" s="1097"/>
      <c r="J117" s="1097"/>
      <c r="K117" s="1097"/>
      <c r="L117" s="1098"/>
      <c r="M117" s="1097"/>
      <c r="N117" s="1098"/>
      <c r="O117" s="1098"/>
      <c r="P117" s="1041"/>
      <c r="Q117" s="1036"/>
      <c r="R117" s="1037"/>
      <c r="S117" s="1037"/>
      <c r="T117" s="1037"/>
      <c r="U117" s="1037"/>
      <c r="V117" s="1037"/>
      <c r="W117" s="1037"/>
      <c r="X117" s="1037"/>
      <c r="Y117" s="1037"/>
      <c r="Z117" s="1037"/>
      <c r="AA117" s="1098"/>
      <c r="AB117" s="1098"/>
      <c r="AC117" s="1098"/>
      <c r="AD117" s="978">
        <v>3.7000000000000002E-3</v>
      </c>
      <c r="AE117" s="981">
        <v>6.4799999999999996E-2</v>
      </c>
      <c r="AF117" s="981"/>
      <c r="AG117" s="981">
        <v>1.6199999999999999E-2</v>
      </c>
      <c r="AH117" s="981">
        <v>2.8000000000000001E-2</v>
      </c>
      <c r="AI117" s="1172"/>
      <c r="AJ117" s="1172"/>
      <c r="AK117" s="1172"/>
      <c r="AL117" s="1172"/>
      <c r="AM117" s="1172"/>
      <c r="AN117" s="1162">
        <v>25</v>
      </c>
    </row>
    <row r="118" spans="2:40" x14ac:dyDescent="0.2">
      <c r="B118" s="994"/>
      <c r="C118" s="1108"/>
      <c r="D118" s="1105"/>
      <c r="E118" s="955"/>
      <c r="F118" s="955"/>
      <c r="G118" s="624"/>
      <c r="H118" s="624"/>
      <c r="I118" s="128"/>
      <c r="J118" s="128"/>
      <c r="K118" s="624"/>
      <c r="L118" s="127"/>
      <c r="M118" s="624"/>
      <c r="N118" s="127"/>
      <c r="O118" s="624"/>
      <c r="P118" s="1173"/>
      <c r="Q118" s="943"/>
      <c r="R118" s="944"/>
      <c r="S118" s="944"/>
      <c r="T118" s="1174"/>
      <c r="U118" s="944"/>
      <c r="V118" s="944"/>
      <c r="W118" s="944"/>
      <c r="X118" s="944"/>
      <c r="Y118" s="944"/>
      <c r="Z118" s="1107"/>
      <c r="AA118" s="946"/>
      <c r="AB118" s="946"/>
      <c r="AC118" s="946"/>
      <c r="AD118" s="1029"/>
      <c r="AE118" s="1028"/>
      <c r="AF118" s="1028"/>
      <c r="AG118" s="1028"/>
      <c r="AH118" s="1028"/>
      <c r="AI118" s="1046"/>
      <c r="AJ118" s="1046"/>
      <c r="AK118" s="1046"/>
      <c r="AL118" s="1046"/>
      <c r="AM118" s="1046"/>
      <c r="AN118" s="1040"/>
    </row>
    <row r="119" spans="2:40" x14ac:dyDescent="0.2">
      <c r="B119" s="994"/>
      <c r="C119" s="1108"/>
      <c r="D119" s="1105"/>
      <c r="E119" s="955"/>
      <c r="F119" s="955"/>
      <c r="G119" s="624"/>
      <c r="H119" s="624"/>
      <c r="I119" s="128"/>
      <c r="J119" s="128"/>
      <c r="K119" s="624"/>
      <c r="L119" s="127"/>
      <c r="M119" s="624"/>
      <c r="N119" s="127"/>
      <c r="O119" s="624"/>
      <c r="P119" s="1168"/>
      <c r="Q119" s="945"/>
      <c r="R119" s="946"/>
      <c r="S119" s="946"/>
      <c r="T119" s="1175"/>
      <c r="U119" s="946"/>
      <c r="V119" s="946"/>
      <c r="W119" s="946"/>
      <c r="X119" s="946"/>
      <c r="Y119" s="946"/>
      <c r="Z119" s="1176"/>
      <c r="AA119" s="946"/>
      <c r="AB119" s="946"/>
      <c r="AC119" s="946"/>
      <c r="AD119" s="1033"/>
      <c r="AE119" s="1027"/>
      <c r="AF119" s="1027"/>
      <c r="AG119" s="1027"/>
      <c r="AH119" s="1027"/>
      <c r="AI119" s="1047"/>
      <c r="AJ119" s="1047"/>
      <c r="AK119" s="1047"/>
      <c r="AL119" s="1047"/>
      <c r="AM119" s="1047"/>
      <c r="AN119" s="1044"/>
    </row>
    <row r="120" spans="2:40" x14ac:dyDescent="0.2">
      <c r="B120" s="994"/>
      <c r="C120" s="1108"/>
      <c r="D120" s="1105"/>
      <c r="E120" s="955"/>
      <c r="F120" s="955"/>
      <c r="G120" s="624"/>
      <c r="H120" s="624"/>
      <c r="I120" s="128"/>
      <c r="J120" s="128"/>
      <c r="K120" s="624"/>
      <c r="L120" s="127"/>
      <c r="M120" s="624"/>
      <c r="N120" s="127"/>
      <c r="O120" s="624"/>
      <c r="P120" s="1168"/>
      <c r="Q120" s="945"/>
      <c r="R120" s="946"/>
      <c r="S120" s="946"/>
      <c r="T120" s="1175"/>
      <c r="U120" s="946"/>
      <c r="V120" s="946"/>
      <c r="W120" s="946"/>
      <c r="X120" s="946"/>
      <c r="Y120" s="946"/>
      <c r="Z120" s="1109"/>
      <c r="AA120" s="946"/>
      <c r="AB120" s="946"/>
      <c r="AC120" s="946"/>
      <c r="AD120" s="1033"/>
      <c r="AE120" s="1027"/>
      <c r="AF120" s="1027"/>
      <c r="AG120" s="1027"/>
      <c r="AH120" s="1027"/>
      <c r="AI120" s="1047"/>
      <c r="AJ120" s="1047"/>
      <c r="AK120" s="1047"/>
      <c r="AL120" s="1047"/>
      <c r="AM120" s="1047"/>
      <c r="AN120" s="1044"/>
    </row>
    <row r="121" spans="2:40" x14ac:dyDescent="0.2">
      <c r="B121" s="994"/>
      <c r="C121" s="1108"/>
      <c r="D121" s="1105"/>
      <c r="E121" s="955"/>
      <c r="F121" s="955"/>
      <c r="G121" s="624"/>
      <c r="H121" s="624"/>
      <c r="I121" s="128"/>
      <c r="J121" s="128"/>
      <c r="K121" s="624"/>
      <c r="L121" s="127"/>
      <c r="M121" s="624"/>
      <c r="N121" s="127"/>
      <c r="O121" s="624"/>
      <c r="P121" s="1168"/>
      <c r="Q121" s="945"/>
      <c r="R121" s="946"/>
      <c r="S121" s="946"/>
      <c r="T121" s="1175"/>
      <c r="U121" s="946"/>
      <c r="V121" s="946"/>
      <c r="W121" s="946"/>
      <c r="X121" s="946"/>
      <c r="Y121" s="946"/>
      <c r="Z121" s="1109"/>
      <c r="AA121" s="946"/>
      <c r="AB121" s="946"/>
      <c r="AC121" s="946"/>
      <c r="AD121" s="1033"/>
      <c r="AE121" s="1027"/>
      <c r="AF121" s="1027"/>
      <c r="AG121" s="1027"/>
      <c r="AH121" s="1027"/>
      <c r="AI121" s="1047"/>
      <c r="AJ121" s="1047"/>
      <c r="AK121" s="1047"/>
      <c r="AL121" s="1047"/>
      <c r="AM121" s="1047"/>
      <c r="AN121" s="1044"/>
    </row>
    <row r="122" spans="2:40" x14ac:dyDescent="0.2">
      <c r="B122" s="994"/>
      <c r="C122" s="1108"/>
      <c r="D122" s="1105"/>
      <c r="E122" s="955"/>
      <c r="F122" s="955"/>
      <c r="G122" s="624"/>
      <c r="H122" s="624"/>
      <c r="I122" s="128"/>
      <c r="J122" s="128"/>
      <c r="K122" s="624"/>
      <c r="L122" s="127"/>
      <c r="M122" s="624"/>
      <c r="N122" s="127"/>
      <c r="O122" s="624"/>
      <c r="P122" s="1168"/>
      <c r="Q122" s="945"/>
      <c r="R122" s="946"/>
      <c r="S122" s="946"/>
      <c r="T122" s="1175"/>
      <c r="U122" s="946"/>
      <c r="V122" s="946"/>
      <c r="W122" s="946"/>
      <c r="X122" s="946"/>
      <c r="Y122" s="946"/>
      <c r="Z122" s="1109"/>
      <c r="AA122" s="946"/>
      <c r="AB122" s="946"/>
      <c r="AC122" s="946"/>
      <c r="AD122" s="1033"/>
      <c r="AE122" s="1027"/>
      <c r="AF122" s="1027"/>
      <c r="AG122" s="1027"/>
      <c r="AH122" s="1027"/>
      <c r="AI122" s="1047"/>
      <c r="AJ122" s="1047"/>
      <c r="AK122" s="1047"/>
      <c r="AL122" s="1047"/>
      <c r="AM122" s="1047"/>
      <c r="AN122" s="1044"/>
    </row>
    <row r="123" spans="2:40" x14ac:dyDescent="0.2">
      <c r="B123" s="994"/>
      <c r="C123" s="1108"/>
      <c r="D123" s="1105"/>
      <c r="E123" s="955"/>
      <c r="F123" s="955"/>
      <c r="G123" s="624"/>
      <c r="H123" s="624"/>
      <c r="I123" s="128"/>
      <c r="J123" s="128"/>
      <c r="K123" s="624"/>
      <c r="L123" s="127"/>
      <c r="M123" s="624"/>
      <c r="N123" s="127"/>
      <c r="O123" s="624"/>
      <c r="P123" s="1168"/>
      <c r="Q123" s="945"/>
      <c r="R123" s="946"/>
      <c r="S123" s="946"/>
      <c r="T123" s="1175"/>
      <c r="U123" s="946"/>
      <c r="V123" s="946"/>
      <c r="W123" s="946"/>
      <c r="X123" s="946"/>
      <c r="Y123" s="946"/>
      <c r="Z123" s="1109"/>
      <c r="AA123" s="946"/>
      <c r="AB123" s="946"/>
      <c r="AC123" s="946"/>
      <c r="AD123" s="1033"/>
      <c r="AE123" s="1027"/>
      <c r="AF123" s="1027"/>
      <c r="AG123" s="1027"/>
      <c r="AH123" s="1027"/>
      <c r="AI123" s="1047"/>
      <c r="AJ123" s="1047"/>
      <c r="AK123" s="1047"/>
      <c r="AL123" s="1047"/>
      <c r="AM123" s="1047"/>
      <c r="AN123" s="1044"/>
    </row>
    <row r="124" spans="2:40" x14ac:dyDescent="0.2">
      <c r="B124" s="994"/>
      <c r="C124" s="1108"/>
      <c r="D124" s="1105"/>
      <c r="E124" s="955"/>
      <c r="F124" s="955"/>
      <c r="G124" s="624"/>
      <c r="H124" s="624"/>
      <c r="I124" s="128"/>
      <c r="J124" s="128"/>
      <c r="K124" s="624"/>
      <c r="L124" s="127"/>
      <c r="M124" s="624"/>
      <c r="N124" s="127"/>
      <c r="O124" s="624"/>
      <c r="P124" s="1168"/>
      <c r="Q124" s="945"/>
      <c r="R124" s="946"/>
      <c r="S124" s="946"/>
      <c r="T124" s="1175"/>
      <c r="U124" s="946"/>
      <c r="V124" s="946"/>
      <c r="W124" s="946"/>
      <c r="X124" s="946"/>
      <c r="Y124" s="946"/>
      <c r="Z124" s="1109"/>
      <c r="AA124" s="946"/>
      <c r="AB124" s="946"/>
      <c r="AC124" s="946"/>
      <c r="AD124" s="1033"/>
      <c r="AE124" s="1027"/>
      <c r="AF124" s="1027"/>
      <c r="AG124" s="1027"/>
      <c r="AH124" s="1027"/>
      <c r="AI124" s="1047"/>
      <c r="AJ124" s="1047"/>
      <c r="AK124" s="1047"/>
      <c r="AL124" s="1047"/>
      <c r="AM124" s="1047"/>
      <c r="AN124" s="1044"/>
    </row>
    <row r="125" spans="2:40" x14ac:dyDescent="0.2">
      <c r="B125" s="994"/>
      <c r="C125" s="1108"/>
      <c r="D125" s="1105"/>
      <c r="E125" s="955"/>
      <c r="F125" s="955"/>
      <c r="G125" s="624"/>
      <c r="H125" s="624"/>
      <c r="I125" s="128"/>
      <c r="J125" s="128"/>
      <c r="K125" s="624"/>
      <c r="L125" s="127"/>
      <c r="M125" s="624"/>
      <c r="N125" s="127"/>
      <c r="O125" s="624"/>
      <c r="P125" s="1168"/>
      <c r="Q125" s="945"/>
      <c r="R125" s="946"/>
      <c r="S125" s="946"/>
      <c r="T125" s="1175"/>
      <c r="U125" s="946"/>
      <c r="V125" s="946"/>
      <c r="W125" s="946"/>
      <c r="X125" s="946"/>
      <c r="Y125" s="946"/>
      <c r="Z125" s="1109"/>
      <c r="AA125" s="946"/>
      <c r="AB125" s="946"/>
      <c r="AC125" s="946"/>
      <c r="AD125" s="1033"/>
      <c r="AE125" s="1027"/>
      <c r="AF125" s="1027"/>
      <c r="AG125" s="1027"/>
      <c r="AH125" s="1027"/>
      <c r="AI125" s="1047"/>
      <c r="AJ125" s="1047"/>
      <c r="AK125" s="1047"/>
      <c r="AL125" s="1047"/>
      <c r="AM125" s="1047"/>
      <c r="AN125" s="1044"/>
    </row>
    <row r="126" spans="2:40" x14ac:dyDescent="0.2">
      <c r="B126" s="1010"/>
      <c r="C126" s="1110"/>
      <c r="D126" s="1111"/>
      <c r="E126" s="1112"/>
      <c r="F126" s="1112"/>
      <c r="G126" s="1142"/>
      <c r="H126" s="1142"/>
      <c r="I126" s="963"/>
      <c r="J126" s="963"/>
      <c r="K126" s="1142"/>
      <c r="L126" s="966"/>
      <c r="M126" s="1142"/>
      <c r="N126" s="966"/>
      <c r="O126" s="1142"/>
      <c r="P126" s="1168"/>
      <c r="Q126" s="945"/>
      <c r="R126" s="946"/>
      <c r="S126" s="946"/>
      <c r="T126" s="1175"/>
      <c r="U126" s="946"/>
      <c r="V126" s="946"/>
      <c r="W126" s="946"/>
      <c r="X126" s="946"/>
      <c r="Y126" s="946"/>
      <c r="Z126" s="1109"/>
      <c r="AA126" s="970"/>
      <c r="AB126" s="970"/>
      <c r="AC126" s="970"/>
      <c r="AD126" s="1033"/>
      <c r="AE126" s="1027"/>
      <c r="AF126" s="1027"/>
      <c r="AG126" s="1027"/>
      <c r="AH126" s="1027"/>
      <c r="AI126" s="1047"/>
      <c r="AJ126" s="1047"/>
      <c r="AK126" s="1047"/>
      <c r="AL126" s="1047"/>
      <c r="AM126" s="1047"/>
      <c r="AN126" s="1044"/>
    </row>
    <row r="127" spans="2:40" x14ac:dyDescent="0.2">
      <c r="B127" s="1022" t="s">
        <v>35</v>
      </c>
      <c r="C127" s="1104"/>
      <c r="D127" s="1145"/>
      <c r="E127" s="1146"/>
      <c r="F127" s="1146"/>
      <c r="G127" s="1141"/>
      <c r="H127" s="1141"/>
      <c r="I127" s="167"/>
      <c r="J127" s="167"/>
      <c r="K127" s="1141"/>
      <c r="L127" s="1141"/>
      <c r="M127" s="1141"/>
      <c r="N127" s="1141"/>
      <c r="O127" s="1141"/>
      <c r="P127" s="1144"/>
      <c r="Q127" s="943"/>
      <c r="R127" s="944"/>
      <c r="S127" s="944"/>
      <c r="T127" s="944"/>
      <c r="U127" s="944"/>
      <c r="V127" s="944"/>
      <c r="W127" s="944"/>
      <c r="X127" s="944"/>
      <c r="Y127" s="944"/>
      <c r="Z127" s="1107"/>
      <c r="AA127" s="944"/>
      <c r="AB127" s="944"/>
      <c r="AC127" s="944"/>
      <c r="AD127" s="1082"/>
      <c r="AE127" s="1046"/>
      <c r="AF127" s="1046"/>
      <c r="AG127" s="1046"/>
      <c r="AH127" s="1046"/>
      <c r="AI127" s="1046"/>
      <c r="AJ127" s="1046"/>
      <c r="AK127" s="1046"/>
      <c r="AL127" s="1046"/>
      <c r="AM127" s="1046"/>
      <c r="AN127" s="1040"/>
    </row>
    <row r="128" spans="2:40" x14ac:dyDescent="0.2">
      <c r="B128" s="1014"/>
      <c r="C128" s="1108"/>
      <c r="D128" s="1148"/>
      <c r="E128" s="1122"/>
      <c r="F128" s="1122"/>
      <c r="G128" s="624"/>
      <c r="H128" s="624"/>
      <c r="I128" s="128"/>
      <c r="J128" s="128"/>
      <c r="K128" s="624"/>
      <c r="L128" s="624"/>
      <c r="M128" s="624"/>
      <c r="N128" s="624"/>
      <c r="O128" s="624"/>
      <c r="P128" s="1117"/>
      <c r="Q128" s="945"/>
      <c r="R128" s="946"/>
      <c r="S128" s="946"/>
      <c r="T128" s="946"/>
      <c r="U128" s="946"/>
      <c r="V128" s="946"/>
      <c r="W128" s="946"/>
      <c r="X128" s="946"/>
      <c r="Y128" s="946"/>
      <c r="Z128" s="1109"/>
      <c r="AA128" s="946"/>
      <c r="AB128" s="946"/>
      <c r="AC128" s="946"/>
      <c r="AD128" s="1083"/>
      <c r="AE128" s="1047"/>
      <c r="AF128" s="1047"/>
      <c r="AG128" s="1047"/>
      <c r="AH128" s="1047"/>
      <c r="AI128" s="1047"/>
      <c r="AJ128" s="1047"/>
      <c r="AK128" s="1047"/>
      <c r="AL128" s="1047"/>
      <c r="AM128" s="1047"/>
      <c r="AN128" s="1044"/>
    </row>
    <row r="129" spans="2:40" x14ac:dyDescent="0.2">
      <c r="B129" s="1014"/>
      <c r="C129" s="1108"/>
      <c r="D129" s="1148"/>
      <c r="E129" s="1122"/>
      <c r="F129" s="1122"/>
      <c r="G129" s="624"/>
      <c r="H129" s="624"/>
      <c r="I129" s="128"/>
      <c r="J129" s="128"/>
      <c r="K129" s="624"/>
      <c r="L129" s="624"/>
      <c r="M129" s="624"/>
      <c r="N129" s="624"/>
      <c r="O129" s="624"/>
      <c r="P129" s="1117"/>
      <c r="Q129" s="945"/>
      <c r="R129" s="946"/>
      <c r="S129" s="946"/>
      <c r="T129" s="946"/>
      <c r="U129" s="946"/>
      <c r="V129" s="946"/>
      <c r="W129" s="946"/>
      <c r="X129" s="946"/>
      <c r="Y129" s="946"/>
      <c r="Z129" s="1109"/>
      <c r="AA129" s="946"/>
      <c r="AB129" s="946"/>
      <c r="AC129" s="946"/>
      <c r="AD129" s="1083"/>
      <c r="AE129" s="1047"/>
      <c r="AF129" s="1047"/>
      <c r="AG129" s="1047"/>
      <c r="AH129" s="1047"/>
      <c r="AI129" s="1047"/>
      <c r="AJ129" s="1047"/>
      <c r="AK129" s="1047"/>
      <c r="AL129" s="1047"/>
      <c r="AM129" s="1047"/>
      <c r="AN129" s="1044"/>
    </row>
    <row r="130" spans="2:40" x14ac:dyDescent="0.2">
      <c r="B130" s="1014"/>
      <c r="C130" s="1108"/>
      <c r="D130" s="1148"/>
      <c r="E130" s="1122"/>
      <c r="F130" s="1122"/>
      <c r="G130" s="624"/>
      <c r="H130" s="624"/>
      <c r="I130" s="128"/>
      <c r="J130" s="128"/>
      <c r="K130" s="624"/>
      <c r="L130" s="624"/>
      <c r="M130" s="624"/>
      <c r="N130" s="624"/>
      <c r="O130" s="624"/>
      <c r="P130" s="1117"/>
      <c r="Q130" s="945"/>
      <c r="R130" s="946"/>
      <c r="S130" s="946"/>
      <c r="T130" s="946"/>
      <c r="U130" s="946"/>
      <c r="V130" s="946"/>
      <c r="W130" s="946"/>
      <c r="X130" s="946"/>
      <c r="Y130" s="946"/>
      <c r="Z130" s="1109"/>
      <c r="AA130" s="946"/>
      <c r="AB130" s="946"/>
      <c r="AC130" s="946"/>
      <c r="AD130" s="1083"/>
      <c r="AE130" s="1047"/>
      <c r="AF130" s="1047"/>
      <c r="AG130" s="1047"/>
      <c r="AH130" s="1047"/>
      <c r="AI130" s="1047"/>
      <c r="AJ130" s="1047"/>
      <c r="AK130" s="1047"/>
      <c r="AL130" s="1047"/>
      <c r="AM130" s="1047"/>
      <c r="AN130" s="1044"/>
    </row>
    <row r="131" spans="2:40" x14ac:dyDescent="0.2">
      <c r="B131" s="1014"/>
      <c r="C131" s="1108"/>
      <c r="D131" s="1148"/>
      <c r="E131" s="1122"/>
      <c r="F131" s="1122"/>
      <c r="G131" s="624"/>
      <c r="H131" s="624"/>
      <c r="I131" s="128"/>
      <c r="J131" s="128"/>
      <c r="K131" s="624"/>
      <c r="L131" s="624"/>
      <c r="M131" s="624"/>
      <c r="N131" s="624"/>
      <c r="O131" s="624"/>
      <c r="P131" s="1117"/>
      <c r="Q131" s="945"/>
      <c r="R131" s="946"/>
      <c r="S131" s="946"/>
      <c r="T131" s="946"/>
      <c r="U131" s="946"/>
      <c r="V131" s="946"/>
      <c r="W131" s="946"/>
      <c r="X131" s="946"/>
      <c r="Y131" s="946"/>
      <c r="Z131" s="1109"/>
      <c r="AA131" s="946"/>
      <c r="AB131" s="946"/>
      <c r="AC131" s="946"/>
      <c r="AD131" s="1083"/>
      <c r="AE131" s="1047"/>
      <c r="AF131" s="1047"/>
      <c r="AG131" s="1047"/>
      <c r="AH131" s="1047"/>
      <c r="AI131" s="1047"/>
      <c r="AJ131" s="1047"/>
      <c r="AK131" s="1047"/>
      <c r="AL131" s="1047"/>
      <c r="AM131" s="1047"/>
      <c r="AN131" s="1044"/>
    </row>
    <row r="132" spans="2:40" x14ac:dyDescent="0.2">
      <c r="B132" s="1014"/>
      <c r="C132" s="1108"/>
      <c r="D132" s="1148"/>
      <c r="E132" s="1122"/>
      <c r="F132" s="1122"/>
      <c r="G132" s="624"/>
      <c r="H132" s="624"/>
      <c r="I132" s="128"/>
      <c r="J132" s="128"/>
      <c r="K132" s="624"/>
      <c r="L132" s="624"/>
      <c r="M132" s="624"/>
      <c r="N132" s="624"/>
      <c r="O132" s="624"/>
      <c r="P132" s="1117"/>
      <c r="Q132" s="945"/>
      <c r="R132" s="946"/>
      <c r="S132" s="946"/>
      <c r="T132" s="946"/>
      <c r="U132" s="946"/>
      <c r="V132" s="946"/>
      <c r="W132" s="946"/>
      <c r="X132" s="946"/>
      <c r="Y132" s="946"/>
      <c r="Z132" s="1109"/>
      <c r="AA132" s="946"/>
      <c r="AB132" s="946"/>
      <c r="AC132" s="946"/>
      <c r="AD132" s="1083"/>
      <c r="AE132" s="1047"/>
      <c r="AF132" s="1047"/>
      <c r="AG132" s="1047"/>
      <c r="AH132" s="1047"/>
      <c r="AI132" s="1047"/>
      <c r="AJ132" s="1047"/>
      <c r="AK132" s="1047"/>
      <c r="AL132" s="1047"/>
      <c r="AM132" s="1047"/>
      <c r="AN132" s="1044"/>
    </row>
    <row r="133" spans="2:40" x14ac:dyDescent="0.2">
      <c r="B133" s="1014"/>
      <c r="C133" s="1108"/>
      <c r="D133" s="1148"/>
      <c r="E133" s="1122"/>
      <c r="F133" s="1122"/>
      <c r="G133" s="624"/>
      <c r="H133" s="624"/>
      <c r="I133" s="128"/>
      <c r="J133" s="128"/>
      <c r="K133" s="624"/>
      <c r="L133" s="624"/>
      <c r="M133" s="624"/>
      <c r="N133" s="624"/>
      <c r="O133" s="624"/>
      <c r="P133" s="1117"/>
      <c r="Q133" s="945"/>
      <c r="R133" s="946"/>
      <c r="S133" s="946"/>
      <c r="T133" s="946"/>
      <c r="U133" s="946"/>
      <c r="V133" s="946"/>
      <c r="W133" s="946"/>
      <c r="X133" s="946"/>
      <c r="Y133" s="946"/>
      <c r="Z133" s="1109"/>
      <c r="AA133" s="946"/>
      <c r="AB133" s="946"/>
      <c r="AC133" s="946"/>
      <c r="AD133" s="1083"/>
      <c r="AE133" s="1047"/>
      <c r="AF133" s="1047"/>
      <c r="AG133" s="1047"/>
      <c r="AH133" s="1047"/>
      <c r="AI133" s="1047"/>
      <c r="AJ133" s="1047"/>
      <c r="AK133" s="1047"/>
      <c r="AL133" s="1047"/>
      <c r="AM133" s="1047"/>
      <c r="AN133" s="1044"/>
    </row>
    <row r="134" spans="2:40" x14ac:dyDescent="0.2">
      <c r="B134" s="1014"/>
      <c r="C134" s="1108"/>
      <c r="D134" s="1148"/>
      <c r="E134" s="1122"/>
      <c r="F134" s="1122"/>
      <c r="G134" s="624"/>
      <c r="H134" s="624"/>
      <c r="I134" s="128"/>
      <c r="J134" s="128"/>
      <c r="K134" s="624"/>
      <c r="L134" s="624"/>
      <c r="M134" s="624"/>
      <c r="N134" s="624"/>
      <c r="O134" s="624"/>
      <c r="P134" s="1117"/>
      <c r="Q134" s="945"/>
      <c r="R134" s="946"/>
      <c r="S134" s="946"/>
      <c r="T134" s="946"/>
      <c r="U134" s="946"/>
      <c r="V134" s="946"/>
      <c r="W134" s="946"/>
      <c r="X134" s="946"/>
      <c r="Y134" s="946"/>
      <c r="Z134" s="1109"/>
      <c r="AA134" s="946"/>
      <c r="AB134" s="946"/>
      <c r="AC134" s="946"/>
      <c r="AD134" s="1083"/>
      <c r="AE134" s="1047"/>
      <c r="AF134" s="1047"/>
      <c r="AG134" s="1047"/>
      <c r="AH134" s="1047"/>
      <c r="AI134" s="1047"/>
      <c r="AJ134" s="1047"/>
      <c r="AK134" s="1047"/>
      <c r="AL134" s="1047"/>
      <c r="AM134" s="1047"/>
      <c r="AN134" s="1044"/>
    </row>
    <row r="135" spans="2:40" x14ac:dyDescent="0.2">
      <c r="B135" s="1014"/>
      <c r="C135" s="1108"/>
      <c r="D135" s="1148"/>
      <c r="E135" s="1122"/>
      <c r="F135" s="1122"/>
      <c r="G135" s="624"/>
      <c r="H135" s="624"/>
      <c r="I135" s="128"/>
      <c r="J135" s="128"/>
      <c r="K135" s="624"/>
      <c r="L135" s="624"/>
      <c r="M135" s="624"/>
      <c r="N135" s="624"/>
      <c r="O135" s="624"/>
      <c r="P135" s="1117"/>
      <c r="Q135" s="945"/>
      <c r="R135" s="946"/>
      <c r="S135" s="946"/>
      <c r="T135" s="946"/>
      <c r="U135" s="946"/>
      <c r="V135" s="946"/>
      <c r="W135" s="946"/>
      <c r="X135" s="946"/>
      <c r="Y135" s="946"/>
      <c r="Z135" s="1109"/>
      <c r="AA135" s="946"/>
      <c r="AB135" s="946"/>
      <c r="AC135" s="946"/>
      <c r="AD135" s="1083"/>
      <c r="AE135" s="1047"/>
      <c r="AF135" s="1047"/>
      <c r="AG135" s="1047"/>
      <c r="AH135" s="1047"/>
      <c r="AI135" s="1047"/>
      <c r="AJ135" s="1047"/>
      <c r="AK135" s="1047"/>
      <c r="AL135" s="1047"/>
      <c r="AM135" s="1047"/>
      <c r="AN135" s="1044"/>
    </row>
    <row r="136" spans="2:40" x14ac:dyDescent="0.2">
      <c r="B136" s="1019"/>
      <c r="C136" s="1110"/>
      <c r="D136" s="1150"/>
      <c r="E136" s="1129"/>
      <c r="F136" s="1129"/>
      <c r="G136" s="1142"/>
      <c r="H136" s="1142"/>
      <c r="I136" s="963"/>
      <c r="J136" s="963"/>
      <c r="K136" s="1142"/>
      <c r="L136" s="1142"/>
      <c r="M136" s="1142"/>
      <c r="N136" s="1142"/>
      <c r="O136" s="1142"/>
      <c r="P136" s="1118"/>
      <c r="Q136" s="969"/>
      <c r="R136" s="970"/>
      <c r="S136" s="970"/>
      <c r="T136" s="970"/>
      <c r="U136" s="970"/>
      <c r="V136" s="970"/>
      <c r="W136" s="970"/>
      <c r="X136" s="970"/>
      <c r="Y136" s="970"/>
      <c r="Z136" s="1113"/>
      <c r="AA136" s="970"/>
      <c r="AB136" s="970"/>
      <c r="AC136" s="970"/>
      <c r="AD136" s="1087"/>
      <c r="AE136" s="1058"/>
      <c r="AF136" s="1058"/>
      <c r="AG136" s="1058"/>
      <c r="AH136" s="1058"/>
      <c r="AI136" s="1058"/>
      <c r="AJ136" s="1058"/>
      <c r="AK136" s="1058"/>
      <c r="AL136" s="1058"/>
      <c r="AM136" s="1058"/>
      <c r="AN136" s="1093"/>
    </row>
    <row r="137" spans="2:40" x14ac:dyDescent="0.2">
      <c r="B137" s="989" t="s">
        <v>184</v>
      </c>
      <c r="C137" s="1094" t="s">
        <v>185</v>
      </c>
      <c r="D137" s="1099"/>
      <c r="E137" s="1100"/>
      <c r="F137" s="1100"/>
      <c r="G137" s="1101"/>
      <c r="H137" s="1101"/>
      <c r="I137" s="1101"/>
      <c r="J137" s="1101"/>
      <c r="K137" s="1101"/>
      <c r="L137" s="1101"/>
      <c r="M137" s="1101"/>
      <c r="N137" s="1101"/>
      <c r="O137" s="1101"/>
      <c r="P137" s="1083"/>
      <c r="Q137" s="1047"/>
      <c r="R137" s="1047"/>
      <c r="S137" s="1047"/>
      <c r="T137" s="1027"/>
      <c r="U137" s="1027"/>
      <c r="V137" s="1027"/>
      <c r="W137" s="1027"/>
      <c r="X137" s="1027"/>
      <c r="Y137" s="1027"/>
      <c r="Z137" s="1027"/>
      <c r="AA137" s="1098"/>
      <c r="AB137" s="1098"/>
      <c r="AC137" s="1098"/>
      <c r="AD137" s="1160">
        <v>0.05</v>
      </c>
      <c r="AE137" s="1177">
        <v>0.52100000000000002</v>
      </c>
      <c r="AF137" s="1177"/>
      <c r="AG137" s="1177">
        <v>0.13</v>
      </c>
      <c r="AH137" s="1177">
        <v>0.215</v>
      </c>
      <c r="AI137" s="1177">
        <v>0.02</v>
      </c>
      <c r="AJ137" s="1177">
        <v>0.32100000000000001</v>
      </c>
      <c r="AK137" s="1177"/>
      <c r="AL137" s="1177">
        <v>7.0000000000000007E-2</v>
      </c>
      <c r="AM137" s="1177">
        <v>0.125</v>
      </c>
      <c r="AN137" s="1162">
        <v>25</v>
      </c>
    </row>
    <row r="138" spans="2:40" x14ac:dyDescent="0.2">
      <c r="B138" s="994"/>
      <c r="C138" s="1108"/>
      <c r="D138" s="1178"/>
      <c r="E138" s="1179"/>
      <c r="F138" s="1179"/>
      <c r="G138" s="127"/>
      <c r="H138" s="127"/>
      <c r="I138" s="128"/>
      <c r="J138" s="624"/>
      <c r="K138" s="624"/>
      <c r="L138" s="624"/>
      <c r="M138" s="624"/>
      <c r="N138" s="624"/>
      <c r="O138" s="624"/>
      <c r="P138" s="1180"/>
      <c r="Q138" s="943"/>
      <c r="R138" s="944"/>
      <c r="S138" s="944"/>
      <c r="T138" s="944"/>
      <c r="U138" s="944"/>
      <c r="V138" s="944"/>
      <c r="W138" s="944"/>
      <c r="X138" s="944"/>
      <c r="Y138" s="944"/>
      <c r="Z138" s="1107"/>
      <c r="AA138" s="946"/>
      <c r="AB138" s="946"/>
      <c r="AC138" s="946"/>
      <c r="AD138" s="1029"/>
      <c r="AE138" s="1028"/>
      <c r="AF138" s="1028"/>
      <c r="AG138" s="1028"/>
      <c r="AH138" s="1028"/>
      <c r="AI138" s="1028"/>
      <c r="AJ138" s="1028"/>
      <c r="AK138" s="1028"/>
      <c r="AL138" s="1028"/>
      <c r="AM138" s="1028"/>
      <c r="AN138" s="1040"/>
    </row>
    <row r="139" spans="2:40" x14ac:dyDescent="0.2">
      <c r="B139" s="994"/>
      <c r="C139" s="1108"/>
      <c r="D139" s="1178"/>
      <c r="E139" s="1179"/>
      <c r="F139" s="1179"/>
      <c r="G139" s="127"/>
      <c r="H139" s="127"/>
      <c r="I139" s="128"/>
      <c r="J139" s="624"/>
      <c r="K139" s="624"/>
      <c r="L139" s="624"/>
      <c r="M139" s="624"/>
      <c r="N139" s="624"/>
      <c r="O139" s="624"/>
      <c r="P139" s="1181"/>
      <c r="Q139" s="945"/>
      <c r="R139" s="946"/>
      <c r="S139" s="946"/>
      <c r="T139" s="946"/>
      <c r="U139" s="946"/>
      <c r="V139" s="946"/>
      <c r="W139" s="946"/>
      <c r="X139" s="946"/>
      <c r="Y139" s="946"/>
      <c r="Z139" s="1109"/>
      <c r="AA139" s="946"/>
      <c r="AB139" s="946"/>
      <c r="AC139" s="946"/>
      <c r="AD139" s="1033"/>
      <c r="AE139" s="1027"/>
      <c r="AF139" s="1027"/>
      <c r="AG139" s="1027"/>
      <c r="AH139" s="1027"/>
      <c r="AI139" s="1027"/>
      <c r="AJ139" s="1027"/>
      <c r="AK139" s="1027"/>
      <c r="AL139" s="1027"/>
      <c r="AM139" s="1027"/>
      <c r="AN139" s="1044"/>
    </row>
    <row r="140" spans="2:40" x14ac:dyDescent="0.2">
      <c r="B140" s="994"/>
      <c r="C140" s="1108"/>
      <c r="D140" s="1178"/>
      <c r="E140" s="1179"/>
      <c r="F140" s="1179"/>
      <c r="G140" s="127"/>
      <c r="H140" s="127"/>
      <c r="I140" s="128"/>
      <c r="J140" s="624"/>
      <c r="K140" s="624"/>
      <c r="L140" s="624"/>
      <c r="M140" s="624"/>
      <c r="N140" s="624"/>
      <c r="O140" s="624"/>
      <c r="P140" s="1181"/>
      <c r="Q140" s="945"/>
      <c r="R140" s="946"/>
      <c r="S140" s="946"/>
      <c r="T140" s="946"/>
      <c r="U140" s="946"/>
      <c r="V140" s="946"/>
      <c r="W140" s="946"/>
      <c r="X140" s="946"/>
      <c r="Y140" s="946"/>
      <c r="Z140" s="1109"/>
      <c r="AA140" s="946"/>
      <c r="AB140" s="946"/>
      <c r="AC140" s="946"/>
      <c r="AD140" s="1033"/>
      <c r="AE140" s="1027"/>
      <c r="AF140" s="1027"/>
      <c r="AG140" s="1027"/>
      <c r="AH140" s="1027"/>
      <c r="AI140" s="1027"/>
      <c r="AJ140" s="1027"/>
      <c r="AK140" s="1027"/>
      <c r="AL140" s="1027"/>
      <c r="AM140" s="1027"/>
      <c r="AN140" s="1044"/>
    </row>
    <row r="141" spans="2:40" x14ac:dyDescent="0.2">
      <c r="B141" s="994"/>
      <c r="C141" s="1108"/>
      <c r="D141" s="1178"/>
      <c r="E141" s="1179"/>
      <c r="F141" s="1179"/>
      <c r="G141" s="127"/>
      <c r="H141" s="127"/>
      <c r="I141" s="128"/>
      <c r="J141" s="624"/>
      <c r="K141" s="624"/>
      <c r="L141" s="624"/>
      <c r="M141" s="624"/>
      <c r="N141" s="624"/>
      <c r="O141" s="624"/>
      <c r="P141" s="1181"/>
      <c r="Q141" s="945"/>
      <c r="R141" s="946"/>
      <c r="S141" s="946"/>
      <c r="T141" s="946"/>
      <c r="U141" s="946"/>
      <c r="V141" s="946"/>
      <c r="W141" s="946"/>
      <c r="X141" s="946"/>
      <c r="Y141" s="946"/>
      <c r="Z141" s="1109"/>
      <c r="AA141" s="946"/>
      <c r="AB141" s="946"/>
      <c r="AC141" s="946"/>
      <c r="AD141" s="1033"/>
      <c r="AE141" s="1027"/>
      <c r="AF141" s="1027"/>
      <c r="AG141" s="1027"/>
      <c r="AH141" s="1027"/>
      <c r="AI141" s="1027"/>
      <c r="AJ141" s="1027"/>
      <c r="AK141" s="1027"/>
      <c r="AL141" s="1027"/>
      <c r="AM141" s="1027"/>
      <c r="AN141" s="1044"/>
    </row>
    <row r="142" spans="2:40" x14ac:dyDescent="0.2">
      <c r="B142" s="994"/>
      <c r="C142" s="1108"/>
      <c r="D142" s="1178"/>
      <c r="E142" s="1179"/>
      <c r="F142" s="1179"/>
      <c r="G142" s="127"/>
      <c r="H142" s="127"/>
      <c r="I142" s="128"/>
      <c r="J142" s="624"/>
      <c r="K142" s="624"/>
      <c r="L142" s="624"/>
      <c r="M142" s="624"/>
      <c r="N142" s="624"/>
      <c r="O142" s="624"/>
      <c r="P142" s="1181"/>
      <c r="Q142" s="945"/>
      <c r="R142" s="946"/>
      <c r="S142" s="946"/>
      <c r="T142" s="946"/>
      <c r="U142" s="946"/>
      <c r="V142" s="946"/>
      <c r="W142" s="946"/>
      <c r="X142" s="946"/>
      <c r="Y142" s="946"/>
      <c r="Z142" s="1109"/>
      <c r="AA142" s="946"/>
      <c r="AB142" s="946"/>
      <c r="AC142" s="946"/>
      <c r="AD142" s="1033"/>
      <c r="AE142" s="1027"/>
      <c r="AF142" s="1027"/>
      <c r="AG142" s="1027"/>
      <c r="AH142" s="1027"/>
      <c r="AI142" s="1027"/>
      <c r="AJ142" s="1027"/>
      <c r="AK142" s="1027"/>
      <c r="AL142" s="1027"/>
      <c r="AM142" s="1027"/>
      <c r="AN142" s="1044"/>
    </row>
    <row r="143" spans="2:40" x14ac:dyDescent="0.2">
      <c r="B143" s="994"/>
      <c r="C143" s="1108"/>
      <c r="D143" s="1178"/>
      <c r="E143" s="1179"/>
      <c r="F143" s="1179"/>
      <c r="G143" s="127"/>
      <c r="H143" s="127"/>
      <c r="I143" s="128"/>
      <c r="J143" s="624"/>
      <c r="K143" s="624"/>
      <c r="L143" s="624"/>
      <c r="M143" s="624"/>
      <c r="N143" s="624"/>
      <c r="O143" s="624"/>
      <c r="P143" s="1181"/>
      <c r="Q143" s="945"/>
      <c r="R143" s="946"/>
      <c r="S143" s="946"/>
      <c r="T143" s="946"/>
      <c r="U143" s="946"/>
      <c r="V143" s="946"/>
      <c r="W143" s="946"/>
      <c r="X143" s="946"/>
      <c r="Y143" s="946"/>
      <c r="Z143" s="1109"/>
      <c r="AA143" s="946"/>
      <c r="AB143" s="946"/>
      <c r="AC143" s="946"/>
      <c r="AD143" s="1033"/>
      <c r="AE143" s="1027"/>
      <c r="AF143" s="1027"/>
      <c r="AG143" s="1027"/>
      <c r="AH143" s="1027"/>
      <c r="AI143" s="1027"/>
      <c r="AJ143" s="1027"/>
      <c r="AK143" s="1027"/>
      <c r="AL143" s="1027"/>
      <c r="AM143" s="1027"/>
      <c r="AN143" s="1044"/>
    </row>
    <row r="144" spans="2:40" x14ac:dyDescent="0.2">
      <c r="B144" s="994"/>
      <c r="C144" s="1108"/>
      <c r="D144" s="1178"/>
      <c r="E144" s="1179"/>
      <c r="F144" s="1179"/>
      <c r="G144" s="127"/>
      <c r="H144" s="127"/>
      <c r="I144" s="128"/>
      <c r="J144" s="624"/>
      <c r="K144" s="624"/>
      <c r="L144" s="624"/>
      <c r="M144" s="624"/>
      <c r="N144" s="624"/>
      <c r="O144" s="624"/>
      <c r="P144" s="1181"/>
      <c r="Q144" s="945"/>
      <c r="R144" s="946"/>
      <c r="S144" s="946"/>
      <c r="T144" s="946"/>
      <c r="U144" s="946"/>
      <c r="V144" s="946"/>
      <c r="W144" s="946"/>
      <c r="X144" s="946"/>
      <c r="Y144" s="946"/>
      <c r="Z144" s="1109"/>
      <c r="AA144" s="946"/>
      <c r="AB144" s="946"/>
      <c r="AC144" s="946"/>
      <c r="AD144" s="1033"/>
      <c r="AE144" s="1027"/>
      <c r="AF144" s="1027"/>
      <c r="AG144" s="1027"/>
      <c r="AH144" s="1027"/>
      <c r="AI144" s="1027"/>
      <c r="AJ144" s="1027"/>
      <c r="AK144" s="1027"/>
      <c r="AL144" s="1027"/>
      <c r="AM144" s="1027"/>
      <c r="AN144" s="1044"/>
    </row>
    <row r="145" spans="2:40" x14ac:dyDescent="0.2">
      <c r="B145" s="994"/>
      <c r="C145" s="1108"/>
      <c r="D145" s="1178"/>
      <c r="E145" s="1179"/>
      <c r="F145" s="1179"/>
      <c r="G145" s="127"/>
      <c r="H145" s="127"/>
      <c r="I145" s="128"/>
      <c r="J145" s="624"/>
      <c r="K145" s="624"/>
      <c r="L145" s="624"/>
      <c r="M145" s="624"/>
      <c r="N145" s="624"/>
      <c r="O145" s="624"/>
      <c r="P145" s="1181"/>
      <c r="Q145" s="945"/>
      <c r="R145" s="946"/>
      <c r="S145" s="946"/>
      <c r="T145" s="946"/>
      <c r="U145" s="946"/>
      <c r="V145" s="946"/>
      <c r="W145" s="946"/>
      <c r="X145" s="946"/>
      <c r="Y145" s="946"/>
      <c r="Z145" s="1109"/>
      <c r="AA145" s="946"/>
      <c r="AB145" s="946"/>
      <c r="AC145" s="946"/>
      <c r="AD145" s="1033"/>
      <c r="AE145" s="1027"/>
      <c r="AF145" s="1027"/>
      <c r="AG145" s="1027"/>
      <c r="AH145" s="1027"/>
      <c r="AI145" s="1027"/>
      <c r="AJ145" s="1027"/>
      <c r="AK145" s="1027"/>
      <c r="AL145" s="1027"/>
      <c r="AM145" s="1027"/>
      <c r="AN145" s="1044"/>
    </row>
    <row r="146" spans="2:40" x14ac:dyDescent="0.2">
      <c r="B146" s="1010"/>
      <c r="C146" s="1110"/>
      <c r="D146" s="1182"/>
      <c r="E146" s="1183"/>
      <c r="F146" s="1183"/>
      <c r="G146" s="966"/>
      <c r="H146" s="966"/>
      <c r="I146" s="963"/>
      <c r="J146" s="1142"/>
      <c r="K146" s="1142"/>
      <c r="L146" s="1142"/>
      <c r="M146" s="1142"/>
      <c r="N146" s="1142"/>
      <c r="O146" s="1142"/>
      <c r="P146" s="1184"/>
      <c r="Q146" s="969"/>
      <c r="R146" s="970"/>
      <c r="S146" s="970"/>
      <c r="T146" s="970"/>
      <c r="U146" s="970"/>
      <c r="V146" s="970"/>
      <c r="W146" s="970"/>
      <c r="X146" s="970"/>
      <c r="Y146" s="970"/>
      <c r="Z146" s="1113"/>
      <c r="AA146" s="970"/>
      <c r="AB146" s="970"/>
      <c r="AC146" s="970"/>
      <c r="AD146" s="1033"/>
      <c r="AE146" s="1027"/>
      <c r="AF146" s="1027"/>
      <c r="AG146" s="1027"/>
      <c r="AH146" s="1027"/>
      <c r="AI146" s="1027"/>
      <c r="AJ146" s="1027"/>
      <c r="AK146" s="1027"/>
      <c r="AL146" s="1027"/>
      <c r="AM146" s="1027"/>
      <c r="AN146" s="1044"/>
    </row>
    <row r="147" spans="2:40" x14ac:dyDescent="0.2">
      <c r="B147" s="989" t="s">
        <v>187</v>
      </c>
      <c r="C147" s="1094" t="s">
        <v>188</v>
      </c>
      <c r="D147" s="1099"/>
      <c r="E147" s="1100"/>
      <c r="F147" s="1100"/>
      <c r="G147" s="1101"/>
      <c r="H147" s="1101"/>
      <c r="I147" s="1101"/>
      <c r="J147" s="1101"/>
      <c r="K147" s="1101"/>
      <c r="L147" s="1101"/>
      <c r="M147" s="1101"/>
      <c r="N147" s="1101"/>
      <c r="O147" s="1101"/>
      <c r="P147" s="1083"/>
      <c r="Q147" s="1047"/>
      <c r="R147" s="1047"/>
      <c r="S147" s="1047"/>
      <c r="T147" s="1027"/>
      <c r="U147" s="1027"/>
      <c r="V147" s="1027"/>
      <c r="W147" s="1027"/>
      <c r="X147" s="1027"/>
      <c r="Y147" s="1027"/>
      <c r="Z147" s="1027"/>
      <c r="AA147" s="1098"/>
      <c r="AB147" s="1098"/>
      <c r="AC147" s="1098"/>
      <c r="AD147" s="1158">
        <v>6.1999999999999998E-3</v>
      </c>
      <c r="AE147" s="1185">
        <v>0.17299999999999999</v>
      </c>
      <c r="AF147" s="1185"/>
      <c r="AG147" s="1185">
        <v>4.2900000000000001E-2</v>
      </c>
      <c r="AH147" s="1185">
        <v>6.4500000000000002E-2</v>
      </c>
      <c r="AI147" s="1185">
        <v>0.02</v>
      </c>
      <c r="AJ147" s="1185">
        <v>2.4E-2</v>
      </c>
      <c r="AK147" s="1185"/>
      <c r="AL147" s="1185">
        <v>3.2000000000000001E-2</v>
      </c>
      <c r="AM147" s="1185">
        <v>0.01</v>
      </c>
      <c r="AN147" s="1154">
        <v>25</v>
      </c>
    </row>
    <row r="148" spans="2:40" x14ac:dyDescent="0.2">
      <c r="B148" s="994"/>
      <c r="C148" s="1108"/>
      <c r="D148" s="1178"/>
      <c r="E148" s="1179"/>
      <c r="F148" s="1179"/>
      <c r="G148" s="1121"/>
      <c r="H148" s="1121"/>
      <c r="I148" s="128"/>
      <c r="J148" s="128"/>
      <c r="K148" s="624"/>
      <c r="L148" s="624"/>
      <c r="M148" s="624"/>
      <c r="N148" s="624"/>
      <c r="O148" s="624"/>
      <c r="P148" s="1144"/>
      <c r="Q148" s="943"/>
      <c r="R148" s="944"/>
      <c r="S148" s="944"/>
      <c r="T148" s="944"/>
      <c r="U148" s="944"/>
      <c r="V148" s="944"/>
      <c r="W148" s="1163"/>
      <c r="X148" s="944"/>
      <c r="Y148" s="944"/>
      <c r="Z148" s="1164"/>
      <c r="AA148" s="946"/>
      <c r="AB148" s="946"/>
      <c r="AC148" s="946"/>
      <c r="AD148" s="1029"/>
      <c r="AE148" s="1028"/>
      <c r="AF148" s="1028"/>
      <c r="AG148" s="1028"/>
      <c r="AH148" s="1028"/>
      <c r="AI148" s="1028"/>
      <c r="AJ148" s="1028"/>
      <c r="AK148" s="1028"/>
      <c r="AL148" s="1028"/>
      <c r="AM148" s="1028"/>
      <c r="AN148" s="1040"/>
    </row>
    <row r="149" spans="2:40" x14ac:dyDescent="0.2">
      <c r="B149" s="994"/>
      <c r="C149" s="1108"/>
      <c r="D149" s="1178"/>
      <c r="E149" s="1179"/>
      <c r="F149" s="1179"/>
      <c r="G149" s="1121"/>
      <c r="H149" s="1121"/>
      <c r="I149" s="128"/>
      <c r="J149" s="128"/>
      <c r="K149" s="624"/>
      <c r="L149" s="624"/>
      <c r="M149" s="624"/>
      <c r="N149" s="624"/>
      <c r="O149" s="624"/>
      <c r="P149" s="1117"/>
      <c r="Q149" s="945"/>
      <c r="R149" s="946"/>
      <c r="S149" s="946"/>
      <c r="T149" s="1165"/>
      <c r="U149" s="946"/>
      <c r="V149" s="946"/>
      <c r="W149" s="1165"/>
      <c r="X149" s="946"/>
      <c r="Y149" s="946"/>
      <c r="Z149" s="1166"/>
      <c r="AA149" s="946"/>
      <c r="AB149" s="946"/>
      <c r="AC149" s="946"/>
      <c r="AD149" s="1033"/>
      <c r="AE149" s="1027"/>
      <c r="AF149" s="1027"/>
      <c r="AG149" s="1027"/>
      <c r="AH149" s="1027"/>
      <c r="AI149" s="1027"/>
      <c r="AJ149" s="1027"/>
      <c r="AK149" s="1027"/>
      <c r="AL149" s="1027"/>
      <c r="AM149" s="1027"/>
      <c r="AN149" s="1044"/>
    </row>
    <row r="150" spans="2:40" x14ac:dyDescent="0.2">
      <c r="B150" s="994"/>
      <c r="C150" s="1108"/>
      <c r="D150" s="1178"/>
      <c r="E150" s="1179"/>
      <c r="F150" s="1179"/>
      <c r="G150" s="1121"/>
      <c r="H150" s="1121"/>
      <c r="I150" s="128"/>
      <c r="J150" s="128"/>
      <c r="K150" s="624"/>
      <c r="L150" s="624"/>
      <c r="M150" s="624"/>
      <c r="N150" s="624"/>
      <c r="O150" s="624"/>
      <c r="P150" s="1117"/>
      <c r="Q150" s="945"/>
      <c r="R150" s="946"/>
      <c r="S150" s="946"/>
      <c r="T150" s="1165"/>
      <c r="U150" s="946"/>
      <c r="V150" s="946"/>
      <c r="W150" s="1165"/>
      <c r="X150" s="946"/>
      <c r="Y150" s="946"/>
      <c r="Z150" s="1166"/>
      <c r="AA150" s="946"/>
      <c r="AB150" s="946"/>
      <c r="AC150" s="946"/>
      <c r="AD150" s="1033"/>
      <c r="AE150" s="1027"/>
      <c r="AF150" s="1027"/>
      <c r="AG150" s="1027"/>
      <c r="AH150" s="1027"/>
      <c r="AI150" s="1027"/>
      <c r="AJ150" s="1027"/>
      <c r="AK150" s="1027"/>
      <c r="AL150" s="1027"/>
      <c r="AM150" s="1027"/>
      <c r="AN150" s="1044"/>
    </row>
    <row r="151" spans="2:40" x14ac:dyDescent="0.2">
      <c r="B151" s="994"/>
      <c r="C151" s="1108"/>
      <c r="D151" s="1178"/>
      <c r="E151" s="1179"/>
      <c r="F151" s="1179"/>
      <c r="G151" s="1121"/>
      <c r="H151" s="1121"/>
      <c r="I151" s="128"/>
      <c r="J151" s="128"/>
      <c r="K151" s="624"/>
      <c r="L151" s="624"/>
      <c r="M151" s="624"/>
      <c r="N151" s="624"/>
      <c r="O151" s="624"/>
      <c r="P151" s="1117"/>
      <c r="Q151" s="945"/>
      <c r="R151" s="946"/>
      <c r="S151" s="946"/>
      <c r="T151" s="1165"/>
      <c r="U151" s="946"/>
      <c r="V151" s="946"/>
      <c r="W151" s="1165"/>
      <c r="X151" s="946"/>
      <c r="Y151" s="946"/>
      <c r="Z151" s="1166"/>
      <c r="AA151" s="946"/>
      <c r="AB151" s="946"/>
      <c r="AC151" s="946"/>
      <c r="AD151" s="1033"/>
      <c r="AE151" s="1027"/>
      <c r="AF151" s="1027"/>
      <c r="AG151" s="1027"/>
      <c r="AH151" s="1027"/>
      <c r="AI151" s="1027"/>
      <c r="AJ151" s="1027"/>
      <c r="AK151" s="1027"/>
      <c r="AL151" s="1027"/>
      <c r="AM151" s="1027"/>
      <c r="AN151" s="1044"/>
    </row>
    <row r="152" spans="2:40" x14ac:dyDescent="0.2">
      <c r="B152" s="994"/>
      <c r="C152" s="1108"/>
      <c r="D152" s="1178"/>
      <c r="E152" s="1179"/>
      <c r="F152" s="1179"/>
      <c r="G152" s="1121"/>
      <c r="H152" s="1121"/>
      <c r="I152" s="128"/>
      <c r="J152" s="128"/>
      <c r="K152" s="624"/>
      <c r="L152" s="624"/>
      <c r="M152" s="624"/>
      <c r="N152" s="624"/>
      <c r="O152" s="624"/>
      <c r="P152" s="1117"/>
      <c r="Q152" s="945"/>
      <c r="R152" s="946"/>
      <c r="S152" s="946"/>
      <c r="T152" s="1165"/>
      <c r="U152" s="946"/>
      <c r="V152" s="946"/>
      <c r="W152" s="1165"/>
      <c r="X152" s="946"/>
      <c r="Y152" s="946"/>
      <c r="Z152" s="1166"/>
      <c r="AA152" s="946"/>
      <c r="AB152" s="946"/>
      <c r="AC152" s="946"/>
      <c r="AD152" s="1033"/>
      <c r="AE152" s="1027"/>
      <c r="AF152" s="1027"/>
      <c r="AG152" s="1027"/>
      <c r="AH152" s="1027"/>
      <c r="AI152" s="1027"/>
      <c r="AJ152" s="1027"/>
      <c r="AK152" s="1027"/>
      <c r="AL152" s="1027"/>
      <c r="AM152" s="1027"/>
      <c r="AN152" s="1044"/>
    </row>
    <row r="153" spans="2:40" x14ac:dyDescent="0.2">
      <c r="B153" s="994"/>
      <c r="C153" s="1108"/>
      <c r="D153" s="1178"/>
      <c r="E153" s="1179"/>
      <c r="F153" s="1179"/>
      <c r="G153" s="1121"/>
      <c r="H153" s="1121"/>
      <c r="I153" s="128"/>
      <c r="J153" s="128"/>
      <c r="K153" s="624"/>
      <c r="L153" s="624"/>
      <c r="M153" s="624"/>
      <c r="N153" s="624"/>
      <c r="O153" s="624"/>
      <c r="P153" s="1117"/>
      <c r="Q153" s="945"/>
      <c r="R153" s="946"/>
      <c r="S153" s="946"/>
      <c r="T153" s="1165"/>
      <c r="U153" s="946"/>
      <c r="V153" s="946"/>
      <c r="W153" s="1165"/>
      <c r="X153" s="946"/>
      <c r="Y153" s="946"/>
      <c r="Z153" s="1166"/>
      <c r="AA153" s="946"/>
      <c r="AB153" s="946"/>
      <c r="AC153" s="946"/>
      <c r="AD153" s="1033"/>
      <c r="AE153" s="1027"/>
      <c r="AF153" s="1027"/>
      <c r="AG153" s="1027"/>
      <c r="AH153" s="1027"/>
      <c r="AI153" s="1027"/>
      <c r="AJ153" s="1027"/>
      <c r="AK153" s="1027"/>
      <c r="AL153" s="1027"/>
      <c r="AM153" s="1027"/>
      <c r="AN153" s="1044"/>
    </row>
    <row r="154" spans="2:40" x14ac:dyDescent="0.2">
      <c r="B154" s="994"/>
      <c r="C154" s="1108"/>
      <c r="D154" s="1178"/>
      <c r="E154" s="1179"/>
      <c r="F154" s="1179"/>
      <c r="G154" s="1121"/>
      <c r="H154" s="1121"/>
      <c r="I154" s="128"/>
      <c r="J154" s="128"/>
      <c r="K154" s="624"/>
      <c r="L154" s="624"/>
      <c r="M154" s="624"/>
      <c r="N154" s="624"/>
      <c r="O154" s="624"/>
      <c r="P154" s="1117"/>
      <c r="Q154" s="945"/>
      <c r="R154" s="946"/>
      <c r="S154" s="946"/>
      <c r="T154" s="1165"/>
      <c r="U154" s="946"/>
      <c r="V154" s="946"/>
      <c r="W154" s="1165"/>
      <c r="X154" s="946"/>
      <c r="Y154" s="946"/>
      <c r="Z154" s="1166"/>
      <c r="AA154" s="946"/>
      <c r="AB154" s="946"/>
      <c r="AC154" s="946"/>
      <c r="AD154" s="1033"/>
      <c r="AE154" s="1027"/>
      <c r="AF154" s="1027"/>
      <c r="AG154" s="1027"/>
      <c r="AH154" s="1027"/>
      <c r="AI154" s="1027"/>
      <c r="AJ154" s="1027"/>
      <c r="AK154" s="1027"/>
      <c r="AL154" s="1027"/>
      <c r="AM154" s="1027"/>
      <c r="AN154" s="1044"/>
    </row>
    <row r="155" spans="2:40" x14ac:dyDescent="0.2">
      <c r="B155" s="994"/>
      <c r="C155" s="1108"/>
      <c r="D155" s="1178"/>
      <c r="E155" s="1179"/>
      <c r="F155" s="1179"/>
      <c r="G155" s="1121"/>
      <c r="H155" s="1121"/>
      <c r="I155" s="128"/>
      <c r="J155" s="128"/>
      <c r="K155" s="624"/>
      <c r="L155" s="624"/>
      <c r="M155" s="624"/>
      <c r="N155" s="624"/>
      <c r="O155" s="624"/>
      <c r="P155" s="1117"/>
      <c r="Q155" s="945"/>
      <c r="R155" s="946"/>
      <c r="S155" s="946"/>
      <c r="T155" s="1165"/>
      <c r="U155" s="946"/>
      <c r="V155" s="946"/>
      <c r="W155" s="1165"/>
      <c r="X155" s="946"/>
      <c r="Y155" s="946"/>
      <c r="Z155" s="1166"/>
      <c r="AA155" s="946"/>
      <c r="AB155" s="946"/>
      <c r="AC155" s="946"/>
      <c r="AD155" s="1033"/>
      <c r="AE155" s="1027"/>
      <c r="AF155" s="1027"/>
      <c r="AG155" s="1027"/>
      <c r="AH155" s="1027"/>
      <c r="AI155" s="1027"/>
      <c r="AJ155" s="1027"/>
      <c r="AK155" s="1027"/>
      <c r="AL155" s="1027"/>
      <c r="AM155" s="1027"/>
      <c r="AN155" s="1044"/>
    </row>
    <row r="156" spans="2:40" x14ac:dyDescent="0.2">
      <c r="B156" s="1010"/>
      <c r="C156" s="1110"/>
      <c r="D156" s="1182"/>
      <c r="E156" s="1183"/>
      <c r="F156" s="1183"/>
      <c r="G156" s="1130"/>
      <c r="H156" s="1130"/>
      <c r="I156" s="963"/>
      <c r="J156" s="963"/>
      <c r="K156" s="1142"/>
      <c r="L156" s="1142"/>
      <c r="M156" s="1142"/>
      <c r="N156" s="1142"/>
      <c r="O156" s="1142"/>
      <c r="P156" s="1118"/>
      <c r="Q156" s="969"/>
      <c r="R156" s="970"/>
      <c r="S156" s="970"/>
      <c r="T156" s="1170"/>
      <c r="U156" s="970"/>
      <c r="V156" s="970"/>
      <c r="W156" s="1170"/>
      <c r="X156" s="970"/>
      <c r="Y156" s="970"/>
      <c r="Z156" s="1171"/>
      <c r="AA156" s="970"/>
      <c r="AB156" s="970"/>
      <c r="AC156" s="970"/>
      <c r="AD156" s="1033"/>
      <c r="AE156" s="1027"/>
      <c r="AF156" s="1027"/>
      <c r="AG156" s="1027"/>
      <c r="AH156" s="1027"/>
      <c r="AI156" s="1027"/>
      <c r="AJ156" s="1027"/>
      <c r="AK156" s="1027"/>
      <c r="AL156" s="1027"/>
      <c r="AM156" s="1027"/>
      <c r="AN156" s="1044"/>
    </row>
    <row r="157" spans="2:40" x14ac:dyDescent="0.2">
      <c r="B157" s="989" t="s">
        <v>190</v>
      </c>
      <c r="C157" s="1094" t="s">
        <v>191</v>
      </c>
      <c r="D157" s="1099"/>
      <c r="E157" s="1100"/>
      <c r="F157" s="1100"/>
      <c r="G157" s="1101"/>
      <c r="H157" s="1101"/>
      <c r="I157" s="1101"/>
      <c r="J157" s="1101"/>
      <c r="K157" s="1101"/>
      <c r="L157" s="1101"/>
      <c r="M157" s="1101"/>
      <c r="N157" s="1101"/>
      <c r="O157" s="1101"/>
      <c r="P157" s="1083"/>
      <c r="Q157" s="1047"/>
      <c r="R157" s="1047"/>
      <c r="S157" s="1047"/>
      <c r="T157" s="1027"/>
      <c r="U157" s="1027"/>
      <c r="V157" s="1027"/>
      <c r="W157" s="1027"/>
      <c r="X157" s="1027"/>
      <c r="Y157" s="1027"/>
      <c r="Z157" s="1027"/>
      <c r="AA157" s="1098"/>
      <c r="AB157" s="1098"/>
      <c r="AC157" s="1098"/>
      <c r="AD157" s="1158">
        <v>1.2E-2</v>
      </c>
      <c r="AE157" s="1185">
        <v>0.25600000000000001</v>
      </c>
      <c r="AF157" s="1185"/>
      <c r="AG157" s="1185">
        <v>0.08</v>
      </c>
      <c r="AH157" s="1185">
        <v>0.125</v>
      </c>
      <c r="AI157" s="1185">
        <v>6.0000000000000001E-3</v>
      </c>
      <c r="AJ157" s="1185">
        <v>0.125</v>
      </c>
      <c r="AK157" s="1185"/>
      <c r="AL157" s="1185">
        <v>0.04</v>
      </c>
      <c r="AM157" s="1185">
        <v>7.4999999999999997E-2</v>
      </c>
      <c r="AN157" s="1154">
        <v>25</v>
      </c>
    </row>
    <row r="158" spans="2:40" x14ac:dyDescent="0.2">
      <c r="B158" s="994"/>
      <c r="C158" s="1108"/>
      <c r="D158" s="1178"/>
      <c r="E158" s="1179"/>
      <c r="F158" s="1179"/>
      <c r="G158" s="1121"/>
      <c r="H158" s="1121"/>
      <c r="I158" s="128"/>
      <c r="J158" s="128"/>
      <c r="K158" s="624"/>
      <c r="L158" s="624"/>
      <c r="M158" s="624"/>
      <c r="N158" s="624"/>
      <c r="O158" s="624"/>
      <c r="P158" s="1173"/>
      <c r="Q158" s="943"/>
      <c r="R158" s="944"/>
      <c r="S158" s="944"/>
      <c r="T158" s="1163"/>
      <c r="U158" s="1163"/>
      <c r="V158" s="1163"/>
      <c r="W158" s="1163"/>
      <c r="X158" s="1163"/>
      <c r="Y158" s="1163"/>
      <c r="Z158" s="1164"/>
      <c r="AA158" s="946"/>
      <c r="AB158" s="946"/>
      <c r="AC158" s="946"/>
      <c r="AD158" s="1029"/>
      <c r="AE158" s="1028"/>
      <c r="AF158" s="1028"/>
      <c r="AG158" s="1028"/>
      <c r="AH158" s="1028"/>
      <c r="AI158" s="1028"/>
      <c r="AJ158" s="1028"/>
      <c r="AK158" s="1028"/>
      <c r="AL158" s="1028"/>
      <c r="AM158" s="1028"/>
      <c r="AN158" s="1040"/>
    </row>
    <row r="159" spans="2:40" x14ac:dyDescent="0.2">
      <c r="B159" s="994"/>
      <c r="C159" s="1108"/>
      <c r="D159" s="1178"/>
      <c r="E159" s="1179"/>
      <c r="F159" s="1179"/>
      <c r="G159" s="1121"/>
      <c r="H159" s="1121"/>
      <c r="I159" s="128"/>
      <c r="J159" s="128"/>
      <c r="K159" s="624"/>
      <c r="L159" s="624"/>
      <c r="M159" s="624"/>
      <c r="N159" s="624"/>
      <c r="O159" s="624"/>
      <c r="P159" s="1168"/>
      <c r="Q159" s="945"/>
      <c r="R159" s="946"/>
      <c r="S159" s="946"/>
      <c r="T159" s="1165"/>
      <c r="U159" s="1165"/>
      <c r="V159" s="1165"/>
      <c r="W159" s="1165"/>
      <c r="X159" s="1165"/>
      <c r="Y159" s="1165"/>
      <c r="Z159" s="1166"/>
      <c r="AA159" s="946"/>
      <c r="AB159" s="946"/>
      <c r="AC159" s="946"/>
      <c r="AD159" s="1033"/>
      <c r="AE159" s="1027"/>
      <c r="AF159" s="1027"/>
      <c r="AG159" s="1027"/>
      <c r="AH159" s="1027"/>
      <c r="AI159" s="1027"/>
      <c r="AJ159" s="1027"/>
      <c r="AK159" s="1027"/>
      <c r="AL159" s="1027"/>
      <c r="AM159" s="1027"/>
      <c r="AN159" s="1044"/>
    </row>
    <row r="160" spans="2:40" x14ac:dyDescent="0.2">
      <c r="B160" s="994"/>
      <c r="C160" s="1108"/>
      <c r="D160" s="1178"/>
      <c r="E160" s="1179"/>
      <c r="F160" s="1179"/>
      <c r="G160" s="1121"/>
      <c r="H160" s="1121"/>
      <c r="I160" s="128"/>
      <c r="J160" s="128"/>
      <c r="K160" s="624"/>
      <c r="L160" s="624"/>
      <c r="M160" s="624"/>
      <c r="N160" s="624"/>
      <c r="O160" s="624"/>
      <c r="P160" s="1168"/>
      <c r="Q160" s="945"/>
      <c r="R160" s="946"/>
      <c r="S160" s="946"/>
      <c r="T160" s="1165"/>
      <c r="U160" s="1165"/>
      <c r="V160" s="1165"/>
      <c r="W160" s="1165"/>
      <c r="X160" s="1165"/>
      <c r="Y160" s="1165"/>
      <c r="Z160" s="1166"/>
      <c r="AA160" s="946"/>
      <c r="AB160" s="946"/>
      <c r="AC160" s="946"/>
      <c r="AD160" s="1033"/>
      <c r="AE160" s="1027"/>
      <c r="AF160" s="1027"/>
      <c r="AG160" s="1027"/>
      <c r="AH160" s="1027"/>
      <c r="AI160" s="1027"/>
      <c r="AJ160" s="1027"/>
      <c r="AK160" s="1027"/>
      <c r="AL160" s="1027"/>
      <c r="AM160" s="1027"/>
      <c r="AN160" s="1044"/>
    </row>
    <row r="161" spans="2:40" x14ac:dyDescent="0.2">
      <c r="B161" s="994"/>
      <c r="C161" s="1108"/>
      <c r="D161" s="1178"/>
      <c r="E161" s="1179"/>
      <c r="F161" s="1179"/>
      <c r="G161" s="1121"/>
      <c r="H161" s="1121"/>
      <c r="I161" s="128"/>
      <c r="J161" s="128"/>
      <c r="K161" s="624"/>
      <c r="L161" s="624"/>
      <c r="M161" s="624"/>
      <c r="N161" s="624"/>
      <c r="O161" s="624"/>
      <c r="P161" s="1168"/>
      <c r="Q161" s="945"/>
      <c r="R161" s="946"/>
      <c r="S161" s="946"/>
      <c r="T161" s="1165"/>
      <c r="U161" s="1165"/>
      <c r="V161" s="1165"/>
      <c r="W161" s="1165"/>
      <c r="X161" s="1165"/>
      <c r="Y161" s="1165"/>
      <c r="Z161" s="1166"/>
      <c r="AA161" s="946"/>
      <c r="AB161" s="946"/>
      <c r="AC161" s="946"/>
      <c r="AD161" s="1033"/>
      <c r="AE161" s="1027"/>
      <c r="AF161" s="1027"/>
      <c r="AG161" s="1027"/>
      <c r="AH161" s="1027"/>
      <c r="AI161" s="1027"/>
      <c r="AJ161" s="1027"/>
      <c r="AK161" s="1027"/>
      <c r="AL161" s="1027"/>
      <c r="AM161" s="1027"/>
      <c r="AN161" s="1044"/>
    </row>
    <row r="162" spans="2:40" x14ac:dyDescent="0.2">
      <c r="B162" s="994"/>
      <c r="C162" s="1108"/>
      <c r="D162" s="1178"/>
      <c r="E162" s="1179"/>
      <c r="F162" s="1179"/>
      <c r="G162" s="1121"/>
      <c r="H162" s="1121"/>
      <c r="I162" s="128"/>
      <c r="J162" s="128"/>
      <c r="K162" s="624"/>
      <c r="L162" s="624"/>
      <c r="M162" s="624"/>
      <c r="N162" s="624"/>
      <c r="O162" s="624"/>
      <c r="P162" s="1168"/>
      <c r="Q162" s="945"/>
      <c r="R162" s="946"/>
      <c r="S162" s="946"/>
      <c r="T162" s="1165"/>
      <c r="U162" s="1165"/>
      <c r="V162" s="1165"/>
      <c r="W162" s="1165"/>
      <c r="X162" s="1165"/>
      <c r="Y162" s="1165"/>
      <c r="Z162" s="1166"/>
      <c r="AA162" s="946"/>
      <c r="AB162" s="946"/>
      <c r="AC162" s="946"/>
      <c r="AD162" s="1033"/>
      <c r="AE162" s="1027"/>
      <c r="AF162" s="1027"/>
      <c r="AG162" s="1027"/>
      <c r="AH162" s="1027"/>
      <c r="AI162" s="1027"/>
      <c r="AJ162" s="1027"/>
      <c r="AK162" s="1027"/>
      <c r="AL162" s="1027"/>
      <c r="AM162" s="1027"/>
      <c r="AN162" s="1044"/>
    </row>
    <row r="163" spans="2:40" x14ac:dyDescent="0.2">
      <c r="B163" s="994"/>
      <c r="C163" s="1108"/>
      <c r="D163" s="1178"/>
      <c r="E163" s="1179"/>
      <c r="F163" s="1179"/>
      <c r="G163" s="1121"/>
      <c r="H163" s="1121"/>
      <c r="I163" s="128"/>
      <c r="J163" s="128"/>
      <c r="K163" s="624"/>
      <c r="L163" s="624"/>
      <c r="M163" s="624"/>
      <c r="N163" s="624"/>
      <c r="O163" s="624"/>
      <c r="P163" s="1168"/>
      <c r="Q163" s="945"/>
      <c r="R163" s="946"/>
      <c r="S163" s="946"/>
      <c r="T163" s="1165"/>
      <c r="U163" s="1165"/>
      <c r="V163" s="1165"/>
      <c r="W163" s="1165"/>
      <c r="X163" s="1165"/>
      <c r="Y163" s="1165"/>
      <c r="Z163" s="1166"/>
      <c r="AA163" s="946"/>
      <c r="AB163" s="946"/>
      <c r="AC163" s="946"/>
      <c r="AD163" s="1033"/>
      <c r="AE163" s="1027"/>
      <c r="AF163" s="1027"/>
      <c r="AG163" s="1027"/>
      <c r="AH163" s="1027"/>
      <c r="AI163" s="1027"/>
      <c r="AJ163" s="1027"/>
      <c r="AK163" s="1027"/>
      <c r="AL163" s="1027"/>
      <c r="AM163" s="1027"/>
      <c r="AN163" s="1044"/>
    </row>
    <row r="164" spans="2:40" x14ac:dyDescent="0.2">
      <c r="B164" s="994"/>
      <c r="C164" s="1108"/>
      <c r="D164" s="1178"/>
      <c r="E164" s="1179"/>
      <c r="F164" s="1179"/>
      <c r="G164" s="1121"/>
      <c r="H164" s="1121"/>
      <c r="I164" s="128"/>
      <c r="J164" s="128"/>
      <c r="K164" s="624"/>
      <c r="L164" s="624"/>
      <c r="M164" s="624"/>
      <c r="N164" s="624"/>
      <c r="O164" s="624"/>
      <c r="P164" s="1168"/>
      <c r="Q164" s="945"/>
      <c r="R164" s="946"/>
      <c r="S164" s="946"/>
      <c r="T164" s="1165"/>
      <c r="U164" s="1165"/>
      <c r="V164" s="1165"/>
      <c r="W164" s="1165"/>
      <c r="X164" s="1165"/>
      <c r="Y164" s="1165"/>
      <c r="Z164" s="1166"/>
      <c r="AA164" s="946"/>
      <c r="AB164" s="946"/>
      <c r="AC164" s="946"/>
      <c r="AD164" s="1033"/>
      <c r="AE164" s="1027"/>
      <c r="AF164" s="1027"/>
      <c r="AG164" s="1027"/>
      <c r="AH164" s="1027"/>
      <c r="AI164" s="1027"/>
      <c r="AJ164" s="1027"/>
      <c r="AK164" s="1027"/>
      <c r="AL164" s="1027"/>
      <c r="AM164" s="1027"/>
      <c r="AN164" s="1044"/>
    </row>
    <row r="165" spans="2:40" x14ac:dyDescent="0.2">
      <c r="B165" s="994"/>
      <c r="C165" s="1108"/>
      <c r="D165" s="1178"/>
      <c r="E165" s="1179"/>
      <c r="F165" s="1179"/>
      <c r="G165" s="1121"/>
      <c r="H165" s="1121"/>
      <c r="I165" s="128"/>
      <c r="J165" s="128"/>
      <c r="K165" s="624"/>
      <c r="L165" s="624"/>
      <c r="M165" s="624"/>
      <c r="N165" s="624"/>
      <c r="O165" s="624"/>
      <c r="P165" s="1168"/>
      <c r="Q165" s="945"/>
      <c r="R165" s="946"/>
      <c r="S165" s="946"/>
      <c r="T165" s="1165"/>
      <c r="U165" s="1165"/>
      <c r="V165" s="1165"/>
      <c r="W165" s="1165"/>
      <c r="X165" s="1165"/>
      <c r="Y165" s="1165"/>
      <c r="Z165" s="1166"/>
      <c r="AA165" s="946"/>
      <c r="AB165" s="946"/>
      <c r="AC165" s="946"/>
      <c r="AD165" s="1033"/>
      <c r="AE165" s="1027"/>
      <c r="AF165" s="1027"/>
      <c r="AG165" s="1027"/>
      <c r="AH165" s="1027"/>
      <c r="AI165" s="1027"/>
      <c r="AJ165" s="1027"/>
      <c r="AK165" s="1027"/>
      <c r="AL165" s="1027"/>
      <c r="AM165" s="1027"/>
      <c r="AN165" s="1044"/>
    </row>
    <row r="166" spans="2:40" x14ac:dyDescent="0.2">
      <c r="B166" s="1010"/>
      <c r="C166" s="1108"/>
      <c r="D166" s="1178"/>
      <c r="E166" s="1179"/>
      <c r="F166" s="1179"/>
      <c r="G166" s="1121"/>
      <c r="H166" s="1121"/>
      <c r="I166" s="128"/>
      <c r="J166" s="128"/>
      <c r="K166" s="624"/>
      <c r="L166" s="624"/>
      <c r="M166" s="624"/>
      <c r="N166" s="624"/>
      <c r="O166" s="624"/>
      <c r="P166" s="1169"/>
      <c r="Q166" s="969"/>
      <c r="R166" s="970"/>
      <c r="S166" s="970"/>
      <c r="T166" s="1170"/>
      <c r="U166" s="1170"/>
      <c r="V166" s="1170"/>
      <c r="W166" s="1170"/>
      <c r="X166" s="1170"/>
      <c r="Y166" s="1170"/>
      <c r="Z166" s="1171"/>
      <c r="AA166" s="946"/>
      <c r="AB166" s="946"/>
      <c r="AC166" s="946"/>
      <c r="AD166" s="1033"/>
      <c r="AE166" s="1027"/>
      <c r="AF166" s="1027"/>
      <c r="AG166" s="1027"/>
      <c r="AH166" s="1027"/>
      <c r="AI166" s="1027"/>
      <c r="AJ166" s="1027"/>
      <c r="AK166" s="1027"/>
      <c r="AL166" s="1027"/>
      <c r="AM166" s="1027"/>
      <c r="AN166" s="1044"/>
    </row>
    <row r="167" spans="2:40" x14ac:dyDescent="0.2">
      <c r="B167" s="989" t="s">
        <v>193</v>
      </c>
      <c r="C167" s="1050" t="s">
        <v>195</v>
      </c>
      <c r="D167" s="1052"/>
      <c r="E167" s="1052"/>
      <c r="F167" s="1052"/>
      <c r="G167" s="1046"/>
      <c r="H167" s="1046"/>
      <c r="I167" s="1046"/>
      <c r="J167" s="1046"/>
      <c r="K167" s="1046"/>
      <c r="L167" s="1046"/>
      <c r="M167" s="1046"/>
      <c r="N167" s="1046"/>
      <c r="O167" s="1046"/>
      <c r="P167" s="1083"/>
      <c r="Q167" s="1047"/>
      <c r="R167" s="1047"/>
      <c r="S167" s="1047"/>
      <c r="T167" s="1027"/>
      <c r="U167" s="1027"/>
      <c r="V167" s="1027"/>
      <c r="W167" s="1027"/>
      <c r="X167" s="1027"/>
      <c r="Y167" s="1027"/>
      <c r="Z167" s="1027"/>
      <c r="AA167" s="1028"/>
      <c r="AB167" s="1028"/>
      <c r="AC167" s="1028"/>
      <c r="AD167" s="1158">
        <v>0.05</v>
      </c>
      <c r="AE167" s="1185">
        <v>0.52100000000000002</v>
      </c>
      <c r="AF167" s="1185"/>
      <c r="AG167" s="1185">
        <v>0.13</v>
      </c>
      <c r="AH167" s="1185">
        <v>0.215</v>
      </c>
      <c r="AI167" s="1185">
        <v>0.02</v>
      </c>
      <c r="AJ167" s="1185">
        <v>0.32100000000000001</v>
      </c>
      <c r="AK167" s="1185"/>
      <c r="AL167" s="1185">
        <v>7.0000000000000007E-2</v>
      </c>
      <c r="AM167" s="1185">
        <v>0.125</v>
      </c>
      <c r="AN167" s="1154">
        <v>25</v>
      </c>
    </row>
    <row r="168" spans="2:40" x14ac:dyDescent="0.2">
      <c r="B168" s="994"/>
      <c r="C168" s="1092" t="s">
        <v>196</v>
      </c>
      <c r="D168" s="1102"/>
      <c r="E168" s="1102"/>
      <c r="F168" s="1102"/>
      <c r="G168" s="1047"/>
      <c r="H168" s="1047"/>
      <c r="I168" s="1047"/>
      <c r="J168" s="1047"/>
      <c r="K168" s="1047"/>
      <c r="L168" s="1047"/>
      <c r="M168" s="1047"/>
      <c r="N168" s="1047"/>
      <c r="O168" s="1047"/>
      <c r="P168" s="1083"/>
      <c r="Q168" s="1047"/>
      <c r="R168" s="1047"/>
      <c r="S168" s="1047"/>
      <c r="T168" s="1027"/>
      <c r="U168" s="1027"/>
      <c r="V168" s="1027"/>
      <c r="W168" s="1027"/>
      <c r="X168" s="1027"/>
      <c r="Y168" s="1027"/>
      <c r="Z168" s="1027"/>
      <c r="AA168" s="1027"/>
      <c r="AB168" s="1027"/>
      <c r="AC168" s="1027"/>
      <c r="AD168" s="1160">
        <v>6.1999999999999998E-3</v>
      </c>
      <c r="AE168" s="1177">
        <v>0.17299999999999999</v>
      </c>
      <c r="AF168" s="1177"/>
      <c r="AG168" s="1177">
        <v>4.2900000000000001E-2</v>
      </c>
      <c r="AH168" s="1177">
        <v>6.4500000000000002E-2</v>
      </c>
      <c r="AI168" s="1177">
        <v>0.02</v>
      </c>
      <c r="AJ168" s="1177">
        <v>2.4E-2</v>
      </c>
      <c r="AK168" s="1177"/>
      <c r="AL168" s="1177">
        <v>3.2000000000000001E-2</v>
      </c>
      <c r="AM168" s="1177">
        <v>0.01</v>
      </c>
      <c r="AN168" s="1162">
        <v>25</v>
      </c>
    </row>
    <row r="169" spans="2:40" x14ac:dyDescent="0.2">
      <c r="B169" s="994"/>
      <c r="C169" s="1055" t="s">
        <v>197</v>
      </c>
      <c r="D169" s="1057"/>
      <c r="E169" s="1057"/>
      <c r="F169" s="1057"/>
      <c r="G169" s="1058"/>
      <c r="H169" s="1058"/>
      <c r="I169" s="1058"/>
      <c r="J169" s="1058"/>
      <c r="K169" s="1058"/>
      <c r="L169" s="1058"/>
      <c r="M169" s="1058"/>
      <c r="N169" s="1058"/>
      <c r="O169" s="1058"/>
      <c r="P169" s="1087"/>
      <c r="Q169" s="1058"/>
      <c r="R169" s="1058"/>
      <c r="S169" s="1058"/>
      <c r="T169" s="1062"/>
      <c r="U169" s="1062"/>
      <c r="V169" s="1062"/>
      <c r="W169" s="1062"/>
      <c r="X169" s="1062"/>
      <c r="Y169" s="1062"/>
      <c r="Z169" s="1062"/>
      <c r="AA169" s="1062"/>
      <c r="AB169" s="1062"/>
      <c r="AC169" s="1062"/>
      <c r="AD169" s="1186">
        <v>1.2E-2</v>
      </c>
      <c r="AE169" s="1187">
        <v>0.25600000000000001</v>
      </c>
      <c r="AF169" s="1187"/>
      <c r="AG169" s="1187">
        <v>0.08</v>
      </c>
      <c r="AH169" s="1187">
        <v>0.125</v>
      </c>
      <c r="AI169" s="1187">
        <v>6.0000000000000001E-3</v>
      </c>
      <c r="AJ169" s="1187">
        <v>0.125</v>
      </c>
      <c r="AK169" s="1187"/>
      <c r="AL169" s="1187">
        <v>0.04</v>
      </c>
      <c r="AM169" s="1187">
        <v>7.4999999999999997E-2</v>
      </c>
      <c r="AN169" s="1157">
        <v>25</v>
      </c>
    </row>
    <row r="170" spans="2:40" x14ac:dyDescent="0.2">
      <c r="B170" s="994"/>
      <c r="C170" s="1108"/>
      <c r="D170" s="1178"/>
      <c r="E170" s="1179"/>
      <c r="F170" s="1179"/>
      <c r="G170" s="1121"/>
      <c r="H170" s="1121"/>
      <c r="I170" s="128"/>
      <c r="J170" s="167"/>
      <c r="K170" s="1141"/>
      <c r="L170" s="1141"/>
      <c r="M170" s="1141"/>
      <c r="N170" s="1141"/>
      <c r="O170" s="941"/>
      <c r="P170" s="1168"/>
      <c r="Q170" s="945"/>
      <c r="R170" s="1127"/>
      <c r="S170" s="1127"/>
      <c r="T170" s="946"/>
      <c r="U170" s="946"/>
      <c r="V170" s="946"/>
      <c r="W170" s="1165"/>
      <c r="X170" s="946"/>
      <c r="Y170" s="946"/>
      <c r="Z170" s="1166"/>
      <c r="AA170" s="946"/>
      <c r="AB170" s="946"/>
      <c r="AC170" s="946"/>
      <c r="AD170" s="1033"/>
      <c r="AE170" s="1027"/>
      <c r="AF170" s="1027"/>
      <c r="AG170" s="1027"/>
      <c r="AH170" s="1027"/>
      <c r="AI170" s="1027"/>
      <c r="AJ170" s="1027"/>
      <c r="AK170" s="1027"/>
      <c r="AL170" s="1027"/>
      <c r="AM170" s="1027"/>
      <c r="AN170" s="1044"/>
    </row>
    <row r="171" spans="2:40" x14ac:dyDescent="0.2">
      <c r="B171" s="994"/>
      <c r="C171" s="1108"/>
      <c r="D171" s="1178"/>
      <c r="E171" s="1179"/>
      <c r="F171" s="1179"/>
      <c r="G171" s="1121"/>
      <c r="H171" s="1121"/>
      <c r="I171" s="128"/>
      <c r="J171" s="128"/>
      <c r="K171" s="624"/>
      <c r="L171" s="624"/>
      <c r="M171" s="624"/>
      <c r="N171" s="624"/>
      <c r="O171" s="956"/>
      <c r="P171" s="1168"/>
      <c r="Q171" s="945"/>
      <c r="R171" s="1127"/>
      <c r="S171" s="1127"/>
      <c r="T171" s="946"/>
      <c r="U171" s="946"/>
      <c r="V171" s="946"/>
      <c r="W171" s="1165"/>
      <c r="X171" s="946"/>
      <c r="Y171" s="946"/>
      <c r="Z171" s="1166"/>
      <c r="AA171" s="946"/>
      <c r="AB171" s="946"/>
      <c r="AC171" s="946"/>
      <c r="AD171" s="1033"/>
      <c r="AE171" s="1027"/>
      <c r="AF171" s="1027"/>
      <c r="AG171" s="1027"/>
      <c r="AH171" s="1027"/>
      <c r="AI171" s="1027"/>
      <c r="AJ171" s="1027"/>
      <c r="AK171" s="1027"/>
      <c r="AL171" s="1027"/>
      <c r="AM171" s="1027"/>
      <c r="AN171" s="1044"/>
    </row>
    <row r="172" spans="2:40" x14ac:dyDescent="0.2">
      <c r="B172" s="994"/>
      <c r="C172" s="1108"/>
      <c r="D172" s="1178"/>
      <c r="E172" s="1179"/>
      <c r="F172" s="1179"/>
      <c r="G172" s="1121"/>
      <c r="H172" s="1121"/>
      <c r="I172" s="128"/>
      <c r="J172" s="128"/>
      <c r="K172" s="624"/>
      <c r="L172" s="624"/>
      <c r="M172" s="624"/>
      <c r="N172" s="624"/>
      <c r="O172" s="956"/>
      <c r="P172" s="1168"/>
      <c r="Q172" s="945"/>
      <c r="R172" s="1127"/>
      <c r="S172" s="1127"/>
      <c r="T172" s="946"/>
      <c r="U172" s="946"/>
      <c r="V172" s="946"/>
      <c r="W172" s="1165"/>
      <c r="X172" s="946"/>
      <c r="Y172" s="946"/>
      <c r="Z172" s="1166"/>
      <c r="AA172" s="946"/>
      <c r="AB172" s="946"/>
      <c r="AC172" s="946"/>
      <c r="AD172" s="1033"/>
      <c r="AE172" s="1027"/>
      <c r="AF172" s="1027"/>
      <c r="AG172" s="1027"/>
      <c r="AH172" s="1027"/>
      <c r="AI172" s="1027"/>
      <c r="AJ172" s="1027"/>
      <c r="AK172" s="1027"/>
      <c r="AL172" s="1027"/>
      <c r="AM172" s="1027"/>
      <c r="AN172" s="1044"/>
    </row>
    <row r="173" spans="2:40" x14ac:dyDescent="0.2">
      <c r="B173" s="994"/>
      <c r="C173" s="1108"/>
      <c r="D173" s="1178"/>
      <c r="E173" s="1179"/>
      <c r="F173" s="1179"/>
      <c r="G173" s="1121"/>
      <c r="H173" s="1121"/>
      <c r="I173" s="128"/>
      <c r="J173" s="128"/>
      <c r="K173" s="624"/>
      <c r="L173" s="624"/>
      <c r="M173" s="624"/>
      <c r="N173" s="624"/>
      <c r="O173" s="956"/>
      <c r="P173" s="1168"/>
      <c r="Q173" s="945"/>
      <c r="R173" s="1127"/>
      <c r="S173" s="1127"/>
      <c r="T173" s="946"/>
      <c r="U173" s="946"/>
      <c r="V173" s="946"/>
      <c r="W173" s="1165"/>
      <c r="X173" s="946"/>
      <c r="Y173" s="946"/>
      <c r="Z173" s="1166"/>
      <c r="AA173" s="946"/>
      <c r="AB173" s="946"/>
      <c r="AC173" s="946"/>
      <c r="AD173" s="1033"/>
      <c r="AE173" s="1027"/>
      <c r="AF173" s="1027"/>
      <c r="AG173" s="1027"/>
      <c r="AH173" s="1027"/>
      <c r="AI173" s="1027"/>
      <c r="AJ173" s="1027"/>
      <c r="AK173" s="1027"/>
      <c r="AL173" s="1027"/>
      <c r="AM173" s="1027"/>
      <c r="AN173" s="1044"/>
    </row>
    <row r="174" spans="2:40" x14ac:dyDescent="0.2">
      <c r="B174" s="994"/>
      <c r="C174" s="1108"/>
      <c r="D174" s="1178"/>
      <c r="E174" s="1179"/>
      <c r="F174" s="1179"/>
      <c r="G174" s="1121"/>
      <c r="H174" s="1121"/>
      <c r="I174" s="128"/>
      <c r="J174" s="128"/>
      <c r="K174" s="624"/>
      <c r="L174" s="624"/>
      <c r="M174" s="624"/>
      <c r="N174" s="624"/>
      <c r="O174" s="956"/>
      <c r="P174" s="1168"/>
      <c r="Q174" s="945"/>
      <c r="R174" s="1127"/>
      <c r="S174" s="1127"/>
      <c r="T174" s="946"/>
      <c r="U174" s="946"/>
      <c r="V174" s="946"/>
      <c r="W174" s="1165"/>
      <c r="X174" s="946"/>
      <c r="Y174" s="946"/>
      <c r="Z174" s="1166"/>
      <c r="AA174" s="946"/>
      <c r="AB174" s="946"/>
      <c r="AC174" s="946"/>
      <c r="AD174" s="1033"/>
      <c r="AE174" s="1027"/>
      <c r="AF174" s="1027"/>
      <c r="AG174" s="1027"/>
      <c r="AH174" s="1027"/>
      <c r="AI174" s="1027"/>
      <c r="AJ174" s="1027"/>
      <c r="AK174" s="1027"/>
      <c r="AL174" s="1027"/>
      <c r="AM174" s="1027"/>
      <c r="AN174" s="1044"/>
    </row>
    <row r="175" spans="2:40" x14ac:dyDescent="0.2">
      <c r="B175" s="994"/>
      <c r="C175" s="1108"/>
      <c r="D175" s="1178"/>
      <c r="E175" s="1179"/>
      <c r="F175" s="1179"/>
      <c r="G175" s="1121"/>
      <c r="H175" s="1121"/>
      <c r="I175" s="128"/>
      <c r="J175" s="128"/>
      <c r="K175" s="624"/>
      <c r="L175" s="624"/>
      <c r="M175" s="624"/>
      <c r="N175" s="624"/>
      <c r="O175" s="956"/>
      <c r="P175" s="1168"/>
      <c r="Q175" s="945"/>
      <c r="R175" s="1127"/>
      <c r="S175" s="1127"/>
      <c r="T175" s="946"/>
      <c r="U175" s="946"/>
      <c r="V175" s="946"/>
      <c r="W175" s="1165"/>
      <c r="X175" s="946"/>
      <c r="Y175" s="946"/>
      <c r="Z175" s="1166"/>
      <c r="AA175" s="946"/>
      <c r="AB175" s="946"/>
      <c r="AC175" s="946"/>
      <c r="AD175" s="1033"/>
      <c r="AE175" s="1027"/>
      <c r="AF175" s="1027"/>
      <c r="AG175" s="1027"/>
      <c r="AH175" s="1027"/>
      <c r="AI175" s="1027"/>
      <c r="AJ175" s="1027"/>
      <c r="AK175" s="1027"/>
      <c r="AL175" s="1027"/>
      <c r="AM175" s="1027"/>
      <c r="AN175" s="1044"/>
    </row>
    <row r="176" spans="2:40" x14ac:dyDescent="0.2">
      <c r="B176" s="1010"/>
      <c r="C176" s="1110"/>
      <c r="D176" s="1182"/>
      <c r="E176" s="1183"/>
      <c r="F176" s="1183"/>
      <c r="G176" s="1130"/>
      <c r="H176" s="1130"/>
      <c r="I176" s="963"/>
      <c r="J176" s="963"/>
      <c r="K176" s="1142"/>
      <c r="L176" s="1142"/>
      <c r="M176" s="1142"/>
      <c r="N176" s="1142"/>
      <c r="O176" s="967"/>
      <c r="P176" s="1169"/>
      <c r="Q176" s="969"/>
      <c r="R176" s="1143"/>
      <c r="S176" s="1143"/>
      <c r="T176" s="970"/>
      <c r="U176" s="970"/>
      <c r="V176" s="970"/>
      <c r="W176" s="1170"/>
      <c r="X176" s="970"/>
      <c r="Y176" s="970"/>
      <c r="Z176" s="1171"/>
      <c r="AA176" s="970"/>
      <c r="AB176" s="970"/>
      <c r="AC176" s="970"/>
      <c r="AD176" s="1081"/>
      <c r="AE176" s="1062"/>
      <c r="AF176" s="1062"/>
      <c r="AG176" s="1062"/>
      <c r="AH176" s="1062"/>
      <c r="AI176" s="1062"/>
      <c r="AJ176" s="1062"/>
      <c r="AK176" s="1062"/>
      <c r="AL176" s="1062"/>
      <c r="AM176" s="1062"/>
      <c r="AN176" s="1093"/>
    </row>
    <row r="177" spans="2:40" ht="11.25" customHeight="1" x14ac:dyDescent="0.2">
      <c r="B177" s="988" t="s">
        <v>202</v>
      </c>
      <c r="C177" s="989" t="s">
        <v>57</v>
      </c>
      <c r="D177" s="995" t="s">
        <v>47</v>
      </c>
      <c r="E177" s="995"/>
      <c r="F177" s="995"/>
      <c r="G177" s="996" t="s">
        <v>230</v>
      </c>
      <c r="H177" s="997"/>
      <c r="I177" s="998"/>
      <c r="J177" s="999" t="s">
        <v>48</v>
      </c>
      <c r="K177" s="1000"/>
      <c r="L177" s="1000"/>
      <c r="M177" s="1000"/>
      <c r="N177" s="1000"/>
      <c r="O177" s="1001"/>
      <c r="P177" s="999" t="s">
        <v>52</v>
      </c>
      <c r="Q177" s="1000"/>
      <c r="R177" s="1000"/>
      <c r="S177" s="1000"/>
      <c r="T177" s="1000"/>
      <c r="U177" s="1000"/>
      <c r="V177" s="1000"/>
      <c r="W177" s="1000"/>
      <c r="X177" s="1000"/>
      <c r="Y177" s="1000"/>
      <c r="Z177" s="1001"/>
      <c r="AA177" s="1000" t="s">
        <v>56</v>
      </c>
      <c r="AB177" s="1001"/>
      <c r="AC177" s="989" t="s">
        <v>72</v>
      </c>
      <c r="AD177" s="1002" t="s">
        <v>52</v>
      </c>
      <c r="AE177" s="1003"/>
      <c r="AF177" s="1003"/>
      <c r="AG177" s="1003"/>
      <c r="AH177" s="1004"/>
      <c r="AI177" s="1002" t="s">
        <v>117</v>
      </c>
      <c r="AJ177" s="1003"/>
      <c r="AK177" s="1003"/>
      <c r="AL177" s="1003"/>
      <c r="AM177" s="1004"/>
      <c r="AN177" s="989" t="s">
        <v>227</v>
      </c>
    </row>
    <row r="178" spans="2:40" ht="12.75" x14ac:dyDescent="0.2">
      <c r="B178" s="993"/>
      <c r="C178" s="994"/>
      <c r="D178" s="1005" t="s">
        <v>44</v>
      </c>
      <c r="E178" s="995" t="s">
        <v>46</v>
      </c>
      <c r="F178" s="995"/>
      <c r="G178" s="1006"/>
      <c r="H178" s="1007"/>
      <c r="I178" s="1008"/>
      <c r="J178" s="999" t="s">
        <v>77</v>
      </c>
      <c r="K178" s="1001"/>
      <c r="L178" s="1005" t="s">
        <v>50</v>
      </c>
      <c r="M178" s="1005" t="s">
        <v>291</v>
      </c>
      <c r="N178" s="1005" t="s">
        <v>11</v>
      </c>
      <c r="O178" s="1005" t="s">
        <v>12</v>
      </c>
      <c r="P178" s="1005" t="s">
        <v>53</v>
      </c>
      <c r="Q178" s="1005" t="s">
        <v>68</v>
      </c>
      <c r="R178" s="999" t="s">
        <v>9</v>
      </c>
      <c r="S178" s="1000"/>
      <c r="T178" s="1001"/>
      <c r="U178" s="999" t="s">
        <v>11</v>
      </c>
      <c r="V178" s="1000"/>
      <c r="W178" s="1001"/>
      <c r="X178" s="999" t="s">
        <v>12</v>
      </c>
      <c r="Y178" s="1000"/>
      <c r="Z178" s="1001"/>
      <c r="AA178" s="1069" t="s">
        <v>73</v>
      </c>
      <c r="AB178" s="989" t="s">
        <v>74</v>
      </c>
      <c r="AC178" s="1010"/>
      <c r="AD178" s="1005" t="s">
        <v>53</v>
      </c>
      <c r="AE178" s="1011" t="s">
        <v>114</v>
      </c>
      <c r="AF178" s="1011" t="s">
        <v>115</v>
      </c>
      <c r="AG178" s="1011" t="s">
        <v>11</v>
      </c>
      <c r="AH178" s="1011" t="s">
        <v>12</v>
      </c>
      <c r="AI178" s="1005" t="s">
        <v>53</v>
      </c>
      <c r="AJ178" s="1011" t="s">
        <v>114</v>
      </c>
      <c r="AK178" s="1011" t="s">
        <v>115</v>
      </c>
      <c r="AL178" s="1011" t="s">
        <v>11</v>
      </c>
      <c r="AM178" s="1011" t="s">
        <v>12</v>
      </c>
      <c r="AN178" s="994"/>
    </row>
    <row r="179" spans="2:40" ht="11.25" customHeight="1" x14ac:dyDescent="0.2">
      <c r="B179" s="993"/>
      <c r="C179" s="994"/>
      <c r="D179" s="995" t="s">
        <v>45</v>
      </c>
      <c r="E179" s="995" t="s">
        <v>30</v>
      </c>
      <c r="F179" s="995" t="s">
        <v>45</v>
      </c>
      <c r="G179" s="1012" t="s">
        <v>7</v>
      </c>
      <c r="H179" s="1013"/>
      <c r="I179" s="1014" t="s">
        <v>45</v>
      </c>
      <c r="J179" s="989" t="s">
        <v>229</v>
      </c>
      <c r="K179" s="1022" t="s">
        <v>78</v>
      </c>
      <c r="L179" s="995" t="s">
        <v>30</v>
      </c>
      <c r="M179" s="995" t="s">
        <v>169</v>
      </c>
      <c r="N179" s="995"/>
      <c r="O179" s="995"/>
      <c r="P179" s="995" t="s">
        <v>54</v>
      </c>
      <c r="Q179" s="995" t="s">
        <v>30</v>
      </c>
      <c r="R179" s="1005" t="s">
        <v>55</v>
      </c>
      <c r="S179" s="1005" t="s">
        <v>41</v>
      </c>
      <c r="T179" s="999" t="s">
        <v>58</v>
      </c>
      <c r="U179" s="1000"/>
      <c r="V179" s="1000"/>
      <c r="W179" s="1000"/>
      <c r="X179" s="1000"/>
      <c r="Y179" s="1000"/>
      <c r="Z179" s="1001"/>
      <c r="AA179" s="1069"/>
      <c r="AB179" s="994"/>
      <c r="AC179" s="989" t="s">
        <v>73</v>
      </c>
      <c r="AD179" s="995" t="s">
        <v>54</v>
      </c>
      <c r="AE179" s="999" t="s">
        <v>58</v>
      </c>
      <c r="AF179" s="1000"/>
      <c r="AG179" s="1000"/>
      <c r="AH179" s="1001"/>
      <c r="AI179" s="995" t="s">
        <v>54</v>
      </c>
      <c r="AJ179" s="999" t="s">
        <v>58</v>
      </c>
      <c r="AK179" s="1000"/>
      <c r="AL179" s="1000"/>
      <c r="AM179" s="1001"/>
      <c r="AN179" s="1015" t="s">
        <v>228</v>
      </c>
    </row>
    <row r="180" spans="2:40" x14ac:dyDescent="0.2">
      <c r="B180" s="1016"/>
      <c r="C180" s="1010"/>
      <c r="D180" s="995"/>
      <c r="E180" s="995"/>
      <c r="F180" s="995"/>
      <c r="G180" s="1017"/>
      <c r="H180" s="1018"/>
      <c r="I180" s="1019"/>
      <c r="J180" s="1010"/>
      <c r="K180" s="1019"/>
      <c r="L180" s="995"/>
      <c r="M180" s="995"/>
      <c r="N180" s="995"/>
      <c r="O180" s="995"/>
      <c r="P180" s="995"/>
      <c r="Q180" s="995"/>
      <c r="R180" s="1020" t="s">
        <v>45</v>
      </c>
      <c r="S180" s="1020"/>
      <c r="T180" s="1020"/>
      <c r="U180" s="1020"/>
      <c r="V180" s="1020"/>
      <c r="W180" s="1020"/>
      <c r="X180" s="1020"/>
      <c r="Y180" s="1020"/>
      <c r="Z180" s="1021"/>
      <c r="AA180" s="1069"/>
      <c r="AB180" s="1010"/>
      <c r="AC180" s="1010"/>
      <c r="AD180" s="1022"/>
      <c r="AE180" s="1023" t="s">
        <v>45</v>
      </c>
      <c r="AF180" s="1024"/>
      <c r="AG180" s="1024"/>
      <c r="AH180" s="1025"/>
      <c r="AI180" s="1022"/>
      <c r="AJ180" s="1023" t="s">
        <v>45</v>
      </c>
      <c r="AK180" s="1024"/>
      <c r="AL180" s="1024"/>
      <c r="AM180" s="1025"/>
      <c r="AN180" s="1026" t="s">
        <v>30</v>
      </c>
    </row>
    <row r="181" spans="2:40" x14ac:dyDescent="0.2">
      <c r="B181" s="989" t="s">
        <v>201</v>
      </c>
      <c r="C181" s="1094" t="s">
        <v>203</v>
      </c>
      <c r="D181" s="1099"/>
      <c r="E181" s="1100"/>
      <c r="F181" s="1100"/>
      <c r="G181" s="1101"/>
      <c r="H181" s="1101"/>
      <c r="I181" s="1101"/>
      <c r="J181" s="1101"/>
      <c r="K181" s="1101"/>
      <c r="L181" s="1101"/>
      <c r="M181" s="1101"/>
      <c r="N181" s="1101"/>
      <c r="O181" s="1101"/>
      <c r="P181" s="1082"/>
      <c r="Q181" s="1046"/>
      <c r="R181" s="1046"/>
      <c r="S181" s="1046"/>
      <c r="T181" s="1028"/>
      <c r="U181" s="1028"/>
      <c r="V181" s="1028"/>
      <c r="W181" s="1028"/>
      <c r="X181" s="1028"/>
      <c r="Y181" s="1028"/>
      <c r="Z181" s="1028"/>
      <c r="AA181" s="1098"/>
      <c r="AB181" s="1098"/>
      <c r="AC181" s="1098"/>
      <c r="AD181" s="1152">
        <v>2.2999999999999998</v>
      </c>
      <c r="AE181" s="1153">
        <v>16.899999999999999</v>
      </c>
      <c r="AF181" s="1153"/>
      <c r="AG181" s="1153">
        <v>2.8</v>
      </c>
      <c r="AH181" s="1153">
        <v>29.3</v>
      </c>
      <c r="AI181" s="1153">
        <v>2</v>
      </c>
      <c r="AJ181" s="1153">
        <v>15</v>
      </c>
      <c r="AK181" s="1153"/>
      <c r="AL181" s="1153">
        <v>2</v>
      </c>
      <c r="AM181" s="1153">
        <v>25</v>
      </c>
      <c r="AN181" s="1154">
        <v>16</v>
      </c>
    </row>
    <row r="182" spans="2:40" ht="11.25" customHeight="1" x14ac:dyDescent="0.2">
      <c r="B182" s="994"/>
      <c r="C182" s="1104"/>
      <c r="D182" s="935"/>
      <c r="E182" s="1188"/>
      <c r="F182" s="1188"/>
      <c r="G182" s="1188"/>
      <c r="H182" s="1188"/>
      <c r="I182" s="1141"/>
      <c r="J182" s="126"/>
      <c r="K182" s="126"/>
      <c r="L182" s="1141"/>
      <c r="M182" s="1141"/>
      <c r="N182" s="1141"/>
      <c r="O182" s="1141"/>
      <c r="P182" s="942"/>
      <c r="Q182" s="943"/>
      <c r="R182" s="943"/>
      <c r="S182" s="943"/>
      <c r="T182" s="943"/>
      <c r="U182" s="943"/>
      <c r="V182" s="943"/>
      <c r="W182" s="943"/>
      <c r="X182" s="943"/>
      <c r="Y182" s="943"/>
      <c r="Z182" s="1116"/>
      <c r="AA182" s="944"/>
      <c r="AB182" s="944"/>
      <c r="AC182" s="944"/>
      <c r="AD182" s="1082"/>
      <c r="AE182" s="1046"/>
      <c r="AF182" s="1046"/>
      <c r="AG182" s="1046"/>
      <c r="AH182" s="1046"/>
      <c r="AI182" s="1046"/>
      <c r="AJ182" s="1046"/>
      <c r="AK182" s="1046"/>
      <c r="AL182" s="1046"/>
      <c r="AM182" s="1046"/>
      <c r="AN182" s="1040"/>
    </row>
    <row r="183" spans="2:40" ht="11.25" customHeight="1" x14ac:dyDescent="0.2">
      <c r="B183" s="994"/>
      <c r="C183" s="1108"/>
      <c r="D183" s="952"/>
      <c r="E183" s="1121"/>
      <c r="F183" s="1121"/>
      <c r="G183" s="1121"/>
      <c r="H183" s="1121"/>
      <c r="I183" s="624"/>
      <c r="J183" s="624"/>
      <c r="K183" s="624"/>
      <c r="L183" s="624"/>
      <c r="M183" s="624"/>
      <c r="N183" s="624"/>
      <c r="O183" s="624"/>
      <c r="P183" s="957"/>
      <c r="Q183" s="945"/>
      <c r="R183" s="945"/>
      <c r="S183" s="945"/>
      <c r="T183" s="945"/>
      <c r="U183" s="945"/>
      <c r="V183" s="945"/>
      <c r="W183" s="945"/>
      <c r="X183" s="945"/>
      <c r="Y183" s="945"/>
      <c r="Z183" s="948"/>
      <c r="AA183" s="946"/>
      <c r="AB183" s="946"/>
      <c r="AC183" s="946"/>
      <c r="AD183" s="1083"/>
      <c r="AE183" s="1047"/>
      <c r="AF183" s="1047"/>
      <c r="AG183" s="1047"/>
      <c r="AH183" s="1047"/>
      <c r="AI183" s="1047"/>
      <c r="AJ183" s="1047"/>
      <c r="AK183" s="1047"/>
      <c r="AL183" s="1047"/>
      <c r="AM183" s="1047"/>
      <c r="AN183" s="1044"/>
    </row>
    <row r="184" spans="2:40" x14ac:dyDescent="0.2">
      <c r="B184" s="994"/>
      <c r="C184" s="1108"/>
      <c r="D184" s="952"/>
      <c r="E184" s="1121"/>
      <c r="F184" s="1121"/>
      <c r="G184" s="1121"/>
      <c r="H184" s="1121"/>
      <c r="I184" s="624"/>
      <c r="J184" s="127"/>
      <c r="K184" s="127"/>
      <c r="L184" s="624"/>
      <c r="M184" s="624"/>
      <c r="N184" s="624"/>
      <c r="O184" s="624"/>
      <c r="P184" s="957"/>
      <c r="Q184" s="945"/>
      <c r="R184" s="945"/>
      <c r="S184" s="945"/>
      <c r="T184" s="945"/>
      <c r="U184" s="945"/>
      <c r="V184" s="945"/>
      <c r="W184" s="945"/>
      <c r="X184" s="945"/>
      <c r="Y184" s="945"/>
      <c r="Z184" s="948"/>
      <c r="AA184" s="946"/>
      <c r="AB184" s="946"/>
      <c r="AC184" s="946"/>
      <c r="AD184" s="1083"/>
      <c r="AE184" s="1047"/>
      <c r="AF184" s="1047"/>
      <c r="AG184" s="1047"/>
      <c r="AH184" s="1047"/>
      <c r="AI184" s="1047"/>
      <c r="AJ184" s="1047"/>
      <c r="AK184" s="1047"/>
      <c r="AL184" s="1047"/>
      <c r="AM184" s="1047"/>
      <c r="AN184" s="1044"/>
    </row>
    <row r="185" spans="2:40" x14ac:dyDescent="0.2">
      <c r="B185" s="994"/>
      <c r="C185" s="1108"/>
      <c r="D185" s="952"/>
      <c r="E185" s="1121"/>
      <c r="F185" s="1121"/>
      <c r="G185" s="1121"/>
      <c r="H185" s="1121"/>
      <c r="I185" s="624"/>
      <c r="J185" s="127"/>
      <c r="K185" s="127"/>
      <c r="L185" s="624"/>
      <c r="M185" s="624"/>
      <c r="N185" s="624"/>
      <c r="O185" s="624"/>
      <c r="P185" s="957"/>
      <c r="Q185" s="945"/>
      <c r="R185" s="945"/>
      <c r="S185" s="945"/>
      <c r="T185" s="945"/>
      <c r="U185" s="945"/>
      <c r="V185" s="945"/>
      <c r="W185" s="945"/>
      <c r="X185" s="945"/>
      <c r="Y185" s="945"/>
      <c r="Z185" s="948"/>
      <c r="AA185" s="946"/>
      <c r="AB185" s="946"/>
      <c r="AC185" s="946"/>
      <c r="AD185" s="1083"/>
      <c r="AE185" s="1047"/>
      <c r="AF185" s="1047"/>
      <c r="AG185" s="1047"/>
      <c r="AH185" s="1047"/>
      <c r="AI185" s="1047"/>
      <c r="AJ185" s="1047"/>
      <c r="AK185" s="1047"/>
      <c r="AL185" s="1047"/>
      <c r="AM185" s="1047"/>
      <c r="AN185" s="1044"/>
    </row>
    <row r="186" spans="2:40" x14ac:dyDescent="0.2">
      <c r="B186" s="994"/>
      <c r="C186" s="1108"/>
      <c r="D186" s="952"/>
      <c r="E186" s="1121"/>
      <c r="F186" s="1121"/>
      <c r="G186" s="1121"/>
      <c r="H186" s="1121"/>
      <c r="I186" s="624"/>
      <c r="J186" s="127"/>
      <c r="K186" s="127"/>
      <c r="L186" s="624"/>
      <c r="M186" s="624"/>
      <c r="N186" s="624"/>
      <c r="O186" s="624"/>
      <c r="P186" s="957"/>
      <c r="Q186" s="945"/>
      <c r="R186" s="945"/>
      <c r="S186" s="945"/>
      <c r="T186" s="945"/>
      <c r="U186" s="945"/>
      <c r="V186" s="945"/>
      <c r="W186" s="945"/>
      <c r="X186" s="945"/>
      <c r="Y186" s="945"/>
      <c r="Z186" s="948"/>
      <c r="AA186" s="946"/>
      <c r="AB186" s="946"/>
      <c r="AC186" s="946"/>
      <c r="AD186" s="1083"/>
      <c r="AE186" s="1047"/>
      <c r="AF186" s="1047"/>
      <c r="AG186" s="1047"/>
      <c r="AH186" s="1047"/>
      <c r="AI186" s="1047"/>
      <c r="AJ186" s="1047"/>
      <c r="AK186" s="1047"/>
      <c r="AL186" s="1047"/>
      <c r="AM186" s="1047"/>
      <c r="AN186" s="1044"/>
    </row>
    <row r="187" spans="2:40" x14ac:dyDescent="0.2">
      <c r="B187" s="994"/>
      <c r="C187" s="1108"/>
      <c r="D187" s="952"/>
      <c r="E187" s="1121"/>
      <c r="F187" s="1121"/>
      <c r="G187" s="1121"/>
      <c r="H187" s="1121"/>
      <c r="I187" s="624"/>
      <c r="J187" s="127"/>
      <c r="K187" s="127"/>
      <c r="L187" s="624"/>
      <c r="M187" s="1189"/>
      <c r="N187" s="624"/>
      <c r="O187" s="624"/>
      <c r="P187" s="957"/>
      <c r="Q187" s="945"/>
      <c r="R187" s="945"/>
      <c r="S187" s="945"/>
      <c r="T187" s="945"/>
      <c r="U187" s="945"/>
      <c r="V187" s="945"/>
      <c r="W187" s="945"/>
      <c r="X187" s="945"/>
      <c r="Y187" s="945"/>
      <c r="Z187" s="948"/>
      <c r="AA187" s="946"/>
      <c r="AB187" s="946"/>
      <c r="AC187" s="946"/>
      <c r="AD187" s="1083"/>
      <c r="AE187" s="1047"/>
      <c r="AF187" s="1047"/>
      <c r="AG187" s="1047"/>
      <c r="AH187" s="1047"/>
      <c r="AI187" s="1047"/>
      <c r="AJ187" s="1047"/>
      <c r="AK187" s="1047"/>
      <c r="AL187" s="1047"/>
      <c r="AM187" s="1047"/>
      <c r="AN187" s="1044"/>
    </row>
    <row r="188" spans="2:40" x14ac:dyDescent="0.2">
      <c r="B188" s="994"/>
      <c r="C188" s="1108"/>
      <c r="D188" s="952"/>
      <c r="E188" s="1121"/>
      <c r="F188" s="1121"/>
      <c r="G188" s="1121"/>
      <c r="H188" s="1121"/>
      <c r="I188" s="624"/>
      <c r="J188" s="127"/>
      <c r="K188" s="127"/>
      <c r="L188" s="624"/>
      <c r="M188" s="1190"/>
      <c r="N188" s="624"/>
      <c r="O188" s="624"/>
      <c r="P188" s="957"/>
      <c r="Q188" s="945"/>
      <c r="R188" s="945"/>
      <c r="S188" s="945"/>
      <c r="T188" s="945"/>
      <c r="U188" s="945"/>
      <c r="V188" s="945"/>
      <c r="W188" s="945"/>
      <c r="X188" s="945"/>
      <c r="Y188" s="945"/>
      <c r="Z188" s="948"/>
      <c r="AA188" s="946"/>
      <c r="AB188" s="946"/>
      <c r="AC188" s="946"/>
      <c r="AD188" s="1083"/>
      <c r="AE188" s="1047"/>
      <c r="AF188" s="1047"/>
      <c r="AG188" s="1047"/>
      <c r="AH188" s="1047"/>
      <c r="AI188" s="1047"/>
      <c r="AJ188" s="1047"/>
      <c r="AK188" s="1047"/>
      <c r="AL188" s="1047"/>
      <c r="AM188" s="1047"/>
      <c r="AN188" s="1044"/>
    </row>
    <row r="189" spans="2:40" x14ac:dyDescent="0.2">
      <c r="B189" s="994"/>
      <c r="C189" s="1108"/>
      <c r="D189" s="952"/>
      <c r="E189" s="1121"/>
      <c r="F189" s="1121"/>
      <c r="G189" s="1121"/>
      <c r="H189" s="1121"/>
      <c r="I189" s="624"/>
      <c r="J189" s="127"/>
      <c r="K189" s="127"/>
      <c r="L189" s="624"/>
      <c r="M189" s="1167"/>
      <c r="N189" s="624"/>
      <c r="O189" s="624"/>
      <c r="P189" s="957"/>
      <c r="Q189" s="945"/>
      <c r="R189" s="945"/>
      <c r="S189" s="945"/>
      <c r="T189" s="945"/>
      <c r="U189" s="945"/>
      <c r="V189" s="945"/>
      <c r="W189" s="945"/>
      <c r="X189" s="945"/>
      <c r="Y189" s="945"/>
      <c r="Z189" s="948"/>
      <c r="AA189" s="946"/>
      <c r="AB189" s="946"/>
      <c r="AC189" s="946"/>
      <c r="AD189" s="1083"/>
      <c r="AE189" s="1047"/>
      <c r="AF189" s="1047"/>
      <c r="AG189" s="1047"/>
      <c r="AH189" s="1047"/>
      <c r="AI189" s="1047"/>
      <c r="AJ189" s="1047"/>
      <c r="AK189" s="1047"/>
      <c r="AL189" s="1047"/>
      <c r="AM189" s="1047"/>
      <c r="AN189" s="1044"/>
    </row>
    <row r="190" spans="2:40" x14ac:dyDescent="0.2">
      <c r="B190" s="1010"/>
      <c r="C190" s="1110"/>
      <c r="D190" s="1191"/>
      <c r="E190" s="1130"/>
      <c r="F190" s="1130"/>
      <c r="G190" s="1130"/>
      <c r="H190" s="1130"/>
      <c r="I190" s="1142"/>
      <c r="J190" s="127"/>
      <c r="K190" s="127"/>
      <c r="L190" s="1142"/>
      <c r="M190" s="1142"/>
      <c r="N190" s="1142"/>
      <c r="O190" s="1142"/>
      <c r="P190" s="968"/>
      <c r="Q190" s="969"/>
      <c r="R190" s="969"/>
      <c r="S190" s="969"/>
      <c r="T190" s="969"/>
      <c r="U190" s="969"/>
      <c r="V190" s="969"/>
      <c r="W190" s="969"/>
      <c r="X190" s="969"/>
      <c r="Y190" s="969"/>
      <c r="Z190" s="972"/>
      <c r="AA190" s="970"/>
      <c r="AB190" s="970"/>
      <c r="AC190" s="970"/>
      <c r="AD190" s="1083"/>
      <c r="AE190" s="1047"/>
      <c r="AF190" s="1047"/>
      <c r="AG190" s="1047"/>
      <c r="AH190" s="1047"/>
      <c r="AI190" s="1047"/>
      <c r="AJ190" s="1047"/>
      <c r="AK190" s="1047"/>
      <c r="AL190" s="1047"/>
      <c r="AM190" s="1047"/>
      <c r="AN190" s="1044"/>
    </row>
    <row r="191" spans="2:40" x14ac:dyDescent="0.2">
      <c r="B191" s="989" t="s">
        <v>205</v>
      </c>
      <c r="C191" s="1094" t="s">
        <v>206</v>
      </c>
      <c r="D191" s="1099"/>
      <c r="E191" s="1100"/>
      <c r="F191" s="1100"/>
      <c r="G191" s="1101"/>
      <c r="H191" s="1101"/>
      <c r="I191" s="1101"/>
      <c r="J191" s="1101"/>
      <c r="K191" s="1101"/>
      <c r="L191" s="1101"/>
      <c r="M191" s="1101"/>
      <c r="N191" s="1101"/>
      <c r="O191" s="1101"/>
      <c r="P191" s="1083"/>
      <c r="Q191" s="1047"/>
      <c r="R191" s="1047"/>
      <c r="S191" s="1047"/>
      <c r="T191" s="1027"/>
      <c r="U191" s="1027"/>
      <c r="V191" s="1027"/>
      <c r="W191" s="1027"/>
      <c r="X191" s="1027"/>
      <c r="Y191" s="1027"/>
      <c r="Z191" s="1027"/>
      <c r="AA191" s="1098"/>
      <c r="AB191" s="1098"/>
      <c r="AC191" s="1098"/>
      <c r="AD191" s="973">
        <v>2.2000000000000002</v>
      </c>
      <c r="AE191" s="1153">
        <v>17</v>
      </c>
      <c r="AF191" s="976"/>
      <c r="AG191" s="1153">
        <v>2.9</v>
      </c>
      <c r="AH191" s="1153">
        <v>19.5</v>
      </c>
      <c r="AI191" s="1153"/>
      <c r="AJ191" s="1153"/>
      <c r="AK191" s="1153"/>
      <c r="AL191" s="1153"/>
      <c r="AM191" s="1153"/>
      <c r="AN191" s="1154">
        <v>16</v>
      </c>
    </row>
    <row r="192" spans="2:40" x14ac:dyDescent="0.2">
      <c r="B192" s="994"/>
      <c r="C192" s="1104"/>
      <c r="D192" s="935"/>
      <c r="E192" s="1188"/>
      <c r="F192" s="1188"/>
      <c r="G192" s="1188"/>
      <c r="H192" s="1188"/>
      <c r="I192" s="1141"/>
      <c r="J192" s="1141"/>
      <c r="K192" s="1141"/>
      <c r="L192" s="1141"/>
      <c r="M192" s="1141"/>
      <c r="N192" s="1141"/>
      <c r="O192" s="1141"/>
      <c r="P192" s="1144"/>
      <c r="Q192" s="943"/>
      <c r="R192" s="1192"/>
      <c r="S192" s="1192"/>
      <c r="T192" s="943"/>
      <c r="U192" s="943"/>
      <c r="V192" s="943"/>
      <c r="W192" s="943"/>
      <c r="X192" s="943"/>
      <c r="Y192" s="943"/>
      <c r="Z192" s="1116"/>
      <c r="AA192" s="944"/>
      <c r="AB192" s="944"/>
      <c r="AC192" s="944"/>
      <c r="AD192" s="1082"/>
      <c r="AE192" s="1046"/>
      <c r="AF192" s="1046"/>
      <c r="AG192" s="1046"/>
      <c r="AH192" s="1046"/>
      <c r="AI192" s="1046"/>
      <c r="AJ192" s="1046"/>
      <c r="AK192" s="1046"/>
      <c r="AL192" s="1046"/>
      <c r="AM192" s="1046"/>
      <c r="AN192" s="1040"/>
    </row>
    <row r="193" spans="2:40" x14ac:dyDescent="0.2">
      <c r="B193" s="994"/>
      <c r="C193" s="1108"/>
      <c r="D193" s="952"/>
      <c r="E193" s="1121"/>
      <c r="F193" s="1121"/>
      <c r="G193" s="1121"/>
      <c r="H193" s="1121"/>
      <c r="I193" s="624"/>
      <c r="J193" s="624"/>
      <c r="K193" s="624"/>
      <c r="L193" s="624"/>
      <c r="M193" s="624"/>
      <c r="N193" s="624"/>
      <c r="O193" s="624"/>
      <c r="P193" s="1117"/>
      <c r="Q193" s="945"/>
      <c r="R193" s="1127"/>
      <c r="S193" s="1127"/>
      <c r="T193" s="945"/>
      <c r="U193" s="945"/>
      <c r="V193" s="945"/>
      <c r="W193" s="945"/>
      <c r="X193" s="945"/>
      <c r="Y193" s="945"/>
      <c r="Z193" s="948"/>
      <c r="AA193" s="946"/>
      <c r="AB193" s="946"/>
      <c r="AC193" s="946"/>
      <c r="AD193" s="1083"/>
      <c r="AE193" s="1047"/>
      <c r="AF193" s="1047"/>
      <c r="AG193" s="1047"/>
      <c r="AH193" s="1047"/>
      <c r="AI193" s="1047"/>
      <c r="AJ193" s="1047"/>
      <c r="AK193" s="1047"/>
      <c r="AL193" s="1047"/>
      <c r="AM193" s="1047"/>
      <c r="AN193" s="1044"/>
    </row>
    <row r="194" spans="2:40" x14ac:dyDescent="0.2">
      <c r="B194" s="994"/>
      <c r="C194" s="1108"/>
      <c r="D194" s="952"/>
      <c r="E194" s="1121"/>
      <c r="F194" s="1121"/>
      <c r="G194" s="1121"/>
      <c r="H194" s="1121"/>
      <c r="I194" s="624"/>
      <c r="J194" s="624"/>
      <c r="K194" s="624"/>
      <c r="L194" s="624"/>
      <c r="M194" s="624"/>
      <c r="N194" s="624"/>
      <c r="O194" s="624"/>
      <c r="P194" s="1117"/>
      <c r="Q194" s="945"/>
      <c r="R194" s="1127"/>
      <c r="S194" s="1127"/>
      <c r="T194" s="945"/>
      <c r="U194" s="945"/>
      <c r="V194" s="945"/>
      <c r="W194" s="945"/>
      <c r="X194" s="945"/>
      <c r="Y194" s="945"/>
      <c r="Z194" s="948"/>
      <c r="AA194" s="946"/>
      <c r="AB194" s="946"/>
      <c r="AC194" s="946"/>
      <c r="AD194" s="1083"/>
      <c r="AE194" s="1047"/>
      <c r="AF194" s="1047"/>
      <c r="AG194" s="1047"/>
      <c r="AH194" s="1047"/>
      <c r="AI194" s="1047"/>
      <c r="AJ194" s="1047"/>
      <c r="AK194" s="1047"/>
      <c r="AL194" s="1047"/>
      <c r="AM194" s="1047"/>
      <c r="AN194" s="1044"/>
    </row>
    <row r="195" spans="2:40" x14ac:dyDescent="0.2">
      <c r="B195" s="994"/>
      <c r="C195" s="1108"/>
      <c r="D195" s="952"/>
      <c r="E195" s="1121"/>
      <c r="F195" s="1121"/>
      <c r="G195" s="1121"/>
      <c r="H195" s="1121"/>
      <c r="I195" s="624"/>
      <c r="J195" s="624"/>
      <c r="K195" s="624"/>
      <c r="L195" s="624"/>
      <c r="M195" s="624"/>
      <c r="N195" s="624"/>
      <c r="O195" s="624"/>
      <c r="P195" s="1117"/>
      <c r="Q195" s="945"/>
      <c r="R195" s="1127"/>
      <c r="S195" s="1127"/>
      <c r="T195" s="945"/>
      <c r="U195" s="945"/>
      <c r="V195" s="945"/>
      <c r="W195" s="945"/>
      <c r="X195" s="945"/>
      <c r="Y195" s="945"/>
      <c r="Z195" s="948"/>
      <c r="AA195" s="946"/>
      <c r="AB195" s="946"/>
      <c r="AC195" s="946"/>
      <c r="AD195" s="1083"/>
      <c r="AE195" s="1047"/>
      <c r="AF195" s="1047"/>
      <c r="AG195" s="1047"/>
      <c r="AH195" s="1047"/>
      <c r="AI195" s="1047"/>
      <c r="AJ195" s="1047"/>
      <c r="AK195" s="1047"/>
      <c r="AL195" s="1047"/>
      <c r="AM195" s="1047"/>
      <c r="AN195" s="1044"/>
    </row>
    <row r="196" spans="2:40" x14ac:dyDescent="0.2">
      <c r="B196" s="994"/>
      <c r="C196" s="1108"/>
      <c r="D196" s="952"/>
      <c r="E196" s="1121"/>
      <c r="F196" s="1121"/>
      <c r="G196" s="1121"/>
      <c r="H196" s="1121"/>
      <c r="I196" s="624"/>
      <c r="J196" s="624"/>
      <c r="K196" s="624"/>
      <c r="L196" s="624"/>
      <c r="M196" s="624"/>
      <c r="N196" s="624"/>
      <c r="O196" s="624"/>
      <c r="P196" s="1117"/>
      <c r="Q196" s="945"/>
      <c r="R196" s="1127"/>
      <c r="S196" s="1127"/>
      <c r="T196" s="945"/>
      <c r="U196" s="945"/>
      <c r="V196" s="945"/>
      <c r="W196" s="945"/>
      <c r="X196" s="945"/>
      <c r="Y196" s="945"/>
      <c r="Z196" s="948"/>
      <c r="AA196" s="946"/>
      <c r="AB196" s="946"/>
      <c r="AC196" s="946"/>
      <c r="AD196" s="1083"/>
      <c r="AE196" s="1047"/>
      <c r="AF196" s="1047"/>
      <c r="AG196" s="1047"/>
      <c r="AH196" s="1047"/>
      <c r="AI196" s="1047"/>
      <c r="AJ196" s="1047"/>
      <c r="AK196" s="1047"/>
      <c r="AL196" s="1047"/>
      <c r="AM196" s="1047"/>
      <c r="AN196" s="1044"/>
    </row>
    <row r="197" spans="2:40" x14ac:dyDescent="0.2">
      <c r="B197" s="994"/>
      <c r="C197" s="1108"/>
      <c r="D197" s="952"/>
      <c r="E197" s="1121"/>
      <c r="F197" s="1121"/>
      <c r="G197" s="1121"/>
      <c r="H197" s="1121"/>
      <c r="I197" s="624"/>
      <c r="J197" s="624"/>
      <c r="K197" s="624"/>
      <c r="L197" s="624"/>
      <c r="M197" s="624"/>
      <c r="N197" s="624"/>
      <c r="O197" s="624"/>
      <c r="P197" s="1117"/>
      <c r="Q197" s="945"/>
      <c r="R197" s="1127"/>
      <c r="S197" s="1127"/>
      <c r="T197" s="945"/>
      <c r="U197" s="945"/>
      <c r="V197" s="945"/>
      <c r="W197" s="945"/>
      <c r="X197" s="945"/>
      <c r="Y197" s="945"/>
      <c r="Z197" s="948"/>
      <c r="AA197" s="946"/>
      <c r="AB197" s="946"/>
      <c r="AC197" s="946"/>
      <c r="AD197" s="1083"/>
      <c r="AE197" s="1047"/>
      <c r="AF197" s="1047"/>
      <c r="AG197" s="1047"/>
      <c r="AH197" s="1047"/>
      <c r="AI197" s="1047"/>
      <c r="AJ197" s="1047"/>
      <c r="AK197" s="1047"/>
      <c r="AL197" s="1047"/>
      <c r="AM197" s="1047"/>
      <c r="AN197" s="1044"/>
    </row>
    <row r="198" spans="2:40" x14ac:dyDescent="0.2">
      <c r="B198" s="994"/>
      <c r="C198" s="1108"/>
      <c r="D198" s="952"/>
      <c r="E198" s="1121"/>
      <c r="F198" s="1121"/>
      <c r="G198" s="1121"/>
      <c r="H198" s="1121"/>
      <c r="I198" s="624"/>
      <c r="J198" s="624"/>
      <c r="K198" s="1189"/>
      <c r="L198" s="624"/>
      <c r="M198" s="624"/>
      <c r="N198" s="624"/>
      <c r="O198" s="624"/>
      <c r="P198" s="1117"/>
      <c r="Q198" s="945"/>
      <c r="R198" s="1127"/>
      <c r="S198" s="1127"/>
      <c r="T198" s="945"/>
      <c r="U198" s="945"/>
      <c r="V198" s="945"/>
      <c r="W198" s="945"/>
      <c r="X198" s="945"/>
      <c r="Y198" s="945"/>
      <c r="Z198" s="948"/>
      <c r="AA198" s="946"/>
      <c r="AB198" s="946"/>
      <c r="AC198" s="946"/>
      <c r="AD198" s="1083"/>
      <c r="AE198" s="1047"/>
      <c r="AF198" s="1047"/>
      <c r="AG198" s="1047"/>
      <c r="AH198" s="1047"/>
      <c r="AI198" s="1047"/>
      <c r="AJ198" s="1047"/>
      <c r="AK198" s="1047"/>
      <c r="AL198" s="1047"/>
      <c r="AM198" s="1047"/>
      <c r="AN198" s="1044"/>
    </row>
    <row r="199" spans="2:40" x14ac:dyDescent="0.2">
      <c r="B199" s="994"/>
      <c r="C199" s="1108"/>
      <c r="D199" s="952"/>
      <c r="E199" s="1121"/>
      <c r="F199" s="1121"/>
      <c r="G199" s="1121"/>
      <c r="H199" s="1121"/>
      <c r="I199" s="624"/>
      <c r="J199" s="624"/>
      <c r="K199" s="624"/>
      <c r="L199" s="624"/>
      <c r="M199" s="624"/>
      <c r="N199" s="624"/>
      <c r="O199" s="624"/>
      <c r="P199" s="1117"/>
      <c r="Q199" s="945"/>
      <c r="R199" s="1127"/>
      <c r="S199" s="1127"/>
      <c r="T199" s="945"/>
      <c r="U199" s="945"/>
      <c r="V199" s="945"/>
      <c r="W199" s="945"/>
      <c r="X199" s="945"/>
      <c r="Y199" s="945"/>
      <c r="Z199" s="948"/>
      <c r="AA199" s="946"/>
      <c r="AB199" s="946"/>
      <c r="AC199" s="946"/>
      <c r="AD199" s="1083"/>
      <c r="AE199" s="1047"/>
      <c r="AF199" s="1047"/>
      <c r="AG199" s="1047"/>
      <c r="AH199" s="1047"/>
      <c r="AI199" s="1047"/>
      <c r="AJ199" s="1047"/>
      <c r="AK199" s="1047"/>
      <c r="AL199" s="1047"/>
      <c r="AM199" s="1047"/>
      <c r="AN199" s="1044"/>
    </row>
    <row r="200" spans="2:40" x14ac:dyDescent="0.2">
      <c r="B200" s="1010"/>
      <c r="C200" s="1110"/>
      <c r="D200" s="1191"/>
      <c r="E200" s="1130"/>
      <c r="F200" s="1130"/>
      <c r="G200" s="1130"/>
      <c r="H200" s="1130"/>
      <c r="I200" s="1142"/>
      <c r="J200" s="1142"/>
      <c r="K200" s="1142"/>
      <c r="L200" s="1142"/>
      <c r="M200" s="1142"/>
      <c r="N200" s="1142"/>
      <c r="O200" s="1142"/>
      <c r="P200" s="1118"/>
      <c r="Q200" s="969"/>
      <c r="R200" s="1143"/>
      <c r="S200" s="1143"/>
      <c r="T200" s="969"/>
      <c r="U200" s="969"/>
      <c r="V200" s="969"/>
      <c r="W200" s="969"/>
      <c r="X200" s="969"/>
      <c r="Y200" s="969"/>
      <c r="Z200" s="972"/>
      <c r="AA200" s="970"/>
      <c r="AB200" s="970"/>
      <c r="AC200" s="970"/>
      <c r="AD200" s="1083"/>
      <c r="AE200" s="1047"/>
      <c r="AF200" s="1047"/>
      <c r="AG200" s="1047"/>
      <c r="AH200" s="1047"/>
      <c r="AI200" s="1047"/>
      <c r="AJ200" s="1047"/>
      <c r="AK200" s="1047"/>
      <c r="AL200" s="1047"/>
      <c r="AM200" s="1047"/>
      <c r="AN200" s="1044"/>
    </row>
    <row r="201" spans="2:40" x14ac:dyDescent="0.2">
      <c r="B201" s="989" t="s">
        <v>208</v>
      </c>
      <c r="C201" s="1094" t="s">
        <v>209</v>
      </c>
      <c r="D201" s="1099"/>
      <c r="E201" s="1100"/>
      <c r="F201" s="1100"/>
      <c r="G201" s="1101"/>
      <c r="H201" s="1101"/>
      <c r="I201" s="1101"/>
      <c r="J201" s="1101"/>
      <c r="K201" s="1101"/>
      <c r="L201" s="1101"/>
      <c r="M201" s="1101"/>
      <c r="N201" s="1101"/>
      <c r="O201" s="1101"/>
      <c r="P201" s="1083"/>
      <c r="Q201" s="1047"/>
      <c r="R201" s="1047"/>
      <c r="S201" s="1047"/>
      <c r="T201" s="1027"/>
      <c r="U201" s="1027"/>
      <c r="V201" s="1027"/>
      <c r="W201" s="1027"/>
      <c r="X201" s="1027"/>
      <c r="Y201" s="1027"/>
      <c r="Z201" s="1027"/>
      <c r="AA201" s="1098"/>
      <c r="AB201" s="1098"/>
      <c r="AC201" s="1098"/>
      <c r="AD201" s="973">
        <v>4.4000000000000004</v>
      </c>
      <c r="AE201" s="1153">
        <v>50</v>
      </c>
      <c r="AF201" s="976"/>
      <c r="AG201" s="1153">
        <v>8</v>
      </c>
      <c r="AH201" s="1153">
        <v>46</v>
      </c>
      <c r="AI201" s="976">
        <v>1.2</v>
      </c>
      <c r="AJ201" s="976">
        <v>13.7</v>
      </c>
      <c r="AK201" s="976"/>
      <c r="AL201" s="976">
        <v>2.2000000000000002</v>
      </c>
      <c r="AM201" s="976">
        <v>12.6</v>
      </c>
      <c r="AN201" s="1154">
        <v>16</v>
      </c>
    </row>
    <row r="202" spans="2:40" x14ac:dyDescent="0.2">
      <c r="B202" s="994"/>
      <c r="C202" s="1104"/>
      <c r="D202" s="935"/>
      <c r="E202" s="1188"/>
      <c r="F202" s="1188"/>
      <c r="G202" s="1188"/>
      <c r="H202" s="1188"/>
      <c r="I202" s="937"/>
      <c r="J202" s="937"/>
      <c r="K202" s="1141"/>
      <c r="L202" s="1141"/>
      <c r="M202" s="1141"/>
      <c r="N202" s="1141"/>
      <c r="O202" s="1141"/>
      <c r="P202" s="942"/>
      <c r="Q202" s="943"/>
      <c r="R202" s="1192"/>
      <c r="S202" s="1192"/>
      <c r="T202" s="943"/>
      <c r="U202" s="943"/>
      <c r="V202" s="943"/>
      <c r="W202" s="943"/>
      <c r="X202" s="943"/>
      <c r="Y202" s="943"/>
      <c r="Z202" s="1116"/>
      <c r="AA202" s="944"/>
      <c r="AB202" s="944"/>
      <c r="AC202" s="944"/>
      <c r="AD202" s="1082"/>
      <c r="AE202" s="1046"/>
      <c r="AF202" s="1046"/>
      <c r="AG202" s="1046"/>
      <c r="AH202" s="1046"/>
      <c r="AI202" s="1046"/>
      <c r="AJ202" s="1046"/>
      <c r="AK202" s="1046"/>
      <c r="AL202" s="1046"/>
      <c r="AM202" s="1046"/>
      <c r="AN202" s="1040"/>
    </row>
    <row r="203" spans="2:40" x14ac:dyDescent="0.2">
      <c r="B203" s="994"/>
      <c r="C203" s="1108"/>
      <c r="D203" s="952"/>
      <c r="E203" s="1121"/>
      <c r="F203" s="1121"/>
      <c r="G203" s="1121"/>
      <c r="H203" s="1121"/>
      <c r="I203" s="127"/>
      <c r="J203" s="127"/>
      <c r="K203" s="624"/>
      <c r="L203" s="624"/>
      <c r="M203" s="624"/>
      <c r="N203" s="624"/>
      <c r="O203" s="624"/>
      <c r="P203" s="957"/>
      <c r="Q203" s="945"/>
      <c r="R203" s="1127"/>
      <c r="S203" s="1127"/>
      <c r="T203" s="945"/>
      <c r="U203" s="945"/>
      <c r="V203" s="945"/>
      <c r="W203" s="945"/>
      <c r="X203" s="945"/>
      <c r="Y203" s="945"/>
      <c r="Z203" s="948"/>
      <c r="AA203" s="946"/>
      <c r="AB203" s="946"/>
      <c r="AC203" s="946"/>
      <c r="AD203" s="1083"/>
      <c r="AE203" s="1047"/>
      <c r="AF203" s="1047"/>
      <c r="AG203" s="1047"/>
      <c r="AH203" s="1047"/>
      <c r="AI203" s="1047"/>
      <c r="AJ203" s="1047"/>
      <c r="AK203" s="1047"/>
      <c r="AL203" s="1047"/>
      <c r="AM203" s="1047"/>
      <c r="AN203" s="1044"/>
    </row>
    <row r="204" spans="2:40" x14ac:dyDescent="0.2">
      <c r="B204" s="994"/>
      <c r="C204" s="1108"/>
      <c r="D204" s="952"/>
      <c r="E204" s="1121"/>
      <c r="F204" s="1121"/>
      <c r="G204" s="1121"/>
      <c r="H204" s="1121"/>
      <c r="I204" s="127"/>
      <c r="J204" s="127"/>
      <c r="K204" s="624"/>
      <c r="L204" s="624"/>
      <c r="M204" s="624"/>
      <c r="N204" s="624"/>
      <c r="O204" s="624"/>
      <c r="P204" s="957"/>
      <c r="Q204" s="945"/>
      <c r="R204" s="1127"/>
      <c r="S204" s="1127"/>
      <c r="T204" s="945"/>
      <c r="U204" s="945"/>
      <c r="V204" s="945"/>
      <c r="W204" s="945"/>
      <c r="X204" s="945"/>
      <c r="Y204" s="945"/>
      <c r="Z204" s="948"/>
      <c r="AA204" s="946"/>
      <c r="AB204" s="946"/>
      <c r="AC204" s="946"/>
      <c r="AD204" s="1083"/>
      <c r="AE204" s="1047"/>
      <c r="AF204" s="1047"/>
      <c r="AG204" s="1047"/>
      <c r="AH204" s="1047"/>
      <c r="AI204" s="1047"/>
      <c r="AJ204" s="1047"/>
      <c r="AK204" s="1047"/>
      <c r="AL204" s="1047"/>
      <c r="AM204" s="1047"/>
      <c r="AN204" s="1044"/>
    </row>
    <row r="205" spans="2:40" x14ac:dyDescent="0.2">
      <c r="B205" s="994"/>
      <c r="C205" s="1108"/>
      <c r="D205" s="952"/>
      <c r="E205" s="1121"/>
      <c r="F205" s="1121"/>
      <c r="G205" s="1121"/>
      <c r="H205" s="1121"/>
      <c r="I205" s="127"/>
      <c r="J205" s="127"/>
      <c r="K205" s="624"/>
      <c r="L205" s="624"/>
      <c r="M205" s="624"/>
      <c r="N205" s="624"/>
      <c r="O205" s="624"/>
      <c r="P205" s="957"/>
      <c r="Q205" s="945"/>
      <c r="R205" s="1127"/>
      <c r="S205" s="1127"/>
      <c r="T205" s="945"/>
      <c r="U205" s="945"/>
      <c r="V205" s="945"/>
      <c r="W205" s="945"/>
      <c r="X205" s="945"/>
      <c r="Y205" s="945"/>
      <c r="Z205" s="948"/>
      <c r="AA205" s="946"/>
      <c r="AB205" s="946"/>
      <c r="AC205" s="946"/>
      <c r="AD205" s="1083"/>
      <c r="AE205" s="1047"/>
      <c r="AF205" s="1047"/>
      <c r="AG205" s="1047"/>
      <c r="AH205" s="1047"/>
      <c r="AI205" s="1047"/>
      <c r="AJ205" s="1047"/>
      <c r="AK205" s="1047"/>
      <c r="AL205" s="1047"/>
      <c r="AM205" s="1047"/>
      <c r="AN205" s="1044"/>
    </row>
    <row r="206" spans="2:40" x14ac:dyDescent="0.2">
      <c r="B206" s="994"/>
      <c r="C206" s="1108"/>
      <c r="D206" s="952"/>
      <c r="E206" s="1121"/>
      <c r="F206" s="1121"/>
      <c r="G206" s="1121"/>
      <c r="H206" s="1121"/>
      <c r="I206" s="127"/>
      <c r="J206" s="127"/>
      <c r="K206" s="624"/>
      <c r="L206" s="624"/>
      <c r="M206" s="624"/>
      <c r="N206" s="624"/>
      <c r="O206" s="624"/>
      <c r="P206" s="957"/>
      <c r="Q206" s="945"/>
      <c r="R206" s="1127"/>
      <c r="S206" s="1127"/>
      <c r="T206" s="945"/>
      <c r="U206" s="945"/>
      <c r="V206" s="945"/>
      <c r="W206" s="945"/>
      <c r="X206" s="945"/>
      <c r="Y206" s="945"/>
      <c r="Z206" s="948"/>
      <c r="AA206" s="946"/>
      <c r="AB206" s="946"/>
      <c r="AC206" s="946"/>
      <c r="AD206" s="1083"/>
      <c r="AE206" s="1047"/>
      <c r="AF206" s="1047"/>
      <c r="AG206" s="1047"/>
      <c r="AH206" s="1047"/>
      <c r="AI206" s="1047"/>
      <c r="AJ206" s="1047"/>
      <c r="AK206" s="1047"/>
      <c r="AL206" s="1047"/>
      <c r="AM206" s="1047"/>
      <c r="AN206" s="1044"/>
    </row>
    <row r="207" spans="2:40" x14ac:dyDescent="0.2">
      <c r="B207" s="994"/>
      <c r="C207" s="1108"/>
      <c r="D207" s="952"/>
      <c r="E207" s="1121"/>
      <c r="F207" s="1121"/>
      <c r="G207" s="1121"/>
      <c r="H207" s="1121"/>
      <c r="I207" s="127"/>
      <c r="J207" s="127"/>
      <c r="K207" s="624"/>
      <c r="L207" s="624"/>
      <c r="M207" s="624"/>
      <c r="N207" s="624"/>
      <c r="O207" s="624"/>
      <c r="P207" s="957"/>
      <c r="Q207" s="945"/>
      <c r="R207" s="1127"/>
      <c r="S207" s="1127"/>
      <c r="T207" s="945"/>
      <c r="U207" s="945"/>
      <c r="V207" s="945"/>
      <c r="W207" s="945"/>
      <c r="X207" s="945"/>
      <c r="Y207" s="945"/>
      <c r="Z207" s="948"/>
      <c r="AA207" s="946"/>
      <c r="AB207" s="946"/>
      <c r="AC207" s="946"/>
      <c r="AD207" s="1083"/>
      <c r="AE207" s="1047"/>
      <c r="AF207" s="1047"/>
      <c r="AG207" s="1047"/>
      <c r="AH207" s="1047"/>
      <c r="AI207" s="1047"/>
      <c r="AJ207" s="1047"/>
      <c r="AK207" s="1047"/>
      <c r="AL207" s="1047"/>
      <c r="AM207" s="1047"/>
      <c r="AN207" s="1044"/>
    </row>
    <row r="208" spans="2:40" x14ac:dyDescent="0.2">
      <c r="B208" s="994"/>
      <c r="C208" s="1108"/>
      <c r="D208" s="952"/>
      <c r="E208" s="1121"/>
      <c r="F208" s="1121"/>
      <c r="G208" s="1121"/>
      <c r="H208" s="1121"/>
      <c r="I208" s="127"/>
      <c r="J208" s="127"/>
      <c r="K208" s="624"/>
      <c r="L208" s="624"/>
      <c r="M208" s="624"/>
      <c r="N208" s="624"/>
      <c r="O208" s="624"/>
      <c r="P208" s="957"/>
      <c r="Q208" s="945"/>
      <c r="R208" s="1127"/>
      <c r="S208" s="1127"/>
      <c r="T208" s="945"/>
      <c r="U208" s="945"/>
      <c r="V208" s="945"/>
      <c r="W208" s="945"/>
      <c r="X208" s="945"/>
      <c r="Y208" s="945"/>
      <c r="Z208" s="948"/>
      <c r="AA208" s="946"/>
      <c r="AB208" s="946"/>
      <c r="AC208" s="946"/>
      <c r="AD208" s="1083"/>
      <c r="AE208" s="1047"/>
      <c r="AF208" s="1047"/>
      <c r="AG208" s="1047"/>
      <c r="AH208" s="1047"/>
      <c r="AI208" s="1047"/>
      <c r="AJ208" s="1047"/>
      <c r="AK208" s="1047"/>
      <c r="AL208" s="1047"/>
      <c r="AM208" s="1047"/>
      <c r="AN208" s="1044"/>
    </row>
    <row r="209" spans="2:40" x14ac:dyDescent="0.2">
      <c r="B209" s="994"/>
      <c r="C209" s="1108"/>
      <c r="D209" s="952"/>
      <c r="E209" s="1121"/>
      <c r="F209" s="1121"/>
      <c r="G209" s="1121"/>
      <c r="H209" s="1121"/>
      <c r="I209" s="127"/>
      <c r="J209" s="127"/>
      <c r="K209" s="624"/>
      <c r="L209" s="624"/>
      <c r="M209" s="624"/>
      <c r="N209" s="624"/>
      <c r="O209" s="624"/>
      <c r="P209" s="957"/>
      <c r="Q209" s="945"/>
      <c r="R209" s="1127"/>
      <c r="S209" s="1127"/>
      <c r="T209" s="945"/>
      <c r="U209" s="945"/>
      <c r="V209" s="945"/>
      <c r="W209" s="945"/>
      <c r="X209" s="945"/>
      <c r="Y209" s="945"/>
      <c r="Z209" s="948"/>
      <c r="AA209" s="946"/>
      <c r="AB209" s="946"/>
      <c r="AC209" s="946"/>
      <c r="AD209" s="1083"/>
      <c r="AE209" s="1047"/>
      <c r="AF209" s="1047"/>
      <c r="AG209" s="1047"/>
      <c r="AH209" s="1047"/>
      <c r="AI209" s="1047"/>
      <c r="AJ209" s="1047"/>
      <c r="AK209" s="1047"/>
      <c r="AL209" s="1047"/>
      <c r="AM209" s="1047"/>
      <c r="AN209" s="1044"/>
    </row>
    <row r="210" spans="2:40" x14ac:dyDescent="0.2">
      <c r="B210" s="1010"/>
      <c r="C210" s="1110"/>
      <c r="D210" s="1191"/>
      <c r="E210" s="1130"/>
      <c r="F210" s="1130"/>
      <c r="G210" s="1130"/>
      <c r="H210" s="1130"/>
      <c r="I210" s="966"/>
      <c r="J210" s="966"/>
      <c r="K210" s="1142"/>
      <c r="L210" s="1142"/>
      <c r="M210" s="1142"/>
      <c r="N210" s="1142"/>
      <c r="O210" s="1142"/>
      <c r="P210" s="968"/>
      <c r="Q210" s="969"/>
      <c r="R210" s="1143"/>
      <c r="S210" s="1143"/>
      <c r="T210" s="969"/>
      <c r="U210" s="969"/>
      <c r="V210" s="969"/>
      <c r="W210" s="969"/>
      <c r="X210" s="969"/>
      <c r="Y210" s="969"/>
      <c r="Z210" s="972"/>
      <c r="AA210" s="970"/>
      <c r="AB210" s="970"/>
      <c r="AC210" s="970"/>
      <c r="AD210" s="1083"/>
      <c r="AE210" s="1047"/>
      <c r="AF210" s="1047"/>
      <c r="AG210" s="1047"/>
      <c r="AH210" s="1047"/>
      <c r="AI210" s="1047"/>
      <c r="AJ210" s="1047"/>
      <c r="AK210" s="1047"/>
      <c r="AL210" s="1047"/>
      <c r="AM210" s="1047"/>
      <c r="AN210" s="1044"/>
    </row>
    <row r="211" spans="2:40" x14ac:dyDescent="0.2">
      <c r="B211" s="989" t="s">
        <v>210</v>
      </c>
      <c r="C211" s="1094" t="s">
        <v>211</v>
      </c>
      <c r="D211" s="1099"/>
      <c r="E211" s="1100"/>
      <c r="F211" s="1100"/>
      <c r="G211" s="1101"/>
      <c r="H211" s="1101"/>
      <c r="I211" s="1101"/>
      <c r="J211" s="1101"/>
      <c r="K211" s="1101"/>
      <c r="L211" s="1101"/>
      <c r="M211" s="1101"/>
      <c r="N211" s="1101"/>
      <c r="O211" s="1101"/>
      <c r="P211" s="1083"/>
      <c r="Q211" s="1047"/>
      <c r="R211" s="1047"/>
      <c r="S211" s="1047"/>
      <c r="T211" s="1027"/>
      <c r="U211" s="1027"/>
      <c r="V211" s="1027"/>
      <c r="W211" s="1027"/>
      <c r="X211" s="1027"/>
      <c r="Y211" s="1027"/>
      <c r="Z211" s="1027"/>
      <c r="AA211" s="1098"/>
      <c r="AB211" s="1098"/>
      <c r="AC211" s="1098"/>
      <c r="AD211" s="973">
        <v>0.2</v>
      </c>
      <c r="AE211" s="1153">
        <v>5.6</v>
      </c>
      <c r="AF211" s="976"/>
      <c r="AG211" s="1153">
        <v>1</v>
      </c>
      <c r="AH211" s="1153">
        <v>0.5</v>
      </c>
      <c r="AI211" s="976"/>
      <c r="AJ211" s="976"/>
      <c r="AK211" s="976"/>
      <c r="AL211" s="976"/>
      <c r="AM211" s="976"/>
      <c r="AN211" s="1154">
        <v>14</v>
      </c>
    </row>
    <row r="212" spans="2:40" x14ac:dyDescent="0.2">
      <c r="B212" s="994"/>
      <c r="C212" s="1104"/>
      <c r="D212" s="935"/>
      <c r="E212" s="1188"/>
      <c r="F212" s="1188"/>
      <c r="G212" s="1188"/>
      <c r="H212" s="1188"/>
      <c r="I212" s="1188"/>
      <c r="J212" s="938"/>
      <c r="K212" s="1141"/>
      <c r="L212" s="1141"/>
      <c r="M212" s="1141"/>
      <c r="N212" s="1141"/>
      <c r="O212" s="1141"/>
      <c r="P212" s="942"/>
      <c r="Q212" s="943"/>
      <c r="R212" s="1192"/>
      <c r="S212" s="1192"/>
      <c r="T212" s="943"/>
      <c r="U212" s="943"/>
      <c r="V212" s="943"/>
      <c r="W212" s="943"/>
      <c r="X212" s="943"/>
      <c r="Y212" s="943"/>
      <c r="Z212" s="1116"/>
      <c r="AA212" s="944"/>
      <c r="AB212" s="944"/>
      <c r="AC212" s="944"/>
      <c r="AD212" s="1082"/>
      <c r="AE212" s="1046"/>
      <c r="AF212" s="1046"/>
      <c r="AG212" s="1046"/>
      <c r="AH212" s="1046"/>
      <c r="AI212" s="1046"/>
      <c r="AJ212" s="1046"/>
      <c r="AK212" s="1046"/>
      <c r="AL212" s="1046"/>
      <c r="AM212" s="1046"/>
      <c r="AN212" s="1040"/>
    </row>
    <row r="213" spans="2:40" x14ac:dyDescent="0.2">
      <c r="B213" s="994"/>
      <c r="C213" s="1108"/>
      <c r="D213" s="952"/>
      <c r="E213" s="1121"/>
      <c r="F213" s="1121"/>
      <c r="G213" s="1121"/>
      <c r="H213" s="1121"/>
      <c r="I213" s="1121"/>
      <c r="J213" s="129"/>
      <c r="K213" s="624"/>
      <c r="L213" s="624"/>
      <c r="M213" s="624"/>
      <c r="N213" s="624"/>
      <c r="O213" s="624"/>
      <c r="P213" s="957"/>
      <c r="Q213" s="945"/>
      <c r="R213" s="1127"/>
      <c r="S213" s="1127"/>
      <c r="T213" s="945"/>
      <c r="U213" s="945"/>
      <c r="V213" s="945"/>
      <c r="W213" s="945"/>
      <c r="X213" s="945"/>
      <c r="Y213" s="945"/>
      <c r="Z213" s="948"/>
      <c r="AA213" s="946"/>
      <c r="AB213" s="946"/>
      <c r="AC213" s="946"/>
      <c r="AD213" s="1083"/>
      <c r="AE213" s="1047"/>
      <c r="AF213" s="1047"/>
      <c r="AG213" s="1047"/>
      <c r="AH213" s="1047"/>
      <c r="AI213" s="1047"/>
      <c r="AJ213" s="1047"/>
      <c r="AK213" s="1047"/>
      <c r="AL213" s="1047"/>
      <c r="AM213" s="1047"/>
      <c r="AN213" s="1044"/>
    </row>
    <row r="214" spans="2:40" x14ac:dyDescent="0.2">
      <c r="B214" s="994"/>
      <c r="C214" s="1108"/>
      <c r="D214" s="952"/>
      <c r="E214" s="1121"/>
      <c r="F214" s="1121"/>
      <c r="G214" s="1121"/>
      <c r="H214" s="1121"/>
      <c r="I214" s="1121"/>
      <c r="J214" s="129"/>
      <c r="K214" s="624"/>
      <c r="L214" s="624"/>
      <c r="M214" s="624"/>
      <c r="N214" s="624"/>
      <c r="O214" s="624"/>
      <c r="P214" s="957"/>
      <c r="Q214" s="945"/>
      <c r="R214" s="1127"/>
      <c r="S214" s="1127"/>
      <c r="T214" s="945"/>
      <c r="U214" s="945"/>
      <c r="V214" s="945"/>
      <c r="W214" s="945"/>
      <c r="X214" s="945"/>
      <c r="Y214" s="945"/>
      <c r="Z214" s="948"/>
      <c r="AA214" s="946"/>
      <c r="AB214" s="946"/>
      <c r="AC214" s="946"/>
      <c r="AD214" s="1083"/>
      <c r="AE214" s="1047"/>
      <c r="AF214" s="1047"/>
      <c r="AG214" s="1047"/>
      <c r="AH214" s="1047"/>
      <c r="AI214" s="1047"/>
      <c r="AJ214" s="1047"/>
      <c r="AK214" s="1047"/>
      <c r="AL214" s="1047"/>
      <c r="AM214" s="1047"/>
      <c r="AN214" s="1044"/>
    </row>
    <row r="215" spans="2:40" x14ac:dyDescent="0.2">
      <c r="B215" s="994"/>
      <c r="C215" s="1108"/>
      <c r="D215" s="952"/>
      <c r="E215" s="1121"/>
      <c r="F215" s="1121"/>
      <c r="G215" s="1121"/>
      <c r="H215" s="1121"/>
      <c r="I215" s="1121"/>
      <c r="J215" s="129"/>
      <c r="K215" s="624"/>
      <c r="L215" s="624"/>
      <c r="M215" s="624"/>
      <c r="N215" s="624"/>
      <c r="O215" s="624"/>
      <c r="P215" s="957"/>
      <c r="Q215" s="945"/>
      <c r="R215" s="1127"/>
      <c r="S215" s="1127"/>
      <c r="T215" s="945"/>
      <c r="U215" s="945"/>
      <c r="V215" s="945"/>
      <c r="W215" s="945"/>
      <c r="X215" s="945"/>
      <c r="Y215" s="945"/>
      <c r="Z215" s="948"/>
      <c r="AA215" s="946"/>
      <c r="AB215" s="946"/>
      <c r="AC215" s="946"/>
      <c r="AD215" s="1083"/>
      <c r="AE215" s="1047"/>
      <c r="AF215" s="1047"/>
      <c r="AG215" s="1047"/>
      <c r="AH215" s="1047"/>
      <c r="AI215" s="1047"/>
      <c r="AJ215" s="1047"/>
      <c r="AK215" s="1047"/>
      <c r="AL215" s="1047"/>
      <c r="AM215" s="1047"/>
      <c r="AN215" s="1044"/>
    </row>
    <row r="216" spans="2:40" x14ac:dyDescent="0.2">
      <c r="B216" s="994"/>
      <c r="C216" s="1108"/>
      <c r="D216" s="952"/>
      <c r="E216" s="1121"/>
      <c r="F216" s="1121"/>
      <c r="G216" s="1121"/>
      <c r="H216" s="1121"/>
      <c r="I216" s="1121"/>
      <c r="J216" s="129"/>
      <c r="K216" s="624"/>
      <c r="L216" s="624"/>
      <c r="M216" s="624"/>
      <c r="N216" s="624"/>
      <c r="O216" s="624"/>
      <c r="P216" s="957"/>
      <c r="Q216" s="945"/>
      <c r="R216" s="1127"/>
      <c r="S216" s="1127"/>
      <c r="T216" s="945"/>
      <c r="U216" s="945"/>
      <c r="V216" s="945"/>
      <c r="W216" s="945"/>
      <c r="X216" s="945"/>
      <c r="Y216" s="945"/>
      <c r="Z216" s="948"/>
      <c r="AA216" s="946"/>
      <c r="AB216" s="946"/>
      <c r="AC216" s="946"/>
      <c r="AD216" s="1083"/>
      <c r="AE216" s="1047"/>
      <c r="AF216" s="1047"/>
      <c r="AG216" s="1047"/>
      <c r="AH216" s="1047"/>
      <c r="AI216" s="1047"/>
      <c r="AJ216" s="1047"/>
      <c r="AK216" s="1047"/>
      <c r="AL216" s="1047"/>
      <c r="AM216" s="1047"/>
      <c r="AN216" s="1044"/>
    </row>
    <row r="217" spans="2:40" x14ac:dyDescent="0.2">
      <c r="B217" s="994"/>
      <c r="C217" s="1108"/>
      <c r="D217" s="952"/>
      <c r="E217" s="1121"/>
      <c r="F217" s="1121"/>
      <c r="G217" s="1121"/>
      <c r="H217" s="1121"/>
      <c r="I217" s="1121"/>
      <c r="J217" s="129"/>
      <c r="K217" s="624"/>
      <c r="L217" s="624"/>
      <c r="M217" s="624"/>
      <c r="N217" s="624"/>
      <c r="O217" s="624"/>
      <c r="P217" s="957"/>
      <c r="Q217" s="945"/>
      <c r="R217" s="1127"/>
      <c r="S217" s="1127"/>
      <c r="T217" s="945"/>
      <c r="U217" s="945"/>
      <c r="V217" s="945"/>
      <c r="W217" s="945"/>
      <c r="X217" s="945"/>
      <c r="Y217" s="945"/>
      <c r="Z217" s="948"/>
      <c r="AA217" s="946"/>
      <c r="AB217" s="946"/>
      <c r="AC217" s="946"/>
      <c r="AD217" s="1083"/>
      <c r="AE217" s="1047"/>
      <c r="AF217" s="1047"/>
      <c r="AG217" s="1047"/>
      <c r="AH217" s="1047"/>
      <c r="AI217" s="1047"/>
      <c r="AJ217" s="1047"/>
      <c r="AK217" s="1047"/>
      <c r="AL217" s="1047"/>
      <c r="AM217" s="1047"/>
      <c r="AN217" s="1044"/>
    </row>
    <row r="218" spans="2:40" x14ac:dyDescent="0.2">
      <c r="B218" s="994"/>
      <c r="C218" s="1108"/>
      <c r="D218" s="952"/>
      <c r="E218" s="1121"/>
      <c r="F218" s="1121"/>
      <c r="G218" s="1121"/>
      <c r="H218" s="1121"/>
      <c r="I218" s="1121"/>
      <c r="J218" s="129"/>
      <c r="K218" s="624"/>
      <c r="L218" s="624"/>
      <c r="M218" s="624"/>
      <c r="N218" s="624"/>
      <c r="O218" s="624"/>
      <c r="P218" s="957"/>
      <c r="Q218" s="945"/>
      <c r="R218" s="1127"/>
      <c r="S218" s="1127"/>
      <c r="T218" s="945"/>
      <c r="U218" s="945"/>
      <c r="V218" s="945"/>
      <c r="W218" s="945"/>
      <c r="X218" s="945"/>
      <c r="Y218" s="945"/>
      <c r="Z218" s="948"/>
      <c r="AA218" s="946"/>
      <c r="AB218" s="946"/>
      <c r="AC218" s="946"/>
      <c r="AD218" s="1083"/>
      <c r="AE218" s="1047"/>
      <c r="AF218" s="1047"/>
      <c r="AG218" s="1047"/>
      <c r="AH218" s="1047"/>
      <c r="AI218" s="1047"/>
      <c r="AJ218" s="1047"/>
      <c r="AK218" s="1047"/>
      <c r="AL218" s="1047"/>
      <c r="AM218" s="1047"/>
      <c r="AN218" s="1044"/>
    </row>
    <row r="219" spans="2:40" x14ac:dyDescent="0.2">
      <c r="B219" s="994"/>
      <c r="C219" s="1108"/>
      <c r="D219" s="952"/>
      <c r="E219" s="1121"/>
      <c r="F219" s="1121"/>
      <c r="G219" s="1121"/>
      <c r="H219" s="1121"/>
      <c r="I219" s="1121"/>
      <c r="J219" s="129"/>
      <c r="K219" s="624"/>
      <c r="L219" s="624"/>
      <c r="M219" s="624"/>
      <c r="N219" s="624"/>
      <c r="O219" s="624"/>
      <c r="P219" s="957"/>
      <c r="Q219" s="945"/>
      <c r="R219" s="1127"/>
      <c r="S219" s="1127"/>
      <c r="T219" s="945"/>
      <c r="U219" s="945"/>
      <c r="V219" s="945"/>
      <c r="W219" s="945"/>
      <c r="X219" s="945"/>
      <c r="Y219" s="945"/>
      <c r="Z219" s="948"/>
      <c r="AA219" s="946"/>
      <c r="AB219" s="946"/>
      <c r="AC219" s="946"/>
      <c r="AD219" s="1083"/>
      <c r="AE219" s="1047"/>
      <c r="AF219" s="1047"/>
      <c r="AG219" s="1047"/>
      <c r="AH219" s="1047"/>
      <c r="AI219" s="1047"/>
      <c r="AJ219" s="1047"/>
      <c r="AK219" s="1047"/>
      <c r="AL219" s="1047"/>
      <c r="AM219" s="1047"/>
      <c r="AN219" s="1044"/>
    </row>
    <row r="220" spans="2:40" x14ac:dyDescent="0.2">
      <c r="B220" s="1010"/>
      <c r="C220" s="1110"/>
      <c r="D220" s="1191"/>
      <c r="E220" s="1130"/>
      <c r="F220" s="1130"/>
      <c r="G220" s="1130"/>
      <c r="H220" s="1130"/>
      <c r="I220" s="1130"/>
      <c r="J220" s="964"/>
      <c r="K220" s="1142"/>
      <c r="L220" s="1142"/>
      <c r="M220" s="1142"/>
      <c r="N220" s="1142"/>
      <c r="O220" s="1142"/>
      <c r="P220" s="968"/>
      <c r="Q220" s="969"/>
      <c r="R220" s="1143"/>
      <c r="S220" s="1143"/>
      <c r="T220" s="969"/>
      <c r="U220" s="969"/>
      <c r="V220" s="969"/>
      <c r="W220" s="969"/>
      <c r="X220" s="969"/>
      <c r="Y220" s="969"/>
      <c r="Z220" s="972"/>
      <c r="AA220" s="970"/>
      <c r="AB220" s="970"/>
      <c r="AC220" s="970"/>
      <c r="AD220" s="1083"/>
      <c r="AE220" s="1047"/>
      <c r="AF220" s="1047"/>
      <c r="AG220" s="1047"/>
      <c r="AH220" s="1047"/>
      <c r="AI220" s="1047"/>
      <c r="AJ220" s="1047"/>
      <c r="AK220" s="1047"/>
      <c r="AL220" s="1047"/>
      <c r="AM220" s="1047"/>
      <c r="AN220" s="1044"/>
    </row>
    <row r="221" spans="2:40" x14ac:dyDescent="0.2">
      <c r="B221" s="989" t="s">
        <v>202</v>
      </c>
      <c r="C221" s="1094" t="s">
        <v>212</v>
      </c>
      <c r="D221" s="1099"/>
      <c r="E221" s="1100"/>
      <c r="F221" s="1100"/>
      <c r="G221" s="1101"/>
      <c r="H221" s="1101"/>
      <c r="I221" s="1101"/>
      <c r="J221" s="1101"/>
      <c r="K221" s="1101"/>
      <c r="L221" s="1101"/>
      <c r="M221" s="1101"/>
      <c r="N221" s="1101"/>
      <c r="O221" s="1101"/>
      <c r="P221" s="1060"/>
      <c r="Q221" s="1062"/>
      <c r="R221" s="1062"/>
      <c r="S221" s="1062"/>
      <c r="T221" s="1062"/>
      <c r="U221" s="1062"/>
      <c r="V221" s="1062"/>
      <c r="W221" s="1062"/>
      <c r="X221" s="1062"/>
      <c r="Y221" s="1062"/>
      <c r="Z221" s="1027"/>
      <c r="AA221" s="1098"/>
      <c r="AB221" s="1098"/>
      <c r="AC221" s="1098"/>
      <c r="AD221" s="1193">
        <v>22.9</v>
      </c>
      <c r="AE221" s="1194">
        <v>134</v>
      </c>
      <c r="AF221" s="1194">
        <v>25.4</v>
      </c>
      <c r="AG221" s="1194">
        <v>30.1</v>
      </c>
      <c r="AH221" s="1195">
        <v>101</v>
      </c>
      <c r="AI221" s="1196">
        <v>3.8</v>
      </c>
      <c r="AJ221" s="1195">
        <v>22</v>
      </c>
      <c r="AK221" s="1194"/>
      <c r="AL221" s="1194">
        <v>4.9000000000000004</v>
      </c>
      <c r="AM221" s="1194">
        <v>16.600000000000001</v>
      </c>
      <c r="AN221" s="1197">
        <v>10.5</v>
      </c>
    </row>
    <row r="222" spans="2:40" x14ac:dyDescent="0.2">
      <c r="B222" s="994"/>
      <c r="C222" s="1094" t="s">
        <v>213</v>
      </c>
      <c r="D222" s="1099"/>
      <c r="E222" s="1100"/>
      <c r="F222" s="1100"/>
      <c r="G222" s="1101"/>
      <c r="H222" s="1101"/>
      <c r="I222" s="1101"/>
      <c r="J222" s="1101"/>
      <c r="K222" s="1101"/>
      <c r="L222" s="1101"/>
      <c r="M222" s="1101"/>
      <c r="N222" s="1101"/>
      <c r="O222" s="1101"/>
      <c r="P222" s="1103"/>
      <c r="Q222" s="1098"/>
      <c r="R222" s="1098"/>
      <c r="S222" s="1098"/>
      <c r="T222" s="1098"/>
      <c r="U222" s="1098"/>
      <c r="V222" s="1098"/>
      <c r="W222" s="1098"/>
      <c r="X222" s="1098"/>
      <c r="Y222" s="1098"/>
      <c r="Z222" s="1098"/>
      <c r="AA222" s="1098"/>
      <c r="AB222" s="1098"/>
      <c r="AC222" s="1098"/>
      <c r="AD222" s="973">
        <v>4.4000000000000004</v>
      </c>
      <c r="AE222" s="1153">
        <v>50</v>
      </c>
      <c r="AF222" s="976"/>
      <c r="AG222" s="1153">
        <v>8</v>
      </c>
      <c r="AH222" s="1153">
        <v>46</v>
      </c>
      <c r="AI222" s="976">
        <v>1.2</v>
      </c>
      <c r="AJ222" s="976">
        <v>13.7</v>
      </c>
      <c r="AK222" s="976"/>
      <c r="AL222" s="976">
        <v>2.2000000000000002</v>
      </c>
      <c r="AM222" s="976">
        <v>12.6</v>
      </c>
      <c r="AN222" s="1154">
        <v>16</v>
      </c>
    </row>
    <row r="223" spans="2:40" x14ac:dyDescent="0.2">
      <c r="B223" s="994"/>
      <c r="C223" s="1094" t="s">
        <v>214</v>
      </c>
      <c r="D223" s="1099"/>
      <c r="E223" s="1100"/>
      <c r="F223" s="1100"/>
      <c r="G223" s="1101"/>
      <c r="H223" s="1101"/>
      <c r="I223" s="1101"/>
      <c r="J223" s="1101"/>
      <c r="K223" s="1101"/>
      <c r="L223" s="1101"/>
      <c r="M223" s="1101"/>
      <c r="N223" s="1101"/>
      <c r="O223" s="1101"/>
      <c r="P223" s="1038"/>
      <c r="Q223" s="1028"/>
      <c r="R223" s="1028"/>
      <c r="S223" s="1028"/>
      <c r="T223" s="1028"/>
      <c r="U223" s="1028"/>
      <c r="V223" s="1028"/>
      <c r="W223" s="1028"/>
      <c r="X223" s="1028"/>
      <c r="Y223" s="1028"/>
      <c r="Z223" s="1027"/>
      <c r="AA223" s="1098"/>
      <c r="AB223" s="1098"/>
      <c r="AC223" s="1098"/>
      <c r="AD223" s="973">
        <v>4.4000000000000004</v>
      </c>
      <c r="AE223" s="1153">
        <v>50</v>
      </c>
      <c r="AF223" s="976"/>
      <c r="AG223" s="1153">
        <v>8</v>
      </c>
      <c r="AH223" s="1153">
        <v>46</v>
      </c>
      <c r="AI223" s="976">
        <v>1.2</v>
      </c>
      <c r="AJ223" s="976">
        <v>13.7</v>
      </c>
      <c r="AK223" s="976"/>
      <c r="AL223" s="976">
        <v>2.2000000000000002</v>
      </c>
      <c r="AM223" s="976">
        <v>12.6</v>
      </c>
      <c r="AN223" s="1154">
        <v>16</v>
      </c>
    </row>
    <row r="224" spans="2:40" x14ac:dyDescent="0.2">
      <c r="B224" s="994"/>
      <c r="C224" s="1108"/>
      <c r="D224" s="952"/>
      <c r="E224" s="1121"/>
      <c r="F224" s="1121"/>
      <c r="G224" s="1121"/>
      <c r="H224" s="1121"/>
      <c r="I224" s="1121"/>
      <c r="J224" s="1121"/>
      <c r="K224" s="1121"/>
      <c r="L224" s="1121"/>
      <c r="M224" s="1121"/>
      <c r="N224" s="1121"/>
      <c r="O224" s="1121"/>
      <c r="P224" s="942"/>
      <c r="Q224" s="944"/>
      <c r="R224" s="944"/>
      <c r="S224" s="944"/>
      <c r="T224" s="943"/>
      <c r="U224" s="943"/>
      <c r="V224" s="943"/>
      <c r="W224" s="943"/>
      <c r="X224" s="943"/>
      <c r="Y224" s="943"/>
      <c r="Z224" s="1116"/>
      <c r="AA224" s="946"/>
      <c r="AB224" s="946"/>
      <c r="AC224" s="946"/>
      <c r="AD224" s="1082"/>
      <c r="AE224" s="1046"/>
      <c r="AF224" s="1046"/>
      <c r="AG224" s="1046"/>
      <c r="AH224" s="1046"/>
      <c r="AI224" s="1046"/>
      <c r="AJ224" s="1046"/>
      <c r="AK224" s="1046"/>
      <c r="AL224" s="1046"/>
      <c r="AM224" s="1046"/>
      <c r="AN224" s="1040"/>
    </row>
    <row r="225" spans="2:40" x14ac:dyDescent="0.2">
      <c r="B225" s="994"/>
      <c r="C225" s="1108"/>
      <c r="D225" s="952"/>
      <c r="E225" s="1121"/>
      <c r="F225" s="1121"/>
      <c r="G225" s="1121"/>
      <c r="H225" s="1121"/>
      <c r="I225" s="624"/>
      <c r="J225" s="624"/>
      <c r="K225" s="624"/>
      <c r="L225" s="624"/>
      <c r="M225" s="624"/>
      <c r="N225" s="624"/>
      <c r="O225" s="956"/>
      <c r="P225" s="945"/>
      <c r="Q225" s="946"/>
      <c r="R225" s="946"/>
      <c r="S225" s="946"/>
      <c r="T225" s="945"/>
      <c r="U225" s="945"/>
      <c r="V225" s="945"/>
      <c r="W225" s="945"/>
      <c r="X225" s="945"/>
      <c r="Y225" s="945"/>
      <c r="Z225" s="948"/>
      <c r="AA225" s="946"/>
      <c r="AB225" s="946"/>
      <c r="AC225" s="946"/>
      <c r="AD225" s="1083"/>
      <c r="AE225" s="1047"/>
      <c r="AF225" s="1047"/>
      <c r="AG225" s="1047"/>
      <c r="AH225" s="1047"/>
      <c r="AI225" s="1047"/>
      <c r="AJ225" s="1047"/>
      <c r="AK225" s="1047"/>
      <c r="AL225" s="1047"/>
      <c r="AM225" s="1047"/>
      <c r="AN225" s="1044"/>
    </row>
    <row r="226" spans="2:40" x14ac:dyDescent="0.2">
      <c r="B226" s="994"/>
      <c r="C226" s="1108"/>
      <c r="D226" s="952"/>
      <c r="E226" s="1121"/>
      <c r="F226" s="1121"/>
      <c r="G226" s="1121"/>
      <c r="H226" s="1121"/>
      <c r="I226" s="1121"/>
      <c r="J226" s="1121"/>
      <c r="K226" s="1121"/>
      <c r="L226" s="1121"/>
      <c r="M226" s="1121"/>
      <c r="N226" s="1121"/>
      <c r="O226" s="1121"/>
      <c r="P226" s="957"/>
      <c r="Q226" s="946"/>
      <c r="R226" s="946"/>
      <c r="S226" s="946"/>
      <c r="T226" s="945"/>
      <c r="U226" s="945"/>
      <c r="V226" s="945"/>
      <c r="W226" s="945"/>
      <c r="X226" s="945"/>
      <c r="Y226" s="945"/>
      <c r="Z226" s="948"/>
      <c r="AA226" s="946"/>
      <c r="AB226" s="946"/>
      <c r="AC226" s="946"/>
      <c r="AD226" s="1083"/>
      <c r="AE226" s="1047"/>
      <c r="AF226" s="1047"/>
      <c r="AG226" s="1047"/>
      <c r="AH226" s="1047"/>
      <c r="AI226" s="1047"/>
      <c r="AJ226" s="1047"/>
      <c r="AK226" s="1047"/>
      <c r="AL226" s="1047"/>
      <c r="AM226" s="1047"/>
      <c r="AN226" s="1044"/>
    </row>
    <row r="227" spans="2:40" x14ac:dyDescent="0.2">
      <c r="B227" s="994"/>
      <c r="C227" s="1108"/>
      <c r="D227" s="952"/>
      <c r="E227" s="1121"/>
      <c r="F227" s="1121"/>
      <c r="G227" s="1121"/>
      <c r="H227" s="1121"/>
      <c r="I227" s="1121"/>
      <c r="J227" s="1121"/>
      <c r="K227" s="1121"/>
      <c r="L227" s="1121"/>
      <c r="M227" s="1121"/>
      <c r="N227" s="1121"/>
      <c r="O227" s="1121"/>
      <c r="P227" s="957"/>
      <c r="Q227" s="946"/>
      <c r="R227" s="946"/>
      <c r="S227" s="946"/>
      <c r="T227" s="945"/>
      <c r="U227" s="945"/>
      <c r="V227" s="945"/>
      <c r="W227" s="945"/>
      <c r="X227" s="945"/>
      <c r="Y227" s="945"/>
      <c r="Z227" s="948"/>
      <c r="AA227" s="946"/>
      <c r="AB227" s="946"/>
      <c r="AC227" s="946"/>
      <c r="AD227" s="1083"/>
      <c r="AE227" s="1047"/>
      <c r="AF227" s="1047"/>
      <c r="AG227" s="1047"/>
      <c r="AH227" s="1047"/>
      <c r="AI227" s="1047"/>
      <c r="AJ227" s="1047"/>
      <c r="AK227" s="1047"/>
      <c r="AL227" s="1047"/>
      <c r="AM227" s="1047"/>
      <c r="AN227" s="1044"/>
    </row>
    <row r="228" spans="2:40" x14ac:dyDescent="0.2">
      <c r="B228" s="994"/>
      <c r="C228" s="1108"/>
      <c r="D228" s="952"/>
      <c r="E228" s="1121"/>
      <c r="F228" s="1121"/>
      <c r="G228" s="1121"/>
      <c r="H228" s="1121"/>
      <c r="I228" s="1121"/>
      <c r="J228" s="1121"/>
      <c r="K228" s="1121"/>
      <c r="L228" s="1121"/>
      <c r="M228" s="1121"/>
      <c r="N228" s="1121"/>
      <c r="O228" s="1121"/>
      <c r="P228" s="957"/>
      <c r="Q228" s="946"/>
      <c r="R228" s="946"/>
      <c r="S228" s="946"/>
      <c r="T228" s="945"/>
      <c r="U228" s="945"/>
      <c r="V228" s="945"/>
      <c r="W228" s="945"/>
      <c r="X228" s="945"/>
      <c r="Y228" s="945"/>
      <c r="Z228" s="948"/>
      <c r="AA228" s="946"/>
      <c r="AB228" s="946"/>
      <c r="AC228" s="946"/>
      <c r="AD228" s="1083"/>
      <c r="AE228" s="1047"/>
      <c r="AF228" s="1047"/>
      <c r="AG228" s="1047"/>
      <c r="AH228" s="1047"/>
      <c r="AI228" s="1047"/>
      <c r="AJ228" s="1047"/>
      <c r="AK228" s="1047"/>
      <c r="AL228" s="1047"/>
      <c r="AM228" s="1047"/>
      <c r="AN228" s="1044"/>
    </row>
    <row r="229" spans="2:40" x14ac:dyDescent="0.2">
      <c r="B229" s="994"/>
      <c r="C229" s="1108"/>
      <c r="D229" s="952"/>
      <c r="E229" s="1121"/>
      <c r="F229" s="1121"/>
      <c r="G229" s="1121"/>
      <c r="H229" s="1121"/>
      <c r="I229" s="1121"/>
      <c r="J229" s="1121"/>
      <c r="K229" s="1121"/>
      <c r="L229" s="1121"/>
      <c r="M229" s="1121"/>
      <c r="N229" s="1121"/>
      <c r="O229" s="1121"/>
      <c r="P229" s="957"/>
      <c r="Q229" s="946"/>
      <c r="R229" s="946"/>
      <c r="S229" s="946"/>
      <c r="T229" s="945"/>
      <c r="U229" s="945"/>
      <c r="V229" s="945"/>
      <c r="W229" s="945"/>
      <c r="X229" s="945"/>
      <c r="Y229" s="945"/>
      <c r="Z229" s="948"/>
      <c r="AA229" s="946"/>
      <c r="AB229" s="946"/>
      <c r="AC229" s="946"/>
      <c r="AD229" s="1083"/>
      <c r="AE229" s="1047"/>
      <c r="AF229" s="1047"/>
      <c r="AG229" s="1047"/>
      <c r="AH229" s="1047"/>
      <c r="AI229" s="1047"/>
      <c r="AJ229" s="1047"/>
      <c r="AK229" s="1047"/>
      <c r="AL229" s="1047"/>
      <c r="AM229" s="1047"/>
      <c r="AN229" s="1044"/>
    </row>
    <row r="230" spans="2:40" x14ac:dyDescent="0.2">
      <c r="B230" s="1010"/>
      <c r="C230" s="1110"/>
      <c r="D230" s="1191"/>
      <c r="E230" s="1130"/>
      <c r="F230" s="1130"/>
      <c r="G230" s="1130"/>
      <c r="H230" s="1130"/>
      <c r="I230" s="1130"/>
      <c r="J230" s="1130"/>
      <c r="K230" s="1130"/>
      <c r="L230" s="1130"/>
      <c r="M230" s="1130"/>
      <c r="N230" s="1130"/>
      <c r="O230" s="1130"/>
      <c r="P230" s="968"/>
      <c r="Q230" s="970"/>
      <c r="R230" s="970"/>
      <c r="S230" s="970"/>
      <c r="T230" s="969"/>
      <c r="U230" s="969"/>
      <c r="V230" s="969"/>
      <c r="W230" s="969"/>
      <c r="X230" s="969"/>
      <c r="Y230" s="969"/>
      <c r="Z230" s="972"/>
      <c r="AA230" s="970"/>
      <c r="AB230" s="970"/>
      <c r="AC230" s="970"/>
      <c r="AD230" s="1087"/>
      <c r="AE230" s="1058"/>
      <c r="AF230" s="1058"/>
      <c r="AG230" s="1058"/>
      <c r="AH230" s="1058"/>
      <c r="AI230" s="1058"/>
      <c r="AJ230" s="1058"/>
      <c r="AK230" s="1058"/>
      <c r="AL230" s="1058"/>
      <c r="AM230" s="1058"/>
      <c r="AN230" s="1093"/>
    </row>
  </sheetData>
  <sheetProtection algorithmName="SHA-512" hashValue="ldmSShv0XxogIgmLho4rbooz0aJ8CreXaueugi66VOz8c6Brxm4XPsG70xXPDbY/WK28tBHhJM9taggg2GchQw==" saltValue="7FS2cjwmkhYkc2yosTwGwQ==" spinCount="100000" sheet="1" formatCells="0" formatColumns="0" formatRows="0" insertColumns="0" insertRows="0" insertHyperlinks="0" deleteColumns="0" deleteRows="0" sort="0" autoFilter="0" pivotTables="0"/>
  <mergeCells count="254">
    <mergeCell ref="B2:AN2"/>
    <mergeCell ref="AN177:AN178"/>
    <mergeCell ref="AN6:AN7"/>
    <mergeCell ref="AD5:AN5"/>
    <mergeCell ref="B211:B220"/>
    <mergeCell ref="B181:B190"/>
    <mergeCell ref="AD177:AH177"/>
    <mergeCell ref="AI177:AM177"/>
    <mergeCell ref="E178:F178"/>
    <mergeCell ref="J178:K178"/>
    <mergeCell ref="R178:T178"/>
    <mergeCell ref="U178:W178"/>
    <mergeCell ref="X178:Z178"/>
    <mergeCell ref="AA178:AA180"/>
    <mergeCell ref="AB178:AB180"/>
    <mergeCell ref="E179:E180"/>
    <mergeCell ref="F179:F180"/>
    <mergeCell ref="G179:H180"/>
    <mergeCell ref="I179:I180"/>
    <mergeCell ref="L179:L180"/>
    <mergeCell ref="M179:O180"/>
    <mergeCell ref="P179:P180"/>
    <mergeCell ref="Q179:Q180"/>
    <mergeCell ref="T179:Z179"/>
    <mergeCell ref="AC179:AC180"/>
    <mergeCell ref="AD179:AD180"/>
    <mergeCell ref="AE179:AH179"/>
    <mergeCell ref="AI179:AI180"/>
    <mergeCell ref="AJ179:AM179"/>
    <mergeCell ref="B167:B176"/>
    <mergeCell ref="B177:B180"/>
    <mergeCell ref="C177:C180"/>
    <mergeCell ref="D177:F177"/>
    <mergeCell ref="J177:O177"/>
    <mergeCell ref="P177:Z177"/>
    <mergeCell ref="AA177:AB177"/>
    <mergeCell ref="AC177:AC178"/>
    <mergeCell ref="D179:D180"/>
    <mergeCell ref="R180:Z180"/>
    <mergeCell ref="AE180:AH180"/>
    <mergeCell ref="AJ180:AM180"/>
    <mergeCell ref="G177:I178"/>
    <mergeCell ref="J179:J180"/>
    <mergeCell ref="K179:K180"/>
    <mergeCell ref="D127:F136"/>
    <mergeCell ref="D111:F111"/>
    <mergeCell ref="D112:F112"/>
    <mergeCell ref="D113:F113"/>
    <mergeCell ref="D114:F114"/>
    <mergeCell ref="B127:B136"/>
    <mergeCell ref="D115:F115"/>
    <mergeCell ref="B107:B116"/>
    <mergeCell ref="D110:F110"/>
    <mergeCell ref="D109:F109"/>
    <mergeCell ref="J63:K63"/>
    <mergeCell ref="I66:I67"/>
    <mergeCell ref="E71:F71"/>
    <mergeCell ref="B103:B106"/>
    <mergeCell ref="C103:C106"/>
    <mergeCell ref="L105:L106"/>
    <mergeCell ref="D81:F90"/>
    <mergeCell ref="D91:F100"/>
    <mergeCell ref="D103:F104"/>
    <mergeCell ref="E67:F67"/>
    <mergeCell ref="D64:D66"/>
    <mergeCell ref="G103:I104"/>
    <mergeCell ref="C64:C67"/>
    <mergeCell ref="J65:K65"/>
    <mergeCell ref="J66:J67"/>
    <mergeCell ref="AD105:AD106"/>
    <mergeCell ref="AE105:AH105"/>
    <mergeCell ref="AI105:AI106"/>
    <mergeCell ref="AJ105:AM105"/>
    <mergeCell ref="AE106:AH106"/>
    <mergeCell ref="AJ106:AM106"/>
    <mergeCell ref="M66:O67"/>
    <mergeCell ref="K66:K67"/>
    <mergeCell ref="AC66:AC67"/>
    <mergeCell ref="M105:O106"/>
    <mergeCell ref="T105:Z105"/>
    <mergeCell ref="R106:Z106"/>
    <mergeCell ref="L66:L67"/>
    <mergeCell ref="G8:H9"/>
    <mergeCell ref="J21:K21"/>
    <mergeCell ref="J22:K22"/>
    <mergeCell ref="J23:K23"/>
    <mergeCell ref="J24:K24"/>
    <mergeCell ref="I8:I9"/>
    <mergeCell ref="J6:O6"/>
    <mergeCell ref="J7:K7"/>
    <mergeCell ref="B62:B63"/>
    <mergeCell ref="D22:F31"/>
    <mergeCell ref="D32:F41"/>
    <mergeCell ref="D42:F51"/>
    <mergeCell ref="D52:F61"/>
    <mergeCell ref="J61:K61"/>
    <mergeCell ref="B32:B41"/>
    <mergeCell ref="B42:B51"/>
    <mergeCell ref="B52:B61"/>
    <mergeCell ref="B22:B31"/>
    <mergeCell ref="J62:K62"/>
    <mergeCell ref="J36:K36"/>
    <mergeCell ref="J37:K37"/>
    <mergeCell ref="J42:K42"/>
    <mergeCell ref="J43:K43"/>
    <mergeCell ref="J44:K44"/>
    <mergeCell ref="J45:K45"/>
    <mergeCell ref="J25:K25"/>
    <mergeCell ref="J40:K40"/>
    <mergeCell ref="J32:K32"/>
    <mergeCell ref="J33:K33"/>
    <mergeCell ref="J34:K34"/>
    <mergeCell ref="J56:K56"/>
    <mergeCell ref="J35:K35"/>
    <mergeCell ref="J60:K60"/>
    <mergeCell ref="J53:K53"/>
    <mergeCell ref="J29:K29"/>
    <mergeCell ref="J30:K30"/>
    <mergeCell ref="J38:K38"/>
    <mergeCell ref="J26:K26"/>
    <mergeCell ref="J27:K27"/>
    <mergeCell ref="J28:K28"/>
    <mergeCell ref="J49:K49"/>
    <mergeCell ref="J31:K31"/>
    <mergeCell ref="J50:K50"/>
    <mergeCell ref="J41:K41"/>
    <mergeCell ref="J20:K20"/>
    <mergeCell ref="J39:K39"/>
    <mergeCell ref="R7:T7"/>
    <mergeCell ref="J16:K16"/>
    <mergeCell ref="J17:K17"/>
    <mergeCell ref="J18:K18"/>
    <mergeCell ref="J19:K19"/>
    <mergeCell ref="J12:K12"/>
    <mergeCell ref="J13:K13"/>
    <mergeCell ref="J14:K14"/>
    <mergeCell ref="J15:K15"/>
    <mergeCell ref="Q8:Q9"/>
    <mergeCell ref="R9:Z9"/>
    <mergeCell ref="P8:P9"/>
    <mergeCell ref="M8:O9"/>
    <mergeCell ref="U7:W7"/>
    <mergeCell ref="X7:Z7"/>
    <mergeCell ref="T8:Z8"/>
    <mergeCell ref="L8:L9"/>
    <mergeCell ref="J8:K9"/>
    <mergeCell ref="P5:Z5"/>
    <mergeCell ref="AA5:AC5"/>
    <mergeCell ref="J64:O64"/>
    <mergeCell ref="J103:O103"/>
    <mergeCell ref="AA103:AB103"/>
    <mergeCell ref="AC103:AC104"/>
    <mergeCell ref="AA104:AA106"/>
    <mergeCell ref="AB104:AB106"/>
    <mergeCell ref="AC105:AC106"/>
    <mergeCell ref="AA64:AB64"/>
    <mergeCell ref="AC64:AC65"/>
    <mergeCell ref="AA65:AA67"/>
    <mergeCell ref="AB65:AB67"/>
    <mergeCell ref="P6:Z6"/>
    <mergeCell ref="J59:K59"/>
    <mergeCell ref="J57:K57"/>
    <mergeCell ref="J58:K58"/>
    <mergeCell ref="J51:K51"/>
    <mergeCell ref="J52:K52"/>
    <mergeCell ref="J54:K54"/>
    <mergeCell ref="J55:K55"/>
    <mergeCell ref="J46:K46"/>
    <mergeCell ref="J47:K47"/>
    <mergeCell ref="J48:K48"/>
    <mergeCell ref="AI6:AM6"/>
    <mergeCell ref="AI8:AI9"/>
    <mergeCell ref="AJ8:AM8"/>
    <mergeCell ref="AJ9:AM9"/>
    <mergeCell ref="B10:B21"/>
    <mergeCell ref="AA6:AB6"/>
    <mergeCell ref="AC6:AC7"/>
    <mergeCell ref="AA7:AA9"/>
    <mergeCell ref="AB7:AB9"/>
    <mergeCell ref="AC8:AC9"/>
    <mergeCell ref="AD6:AH6"/>
    <mergeCell ref="AD8:AD9"/>
    <mergeCell ref="AE9:AH9"/>
    <mergeCell ref="AE8:AH8"/>
    <mergeCell ref="E7:F7"/>
    <mergeCell ref="D6:F6"/>
    <mergeCell ref="E8:E9"/>
    <mergeCell ref="F8:F9"/>
    <mergeCell ref="D8:D9"/>
    <mergeCell ref="B5:B9"/>
    <mergeCell ref="C5:C9"/>
    <mergeCell ref="D5:O5"/>
    <mergeCell ref="G12:I21"/>
    <mergeCell ref="G6:I7"/>
    <mergeCell ref="B221:B230"/>
    <mergeCell ref="B191:B200"/>
    <mergeCell ref="B201:B210"/>
    <mergeCell ref="B147:B156"/>
    <mergeCell ref="B157:B166"/>
    <mergeCell ref="B68:B80"/>
    <mergeCell ref="E72:F72"/>
    <mergeCell ref="B117:B126"/>
    <mergeCell ref="P103:W103"/>
    <mergeCell ref="R104:T104"/>
    <mergeCell ref="U104:W104"/>
    <mergeCell ref="G71:I80"/>
    <mergeCell ref="D117:F117"/>
    <mergeCell ref="D118:F126"/>
    <mergeCell ref="B81:B90"/>
    <mergeCell ref="B91:B100"/>
    <mergeCell ref="E73:F73"/>
    <mergeCell ref="J104:K104"/>
    <mergeCell ref="E80:F80"/>
    <mergeCell ref="E74:F74"/>
    <mergeCell ref="E75:F75"/>
    <mergeCell ref="B101:B102"/>
    <mergeCell ref="E76:F76"/>
    <mergeCell ref="E77:F77"/>
    <mergeCell ref="B137:B146"/>
    <mergeCell ref="P105:P106"/>
    <mergeCell ref="X104:Z104"/>
    <mergeCell ref="G105:H106"/>
    <mergeCell ref="G64:I65"/>
    <mergeCell ref="G66:H67"/>
    <mergeCell ref="Q105:Q106"/>
    <mergeCell ref="I105:I106"/>
    <mergeCell ref="J105:J106"/>
    <mergeCell ref="K105:K106"/>
    <mergeCell ref="R67:Z67"/>
    <mergeCell ref="P64:W64"/>
    <mergeCell ref="R65:T65"/>
    <mergeCell ref="E64:F66"/>
    <mergeCell ref="U65:W65"/>
    <mergeCell ref="Q66:Q67"/>
    <mergeCell ref="T66:Z66"/>
    <mergeCell ref="P66:P67"/>
    <mergeCell ref="X65:Z65"/>
    <mergeCell ref="E78:F78"/>
    <mergeCell ref="E79:F79"/>
    <mergeCell ref="D105:F106"/>
    <mergeCell ref="B64:B67"/>
    <mergeCell ref="D116:F116"/>
    <mergeCell ref="AN103:AN104"/>
    <mergeCell ref="AN64:AN65"/>
    <mergeCell ref="AI64:AM64"/>
    <mergeCell ref="AD66:AD67"/>
    <mergeCell ref="AE66:AH66"/>
    <mergeCell ref="AI66:AI67"/>
    <mergeCell ref="AJ66:AM66"/>
    <mergeCell ref="AE67:AH67"/>
    <mergeCell ref="AJ67:AM67"/>
    <mergeCell ref="AD64:AH64"/>
    <mergeCell ref="AD103:AH103"/>
    <mergeCell ref="AI103:AM10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W306"/>
  <sheetViews>
    <sheetView zoomScaleNormal="100" workbookViewId="0">
      <pane ySplit="10" topLeftCell="A11" activePane="bottomLeft" state="frozen"/>
      <selection pane="bottomLeft" activeCell="AD31" sqref="AD31"/>
    </sheetView>
  </sheetViews>
  <sheetFormatPr defaultColWidth="8.7109375" defaultRowHeight="11.25" x14ac:dyDescent="0.2"/>
  <cols>
    <col min="1" max="1" width="2.5703125" style="1" customWidth="1"/>
    <col min="2" max="2" width="8.7109375" style="1"/>
    <col min="3" max="3" width="26.5703125" style="1" customWidth="1"/>
    <col min="4" max="4" width="9.42578125" style="1" customWidth="1"/>
    <col min="5" max="5" width="8.28515625" style="1" customWidth="1"/>
    <col min="6" max="6" width="8.42578125" style="1" customWidth="1"/>
    <col min="7" max="8" width="8.7109375" style="1"/>
    <col min="9" max="9" width="14.28515625" style="1" customWidth="1"/>
    <col min="10" max="10" width="13.5703125" style="1" hidden="1" customWidth="1"/>
    <col min="11" max="11" width="14.28515625" style="1" customWidth="1"/>
    <col min="12" max="12" width="10.28515625" style="1" customWidth="1"/>
    <col min="13" max="13" width="1.7109375" style="1" customWidth="1"/>
    <col min="14" max="14" width="67.42578125" style="1" customWidth="1"/>
    <col min="15" max="17" width="10.7109375" style="1" customWidth="1"/>
    <col min="18" max="19" width="8.7109375" style="1" customWidth="1"/>
    <col min="20" max="20" width="11.28515625" style="1" customWidth="1"/>
    <col min="21" max="21" width="9.28515625" style="1" customWidth="1"/>
    <col min="22" max="25" width="8.7109375" style="1" customWidth="1"/>
    <col min="26" max="26" width="1.7109375" style="1" customWidth="1"/>
    <col min="27" max="28" width="13.140625" style="1" customWidth="1"/>
    <col min="29" max="29" width="20.5703125" style="1" customWidth="1"/>
    <col min="30" max="31" width="8.7109375" style="1" customWidth="1"/>
    <col min="32" max="35" width="10.42578125" style="1" customWidth="1"/>
    <col min="36" max="36" width="14.85546875" style="1" customWidth="1"/>
    <col min="37" max="38" width="10.42578125" style="1" customWidth="1"/>
    <col min="39" max="39" width="11.140625" style="1" customWidth="1"/>
    <col min="40" max="40" width="11.140625" style="1" hidden="1" customWidth="1"/>
    <col min="41" max="42" width="8.7109375" style="1" customWidth="1"/>
    <col min="43" max="43" width="8.7109375" style="1"/>
    <col min="44" max="44" width="11.5703125" style="1" customWidth="1"/>
    <col min="45" max="45" width="8" style="1" customWidth="1"/>
    <col min="46" max="46" width="8.42578125" style="1" customWidth="1"/>
    <col min="47" max="16384" width="8.7109375" style="1"/>
  </cols>
  <sheetData>
    <row r="4" spans="2:47" ht="11.25" customHeight="1" thickBot="1" x14ac:dyDescent="0.25"/>
    <row r="5" spans="2:47" ht="11.25" customHeight="1" x14ac:dyDescent="0.2">
      <c r="B5" s="785" t="s">
        <v>93</v>
      </c>
      <c r="C5" s="726" t="s">
        <v>112</v>
      </c>
      <c r="D5" s="726"/>
      <c r="E5" s="726"/>
      <c r="F5" s="726"/>
      <c r="G5" s="726"/>
      <c r="H5" s="726"/>
      <c r="I5" s="726"/>
      <c r="J5" s="726"/>
      <c r="K5" s="726"/>
      <c r="L5" s="727"/>
      <c r="N5" s="793" t="s">
        <v>118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1"/>
      <c r="AA5" s="657" t="s">
        <v>118</v>
      </c>
      <c r="AB5" s="658"/>
      <c r="AC5" s="658"/>
      <c r="AD5" s="658"/>
      <c r="AE5" s="658"/>
      <c r="AF5" s="658"/>
      <c r="AG5" s="658"/>
      <c r="AH5" s="658"/>
      <c r="AI5" s="658"/>
      <c r="AJ5" s="658"/>
      <c r="AK5" s="658"/>
      <c r="AL5" s="658"/>
      <c r="AM5" s="658"/>
      <c r="AN5" s="658"/>
      <c r="AO5" s="658"/>
      <c r="AP5" s="658"/>
      <c r="AQ5" s="658"/>
      <c r="AR5" s="801"/>
      <c r="AT5" s="793" t="s">
        <v>118</v>
      </c>
      <c r="AU5" s="711"/>
    </row>
    <row r="6" spans="2:47" ht="11.25" customHeight="1" thickBot="1" x14ac:dyDescent="0.25">
      <c r="B6" s="786"/>
      <c r="C6" s="788" t="s">
        <v>111</v>
      </c>
      <c r="D6" s="647" t="s">
        <v>53</v>
      </c>
      <c r="E6" s="647" t="s">
        <v>68</v>
      </c>
      <c r="F6" s="647" t="s">
        <v>9</v>
      </c>
      <c r="G6" s="647" t="s">
        <v>11</v>
      </c>
      <c r="H6" s="647" t="s">
        <v>12</v>
      </c>
      <c r="I6" s="647" t="s">
        <v>95</v>
      </c>
      <c r="J6" s="647"/>
      <c r="K6" s="647"/>
      <c r="L6" s="648"/>
      <c r="N6" s="795" t="s">
        <v>96</v>
      </c>
      <c r="O6" s="796"/>
      <c r="P6" s="796"/>
      <c r="Q6" s="796"/>
      <c r="R6" s="797"/>
      <c r="S6" s="797"/>
      <c r="T6" s="797"/>
      <c r="U6" s="797"/>
      <c r="V6" s="797"/>
      <c r="W6" s="796"/>
      <c r="X6" s="796"/>
      <c r="Y6" s="798"/>
      <c r="Z6" s="83"/>
      <c r="AA6" s="663" t="s">
        <v>121</v>
      </c>
      <c r="AB6" s="664"/>
      <c r="AC6" s="664"/>
      <c r="AD6" s="664"/>
      <c r="AE6" s="664"/>
      <c r="AF6" s="664"/>
      <c r="AG6" s="664"/>
      <c r="AH6" s="661"/>
      <c r="AI6" s="661"/>
      <c r="AJ6" s="661"/>
      <c r="AK6" s="661"/>
      <c r="AL6" s="661"/>
      <c r="AM6" s="661"/>
      <c r="AN6" s="661"/>
      <c r="AO6" s="664"/>
      <c r="AP6" s="664"/>
      <c r="AQ6" s="664"/>
      <c r="AR6" s="721"/>
      <c r="AT6" s="795" t="s">
        <v>56</v>
      </c>
      <c r="AU6" s="798"/>
    </row>
    <row r="7" spans="2:47" ht="11.25" customHeight="1" thickBot="1" x14ac:dyDescent="0.25">
      <c r="B7" s="786"/>
      <c r="C7" s="788"/>
      <c r="D7" s="647"/>
      <c r="E7" s="647"/>
      <c r="F7" s="647"/>
      <c r="G7" s="647"/>
      <c r="H7" s="647"/>
      <c r="I7" s="752" t="s">
        <v>107</v>
      </c>
      <c r="J7" s="752" t="s">
        <v>108</v>
      </c>
      <c r="K7" s="752" t="s">
        <v>109</v>
      </c>
      <c r="L7" s="791" t="s">
        <v>120</v>
      </c>
      <c r="N7" s="660" t="s">
        <v>94</v>
      </c>
      <c r="O7" s="657" t="s">
        <v>231</v>
      </c>
      <c r="P7" s="658"/>
      <c r="Q7" s="801"/>
      <c r="R7" s="657" t="s">
        <v>95</v>
      </c>
      <c r="S7" s="658"/>
      <c r="T7" s="658"/>
      <c r="U7" s="783" t="s">
        <v>239</v>
      </c>
      <c r="V7" s="727" t="s">
        <v>238</v>
      </c>
      <c r="W7" s="780" t="s">
        <v>139</v>
      </c>
      <c r="X7" s="780"/>
      <c r="Y7" s="723"/>
      <c r="AA7" s="694" t="s">
        <v>57</v>
      </c>
      <c r="AB7" s="695" t="s">
        <v>111</v>
      </c>
      <c r="AC7" s="660" t="s">
        <v>122</v>
      </c>
      <c r="AD7" s="802" t="s">
        <v>166</v>
      </c>
      <c r="AE7" s="639"/>
      <c r="AF7" s="639"/>
      <c r="AG7" s="639"/>
      <c r="AH7" s="803" t="s">
        <v>248</v>
      </c>
      <c r="AI7" s="726"/>
      <c r="AJ7" s="726"/>
      <c r="AK7" s="726"/>
      <c r="AL7" s="726"/>
      <c r="AM7" s="727"/>
      <c r="AN7" s="514"/>
      <c r="AO7" s="793" t="s">
        <v>143</v>
      </c>
      <c r="AP7" s="710"/>
      <c r="AQ7" s="711"/>
      <c r="AR7" s="697" t="s">
        <v>145</v>
      </c>
      <c r="AT7" s="807" t="s">
        <v>166</v>
      </c>
      <c r="AU7" s="808"/>
    </row>
    <row r="8" spans="2:47" ht="11.25" customHeight="1" thickBot="1" x14ac:dyDescent="0.25">
      <c r="B8" s="786"/>
      <c r="C8" s="788"/>
      <c r="D8" s="647" t="s">
        <v>113</v>
      </c>
      <c r="E8" s="647"/>
      <c r="F8" s="647"/>
      <c r="G8" s="647"/>
      <c r="H8" s="647"/>
      <c r="I8" s="752"/>
      <c r="J8" s="752"/>
      <c r="K8" s="752"/>
      <c r="L8" s="791"/>
      <c r="N8" s="660"/>
      <c r="O8" s="794" t="s">
        <v>232</v>
      </c>
      <c r="P8" s="752" t="s">
        <v>233</v>
      </c>
      <c r="Q8" s="791" t="s">
        <v>293</v>
      </c>
      <c r="R8" s="794" t="s">
        <v>97</v>
      </c>
      <c r="S8" s="647" t="s">
        <v>147</v>
      </c>
      <c r="T8" s="651" t="s">
        <v>119</v>
      </c>
      <c r="U8" s="752"/>
      <c r="V8" s="648"/>
      <c r="W8" s="781"/>
      <c r="X8" s="781"/>
      <c r="Y8" s="782"/>
      <c r="AA8" s="695"/>
      <c r="AB8" s="695"/>
      <c r="AC8" s="660"/>
      <c r="AD8" s="794" t="s">
        <v>123</v>
      </c>
      <c r="AE8" s="647" t="s">
        <v>124</v>
      </c>
      <c r="AF8" s="647" t="s">
        <v>119</v>
      </c>
      <c r="AG8" s="714" t="s">
        <v>68</v>
      </c>
      <c r="AH8" s="804" t="s">
        <v>249</v>
      </c>
      <c r="AI8" s="712" t="s">
        <v>251</v>
      </c>
      <c r="AJ8" s="712" t="s">
        <v>294</v>
      </c>
      <c r="AK8" s="712" t="s">
        <v>252</v>
      </c>
      <c r="AL8" s="712" t="s">
        <v>254</v>
      </c>
      <c r="AM8" s="805" t="s">
        <v>255</v>
      </c>
      <c r="AN8" s="516"/>
      <c r="AO8" s="794" t="s">
        <v>9</v>
      </c>
      <c r="AP8" s="647" t="s">
        <v>11</v>
      </c>
      <c r="AQ8" s="648" t="s">
        <v>12</v>
      </c>
      <c r="AR8" s="698"/>
      <c r="AT8" s="809" t="s">
        <v>123</v>
      </c>
      <c r="AU8" s="810" t="s">
        <v>124</v>
      </c>
    </row>
    <row r="9" spans="2:47" ht="11.25" customHeight="1" x14ac:dyDescent="0.25">
      <c r="B9" s="786"/>
      <c r="C9" s="788"/>
      <c r="D9" s="752" t="s">
        <v>225</v>
      </c>
      <c r="E9" s="645" t="s">
        <v>30</v>
      </c>
      <c r="F9" s="728" t="s">
        <v>88</v>
      </c>
      <c r="G9" s="714"/>
      <c r="H9" s="733"/>
      <c r="I9" s="753" t="s">
        <v>110</v>
      </c>
      <c r="J9" s="753"/>
      <c r="K9" s="753"/>
      <c r="L9" s="791"/>
      <c r="N9" s="660"/>
      <c r="O9" s="794"/>
      <c r="P9" s="752"/>
      <c r="Q9" s="791"/>
      <c r="R9" s="794"/>
      <c r="S9" s="647"/>
      <c r="T9" s="651"/>
      <c r="U9" s="752"/>
      <c r="V9" s="648"/>
      <c r="W9" s="799" t="s">
        <v>140</v>
      </c>
      <c r="X9" s="783" t="s">
        <v>138</v>
      </c>
      <c r="Y9" s="784"/>
      <c r="Z9" s="84"/>
      <c r="AA9" s="695"/>
      <c r="AB9" s="695"/>
      <c r="AC9" s="660"/>
      <c r="AD9" s="794"/>
      <c r="AE9" s="647"/>
      <c r="AF9" s="647"/>
      <c r="AG9" s="715"/>
      <c r="AH9" s="743"/>
      <c r="AI9" s="713"/>
      <c r="AJ9" s="713"/>
      <c r="AK9" s="713"/>
      <c r="AL9" s="713"/>
      <c r="AM9" s="806"/>
      <c r="AN9" s="517"/>
      <c r="AO9" s="794"/>
      <c r="AP9" s="647"/>
      <c r="AQ9" s="648"/>
      <c r="AR9" s="813"/>
      <c r="AT9" s="794"/>
      <c r="AU9" s="648"/>
    </row>
    <row r="10" spans="2:47" ht="11.25" customHeight="1" thickBot="1" x14ac:dyDescent="0.25">
      <c r="B10" s="787"/>
      <c r="C10" s="789"/>
      <c r="D10" s="790"/>
      <c r="E10" s="646"/>
      <c r="F10" s="800"/>
      <c r="G10" s="664"/>
      <c r="H10" s="665"/>
      <c r="I10" s="654" t="s">
        <v>45</v>
      </c>
      <c r="J10" s="654"/>
      <c r="K10" s="654"/>
      <c r="L10" s="792"/>
      <c r="N10" s="663"/>
      <c r="O10" s="744" t="s">
        <v>235</v>
      </c>
      <c r="P10" s="722"/>
      <c r="Q10" s="628" t="s">
        <v>244</v>
      </c>
      <c r="R10" s="663" t="s">
        <v>30</v>
      </c>
      <c r="S10" s="664"/>
      <c r="T10" s="664"/>
      <c r="U10" s="664"/>
      <c r="V10" s="721"/>
      <c r="W10" s="681"/>
      <c r="X10" s="626" t="s">
        <v>137</v>
      </c>
      <c r="Y10" s="627" t="s">
        <v>133</v>
      </c>
      <c r="AA10" s="696"/>
      <c r="AB10" s="695"/>
      <c r="AC10" s="660"/>
      <c r="AD10" s="744" t="s">
        <v>30</v>
      </c>
      <c r="AE10" s="736"/>
      <c r="AF10" s="736"/>
      <c r="AG10" s="736"/>
      <c r="AH10" s="513" t="s">
        <v>250</v>
      </c>
      <c r="AI10" s="512" t="s">
        <v>247</v>
      </c>
      <c r="AJ10" s="512" t="s">
        <v>250</v>
      </c>
      <c r="AK10" s="649" t="s">
        <v>253</v>
      </c>
      <c r="AL10" s="649"/>
      <c r="AM10" s="520" t="s">
        <v>256</v>
      </c>
      <c r="AN10" s="515"/>
      <c r="AO10" s="795" t="s">
        <v>30</v>
      </c>
      <c r="AP10" s="796"/>
      <c r="AQ10" s="796"/>
      <c r="AR10" s="798"/>
      <c r="AT10" s="811" t="s">
        <v>30</v>
      </c>
      <c r="AU10" s="812"/>
    </row>
    <row r="11" spans="2:47" ht="10.5" customHeight="1" thickBot="1" x14ac:dyDescent="0.25">
      <c r="B11" s="761" t="s">
        <v>98</v>
      </c>
      <c r="C11" s="178" t="s">
        <v>154</v>
      </c>
      <c r="D11" s="1198">
        <v>20.6</v>
      </c>
      <c r="E11" s="1199">
        <v>5.9</v>
      </c>
      <c r="F11" s="1198">
        <v>105</v>
      </c>
      <c r="G11" s="1198">
        <v>25</v>
      </c>
      <c r="H11" s="1198">
        <v>112</v>
      </c>
      <c r="I11" s="1120">
        <v>19.2</v>
      </c>
      <c r="J11" s="962"/>
      <c r="K11" s="1198"/>
      <c r="L11" s="1200">
        <v>1.0999999999999999E-2</v>
      </c>
      <c r="N11" s="149" t="s">
        <v>99</v>
      </c>
      <c r="O11" s="498">
        <v>8</v>
      </c>
      <c r="P11" s="163">
        <v>0.1</v>
      </c>
      <c r="Q11" s="130">
        <v>0.5</v>
      </c>
      <c r="R11" s="92">
        <v>10</v>
      </c>
      <c r="S11" s="192"/>
      <c r="T11" s="134"/>
      <c r="U11" s="435"/>
      <c r="V11" s="436"/>
      <c r="W11" s="99">
        <v>1</v>
      </c>
      <c r="X11" s="105"/>
      <c r="Y11" s="106"/>
      <c r="AA11" s="698" t="s">
        <v>221</v>
      </c>
      <c r="AB11" s="776" t="s">
        <v>129</v>
      </c>
      <c r="AC11" s="87" t="s">
        <v>125</v>
      </c>
      <c r="AD11" s="401">
        <v>2</v>
      </c>
      <c r="AE11" s="401">
        <v>0.1</v>
      </c>
      <c r="AF11" s="401"/>
      <c r="AG11" s="1236">
        <v>1</v>
      </c>
      <c r="AH11" s="1328">
        <v>3333</v>
      </c>
      <c r="AI11" s="1211">
        <v>3</v>
      </c>
      <c r="AJ11" s="401">
        <v>3000</v>
      </c>
      <c r="AK11" s="401">
        <v>0</v>
      </c>
      <c r="AL11" s="401">
        <v>100</v>
      </c>
      <c r="AM11" s="1329"/>
      <c r="AN11" s="1330">
        <f>IF(AC11="","",(AH11/AI11*(AK11-AL11)/1000)/AJ11)</f>
        <v>-3.7033333333333335E-2</v>
      </c>
      <c r="AO11" s="1331"/>
      <c r="AP11" s="1198"/>
      <c r="AQ11" s="1200"/>
      <c r="AR11" s="1332"/>
      <c r="AT11" s="1353">
        <v>1</v>
      </c>
      <c r="AU11" s="1354">
        <v>0.1</v>
      </c>
    </row>
    <row r="12" spans="2:47" ht="11.25" customHeight="1" x14ac:dyDescent="0.2">
      <c r="B12" s="761"/>
      <c r="C12" s="81" t="s">
        <v>152</v>
      </c>
      <c r="D12" s="1201">
        <v>18.2</v>
      </c>
      <c r="E12" s="165">
        <v>20.3</v>
      </c>
      <c r="F12" s="1201">
        <v>115</v>
      </c>
      <c r="G12" s="1201">
        <v>30</v>
      </c>
      <c r="H12" s="1201">
        <v>130</v>
      </c>
      <c r="I12" s="1201">
        <v>16.899999999999999</v>
      </c>
      <c r="J12" s="1202">
        <v>8.8000000000000007</v>
      </c>
      <c r="K12" s="1201">
        <v>2.9</v>
      </c>
      <c r="L12" s="1203">
        <v>0.23599999999999999</v>
      </c>
      <c r="N12" s="150" t="s">
        <v>100</v>
      </c>
      <c r="O12" s="145">
        <v>0</v>
      </c>
      <c r="P12" s="164">
        <v>0.1</v>
      </c>
      <c r="Q12" s="131">
        <v>2</v>
      </c>
      <c r="R12" s="93">
        <v>6</v>
      </c>
      <c r="S12" s="193"/>
      <c r="T12" s="135"/>
      <c r="U12" s="164"/>
      <c r="V12" s="131"/>
      <c r="W12" s="100">
        <v>2</v>
      </c>
      <c r="X12" s="103"/>
      <c r="Y12" s="107"/>
      <c r="AA12" s="698"/>
      <c r="AB12" s="777"/>
      <c r="AC12" s="88" t="s">
        <v>126</v>
      </c>
      <c r="AD12" s="165">
        <v>10</v>
      </c>
      <c r="AE12" s="165">
        <v>0.1</v>
      </c>
      <c r="AF12" s="165"/>
      <c r="AG12" s="132">
        <v>1</v>
      </c>
      <c r="AH12" s="147">
        <v>3333</v>
      </c>
      <c r="AI12" s="191">
        <v>3</v>
      </c>
      <c r="AJ12" s="165">
        <v>3000</v>
      </c>
      <c r="AK12" s="165">
        <v>600</v>
      </c>
      <c r="AL12" s="165">
        <v>300</v>
      </c>
      <c r="AM12" s="1333"/>
      <c r="AN12" s="1330">
        <f>IF(AC12="","",(AH12/AI12*(AK12-AL12)/1000)/AJ12)</f>
        <v>0.1111</v>
      </c>
      <c r="AO12" s="197"/>
      <c r="AP12" s="1201"/>
      <c r="AQ12" s="1203"/>
      <c r="AR12" s="1334"/>
      <c r="AU12" s="82"/>
    </row>
    <row r="13" spans="2:47" ht="11.25" customHeight="1" x14ac:dyDescent="0.2">
      <c r="B13" s="761"/>
      <c r="C13" s="206"/>
      <c r="D13" s="55"/>
      <c r="E13" s="55"/>
      <c r="F13" s="55"/>
      <c r="G13" s="55"/>
      <c r="H13" s="55"/>
      <c r="I13" s="55"/>
      <c r="J13" s="55"/>
      <c r="K13" s="55"/>
      <c r="L13" s="207"/>
      <c r="N13" s="150" t="s">
        <v>101</v>
      </c>
      <c r="O13" s="145">
        <v>0</v>
      </c>
      <c r="P13" s="164">
        <v>0.1</v>
      </c>
      <c r="Q13" s="131">
        <v>2</v>
      </c>
      <c r="R13" s="93">
        <v>20</v>
      </c>
      <c r="S13" s="193"/>
      <c r="T13" s="135"/>
      <c r="U13" s="164"/>
      <c r="V13" s="131"/>
      <c r="W13" s="100">
        <v>2</v>
      </c>
      <c r="X13" s="103"/>
      <c r="Y13" s="107"/>
      <c r="AA13" s="698"/>
      <c r="AB13" s="777"/>
      <c r="AC13" s="88" t="s">
        <v>135</v>
      </c>
      <c r="AD13" s="165">
        <v>3.8</v>
      </c>
      <c r="AE13" s="165">
        <v>0.1</v>
      </c>
      <c r="AF13" s="165"/>
      <c r="AG13" s="132">
        <v>1</v>
      </c>
      <c r="AH13" s="147">
        <v>3600</v>
      </c>
      <c r="AI13" s="191">
        <v>3</v>
      </c>
      <c r="AJ13" s="165">
        <v>3000</v>
      </c>
      <c r="AK13" s="165">
        <v>600</v>
      </c>
      <c r="AL13" s="165">
        <v>100</v>
      </c>
      <c r="AM13" s="1333"/>
      <c r="AN13" s="1330">
        <f>IF(AC13="","",(AH13/AI13*(AK13-AL13)/1000)/AJ13)</f>
        <v>0.2</v>
      </c>
      <c r="AO13" s="197"/>
      <c r="AP13" s="1201"/>
      <c r="AQ13" s="1203"/>
      <c r="AR13" s="1334"/>
    </row>
    <row r="14" spans="2:47" ht="11.25" customHeight="1" x14ac:dyDescent="0.2">
      <c r="B14" s="761"/>
      <c r="C14" s="206"/>
      <c r="D14" s="55"/>
      <c r="E14" s="55"/>
      <c r="F14" s="55"/>
      <c r="G14" s="55"/>
      <c r="H14" s="55"/>
      <c r="I14" s="55"/>
      <c r="J14" s="55"/>
      <c r="K14" s="55"/>
      <c r="L14" s="207"/>
      <c r="N14" s="150" t="s">
        <v>102</v>
      </c>
      <c r="O14" s="145">
        <v>0</v>
      </c>
      <c r="P14" s="164">
        <v>0.1</v>
      </c>
      <c r="Q14" s="131">
        <v>2</v>
      </c>
      <c r="R14" s="93">
        <v>12</v>
      </c>
      <c r="S14" s="193"/>
      <c r="T14" s="135"/>
      <c r="U14" s="164"/>
      <c r="V14" s="131"/>
      <c r="W14" s="100">
        <v>2</v>
      </c>
      <c r="X14" s="103"/>
      <c r="Y14" s="107"/>
      <c r="AA14" s="698"/>
      <c r="AB14" s="777"/>
      <c r="AC14" s="1262"/>
      <c r="AD14" s="165"/>
      <c r="AE14" s="165"/>
      <c r="AF14" s="165"/>
      <c r="AG14" s="132"/>
      <c r="AH14" s="147"/>
      <c r="AI14" s="191"/>
      <c r="AJ14" s="165"/>
      <c r="AK14" s="165"/>
      <c r="AL14" s="165"/>
      <c r="AM14" s="1333"/>
      <c r="AN14" s="1330" t="str">
        <f>IF(AC14="","",(AH14/AI14*(AK14-AL14)/1000)/AJ14)</f>
        <v/>
      </c>
      <c r="AO14" s="197"/>
      <c r="AP14" s="1201"/>
      <c r="AQ14" s="1203"/>
      <c r="AR14" s="1334"/>
    </row>
    <row r="15" spans="2:47" ht="11.25" customHeight="1" thickBot="1" x14ac:dyDescent="0.25">
      <c r="B15" s="761"/>
      <c r="C15" s="206"/>
      <c r="D15" s="55"/>
      <c r="E15" s="55"/>
      <c r="F15" s="55"/>
      <c r="G15" s="55"/>
      <c r="H15" s="55"/>
      <c r="I15" s="55"/>
      <c r="J15" s="55"/>
      <c r="K15" s="55"/>
      <c r="L15" s="207"/>
      <c r="N15" s="150" t="s">
        <v>103</v>
      </c>
      <c r="O15" s="145">
        <v>10</v>
      </c>
      <c r="P15" s="164">
        <v>0.2</v>
      </c>
      <c r="Q15" s="131">
        <v>0.1</v>
      </c>
      <c r="R15" s="93">
        <v>13.2</v>
      </c>
      <c r="S15" s="193">
        <v>1</v>
      </c>
      <c r="T15" s="135">
        <v>5</v>
      </c>
      <c r="U15" s="164">
        <v>40</v>
      </c>
      <c r="V15" s="131">
        <v>40</v>
      </c>
      <c r="W15" s="100">
        <v>3</v>
      </c>
      <c r="X15" s="103"/>
      <c r="Y15" s="107"/>
      <c r="AA15" s="698"/>
      <c r="AB15" s="777"/>
      <c r="AC15" s="1335"/>
      <c r="AD15" s="398"/>
      <c r="AE15" s="398"/>
      <c r="AF15" s="398"/>
      <c r="AG15" s="405"/>
      <c r="AH15" s="629"/>
      <c r="AI15" s="194"/>
      <c r="AJ15" s="398"/>
      <c r="AK15" s="398"/>
      <c r="AL15" s="398"/>
      <c r="AM15" s="1336"/>
      <c r="AN15" s="1330" t="str">
        <f>IF(AC15="","",(AH15/AI15*(AK15-AL15)/1000)/AJ15)</f>
        <v/>
      </c>
      <c r="AO15" s="198"/>
      <c r="AP15" s="1208"/>
      <c r="AQ15" s="1210"/>
      <c r="AR15" s="1334"/>
    </row>
    <row r="16" spans="2:47" ht="11.25" customHeight="1" x14ac:dyDescent="0.2">
      <c r="B16" s="761"/>
      <c r="C16" s="206"/>
      <c r="D16" s="55"/>
      <c r="E16" s="55"/>
      <c r="F16" s="55"/>
      <c r="G16" s="55"/>
      <c r="H16" s="55"/>
      <c r="I16" s="55"/>
      <c r="J16" s="55"/>
      <c r="K16" s="55"/>
      <c r="L16" s="207"/>
      <c r="N16" s="161" t="s">
        <v>104</v>
      </c>
      <c r="O16" s="147">
        <v>8</v>
      </c>
      <c r="P16" s="165">
        <v>0.2</v>
      </c>
      <c r="Q16" s="132">
        <v>0.1</v>
      </c>
      <c r="R16" s="94">
        <v>15.9</v>
      </c>
      <c r="S16" s="191">
        <v>1</v>
      </c>
      <c r="T16" s="136">
        <v>5</v>
      </c>
      <c r="U16" s="165">
        <v>40</v>
      </c>
      <c r="V16" s="132">
        <v>40</v>
      </c>
      <c r="W16" s="101">
        <v>4</v>
      </c>
      <c r="X16" s="104">
        <v>40</v>
      </c>
      <c r="Y16" s="108">
        <v>60</v>
      </c>
      <c r="AA16" s="698"/>
      <c r="AB16" s="778" t="s">
        <v>128</v>
      </c>
      <c r="AC16" s="87" t="s">
        <v>125</v>
      </c>
      <c r="AD16" s="401">
        <v>20</v>
      </c>
      <c r="AE16" s="401">
        <v>2</v>
      </c>
      <c r="AF16" s="401">
        <v>5</v>
      </c>
      <c r="AG16" s="1236">
        <v>5</v>
      </c>
      <c r="AH16" s="1337"/>
      <c r="AI16" s="1211">
        <v>1.75</v>
      </c>
      <c r="AJ16" s="401">
        <v>3000</v>
      </c>
      <c r="AK16" s="401">
        <v>0</v>
      </c>
      <c r="AL16" s="401">
        <v>100</v>
      </c>
      <c r="AM16" s="1236">
        <v>750</v>
      </c>
      <c r="AN16" s="1330">
        <f>IF(AC16="","",1000/AM16*(AJ16/AI16*(AK16-AL16)/1000)/AJ16)</f>
        <v>-7.6190476190476183E-2</v>
      </c>
      <c r="AO16" s="196"/>
      <c r="AP16" s="1204"/>
      <c r="AQ16" s="1207"/>
      <c r="AR16" s="1334"/>
    </row>
    <row r="17" spans="2:49" ht="11.25" customHeight="1" x14ac:dyDescent="0.2">
      <c r="B17" s="761"/>
      <c r="C17" s="206"/>
      <c r="D17" s="55"/>
      <c r="E17" s="55"/>
      <c r="F17" s="55"/>
      <c r="G17" s="55"/>
      <c r="H17" s="55"/>
      <c r="I17" s="55"/>
      <c r="J17" s="55"/>
      <c r="K17" s="55"/>
      <c r="L17" s="207"/>
      <c r="N17" s="161" t="s">
        <v>105</v>
      </c>
      <c r="O17" s="147">
        <v>8</v>
      </c>
      <c r="P17" s="165">
        <v>0.2</v>
      </c>
      <c r="Q17" s="132">
        <v>0.1</v>
      </c>
      <c r="R17" s="94">
        <v>11.1</v>
      </c>
      <c r="S17" s="191">
        <v>1</v>
      </c>
      <c r="T17" s="136">
        <v>5</v>
      </c>
      <c r="U17" s="165">
        <v>40</v>
      </c>
      <c r="V17" s="132">
        <v>40</v>
      </c>
      <c r="W17" s="101">
        <v>4</v>
      </c>
      <c r="X17" s="104">
        <v>40</v>
      </c>
      <c r="Y17" s="108">
        <v>60</v>
      </c>
      <c r="AA17" s="698"/>
      <c r="AB17" s="778"/>
      <c r="AC17" s="88" t="s">
        <v>126</v>
      </c>
      <c r="AD17" s="165">
        <v>40</v>
      </c>
      <c r="AE17" s="165">
        <v>2</v>
      </c>
      <c r="AF17" s="165">
        <v>5</v>
      </c>
      <c r="AG17" s="132">
        <v>5</v>
      </c>
      <c r="AH17" s="1338"/>
      <c r="AI17" s="191">
        <v>1.75</v>
      </c>
      <c r="AJ17" s="165">
        <v>3000</v>
      </c>
      <c r="AK17" s="165">
        <v>600</v>
      </c>
      <c r="AL17" s="165">
        <v>300</v>
      </c>
      <c r="AM17" s="132">
        <v>750</v>
      </c>
      <c r="AN17" s="1330">
        <f t="shared" ref="AN17:AN25" si="0">IF(AC17="","",1000/AM17*(AJ17/AI17*(AK17-AL17)/1000)/AJ17)</f>
        <v>0.22857142857142851</v>
      </c>
      <c r="AO17" s="197"/>
      <c r="AP17" s="1201"/>
      <c r="AQ17" s="1203"/>
      <c r="AR17" s="1334"/>
    </row>
    <row r="18" spans="2:49" ht="11.25" customHeight="1" x14ac:dyDescent="0.2">
      <c r="B18" s="761"/>
      <c r="C18" s="206"/>
      <c r="D18" s="55"/>
      <c r="E18" s="55"/>
      <c r="F18" s="55"/>
      <c r="G18" s="55"/>
      <c r="H18" s="55"/>
      <c r="I18" s="55"/>
      <c r="J18" s="55"/>
      <c r="K18" s="55"/>
      <c r="L18" s="207"/>
      <c r="N18" s="161" t="s">
        <v>106</v>
      </c>
      <c r="O18" s="147">
        <v>10</v>
      </c>
      <c r="P18" s="165">
        <v>0.1</v>
      </c>
      <c r="Q18" s="132">
        <v>0.5</v>
      </c>
      <c r="R18" s="94">
        <v>10</v>
      </c>
      <c r="S18" s="191"/>
      <c r="T18" s="136"/>
      <c r="U18" s="165"/>
      <c r="V18" s="132"/>
      <c r="W18" s="101">
        <v>5</v>
      </c>
      <c r="X18" s="104"/>
      <c r="Y18" s="108"/>
      <c r="AA18" s="698"/>
      <c r="AB18" s="778"/>
      <c r="AC18" s="88" t="s">
        <v>127</v>
      </c>
      <c r="AD18" s="165">
        <v>30</v>
      </c>
      <c r="AE18" s="165">
        <v>2</v>
      </c>
      <c r="AF18" s="165">
        <v>5</v>
      </c>
      <c r="AG18" s="132">
        <v>5</v>
      </c>
      <c r="AH18" s="1338"/>
      <c r="AI18" s="191">
        <v>1.75</v>
      </c>
      <c r="AJ18" s="165">
        <v>3000</v>
      </c>
      <c r="AK18" s="165">
        <v>600</v>
      </c>
      <c r="AL18" s="165">
        <v>300</v>
      </c>
      <c r="AM18" s="132">
        <v>750</v>
      </c>
      <c r="AN18" s="1330">
        <f t="shared" si="0"/>
        <v>0.22857142857142851</v>
      </c>
      <c r="AO18" s="213">
        <v>1</v>
      </c>
      <c r="AP18" s="165">
        <v>1</v>
      </c>
      <c r="AQ18" s="397">
        <v>5</v>
      </c>
      <c r="AR18" s="1334"/>
    </row>
    <row r="19" spans="2:49" ht="11.25" customHeight="1" x14ac:dyDescent="0.2">
      <c r="B19" s="761"/>
      <c r="C19" s="206"/>
      <c r="D19" s="55"/>
      <c r="E19" s="55"/>
      <c r="F19" s="321"/>
      <c r="G19" s="55"/>
      <c r="H19" s="55"/>
      <c r="I19" s="55"/>
      <c r="J19" s="55"/>
      <c r="K19" s="55"/>
      <c r="L19" s="207"/>
      <c r="N19" s="161"/>
      <c r="O19" s="147"/>
      <c r="P19" s="165"/>
      <c r="Q19" s="132"/>
      <c r="R19" s="94"/>
      <c r="S19" s="191"/>
      <c r="T19" s="136"/>
      <c r="U19" s="165"/>
      <c r="V19" s="132"/>
      <c r="W19" s="101"/>
      <c r="X19" s="104"/>
      <c r="Y19" s="108"/>
      <c r="AA19" s="698"/>
      <c r="AB19" s="778"/>
      <c r="AC19" s="1262"/>
      <c r="AD19" s="165"/>
      <c r="AE19" s="165"/>
      <c r="AF19" s="165"/>
      <c r="AG19" s="132"/>
      <c r="AH19" s="1338"/>
      <c r="AI19" s="191"/>
      <c r="AJ19" s="165"/>
      <c r="AK19" s="165"/>
      <c r="AL19" s="165"/>
      <c r="AM19" s="132"/>
      <c r="AN19" s="1330" t="str">
        <f t="shared" si="0"/>
        <v/>
      </c>
      <c r="AO19" s="197"/>
      <c r="AP19" s="1201"/>
      <c r="AQ19" s="1203"/>
      <c r="AR19" s="1334"/>
    </row>
    <row r="20" spans="2:49" ht="11.25" customHeight="1" thickBot="1" x14ac:dyDescent="0.25">
      <c r="B20" s="761"/>
      <c r="C20" s="206"/>
      <c r="D20" s="55"/>
      <c r="E20" s="55"/>
      <c r="F20" s="55"/>
      <c r="G20" s="55"/>
      <c r="H20" s="55"/>
      <c r="I20" s="55"/>
      <c r="J20" s="55"/>
      <c r="K20" s="55"/>
      <c r="L20" s="207"/>
      <c r="N20" s="161"/>
      <c r="O20" s="147"/>
      <c r="P20" s="165"/>
      <c r="Q20" s="132"/>
      <c r="R20" s="94"/>
      <c r="S20" s="191"/>
      <c r="T20" s="136"/>
      <c r="U20" s="165"/>
      <c r="V20" s="132"/>
      <c r="W20" s="101"/>
      <c r="X20" s="104"/>
      <c r="Y20" s="108"/>
      <c r="AA20" s="698"/>
      <c r="AB20" s="778"/>
      <c r="AC20" s="1335"/>
      <c r="AD20" s="398"/>
      <c r="AE20" s="398"/>
      <c r="AF20" s="398"/>
      <c r="AG20" s="405"/>
      <c r="AH20" s="1339"/>
      <c r="AI20" s="194"/>
      <c r="AJ20" s="398"/>
      <c r="AK20" s="398"/>
      <c r="AL20" s="398"/>
      <c r="AM20" s="405"/>
      <c r="AN20" s="1330" t="str">
        <f t="shared" si="0"/>
        <v/>
      </c>
      <c r="AO20" s="198"/>
      <c r="AP20" s="1208"/>
      <c r="AQ20" s="1210"/>
      <c r="AR20" s="1340"/>
    </row>
    <row r="21" spans="2:49" ht="11.25" customHeight="1" x14ac:dyDescent="0.2">
      <c r="B21" s="761"/>
      <c r="C21" s="206"/>
      <c r="D21" s="55"/>
      <c r="E21" s="55"/>
      <c r="F21" s="55"/>
      <c r="G21" s="55"/>
      <c r="H21" s="55"/>
      <c r="I21" s="55"/>
      <c r="J21" s="55"/>
      <c r="K21" s="55"/>
      <c r="L21" s="207"/>
      <c r="N21" s="161" t="s">
        <v>129</v>
      </c>
      <c r="O21" s="147">
        <v>0</v>
      </c>
      <c r="P21" s="165"/>
      <c r="Q21" s="132">
        <v>2</v>
      </c>
      <c r="R21" s="94">
        <v>10</v>
      </c>
      <c r="S21" s="191"/>
      <c r="T21" s="136"/>
      <c r="U21" s="165"/>
      <c r="V21" s="132"/>
      <c r="W21" s="101">
        <v>2</v>
      </c>
      <c r="X21" s="104"/>
      <c r="Y21" s="108"/>
      <c r="AA21" s="698"/>
      <c r="AB21" s="778" t="s">
        <v>130</v>
      </c>
      <c r="AC21" s="87" t="s">
        <v>125</v>
      </c>
      <c r="AD21" s="1199">
        <v>20</v>
      </c>
      <c r="AE21" s="1199">
        <v>1</v>
      </c>
      <c r="AF21" s="1199">
        <v>5</v>
      </c>
      <c r="AG21" s="1341">
        <v>15</v>
      </c>
      <c r="AH21" s="1342"/>
      <c r="AI21" s="1211">
        <v>1.75</v>
      </c>
      <c r="AJ21" s="401">
        <v>3000</v>
      </c>
      <c r="AK21" s="401">
        <v>0</v>
      </c>
      <c r="AL21" s="401">
        <v>100</v>
      </c>
      <c r="AM21" s="1236">
        <v>500</v>
      </c>
      <c r="AN21" s="1330">
        <f t="shared" si="0"/>
        <v>-0.11428571428571428</v>
      </c>
      <c r="AO21" s="196"/>
      <c r="AP21" s="1204"/>
      <c r="AQ21" s="1207"/>
      <c r="AR21" s="1343">
        <v>0</v>
      </c>
      <c r="AS21" s="113"/>
      <c r="AT21" s="113"/>
    </row>
    <row r="22" spans="2:49" ht="11.25" customHeight="1" x14ac:dyDescent="0.2">
      <c r="B22" s="761"/>
      <c r="C22" s="206"/>
      <c r="D22" s="55"/>
      <c r="E22" s="55"/>
      <c r="F22" s="55"/>
      <c r="G22" s="55"/>
      <c r="H22" s="55"/>
      <c r="I22" s="55"/>
      <c r="J22" s="55"/>
      <c r="K22" s="55"/>
      <c r="L22" s="207"/>
      <c r="N22" s="161" t="s">
        <v>133</v>
      </c>
      <c r="O22" s="147">
        <v>5</v>
      </c>
      <c r="P22" s="165"/>
      <c r="Q22" s="132">
        <v>0.5</v>
      </c>
      <c r="R22" s="94">
        <v>5</v>
      </c>
      <c r="S22" s="191"/>
      <c r="T22" s="136"/>
      <c r="U22" s="165"/>
      <c r="V22" s="132"/>
      <c r="W22" s="101">
        <v>1</v>
      </c>
      <c r="X22" s="104"/>
      <c r="Y22" s="108"/>
      <c r="AA22" s="698"/>
      <c r="AB22" s="778"/>
      <c r="AC22" s="88" t="s">
        <v>126</v>
      </c>
      <c r="AD22" s="165">
        <v>40</v>
      </c>
      <c r="AE22" s="165">
        <v>1</v>
      </c>
      <c r="AF22" s="165">
        <v>5</v>
      </c>
      <c r="AG22" s="132">
        <v>15</v>
      </c>
      <c r="AH22" s="1344"/>
      <c r="AI22" s="191">
        <v>1.75</v>
      </c>
      <c r="AJ22" s="165">
        <v>3000</v>
      </c>
      <c r="AK22" s="165">
        <v>600</v>
      </c>
      <c r="AL22" s="165">
        <v>300</v>
      </c>
      <c r="AM22" s="132">
        <v>500</v>
      </c>
      <c r="AN22" s="1330">
        <f t="shared" si="0"/>
        <v>0.3428571428571428</v>
      </c>
      <c r="AO22" s="197"/>
      <c r="AP22" s="1201"/>
      <c r="AQ22" s="1203"/>
      <c r="AR22" s="1345"/>
      <c r="AS22" s="113"/>
      <c r="AT22" s="113"/>
    </row>
    <row r="23" spans="2:49" ht="11.25" customHeight="1" x14ac:dyDescent="0.2">
      <c r="B23" s="761"/>
      <c r="C23" s="206"/>
      <c r="D23" s="55"/>
      <c r="E23" s="55"/>
      <c r="F23" s="55"/>
      <c r="G23" s="55"/>
      <c r="H23" s="55"/>
      <c r="I23" s="55"/>
      <c r="J23" s="55"/>
      <c r="K23" s="55"/>
      <c r="L23" s="207"/>
      <c r="N23" s="161" t="s">
        <v>130</v>
      </c>
      <c r="O23" s="147">
        <v>12</v>
      </c>
      <c r="P23" s="165"/>
      <c r="Q23" s="132">
        <v>0.1</v>
      </c>
      <c r="R23" s="94">
        <v>7.5</v>
      </c>
      <c r="S23" s="191">
        <v>1</v>
      </c>
      <c r="T23" s="136">
        <v>5</v>
      </c>
      <c r="U23" s="165">
        <v>40</v>
      </c>
      <c r="V23" s="132">
        <v>40</v>
      </c>
      <c r="W23" s="101">
        <v>3</v>
      </c>
      <c r="X23" s="104"/>
      <c r="Y23" s="108"/>
      <c r="AA23" s="698"/>
      <c r="AB23" s="778"/>
      <c r="AC23" s="88" t="s">
        <v>127</v>
      </c>
      <c r="AD23" s="165">
        <v>30</v>
      </c>
      <c r="AE23" s="165">
        <v>1</v>
      </c>
      <c r="AF23" s="165">
        <v>5</v>
      </c>
      <c r="AG23" s="132">
        <v>15</v>
      </c>
      <c r="AH23" s="1344"/>
      <c r="AI23" s="191">
        <v>1.75</v>
      </c>
      <c r="AJ23" s="165">
        <v>3000</v>
      </c>
      <c r="AK23" s="165">
        <v>600</v>
      </c>
      <c r="AL23" s="165">
        <v>300</v>
      </c>
      <c r="AM23" s="132">
        <v>500</v>
      </c>
      <c r="AN23" s="1330">
        <f t="shared" si="0"/>
        <v>0.3428571428571428</v>
      </c>
      <c r="AO23" s="213">
        <v>1</v>
      </c>
      <c r="AP23" s="165">
        <v>1</v>
      </c>
      <c r="AQ23" s="397">
        <v>5</v>
      </c>
      <c r="AR23" s="1345"/>
      <c r="AS23" s="113"/>
      <c r="AT23" s="113"/>
    </row>
    <row r="24" spans="2:49" ht="11.25" customHeight="1" x14ac:dyDescent="0.2">
      <c r="B24" s="761"/>
      <c r="C24" s="206"/>
      <c r="D24" s="55"/>
      <c r="E24" s="55"/>
      <c r="F24" s="55"/>
      <c r="G24" s="55"/>
      <c r="H24" s="55"/>
      <c r="I24" s="55"/>
      <c r="J24" s="55"/>
      <c r="K24" s="55"/>
      <c r="L24" s="207"/>
      <c r="N24" s="161"/>
      <c r="O24" s="147"/>
      <c r="P24" s="165"/>
      <c r="Q24" s="397"/>
      <c r="R24" s="213"/>
      <c r="S24" s="165"/>
      <c r="T24" s="165"/>
      <c r="U24" s="165"/>
      <c r="V24" s="397"/>
      <c r="W24" s="213"/>
      <c r="X24" s="165"/>
      <c r="Y24" s="397"/>
      <c r="AA24" s="698"/>
      <c r="AB24" s="778"/>
      <c r="AC24" s="1262"/>
      <c r="AD24" s="165"/>
      <c r="AE24" s="165"/>
      <c r="AF24" s="165"/>
      <c r="AG24" s="132"/>
      <c r="AH24" s="1344"/>
      <c r="AI24" s="191"/>
      <c r="AJ24" s="165"/>
      <c r="AK24" s="191"/>
      <c r="AL24" s="191"/>
      <c r="AM24" s="132"/>
      <c r="AN24" s="1330"/>
      <c r="AO24" s="197"/>
      <c r="AP24" s="1201"/>
      <c r="AQ24" s="1203"/>
      <c r="AR24" s="1345"/>
      <c r="AS24" s="113"/>
      <c r="AT24" s="113"/>
    </row>
    <row r="25" spans="2:49" ht="11.25" customHeight="1" thickBot="1" x14ac:dyDescent="0.25">
      <c r="B25" s="762"/>
      <c r="C25" s="172"/>
      <c r="D25" s="173"/>
      <c r="E25" s="173"/>
      <c r="F25" s="173"/>
      <c r="G25" s="173"/>
      <c r="H25" s="173"/>
      <c r="I25" s="173"/>
      <c r="J25" s="173"/>
      <c r="K25" s="173"/>
      <c r="L25" s="174"/>
      <c r="N25" s="162"/>
      <c r="O25" s="629"/>
      <c r="P25" s="398"/>
      <c r="Q25" s="405"/>
      <c r="R25" s="95"/>
      <c r="S25" s="194"/>
      <c r="T25" s="137"/>
      <c r="U25" s="398"/>
      <c r="V25" s="405"/>
      <c r="W25" s="102"/>
      <c r="X25" s="109"/>
      <c r="Y25" s="110"/>
      <c r="AA25" s="699"/>
      <c r="AB25" s="779"/>
      <c r="AC25" s="1335"/>
      <c r="AD25" s="398"/>
      <c r="AE25" s="398"/>
      <c r="AF25" s="398"/>
      <c r="AG25" s="405"/>
      <c r="AH25" s="1346"/>
      <c r="AI25" s="194"/>
      <c r="AJ25" s="398"/>
      <c r="AK25" s="398"/>
      <c r="AL25" s="398"/>
      <c r="AM25" s="405"/>
      <c r="AN25" s="1330" t="str">
        <f t="shared" si="0"/>
        <v/>
      </c>
      <c r="AO25" s="198"/>
      <c r="AP25" s="1208"/>
      <c r="AQ25" s="1210"/>
      <c r="AR25" s="1347"/>
      <c r="AS25" s="113"/>
      <c r="AT25" s="113"/>
    </row>
    <row r="26" spans="2:49" ht="11.25" customHeight="1" thickBot="1" x14ac:dyDescent="0.25">
      <c r="B26" s="125"/>
      <c r="C26" s="43"/>
      <c r="D26" s="43"/>
      <c r="E26" s="43"/>
      <c r="F26" s="43"/>
      <c r="G26" s="43"/>
      <c r="H26" s="43"/>
      <c r="I26" s="43"/>
      <c r="J26" s="43"/>
      <c r="K26" s="43"/>
      <c r="L26" s="43"/>
      <c r="N26" s="126"/>
      <c r="O26" s="127"/>
      <c r="P26" s="127"/>
      <c r="Q26" s="127"/>
      <c r="R26" s="128"/>
      <c r="S26" s="128"/>
      <c r="T26" s="128"/>
      <c r="U26" s="128"/>
      <c r="V26" s="128"/>
      <c r="W26" s="129"/>
      <c r="X26" s="129"/>
      <c r="Y26" s="129"/>
      <c r="AA26" s="112"/>
      <c r="AB26" s="112"/>
      <c r="AC26" s="1121"/>
      <c r="AD26" s="624"/>
      <c r="AE26" s="624"/>
      <c r="AF26" s="624"/>
      <c r="AG26" s="624"/>
      <c r="AH26" s="624"/>
      <c r="AI26" s="624"/>
      <c r="AJ26" s="624"/>
      <c r="AK26" s="624"/>
      <c r="AL26" s="624"/>
      <c r="AM26" s="624"/>
      <c r="AN26" s="624"/>
      <c r="AO26" s="127"/>
      <c r="AP26" s="127"/>
      <c r="AQ26" s="127"/>
      <c r="AR26" s="127"/>
      <c r="AS26" s="113"/>
      <c r="AT26" s="113"/>
      <c r="AU26" s="329" t="s">
        <v>111</v>
      </c>
      <c r="AV26" s="214"/>
      <c r="AW26" s="222" t="s">
        <v>140</v>
      </c>
    </row>
    <row r="27" spans="2:49" ht="11.25" customHeight="1" x14ac:dyDescent="0.2">
      <c r="B27" s="770" t="s">
        <v>60</v>
      </c>
      <c r="C27" s="169"/>
      <c r="D27" s="170"/>
      <c r="E27" s="170"/>
      <c r="F27" s="170"/>
      <c r="G27" s="170"/>
      <c r="H27" s="170"/>
      <c r="I27" s="170"/>
      <c r="J27" s="170"/>
      <c r="K27" s="170"/>
      <c r="L27" s="171"/>
      <c r="N27" s="350" t="s">
        <v>103</v>
      </c>
      <c r="O27" s="1229">
        <v>4</v>
      </c>
      <c r="P27" s="1223">
        <v>0.1</v>
      </c>
      <c r="Q27" s="1230">
        <v>0.1</v>
      </c>
      <c r="R27" s="92">
        <v>8.5</v>
      </c>
      <c r="S27" s="1211">
        <v>1</v>
      </c>
      <c r="T27" s="1221">
        <v>5</v>
      </c>
      <c r="U27" s="401"/>
      <c r="V27" s="1231"/>
      <c r="W27" s="138">
        <v>3</v>
      </c>
      <c r="X27" s="139"/>
      <c r="Y27" s="140"/>
      <c r="AA27" s="694" t="s">
        <v>76</v>
      </c>
      <c r="AB27" s="776" t="s">
        <v>129</v>
      </c>
      <c r="AC27" s="554" t="s">
        <v>125</v>
      </c>
      <c r="AD27" s="401">
        <v>2.1</v>
      </c>
      <c r="AE27" s="401">
        <v>0.1</v>
      </c>
      <c r="AF27" s="401"/>
      <c r="AG27" s="1236">
        <v>1</v>
      </c>
      <c r="AH27" s="212">
        <v>3333</v>
      </c>
      <c r="AI27" s="1211">
        <v>3</v>
      </c>
      <c r="AJ27" s="401">
        <v>3000</v>
      </c>
      <c r="AK27" s="401">
        <v>0</v>
      </c>
      <c r="AL27" s="401">
        <v>100</v>
      </c>
      <c r="AM27" s="1329"/>
      <c r="AN27" s="1330">
        <f>IF(AC27="","",(AH27/AI27*(AK27-AL27)/1000)/AJ27)</f>
        <v>-3.7033333333333335E-2</v>
      </c>
      <c r="AO27" s="196"/>
      <c r="AP27" s="1204"/>
      <c r="AQ27" s="1207"/>
      <c r="AR27" s="1332"/>
      <c r="AU27" s="754" t="s">
        <v>141</v>
      </c>
      <c r="AV27" s="755"/>
      <c r="AW27" s="326">
        <v>2</v>
      </c>
    </row>
    <row r="28" spans="2:49" ht="11.25" customHeight="1" x14ac:dyDescent="0.2">
      <c r="B28" s="771"/>
      <c r="C28" s="206"/>
      <c r="D28" s="55"/>
      <c r="E28" s="55"/>
      <c r="F28" s="55"/>
      <c r="G28" s="55"/>
      <c r="H28" s="55"/>
      <c r="I28" s="55"/>
      <c r="J28" s="55"/>
      <c r="K28" s="55"/>
      <c r="L28" s="207"/>
      <c r="N28" s="151" t="s">
        <v>156</v>
      </c>
      <c r="O28" s="1141">
        <v>4</v>
      </c>
      <c r="P28" s="1227">
        <v>0.1</v>
      </c>
      <c r="Q28" s="1232">
        <v>0.1</v>
      </c>
      <c r="R28" s="93">
        <v>8.5</v>
      </c>
      <c r="S28" s="191">
        <v>1</v>
      </c>
      <c r="T28" s="199">
        <v>5</v>
      </c>
      <c r="U28" s="165"/>
      <c r="V28" s="1233"/>
      <c r="W28" s="101">
        <v>4</v>
      </c>
      <c r="X28" s="104">
        <v>40</v>
      </c>
      <c r="Y28" s="108">
        <v>60</v>
      </c>
      <c r="AA28" s="695"/>
      <c r="AB28" s="777"/>
      <c r="AC28" s="555" t="s">
        <v>126</v>
      </c>
      <c r="AD28" s="165">
        <v>3.5</v>
      </c>
      <c r="AE28" s="165">
        <v>0.1</v>
      </c>
      <c r="AF28" s="165"/>
      <c r="AG28" s="132">
        <v>1</v>
      </c>
      <c r="AH28" s="213">
        <v>3333</v>
      </c>
      <c r="AI28" s="191">
        <v>3</v>
      </c>
      <c r="AJ28" s="165">
        <v>3000</v>
      </c>
      <c r="AK28" s="165">
        <v>600</v>
      </c>
      <c r="AL28" s="165">
        <v>300</v>
      </c>
      <c r="AM28" s="1333"/>
      <c r="AN28" s="1330">
        <f>IF(AC28="","",(AH28/AI28*(AK28-AL28)/1000)/AJ28)</f>
        <v>0.1111</v>
      </c>
      <c r="AO28" s="197"/>
      <c r="AP28" s="1201"/>
      <c r="AQ28" s="1203"/>
      <c r="AR28" s="1334"/>
      <c r="AU28" s="756" t="s">
        <v>142</v>
      </c>
      <c r="AV28" s="757"/>
      <c r="AW28" s="327">
        <v>1</v>
      </c>
    </row>
    <row r="29" spans="2:49" ht="11.25" customHeight="1" x14ac:dyDescent="0.2">
      <c r="B29" s="771"/>
      <c r="C29" s="206"/>
      <c r="D29" s="55"/>
      <c r="E29" s="55"/>
      <c r="F29" s="55"/>
      <c r="G29" s="55"/>
      <c r="H29" s="55"/>
      <c r="I29" s="55"/>
      <c r="J29" s="55"/>
      <c r="K29" s="55"/>
      <c r="L29" s="207"/>
      <c r="N29" s="152" t="s">
        <v>101</v>
      </c>
      <c r="O29" s="1141">
        <v>0</v>
      </c>
      <c r="P29" s="1227">
        <v>0.1</v>
      </c>
      <c r="Q29" s="1232">
        <v>0.2</v>
      </c>
      <c r="R29" s="94">
        <v>10.6</v>
      </c>
      <c r="S29" s="191"/>
      <c r="T29" s="199"/>
      <c r="U29" s="165"/>
      <c r="V29" s="1233"/>
      <c r="W29" s="101">
        <v>2</v>
      </c>
      <c r="X29" s="104"/>
      <c r="Y29" s="108"/>
      <c r="AA29" s="695"/>
      <c r="AB29" s="777"/>
      <c r="AC29" s="555" t="s">
        <v>135</v>
      </c>
      <c r="AD29" s="165">
        <v>3.3</v>
      </c>
      <c r="AE29" s="165">
        <v>0.1</v>
      </c>
      <c r="AF29" s="165"/>
      <c r="AG29" s="132">
        <v>1</v>
      </c>
      <c r="AH29" s="213">
        <v>3600</v>
      </c>
      <c r="AI29" s="191">
        <v>3</v>
      </c>
      <c r="AJ29" s="165">
        <v>3000</v>
      </c>
      <c r="AK29" s="165">
        <v>600</v>
      </c>
      <c r="AL29" s="165">
        <v>100</v>
      </c>
      <c r="AM29" s="1333"/>
      <c r="AN29" s="1330">
        <f>IF(AC29="","",(AH29/AI29*(AK29-AL29)/1000)/AJ29)</f>
        <v>0.2</v>
      </c>
      <c r="AO29" s="197"/>
      <c r="AP29" s="1201"/>
      <c r="AQ29" s="1203"/>
      <c r="AR29" s="1334"/>
      <c r="AU29" s="756" t="s">
        <v>133</v>
      </c>
      <c r="AV29" s="757"/>
      <c r="AW29" s="327">
        <v>5</v>
      </c>
    </row>
    <row r="30" spans="2:49" ht="11.25" customHeight="1" x14ac:dyDescent="0.2">
      <c r="B30" s="771"/>
      <c r="C30" s="206"/>
      <c r="D30" s="55"/>
      <c r="E30" s="55"/>
      <c r="F30" s="55"/>
      <c r="G30" s="55"/>
      <c r="H30" s="55"/>
      <c r="I30" s="55"/>
      <c r="J30" s="55"/>
      <c r="K30" s="55"/>
      <c r="L30" s="207"/>
      <c r="N30" s="152" t="s">
        <v>106</v>
      </c>
      <c r="O30" s="1141">
        <v>4</v>
      </c>
      <c r="P30" s="1227">
        <v>0.1</v>
      </c>
      <c r="Q30" s="1232">
        <v>0.1</v>
      </c>
      <c r="R30" s="94">
        <v>10</v>
      </c>
      <c r="S30" s="191"/>
      <c r="T30" s="199"/>
      <c r="U30" s="165"/>
      <c r="V30" s="1233"/>
      <c r="W30" s="101">
        <v>5</v>
      </c>
      <c r="X30" s="104"/>
      <c r="Y30" s="108"/>
      <c r="AA30" s="695"/>
      <c r="AB30" s="777"/>
      <c r="AC30" s="1255"/>
      <c r="AD30" s="165"/>
      <c r="AE30" s="165"/>
      <c r="AF30" s="165"/>
      <c r="AG30" s="132"/>
      <c r="AH30" s="213"/>
      <c r="AI30" s="191"/>
      <c r="AJ30" s="165"/>
      <c r="AK30" s="165"/>
      <c r="AL30" s="165"/>
      <c r="AM30" s="1333"/>
      <c r="AN30" s="1330" t="str">
        <f>IF(AC30="","",(AH30/AI30*(AK30-AL30)/1000)/AJ30)</f>
        <v/>
      </c>
      <c r="AO30" s="197"/>
      <c r="AP30" s="1201"/>
      <c r="AQ30" s="1203"/>
      <c r="AR30" s="1334"/>
      <c r="AU30" s="756" t="s">
        <v>130</v>
      </c>
      <c r="AV30" s="757"/>
      <c r="AW30" s="327">
        <v>3</v>
      </c>
    </row>
    <row r="31" spans="2:49" ht="11.25" customHeight="1" thickBot="1" x14ac:dyDescent="0.25">
      <c r="B31" s="771"/>
      <c r="C31" s="206"/>
      <c r="D31" s="55"/>
      <c r="E31" s="55"/>
      <c r="F31" s="55"/>
      <c r="G31" s="55"/>
      <c r="H31" s="55"/>
      <c r="I31" s="55"/>
      <c r="J31" s="55"/>
      <c r="K31" s="55"/>
      <c r="L31" s="207"/>
      <c r="N31" s="152" t="s">
        <v>104</v>
      </c>
      <c r="O31" s="1141">
        <v>4</v>
      </c>
      <c r="P31" s="1227">
        <v>0.1</v>
      </c>
      <c r="Q31" s="1232">
        <v>0.1</v>
      </c>
      <c r="R31" s="94">
        <v>15.9</v>
      </c>
      <c r="S31" s="191">
        <v>1</v>
      </c>
      <c r="T31" s="199">
        <v>5</v>
      </c>
      <c r="U31" s="165"/>
      <c r="V31" s="1233"/>
      <c r="W31" s="101">
        <v>4</v>
      </c>
      <c r="X31" s="104">
        <v>40</v>
      </c>
      <c r="Y31" s="108">
        <v>60</v>
      </c>
      <c r="AA31" s="695"/>
      <c r="AB31" s="777"/>
      <c r="AC31" s="1258"/>
      <c r="AD31" s="398"/>
      <c r="AE31" s="398"/>
      <c r="AF31" s="398"/>
      <c r="AG31" s="405"/>
      <c r="AH31" s="1265"/>
      <c r="AI31" s="194"/>
      <c r="AJ31" s="398"/>
      <c r="AK31" s="398"/>
      <c r="AL31" s="398"/>
      <c r="AM31" s="1336"/>
      <c r="AN31" s="1330" t="str">
        <f>IF(AC31="","",(AH31/AI31*(AK31-AL31)/1000)/AJ31)</f>
        <v/>
      </c>
      <c r="AO31" s="198"/>
      <c r="AP31" s="1208"/>
      <c r="AQ31" s="1210"/>
      <c r="AR31" s="1334"/>
      <c r="AU31" s="758" t="s">
        <v>151</v>
      </c>
      <c r="AV31" s="759"/>
      <c r="AW31" s="328">
        <v>4</v>
      </c>
    </row>
    <row r="32" spans="2:49" ht="11.25" customHeight="1" x14ac:dyDescent="0.2">
      <c r="B32" s="771"/>
      <c r="C32" s="206"/>
      <c r="D32" s="55"/>
      <c r="E32" s="55"/>
      <c r="F32" s="55"/>
      <c r="G32" s="55"/>
      <c r="H32" s="55"/>
      <c r="I32" s="55"/>
      <c r="J32" s="55"/>
      <c r="K32" s="55"/>
      <c r="L32" s="207"/>
      <c r="N32" s="152"/>
      <c r="O32" s="1141"/>
      <c r="P32" s="1227"/>
      <c r="Q32" s="1232"/>
      <c r="R32" s="94"/>
      <c r="S32" s="191"/>
      <c r="T32" s="199"/>
      <c r="U32" s="165"/>
      <c r="V32" s="1233"/>
      <c r="W32" s="101"/>
      <c r="X32" s="104"/>
      <c r="Y32" s="108"/>
      <c r="AA32" s="695"/>
      <c r="AB32" s="778" t="s">
        <v>128</v>
      </c>
      <c r="AC32" s="554" t="s">
        <v>125</v>
      </c>
      <c r="AD32" s="401">
        <v>5</v>
      </c>
      <c r="AE32" s="401">
        <v>2</v>
      </c>
      <c r="AF32" s="401">
        <v>5</v>
      </c>
      <c r="AG32" s="1236">
        <v>5</v>
      </c>
      <c r="AH32" s="1342"/>
      <c r="AI32" s="1211">
        <v>1.75</v>
      </c>
      <c r="AJ32" s="401">
        <v>3000</v>
      </c>
      <c r="AK32" s="401">
        <v>0</v>
      </c>
      <c r="AL32" s="401">
        <v>100</v>
      </c>
      <c r="AM32" s="1236">
        <v>750</v>
      </c>
      <c r="AN32" s="1330">
        <f>IF(AC32="","",1000/AM32*(AJ32/AI32*(AK32-AL32)/1000)/AJ32)</f>
        <v>-7.6190476190476183E-2</v>
      </c>
      <c r="AO32" s="196"/>
      <c r="AP32" s="1204"/>
      <c r="AQ32" s="1207"/>
      <c r="AR32" s="1334"/>
    </row>
    <row r="33" spans="2:46" ht="11.25" customHeight="1" x14ac:dyDescent="0.2">
      <c r="B33" s="771"/>
      <c r="C33" s="206"/>
      <c r="D33" s="55"/>
      <c r="E33" s="55"/>
      <c r="F33" s="55"/>
      <c r="G33" s="55"/>
      <c r="H33" s="55"/>
      <c r="I33" s="55"/>
      <c r="J33" s="55"/>
      <c r="K33" s="55"/>
      <c r="L33" s="207"/>
      <c r="N33" s="152"/>
      <c r="O33" s="1141"/>
      <c r="P33" s="1227"/>
      <c r="Q33" s="1232"/>
      <c r="R33" s="94"/>
      <c r="S33" s="191"/>
      <c r="T33" s="199"/>
      <c r="U33" s="165"/>
      <c r="V33" s="1233"/>
      <c r="W33" s="101"/>
      <c r="X33" s="104"/>
      <c r="Y33" s="108"/>
      <c r="AA33" s="695"/>
      <c r="AB33" s="778"/>
      <c r="AC33" s="555" t="s">
        <v>126</v>
      </c>
      <c r="AD33" s="165">
        <v>10</v>
      </c>
      <c r="AE33" s="165">
        <v>2</v>
      </c>
      <c r="AF33" s="165">
        <v>5</v>
      </c>
      <c r="AG33" s="132">
        <v>5</v>
      </c>
      <c r="AH33" s="1344"/>
      <c r="AI33" s="191">
        <v>1.75</v>
      </c>
      <c r="AJ33" s="165">
        <v>3000</v>
      </c>
      <c r="AK33" s="165">
        <v>600</v>
      </c>
      <c r="AL33" s="165">
        <v>300</v>
      </c>
      <c r="AM33" s="132">
        <v>750</v>
      </c>
      <c r="AN33" s="1330">
        <f t="shared" ref="AN33:AN41" si="1">IF(AC33="","",1000/AM33*(AJ33/AI33*(AK33-AL33)/1000)/AJ33)</f>
        <v>0.22857142857142851</v>
      </c>
      <c r="AO33" s="197"/>
      <c r="AP33" s="1201"/>
      <c r="AQ33" s="1203"/>
      <c r="AR33" s="1334"/>
    </row>
    <row r="34" spans="2:46" ht="11.25" customHeight="1" x14ac:dyDescent="0.2">
      <c r="B34" s="771"/>
      <c r="C34" s="206"/>
      <c r="D34" s="55"/>
      <c r="E34" s="55"/>
      <c r="F34" s="55"/>
      <c r="G34" s="55"/>
      <c r="H34" s="55"/>
      <c r="I34" s="55"/>
      <c r="J34" s="55"/>
      <c r="K34" s="55"/>
      <c r="L34" s="207"/>
      <c r="N34" s="152"/>
      <c r="O34" s="1141"/>
      <c r="P34" s="1227"/>
      <c r="Q34" s="1232"/>
      <c r="R34" s="94"/>
      <c r="S34" s="191"/>
      <c r="T34" s="199"/>
      <c r="U34" s="165"/>
      <c r="V34" s="1233"/>
      <c r="W34" s="101"/>
      <c r="X34" s="104"/>
      <c r="Y34" s="108"/>
      <c r="AA34" s="695"/>
      <c r="AB34" s="778"/>
      <c r="AC34" s="555" t="s">
        <v>127</v>
      </c>
      <c r="AD34" s="165">
        <v>10</v>
      </c>
      <c r="AE34" s="165">
        <v>2</v>
      </c>
      <c r="AF34" s="165">
        <v>5</v>
      </c>
      <c r="AG34" s="132">
        <v>5</v>
      </c>
      <c r="AH34" s="1344"/>
      <c r="AI34" s="191">
        <v>1.75</v>
      </c>
      <c r="AJ34" s="165">
        <v>3000</v>
      </c>
      <c r="AK34" s="165">
        <v>600</v>
      </c>
      <c r="AL34" s="165">
        <v>300</v>
      </c>
      <c r="AM34" s="132">
        <v>750</v>
      </c>
      <c r="AN34" s="1330">
        <f t="shared" si="1"/>
        <v>0.22857142857142851</v>
      </c>
      <c r="AO34" s="213">
        <v>1</v>
      </c>
      <c r="AP34" s="165">
        <v>1</v>
      </c>
      <c r="AQ34" s="397">
        <v>5</v>
      </c>
      <c r="AR34" s="1334"/>
    </row>
    <row r="35" spans="2:46" ht="11.25" customHeight="1" x14ac:dyDescent="0.2">
      <c r="B35" s="771"/>
      <c r="C35" s="206"/>
      <c r="D35" s="55"/>
      <c r="E35" s="55"/>
      <c r="F35" s="55"/>
      <c r="G35" s="55"/>
      <c r="H35" s="55"/>
      <c r="I35" s="55"/>
      <c r="J35" s="55"/>
      <c r="K35" s="55"/>
      <c r="L35" s="207"/>
      <c r="N35" s="152" t="s">
        <v>129</v>
      </c>
      <c r="O35" s="1141">
        <v>0</v>
      </c>
      <c r="P35" s="1227"/>
      <c r="Q35" s="1232">
        <v>0.1</v>
      </c>
      <c r="R35" s="94">
        <v>10</v>
      </c>
      <c r="S35" s="191"/>
      <c r="T35" s="199"/>
      <c r="U35" s="165"/>
      <c r="V35" s="1233"/>
      <c r="W35" s="101">
        <v>2</v>
      </c>
      <c r="X35" s="104"/>
      <c r="Y35" s="108"/>
      <c r="AA35" s="695"/>
      <c r="AB35" s="778"/>
      <c r="AC35" s="1255"/>
      <c r="AD35" s="165"/>
      <c r="AE35" s="165"/>
      <c r="AF35" s="165"/>
      <c r="AG35" s="132"/>
      <c r="AH35" s="1344"/>
      <c r="AI35" s="191"/>
      <c r="AJ35" s="165"/>
      <c r="AK35" s="165"/>
      <c r="AL35" s="165"/>
      <c r="AM35" s="132"/>
      <c r="AN35" s="1330" t="str">
        <f t="shared" si="1"/>
        <v/>
      </c>
      <c r="AO35" s="197"/>
      <c r="AP35" s="1201"/>
      <c r="AQ35" s="1203"/>
      <c r="AR35" s="1334"/>
    </row>
    <row r="36" spans="2:46" ht="11.25" customHeight="1" thickBot="1" x14ac:dyDescent="0.25">
      <c r="B36" s="771"/>
      <c r="C36" s="206"/>
      <c r="D36" s="55"/>
      <c r="E36" s="55"/>
      <c r="F36" s="55"/>
      <c r="G36" s="55"/>
      <c r="H36" s="55"/>
      <c r="I36" s="55"/>
      <c r="J36" s="55"/>
      <c r="K36" s="55"/>
      <c r="L36" s="207"/>
      <c r="N36" s="152" t="s">
        <v>133</v>
      </c>
      <c r="O36" s="1141">
        <v>3</v>
      </c>
      <c r="P36" s="1227"/>
      <c r="Q36" s="1232">
        <v>0.1</v>
      </c>
      <c r="R36" s="94">
        <v>5</v>
      </c>
      <c r="S36" s="191"/>
      <c r="T36" s="199"/>
      <c r="U36" s="165"/>
      <c r="V36" s="1233"/>
      <c r="W36" s="101">
        <v>1</v>
      </c>
      <c r="X36" s="104"/>
      <c r="Y36" s="108"/>
      <c r="AA36" s="695"/>
      <c r="AB36" s="778"/>
      <c r="AC36" s="1258"/>
      <c r="AD36" s="398"/>
      <c r="AE36" s="398"/>
      <c r="AF36" s="398"/>
      <c r="AG36" s="405"/>
      <c r="AH36" s="1346"/>
      <c r="AI36" s="194"/>
      <c r="AJ36" s="398"/>
      <c r="AK36" s="398"/>
      <c r="AL36" s="398"/>
      <c r="AM36" s="405"/>
      <c r="AN36" s="1330" t="str">
        <f t="shared" si="1"/>
        <v/>
      </c>
      <c r="AO36" s="198"/>
      <c r="AP36" s="1208"/>
      <c r="AQ36" s="1210"/>
      <c r="AR36" s="1340"/>
    </row>
    <row r="37" spans="2:46" x14ac:dyDescent="0.2">
      <c r="B37" s="771"/>
      <c r="C37" s="206"/>
      <c r="D37" s="55"/>
      <c r="E37" s="55"/>
      <c r="F37" s="55"/>
      <c r="G37" s="55"/>
      <c r="H37" s="55"/>
      <c r="I37" s="55"/>
      <c r="J37" s="55"/>
      <c r="K37" s="55"/>
      <c r="L37" s="207"/>
      <c r="N37" s="152" t="s">
        <v>130</v>
      </c>
      <c r="O37" s="1141">
        <v>6</v>
      </c>
      <c r="P37" s="1227"/>
      <c r="Q37" s="1232">
        <v>0.1</v>
      </c>
      <c r="R37" s="94">
        <v>75</v>
      </c>
      <c r="S37" s="191">
        <v>1</v>
      </c>
      <c r="T37" s="199">
        <v>5</v>
      </c>
      <c r="U37" s="165">
        <v>40</v>
      </c>
      <c r="V37" s="1233">
        <v>40</v>
      </c>
      <c r="W37" s="101">
        <v>3</v>
      </c>
      <c r="X37" s="104"/>
      <c r="Y37" s="108"/>
      <c r="AA37" s="695"/>
      <c r="AB37" s="778" t="s">
        <v>130</v>
      </c>
      <c r="AC37" s="554" t="s">
        <v>125</v>
      </c>
      <c r="AD37" s="1199">
        <v>5</v>
      </c>
      <c r="AE37" s="1199">
        <v>1</v>
      </c>
      <c r="AF37" s="1199">
        <v>5</v>
      </c>
      <c r="AG37" s="1341">
        <v>5</v>
      </c>
      <c r="AH37" s="1342"/>
      <c r="AI37" s="1348">
        <v>1.75</v>
      </c>
      <c r="AJ37" s="1199">
        <v>3000</v>
      </c>
      <c r="AK37" s="1199">
        <v>0</v>
      </c>
      <c r="AL37" s="1199">
        <v>100</v>
      </c>
      <c r="AM37" s="1341">
        <v>500</v>
      </c>
      <c r="AN37" s="1330">
        <f t="shared" si="1"/>
        <v>-0.11428571428571428</v>
      </c>
      <c r="AO37" s="196"/>
      <c r="AP37" s="1204"/>
      <c r="AQ37" s="1207"/>
      <c r="AR37" s="1343">
        <v>0</v>
      </c>
      <c r="AS37" s="113"/>
      <c r="AT37" s="113"/>
    </row>
    <row r="38" spans="2:46" ht="11.25" customHeight="1" thickBot="1" x14ac:dyDescent="0.25">
      <c r="B38" s="772"/>
      <c r="C38" s="172"/>
      <c r="D38" s="173"/>
      <c r="E38" s="173"/>
      <c r="F38" s="173"/>
      <c r="G38" s="173"/>
      <c r="H38" s="173"/>
      <c r="I38" s="173"/>
      <c r="J38" s="173"/>
      <c r="K38" s="173"/>
      <c r="L38" s="174"/>
      <c r="N38" s="153"/>
      <c r="O38" s="1234"/>
      <c r="P38" s="398"/>
      <c r="Q38" s="405"/>
      <c r="R38" s="95"/>
      <c r="S38" s="194"/>
      <c r="T38" s="200"/>
      <c r="U38" s="398"/>
      <c r="V38" s="1234"/>
      <c r="W38" s="102"/>
      <c r="X38" s="109"/>
      <c r="Y38" s="110"/>
      <c r="AA38" s="695"/>
      <c r="AB38" s="778"/>
      <c r="AC38" s="555" t="s">
        <v>126</v>
      </c>
      <c r="AD38" s="165">
        <v>8</v>
      </c>
      <c r="AE38" s="165">
        <v>1</v>
      </c>
      <c r="AF38" s="165">
        <v>5</v>
      </c>
      <c r="AG38" s="132">
        <v>5</v>
      </c>
      <c r="AH38" s="1344"/>
      <c r="AI38" s="191">
        <v>1.75</v>
      </c>
      <c r="AJ38" s="165">
        <v>3000</v>
      </c>
      <c r="AK38" s="165">
        <v>600</v>
      </c>
      <c r="AL38" s="165">
        <v>300</v>
      </c>
      <c r="AM38" s="132">
        <v>500</v>
      </c>
      <c r="AN38" s="1330">
        <f t="shared" si="1"/>
        <v>0.3428571428571428</v>
      </c>
      <c r="AO38" s="197"/>
      <c r="AP38" s="1201"/>
      <c r="AQ38" s="1203"/>
      <c r="AR38" s="1345"/>
      <c r="AS38" s="113"/>
      <c r="AT38" s="113"/>
    </row>
    <row r="39" spans="2:46" ht="10.5" customHeight="1" thickBot="1" x14ac:dyDescent="0.25">
      <c r="N39" s="1235"/>
      <c r="O39" s="1235"/>
      <c r="P39" s="1235"/>
      <c r="Q39" s="1235"/>
      <c r="R39" s="1235"/>
      <c r="S39" s="1235"/>
      <c r="T39" s="1235"/>
      <c r="U39" s="1235"/>
      <c r="V39" s="1235"/>
      <c r="W39" s="1235"/>
      <c r="X39" s="1235"/>
      <c r="Y39" s="1235"/>
      <c r="AA39" s="695"/>
      <c r="AB39" s="778"/>
      <c r="AC39" s="555" t="s">
        <v>127</v>
      </c>
      <c r="AD39" s="165">
        <v>8</v>
      </c>
      <c r="AE39" s="165">
        <v>1</v>
      </c>
      <c r="AF39" s="165">
        <v>5</v>
      </c>
      <c r="AG39" s="132">
        <v>5</v>
      </c>
      <c r="AH39" s="1344"/>
      <c r="AI39" s="191">
        <v>1.75</v>
      </c>
      <c r="AJ39" s="165">
        <v>3000</v>
      </c>
      <c r="AK39" s="165">
        <v>600</v>
      </c>
      <c r="AL39" s="165">
        <v>300</v>
      </c>
      <c r="AM39" s="132">
        <v>500</v>
      </c>
      <c r="AN39" s="1330">
        <f t="shared" si="1"/>
        <v>0.3428571428571428</v>
      </c>
      <c r="AO39" s="213">
        <v>1</v>
      </c>
      <c r="AP39" s="165">
        <v>1</v>
      </c>
      <c r="AQ39" s="397">
        <v>5</v>
      </c>
      <c r="AR39" s="1345"/>
      <c r="AS39" s="113"/>
      <c r="AT39" s="113"/>
    </row>
    <row r="40" spans="2:46" ht="11.25" customHeight="1" x14ac:dyDescent="0.2">
      <c r="B40" s="770" t="s">
        <v>61</v>
      </c>
      <c r="C40" s="169"/>
      <c r="D40" s="170"/>
      <c r="E40" s="170"/>
      <c r="F40" s="170"/>
      <c r="G40" s="170"/>
      <c r="H40" s="170"/>
      <c r="I40" s="170"/>
      <c r="J40" s="170"/>
      <c r="K40" s="170"/>
      <c r="L40" s="171"/>
      <c r="N40" s="350" t="s">
        <v>103</v>
      </c>
      <c r="O40" s="498">
        <v>5</v>
      </c>
      <c r="P40" s="163">
        <v>0.1</v>
      </c>
      <c r="Q40" s="130">
        <v>0.2</v>
      </c>
      <c r="R40" s="134">
        <v>8.5</v>
      </c>
      <c r="S40" s="1211">
        <v>1</v>
      </c>
      <c r="T40" s="1211">
        <v>5</v>
      </c>
      <c r="U40" s="401"/>
      <c r="V40" s="1236"/>
      <c r="W40" s="1237">
        <v>3</v>
      </c>
      <c r="X40" s="1204"/>
      <c r="Y40" s="1207"/>
      <c r="AA40" s="695"/>
      <c r="AB40" s="778"/>
      <c r="AC40" s="1255"/>
      <c r="AD40" s="165"/>
      <c r="AE40" s="165"/>
      <c r="AF40" s="165"/>
      <c r="AG40" s="132"/>
      <c r="AH40" s="1344"/>
      <c r="AI40" s="191"/>
      <c r="AJ40" s="165"/>
      <c r="AK40" s="165"/>
      <c r="AL40" s="165"/>
      <c r="AM40" s="132"/>
      <c r="AN40" s="1330" t="str">
        <f t="shared" si="1"/>
        <v/>
      </c>
      <c r="AO40" s="197"/>
      <c r="AP40" s="1201"/>
      <c r="AQ40" s="1203"/>
      <c r="AR40" s="1345"/>
      <c r="AS40" s="113"/>
      <c r="AT40" s="113"/>
    </row>
    <row r="41" spans="2:46" ht="11.1" customHeight="1" thickBot="1" x14ac:dyDescent="0.25">
      <c r="B41" s="771"/>
      <c r="C41" s="206"/>
      <c r="D41" s="55"/>
      <c r="E41" s="55"/>
      <c r="F41" s="55"/>
      <c r="G41" s="55"/>
      <c r="H41" s="55"/>
      <c r="I41" s="55"/>
      <c r="J41" s="55"/>
      <c r="K41" s="55"/>
      <c r="L41" s="207"/>
      <c r="N41" s="151" t="s">
        <v>156</v>
      </c>
      <c r="O41" s="145">
        <v>5</v>
      </c>
      <c r="P41" s="164">
        <v>0.1</v>
      </c>
      <c r="Q41" s="131">
        <v>0.2</v>
      </c>
      <c r="R41" s="135">
        <v>8.5</v>
      </c>
      <c r="S41" s="191">
        <v>1</v>
      </c>
      <c r="T41" s="191">
        <v>5</v>
      </c>
      <c r="U41" s="165"/>
      <c r="V41" s="132"/>
      <c r="W41" s="146">
        <v>4</v>
      </c>
      <c r="X41" s="1201">
        <v>40</v>
      </c>
      <c r="Y41" s="1203">
        <v>60</v>
      </c>
      <c r="AA41" s="696"/>
      <c r="AB41" s="779"/>
      <c r="AC41" s="1258"/>
      <c r="AD41" s="398"/>
      <c r="AE41" s="398"/>
      <c r="AF41" s="398"/>
      <c r="AG41" s="405"/>
      <c r="AH41" s="1346"/>
      <c r="AI41" s="194"/>
      <c r="AJ41" s="398"/>
      <c r="AK41" s="398"/>
      <c r="AL41" s="398"/>
      <c r="AM41" s="405"/>
      <c r="AN41" s="1330" t="str">
        <f t="shared" si="1"/>
        <v/>
      </c>
      <c r="AO41" s="198"/>
      <c r="AP41" s="1208"/>
      <c r="AQ41" s="1210"/>
      <c r="AR41" s="1347"/>
      <c r="AS41" s="113"/>
      <c r="AT41" s="113"/>
    </row>
    <row r="42" spans="2:46" ht="11.1" customHeight="1" thickBot="1" x14ac:dyDescent="0.25">
      <c r="B42" s="771"/>
      <c r="C42" s="206"/>
      <c r="D42" s="55"/>
      <c r="E42" s="55"/>
      <c r="F42" s="55"/>
      <c r="G42" s="55"/>
      <c r="H42" s="55"/>
      <c r="I42" s="55"/>
      <c r="J42" s="55"/>
      <c r="K42" s="55"/>
      <c r="L42" s="207"/>
      <c r="N42" s="152" t="s">
        <v>101</v>
      </c>
      <c r="O42" s="145">
        <v>0</v>
      </c>
      <c r="P42" s="164">
        <v>0.1</v>
      </c>
      <c r="Q42" s="131">
        <v>0.4</v>
      </c>
      <c r="R42" s="135">
        <v>10.6</v>
      </c>
      <c r="S42" s="191"/>
      <c r="T42" s="191"/>
      <c r="U42" s="165"/>
      <c r="V42" s="132"/>
      <c r="W42" s="146">
        <v>2</v>
      </c>
      <c r="X42" s="1201"/>
      <c r="Y42" s="1203"/>
      <c r="AC42" s="1235"/>
      <c r="AD42" s="1235"/>
      <c r="AE42" s="1235"/>
      <c r="AF42" s="1235"/>
      <c r="AG42" s="1235"/>
      <c r="AH42" s="1235"/>
      <c r="AI42" s="1235"/>
      <c r="AJ42" s="1235"/>
      <c r="AK42" s="1235"/>
      <c r="AL42" s="1235"/>
      <c r="AM42" s="1235"/>
      <c r="AN42" s="1235"/>
      <c r="AO42" s="1235"/>
      <c r="AP42" s="1235"/>
      <c r="AQ42" s="1235"/>
      <c r="AR42" s="1235"/>
    </row>
    <row r="43" spans="2:46" ht="11.1" customHeight="1" x14ac:dyDescent="0.2">
      <c r="B43" s="771"/>
      <c r="C43" s="206"/>
      <c r="D43" s="55"/>
      <c r="E43" s="55"/>
      <c r="F43" s="55"/>
      <c r="G43" s="55"/>
      <c r="H43" s="55"/>
      <c r="I43" s="55"/>
      <c r="J43" s="55"/>
      <c r="K43" s="55"/>
      <c r="L43" s="207"/>
      <c r="N43" s="152" t="s">
        <v>106</v>
      </c>
      <c r="O43" s="145">
        <v>5</v>
      </c>
      <c r="P43" s="164">
        <v>0.1</v>
      </c>
      <c r="Q43" s="131">
        <v>0.2</v>
      </c>
      <c r="R43" s="135">
        <v>10</v>
      </c>
      <c r="S43" s="191"/>
      <c r="T43" s="191"/>
      <c r="U43" s="165"/>
      <c r="V43" s="132"/>
      <c r="W43" s="146">
        <v>5</v>
      </c>
      <c r="X43" s="1201"/>
      <c r="Y43" s="1203"/>
      <c r="AA43" s="694" t="s">
        <v>79</v>
      </c>
      <c r="AB43" s="776" t="s">
        <v>129</v>
      </c>
      <c r="AC43" s="554" t="s">
        <v>125</v>
      </c>
      <c r="AD43" s="401">
        <v>2.5</v>
      </c>
      <c r="AE43" s="401">
        <v>0.1</v>
      </c>
      <c r="AF43" s="401"/>
      <c r="AG43" s="1236">
        <v>1</v>
      </c>
      <c r="AH43" s="212">
        <v>3333</v>
      </c>
      <c r="AI43" s="1349">
        <v>3</v>
      </c>
      <c r="AJ43" s="401">
        <v>3000</v>
      </c>
      <c r="AK43" s="401">
        <v>0</v>
      </c>
      <c r="AL43" s="401">
        <v>100</v>
      </c>
      <c r="AM43" s="1329"/>
      <c r="AN43" s="1330">
        <f>IF(AC43="","",(AH43/AI43*(AK43-AL43)/1000)/AJ43)</f>
        <v>-3.7033333333333335E-2</v>
      </c>
      <c r="AO43" s="196"/>
      <c r="AP43" s="1204"/>
      <c r="AQ43" s="1207"/>
      <c r="AR43" s="1332"/>
    </row>
    <row r="44" spans="2:46" ht="11.1" customHeight="1" x14ac:dyDescent="0.2">
      <c r="B44" s="771"/>
      <c r="C44" s="206"/>
      <c r="D44" s="55"/>
      <c r="E44" s="55"/>
      <c r="F44" s="55"/>
      <c r="G44" s="55"/>
      <c r="H44" s="55"/>
      <c r="I44" s="55"/>
      <c r="J44" s="55"/>
      <c r="K44" s="55"/>
      <c r="L44" s="207"/>
      <c r="N44" s="152" t="s">
        <v>104</v>
      </c>
      <c r="O44" s="145">
        <v>4</v>
      </c>
      <c r="P44" s="164">
        <v>0.1</v>
      </c>
      <c r="Q44" s="131">
        <v>0.2</v>
      </c>
      <c r="R44" s="135">
        <v>15.9</v>
      </c>
      <c r="S44" s="191">
        <v>1</v>
      </c>
      <c r="T44" s="191">
        <v>5</v>
      </c>
      <c r="U44" s="165"/>
      <c r="V44" s="132"/>
      <c r="W44" s="146">
        <v>4</v>
      </c>
      <c r="X44" s="1201">
        <v>40</v>
      </c>
      <c r="Y44" s="1203">
        <v>60</v>
      </c>
      <c r="AA44" s="695"/>
      <c r="AB44" s="777"/>
      <c r="AC44" s="555" t="s">
        <v>126</v>
      </c>
      <c r="AD44" s="165">
        <v>3.5</v>
      </c>
      <c r="AE44" s="165">
        <v>0.1</v>
      </c>
      <c r="AF44" s="165"/>
      <c r="AG44" s="132">
        <v>1</v>
      </c>
      <c r="AH44" s="213">
        <v>3333</v>
      </c>
      <c r="AI44" s="136">
        <v>3</v>
      </c>
      <c r="AJ44" s="165">
        <v>3000</v>
      </c>
      <c r="AK44" s="165">
        <v>600</v>
      </c>
      <c r="AL44" s="165">
        <v>300</v>
      </c>
      <c r="AM44" s="1333"/>
      <c r="AN44" s="1330">
        <f>IF(AC44="","",(AH44/AI44*(AK44-AL44)/1000)/AJ44)</f>
        <v>0.1111</v>
      </c>
      <c r="AO44" s="197"/>
      <c r="AP44" s="1201"/>
      <c r="AQ44" s="1203"/>
      <c r="AR44" s="1334"/>
    </row>
    <row r="45" spans="2:46" ht="11.1" customHeight="1" x14ac:dyDescent="0.2">
      <c r="B45" s="771"/>
      <c r="C45" s="206"/>
      <c r="D45" s="55"/>
      <c r="E45" s="55"/>
      <c r="F45" s="55"/>
      <c r="G45" s="55"/>
      <c r="H45" s="55"/>
      <c r="I45" s="55"/>
      <c r="J45" s="55"/>
      <c r="K45" s="55"/>
      <c r="L45" s="207"/>
      <c r="N45" s="152"/>
      <c r="O45" s="147"/>
      <c r="P45" s="165"/>
      <c r="Q45" s="132"/>
      <c r="R45" s="135"/>
      <c r="S45" s="191"/>
      <c r="T45" s="191"/>
      <c r="U45" s="165"/>
      <c r="V45" s="132"/>
      <c r="W45" s="146"/>
      <c r="X45" s="1201"/>
      <c r="Y45" s="1203"/>
      <c r="AA45" s="695"/>
      <c r="AB45" s="777"/>
      <c r="AC45" s="555" t="s">
        <v>135</v>
      </c>
      <c r="AD45" s="165">
        <v>3.3</v>
      </c>
      <c r="AE45" s="165">
        <v>0.1</v>
      </c>
      <c r="AF45" s="165"/>
      <c r="AG45" s="132">
        <v>1</v>
      </c>
      <c r="AH45" s="213">
        <v>3600</v>
      </c>
      <c r="AI45" s="136">
        <v>3</v>
      </c>
      <c r="AJ45" s="165">
        <v>3000</v>
      </c>
      <c r="AK45" s="165">
        <v>600</v>
      </c>
      <c r="AL45" s="165">
        <v>300</v>
      </c>
      <c r="AM45" s="1333"/>
      <c r="AN45" s="1330">
        <f>IF(AC45="","",(AH45/AI45*(AK45-AL45)/1000)/AJ45)</f>
        <v>0.12</v>
      </c>
      <c r="AO45" s="197"/>
      <c r="AP45" s="1201"/>
      <c r="AQ45" s="1203"/>
      <c r="AR45" s="1334"/>
    </row>
    <row r="46" spans="2:46" ht="11.1" customHeight="1" x14ac:dyDescent="0.2">
      <c r="B46" s="771"/>
      <c r="C46" s="206"/>
      <c r="D46" s="55"/>
      <c r="E46" s="55"/>
      <c r="F46" s="55"/>
      <c r="G46" s="55"/>
      <c r="H46" s="55"/>
      <c r="I46" s="55"/>
      <c r="J46" s="55"/>
      <c r="K46" s="55"/>
      <c r="L46" s="207"/>
      <c r="N46" s="152"/>
      <c r="O46" s="147"/>
      <c r="P46" s="165"/>
      <c r="Q46" s="132"/>
      <c r="R46" s="136"/>
      <c r="S46" s="191"/>
      <c r="T46" s="191"/>
      <c r="U46" s="165"/>
      <c r="V46" s="132"/>
      <c r="W46" s="146"/>
      <c r="X46" s="1201"/>
      <c r="Y46" s="1203"/>
      <c r="AA46" s="695"/>
      <c r="AB46" s="777"/>
      <c r="AC46" s="1255"/>
      <c r="AD46" s="165"/>
      <c r="AE46" s="165"/>
      <c r="AF46" s="165"/>
      <c r="AG46" s="132"/>
      <c r="AH46" s="213"/>
      <c r="AI46" s="136"/>
      <c r="AJ46" s="165"/>
      <c r="AK46" s="165"/>
      <c r="AL46" s="165"/>
      <c r="AM46" s="1333"/>
      <c r="AN46" s="1330" t="str">
        <f>IF(AC46="","",(AH46/AI46*(AK46-AL46)/1000)/AJ46)</f>
        <v/>
      </c>
      <c r="AO46" s="197"/>
      <c r="AP46" s="1201"/>
      <c r="AQ46" s="1203"/>
      <c r="AR46" s="1334"/>
    </row>
    <row r="47" spans="2:46" ht="11.1" customHeight="1" thickBot="1" x14ac:dyDescent="0.25">
      <c r="B47" s="771"/>
      <c r="C47" s="206"/>
      <c r="D47" s="55"/>
      <c r="E47" s="55"/>
      <c r="F47" s="55"/>
      <c r="G47" s="55"/>
      <c r="H47" s="55"/>
      <c r="I47" s="55"/>
      <c r="J47" s="55"/>
      <c r="K47" s="55"/>
      <c r="L47" s="207"/>
      <c r="N47" s="152"/>
      <c r="O47" s="1238"/>
      <c r="P47" s="1239"/>
      <c r="Q47" s="1240"/>
      <c r="R47" s="136"/>
      <c r="S47" s="191"/>
      <c r="T47" s="191"/>
      <c r="U47" s="165"/>
      <c r="V47" s="132"/>
      <c r="W47" s="146"/>
      <c r="X47" s="1201"/>
      <c r="Y47" s="1203"/>
      <c r="AA47" s="695"/>
      <c r="AB47" s="777"/>
      <c r="AC47" s="1258"/>
      <c r="AD47" s="398"/>
      <c r="AE47" s="398"/>
      <c r="AF47" s="398"/>
      <c r="AG47" s="405"/>
      <c r="AH47" s="1265"/>
      <c r="AI47" s="137"/>
      <c r="AJ47" s="398"/>
      <c r="AK47" s="398"/>
      <c r="AL47" s="398"/>
      <c r="AM47" s="1336"/>
      <c r="AN47" s="1330" t="str">
        <f>IF(AC47="","",(AH47/AI47*(AK47-AL47)/1000)/AJ47)</f>
        <v/>
      </c>
      <c r="AO47" s="198"/>
      <c r="AP47" s="1208"/>
      <c r="AQ47" s="1210"/>
      <c r="AR47" s="1334"/>
    </row>
    <row r="48" spans="2:46" ht="11.1" customHeight="1" x14ac:dyDescent="0.2">
      <c r="B48" s="771"/>
      <c r="C48" s="206"/>
      <c r="D48" s="55"/>
      <c r="E48" s="55"/>
      <c r="F48" s="55"/>
      <c r="G48" s="55"/>
      <c r="H48" s="55"/>
      <c r="I48" s="55"/>
      <c r="J48" s="55"/>
      <c r="K48" s="55"/>
      <c r="L48" s="207"/>
      <c r="N48" s="152" t="s">
        <v>129</v>
      </c>
      <c r="O48" s="147">
        <v>0</v>
      </c>
      <c r="P48" s="165"/>
      <c r="Q48" s="132">
        <v>0.4</v>
      </c>
      <c r="R48" s="136">
        <v>10</v>
      </c>
      <c r="S48" s="191"/>
      <c r="T48" s="191"/>
      <c r="U48" s="165"/>
      <c r="V48" s="132"/>
      <c r="W48" s="146">
        <v>2</v>
      </c>
      <c r="X48" s="1201"/>
      <c r="Y48" s="1203"/>
      <c r="AA48" s="695"/>
      <c r="AB48" s="778" t="s">
        <v>128</v>
      </c>
      <c r="AC48" s="554" t="s">
        <v>125</v>
      </c>
      <c r="AD48" s="401">
        <v>8</v>
      </c>
      <c r="AE48" s="401">
        <v>1</v>
      </c>
      <c r="AF48" s="401">
        <v>10</v>
      </c>
      <c r="AG48" s="1236">
        <v>5</v>
      </c>
      <c r="AH48" s="1342"/>
      <c r="AI48" s="1349">
        <v>1.75</v>
      </c>
      <c r="AJ48" s="401">
        <v>3000</v>
      </c>
      <c r="AK48" s="401">
        <v>0</v>
      </c>
      <c r="AL48" s="401">
        <v>100</v>
      </c>
      <c r="AM48" s="1236">
        <v>750</v>
      </c>
      <c r="AN48" s="1330">
        <f>IF(AC48="","",1000/AM48*(AJ48/AI48*(AK48-AL48)/1000)/AJ48)</f>
        <v>-7.6190476190476183E-2</v>
      </c>
      <c r="AO48" s="196"/>
      <c r="AP48" s="1204"/>
      <c r="AQ48" s="1207"/>
      <c r="AR48" s="1334"/>
    </row>
    <row r="49" spans="2:46" ht="11.1" customHeight="1" x14ac:dyDescent="0.2">
      <c r="B49" s="771"/>
      <c r="C49" s="206"/>
      <c r="D49" s="55"/>
      <c r="E49" s="55"/>
      <c r="F49" s="55"/>
      <c r="G49" s="55"/>
      <c r="H49" s="55"/>
      <c r="I49" s="55"/>
      <c r="J49" s="55"/>
      <c r="K49" s="55"/>
      <c r="L49" s="207"/>
      <c r="N49" s="152" t="s">
        <v>133</v>
      </c>
      <c r="O49" s="1241">
        <v>4</v>
      </c>
      <c r="P49" s="1227"/>
      <c r="Q49" s="1232">
        <v>0.2</v>
      </c>
      <c r="R49" s="136">
        <v>5</v>
      </c>
      <c r="S49" s="191"/>
      <c r="T49" s="191"/>
      <c r="U49" s="165"/>
      <c r="V49" s="132"/>
      <c r="W49" s="146">
        <v>1</v>
      </c>
      <c r="X49" s="1201"/>
      <c r="Y49" s="1203"/>
      <c r="AA49" s="695"/>
      <c r="AB49" s="778"/>
      <c r="AC49" s="555" t="s">
        <v>126</v>
      </c>
      <c r="AD49" s="165">
        <v>10</v>
      </c>
      <c r="AE49" s="165">
        <v>1</v>
      </c>
      <c r="AF49" s="165">
        <v>10</v>
      </c>
      <c r="AG49" s="132">
        <v>5</v>
      </c>
      <c r="AH49" s="1344"/>
      <c r="AI49" s="136">
        <v>1.75</v>
      </c>
      <c r="AJ49" s="165">
        <v>3000</v>
      </c>
      <c r="AK49" s="165">
        <v>600</v>
      </c>
      <c r="AL49" s="165">
        <v>300</v>
      </c>
      <c r="AM49" s="132">
        <v>750</v>
      </c>
      <c r="AN49" s="1330">
        <f t="shared" ref="AN49:AN56" si="2">IF(AC49="","",1000/AM49*(AJ49/AI49*(AK49-AL49)/1000)/AJ49)</f>
        <v>0.22857142857142851</v>
      </c>
      <c r="AO49" s="197"/>
      <c r="AP49" s="1201"/>
      <c r="AQ49" s="1203"/>
      <c r="AR49" s="1334"/>
    </row>
    <row r="50" spans="2:46" ht="11.1" customHeight="1" x14ac:dyDescent="0.2">
      <c r="B50" s="771"/>
      <c r="C50" s="206"/>
      <c r="D50" s="55"/>
      <c r="E50" s="55"/>
      <c r="F50" s="55"/>
      <c r="G50" s="55"/>
      <c r="H50" s="55"/>
      <c r="I50" s="55"/>
      <c r="J50" s="55"/>
      <c r="K50" s="55"/>
      <c r="L50" s="207"/>
      <c r="N50" s="152" t="s">
        <v>130</v>
      </c>
      <c r="O50" s="1241">
        <v>6</v>
      </c>
      <c r="P50" s="1227"/>
      <c r="Q50" s="1232">
        <v>0.2</v>
      </c>
      <c r="R50" s="136">
        <v>7.5</v>
      </c>
      <c r="S50" s="191">
        <v>1</v>
      </c>
      <c r="T50" s="191">
        <v>5</v>
      </c>
      <c r="U50" s="165">
        <v>40</v>
      </c>
      <c r="V50" s="132">
        <v>40</v>
      </c>
      <c r="W50" s="146">
        <v>3</v>
      </c>
      <c r="X50" s="1201"/>
      <c r="Y50" s="1203"/>
      <c r="AA50" s="695"/>
      <c r="AB50" s="778"/>
      <c r="AC50" s="555" t="s">
        <v>127</v>
      </c>
      <c r="AD50" s="165">
        <v>10</v>
      </c>
      <c r="AE50" s="165">
        <v>1</v>
      </c>
      <c r="AF50" s="165">
        <v>10</v>
      </c>
      <c r="AG50" s="132">
        <v>5</v>
      </c>
      <c r="AH50" s="1344"/>
      <c r="AI50" s="136">
        <v>1.75</v>
      </c>
      <c r="AJ50" s="165">
        <v>3000</v>
      </c>
      <c r="AK50" s="165">
        <v>600</v>
      </c>
      <c r="AL50" s="165">
        <v>300</v>
      </c>
      <c r="AM50" s="132">
        <v>750</v>
      </c>
      <c r="AN50" s="1330">
        <f t="shared" si="2"/>
        <v>0.22857142857142851</v>
      </c>
      <c r="AO50" s="213">
        <v>1</v>
      </c>
      <c r="AP50" s="165">
        <v>1</v>
      </c>
      <c r="AQ50" s="397">
        <v>5</v>
      </c>
      <c r="AR50" s="1334"/>
    </row>
    <row r="51" spans="2:46" ht="11.1" customHeight="1" thickBot="1" x14ac:dyDescent="0.25">
      <c r="B51" s="772"/>
      <c r="C51" s="172"/>
      <c r="D51" s="173"/>
      <c r="E51" s="173"/>
      <c r="F51" s="173"/>
      <c r="G51" s="173"/>
      <c r="H51" s="173"/>
      <c r="I51" s="173"/>
      <c r="J51" s="173"/>
      <c r="K51" s="173"/>
      <c r="L51" s="174"/>
      <c r="N51" s="133"/>
      <c r="O51" s="629"/>
      <c r="P51" s="398"/>
      <c r="Q51" s="405"/>
      <c r="R51" s="137"/>
      <c r="S51" s="194"/>
      <c r="T51" s="194"/>
      <c r="U51" s="398"/>
      <c r="V51" s="405"/>
      <c r="W51" s="195"/>
      <c r="X51" s="1208"/>
      <c r="Y51" s="1210"/>
      <c r="AA51" s="695"/>
      <c r="AB51" s="778"/>
      <c r="AC51" s="1255"/>
      <c r="AD51" s="165"/>
      <c r="AE51" s="165"/>
      <c r="AF51" s="165"/>
      <c r="AG51" s="132"/>
      <c r="AH51" s="1344"/>
      <c r="AI51" s="136"/>
      <c r="AJ51" s="165"/>
      <c r="AK51" s="165"/>
      <c r="AL51" s="165"/>
      <c r="AM51" s="132"/>
      <c r="AN51" s="1330" t="str">
        <f t="shared" si="2"/>
        <v/>
      </c>
      <c r="AO51" s="197"/>
      <c r="AP51" s="1201"/>
      <c r="AQ51" s="1203"/>
      <c r="AR51" s="1334"/>
    </row>
    <row r="52" spans="2:46" ht="11.1" customHeight="1" thickBot="1" x14ac:dyDescent="0.25">
      <c r="N52" s="1235"/>
      <c r="O52" s="1235"/>
      <c r="P52" s="1235"/>
      <c r="Q52" s="1235"/>
      <c r="R52" s="1235"/>
      <c r="S52" s="1235"/>
      <c r="T52" s="1235"/>
      <c r="U52" s="1235"/>
      <c r="V52" s="1235"/>
      <c r="W52" s="1235"/>
      <c r="X52" s="1235"/>
      <c r="Y52" s="1235"/>
      <c r="AA52" s="695"/>
      <c r="AB52" s="778"/>
      <c r="AC52" s="1258"/>
      <c r="AD52" s="398"/>
      <c r="AE52" s="398"/>
      <c r="AF52" s="398"/>
      <c r="AG52" s="405"/>
      <c r="AH52" s="1346"/>
      <c r="AI52" s="137"/>
      <c r="AJ52" s="398"/>
      <c r="AK52" s="398"/>
      <c r="AL52" s="398"/>
      <c r="AM52" s="405"/>
      <c r="AN52" s="1330" t="str">
        <f t="shared" si="2"/>
        <v/>
      </c>
      <c r="AO52" s="198"/>
      <c r="AP52" s="1208"/>
      <c r="AQ52" s="1210"/>
      <c r="AR52" s="1340"/>
    </row>
    <row r="53" spans="2:46" x14ac:dyDescent="0.2">
      <c r="B53" s="770" t="s">
        <v>62</v>
      </c>
      <c r="C53" s="169"/>
      <c r="D53" s="170"/>
      <c r="E53" s="170"/>
      <c r="F53" s="170"/>
      <c r="G53" s="170"/>
      <c r="H53" s="170"/>
      <c r="I53" s="170"/>
      <c r="J53" s="170"/>
      <c r="K53" s="170"/>
      <c r="L53" s="171"/>
      <c r="N53" s="350" t="s">
        <v>103</v>
      </c>
      <c r="O53" s="498">
        <v>5</v>
      </c>
      <c r="P53" s="163">
        <v>0.1</v>
      </c>
      <c r="Q53" s="130">
        <v>0.2</v>
      </c>
      <c r="R53" s="134">
        <v>8.5</v>
      </c>
      <c r="S53" s="1211">
        <v>1</v>
      </c>
      <c r="T53" s="1242">
        <v>5</v>
      </c>
      <c r="U53" s="401"/>
      <c r="V53" s="1236"/>
      <c r="W53" s="1237">
        <v>3</v>
      </c>
      <c r="X53" s="1204"/>
      <c r="Y53" s="1207"/>
      <c r="AA53" s="695"/>
      <c r="AB53" s="778" t="s">
        <v>130</v>
      </c>
      <c r="AC53" s="554" t="s">
        <v>125</v>
      </c>
      <c r="AD53" s="1199">
        <v>8</v>
      </c>
      <c r="AE53" s="1199">
        <v>1</v>
      </c>
      <c r="AF53" s="1199">
        <v>10</v>
      </c>
      <c r="AG53" s="1341">
        <v>5</v>
      </c>
      <c r="AH53" s="1342"/>
      <c r="AI53" s="963">
        <v>1.75</v>
      </c>
      <c r="AJ53" s="1199">
        <v>3000</v>
      </c>
      <c r="AK53" s="1199">
        <v>0</v>
      </c>
      <c r="AL53" s="1199">
        <v>100</v>
      </c>
      <c r="AM53" s="1341">
        <v>500</v>
      </c>
      <c r="AN53" s="1330">
        <f t="shared" si="2"/>
        <v>-0.11428571428571428</v>
      </c>
      <c r="AO53" s="196"/>
      <c r="AP53" s="1204"/>
      <c r="AQ53" s="1207"/>
      <c r="AR53" s="1343">
        <v>0</v>
      </c>
      <c r="AS53" s="113"/>
      <c r="AT53" s="113"/>
    </row>
    <row r="54" spans="2:46" ht="11.25" customHeight="1" x14ac:dyDescent="0.2">
      <c r="B54" s="771"/>
      <c r="C54" s="206"/>
      <c r="D54" s="55"/>
      <c r="E54" s="55"/>
      <c r="F54" s="55"/>
      <c r="G54" s="55"/>
      <c r="H54" s="55"/>
      <c r="I54" s="55"/>
      <c r="J54" s="55"/>
      <c r="K54" s="55"/>
      <c r="L54" s="207"/>
      <c r="N54" s="151" t="s">
        <v>156</v>
      </c>
      <c r="O54" s="145">
        <v>5</v>
      </c>
      <c r="P54" s="164">
        <v>0.1</v>
      </c>
      <c r="Q54" s="131">
        <v>0.2</v>
      </c>
      <c r="R54" s="135">
        <v>8.5</v>
      </c>
      <c r="S54" s="191">
        <v>1</v>
      </c>
      <c r="T54" s="1243">
        <v>5</v>
      </c>
      <c r="U54" s="165"/>
      <c r="V54" s="132"/>
      <c r="W54" s="146">
        <v>4</v>
      </c>
      <c r="X54" s="1201">
        <v>40</v>
      </c>
      <c r="Y54" s="1203">
        <v>60</v>
      </c>
      <c r="AA54" s="695"/>
      <c r="AB54" s="778"/>
      <c r="AC54" s="555" t="s">
        <v>126</v>
      </c>
      <c r="AD54" s="165">
        <v>10</v>
      </c>
      <c r="AE54" s="165">
        <v>1</v>
      </c>
      <c r="AF54" s="165">
        <v>10</v>
      </c>
      <c r="AG54" s="132">
        <v>5</v>
      </c>
      <c r="AH54" s="1344"/>
      <c r="AI54" s="136">
        <v>1.75</v>
      </c>
      <c r="AJ54" s="165">
        <v>3000</v>
      </c>
      <c r="AK54" s="165">
        <v>600</v>
      </c>
      <c r="AL54" s="165">
        <v>300</v>
      </c>
      <c r="AM54" s="132">
        <v>500</v>
      </c>
      <c r="AN54" s="1330">
        <f t="shared" si="2"/>
        <v>0.3428571428571428</v>
      </c>
      <c r="AO54" s="197"/>
      <c r="AP54" s="1201"/>
      <c r="AQ54" s="1203"/>
      <c r="AR54" s="1345"/>
      <c r="AS54" s="113"/>
      <c r="AT54" s="113"/>
    </row>
    <row r="55" spans="2:46" ht="11.25" customHeight="1" x14ac:dyDescent="0.2">
      <c r="B55" s="771"/>
      <c r="C55" s="206"/>
      <c r="D55" s="55"/>
      <c r="E55" s="55"/>
      <c r="F55" s="55"/>
      <c r="G55" s="55"/>
      <c r="H55" s="55"/>
      <c r="I55" s="55"/>
      <c r="J55" s="55"/>
      <c r="K55" s="55"/>
      <c r="L55" s="207"/>
      <c r="N55" s="152" t="s">
        <v>106</v>
      </c>
      <c r="O55" s="145">
        <v>5</v>
      </c>
      <c r="P55" s="164">
        <v>0.1</v>
      </c>
      <c r="Q55" s="131">
        <v>0.2</v>
      </c>
      <c r="R55" s="135">
        <v>10</v>
      </c>
      <c r="S55" s="191"/>
      <c r="T55" s="1243"/>
      <c r="U55" s="165"/>
      <c r="V55" s="132"/>
      <c r="W55" s="146">
        <v>5</v>
      </c>
      <c r="X55" s="1201"/>
      <c r="Y55" s="1203"/>
      <c r="AA55" s="695"/>
      <c r="AB55" s="778"/>
      <c r="AC55" s="555" t="s">
        <v>127</v>
      </c>
      <c r="AD55" s="165">
        <v>10</v>
      </c>
      <c r="AE55" s="165">
        <v>1</v>
      </c>
      <c r="AF55" s="165">
        <v>10</v>
      </c>
      <c r="AG55" s="132">
        <v>5</v>
      </c>
      <c r="AH55" s="1344"/>
      <c r="AI55" s="136">
        <v>1.75</v>
      </c>
      <c r="AJ55" s="165">
        <v>3000</v>
      </c>
      <c r="AK55" s="165">
        <v>600</v>
      </c>
      <c r="AL55" s="165">
        <v>300</v>
      </c>
      <c r="AM55" s="132">
        <v>500</v>
      </c>
      <c r="AN55" s="1330">
        <f t="shared" si="2"/>
        <v>0.3428571428571428</v>
      </c>
      <c r="AO55" s="213">
        <v>1</v>
      </c>
      <c r="AP55" s="165">
        <v>1</v>
      </c>
      <c r="AQ55" s="397">
        <v>5</v>
      </c>
      <c r="AR55" s="1345"/>
      <c r="AS55" s="113"/>
      <c r="AT55" s="113"/>
    </row>
    <row r="56" spans="2:46" ht="11.25" customHeight="1" x14ac:dyDescent="0.2">
      <c r="B56" s="771"/>
      <c r="C56" s="206"/>
      <c r="D56" s="55"/>
      <c r="E56" s="55"/>
      <c r="F56" s="55"/>
      <c r="G56" s="55"/>
      <c r="H56" s="55"/>
      <c r="I56" s="55"/>
      <c r="J56" s="55"/>
      <c r="K56" s="55"/>
      <c r="L56" s="207"/>
      <c r="N56" s="150"/>
      <c r="O56" s="145"/>
      <c r="P56" s="164"/>
      <c r="Q56" s="131"/>
      <c r="R56" s="93"/>
      <c r="S56" s="191"/>
      <c r="T56" s="136"/>
      <c r="U56" s="165"/>
      <c r="V56" s="1233"/>
      <c r="W56" s="146"/>
      <c r="X56" s="1201"/>
      <c r="Y56" s="1203"/>
      <c r="AA56" s="695"/>
      <c r="AB56" s="778"/>
      <c r="AC56" s="1255"/>
      <c r="AD56" s="165"/>
      <c r="AE56" s="165"/>
      <c r="AF56" s="165"/>
      <c r="AG56" s="132"/>
      <c r="AH56" s="1344"/>
      <c r="AI56" s="136"/>
      <c r="AJ56" s="165"/>
      <c r="AK56" s="165"/>
      <c r="AL56" s="165"/>
      <c r="AM56" s="132"/>
      <c r="AN56" s="1330" t="str">
        <f t="shared" si="2"/>
        <v/>
      </c>
      <c r="AO56" s="197"/>
      <c r="AP56" s="1201"/>
      <c r="AQ56" s="1203"/>
      <c r="AR56" s="1345"/>
      <c r="AS56" s="113"/>
      <c r="AT56" s="113"/>
    </row>
    <row r="57" spans="2:46" ht="11.25" customHeight="1" thickBot="1" x14ac:dyDescent="0.25">
      <c r="B57" s="771"/>
      <c r="C57" s="206"/>
      <c r="D57" s="55"/>
      <c r="E57" s="55"/>
      <c r="F57" s="55"/>
      <c r="G57" s="55"/>
      <c r="H57" s="55"/>
      <c r="I57" s="55"/>
      <c r="J57" s="55"/>
      <c r="K57" s="55"/>
      <c r="L57" s="207"/>
      <c r="N57" s="151"/>
      <c r="O57" s="145"/>
      <c r="P57" s="164"/>
      <c r="Q57" s="131"/>
      <c r="R57" s="93"/>
      <c r="S57" s="191"/>
      <c r="T57" s="136"/>
      <c r="U57" s="165"/>
      <c r="V57" s="1233"/>
      <c r="W57" s="146"/>
      <c r="X57" s="1201"/>
      <c r="Y57" s="1203"/>
      <c r="AA57" s="696"/>
      <c r="AB57" s="779"/>
      <c r="AC57" s="1258"/>
      <c r="AD57" s="398"/>
      <c r="AE57" s="398"/>
      <c r="AF57" s="398"/>
      <c r="AG57" s="405"/>
      <c r="AH57" s="1346"/>
      <c r="AI57" s="137"/>
      <c r="AJ57" s="398"/>
      <c r="AK57" s="398"/>
      <c r="AL57" s="398"/>
      <c r="AM57" s="405"/>
      <c r="AN57" s="1330" t="str">
        <f>IF(AC57="","",1000/AM57*(AJ57/AI57*(AK57-AL57)/1000)/AJ57)</f>
        <v/>
      </c>
      <c r="AO57" s="198"/>
      <c r="AP57" s="1208"/>
      <c r="AQ57" s="1210"/>
      <c r="AR57" s="1347"/>
      <c r="AS57" s="113"/>
      <c r="AT57" s="113"/>
    </row>
    <row r="58" spans="2:46" ht="10.5" customHeight="1" thickBot="1" x14ac:dyDescent="0.25">
      <c r="B58" s="771"/>
      <c r="C58" s="206"/>
      <c r="D58" s="55"/>
      <c r="E58" s="55"/>
      <c r="F58" s="55"/>
      <c r="G58" s="55"/>
      <c r="H58" s="55"/>
      <c r="I58" s="55"/>
      <c r="J58" s="55"/>
      <c r="K58" s="55"/>
      <c r="L58" s="207"/>
      <c r="N58" s="152" t="s">
        <v>129</v>
      </c>
      <c r="O58" s="147">
        <v>0</v>
      </c>
      <c r="P58" s="165"/>
      <c r="Q58" s="132">
        <v>0.4</v>
      </c>
      <c r="R58" s="136">
        <v>10</v>
      </c>
      <c r="S58" s="191"/>
      <c r="T58" s="1243"/>
      <c r="U58" s="165"/>
      <c r="V58" s="132"/>
      <c r="W58" s="146">
        <v>2</v>
      </c>
      <c r="X58" s="1201"/>
      <c r="Y58" s="1203"/>
      <c r="AC58" s="1235"/>
      <c r="AD58" s="1235"/>
      <c r="AE58" s="1235"/>
      <c r="AF58" s="1235"/>
      <c r="AG58" s="1235"/>
      <c r="AH58" s="1235"/>
      <c r="AI58" s="1235"/>
      <c r="AJ58" s="1235"/>
      <c r="AK58" s="1235"/>
      <c r="AL58" s="1235"/>
      <c r="AM58" s="1235"/>
      <c r="AN58" s="1235"/>
      <c r="AO58" s="1235"/>
      <c r="AP58" s="1235"/>
      <c r="AQ58" s="1235"/>
      <c r="AR58" s="1235"/>
    </row>
    <row r="59" spans="2:46" ht="10.5" customHeight="1" x14ac:dyDescent="0.2">
      <c r="B59" s="771"/>
      <c r="C59" s="206"/>
      <c r="D59" s="55"/>
      <c r="E59" s="55"/>
      <c r="F59" s="55"/>
      <c r="G59" s="55"/>
      <c r="H59" s="55"/>
      <c r="I59" s="55"/>
      <c r="J59" s="55"/>
      <c r="K59" s="55"/>
      <c r="L59" s="207"/>
      <c r="N59" s="152" t="s">
        <v>133</v>
      </c>
      <c r="O59" s="1241">
        <v>4</v>
      </c>
      <c r="P59" s="1227"/>
      <c r="Q59" s="1232">
        <v>0.2</v>
      </c>
      <c r="R59" s="136">
        <v>5</v>
      </c>
      <c r="S59" s="191"/>
      <c r="T59" s="1243"/>
      <c r="U59" s="165"/>
      <c r="V59" s="132"/>
      <c r="W59" s="146">
        <v>1</v>
      </c>
      <c r="X59" s="1201"/>
      <c r="Y59" s="1203"/>
      <c r="AA59" s="694" t="s">
        <v>210</v>
      </c>
      <c r="AB59" s="776" t="s">
        <v>129</v>
      </c>
      <c r="AC59" s="554" t="s">
        <v>125</v>
      </c>
      <c r="AD59" s="401">
        <v>10</v>
      </c>
      <c r="AE59" s="401">
        <v>0.1</v>
      </c>
      <c r="AF59" s="401"/>
      <c r="AG59" s="1236">
        <v>1</v>
      </c>
      <c r="AH59" s="212">
        <v>3333</v>
      </c>
      <c r="AI59" s="1349">
        <v>3</v>
      </c>
      <c r="AJ59" s="401">
        <v>3000</v>
      </c>
      <c r="AK59" s="1231">
        <v>0</v>
      </c>
      <c r="AL59" s="401">
        <v>100</v>
      </c>
      <c r="AM59" s="1350"/>
      <c r="AN59" s="1330">
        <f>IF(AC59="","",(AH59/AI59*(AK59-AL59)/1000)/AJ59)</f>
        <v>-3.7033333333333335E-2</v>
      </c>
      <c r="AO59" s="212"/>
      <c r="AP59" s="401"/>
      <c r="AQ59" s="402"/>
      <c r="AR59" s="1332"/>
    </row>
    <row r="60" spans="2:46" ht="10.5" customHeight="1" x14ac:dyDescent="0.2">
      <c r="B60" s="771"/>
      <c r="C60" s="206"/>
      <c r="D60" s="55"/>
      <c r="E60" s="55"/>
      <c r="F60" s="55"/>
      <c r="G60" s="55"/>
      <c r="H60" s="55"/>
      <c r="I60" s="55"/>
      <c r="J60" s="55"/>
      <c r="K60" s="55"/>
      <c r="L60" s="207"/>
      <c r="N60" s="152" t="s">
        <v>130</v>
      </c>
      <c r="O60" s="1241">
        <v>6</v>
      </c>
      <c r="P60" s="1227"/>
      <c r="Q60" s="1232">
        <v>0.2</v>
      </c>
      <c r="R60" s="136">
        <v>7.5</v>
      </c>
      <c r="S60" s="191">
        <v>1</v>
      </c>
      <c r="T60" s="1243">
        <v>5</v>
      </c>
      <c r="U60" s="165">
        <v>40</v>
      </c>
      <c r="V60" s="132">
        <v>40</v>
      </c>
      <c r="W60" s="146">
        <v>3</v>
      </c>
      <c r="X60" s="1201"/>
      <c r="Y60" s="1203"/>
      <c r="AA60" s="695"/>
      <c r="AB60" s="777"/>
      <c r="AC60" s="555" t="s">
        <v>126</v>
      </c>
      <c r="AD60" s="165">
        <v>12</v>
      </c>
      <c r="AE60" s="165">
        <v>0.1</v>
      </c>
      <c r="AF60" s="165"/>
      <c r="AG60" s="132">
        <v>1</v>
      </c>
      <c r="AH60" s="213">
        <v>3333</v>
      </c>
      <c r="AI60" s="136">
        <v>3</v>
      </c>
      <c r="AJ60" s="165">
        <v>3000</v>
      </c>
      <c r="AK60" s="1233">
        <v>600</v>
      </c>
      <c r="AL60" s="165">
        <v>300</v>
      </c>
      <c r="AM60" s="1351"/>
      <c r="AN60" s="1330">
        <f>IF(AC60="","",(AH60/AI60*(AK60-AL60)/1000)/AJ60)</f>
        <v>0.1111</v>
      </c>
      <c r="AO60" s="213"/>
      <c r="AP60" s="165"/>
      <c r="AQ60" s="397"/>
      <c r="AR60" s="1334"/>
    </row>
    <row r="61" spans="2:46" ht="10.5" customHeight="1" x14ac:dyDescent="0.2">
      <c r="B61" s="771"/>
      <c r="C61" s="206"/>
      <c r="D61" s="55"/>
      <c r="E61" s="55"/>
      <c r="F61" s="55"/>
      <c r="G61" s="55"/>
      <c r="H61" s="55"/>
      <c r="I61" s="55"/>
      <c r="J61" s="55"/>
      <c r="K61" s="55"/>
      <c r="L61" s="207"/>
      <c r="N61" s="152"/>
      <c r="O61" s="147"/>
      <c r="P61" s="165"/>
      <c r="Q61" s="132"/>
      <c r="R61" s="94"/>
      <c r="S61" s="191"/>
      <c r="T61" s="136"/>
      <c r="U61" s="165"/>
      <c r="V61" s="1233"/>
      <c r="W61" s="146"/>
      <c r="X61" s="1201"/>
      <c r="Y61" s="1203"/>
      <c r="AA61" s="695"/>
      <c r="AB61" s="777"/>
      <c r="AC61" s="555" t="s">
        <v>135</v>
      </c>
      <c r="AD61" s="165">
        <v>11</v>
      </c>
      <c r="AE61" s="165">
        <v>0.1</v>
      </c>
      <c r="AF61" s="165"/>
      <c r="AG61" s="132">
        <v>1</v>
      </c>
      <c r="AH61" s="213">
        <v>3600</v>
      </c>
      <c r="AI61" s="136">
        <v>3</v>
      </c>
      <c r="AJ61" s="165">
        <v>3000</v>
      </c>
      <c r="AK61" s="1233">
        <v>600</v>
      </c>
      <c r="AL61" s="165">
        <v>300</v>
      </c>
      <c r="AM61" s="1351"/>
      <c r="AN61" s="1330">
        <f>IF(AC61="","",(AH61/AI61*(AK61-AL61)/1000)/AJ61)</f>
        <v>0.12</v>
      </c>
      <c r="AO61" s="213">
        <v>1</v>
      </c>
      <c r="AP61" s="165">
        <v>1</v>
      </c>
      <c r="AQ61" s="397">
        <v>5</v>
      </c>
      <c r="AR61" s="1334"/>
    </row>
    <row r="62" spans="2:46" ht="10.5" customHeight="1" x14ac:dyDescent="0.2">
      <c r="B62" s="771"/>
      <c r="C62" s="206"/>
      <c r="D62" s="55"/>
      <c r="E62" s="55"/>
      <c r="F62" s="55"/>
      <c r="G62" s="55"/>
      <c r="H62" s="55"/>
      <c r="I62" s="55"/>
      <c r="J62" s="55"/>
      <c r="K62" s="55"/>
      <c r="L62" s="207"/>
      <c r="N62" s="152"/>
      <c r="O62" s="1241"/>
      <c r="P62" s="1227"/>
      <c r="Q62" s="1232"/>
      <c r="R62" s="94"/>
      <c r="S62" s="191"/>
      <c r="T62" s="136"/>
      <c r="U62" s="165"/>
      <c r="V62" s="1233"/>
      <c r="W62" s="146"/>
      <c r="X62" s="1201"/>
      <c r="Y62" s="1203"/>
      <c r="AA62" s="695"/>
      <c r="AB62" s="777"/>
      <c r="AC62" s="1255"/>
      <c r="AD62" s="165"/>
      <c r="AE62" s="165"/>
      <c r="AF62" s="165"/>
      <c r="AG62" s="132"/>
      <c r="AH62" s="213"/>
      <c r="AI62" s="136"/>
      <c r="AJ62" s="165"/>
      <c r="AK62" s="1233"/>
      <c r="AL62" s="165"/>
      <c r="AM62" s="1351"/>
      <c r="AN62" s="1330" t="str">
        <f>IF(AC62="","",(AH62/AI62*(AK62-AL62)/1000)/AJ62)</f>
        <v/>
      </c>
      <c r="AO62" s="213"/>
      <c r="AP62" s="165"/>
      <c r="AQ62" s="397"/>
      <c r="AR62" s="1334"/>
    </row>
    <row r="63" spans="2:46" ht="10.5" customHeight="1" thickBot="1" x14ac:dyDescent="0.25">
      <c r="B63" s="771"/>
      <c r="C63" s="206"/>
      <c r="D63" s="55"/>
      <c r="E63" s="55"/>
      <c r="F63" s="55"/>
      <c r="G63" s="55"/>
      <c r="H63" s="55"/>
      <c r="I63" s="55"/>
      <c r="J63" s="55"/>
      <c r="K63" s="55"/>
      <c r="L63" s="207"/>
      <c r="N63" s="152"/>
      <c r="O63" s="1241"/>
      <c r="P63" s="1227"/>
      <c r="Q63" s="1232"/>
      <c r="R63" s="94"/>
      <c r="S63" s="191"/>
      <c r="T63" s="136"/>
      <c r="U63" s="165"/>
      <c r="V63" s="1233"/>
      <c r="W63" s="146"/>
      <c r="X63" s="1201"/>
      <c r="Y63" s="1203"/>
      <c r="AA63" s="695"/>
      <c r="AB63" s="777"/>
      <c r="AC63" s="1258"/>
      <c r="AD63" s="398"/>
      <c r="AE63" s="398"/>
      <c r="AF63" s="398"/>
      <c r="AG63" s="405"/>
      <c r="AH63" s="1265"/>
      <c r="AI63" s="137"/>
      <c r="AJ63" s="398"/>
      <c r="AK63" s="1234"/>
      <c r="AL63" s="398"/>
      <c r="AM63" s="1352"/>
      <c r="AN63" s="1330" t="str">
        <f>IF(AC63="","",(AH63/AI63*(AK63-AL63)/1000)/AJ63)</f>
        <v/>
      </c>
      <c r="AO63" s="1265"/>
      <c r="AP63" s="398"/>
      <c r="AQ63" s="399"/>
      <c r="AR63" s="1334"/>
    </row>
    <row r="64" spans="2:46" ht="10.5" customHeight="1" thickBot="1" x14ac:dyDescent="0.25">
      <c r="B64" s="772"/>
      <c r="C64" s="172"/>
      <c r="D64" s="173"/>
      <c r="E64" s="173"/>
      <c r="F64" s="173"/>
      <c r="G64" s="173"/>
      <c r="H64" s="173"/>
      <c r="I64" s="173"/>
      <c r="J64" s="173"/>
      <c r="K64" s="173"/>
      <c r="L64" s="174"/>
      <c r="N64" s="153"/>
      <c r="O64" s="629"/>
      <c r="P64" s="398"/>
      <c r="Q64" s="405"/>
      <c r="R64" s="95"/>
      <c r="S64" s="194"/>
      <c r="T64" s="137"/>
      <c r="U64" s="398"/>
      <c r="V64" s="1234"/>
      <c r="W64" s="195"/>
      <c r="X64" s="1208"/>
      <c r="Y64" s="1210"/>
      <c r="AA64" s="695"/>
      <c r="AB64" s="778" t="s">
        <v>128</v>
      </c>
      <c r="AC64" s="554" t="s">
        <v>125</v>
      </c>
      <c r="AD64" s="401">
        <v>12</v>
      </c>
      <c r="AE64" s="401">
        <v>1</v>
      </c>
      <c r="AF64" s="401">
        <v>10</v>
      </c>
      <c r="AG64" s="1236">
        <v>5</v>
      </c>
      <c r="AH64" s="1342"/>
      <c r="AI64" s="1349">
        <v>1.75</v>
      </c>
      <c r="AJ64" s="401">
        <v>3000</v>
      </c>
      <c r="AK64" s="1231">
        <v>0</v>
      </c>
      <c r="AL64" s="401">
        <v>100</v>
      </c>
      <c r="AM64" s="1236">
        <v>750</v>
      </c>
      <c r="AN64" s="1330">
        <f>IF(AC64="","",1000/AM64*(AJ64/AI64*(AK64-AL64)/1000)/AJ64)</f>
        <v>-7.6190476190476183E-2</v>
      </c>
      <c r="AO64" s="212"/>
      <c r="AP64" s="401"/>
      <c r="AQ64" s="402"/>
      <c r="AR64" s="1334"/>
    </row>
    <row r="65" spans="2:46" ht="10.5" customHeight="1" thickBot="1" x14ac:dyDescent="0.25">
      <c r="N65" s="1235"/>
      <c r="O65" s="1235"/>
      <c r="P65" s="1235"/>
      <c r="Q65" s="1235"/>
      <c r="R65" s="1235"/>
      <c r="S65" s="1235"/>
      <c r="T65" s="1235"/>
      <c r="U65" s="1235"/>
      <c r="V65" s="1235"/>
      <c r="W65" s="1235"/>
      <c r="X65" s="1235"/>
      <c r="Y65" s="1235"/>
      <c r="AA65" s="695"/>
      <c r="AB65" s="778"/>
      <c r="AC65" s="555" t="s">
        <v>126</v>
      </c>
      <c r="AD65" s="165">
        <v>14</v>
      </c>
      <c r="AE65" s="165">
        <v>1</v>
      </c>
      <c r="AF65" s="165">
        <v>10</v>
      </c>
      <c r="AG65" s="132">
        <v>5</v>
      </c>
      <c r="AH65" s="1344"/>
      <c r="AI65" s="136">
        <v>1.75</v>
      </c>
      <c r="AJ65" s="165">
        <v>3000</v>
      </c>
      <c r="AK65" s="1233">
        <v>600</v>
      </c>
      <c r="AL65" s="165">
        <v>300</v>
      </c>
      <c r="AM65" s="132">
        <v>750</v>
      </c>
      <c r="AN65" s="1330">
        <f t="shared" ref="AN65:AN72" si="3">IF(AC65="","",1000/AM65*(AJ65/AI65*(AK65-AL65)/1000)/AJ65)</f>
        <v>0.22857142857142851</v>
      </c>
      <c r="AO65" s="213"/>
      <c r="AP65" s="165"/>
      <c r="AQ65" s="397"/>
      <c r="AR65" s="1334"/>
    </row>
    <row r="66" spans="2:46" ht="10.5" customHeight="1" x14ac:dyDescent="0.2">
      <c r="B66" s="773" t="s">
        <v>27</v>
      </c>
      <c r="C66" s="169"/>
      <c r="D66" s="170"/>
      <c r="E66" s="170"/>
      <c r="F66" s="170"/>
      <c r="G66" s="170"/>
      <c r="H66" s="170"/>
      <c r="I66" s="170"/>
      <c r="J66" s="170"/>
      <c r="K66" s="170"/>
      <c r="L66" s="171"/>
      <c r="N66" s="350" t="s">
        <v>103</v>
      </c>
      <c r="O66" s="498">
        <v>5</v>
      </c>
      <c r="P66" s="163">
        <v>0.1</v>
      </c>
      <c r="Q66" s="130">
        <v>0.2</v>
      </c>
      <c r="R66" s="134">
        <v>8.5</v>
      </c>
      <c r="S66" s="1211">
        <v>1</v>
      </c>
      <c r="T66" s="1242">
        <v>5</v>
      </c>
      <c r="U66" s="401"/>
      <c r="V66" s="1236"/>
      <c r="W66" s="1237">
        <v>3</v>
      </c>
      <c r="X66" s="1204"/>
      <c r="Y66" s="1207"/>
      <c r="AA66" s="695"/>
      <c r="AB66" s="778"/>
      <c r="AC66" s="555" t="s">
        <v>127</v>
      </c>
      <c r="AD66" s="165">
        <v>14</v>
      </c>
      <c r="AE66" s="165">
        <v>1</v>
      </c>
      <c r="AF66" s="165">
        <v>10</v>
      </c>
      <c r="AG66" s="132">
        <v>5</v>
      </c>
      <c r="AH66" s="1344"/>
      <c r="AI66" s="136">
        <v>1.75</v>
      </c>
      <c r="AJ66" s="165">
        <v>3000</v>
      </c>
      <c r="AK66" s="1233">
        <v>600</v>
      </c>
      <c r="AL66" s="165">
        <v>300</v>
      </c>
      <c r="AM66" s="132">
        <v>750</v>
      </c>
      <c r="AN66" s="1330">
        <f t="shared" si="3"/>
        <v>0.22857142857142851</v>
      </c>
      <c r="AO66" s="213"/>
      <c r="AP66" s="165"/>
      <c r="AQ66" s="397"/>
      <c r="AR66" s="1334"/>
    </row>
    <row r="67" spans="2:46" ht="10.5" customHeight="1" x14ac:dyDescent="0.2">
      <c r="B67" s="774"/>
      <c r="C67" s="206"/>
      <c r="D67" s="55"/>
      <c r="E67" s="55"/>
      <c r="F67" s="55"/>
      <c r="G67" s="55"/>
      <c r="H67" s="55"/>
      <c r="I67" s="55"/>
      <c r="J67" s="55"/>
      <c r="K67" s="55"/>
      <c r="L67" s="207"/>
      <c r="N67" s="151" t="s">
        <v>156</v>
      </c>
      <c r="O67" s="145">
        <v>5</v>
      </c>
      <c r="P67" s="164">
        <v>0.1</v>
      </c>
      <c r="Q67" s="131">
        <v>0.2</v>
      </c>
      <c r="R67" s="135">
        <v>8.5</v>
      </c>
      <c r="S67" s="191">
        <v>1</v>
      </c>
      <c r="T67" s="1243">
        <v>5</v>
      </c>
      <c r="U67" s="165"/>
      <c r="V67" s="132"/>
      <c r="W67" s="146">
        <v>4</v>
      </c>
      <c r="X67" s="1201">
        <v>40</v>
      </c>
      <c r="Y67" s="1203">
        <v>60</v>
      </c>
      <c r="AA67" s="695"/>
      <c r="AB67" s="778"/>
      <c r="AC67" s="1255"/>
      <c r="AD67" s="165"/>
      <c r="AE67" s="165"/>
      <c r="AF67" s="165"/>
      <c r="AG67" s="132"/>
      <c r="AH67" s="1344"/>
      <c r="AI67" s="136"/>
      <c r="AJ67" s="165"/>
      <c r="AK67" s="1233"/>
      <c r="AL67" s="165"/>
      <c r="AM67" s="132"/>
      <c r="AN67" s="1330" t="str">
        <f t="shared" si="3"/>
        <v/>
      </c>
      <c r="AO67" s="213"/>
      <c r="AP67" s="165"/>
      <c r="AQ67" s="397"/>
      <c r="AR67" s="1334"/>
    </row>
    <row r="68" spans="2:46" ht="10.5" customHeight="1" thickBot="1" x14ac:dyDescent="0.25">
      <c r="B68" s="774"/>
      <c r="C68" s="206"/>
      <c r="D68" s="55"/>
      <c r="E68" s="55"/>
      <c r="F68" s="55"/>
      <c r="G68" s="55"/>
      <c r="H68" s="55"/>
      <c r="I68" s="55"/>
      <c r="J68" s="55"/>
      <c r="K68" s="55"/>
      <c r="L68" s="207"/>
      <c r="N68" s="152" t="s">
        <v>106</v>
      </c>
      <c r="O68" s="145">
        <v>5</v>
      </c>
      <c r="P68" s="164">
        <v>0.1</v>
      </c>
      <c r="Q68" s="131">
        <v>0.2</v>
      </c>
      <c r="R68" s="135">
        <v>10</v>
      </c>
      <c r="S68" s="191"/>
      <c r="T68" s="1243"/>
      <c r="U68" s="165"/>
      <c r="V68" s="132"/>
      <c r="W68" s="146">
        <v>5</v>
      </c>
      <c r="X68" s="1201"/>
      <c r="Y68" s="1203"/>
      <c r="AA68" s="695"/>
      <c r="AB68" s="778"/>
      <c r="AC68" s="1258"/>
      <c r="AD68" s="398"/>
      <c r="AE68" s="398"/>
      <c r="AF68" s="398"/>
      <c r="AG68" s="405"/>
      <c r="AH68" s="1346"/>
      <c r="AI68" s="137"/>
      <c r="AJ68" s="398"/>
      <c r="AK68" s="1234"/>
      <c r="AL68" s="398"/>
      <c r="AM68" s="405"/>
      <c r="AN68" s="1330" t="str">
        <f t="shared" si="3"/>
        <v/>
      </c>
      <c r="AO68" s="1265"/>
      <c r="AP68" s="398"/>
      <c r="AQ68" s="399"/>
      <c r="AR68" s="1340"/>
    </row>
    <row r="69" spans="2:46" ht="10.5" customHeight="1" x14ac:dyDescent="0.2">
      <c r="B69" s="774"/>
      <c r="C69" s="206"/>
      <c r="D69" s="55"/>
      <c r="E69" s="55"/>
      <c r="F69" s="55"/>
      <c r="G69" s="55"/>
      <c r="H69" s="55"/>
      <c r="I69" s="55"/>
      <c r="J69" s="55"/>
      <c r="K69" s="55"/>
      <c r="L69" s="207"/>
      <c r="N69" s="150"/>
      <c r="O69" s="145"/>
      <c r="P69" s="164"/>
      <c r="Q69" s="131"/>
      <c r="R69" s="93"/>
      <c r="S69" s="191"/>
      <c r="T69" s="136"/>
      <c r="U69" s="165"/>
      <c r="V69" s="1233"/>
      <c r="W69" s="146"/>
      <c r="X69" s="1201"/>
      <c r="Y69" s="1203"/>
      <c r="AA69" s="695"/>
      <c r="AB69" s="778" t="s">
        <v>130</v>
      </c>
      <c r="AC69" s="554" t="s">
        <v>125</v>
      </c>
      <c r="AD69" s="1199">
        <v>12</v>
      </c>
      <c r="AE69" s="1199">
        <v>1</v>
      </c>
      <c r="AF69" s="1199">
        <v>10</v>
      </c>
      <c r="AG69" s="1341">
        <v>5</v>
      </c>
      <c r="AH69" s="1342"/>
      <c r="AI69" s="963">
        <v>1.75</v>
      </c>
      <c r="AJ69" s="1199">
        <v>3000</v>
      </c>
      <c r="AK69" s="1142">
        <v>0</v>
      </c>
      <c r="AL69" s="1199">
        <v>100</v>
      </c>
      <c r="AM69" s="1341">
        <v>500</v>
      </c>
      <c r="AN69" s="1330">
        <f t="shared" si="3"/>
        <v>-0.11428571428571428</v>
      </c>
      <c r="AO69" s="212"/>
      <c r="AP69" s="401"/>
      <c r="AQ69" s="402"/>
      <c r="AR69" s="1343">
        <v>0</v>
      </c>
      <c r="AS69" s="113">
        <f>$AR$69</f>
        <v>0</v>
      </c>
      <c r="AT69" s="113"/>
    </row>
    <row r="70" spans="2:46" ht="10.5" customHeight="1" x14ac:dyDescent="0.2">
      <c r="B70" s="774"/>
      <c r="C70" s="206"/>
      <c r="D70" s="55"/>
      <c r="E70" s="55"/>
      <c r="F70" s="55"/>
      <c r="G70" s="55"/>
      <c r="H70" s="55"/>
      <c r="I70" s="55"/>
      <c r="J70" s="55"/>
      <c r="K70" s="55"/>
      <c r="L70" s="207"/>
      <c r="N70" s="151"/>
      <c r="O70" s="145"/>
      <c r="P70" s="164"/>
      <c r="Q70" s="131"/>
      <c r="R70" s="93"/>
      <c r="S70" s="191"/>
      <c r="T70" s="136"/>
      <c r="U70" s="165"/>
      <c r="V70" s="1233"/>
      <c r="W70" s="146"/>
      <c r="X70" s="1201"/>
      <c r="Y70" s="1203"/>
      <c r="AA70" s="695"/>
      <c r="AB70" s="778"/>
      <c r="AC70" s="555" t="s">
        <v>126</v>
      </c>
      <c r="AD70" s="165">
        <v>14</v>
      </c>
      <c r="AE70" s="165">
        <v>1</v>
      </c>
      <c r="AF70" s="165">
        <v>10</v>
      </c>
      <c r="AG70" s="132">
        <v>5</v>
      </c>
      <c r="AH70" s="1344"/>
      <c r="AI70" s="136">
        <v>1.75</v>
      </c>
      <c r="AJ70" s="165">
        <v>3000</v>
      </c>
      <c r="AK70" s="1233">
        <v>600</v>
      </c>
      <c r="AL70" s="165">
        <v>300</v>
      </c>
      <c r="AM70" s="132">
        <v>500</v>
      </c>
      <c r="AN70" s="1330">
        <f t="shared" si="3"/>
        <v>0.3428571428571428</v>
      </c>
      <c r="AO70" s="213"/>
      <c r="AP70" s="165"/>
      <c r="AQ70" s="397"/>
      <c r="AR70" s="1345"/>
      <c r="AS70" s="113">
        <f>$AR$69</f>
        <v>0</v>
      </c>
      <c r="AT70" s="113"/>
    </row>
    <row r="71" spans="2:46" ht="10.5" customHeight="1" x14ac:dyDescent="0.2">
      <c r="B71" s="774"/>
      <c r="C71" s="206"/>
      <c r="D71" s="55"/>
      <c r="E71" s="55"/>
      <c r="F71" s="55"/>
      <c r="G71" s="55"/>
      <c r="H71" s="55"/>
      <c r="I71" s="55"/>
      <c r="J71" s="55"/>
      <c r="K71" s="55"/>
      <c r="L71" s="207"/>
      <c r="N71" s="152" t="s">
        <v>129</v>
      </c>
      <c r="O71" s="147">
        <v>0</v>
      </c>
      <c r="P71" s="165"/>
      <c r="Q71" s="132">
        <v>0.4</v>
      </c>
      <c r="R71" s="136">
        <v>10</v>
      </c>
      <c r="S71" s="191"/>
      <c r="T71" s="1243"/>
      <c r="U71" s="165"/>
      <c r="V71" s="132"/>
      <c r="W71" s="146">
        <v>2</v>
      </c>
      <c r="X71" s="1201"/>
      <c r="Y71" s="1203"/>
      <c r="AA71" s="695"/>
      <c r="AB71" s="778"/>
      <c r="AC71" s="555" t="s">
        <v>127</v>
      </c>
      <c r="AD71" s="165">
        <v>14</v>
      </c>
      <c r="AE71" s="165">
        <v>1</v>
      </c>
      <c r="AF71" s="165">
        <v>10</v>
      </c>
      <c r="AG71" s="132">
        <v>5</v>
      </c>
      <c r="AH71" s="1344"/>
      <c r="AI71" s="136">
        <v>1.75</v>
      </c>
      <c r="AJ71" s="165">
        <v>3000</v>
      </c>
      <c r="AK71" s="1233">
        <v>600</v>
      </c>
      <c r="AL71" s="165">
        <v>300</v>
      </c>
      <c r="AM71" s="132">
        <v>500</v>
      </c>
      <c r="AN71" s="1330">
        <f t="shared" si="3"/>
        <v>0.3428571428571428</v>
      </c>
      <c r="AO71" s="213">
        <v>1</v>
      </c>
      <c r="AP71" s="165">
        <v>1</v>
      </c>
      <c r="AQ71" s="397">
        <v>5</v>
      </c>
      <c r="AR71" s="1345"/>
      <c r="AS71" s="113">
        <f>$AR$69</f>
        <v>0</v>
      </c>
      <c r="AT71" s="113"/>
    </row>
    <row r="72" spans="2:46" ht="10.5" customHeight="1" x14ac:dyDescent="0.2">
      <c r="B72" s="774"/>
      <c r="C72" s="206"/>
      <c r="D72" s="55"/>
      <c r="E72" s="55"/>
      <c r="F72" s="55"/>
      <c r="G72" s="55"/>
      <c r="H72" s="55"/>
      <c r="I72" s="55"/>
      <c r="J72" s="55"/>
      <c r="K72" s="55"/>
      <c r="L72" s="207"/>
      <c r="N72" s="152" t="s">
        <v>133</v>
      </c>
      <c r="O72" s="1241">
        <v>4</v>
      </c>
      <c r="P72" s="1227"/>
      <c r="Q72" s="1232">
        <v>0.2</v>
      </c>
      <c r="R72" s="136">
        <v>5</v>
      </c>
      <c r="S72" s="191"/>
      <c r="T72" s="1243"/>
      <c r="U72" s="165"/>
      <c r="V72" s="132"/>
      <c r="W72" s="146">
        <v>1</v>
      </c>
      <c r="X72" s="1201"/>
      <c r="Y72" s="1203"/>
      <c r="AA72" s="695"/>
      <c r="AB72" s="778"/>
      <c r="AC72" s="1255"/>
      <c r="AD72" s="165"/>
      <c r="AE72" s="165"/>
      <c r="AF72" s="165"/>
      <c r="AG72" s="132"/>
      <c r="AH72" s="1344"/>
      <c r="AI72" s="136"/>
      <c r="AJ72" s="165"/>
      <c r="AK72" s="1233"/>
      <c r="AL72" s="165"/>
      <c r="AM72" s="132"/>
      <c r="AN72" s="1330" t="str">
        <f t="shared" si="3"/>
        <v/>
      </c>
      <c r="AO72" s="213"/>
      <c r="AP72" s="165"/>
      <c r="AQ72" s="397"/>
      <c r="AR72" s="1345"/>
      <c r="AS72" s="113">
        <f>$AR$69</f>
        <v>0</v>
      </c>
      <c r="AT72" s="113"/>
    </row>
    <row r="73" spans="2:46" ht="10.5" customHeight="1" thickBot="1" x14ac:dyDescent="0.25">
      <c r="B73" s="774"/>
      <c r="C73" s="206"/>
      <c r="D73" s="55"/>
      <c r="E73" s="55"/>
      <c r="F73" s="55"/>
      <c r="G73" s="55"/>
      <c r="H73" s="55"/>
      <c r="I73" s="55"/>
      <c r="J73" s="55"/>
      <c r="K73" s="55"/>
      <c r="L73" s="207"/>
      <c r="N73" s="152" t="s">
        <v>130</v>
      </c>
      <c r="O73" s="1241">
        <v>6</v>
      </c>
      <c r="P73" s="1227"/>
      <c r="Q73" s="1232">
        <v>0.2</v>
      </c>
      <c r="R73" s="136">
        <v>7.5</v>
      </c>
      <c r="S73" s="191">
        <v>1</v>
      </c>
      <c r="T73" s="1243">
        <v>5</v>
      </c>
      <c r="U73" s="165">
        <v>40</v>
      </c>
      <c r="V73" s="132">
        <v>40</v>
      </c>
      <c r="W73" s="146">
        <v>3</v>
      </c>
      <c r="X73" s="1201"/>
      <c r="Y73" s="1203"/>
      <c r="AA73" s="696"/>
      <c r="AB73" s="779"/>
      <c r="AC73" s="1258"/>
      <c r="AD73" s="398"/>
      <c r="AE73" s="398"/>
      <c r="AF73" s="398"/>
      <c r="AG73" s="405"/>
      <c r="AH73" s="1346"/>
      <c r="AI73" s="137"/>
      <c r="AJ73" s="398"/>
      <c r="AK73" s="1234"/>
      <c r="AL73" s="398"/>
      <c r="AM73" s="405"/>
      <c r="AN73" s="1330" t="str">
        <f>IF(AC73="","",1000/AM73*(AJ73/AI73*(AK73-AL73)/1000)/AJ73)</f>
        <v/>
      </c>
      <c r="AO73" s="1265"/>
      <c r="AP73" s="398"/>
      <c r="AQ73" s="399"/>
      <c r="AR73" s="1347"/>
      <c r="AS73" s="113">
        <f>$AR$69</f>
        <v>0</v>
      </c>
      <c r="AT73" s="113"/>
    </row>
    <row r="74" spans="2:46" x14ac:dyDescent="0.2">
      <c r="B74" s="774"/>
      <c r="C74" s="206"/>
      <c r="D74" s="55"/>
      <c r="E74" s="55"/>
      <c r="F74" s="55"/>
      <c r="G74" s="55"/>
      <c r="H74" s="55"/>
      <c r="I74" s="55"/>
      <c r="J74" s="55"/>
      <c r="K74" s="55"/>
      <c r="L74" s="207"/>
      <c r="N74" s="152"/>
      <c r="O74" s="147"/>
      <c r="P74" s="165"/>
      <c r="Q74" s="132"/>
      <c r="R74" s="94"/>
      <c r="S74" s="191"/>
      <c r="T74" s="136"/>
      <c r="U74" s="165"/>
      <c r="V74" s="1233"/>
      <c r="W74" s="146"/>
      <c r="X74" s="1201"/>
      <c r="Y74" s="1244"/>
    </row>
    <row r="75" spans="2:46" x14ac:dyDescent="0.2">
      <c r="B75" s="774"/>
      <c r="C75" s="206"/>
      <c r="D75" s="55"/>
      <c r="E75" s="55"/>
      <c r="F75" s="55"/>
      <c r="G75" s="55"/>
      <c r="H75" s="55"/>
      <c r="I75" s="55"/>
      <c r="J75" s="55"/>
      <c r="K75" s="55"/>
      <c r="L75" s="207"/>
      <c r="N75" s="152"/>
      <c r="O75" s="147"/>
      <c r="P75" s="165"/>
      <c r="Q75" s="132"/>
      <c r="R75" s="94"/>
      <c r="S75" s="191"/>
      <c r="T75" s="136"/>
      <c r="U75" s="165"/>
      <c r="V75" s="1233"/>
      <c r="W75" s="146"/>
      <c r="X75" s="1201"/>
      <c r="Y75" s="1244"/>
    </row>
    <row r="76" spans="2:46" x14ac:dyDescent="0.2">
      <c r="B76" s="774"/>
      <c r="C76" s="206"/>
      <c r="D76" s="55"/>
      <c r="E76" s="55"/>
      <c r="F76" s="55"/>
      <c r="G76" s="55"/>
      <c r="H76" s="55"/>
      <c r="I76" s="55"/>
      <c r="J76" s="55"/>
      <c r="K76" s="55"/>
      <c r="L76" s="207"/>
      <c r="N76" s="152"/>
      <c r="O76" s="147"/>
      <c r="P76" s="165"/>
      <c r="Q76" s="132"/>
      <c r="R76" s="94"/>
      <c r="S76" s="191"/>
      <c r="T76" s="136"/>
      <c r="U76" s="165"/>
      <c r="V76" s="1233"/>
      <c r="W76" s="146"/>
      <c r="X76" s="1201"/>
      <c r="Y76" s="1244"/>
    </row>
    <row r="77" spans="2:46" ht="12" thickBot="1" x14ac:dyDescent="0.25">
      <c r="B77" s="775"/>
      <c r="C77" s="172"/>
      <c r="D77" s="173"/>
      <c r="E77" s="173"/>
      <c r="F77" s="173"/>
      <c r="G77" s="173"/>
      <c r="H77" s="173"/>
      <c r="I77" s="173"/>
      <c r="J77" s="173"/>
      <c r="K77" s="173"/>
      <c r="L77" s="174"/>
      <c r="N77" s="153"/>
      <c r="O77" s="629"/>
      <c r="P77" s="398"/>
      <c r="Q77" s="405"/>
      <c r="R77" s="95"/>
      <c r="S77" s="194"/>
      <c r="T77" s="137"/>
      <c r="U77" s="398"/>
      <c r="V77" s="1234"/>
      <c r="W77" s="195"/>
      <c r="X77" s="1208"/>
      <c r="Y77" s="1245"/>
    </row>
    <row r="78" spans="2:46" ht="12" thickBot="1" x14ac:dyDescent="0.25">
      <c r="N78" s="1235"/>
      <c r="O78" s="1235"/>
      <c r="P78" s="1235"/>
      <c r="Q78" s="1235"/>
      <c r="R78" s="1235"/>
      <c r="S78" s="1235"/>
      <c r="T78" s="1235"/>
      <c r="U78" s="1235"/>
      <c r="V78" s="1235"/>
      <c r="W78" s="1235"/>
      <c r="X78" s="1235"/>
      <c r="Y78" s="1235"/>
    </row>
    <row r="79" spans="2:46" x14ac:dyDescent="0.2">
      <c r="B79" s="768" t="s">
        <v>70</v>
      </c>
      <c r="C79" s="80" t="s">
        <v>157</v>
      </c>
      <c r="D79" s="1204">
        <v>15.6</v>
      </c>
      <c r="E79" s="401">
        <v>8.9</v>
      </c>
      <c r="F79" s="1204">
        <v>89</v>
      </c>
      <c r="G79" s="1204">
        <v>17</v>
      </c>
      <c r="H79" s="1204">
        <v>100</v>
      </c>
      <c r="I79" s="1205">
        <v>19.2</v>
      </c>
      <c r="J79" s="1206">
        <v>17.2</v>
      </c>
      <c r="K79" s="1204">
        <v>2.9</v>
      </c>
      <c r="L79" s="1207">
        <v>1.0999999999999999E-2</v>
      </c>
      <c r="N79" s="1235"/>
      <c r="O79" s="1235"/>
      <c r="P79" s="1235"/>
      <c r="Q79" s="1235"/>
      <c r="R79" s="1235"/>
      <c r="S79" s="1235"/>
      <c r="T79" s="1235"/>
      <c r="U79" s="1235"/>
      <c r="V79" s="1235"/>
      <c r="W79" s="1235"/>
      <c r="X79" s="1235"/>
      <c r="Y79" s="1235"/>
    </row>
    <row r="80" spans="2:46" ht="12" thickBot="1" x14ac:dyDescent="0.25">
      <c r="B80" s="769"/>
      <c r="C80" s="166" t="s">
        <v>158</v>
      </c>
      <c r="D80" s="1208">
        <v>16.899999999999999</v>
      </c>
      <c r="E80" s="398">
        <v>21.9</v>
      </c>
      <c r="F80" s="1208">
        <v>92</v>
      </c>
      <c r="G80" s="1208">
        <v>18</v>
      </c>
      <c r="H80" s="1208">
        <v>105</v>
      </c>
      <c r="I80" s="1208">
        <v>16.899999999999999</v>
      </c>
      <c r="J80" s="1209">
        <v>8.8000000000000007</v>
      </c>
      <c r="K80" s="1208">
        <v>2.9</v>
      </c>
      <c r="L80" s="1210">
        <v>0.23599999999999999</v>
      </c>
      <c r="N80" s="1235"/>
      <c r="O80" s="1235"/>
      <c r="P80" s="1235"/>
      <c r="Q80" s="1235"/>
      <c r="R80" s="1235"/>
      <c r="S80" s="1235"/>
      <c r="T80" s="1235"/>
      <c r="U80" s="1235"/>
      <c r="V80" s="1235"/>
      <c r="W80" s="1235"/>
      <c r="X80" s="1235"/>
      <c r="Y80" s="1235"/>
    </row>
    <row r="81" spans="2:25" ht="11.25" customHeight="1" thickBot="1" x14ac:dyDescent="0.25">
      <c r="N81" s="1235"/>
      <c r="O81" s="1235"/>
      <c r="P81" s="1235"/>
      <c r="Q81" s="1235"/>
      <c r="R81" s="1235"/>
      <c r="S81" s="1235"/>
      <c r="T81" s="1235"/>
      <c r="U81" s="1235"/>
      <c r="V81" s="1235"/>
      <c r="W81" s="1235"/>
      <c r="X81" s="1235"/>
      <c r="Y81" s="1235"/>
    </row>
    <row r="82" spans="2:25" ht="11.25" customHeight="1" thickBot="1" x14ac:dyDescent="0.25">
      <c r="B82" s="760" t="s">
        <v>32</v>
      </c>
      <c r="C82" s="80" t="s">
        <v>153</v>
      </c>
      <c r="D82" s="401">
        <v>5.2</v>
      </c>
      <c r="E82" s="401">
        <v>3.8</v>
      </c>
      <c r="F82" s="401">
        <v>15</v>
      </c>
      <c r="G82" s="1211">
        <v>0.6</v>
      </c>
      <c r="H82" s="401">
        <v>3</v>
      </c>
      <c r="I82" s="1212">
        <v>9</v>
      </c>
      <c r="J82" s="1213">
        <v>6</v>
      </c>
      <c r="K82" s="401">
        <v>0</v>
      </c>
      <c r="L82" s="1214">
        <v>6.0000000000000001E-3</v>
      </c>
      <c r="N82" s="1246"/>
      <c r="O82" s="1247" t="s">
        <v>170</v>
      </c>
      <c r="P82" s="1247"/>
      <c r="Q82" s="1247"/>
      <c r="R82" s="1247"/>
      <c r="S82" s="1247"/>
      <c r="T82" s="1247"/>
      <c r="U82" s="1247"/>
      <c r="V82" s="1247"/>
      <c r="W82" s="1247"/>
      <c r="X82" s="1247"/>
      <c r="Y82" s="1248"/>
    </row>
    <row r="83" spans="2:25" ht="11.25" customHeight="1" x14ac:dyDescent="0.2">
      <c r="B83" s="761"/>
      <c r="C83" s="81" t="s">
        <v>172</v>
      </c>
      <c r="D83" s="165">
        <v>4.8</v>
      </c>
      <c r="E83" s="165">
        <v>20</v>
      </c>
      <c r="F83" s="165">
        <v>16</v>
      </c>
      <c r="G83" s="191">
        <v>0.7</v>
      </c>
      <c r="H83" s="165">
        <v>2</v>
      </c>
      <c r="I83" s="165">
        <v>15</v>
      </c>
      <c r="J83" s="1215">
        <v>8.8000000000000007</v>
      </c>
      <c r="K83" s="165">
        <v>0</v>
      </c>
      <c r="L83" s="1216">
        <v>0.20399999999999999</v>
      </c>
      <c r="N83" s="160" t="s">
        <v>257</v>
      </c>
      <c r="O83" s="212"/>
      <c r="P83" s="401">
        <v>0.1</v>
      </c>
      <c r="Q83" s="1249">
        <v>0.1</v>
      </c>
      <c r="R83" s="202">
        <v>9.1999999999999993</v>
      </c>
      <c r="S83" s="1211"/>
      <c r="T83" s="963"/>
      <c r="U83" s="401"/>
      <c r="V83" s="1142"/>
      <c r="W83" s="196">
        <v>2</v>
      </c>
      <c r="X83" s="1205"/>
      <c r="Y83" s="1250"/>
    </row>
    <row r="84" spans="2:25" ht="11.25" customHeight="1" x14ac:dyDescent="0.2">
      <c r="B84" s="761"/>
      <c r="C84" s="81" t="s">
        <v>168</v>
      </c>
      <c r="D84" s="1217"/>
      <c r="E84" s="165"/>
      <c r="F84" s="165"/>
      <c r="G84" s="165"/>
      <c r="H84" s="165"/>
      <c r="I84" s="165">
        <v>0</v>
      </c>
      <c r="J84" s="165">
        <v>0</v>
      </c>
      <c r="K84" s="165">
        <v>7.3</v>
      </c>
      <c r="L84" s="1216">
        <v>0</v>
      </c>
      <c r="N84" s="161" t="s">
        <v>258</v>
      </c>
      <c r="O84" s="213"/>
      <c r="P84" s="165">
        <v>0.1</v>
      </c>
      <c r="Q84" s="1251">
        <v>0.1</v>
      </c>
      <c r="R84" s="203">
        <v>13.4</v>
      </c>
      <c r="S84" s="191"/>
      <c r="T84" s="136"/>
      <c r="U84" s="165"/>
      <c r="V84" s="1233"/>
      <c r="W84" s="197">
        <v>2</v>
      </c>
      <c r="X84" s="1228"/>
      <c r="Y84" s="1244"/>
    </row>
    <row r="85" spans="2:25" ht="11.25" customHeight="1" x14ac:dyDescent="0.2">
      <c r="B85" s="761"/>
      <c r="C85" s="206"/>
      <c r="D85" s="55"/>
      <c r="E85" s="55"/>
      <c r="F85" s="55"/>
      <c r="G85" s="55"/>
      <c r="H85" s="55"/>
      <c r="I85" s="55"/>
      <c r="J85" s="55"/>
      <c r="K85" s="55"/>
      <c r="L85" s="207"/>
      <c r="N85" s="161" t="s">
        <v>259</v>
      </c>
      <c r="O85" s="213">
        <v>2</v>
      </c>
      <c r="P85" s="165">
        <v>0.1</v>
      </c>
      <c r="Q85" s="1251">
        <v>0.1</v>
      </c>
      <c r="R85" s="203">
        <v>14.8</v>
      </c>
      <c r="S85" s="191"/>
      <c r="T85" s="136"/>
      <c r="U85" s="165"/>
      <c r="V85" s="1233"/>
      <c r="W85" s="197">
        <v>1</v>
      </c>
      <c r="X85" s="1228"/>
      <c r="Y85" s="1244"/>
    </row>
    <row r="86" spans="2:25" ht="11.25" customHeight="1" x14ac:dyDescent="0.2">
      <c r="B86" s="761"/>
      <c r="C86" s="206"/>
      <c r="D86" s="55"/>
      <c r="E86" s="55"/>
      <c r="F86" s="55"/>
      <c r="G86" s="55"/>
      <c r="H86" s="55"/>
      <c r="I86" s="55"/>
      <c r="J86" s="55"/>
      <c r="K86" s="55"/>
      <c r="L86" s="207"/>
      <c r="N86" s="161" t="s">
        <v>260</v>
      </c>
      <c r="O86" s="213">
        <v>2</v>
      </c>
      <c r="P86" s="165">
        <v>0.1</v>
      </c>
      <c r="Q86" s="1251">
        <v>0.05</v>
      </c>
      <c r="R86" s="203">
        <v>12.2</v>
      </c>
      <c r="S86" s="191">
        <v>1</v>
      </c>
      <c r="T86" s="136">
        <v>5</v>
      </c>
      <c r="U86" s="165"/>
      <c r="V86" s="1233"/>
      <c r="W86" s="197">
        <v>4</v>
      </c>
      <c r="X86" s="1228">
        <v>40</v>
      </c>
      <c r="Y86" s="1244">
        <v>60</v>
      </c>
    </row>
    <row r="87" spans="2:25" ht="11.25" customHeight="1" x14ac:dyDescent="0.2">
      <c r="B87" s="761"/>
      <c r="C87" s="206"/>
      <c r="D87" s="55"/>
      <c r="E87" s="55"/>
      <c r="F87" s="55"/>
      <c r="G87" s="55"/>
      <c r="H87" s="55"/>
      <c r="I87" s="55"/>
      <c r="J87" s="55"/>
      <c r="K87" s="55"/>
      <c r="L87" s="207"/>
      <c r="N87" s="161" t="s">
        <v>261</v>
      </c>
      <c r="O87" s="213">
        <v>3</v>
      </c>
      <c r="P87" s="165">
        <v>0.1</v>
      </c>
      <c r="Q87" s="1251">
        <v>0.05</v>
      </c>
      <c r="R87" s="203">
        <v>13.6</v>
      </c>
      <c r="S87" s="191">
        <v>1</v>
      </c>
      <c r="T87" s="136">
        <v>5</v>
      </c>
      <c r="U87" s="165"/>
      <c r="V87" s="1233"/>
      <c r="W87" s="197">
        <v>4</v>
      </c>
      <c r="X87" s="1228">
        <v>40</v>
      </c>
      <c r="Y87" s="1244">
        <v>60</v>
      </c>
    </row>
    <row r="88" spans="2:25" ht="11.25" customHeight="1" x14ac:dyDescent="0.2">
      <c r="B88" s="761"/>
      <c r="C88" s="206"/>
      <c r="D88" s="55"/>
      <c r="E88" s="55"/>
      <c r="F88" s="55"/>
      <c r="G88" s="55"/>
      <c r="H88" s="55"/>
      <c r="I88" s="55"/>
      <c r="J88" s="55"/>
      <c r="K88" s="55"/>
      <c r="L88" s="207"/>
      <c r="N88" s="161" t="s">
        <v>262</v>
      </c>
      <c r="O88" s="213">
        <v>4</v>
      </c>
      <c r="P88" s="165">
        <v>0.1</v>
      </c>
      <c r="Q88" s="1251">
        <v>0.05</v>
      </c>
      <c r="R88" s="203">
        <v>14.3</v>
      </c>
      <c r="S88" s="191">
        <v>1</v>
      </c>
      <c r="T88" s="136">
        <v>5</v>
      </c>
      <c r="U88" s="165"/>
      <c r="V88" s="1233"/>
      <c r="W88" s="197">
        <v>3</v>
      </c>
      <c r="X88" s="1228"/>
      <c r="Y88" s="1244"/>
    </row>
    <row r="89" spans="2:25" ht="11.25" customHeight="1" x14ac:dyDescent="0.2">
      <c r="B89" s="761"/>
      <c r="C89" s="206"/>
      <c r="D89" s="55"/>
      <c r="E89" s="55"/>
      <c r="F89" s="55"/>
      <c r="G89" s="55"/>
      <c r="H89" s="55"/>
      <c r="I89" s="55"/>
      <c r="J89" s="55"/>
      <c r="K89" s="55"/>
      <c r="L89" s="207"/>
      <c r="N89" s="161" t="s">
        <v>263</v>
      </c>
      <c r="O89" s="213"/>
      <c r="P89" s="165">
        <v>0.1</v>
      </c>
      <c r="Q89" s="1251">
        <v>0.1</v>
      </c>
      <c r="R89" s="203">
        <v>11.3</v>
      </c>
      <c r="S89" s="191"/>
      <c r="T89" s="136"/>
      <c r="U89" s="165"/>
      <c r="V89" s="1233"/>
      <c r="W89" s="197">
        <v>2</v>
      </c>
      <c r="X89" s="1228"/>
      <c r="Y89" s="1244"/>
    </row>
    <row r="90" spans="2:25" ht="11.25" customHeight="1" x14ac:dyDescent="0.2">
      <c r="B90" s="761"/>
      <c r="C90" s="206"/>
      <c r="D90" s="55"/>
      <c r="E90" s="55"/>
      <c r="F90" s="321"/>
      <c r="G90" s="55"/>
      <c r="H90" s="55"/>
      <c r="I90" s="55"/>
      <c r="J90" s="55"/>
      <c r="K90" s="55"/>
      <c r="L90" s="207"/>
      <c r="N90" s="161"/>
      <c r="O90" s="1252"/>
      <c r="P90" s="1201"/>
      <c r="Q90" s="1251"/>
      <c r="R90" s="136"/>
      <c r="S90" s="191"/>
      <c r="T90" s="136"/>
      <c r="U90" s="165"/>
      <c r="V90" s="1233"/>
      <c r="W90" s="146"/>
      <c r="X90" s="1201"/>
      <c r="Y90" s="1244"/>
    </row>
    <row r="91" spans="2:25" ht="11.25" customHeight="1" x14ac:dyDescent="0.2">
      <c r="B91" s="761"/>
      <c r="C91" s="206"/>
      <c r="D91" s="55"/>
      <c r="E91" s="55"/>
      <c r="F91" s="55"/>
      <c r="G91" s="55"/>
      <c r="H91" s="55"/>
      <c r="I91" s="55"/>
      <c r="J91" s="55"/>
      <c r="K91" s="55"/>
      <c r="L91" s="207"/>
      <c r="N91" s="161" t="s">
        <v>266</v>
      </c>
      <c r="O91" s="1252"/>
      <c r="P91" s="1201">
        <v>0.1</v>
      </c>
      <c r="Q91" s="1251">
        <v>0.1</v>
      </c>
      <c r="R91" s="136">
        <v>10</v>
      </c>
      <c r="S91" s="191"/>
      <c r="T91" s="136"/>
      <c r="U91" s="165"/>
      <c r="V91" s="1233"/>
      <c r="W91" s="146">
        <v>2</v>
      </c>
      <c r="X91" s="1201"/>
      <c r="Y91" s="1244"/>
    </row>
    <row r="92" spans="2:25" ht="11.25" customHeight="1" x14ac:dyDescent="0.2">
      <c r="B92" s="761"/>
      <c r="C92" s="206"/>
      <c r="D92" s="55"/>
      <c r="E92" s="55"/>
      <c r="F92" s="55"/>
      <c r="G92" s="55"/>
      <c r="H92" s="55"/>
      <c r="I92" s="55"/>
      <c r="J92" s="55"/>
      <c r="K92" s="55"/>
      <c r="L92" s="207"/>
      <c r="N92" s="161" t="s">
        <v>267</v>
      </c>
      <c r="O92" s="1252">
        <v>2</v>
      </c>
      <c r="P92" s="1201">
        <v>0.1</v>
      </c>
      <c r="Q92" s="1251">
        <v>0.05</v>
      </c>
      <c r="R92" s="136">
        <v>9</v>
      </c>
      <c r="S92" s="191"/>
      <c r="T92" s="136"/>
      <c r="U92" s="165"/>
      <c r="V92" s="1233"/>
      <c r="W92" s="146">
        <v>1</v>
      </c>
      <c r="X92" s="1201"/>
      <c r="Y92" s="1244"/>
    </row>
    <row r="93" spans="2:25" ht="11.25" customHeight="1" x14ac:dyDescent="0.2">
      <c r="B93" s="761"/>
      <c r="C93" s="206"/>
      <c r="D93" s="55"/>
      <c r="E93" s="55"/>
      <c r="F93" s="55"/>
      <c r="G93" s="55"/>
      <c r="H93" s="55"/>
      <c r="I93" s="55"/>
      <c r="J93" s="55"/>
      <c r="K93" s="55"/>
      <c r="L93" s="207"/>
      <c r="N93" s="161" t="s">
        <v>268</v>
      </c>
      <c r="O93" s="1252">
        <v>4</v>
      </c>
      <c r="P93" s="1201">
        <v>0.1</v>
      </c>
      <c r="Q93" s="1251">
        <v>0.05</v>
      </c>
      <c r="R93" s="136">
        <v>8.5</v>
      </c>
      <c r="S93" s="191">
        <v>1</v>
      </c>
      <c r="T93" s="136">
        <v>5</v>
      </c>
      <c r="U93" s="165"/>
      <c r="V93" s="1233"/>
      <c r="W93" s="146">
        <v>3</v>
      </c>
      <c r="X93" s="1201"/>
      <c r="Y93" s="1244"/>
    </row>
    <row r="94" spans="2:25" ht="11.25" customHeight="1" thickBot="1" x14ac:dyDescent="0.25">
      <c r="B94" s="761"/>
      <c r="C94" s="206"/>
      <c r="D94" s="55"/>
      <c r="E94" s="55"/>
      <c r="F94" s="55"/>
      <c r="G94" s="55"/>
      <c r="H94" s="55"/>
      <c r="I94" s="55"/>
      <c r="J94" s="55"/>
      <c r="K94" s="55"/>
      <c r="L94" s="207"/>
      <c r="N94" s="162"/>
      <c r="O94" s="1253"/>
      <c r="P94" s="1208"/>
      <c r="Q94" s="1254"/>
      <c r="R94" s="167"/>
      <c r="S94" s="194"/>
      <c r="T94" s="167"/>
      <c r="U94" s="398"/>
      <c r="V94" s="1141"/>
      <c r="W94" s="195"/>
      <c r="X94" s="1208"/>
      <c r="Y94" s="1245"/>
    </row>
    <row r="95" spans="2:25" ht="11.25" customHeight="1" thickBot="1" x14ac:dyDescent="0.25">
      <c r="B95" s="761"/>
      <c r="C95" s="206"/>
      <c r="D95" s="55"/>
      <c r="E95" s="55"/>
      <c r="F95" s="55"/>
      <c r="G95" s="55"/>
      <c r="H95" s="55"/>
      <c r="I95" s="55"/>
      <c r="J95" s="55"/>
      <c r="K95" s="55"/>
      <c r="L95" s="207"/>
      <c r="N95" s="168"/>
      <c r="O95" s="763" t="s">
        <v>171</v>
      </c>
      <c r="P95" s="763"/>
      <c r="Q95" s="763"/>
      <c r="R95" s="763"/>
      <c r="S95" s="763"/>
      <c r="T95" s="763"/>
      <c r="U95" s="763"/>
      <c r="V95" s="763"/>
      <c r="W95" s="763"/>
      <c r="X95" s="763"/>
      <c r="Y95" s="764"/>
    </row>
    <row r="96" spans="2:25" ht="11.25" customHeight="1" x14ac:dyDescent="0.2">
      <c r="B96" s="761"/>
      <c r="C96" s="206"/>
      <c r="D96" s="55"/>
      <c r="E96" s="55"/>
      <c r="F96" s="55"/>
      <c r="G96" s="55"/>
      <c r="H96" s="55"/>
      <c r="I96" s="55"/>
      <c r="J96" s="55"/>
      <c r="K96" s="55"/>
      <c r="L96" s="207"/>
      <c r="N96" s="160" t="s">
        <v>264</v>
      </c>
      <c r="O96" s="212"/>
      <c r="P96" s="401">
        <v>0.1</v>
      </c>
      <c r="Q96" s="1249">
        <v>0.1</v>
      </c>
      <c r="R96" s="202">
        <v>3.9</v>
      </c>
      <c r="S96" s="1211"/>
      <c r="T96" s="1211"/>
      <c r="U96" s="401"/>
      <c r="V96" s="1236"/>
      <c r="W96" s="196">
        <v>2</v>
      </c>
      <c r="X96" s="1205"/>
      <c r="Y96" s="1250"/>
    </row>
    <row r="97" spans="2:25" ht="11.25" customHeight="1" x14ac:dyDescent="0.2">
      <c r="B97" s="761"/>
      <c r="C97" s="206"/>
      <c r="D97" s="55"/>
      <c r="E97" s="55"/>
      <c r="F97" s="55"/>
      <c r="G97" s="55"/>
      <c r="H97" s="55"/>
      <c r="I97" s="55"/>
      <c r="J97" s="55"/>
      <c r="K97" s="55"/>
      <c r="L97" s="207"/>
      <c r="N97" s="161" t="s">
        <v>265</v>
      </c>
      <c r="O97" s="213"/>
      <c r="P97" s="165">
        <v>0.1</v>
      </c>
      <c r="Q97" s="1251">
        <v>0.1</v>
      </c>
      <c r="R97" s="203">
        <v>7.8</v>
      </c>
      <c r="S97" s="191"/>
      <c r="T97" s="191"/>
      <c r="U97" s="165"/>
      <c r="V97" s="132"/>
      <c r="W97" s="197">
        <v>2</v>
      </c>
      <c r="X97" s="1228"/>
      <c r="Y97" s="1244"/>
    </row>
    <row r="98" spans="2:25" ht="11.25" customHeight="1" x14ac:dyDescent="0.2">
      <c r="B98" s="761"/>
      <c r="C98" s="206"/>
      <c r="D98" s="55"/>
      <c r="E98" s="55"/>
      <c r="F98" s="55"/>
      <c r="G98" s="55"/>
      <c r="H98" s="55"/>
      <c r="I98" s="55"/>
      <c r="J98" s="55"/>
      <c r="K98" s="55"/>
      <c r="L98" s="207"/>
      <c r="N98" s="161" t="s">
        <v>262</v>
      </c>
      <c r="O98" s="213">
        <v>2</v>
      </c>
      <c r="P98" s="165">
        <v>0.1</v>
      </c>
      <c r="Q98" s="1251">
        <v>0.05</v>
      </c>
      <c r="R98" s="203">
        <v>14.3</v>
      </c>
      <c r="S98" s="191">
        <v>1</v>
      </c>
      <c r="T98" s="191">
        <v>5</v>
      </c>
      <c r="U98" s="165"/>
      <c r="V98" s="132"/>
      <c r="W98" s="197">
        <v>3</v>
      </c>
      <c r="X98" s="1228"/>
      <c r="Y98" s="1244"/>
    </row>
    <row r="99" spans="2:25" ht="11.25" customHeight="1" x14ac:dyDescent="0.2">
      <c r="B99" s="761"/>
      <c r="C99" s="206"/>
      <c r="D99" s="55"/>
      <c r="E99" s="55"/>
      <c r="F99" s="55"/>
      <c r="G99" s="55"/>
      <c r="H99" s="55"/>
      <c r="I99" s="55"/>
      <c r="J99" s="55"/>
      <c r="K99" s="55"/>
      <c r="L99" s="207"/>
      <c r="N99" s="161"/>
      <c r="O99" s="1255"/>
      <c r="P99" s="1256"/>
      <c r="Q99" s="1257"/>
      <c r="R99" s="94"/>
      <c r="S99" s="191"/>
      <c r="T99" s="191"/>
      <c r="U99" s="165"/>
      <c r="V99" s="132"/>
      <c r="W99" s="85"/>
      <c r="X99" s="1201"/>
      <c r="Y99" s="1244"/>
    </row>
    <row r="100" spans="2:25" ht="11.25" customHeight="1" x14ac:dyDescent="0.2">
      <c r="B100" s="761"/>
      <c r="C100" s="206"/>
      <c r="D100" s="55"/>
      <c r="E100" s="55"/>
      <c r="F100" s="55"/>
      <c r="G100" s="55"/>
      <c r="H100" s="55"/>
      <c r="I100" s="55"/>
      <c r="J100" s="55"/>
      <c r="K100" s="55"/>
      <c r="L100" s="207"/>
      <c r="N100" s="161"/>
      <c r="O100" s="1255"/>
      <c r="P100" s="1256"/>
      <c r="Q100" s="1257"/>
      <c r="R100" s="94"/>
      <c r="S100" s="191"/>
      <c r="T100" s="191"/>
      <c r="U100" s="165"/>
      <c r="V100" s="132"/>
      <c r="W100" s="85"/>
      <c r="X100" s="1201"/>
      <c r="Y100" s="1244"/>
    </row>
    <row r="101" spans="2:25" ht="11.25" customHeight="1" x14ac:dyDescent="0.2">
      <c r="B101" s="761"/>
      <c r="C101" s="206"/>
      <c r="D101" s="55"/>
      <c r="E101" s="55"/>
      <c r="F101" s="55"/>
      <c r="G101" s="55"/>
      <c r="H101" s="55"/>
      <c r="I101" s="55"/>
      <c r="J101" s="55"/>
      <c r="K101" s="55"/>
      <c r="L101" s="207"/>
      <c r="N101" s="161"/>
      <c r="O101" s="1255"/>
      <c r="P101" s="1256"/>
      <c r="Q101" s="1257"/>
      <c r="R101" s="94"/>
      <c r="S101" s="191"/>
      <c r="T101" s="191"/>
      <c r="U101" s="165"/>
      <c r="V101" s="132"/>
      <c r="W101" s="85"/>
      <c r="X101" s="1201"/>
      <c r="Y101" s="1244"/>
    </row>
    <row r="102" spans="2:25" ht="11.25" customHeight="1" x14ac:dyDescent="0.2">
      <c r="B102" s="761"/>
      <c r="C102" s="206"/>
      <c r="D102" s="55"/>
      <c r="E102" s="55"/>
      <c r="F102" s="55"/>
      <c r="G102" s="55"/>
      <c r="H102" s="55"/>
      <c r="I102" s="55"/>
      <c r="J102" s="55"/>
      <c r="K102" s="55"/>
      <c r="L102" s="207"/>
      <c r="N102" s="161"/>
      <c r="O102" s="1255"/>
      <c r="P102" s="1256"/>
      <c r="Q102" s="1257"/>
      <c r="R102" s="94"/>
      <c r="S102" s="191"/>
      <c r="T102" s="191"/>
      <c r="U102" s="165"/>
      <c r="V102" s="132"/>
      <c r="W102" s="85"/>
      <c r="X102" s="1201"/>
      <c r="Y102" s="1244"/>
    </row>
    <row r="103" spans="2:25" ht="11.25" customHeight="1" x14ac:dyDescent="0.2">
      <c r="B103" s="761"/>
      <c r="C103" s="206"/>
      <c r="D103" s="55"/>
      <c r="E103" s="55"/>
      <c r="F103" s="55"/>
      <c r="G103" s="55"/>
      <c r="H103" s="55"/>
      <c r="I103" s="55"/>
      <c r="J103" s="55"/>
      <c r="K103" s="55"/>
      <c r="L103" s="207"/>
      <c r="N103" s="161"/>
      <c r="O103" s="1255"/>
      <c r="P103" s="1256"/>
      <c r="Q103" s="1257"/>
      <c r="R103" s="94"/>
      <c r="S103" s="191"/>
      <c r="T103" s="191"/>
      <c r="U103" s="165"/>
      <c r="V103" s="132"/>
      <c r="W103" s="85"/>
      <c r="X103" s="1201"/>
      <c r="Y103" s="1244"/>
    </row>
    <row r="104" spans="2:25" ht="11.25" customHeight="1" x14ac:dyDescent="0.2">
      <c r="B104" s="761"/>
      <c r="C104" s="206"/>
      <c r="D104" s="55"/>
      <c r="E104" s="55"/>
      <c r="F104" s="55"/>
      <c r="G104" s="55"/>
      <c r="H104" s="55"/>
      <c r="I104" s="55"/>
      <c r="J104" s="55"/>
      <c r="K104" s="55"/>
      <c r="L104" s="207"/>
      <c r="N104" s="161"/>
      <c r="O104" s="1255"/>
      <c r="P104" s="1256"/>
      <c r="Q104" s="1257"/>
      <c r="R104" s="94"/>
      <c r="S104" s="191"/>
      <c r="T104" s="191"/>
      <c r="U104" s="165"/>
      <c r="V104" s="132"/>
      <c r="W104" s="85"/>
      <c r="X104" s="1201"/>
      <c r="Y104" s="1244"/>
    </row>
    <row r="105" spans="2:25" ht="11.25" customHeight="1" x14ac:dyDescent="0.2">
      <c r="B105" s="761"/>
      <c r="C105" s="206"/>
      <c r="D105" s="55"/>
      <c r="E105" s="55"/>
      <c r="F105" s="55"/>
      <c r="G105" s="55"/>
      <c r="H105" s="55"/>
      <c r="I105" s="55"/>
      <c r="J105" s="55"/>
      <c r="K105" s="55"/>
      <c r="L105" s="207"/>
      <c r="N105" s="161"/>
      <c r="O105" s="1255"/>
      <c r="P105" s="1256"/>
      <c r="Q105" s="1257"/>
      <c r="R105" s="94"/>
      <c r="S105" s="191"/>
      <c r="T105" s="191"/>
      <c r="U105" s="165"/>
      <c r="V105" s="132"/>
      <c r="W105" s="85"/>
      <c r="X105" s="1201"/>
      <c r="Y105" s="1244"/>
    </row>
    <row r="106" spans="2:25" ht="11.25" customHeight="1" x14ac:dyDescent="0.2">
      <c r="B106" s="761"/>
      <c r="C106" s="206"/>
      <c r="D106" s="55"/>
      <c r="E106" s="55"/>
      <c r="F106" s="55"/>
      <c r="G106" s="55"/>
      <c r="H106" s="55"/>
      <c r="I106" s="55"/>
      <c r="J106" s="55"/>
      <c r="K106" s="55"/>
      <c r="L106" s="207"/>
      <c r="N106" s="161"/>
      <c r="O106" s="1255"/>
      <c r="P106" s="1256"/>
      <c r="Q106" s="1257"/>
      <c r="R106" s="94"/>
      <c r="S106" s="191"/>
      <c r="T106" s="191"/>
      <c r="U106" s="165"/>
      <c r="V106" s="132"/>
      <c r="W106" s="85"/>
      <c r="X106" s="1201"/>
      <c r="Y106" s="1244"/>
    </row>
    <row r="107" spans="2:25" ht="11.25" customHeight="1" thickBot="1" x14ac:dyDescent="0.25">
      <c r="B107" s="762"/>
      <c r="C107" s="172"/>
      <c r="D107" s="173"/>
      <c r="E107" s="173"/>
      <c r="F107" s="173"/>
      <c r="G107" s="173"/>
      <c r="H107" s="173"/>
      <c r="I107" s="173"/>
      <c r="J107" s="173"/>
      <c r="K107" s="173"/>
      <c r="L107" s="174"/>
      <c r="N107" s="162"/>
      <c r="O107" s="1258"/>
      <c r="P107" s="1259"/>
      <c r="Q107" s="1260"/>
      <c r="R107" s="95"/>
      <c r="S107" s="194"/>
      <c r="T107" s="194"/>
      <c r="U107" s="398"/>
      <c r="V107" s="405"/>
      <c r="W107" s="86"/>
      <c r="X107" s="1208"/>
      <c r="Y107" s="1245"/>
    </row>
    <row r="108" spans="2:25" ht="12" thickBot="1" x14ac:dyDescent="0.25">
      <c r="N108" s="1235"/>
      <c r="O108" s="1235"/>
      <c r="P108" s="1235"/>
      <c r="Q108" s="1235"/>
      <c r="R108" s="1235"/>
      <c r="S108" s="1235"/>
      <c r="T108" s="1235"/>
      <c r="U108" s="1235"/>
      <c r="V108" s="1235"/>
      <c r="W108" s="1235"/>
      <c r="X108" s="1235"/>
      <c r="Y108" s="1235"/>
    </row>
    <row r="109" spans="2:25" x14ac:dyDescent="0.2">
      <c r="B109" s="773" t="s">
        <v>28</v>
      </c>
      <c r="C109" s="169"/>
      <c r="D109" s="170"/>
      <c r="E109" s="170"/>
      <c r="F109" s="170"/>
      <c r="G109" s="170"/>
      <c r="H109" s="170"/>
      <c r="I109" s="170"/>
      <c r="J109" s="170"/>
      <c r="K109" s="170"/>
      <c r="L109" s="171"/>
      <c r="N109" s="160" t="s">
        <v>269</v>
      </c>
      <c r="O109" s="212"/>
      <c r="P109" s="401">
        <v>0.1</v>
      </c>
      <c r="Q109" s="1249">
        <v>0.2</v>
      </c>
      <c r="R109" s="202">
        <v>12.8</v>
      </c>
      <c r="S109" s="1211"/>
      <c r="T109" s="1211"/>
      <c r="U109" s="401"/>
      <c r="V109" s="1231"/>
      <c r="W109" s="196">
        <v>2</v>
      </c>
      <c r="X109" s="1261"/>
      <c r="Y109" s="13"/>
    </row>
    <row r="110" spans="2:25" x14ac:dyDescent="0.2">
      <c r="B110" s="774"/>
      <c r="C110" s="206"/>
      <c r="D110" s="55"/>
      <c r="E110" s="55"/>
      <c r="F110" s="55"/>
      <c r="G110" s="55"/>
      <c r="H110" s="55"/>
      <c r="I110" s="55"/>
      <c r="J110" s="55"/>
      <c r="K110" s="55"/>
      <c r="L110" s="207"/>
      <c r="N110" s="161" t="s">
        <v>270</v>
      </c>
      <c r="O110" s="213"/>
      <c r="P110" s="165">
        <v>0.1</v>
      </c>
      <c r="Q110" s="1251">
        <v>0.2</v>
      </c>
      <c r="R110" s="203">
        <v>17.100000000000001</v>
      </c>
      <c r="S110" s="191"/>
      <c r="T110" s="191"/>
      <c r="U110" s="165"/>
      <c r="V110" s="1233"/>
      <c r="W110" s="197">
        <v>2</v>
      </c>
      <c r="X110" s="1262"/>
      <c r="Y110" s="4"/>
    </row>
    <row r="111" spans="2:25" x14ac:dyDescent="0.2">
      <c r="B111" s="774"/>
      <c r="C111" s="206"/>
      <c r="D111" s="55"/>
      <c r="E111" s="55"/>
      <c r="F111" s="55"/>
      <c r="G111" s="55"/>
      <c r="H111" s="55"/>
      <c r="I111" s="55"/>
      <c r="J111" s="55"/>
      <c r="K111" s="55"/>
      <c r="L111" s="207"/>
      <c r="N111" s="161" t="s">
        <v>271</v>
      </c>
      <c r="O111" s="213"/>
      <c r="P111" s="165">
        <v>0.1</v>
      </c>
      <c r="Q111" s="1251">
        <v>0.2</v>
      </c>
      <c r="R111" s="203">
        <v>20.9</v>
      </c>
      <c r="S111" s="191"/>
      <c r="T111" s="191"/>
      <c r="U111" s="165"/>
      <c r="V111" s="1233"/>
      <c r="W111" s="197">
        <v>2</v>
      </c>
      <c r="X111" s="1262"/>
      <c r="Y111" s="4"/>
    </row>
    <row r="112" spans="2:25" x14ac:dyDescent="0.2">
      <c r="B112" s="774"/>
      <c r="C112" s="206"/>
      <c r="D112" s="55"/>
      <c r="E112" s="55"/>
      <c r="F112" s="55"/>
      <c r="G112" s="55"/>
      <c r="H112" s="55"/>
      <c r="I112" s="55"/>
      <c r="J112" s="55"/>
      <c r="K112" s="55"/>
      <c r="L112" s="207"/>
      <c r="N112" s="161" t="s">
        <v>272</v>
      </c>
      <c r="O112" s="213">
        <v>0.5</v>
      </c>
      <c r="P112" s="165">
        <v>0.1</v>
      </c>
      <c r="Q112" s="1251">
        <v>0.1</v>
      </c>
      <c r="R112" s="203">
        <v>27.3</v>
      </c>
      <c r="S112" s="191"/>
      <c r="T112" s="191"/>
      <c r="U112" s="165"/>
      <c r="V112" s="1233"/>
      <c r="W112" s="197">
        <v>1</v>
      </c>
      <c r="X112" s="1262"/>
      <c r="Y112" s="4"/>
    </row>
    <row r="113" spans="2:25" x14ac:dyDescent="0.2">
      <c r="B113" s="774"/>
      <c r="C113" s="206"/>
      <c r="D113" s="55"/>
      <c r="E113" s="55"/>
      <c r="F113" s="55"/>
      <c r="G113" s="55"/>
      <c r="H113" s="55"/>
      <c r="I113" s="55"/>
      <c r="J113" s="55"/>
      <c r="K113" s="55"/>
      <c r="L113" s="207"/>
      <c r="N113" s="161" t="s">
        <v>273</v>
      </c>
      <c r="O113" s="213">
        <v>0.5</v>
      </c>
      <c r="P113" s="165">
        <v>0.1</v>
      </c>
      <c r="Q113" s="1251">
        <v>0.05</v>
      </c>
      <c r="R113" s="203">
        <v>20.3</v>
      </c>
      <c r="S113" s="191">
        <v>1</v>
      </c>
      <c r="T113" s="191">
        <v>5</v>
      </c>
      <c r="U113" s="165"/>
      <c r="V113" s="1233"/>
      <c r="W113" s="197">
        <v>4</v>
      </c>
      <c r="X113" s="1228">
        <v>40</v>
      </c>
      <c r="Y113" s="1244">
        <v>60</v>
      </c>
    </row>
    <row r="114" spans="2:25" x14ac:dyDescent="0.2">
      <c r="B114" s="774"/>
      <c r="C114" s="206"/>
      <c r="D114" s="55"/>
      <c r="E114" s="55"/>
      <c r="F114" s="55"/>
      <c r="G114" s="55"/>
      <c r="H114" s="55"/>
      <c r="I114" s="55"/>
      <c r="J114" s="55"/>
      <c r="K114" s="55"/>
      <c r="L114" s="207"/>
      <c r="N114" s="161" t="s">
        <v>130</v>
      </c>
      <c r="O114" s="213">
        <v>1</v>
      </c>
      <c r="P114" s="165">
        <v>0.1</v>
      </c>
      <c r="Q114" s="1251">
        <v>0.05</v>
      </c>
      <c r="R114" s="203">
        <v>23</v>
      </c>
      <c r="S114" s="191">
        <v>1</v>
      </c>
      <c r="T114" s="191">
        <v>5</v>
      </c>
      <c r="U114" s="165"/>
      <c r="V114" s="1233"/>
      <c r="W114" s="197">
        <v>3</v>
      </c>
      <c r="X114" s="1228"/>
      <c r="Y114" s="1244"/>
    </row>
    <row r="115" spans="2:25" x14ac:dyDescent="0.2">
      <c r="B115" s="774"/>
      <c r="C115" s="206"/>
      <c r="D115" s="55"/>
      <c r="E115" s="55"/>
      <c r="F115" s="55"/>
      <c r="G115" s="55"/>
      <c r="H115" s="55"/>
      <c r="I115" s="55"/>
      <c r="J115" s="55"/>
      <c r="K115" s="55"/>
      <c r="L115" s="207"/>
      <c r="N115" s="161" t="s">
        <v>274</v>
      </c>
      <c r="O115" s="213">
        <v>0.5</v>
      </c>
      <c r="P115" s="165">
        <v>0.1</v>
      </c>
      <c r="Q115" s="1251">
        <v>0.1</v>
      </c>
      <c r="R115" s="203">
        <v>27.3</v>
      </c>
      <c r="S115" s="191"/>
      <c r="T115" s="191"/>
      <c r="U115" s="165"/>
      <c r="V115" s="1233"/>
      <c r="W115" s="197">
        <v>5</v>
      </c>
      <c r="X115" s="1262"/>
      <c r="Y115" s="4"/>
    </row>
    <row r="116" spans="2:25" x14ac:dyDescent="0.2">
      <c r="B116" s="774"/>
      <c r="C116" s="206"/>
      <c r="D116" s="55"/>
      <c r="E116" s="55"/>
      <c r="F116" s="55"/>
      <c r="G116" s="55"/>
      <c r="H116" s="55"/>
      <c r="I116" s="55"/>
      <c r="J116" s="55"/>
      <c r="K116" s="55"/>
      <c r="L116" s="207"/>
      <c r="N116" s="161"/>
      <c r="O116" s="213"/>
      <c r="P116" s="1263"/>
      <c r="Q116" s="1264"/>
      <c r="R116" s="94"/>
      <c r="S116" s="191"/>
      <c r="T116" s="191"/>
      <c r="U116" s="165"/>
      <c r="V116" s="1233"/>
      <c r="W116" s="197"/>
      <c r="X116" s="1256"/>
      <c r="Y116" s="4"/>
    </row>
    <row r="117" spans="2:25" x14ac:dyDescent="0.2">
      <c r="B117" s="774"/>
      <c r="C117" s="206"/>
      <c r="D117" s="55"/>
      <c r="E117" s="55"/>
      <c r="F117" s="55"/>
      <c r="G117" s="55"/>
      <c r="H117" s="55"/>
      <c r="I117" s="55"/>
      <c r="J117" s="55"/>
      <c r="K117" s="55"/>
      <c r="L117" s="207"/>
      <c r="N117" s="161" t="s">
        <v>129</v>
      </c>
      <c r="O117" s="213"/>
      <c r="P117" s="1263">
        <v>0.1</v>
      </c>
      <c r="Q117" s="1264">
        <v>0.2</v>
      </c>
      <c r="R117" s="94">
        <v>13</v>
      </c>
      <c r="S117" s="191"/>
      <c r="T117" s="191"/>
      <c r="U117" s="165"/>
      <c r="V117" s="1233"/>
      <c r="W117" s="197">
        <v>2</v>
      </c>
      <c r="X117" s="1256"/>
      <c r="Y117" s="4"/>
    </row>
    <row r="118" spans="2:25" x14ac:dyDescent="0.2">
      <c r="B118" s="774"/>
      <c r="C118" s="206"/>
      <c r="D118" s="55"/>
      <c r="E118" s="55"/>
      <c r="F118" s="55"/>
      <c r="G118" s="55"/>
      <c r="H118" s="55"/>
      <c r="I118" s="55"/>
      <c r="J118" s="55"/>
      <c r="K118" s="55"/>
      <c r="L118" s="207"/>
      <c r="N118" s="161" t="s">
        <v>133</v>
      </c>
      <c r="O118" s="213">
        <v>0.5</v>
      </c>
      <c r="P118" s="1263">
        <v>0.1</v>
      </c>
      <c r="Q118" s="1264">
        <v>0.1</v>
      </c>
      <c r="R118" s="94">
        <v>25</v>
      </c>
      <c r="S118" s="191"/>
      <c r="T118" s="191"/>
      <c r="U118" s="165"/>
      <c r="V118" s="1233"/>
      <c r="W118" s="197">
        <v>1</v>
      </c>
      <c r="X118" s="1256"/>
      <c r="Y118" s="4"/>
    </row>
    <row r="119" spans="2:25" x14ac:dyDescent="0.2">
      <c r="B119" s="774"/>
      <c r="C119" s="206"/>
      <c r="D119" s="55"/>
      <c r="E119" s="55"/>
      <c r="F119" s="55"/>
      <c r="G119" s="55"/>
      <c r="H119" s="55"/>
      <c r="I119" s="55"/>
      <c r="J119" s="55"/>
      <c r="K119" s="55"/>
      <c r="L119" s="207"/>
      <c r="N119" s="161" t="s">
        <v>130</v>
      </c>
      <c r="O119" s="213">
        <v>1</v>
      </c>
      <c r="P119" s="1263">
        <v>0.1</v>
      </c>
      <c r="Q119" s="1264">
        <v>0.1</v>
      </c>
      <c r="R119" s="94">
        <v>20</v>
      </c>
      <c r="S119" s="191"/>
      <c r="T119" s="191"/>
      <c r="U119" s="165"/>
      <c r="V119" s="1233"/>
      <c r="W119" s="197">
        <v>3</v>
      </c>
      <c r="X119" s="1256"/>
      <c r="Y119" s="4"/>
    </row>
    <row r="120" spans="2:25" ht="12" thickBot="1" x14ac:dyDescent="0.25">
      <c r="B120" s="775"/>
      <c r="C120" s="172"/>
      <c r="D120" s="173"/>
      <c r="E120" s="173"/>
      <c r="F120" s="173"/>
      <c r="G120" s="173"/>
      <c r="H120" s="173"/>
      <c r="I120" s="173"/>
      <c r="J120" s="173"/>
      <c r="K120" s="173"/>
      <c r="L120" s="174"/>
      <c r="N120" s="162"/>
      <c r="O120" s="1265"/>
      <c r="P120" s="1266"/>
      <c r="Q120" s="1267"/>
      <c r="R120" s="95"/>
      <c r="S120" s="194"/>
      <c r="T120" s="194"/>
      <c r="U120" s="398"/>
      <c r="V120" s="1234"/>
      <c r="W120" s="198"/>
      <c r="X120" s="1259"/>
      <c r="Y120" s="1268"/>
    </row>
    <row r="121" spans="2:25" ht="12" thickBot="1" x14ac:dyDescent="0.25">
      <c r="N121" s="1235"/>
      <c r="O121" s="1235"/>
      <c r="P121" s="1235"/>
      <c r="Q121" s="1235"/>
      <c r="R121" s="1235"/>
      <c r="S121" s="1235"/>
      <c r="T121" s="1235"/>
      <c r="U121" s="1235"/>
      <c r="V121" s="1235"/>
      <c r="W121" s="1235"/>
      <c r="X121" s="1235"/>
      <c r="Y121" s="1235"/>
    </row>
    <row r="122" spans="2:25" x14ac:dyDescent="0.2">
      <c r="B122" s="770" t="s">
        <v>31</v>
      </c>
      <c r="C122" s="169"/>
      <c r="D122" s="170"/>
      <c r="E122" s="170"/>
      <c r="F122" s="170"/>
      <c r="G122" s="170"/>
      <c r="H122" s="170"/>
      <c r="I122" s="170"/>
      <c r="J122" s="170"/>
      <c r="K122" s="170"/>
      <c r="L122" s="171"/>
      <c r="N122" s="160" t="s">
        <v>275</v>
      </c>
      <c r="O122" s="212"/>
      <c r="P122" s="1211">
        <v>0.01</v>
      </c>
      <c r="Q122" s="1249">
        <v>0.05</v>
      </c>
      <c r="R122" s="202">
        <v>10.3</v>
      </c>
      <c r="S122" s="1204"/>
      <c r="T122" s="401"/>
      <c r="U122" s="139"/>
      <c r="V122" s="1231"/>
      <c r="W122" s="196">
        <v>2</v>
      </c>
      <c r="X122" s="1269"/>
      <c r="Y122" s="1270"/>
    </row>
    <row r="123" spans="2:25" ht="10.5" customHeight="1" x14ac:dyDescent="0.2">
      <c r="B123" s="771"/>
      <c r="C123" s="206"/>
      <c r="D123" s="55"/>
      <c r="E123" s="55"/>
      <c r="F123" s="55"/>
      <c r="G123" s="55"/>
      <c r="H123" s="55"/>
      <c r="I123" s="55"/>
      <c r="J123" s="55"/>
      <c r="K123" s="55"/>
      <c r="L123" s="207"/>
      <c r="N123" s="161" t="s">
        <v>276</v>
      </c>
      <c r="O123" s="213"/>
      <c r="P123" s="191">
        <v>0.01</v>
      </c>
      <c r="Q123" s="1251">
        <v>0.05</v>
      </c>
      <c r="R123" s="203">
        <v>20.7</v>
      </c>
      <c r="S123" s="1201"/>
      <c r="T123" s="165"/>
      <c r="U123" s="104"/>
      <c r="V123" s="1233"/>
      <c r="W123" s="197">
        <v>2</v>
      </c>
      <c r="X123" s="1271"/>
      <c r="Y123" s="1272"/>
    </row>
    <row r="124" spans="2:25" ht="10.5" customHeight="1" x14ac:dyDescent="0.2">
      <c r="B124" s="771"/>
      <c r="C124" s="206"/>
      <c r="D124" s="55"/>
      <c r="E124" s="55"/>
      <c r="F124" s="55"/>
      <c r="G124" s="55"/>
      <c r="H124" s="55"/>
      <c r="I124" s="55"/>
      <c r="J124" s="55"/>
      <c r="K124" s="55"/>
      <c r="L124" s="207"/>
      <c r="N124" s="161" t="s">
        <v>272</v>
      </c>
      <c r="O124" s="213">
        <v>0.25</v>
      </c>
      <c r="P124" s="191">
        <v>0.01</v>
      </c>
      <c r="Q124" s="1251">
        <v>0.05</v>
      </c>
      <c r="R124" s="203">
        <v>34.5</v>
      </c>
      <c r="S124" s="1201"/>
      <c r="T124" s="165"/>
      <c r="U124" s="104"/>
      <c r="V124" s="1233"/>
      <c r="W124" s="197">
        <v>1</v>
      </c>
      <c r="X124" s="1271"/>
      <c r="Y124" s="1272"/>
    </row>
    <row r="125" spans="2:25" ht="10.5" customHeight="1" x14ac:dyDescent="0.2">
      <c r="B125" s="771"/>
      <c r="C125" s="206"/>
      <c r="D125" s="55"/>
      <c r="E125" s="55"/>
      <c r="F125" s="55"/>
      <c r="G125" s="55"/>
      <c r="H125" s="55"/>
      <c r="I125" s="55"/>
      <c r="J125" s="55"/>
      <c r="K125" s="55"/>
      <c r="L125" s="207"/>
      <c r="N125" s="161" t="s">
        <v>130</v>
      </c>
      <c r="O125" s="213">
        <v>0.5</v>
      </c>
      <c r="P125" s="191">
        <v>0.01</v>
      </c>
      <c r="Q125" s="1251">
        <v>0.05</v>
      </c>
      <c r="R125" s="203">
        <v>24.1</v>
      </c>
      <c r="S125" s="165">
        <v>1</v>
      </c>
      <c r="T125" s="165">
        <v>5</v>
      </c>
      <c r="U125" s="104"/>
      <c r="V125" s="1233"/>
      <c r="W125" s="197">
        <v>3</v>
      </c>
      <c r="X125" s="1228"/>
      <c r="Y125" s="1244"/>
    </row>
    <row r="126" spans="2:25" ht="10.5" customHeight="1" x14ac:dyDescent="0.2">
      <c r="B126" s="771"/>
      <c r="C126" s="206"/>
      <c r="D126" s="55"/>
      <c r="E126" s="55"/>
      <c r="F126" s="55"/>
      <c r="G126" s="55"/>
      <c r="H126" s="55"/>
      <c r="I126" s="55"/>
      <c r="J126" s="55"/>
      <c r="K126" s="55"/>
      <c r="L126" s="207"/>
      <c r="N126" s="161"/>
      <c r="O126" s="1252"/>
      <c r="P126" s="1273"/>
      <c r="Q126" s="1264"/>
      <c r="R126" s="199"/>
      <c r="S126" s="1201"/>
      <c r="T126" s="165"/>
      <c r="U126" s="104"/>
      <c r="V126" s="1233"/>
      <c r="W126" s="146"/>
      <c r="X126" s="1263"/>
      <c r="Y126" s="1272"/>
    </row>
    <row r="127" spans="2:25" ht="10.5" customHeight="1" x14ac:dyDescent="0.2">
      <c r="B127" s="771"/>
      <c r="C127" s="206"/>
      <c r="D127" s="55"/>
      <c r="E127" s="55"/>
      <c r="F127" s="55"/>
      <c r="G127" s="55"/>
      <c r="H127" s="55"/>
      <c r="I127" s="55"/>
      <c r="J127" s="55"/>
      <c r="K127" s="55"/>
      <c r="L127" s="207"/>
      <c r="N127" s="161"/>
      <c r="O127" s="1252"/>
      <c r="P127" s="1273"/>
      <c r="Q127" s="1264"/>
      <c r="R127" s="199"/>
      <c r="S127" s="1201"/>
      <c r="T127" s="165"/>
      <c r="U127" s="104"/>
      <c r="V127" s="1233"/>
      <c r="W127" s="146"/>
      <c r="X127" s="1263"/>
      <c r="Y127" s="1272"/>
    </row>
    <row r="128" spans="2:25" ht="10.5" customHeight="1" x14ac:dyDescent="0.2">
      <c r="B128" s="771"/>
      <c r="C128" s="206"/>
      <c r="D128" s="55"/>
      <c r="E128" s="55"/>
      <c r="F128" s="55"/>
      <c r="G128" s="55"/>
      <c r="H128" s="55"/>
      <c r="I128" s="55"/>
      <c r="J128" s="55"/>
      <c r="K128" s="55"/>
      <c r="L128" s="207"/>
      <c r="N128" s="161"/>
      <c r="O128" s="1252"/>
      <c r="P128" s="1273"/>
      <c r="Q128" s="1264"/>
      <c r="R128" s="199"/>
      <c r="S128" s="165"/>
      <c r="T128" s="165"/>
      <c r="U128" s="104"/>
      <c r="V128" s="1233"/>
      <c r="W128" s="146"/>
      <c r="X128" s="1263"/>
      <c r="Y128" s="1272"/>
    </row>
    <row r="129" spans="2:25" ht="10.5" customHeight="1" x14ac:dyDescent="0.2">
      <c r="B129" s="771"/>
      <c r="C129" s="206"/>
      <c r="D129" s="55"/>
      <c r="E129" s="55"/>
      <c r="F129" s="55"/>
      <c r="G129" s="55"/>
      <c r="H129" s="55"/>
      <c r="I129" s="55"/>
      <c r="J129" s="55"/>
      <c r="K129" s="55"/>
      <c r="L129" s="207"/>
      <c r="N129" s="161" t="s">
        <v>129</v>
      </c>
      <c r="O129" s="1252"/>
      <c r="P129" s="1273">
        <v>0.01</v>
      </c>
      <c r="Q129" s="1264">
        <v>0.05</v>
      </c>
      <c r="R129" s="199">
        <v>9.8000000000000007</v>
      </c>
      <c r="S129" s="165"/>
      <c r="T129" s="165"/>
      <c r="U129" s="104"/>
      <c r="V129" s="1233"/>
      <c r="W129" s="146">
        <v>2</v>
      </c>
      <c r="X129" s="1263"/>
      <c r="Y129" s="1272"/>
    </row>
    <row r="130" spans="2:25" ht="10.5" customHeight="1" x14ac:dyDescent="0.2">
      <c r="B130" s="771"/>
      <c r="C130" s="206"/>
      <c r="D130" s="55"/>
      <c r="E130" s="55"/>
      <c r="F130" s="55"/>
      <c r="G130" s="55"/>
      <c r="H130" s="55"/>
      <c r="I130" s="55"/>
      <c r="J130" s="55"/>
      <c r="K130" s="55"/>
      <c r="L130" s="207"/>
      <c r="N130" s="161" t="s">
        <v>133</v>
      </c>
      <c r="O130" s="1252">
        <v>0.25</v>
      </c>
      <c r="P130" s="1273">
        <v>0.01</v>
      </c>
      <c r="Q130" s="1264">
        <v>0.05</v>
      </c>
      <c r="R130" s="199">
        <v>15.8</v>
      </c>
      <c r="S130" s="165"/>
      <c r="T130" s="165"/>
      <c r="U130" s="104"/>
      <c r="V130" s="1233"/>
      <c r="W130" s="146">
        <v>1</v>
      </c>
      <c r="X130" s="1263"/>
      <c r="Y130" s="1272"/>
    </row>
    <row r="131" spans="2:25" ht="10.5" customHeight="1" x14ac:dyDescent="0.2">
      <c r="B131" s="771"/>
      <c r="C131" s="206"/>
      <c r="D131" s="55"/>
      <c r="E131" s="55"/>
      <c r="F131" s="55"/>
      <c r="G131" s="55"/>
      <c r="H131" s="55"/>
      <c r="I131" s="55"/>
      <c r="J131" s="55"/>
      <c r="K131" s="55"/>
      <c r="L131" s="207"/>
      <c r="N131" s="161" t="s">
        <v>130</v>
      </c>
      <c r="O131" s="1252">
        <v>0.5</v>
      </c>
      <c r="P131" s="1273">
        <v>0.01</v>
      </c>
      <c r="Q131" s="1264">
        <v>0.05</v>
      </c>
      <c r="R131" s="199">
        <v>26.7</v>
      </c>
      <c r="S131" s="165">
        <v>1</v>
      </c>
      <c r="T131" s="165">
        <v>5</v>
      </c>
      <c r="U131" s="104"/>
      <c r="V131" s="1233"/>
      <c r="W131" s="146">
        <v>3</v>
      </c>
      <c r="X131" s="1263"/>
      <c r="Y131" s="1272"/>
    </row>
    <row r="132" spans="2:25" ht="10.5" customHeight="1" x14ac:dyDescent="0.2">
      <c r="B132" s="771"/>
      <c r="C132" s="206"/>
      <c r="D132" s="55"/>
      <c r="E132" s="55"/>
      <c r="F132" s="55"/>
      <c r="G132" s="55"/>
      <c r="H132" s="55"/>
      <c r="I132" s="55"/>
      <c r="J132" s="55"/>
      <c r="K132" s="55"/>
      <c r="L132" s="207"/>
      <c r="N132" s="161"/>
      <c r="O132" s="1252"/>
      <c r="P132" s="1273"/>
      <c r="Q132" s="1264"/>
      <c r="R132" s="199"/>
      <c r="S132" s="165"/>
      <c r="T132" s="165"/>
      <c r="U132" s="104"/>
      <c r="V132" s="1233"/>
      <c r="W132" s="146"/>
      <c r="X132" s="1263"/>
      <c r="Y132" s="1272"/>
    </row>
    <row r="133" spans="2:25" ht="10.5" customHeight="1" thickBot="1" x14ac:dyDescent="0.25">
      <c r="B133" s="772"/>
      <c r="C133" s="172"/>
      <c r="D133" s="173"/>
      <c r="E133" s="173"/>
      <c r="F133" s="173"/>
      <c r="G133" s="173"/>
      <c r="H133" s="173"/>
      <c r="I133" s="173"/>
      <c r="J133" s="173"/>
      <c r="K133" s="173"/>
      <c r="L133" s="174"/>
      <c r="N133" s="162"/>
      <c r="O133" s="1253"/>
      <c r="P133" s="1274"/>
      <c r="Q133" s="1267"/>
      <c r="R133" s="200"/>
      <c r="S133" s="398"/>
      <c r="T133" s="398"/>
      <c r="U133" s="109"/>
      <c r="V133" s="1234"/>
      <c r="W133" s="195"/>
      <c r="X133" s="1266"/>
      <c r="Y133" s="1275"/>
    </row>
    <row r="134" spans="2:25" ht="12" thickBot="1" x14ac:dyDescent="0.25">
      <c r="N134" s="1235"/>
      <c r="O134" s="1235"/>
      <c r="P134" s="1235"/>
      <c r="Q134" s="1235"/>
      <c r="R134" s="1235"/>
      <c r="S134" s="1235"/>
      <c r="T134" s="1235"/>
      <c r="U134" s="1235"/>
      <c r="V134" s="1235"/>
      <c r="W134" s="1235"/>
      <c r="X134" s="1235"/>
      <c r="Y134" s="1235"/>
    </row>
    <row r="135" spans="2:25" x14ac:dyDescent="0.2">
      <c r="B135" s="768" t="s">
        <v>75</v>
      </c>
      <c r="C135" s="80" t="s">
        <v>173</v>
      </c>
      <c r="D135" s="1204">
        <v>0.6</v>
      </c>
      <c r="E135" s="401">
        <v>5</v>
      </c>
      <c r="F135" s="401">
        <v>15</v>
      </c>
      <c r="G135" s="1204">
        <v>1.2</v>
      </c>
      <c r="H135" s="1204">
        <v>7.6</v>
      </c>
      <c r="I135" s="1212">
        <v>4</v>
      </c>
      <c r="J135" s="1213">
        <v>2.7</v>
      </c>
      <c r="K135" s="401">
        <v>0</v>
      </c>
      <c r="L135" s="1207">
        <v>2E-3</v>
      </c>
      <c r="N135" s="1235"/>
      <c r="O135" s="1235"/>
      <c r="P135" s="1235"/>
      <c r="Q135" s="1235"/>
      <c r="R135" s="1235"/>
      <c r="S135" s="1235"/>
      <c r="T135" s="1235"/>
      <c r="U135" s="1235"/>
      <c r="V135" s="1235"/>
      <c r="W135" s="1235"/>
      <c r="X135" s="1235"/>
      <c r="Y135" s="1235"/>
    </row>
    <row r="136" spans="2:25" ht="12" thickBot="1" x14ac:dyDescent="0.25">
      <c r="B136" s="769"/>
      <c r="C136" s="166" t="s">
        <v>174</v>
      </c>
      <c r="D136" s="1208">
        <v>0.7</v>
      </c>
      <c r="E136" s="398">
        <v>25.3</v>
      </c>
      <c r="F136" s="398">
        <v>17</v>
      </c>
      <c r="G136" s="1208">
        <v>1.4</v>
      </c>
      <c r="H136" s="1208">
        <v>8.4</v>
      </c>
      <c r="I136" s="398">
        <v>5.4</v>
      </c>
      <c r="J136" s="1218">
        <v>1.1000000000000001</v>
      </c>
      <c r="K136" s="398">
        <v>0</v>
      </c>
      <c r="L136" s="1210">
        <v>6.9000000000000006E-2</v>
      </c>
      <c r="N136" s="1235"/>
      <c r="O136" s="1235"/>
      <c r="P136" s="1235"/>
      <c r="Q136" s="1235"/>
      <c r="R136" s="1235"/>
      <c r="S136" s="1235"/>
      <c r="T136" s="1235"/>
      <c r="U136" s="1235"/>
      <c r="V136" s="1235"/>
      <c r="W136" s="1235"/>
      <c r="X136" s="1235"/>
      <c r="Y136" s="1235"/>
    </row>
    <row r="137" spans="2:25" ht="12" thickBot="1" x14ac:dyDescent="0.25">
      <c r="N137" s="1235"/>
      <c r="O137" s="1235"/>
      <c r="P137" s="1235"/>
      <c r="Q137" s="1235"/>
      <c r="R137" s="1235"/>
      <c r="S137" s="1235"/>
      <c r="T137" s="1235"/>
      <c r="U137" s="1235"/>
      <c r="V137" s="1235"/>
      <c r="W137" s="1235"/>
      <c r="X137" s="1235"/>
      <c r="Y137" s="1235"/>
    </row>
    <row r="138" spans="2:25" x14ac:dyDescent="0.2">
      <c r="B138" s="760" t="s">
        <v>36</v>
      </c>
      <c r="C138" s="80" t="s">
        <v>180</v>
      </c>
      <c r="D138" s="1204">
        <v>4.2999999999999997E-2</v>
      </c>
      <c r="E138" s="401">
        <v>12</v>
      </c>
      <c r="F138" s="1219">
        <v>0.55700000000000005</v>
      </c>
      <c r="G138" s="1219">
        <v>0.17599999999999999</v>
      </c>
      <c r="H138" s="1219">
        <v>0.156</v>
      </c>
      <c r="I138" s="1205">
        <v>0.32</v>
      </c>
      <c r="J138" s="1206">
        <v>0.15</v>
      </c>
      <c r="K138" s="401">
        <v>0</v>
      </c>
      <c r="L138" s="1207">
        <v>2.0000000000000001E-4</v>
      </c>
      <c r="N138" s="160" t="s">
        <v>277</v>
      </c>
      <c r="O138" s="1276"/>
      <c r="P138" s="1219">
        <v>0.01</v>
      </c>
      <c r="Q138" s="1277"/>
      <c r="R138" s="202">
        <v>10</v>
      </c>
      <c r="S138" s="1204"/>
      <c r="T138" s="401"/>
      <c r="U138" s="1212">
        <v>40</v>
      </c>
      <c r="V138" s="1207"/>
      <c r="W138" s="204">
        <v>3</v>
      </c>
      <c r="X138" s="1278"/>
      <c r="Y138" s="1279"/>
    </row>
    <row r="139" spans="2:25" x14ac:dyDescent="0.2">
      <c r="B139" s="761"/>
      <c r="C139" s="81" t="s">
        <v>181</v>
      </c>
      <c r="D139" s="1201">
        <v>4.8000000000000001E-2</v>
      </c>
      <c r="E139" s="165">
        <v>45</v>
      </c>
      <c r="F139" s="1220">
        <v>0.54400000000000004</v>
      </c>
      <c r="G139" s="1220">
        <v>0.27700000000000002</v>
      </c>
      <c r="H139" s="1220">
        <v>0.16</v>
      </c>
      <c r="I139" s="1201">
        <v>0.32</v>
      </c>
      <c r="J139" s="1202">
        <v>0.15</v>
      </c>
      <c r="K139" s="165">
        <v>0</v>
      </c>
      <c r="L139" s="1203">
        <v>5.0000000000000001E-3</v>
      </c>
      <c r="N139" s="161" t="s">
        <v>278</v>
      </c>
      <c r="O139" s="1280"/>
      <c r="P139" s="1220">
        <v>0.01</v>
      </c>
      <c r="Q139" s="1281">
        <v>0.05</v>
      </c>
      <c r="R139" s="203">
        <v>10</v>
      </c>
      <c r="S139" s="165"/>
      <c r="T139" s="165"/>
      <c r="U139" s="1282"/>
      <c r="V139" s="1203"/>
      <c r="W139" s="205">
        <v>2</v>
      </c>
      <c r="X139" s="1283"/>
      <c r="Y139" s="1284"/>
    </row>
    <row r="140" spans="2:25" x14ac:dyDescent="0.2">
      <c r="B140" s="761"/>
      <c r="C140" s="206"/>
      <c r="D140" s="55"/>
      <c r="E140" s="55"/>
      <c r="F140" s="55"/>
      <c r="G140" s="55"/>
      <c r="H140" s="55"/>
      <c r="I140" s="55"/>
      <c r="J140" s="55"/>
      <c r="K140" s="55"/>
      <c r="L140" s="207"/>
      <c r="N140" s="161" t="s">
        <v>279</v>
      </c>
      <c r="O140" s="1280"/>
      <c r="P140" s="1220">
        <v>0.01</v>
      </c>
      <c r="Q140" s="1281"/>
      <c r="R140" s="203">
        <v>10</v>
      </c>
      <c r="S140" s="165"/>
      <c r="T140" s="165"/>
      <c r="U140" s="1282"/>
      <c r="V140" s="1203"/>
      <c r="W140" s="205">
        <v>5</v>
      </c>
      <c r="X140" s="1283"/>
      <c r="Y140" s="1284"/>
    </row>
    <row r="141" spans="2:25" x14ac:dyDescent="0.2">
      <c r="B141" s="761"/>
      <c r="C141" s="206"/>
      <c r="D141" s="55"/>
      <c r="E141" s="55"/>
      <c r="F141" s="55"/>
      <c r="G141" s="55"/>
      <c r="H141" s="55"/>
      <c r="I141" s="55"/>
      <c r="J141" s="55"/>
      <c r="K141" s="55"/>
      <c r="L141" s="207"/>
      <c r="N141" s="161" t="s">
        <v>280</v>
      </c>
      <c r="O141" s="1280">
        <v>0.05</v>
      </c>
      <c r="P141" s="1220">
        <v>0.01</v>
      </c>
      <c r="Q141" s="1281"/>
      <c r="R141" s="203">
        <v>13.8</v>
      </c>
      <c r="S141" s="1201"/>
      <c r="T141" s="165"/>
      <c r="U141" s="1282">
        <v>40</v>
      </c>
      <c r="V141" s="1203"/>
      <c r="W141" s="205">
        <v>3</v>
      </c>
      <c r="X141" s="1283"/>
      <c r="Y141" s="1284"/>
    </row>
    <row r="142" spans="2:25" x14ac:dyDescent="0.2">
      <c r="B142" s="761"/>
      <c r="C142" s="206"/>
      <c r="D142" s="55"/>
      <c r="E142" s="55"/>
      <c r="F142" s="55"/>
      <c r="G142" s="55"/>
      <c r="H142" s="55"/>
      <c r="I142" s="55"/>
      <c r="J142" s="55"/>
      <c r="K142" s="55"/>
      <c r="L142" s="207"/>
      <c r="N142" s="161" t="s">
        <v>281</v>
      </c>
      <c r="O142" s="1280">
        <v>0.3</v>
      </c>
      <c r="P142" s="1220">
        <v>0.01</v>
      </c>
      <c r="Q142" s="1281"/>
      <c r="R142" s="203">
        <v>35.1</v>
      </c>
      <c r="S142" s="165">
        <v>1</v>
      </c>
      <c r="T142" s="165">
        <v>10</v>
      </c>
      <c r="U142" s="1282"/>
      <c r="V142" s="397"/>
      <c r="W142" s="205">
        <v>3</v>
      </c>
      <c r="X142" s="1283"/>
      <c r="Y142" s="1284"/>
    </row>
    <row r="143" spans="2:25" x14ac:dyDescent="0.2">
      <c r="B143" s="761"/>
      <c r="C143" s="206"/>
      <c r="D143" s="55"/>
      <c r="E143" s="55"/>
      <c r="F143" s="55"/>
      <c r="G143" s="55"/>
      <c r="H143" s="55"/>
      <c r="I143" s="55"/>
      <c r="J143" s="55"/>
      <c r="K143" s="55"/>
      <c r="L143" s="207"/>
      <c r="N143" s="161" t="s">
        <v>282</v>
      </c>
      <c r="O143" s="1280">
        <v>0.1</v>
      </c>
      <c r="P143" s="1220">
        <v>0.01</v>
      </c>
      <c r="Q143" s="1281"/>
      <c r="R143" s="203">
        <v>31.5</v>
      </c>
      <c r="S143" s="165">
        <v>1</v>
      </c>
      <c r="T143" s="165">
        <v>10</v>
      </c>
      <c r="U143" s="1282"/>
      <c r="V143" s="397"/>
      <c r="W143" s="205">
        <v>3</v>
      </c>
      <c r="X143" s="1283"/>
      <c r="Y143" s="1284"/>
    </row>
    <row r="144" spans="2:25" x14ac:dyDescent="0.2">
      <c r="B144" s="761"/>
      <c r="C144" s="206"/>
      <c r="D144" s="55"/>
      <c r="E144" s="55"/>
      <c r="F144" s="55"/>
      <c r="G144" s="55"/>
      <c r="H144" s="55"/>
      <c r="I144" s="55"/>
      <c r="J144" s="55"/>
      <c r="K144" s="55"/>
      <c r="L144" s="207"/>
      <c r="N144" s="161" t="s">
        <v>283</v>
      </c>
      <c r="O144" s="1280">
        <v>0.05</v>
      </c>
      <c r="P144" s="1220">
        <v>0.01</v>
      </c>
      <c r="Q144" s="1281"/>
      <c r="R144" s="203">
        <v>12</v>
      </c>
      <c r="S144" s="165"/>
      <c r="T144" s="165"/>
      <c r="U144" s="1282">
        <v>40</v>
      </c>
      <c r="V144" s="1203"/>
      <c r="W144" s="205">
        <v>3</v>
      </c>
      <c r="X144" s="1283"/>
      <c r="Y144" s="1284"/>
    </row>
    <row r="145" spans="2:25" x14ac:dyDescent="0.2">
      <c r="B145" s="761"/>
      <c r="C145" s="206"/>
      <c r="D145" s="55"/>
      <c r="E145" s="55"/>
      <c r="F145" s="55"/>
      <c r="G145" s="55"/>
      <c r="H145" s="55"/>
      <c r="I145" s="55"/>
      <c r="J145" s="55"/>
      <c r="K145" s="55"/>
      <c r="L145" s="207"/>
      <c r="N145" s="161"/>
      <c r="O145" s="1280"/>
      <c r="P145" s="1220"/>
      <c r="Q145" s="1281"/>
      <c r="R145" s="203"/>
      <c r="S145" s="1217"/>
      <c r="T145" s="1217"/>
      <c r="U145" s="1285"/>
      <c r="V145" s="4"/>
      <c r="W145" s="205"/>
      <c r="X145" s="1283"/>
      <c r="Y145" s="1284"/>
    </row>
    <row r="146" spans="2:25" x14ac:dyDescent="0.2">
      <c r="B146" s="761"/>
      <c r="C146" s="206"/>
      <c r="D146" s="55"/>
      <c r="E146" s="55"/>
      <c r="F146" s="321"/>
      <c r="G146" s="55"/>
      <c r="H146" s="55"/>
      <c r="I146" s="55"/>
      <c r="J146" s="55"/>
      <c r="K146" s="55"/>
      <c r="L146" s="207"/>
      <c r="N146" s="161"/>
      <c r="O146" s="1280"/>
      <c r="P146" s="1220"/>
      <c r="Q146" s="1281"/>
      <c r="R146" s="203"/>
      <c r="S146" s="1217"/>
      <c r="T146" s="1217"/>
      <c r="U146" s="1285"/>
      <c r="V146" s="4"/>
      <c r="W146" s="205"/>
      <c r="X146" s="1283"/>
      <c r="Y146" s="1284"/>
    </row>
    <row r="147" spans="2:25" x14ac:dyDescent="0.2">
      <c r="B147" s="761"/>
      <c r="C147" s="206"/>
      <c r="D147" s="55"/>
      <c r="E147" s="55"/>
      <c r="F147" s="55"/>
      <c r="G147" s="55"/>
      <c r="H147" s="55"/>
      <c r="I147" s="55"/>
      <c r="J147" s="55"/>
      <c r="K147" s="55"/>
      <c r="L147" s="207"/>
      <c r="N147" s="161"/>
      <c r="O147" s="1280"/>
      <c r="P147" s="1220"/>
      <c r="Q147" s="1281"/>
      <c r="R147" s="203"/>
      <c r="S147" s="1217"/>
      <c r="T147" s="1217"/>
      <c r="U147" s="1285"/>
      <c r="V147" s="4"/>
      <c r="W147" s="205"/>
      <c r="X147" s="1283"/>
      <c r="Y147" s="1284"/>
    </row>
    <row r="148" spans="2:25" x14ac:dyDescent="0.2">
      <c r="B148" s="761"/>
      <c r="C148" s="206"/>
      <c r="D148" s="55"/>
      <c r="E148" s="55"/>
      <c r="F148" s="55"/>
      <c r="G148" s="55"/>
      <c r="H148" s="55"/>
      <c r="I148" s="55"/>
      <c r="J148" s="55"/>
      <c r="K148" s="55"/>
      <c r="L148" s="207"/>
      <c r="N148" s="1286" t="s">
        <v>130</v>
      </c>
      <c r="O148" s="1280">
        <v>0.1</v>
      </c>
      <c r="P148" s="1220">
        <v>0.01</v>
      </c>
      <c r="Q148" s="1281"/>
      <c r="R148" s="1287">
        <v>35</v>
      </c>
      <c r="S148" s="1217">
        <v>1</v>
      </c>
      <c r="T148" s="1217">
        <v>10</v>
      </c>
      <c r="U148" s="1285"/>
      <c r="V148" s="4"/>
      <c r="W148" s="205">
        <v>3</v>
      </c>
      <c r="X148" s="1283"/>
      <c r="Y148" s="1284"/>
    </row>
    <row r="149" spans="2:25" x14ac:dyDescent="0.2">
      <c r="B149" s="761"/>
      <c r="C149" s="206"/>
      <c r="D149" s="55"/>
      <c r="E149" s="55"/>
      <c r="F149" s="55"/>
      <c r="G149" s="55"/>
      <c r="H149" s="55"/>
      <c r="I149" s="55"/>
      <c r="J149" s="55"/>
      <c r="K149" s="55"/>
      <c r="L149" s="207"/>
      <c r="N149" s="1286" t="s">
        <v>129</v>
      </c>
      <c r="O149" s="1280"/>
      <c r="P149" s="1220">
        <v>0.01</v>
      </c>
      <c r="Q149" s="1281">
        <v>0.05</v>
      </c>
      <c r="R149" s="1287">
        <v>10</v>
      </c>
      <c r="S149" s="1217"/>
      <c r="T149" s="1217"/>
      <c r="U149" s="1285"/>
      <c r="V149" s="4"/>
      <c r="W149" s="205">
        <v>2</v>
      </c>
      <c r="X149" s="1283"/>
      <c r="Y149" s="1284"/>
    </row>
    <row r="150" spans="2:25" x14ac:dyDescent="0.2">
      <c r="B150" s="761"/>
      <c r="C150" s="206"/>
      <c r="D150" s="55"/>
      <c r="E150" s="55"/>
      <c r="F150" s="55"/>
      <c r="G150" s="55"/>
      <c r="H150" s="55"/>
      <c r="I150" s="55"/>
      <c r="J150" s="55"/>
      <c r="K150" s="55"/>
      <c r="L150" s="207"/>
      <c r="N150" s="1286"/>
      <c r="O150" s="1280"/>
      <c r="P150" s="1220"/>
      <c r="Q150" s="1281"/>
      <c r="R150" s="1287"/>
      <c r="S150" s="1217"/>
      <c r="T150" s="1217"/>
      <c r="U150" s="1285"/>
      <c r="V150" s="4"/>
      <c r="W150" s="1288"/>
      <c r="X150" s="1283"/>
      <c r="Y150" s="1284"/>
    </row>
    <row r="151" spans="2:25" x14ac:dyDescent="0.2">
      <c r="B151" s="761"/>
      <c r="C151" s="206"/>
      <c r="D151" s="55"/>
      <c r="E151" s="55"/>
      <c r="F151" s="55"/>
      <c r="G151" s="55"/>
      <c r="H151" s="55"/>
      <c r="I151" s="55"/>
      <c r="J151" s="55"/>
      <c r="K151" s="55"/>
      <c r="L151" s="207"/>
      <c r="N151" s="1286"/>
      <c r="O151" s="1280"/>
      <c r="P151" s="1220"/>
      <c r="Q151" s="1281"/>
      <c r="R151" s="1287"/>
      <c r="S151" s="1217"/>
      <c r="T151" s="1217"/>
      <c r="U151" s="1285"/>
      <c r="V151" s="4"/>
      <c r="W151" s="1288"/>
      <c r="X151" s="1283"/>
      <c r="Y151" s="1284"/>
    </row>
    <row r="152" spans="2:25" ht="12" thickBot="1" x14ac:dyDescent="0.25">
      <c r="B152" s="762"/>
      <c r="C152" s="172"/>
      <c r="D152" s="173"/>
      <c r="E152" s="173"/>
      <c r="F152" s="173"/>
      <c r="G152" s="173"/>
      <c r="H152" s="173"/>
      <c r="I152" s="173"/>
      <c r="J152" s="173"/>
      <c r="K152" s="173"/>
      <c r="L152" s="174"/>
      <c r="N152" s="1289"/>
      <c r="O152" s="1290"/>
      <c r="P152" s="1291"/>
      <c r="Q152" s="1292"/>
      <c r="R152" s="1293"/>
      <c r="S152" s="1294"/>
      <c r="T152" s="1294"/>
      <c r="U152" s="1295"/>
      <c r="V152" s="1268"/>
      <c r="W152" s="1296"/>
      <c r="X152" s="1297"/>
      <c r="Y152" s="1298"/>
    </row>
    <row r="153" spans="2:25" ht="12" thickBot="1" x14ac:dyDescent="0.25">
      <c r="N153" s="1235"/>
      <c r="O153" s="1235"/>
      <c r="P153" s="1235"/>
      <c r="Q153" s="1235"/>
      <c r="R153" s="1235"/>
      <c r="S153" s="1235"/>
      <c r="T153" s="1235"/>
      <c r="U153" s="1235"/>
      <c r="V153" s="1235"/>
      <c r="W153" s="1235"/>
      <c r="X153" s="1235"/>
      <c r="Y153" s="1235"/>
    </row>
    <row r="154" spans="2:25" ht="11.25" customHeight="1" x14ac:dyDescent="0.2">
      <c r="B154" s="760" t="s">
        <v>34</v>
      </c>
      <c r="C154" s="80" t="s">
        <v>183</v>
      </c>
      <c r="D154" s="1204">
        <v>0.2</v>
      </c>
      <c r="E154" s="401">
        <v>32</v>
      </c>
      <c r="F154" s="1219">
        <v>1.5</v>
      </c>
      <c r="G154" s="1219">
        <v>0.05</v>
      </c>
      <c r="H154" s="1219">
        <v>0.8</v>
      </c>
      <c r="I154" s="1205">
        <v>0.15</v>
      </c>
      <c r="J154" s="1206">
        <v>7.0000000000000007E-2</v>
      </c>
      <c r="K154" s="401">
        <v>0</v>
      </c>
      <c r="L154" s="1207">
        <v>2E-3</v>
      </c>
      <c r="N154" s="211" t="s">
        <v>130</v>
      </c>
      <c r="O154" s="1299">
        <v>0.05</v>
      </c>
      <c r="P154" s="1219">
        <v>0.01</v>
      </c>
      <c r="Q154" s="1214"/>
      <c r="R154" s="212">
        <v>10</v>
      </c>
      <c r="S154" s="401">
        <v>1</v>
      </c>
      <c r="T154" s="401">
        <v>10</v>
      </c>
      <c r="U154" s="401"/>
      <c r="V154" s="1236"/>
      <c r="W154" s="204">
        <v>3</v>
      </c>
      <c r="X154" s="1300"/>
      <c r="Y154" s="1301"/>
    </row>
    <row r="155" spans="2:25" x14ac:dyDescent="0.2">
      <c r="B155" s="761"/>
      <c r="C155" s="206"/>
      <c r="D155" s="54"/>
      <c r="E155" s="201"/>
      <c r="F155" s="201"/>
      <c r="G155" s="201"/>
      <c r="H155" s="201"/>
      <c r="I155" s="54"/>
      <c r="J155" s="54"/>
      <c r="K155" s="53"/>
      <c r="L155" s="322"/>
      <c r="N155" s="557" t="s">
        <v>284</v>
      </c>
      <c r="O155" s="1302">
        <v>0.02</v>
      </c>
      <c r="P155" s="1220">
        <v>0.01</v>
      </c>
      <c r="Q155" s="1216"/>
      <c r="R155" s="213">
        <v>10</v>
      </c>
      <c r="S155" s="165">
        <v>1</v>
      </c>
      <c r="T155" s="165">
        <v>10</v>
      </c>
      <c r="U155" s="165">
        <v>40</v>
      </c>
      <c r="V155" s="132"/>
      <c r="W155" s="205">
        <v>3</v>
      </c>
      <c r="X155" s="1303"/>
      <c r="Y155" s="1304"/>
    </row>
    <row r="156" spans="2:25" x14ac:dyDescent="0.2">
      <c r="B156" s="761"/>
      <c r="C156" s="206"/>
      <c r="D156" s="55"/>
      <c r="E156" s="55"/>
      <c r="F156" s="55"/>
      <c r="G156" s="55"/>
      <c r="H156" s="55"/>
      <c r="I156" s="55"/>
      <c r="J156" s="55"/>
      <c r="K156" s="55"/>
      <c r="L156" s="207"/>
      <c r="N156" s="152"/>
      <c r="O156" s="1302"/>
      <c r="P156" s="1220"/>
      <c r="Q156" s="1216"/>
      <c r="R156" s="213"/>
      <c r="S156" s="165"/>
      <c r="T156" s="165"/>
      <c r="U156" s="165"/>
      <c r="V156" s="132"/>
      <c r="W156" s="205"/>
      <c r="X156" s="1303"/>
      <c r="Y156" s="1304"/>
    </row>
    <row r="157" spans="2:25" x14ac:dyDescent="0.2">
      <c r="B157" s="761"/>
      <c r="C157" s="206"/>
      <c r="D157" s="55"/>
      <c r="E157" s="55"/>
      <c r="F157" s="55"/>
      <c r="G157" s="55"/>
      <c r="H157" s="55"/>
      <c r="I157" s="55"/>
      <c r="J157" s="55"/>
      <c r="K157" s="55"/>
      <c r="L157" s="207"/>
      <c r="N157" s="152"/>
      <c r="O157" s="1302"/>
      <c r="P157" s="1220"/>
      <c r="Q157" s="1216"/>
      <c r="R157" s="213"/>
      <c r="S157" s="165"/>
      <c r="T157" s="165"/>
      <c r="U157" s="165"/>
      <c r="V157" s="132"/>
      <c r="W157" s="205"/>
      <c r="X157" s="1303"/>
      <c r="Y157" s="1304"/>
    </row>
    <row r="158" spans="2:25" x14ac:dyDescent="0.2">
      <c r="B158" s="761"/>
      <c r="C158" s="206"/>
      <c r="D158" s="55"/>
      <c r="E158" s="55"/>
      <c r="F158" s="55"/>
      <c r="G158" s="55"/>
      <c r="H158" s="55"/>
      <c r="I158" s="55"/>
      <c r="J158" s="55"/>
      <c r="K158" s="55"/>
      <c r="L158" s="207"/>
      <c r="N158" s="161" t="s">
        <v>130</v>
      </c>
      <c r="O158" s="1302">
        <v>3.5000000000000003E-2</v>
      </c>
      <c r="P158" s="1220">
        <v>0.01</v>
      </c>
      <c r="Q158" s="1216"/>
      <c r="R158" s="213">
        <v>12</v>
      </c>
      <c r="S158" s="165">
        <v>1</v>
      </c>
      <c r="T158" s="165">
        <v>10</v>
      </c>
      <c r="U158" s="165"/>
      <c r="V158" s="132"/>
      <c r="W158" s="205">
        <v>3</v>
      </c>
      <c r="X158" s="1303"/>
      <c r="Y158" s="1304"/>
    </row>
    <row r="159" spans="2:25" x14ac:dyDescent="0.2">
      <c r="B159" s="761"/>
      <c r="C159" s="206"/>
      <c r="D159" s="55"/>
      <c r="E159" s="55"/>
      <c r="F159" s="55"/>
      <c r="G159" s="55"/>
      <c r="H159" s="55"/>
      <c r="I159" s="55"/>
      <c r="J159" s="55"/>
      <c r="K159" s="55"/>
      <c r="L159" s="207"/>
      <c r="N159" s="161" t="s">
        <v>285</v>
      </c>
      <c r="O159" s="1302">
        <v>4.2000000000000003E-2</v>
      </c>
      <c r="P159" s="1220">
        <v>0.01</v>
      </c>
      <c r="Q159" s="1216"/>
      <c r="R159" s="213">
        <v>15</v>
      </c>
      <c r="S159" s="165">
        <v>1</v>
      </c>
      <c r="T159" s="165">
        <v>10</v>
      </c>
      <c r="U159" s="165"/>
      <c r="V159" s="132"/>
      <c r="W159" s="205">
        <v>3</v>
      </c>
      <c r="X159" s="1303"/>
      <c r="Y159" s="1304"/>
    </row>
    <row r="160" spans="2:25" x14ac:dyDescent="0.2">
      <c r="B160" s="761"/>
      <c r="C160" s="206"/>
      <c r="D160" s="55"/>
      <c r="E160" s="55"/>
      <c r="F160" s="55"/>
      <c r="G160" s="55"/>
      <c r="H160" s="55"/>
      <c r="I160" s="55"/>
      <c r="J160" s="55"/>
      <c r="K160" s="55"/>
      <c r="L160" s="207"/>
      <c r="N160" s="161"/>
      <c r="O160" s="1302"/>
      <c r="P160" s="1220"/>
      <c r="Q160" s="1216"/>
      <c r="R160" s="213"/>
      <c r="S160" s="165"/>
      <c r="T160" s="165"/>
      <c r="U160" s="165"/>
      <c r="V160" s="132"/>
      <c r="W160" s="205"/>
      <c r="X160" s="1303"/>
      <c r="Y160" s="1304"/>
    </row>
    <row r="161" spans="2:25" x14ac:dyDescent="0.2">
      <c r="B161" s="761"/>
      <c r="C161" s="206"/>
      <c r="D161" s="55"/>
      <c r="E161" s="55"/>
      <c r="F161" s="55"/>
      <c r="G161" s="55"/>
      <c r="H161" s="55"/>
      <c r="I161" s="55"/>
      <c r="J161" s="55"/>
      <c r="K161" s="55"/>
      <c r="L161" s="207"/>
      <c r="N161" s="1286"/>
      <c r="O161" s="1302"/>
      <c r="P161" s="1220"/>
      <c r="Q161" s="1216"/>
      <c r="R161" s="213"/>
      <c r="S161" s="165"/>
      <c r="T161" s="165"/>
      <c r="U161" s="165"/>
      <c r="V161" s="132"/>
      <c r="W161" s="1305"/>
      <c r="X161" s="1303"/>
      <c r="Y161" s="1304"/>
    </row>
    <row r="162" spans="2:25" x14ac:dyDescent="0.2">
      <c r="B162" s="761"/>
      <c r="C162" s="206"/>
      <c r="D162" s="55"/>
      <c r="E162" s="55"/>
      <c r="F162" s="321"/>
      <c r="G162" s="55"/>
      <c r="H162" s="55"/>
      <c r="I162" s="55"/>
      <c r="J162" s="55"/>
      <c r="K162" s="55"/>
      <c r="L162" s="207"/>
      <c r="N162" s="1286"/>
      <c r="O162" s="1302"/>
      <c r="P162" s="1220"/>
      <c r="Q162" s="1216"/>
      <c r="R162" s="213"/>
      <c r="S162" s="165"/>
      <c r="T162" s="165"/>
      <c r="U162" s="165"/>
      <c r="V162" s="132"/>
      <c r="W162" s="1305"/>
      <c r="X162" s="1303"/>
      <c r="Y162" s="1304"/>
    </row>
    <row r="163" spans="2:25" x14ac:dyDescent="0.2">
      <c r="B163" s="761"/>
      <c r="C163" s="206"/>
      <c r="D163" s="55"/>
      <c r="E163" s="55"/>
      <c r="F163" s="55"/>
      <c r="G163" s="55"/>
      <c r="H163" s="55"/>
      <c r="I163" s="55"/>
      <c r="J163" s="55"/>
      <c r="K163" s="55"/>
      <c r="L163" s="207"/>
      <c r="N163" s="1286"/>
      <c r="O163" s="1302"/>
      <c r="P163" s="1220"/>
      <c r="Q163" s="1216"/>
      <c r="R163" s="213"/>
      <c r="S163" s="165"/>
      <c r="T163" s="165"/>
      <c r="U163" s="165"/>
      <c r="V163" s="132"/>
      <c r="W163" s="1305"/>
      <c r="X163" s="1303"/>
      <c r="Y163" s="1304"/>
    </row>
    <row r="164" spans="2:25" x14ac:dyDescent="0.2">
      <c r="B164" s="761"/>
      <c r="C164" s="206"/>
      <c r="D164" s="55"/>
      <c r="E164" s="55"/>
      <c r="F164" s="55"/>
      <c r="G164" s="55"/>
      <c r="H164" s="55"/>
      <c r="I164" s="55"/>
      <c r="J164" s="55"/>
      <c r="K164" s="55"/>
      <c r="L164" s="207"/>
      <c r="N164" s="1286"/>
      <c r="O164" s="1302"/>
      <c r="P164" s="1220"/>
      <c r="Q164" s="1216"/>
      <c r="R164" s="213"/>
      <c r="S164" s="165"/>
      <c r="T164" s="165"/>
      <c r="U164" s="165"/>
      <c r="V164" s="132"/>
      <c r="W164" s="1305"/>
      <c r="X164" s="1303"/>
      <c r="Y164" s="1304"/>
    </row>
    <row r="165" spans="2:25" x14ac:dyDescent="0.2">
      <c r="B165" s="761"/>
      <c r="C165" s="206"/>
      <c r="D165" s="55"/>
      <c r="E165" s="55"/>
      <c r="F165" s="55"/>
      <c r="G165" s="55"/>
      <c r="H165" s="55"/>
      <c r="I165" s="55"/>
      <c r="J165" s="55"/>
      <c r="K165" s="55"/>
      <c r="L165" s="207"/>
      <c r="N165" s="1286"/>
      <c r="O165" s="1302"/>
      <c r="P165" s="1220"/>
      <c r="Q165" s="1216"/>
      <c r="R165" s="213"/>
      <c r="S165" s="165"/>
      <c r="T165" s="165"/>
      <c r="U165" s="165"/>
      <c r="V165" s="132"/>
      <c r="W165" s="1305"/>
      <c r="X165" s="1303"/>
      <c r="Y165" s="1304"/>
    </row>
    <row r="166" spans="2:25" ht="12" thickBot="1" x14ac:dyDescent="0.25">
      <c r="B166" s="762"/>
      <c r="C166" s="172"/>
      <c r="D166" s="173"/>
      <c r="E166" s="173"/>
      <c r="F166" s="173"/>
      <c r="G166" s="173"/>
      <c r="H166" s="173"/>
      <c r="I166" s="173"/>
      <c r="J166" s="173"/>
      <c r="K166" s="173"/>
      <c r="L166" s="174"/>
      <c r="N166" s="1289"/>
      <c r="O166" s="1306"/>
      <c r="P166" s="1291"/>
      <c r="Q166" s="1307"/>
      <c r="R166" s="1265"/>
      <c r="S166" s="398"/>
      <c r="T166" s="398"/>
      <c r="U166" s="398"/>
      <c r="V166" s="405"/>
      <c r="W166" s="1308"/>
      <c r="X166" s="1309"/>
      <c r="Y166" s="1310"/>
    </row>
    <row r="167" spans="2:25" ht="12" thickBot="1" x14ac:dyDescent="0.25">
      <c r="N167" s="1235"/>
      <c r="O167" s="1235"/>
      <c r="P167" s="1235"/>
      <c r="Q167" s="1235"/>
      <c r="R167" s="1235"/>
      <c r="S167" s="1235"/>
      <c r="T167" s="1235"/>
      <c r="U167" s="1235"/>
      <c r="V167" s="1235"/>
      <c r="W167" s="1235"/>
      <c r="X167" s="1235"/>
      <c r="Y167" s="1235"/>
    </row>
    <row r="168" spans="2:25" x14ac:dyDescent="0.2">
      <c r="B168" s="765" t="s">
        <v>35</v>
      </c>
      <c r="C168" s="169"/>
      <c r="D168" s="296"/>
      <c r="E168" s="323"/>
      <c r="F168" s="323"/>
      <c r="G168" s="323"/>
      <c r="H168" s="323"/>
      <c r="I168" s="296"/>
      <c r="J168" s="296"/>
      <c r="K168" s="324"/>
      <c r="L168" s="325"/>
      <c r="N168" s="160" t="s">
        <v>277</v>
      </c>
      <c r="O168" s="1299"/>
      <c r="P168" s="1219">
        <v>1E-3</v>
      </c>
      <c r="Q168" s="1277"/>
      <c r="R168" s="212">
        <v>39.799999999999997</v>
      </c>
      <c r="S168" s="401"/>
      <c r="T168" s="1213"/>
      <c r="U168" s="401">
        <v>40</v>
      </c>
      <c r="V168" s="1231"/>
      <c r="W168" s="204">
        <v>5</v>
      </c>
      <c r="X168" s="1300"/>
      <c r="Y168" s="1301"/>
    </row>
    <row r="169" spans="2:25" x14ac:dyDescent="0.2">
      <c r="B169" s="766"/>
      <c r="C169" s="206"/>
      <c r="D169" s="54"/>
      <c r="E169" s="201"/>
      <c r="F169" s="201"/>
      <c r="G169" s="201"/>
      <c r="H169" s="201"/>
      <c r="I169" s="54"/>
      <c r="J169" s="54"/>
      <c r="K169" s="53"/>
      <c r="L169" s="322"/>
      <c r="N169" s="161" t="s">
        <v>286</v>
      </c>
      <c r="O169" s="1302">
        <v>2.5000000000000001E-2</v>
      </c>
      <c r="P169" s="1220">
        <v>0.01</v>
      </c>
      <c r="Q169" s="1281"/>
      <c r="R169" s="213">
        <v>24.9</v>
      </c>
      <c r="S169" s="165">
        <v>1</v>
      </c>
      <c r="T169" s="1215">
        <v>10</v>
      </c>
      <c r="U169" s="165"/>
      <c r="V169" s="1233"/>
      <c r="W169" s="205">
        <v>3</v>
      </c>
      <c r="X169" s="1303"/>
      <c r="Y169" s="1304"/>
    </row>
    <row r="170" spans="2:25" x14ac:dyDescent="0.2">
      <c r="B170" s="766"/>
      <c r="C170" s="206"/>
      <c r="D170" s="55"/>
      <c r="E170" s="55"/>
      <c r="F170" s="55"/>
      <c r="G170" s="55"/>
      <c r="H170" s="55"/>
      <c r="I170" s="55"/>
      <c r="J170" s="55"/>
      <c r="K170" s="55"/>
      <c r="L170" s="207"/>
      <c r="N170" s="161"/>
      <c r="O170" s="1302"/>
      <c r="P170" s="1220"/>
      <c r="Q170" s="1281"/>
      <c r="R170" s="213"/>
      <c r="S170" s="165"/>
      <c r="T170" s="1215"/>
      <c r="U170" s="165"/>
      <c r="V170" s="1233"/>
      <c r="W170" s="205"/>
      <c r="X170" s="1303"/>
      <c r="Y170" s="1304"/>
    </row>
    <row r="171" spans="2:25" x14ac:dyDescent="0.2">
      <c r="B171" s="766"/>
      <c r="C171" s="206"/>
      <c r="D171" s="55"/>
      <c r="E171" s="55"/>
      <c r="F171" s="55"/>
      <c r="G171" s="55"/>
      <c r="H171" s="55"/>
      <c r="I171" s="55"/>
      <c r="J171" s="55"/>
      <c r="K171" s="55"/>
      <c r="L171" s="207"/>
      <c r="N171" s="161"/>
      <c r="O171" s="1302"/>
      <c r="P171" s="1220"/>
      <c r="Q171" s="1281"/>
      <c r="R171" s="213"/>
      <c r="S171" s="165"/>
      <c r="T171" s="1215"/>
      <c r="U171" s="165"/>
      <c r="V171" s="1233"/>
      <c r="W171" s="205"/>
      <c r="X171" s="1303"/>
      <c r="Y171" s="1304"/>
    </row>
    <row r="172" spans="2:25" x14ac:dyDescent="0.2">
      <c r="B172" s="766"/>
      <c r="C172" s="206"/>
      <c r="D172" s="55"/>
      <c r="E172" s="55"/>
      <c r="F172" s="55"/>
      <c r="G172" s="55"/>
      <c r="H172" s="55"/>
      <c r="I172" s="55"/>
      <c r="J172" s="55"/>
      <c r="K172" s="55"/>
      <c r="L172" s="207"/>
      <c r="N172" s="161"/>
      <c r="O172" s="1302"/>
      <c r="P172" s="1220"/>
      <c r="Q172" s="1281"/>
      <c r="R172" s="213"/>
      <c r="S172" s="165"/>
      <c r="T172" s="1215"/>
      <c r="U172" s="165"/>
      <c r="V172" s="1233"/>
      <c r="W172" s="205"/>
      <c r="X172" s="1303"/>
      <c r="Y172" s="1304"/>
    </row>
    <row r="173" spans="2:25" x14ac:dyDescent="0.2">
      <c r="B173" s="766"/>
      <c r="C173" s="206"/>
      <c r="D173" s="55"/>
      <c r="E173" s="55"/>
      <c r="F173" s="55"/>
      <c r="G173" s="55"/>
      <c r="H173" s="55"/>
      <c r="I173" s="55"/>
      <c r="J173" s="55"/>
      <c r="K173" s="55"/>
      <c r="L173" s="207"/>
      <c r="N173" s="1286"/>
      <c r="O173" s="1302"/>
      <c r="P173" s="1220"/>
      <c r="Q173" s="1281"/>
      <c r="R173" s="213"/>
      <c r="S173" s="165"/>
      <c r="T173" s="1215"/>
      <c r="U173" s="165"/>
      <c r="V173" s="1233"/>
      <c r="W173" s="1305"/>
      <c r="X173" s="1303"/>
      <c r="Y173" s="1304"/>
    </row>
    <row r="174" spans="2:25" x14ac:dyDescent="0.2">
      <c r="B174" s="766"/>
      <c r="C174" s="206"/>
      <c r="D174" s="55"/>
      <c r="E174" s="55"/>
      <c r="F174" s="55"/>
      <c r="G174" s="55"/>
      <c r="H174" s="55"/>
      <c r="I174" s="55"/>
      <c r="J174" s="55"/>
      <c r="K174" s="55"/>
      <c r="L174" s="207"/>
      <c r="N174" s="1286"/>
      <c r="O174" s="1302"/>
      <c r="P174" s="1220"/>
      <c r="Q174" s="1281"/>
      <c r="R174" s="213"/>
      <c r="S174" s="165"/>
      <c r="T174" s="1215"/>
      <c r="U174" s="165"/>
      <c r="V174" s="1233"/>
      <c r="W174" s="1305"/>
      <c r="X174" s="1303"/>
      <c r="Y174" s="1304"/>
    </row>
    <row r="175" spans="2:25" x14ac:dyDescent="0.2">
      <c r="B175" s="766"/>
      <c r="C175" s="206"/>
      <c r="D175" s="55"/>
      <c r="E175" s="55"/>
      <c r="F175" s="55"/>
      <c r="G175" s="55"/>
      <c r="H175" s="55"/>
      <c r="I175" s="55"/>
      <c r="J175" s="55"/>
      <c r="K175" s="55"/>
      <c r="L175" s="207"/>
      <c r="N175" s="1286" t="s">
        <v>287</v>
      </c>
      <c r="O175" s="1302">
        <v>0.03</v>
      </c>
      <c r="P175" s="1220">
        <v>1E-3</v>
      </c>
      <c r="Q175" s="1281"/>
      <c r="R175" s="213">
        <v>22</v>
      </c>
      <c r="S175" s="165">
        <v>1</v>
      </c>
      <c r="T175" s="1215">
        <v>10</v>
      </c>
      <c r="U175" s="165"/>
      <c r="V175" s="1233"/>
      <c r="W175" s="1305">
        <v>3</v>
      </c>
      <c r="X175" s="1303"/>
      <c r="Y175" s="1304"/>
    </row>
    <row r="176" spans="2:25" x14ac:dyDescent="0.2">
      <c r="B176" s="766"/>
      <c r="C176" s="206"/>
      <c r="D176" s="55"/>
      <c r="E176" s="55"/>
      <c r="F176" s="321"/>
      <c r="G176" s="55"/>
      <c r="H176" s="55"/>
      <c r="I176" s="55"/>
      <c r="J176" s="55"/>
      <c r="K176" s="55"/>
      <c r="L176" s="207"/>
      <c r="N176" s="1286" t="s">
        <v>130</v>
      </c>
      <c r="O176" s="1302">
        <v>3.5000000000000003E-2</v>
      </c>
      <c r="P176" s="1220">
        <v>1E-3</v>
      </c>
      <c r="Q176" s="1281"/>
      <c r="R176" s="213">
        <v>26.5</v>
      </c>
      <c r="S176" s="165">
        <v>1</v>
      </c>
      <c r="T176" s="1215">
        <v>10</v>
      </c>
      <c r="U176" s="165"/>
      <c r="V176" s="1233"/>
      <c r="W176" s="1305">
        <v>3</v>
      </c>
      <c r="X176" s="1303"/>
      <c r="Y176" s="1304"/>
    </row>
    <row r="177" spans="2:25" x14ac:dyDescent="0.2">
      <c r="B177" s="766"/>
      <c r="C177" s="206"/>
      <c r="D177" s="55"/>
      <c r="E177" s="55"/>
      <c r="F177" s="55"/>
      <c r="G177" s="55"/>
      <c r="H177" s="55"/>
      <c r="I177" s="55"/>
      <c r="J177" s="55"/>
      <c r="K177" s="55"/>
      <c r="L177" s="207"/>
      <c r="N177" s="1286"/>
      <c r="O177" s="1302"/>
      <c r="P177" s="1220"/>
      <c r="Q177" s="1281"/>
      <c r="R177" s="213"/>
      <c r="S177" s="165"/>
      <c r="T177" s="1215"/>
      <c r="U177" s="165"/>
      <c r="V177" s="1233"/>
      <c r="W177" s="1305"/>
      <c r="X177" s="1303"/>
      <c r="Y177" s="1304"/>
    </row>
    <row r="178" spans="2:25" x14ac:dyDescent="0.2">
      <c r="B178" s="766"/>
      <c r="C178" s="206"/>
      <c r="D178" s="55"/>
      <c r="E178" s="55"/>
      <c r="F178" s="55"/>
      <c r="G178" s="55"/>
      <c r="H178" s="55"/>
      <c r="I178" s="55"/>
      <c r="J178" s="55"/>
      <c r="K178" s="55"/>
      <c r="L178" s="207"/>
      <c r="N178" s="1286"/>
      <c r="O178" s="1302"/>
      <c r="P178" s="1220"/>
      <c r="Q178" s="1281"/>
      <c r="R178" s="213"/>
      <c r="S178" s="165"/>
      <c r="T178" s="1215"/>
      <c r="U178" s="165"/>
      <c r="V178" s="1233"/>
      <c r="W178" s="1305"/>
      <c r="X178" s="1303"/>
      <c r="Y178" s="1304"/>
    </row>
    <row r="179" spans="2:25" x14ac:dyDescent="0.2">
      <c r="B179" s="766"/>
      <c r="C179" s="206"/>
      <c r="D179" s="55"/>
      <c r="E179" s="55"/>
      <c r="F179" s="55"/>
      <c r="G179" s="55"/>
      <c r="H179" s="55"/>
      <c r="I179" s="55"/>
      <c r="J179" s="55"/>
      <c r="K179" s="55"/>
      <c r="L179" s="207"/>
      <c r="N179" s="1286"/>
      <c r="O179" s="1302"/>
      <c r="P179" s="1220"/>
      <c r="Q179" s="1281"/>
      <c r="R179" s="213"/>
      <c r="S179" s="165"/>
      <c r="T179" s="1215"/>
      <c r="U179" s="165"/>
      <c r="V179" s="1233"/>
      <c r="W179" s="1305"/>
      <c r="X179" s="1303"/>
      <c r="Y179" s="1304"/>
    </row>
    <row r="180" spans="2:25" ht="12" thickBot="1" x14ac:dyDescent="0.25">
      <c r="B180" s="767"/>
      <c r="C180" s="172"/>
      <c r="D180" s="173"/>
      <c r="E180" s="173"/>
      <c r="F180" s="173"/>
      <c r="G180" s="173"/>
      <c r="H180" s="173"/>
      <c r="I180" s="173"/>
      <c r="J180" s="173"/>
      <c r="K180" s="173"/>
      <c r="L180" s="174"/>
      <c r="N180" s="1289"/>
      <c r="O180" s="1306"/>
      <c r="P180" s="1291"/>
      <c r="Q180" s="1292"/>
      <c r="R180" s="1265"/>
      <c r="S180" s="398"/>
      <c r="T180" s="1218"/>
      <c r="U180" s="398"/>
      <c r="V180" s="1234"/>
      <c r="W180" s="1308"/>
      <c r="X180" s="1309"/>
      <c r="Y180" s="1310"/>
    </row>
    <row r="181" spans="2:25" ht="12" thickBot="1" x14ac:dyDescent="0.25">
      <c r="N181" s="1235"/>
      <c r="O181" s="1235"/>
      <c r="P181" s="1235"/>
      <c r="Q181" s="1235"/>
      <c r="R181" s="1235"/>
      <c r="S181" s="1235"/>
      <c r="T181" s="1235"/>
      <c r="U181" s="1235"/>
      <c r="V181" s="1235"/>
      <c r="W181" s="1235"/>
      <c r="X181" s="1235"/>
      <c r="Y181" s="1235"/>
    </row>
    <row r="182" spans="2:25" x14ac:dyDescent="0.2">
      <c r="B182" s="760" t="s">
        <v>184</v>
      </c>
      <c r="C182" s="80" t="s">
        <v>186</v>
      </c>
      <c r="D182" s="1204">
        <v>0.10100000000000001</v>
      </c>
      <c r="E182" s="401">
        <v>48</v>
      </c>
      <c r="F182" s="1219">
        <v>0.31769999999999998</v>
      </c>
      <c r="G182" s="1219">
        <v>0.12690000000000001</v>
      </c>
      <c r="H182" s="1219">
        <v>0.18410000000000001</v>
      </c>
      <c r="I182" s="1205">
        <v>0.127</v>
      </c>
      <c r="J182" s="1206">
        <v>7.0000000000000007E-2</v>
      </c>
      <c r="K182" s="401">
        <v>0</v>
      </c>
      <c r="L182" s="1207">
        <v>8.0000000000000002E-3</v>
      </c>
      <c r="N182" s="1311" t="s">
        <v>286</v>
      </c>
      <c r="O182" s="1299">
        <v>0.03</v>
      </c>
      <c r="P182" s="1219">
        <v>2E-3</v>
      </c>
      <c r="Q182" s="1277"/>
      <c r="R182" s="212">
        <v>20</v>
      </c>
      <c r="S182" s="401">
        <v>1</v>
      </c>
      <c r="T182" s="1213">
        <v>10</v>
      </c>
      <c r="U182" s="401"/>
      <c r="V182" s="1231"/>
      <c r="W182" s="204">
        <v>3</v>
      </c>
      <c r="X182" s="1300"/>
      <c r="Y182" s="1301"/>
    </row>
    <row r="183" spans="2:25" x14ac:dyDescent="0.2">
      <c r="B183" s="761"/>
      <c r="C183" s="206"/>
      <c r="D183" s="54"/>
      <c r="E183" s="201"/>
      <c r="F183" s="201"/>
      <c r="G183" s="201"/>
      <c r="H183" s="201"/>
      <c r="I183" s="54"/>
      <c r="J183" s="54"/>
      <c r="K183" s="53"/>
      <c r="L183" s="322"/>
      <c r="N183" s="1286" t="s">
        <v>130</v>
      </c>
      <c r="O183" s="1302">
        <v>3.5000000000000003E-2</v>
      </c>
      <c r="P183" s="1220">
        <v>2E-3</v>
      </c>
      <c r="Q183" s="1281"/>
      <c r="R183" s="213">
        <v>22.3</v>
      </c>
      <c r="S183" s="165">
        <v>1</v>
      </c>
      <c r="T183" s="1215">
        <v>10</v>
      </c>
      <c r="U183" s="165"/>
      <c r="V183" s="1233"/>
      <c r="W183" s="205">
        <v>3</v>
      </c>
      <c r="X183" s="1303"/>
      <c r="Y183" s="1304"/>
    </row>
    <row r="184" spans="2:25" x14ac:dyDescent="0.2">
      <c r="B184" s="761"/>
      <c r="C184" s="206"/>
      <c r="D184" s="55"/>
      <c r="E184" s="55"/>
      <c r="F184" s="55"/>
      <c r="G184" s="55"/>
      <c r="H184" s="55"/>
      <c r="I184" s="55"/>
      <c r="J184" s="55"/>
      <c r="K184" s="55"/>
      <c r="L184" s="207"/>
      <c r="N184" s="161"/>
      <c r="O184" s="1302"/>
      <c r="P184" s="1220"/>
      <c r="Q184" s="1281"/>
      <c r="R184" s="213"/>
      <c r="S184" s="165"/>
      <c r="T184" s="1215"/>
      <c r="U184" s="165"/>
      <c r="V184" s="1233"/>
      <c r="W184" s="205"/>
      <c r="X184" s="1303"/>
      <c r="Y184" s="1304"/>
    </row>
    <row r="185" spans="2:25" x14ac:dyDescent="0.2">
      <c r="B185" s="761"/>
      <c r="C185" s="206"/>
      <c r="D185" s="55"/>
      <c r="E185" s="55"/>
      <c r="F185" s="55"/>
      <c r="G185" s="55"/>
      <c r="H185" s="55"/>
      <c r="I185" s="55"/>
      <c r="J185" s="55"/>
      <c r="K185" s="55"/>
      <c r="L185" s="207"/>
      <c r="N185" s="161"/>
      <c r="O185" s="1302"/>
      <c r="P185" s="1220"/>
      <c r="Q185" s="1281"/>
      <c r="R185" s="213"/>
      <c r="S185" s="165"/>
      <c r="T185" s="1215"/>
      <c r="U185" s="165"/>
      <c r="V185" s="1233"/>
      <c r="W185" s="205"/>
      <c r="X185" s="1303"/>
      <c r="Y185" s="1304"/>
    </row>
    <row r="186" spans="2:25" x14ac:dyDescent="0.2">
      <c r="B186" s="761"/>
      <c r="C186" s="206"/>
      <c r="D186" s="55"/>
      <c r="E186" s="55"/>
      <c r="F186" s="55"/>
      <c r="G186" s="55"/>
      <c r="H186" s="55"/>
      <c r="I186" s="55"/>
      <c r="J186" s="55"/>
      <c r="K186" s="55"/>
      <c r="L186" s="207"/>
      <c r="N186" s="161"/>
      <c r="O186" s="1302"/>
      <c r="P186" s="1220"/>
      <c r="Q186" s="1281"/>
      <c r="R186" s="213"/>
      <c r="S186" s="165"/>
      <c r="T186" s="1215"/>
      <c r="U186" s="165"/>
      <c r="V186" s="1233"/>
      <c r="W186" s="205"/>
      <c r="X186" s="1303"/>
      <c r="Y186" s="1304"/>
    </row>
    <row r="187" spans="2:25" x14ac:dyDescent="0.2">
      <c r="B187" s="761"/>
      <c r="C187" s="206"/>
      <c r="D187" s="55"/>
      <c r="E187" s="55"/>
      <c r="F187" s="55"/>
      <c r="G187" s="55"/>
      <c r="H187" s="55"/>
      <c r="I187" s="55"/>
      <c r="J187" s="55"/>
      <c r="K187" s="55"/>
      <c r="L187" s="207"/>
      <c r="N187" s="1286"/>
      <c r="O187" s="1302"/>
      <c r="P187" s="1220"/>
      <c r="Q187" s="1281"/>
      <c r="R187" s="213"/>
      <c r="S187" s="165"/>
      <c r="T187" s="1215"/>
      <c r="U187" s="165"/>
      <c r="V187" s="1233"/>
      <c r="W187" s="1305"/>
      <c r="X187" s="1303"/>
      <c r="Y187" s="1304"/>
    </row>
    <row r="188" spans="2:25" x14ac:dyDescent="0.2">
      <c r="B188" s="761"/>
      <c r="C188" s="206"/>
      <c r="D188" s="55"/>
      <c r="E188" s="55"/>
      <c r="F188" s="55"/>
      <c r="G188" s="55"/>
      <c r="H188" s="55"/>
      <c r="I188" s="55"/>
      <c r="J188" s="55"/>
      <c r="K188" s="55"/>
      <c r="L188" s="207"/>
      <c r="N188" s="1286"/>
      <c r="O188" s="1302"/>
      <c r="P188" s="1220"/>
      <c r="Q188" s="1281"/>
      <c r="R188" s="213"/>
      <c r="S188" s="165"/>
      <c r="T188" s="1215"/>
      <c r="U188" s="165"/>
      <c r="V188" s="1233"/>
      <c r="W188" s="1305"/>
      <c r="X188" s="1303"/>
      <c r="Y188" s="1304"/>
    </row>
    <row r="189" spans="2:25" x14ac:dyDescent="0.2">
      <c r="B189" s="761"/>
      <c r="C189" s="206"/>
      <c r="D189" s="55"/>
      <c r="E189" s="55"/>
      <c r="F189" s="55"/>
      <c r="G189" s="55"/>
      <c r="H189" s="55"/>
      <c r="I189" s="55"/>
      <c r="J189" s="55"/>
      <c r="K189" s="55"/>
      <c r="L189" s="207"/>
      <c r="N189" s="1286"/>
      <c r="O189" s="1302"/>
      <c r="P189" s="1220"/>
      <c r="Q189" s="1281"/>
      <c r="R189" s="213"/>
      <c r="S189" s="165"/>
      <c r="T189" s="1215"/>
      <c r="U189" s="165"/>
      <c r="V189" s="1233"/>
      <c r="W189" s="1305"/>
      <c r="X189" s="1303"/>
      <c r="Y189" s="1304"/>
    </row>
    <row r="190" spans="2:25" x14ac:dyDescent="0.2">
      <c r="B190" s="761"/>
      <c r="C190" s="206"/>
      <c r="D190" s="55"/>
      <c r="E190" s="55"/>
      <c r="F190" s="321"/>
      <c r="G190" s="55"/>
      <c r="H190" s="55"/>
      <c r="I190" s="55"/>
      <c r="J190" s="55"/>
      <c r="K190" s="55"/>
      <c r="L190" s="207"/>
      <c r="N190" s="1286"/>
      <c r="O190" s="1302"/>
      <c r="P190" s="1220"/>
      <c r="Q190" s="1281"/>
      <c r="R190" s="213"/>
      <c r="S190" s="165"/>
      <c r="T190" s="1215"/>
      <c r="U190" s="165"/>
      <c r="V190" s="1233"/>
      <c r="W190" s="1305"/>
      <c r="X190" s="1303"/>
      <c r="Y190" s="1304"/>
    </row>
    <row r="191" spans="2:25" x14ac:dyDescent="0.2">
      <c r="B191" s="761"/>
      <c r="C191" s="206"/>
      <c r="D191" s="55"/>
      <c r="E191" s="55"/>
      <c r="F191" s="55"/>
      <c r="G191" s="55"/>
      <c r="H191" s="55"/>
      <c r="I191" s="55"/>
      <c r="J191" s="55"/>
      <c r="K191" s="55"/>
      <c r="L191" s="207"/>
      <c r="N191" s="1286"/>
      <c r="O191" s="1302"/>
      <c r="P191" s="1220"/>
      <c r="Q191" s="1281"/>
      <c r="R191" s="213"/>
      <c r="S191" s="165"/>
      <c r="T191" s="1215"/>
      <c r="U191" s="165"/>
      <c r="V191" s="1233"/>
      <c r="W191" s="1305"/>
      <c r="X191" s="1303"/>
      <c r="Y191" s="1304"/>
    </row>
    <row r="192" spans="2:25" x14ac:dyDescent="0.2">
      <c r="B192" s="761"/>
      <c r="C192" s="206"/>
      <c r="D192" s="55"/>
      <c r="E192" s="55"/>
      <c r="F192" s="55"/>
      <c r="G192" s="55"/>
      <c r="H192" s="55"/>
      <c r="I192" s="55"/>
      <c r="J192" s="55"/>
      <c r="K192" s="55"/>
      <c r="L192" s="207"/>
      <c r="N192" s="1286"/>
      <c r="O192" s="1302"/>
      <c r="P192" s="1220"/>
      <c r="Q192" s="1281"/>
      <c r="R192" s="213"/>
      <c r="S192" s="165"/>
      <c r="T192" s="1215"/>
      <c r="U192" s="165"/>
      <c r="V192" s="1233"/>
      <c r="W192" s="1305"/>
      <c r="X192" s="1303"/>
      <c r="Y192" s="1304"/>
    </row>
    <row r="193" spans="2:25" x14ac:dyDescent="0.2">
      <c r="B193" s="761"/>
      <c r="C193" s="206"/>
      <c r="D193" s="55"/>
      <c r="E193" s="55"/>
      <c r="F193" s="55"/>
      <c r="G193" s="55"/>
      <c r="H193" s="55"/>
      <c r="I193" s="55"/>
      <c r="J193" s="55"/>
      <c r="K193" s="55"/>
      <c r="L193" s="207"/>
      <c r="N193" s="1286"/>
      <c r="O193" s="1302"/>
      <c r="P193" s="1220"/>
      <c r="Q193" s="1281"/>
      <c r="R193" s="213"/>
      <c r="S193" s="165"/>
      <c r="T193" s="1215"/>
      <c r="U193" s="165"/>
      <c r="V193" s="1233"/>
      <c r="W193" s="1305"/>
      <c r="X193" s="1303"/>
      <c r="Y193" s="1304"/>
    </row>
    <row r="194" spans="2:25" ht="12" thickBot="1" x14ac:dyDescent="0.25">
      <c r="B194" s="762"/>
      <c r="C194" s="172"/>
      <c r="D194" s="173"/>
      <c r="E194" s="173"/>
      <c r="F194" s="173"/>
      <c r="G194" s="173"/>
      <c r="H194" s="173"/>
      <c r="I194" s="173"/>
      <c r="J194" s="173"/>
      <c r="K194" s="173"/>
      <c r="L194" s="174"/>
      <c r="N194" s="1289"/>
      <c r="O194" s="1306"/>
      <c r="P194" s="1291"/>
      <c r="Q194" s="1292"/>
      <c r="R194" s="1265"/>
      <c r="S194" s="398"/>
      <c r="T194" s="1218"/>
      <c r="U194" s="398"/>
      <c r="V194" s="1234"/>
      <c r="W194" s="1308"/>
      <c r="X194" s="1309"/>
      <c r="Y194" s="1310"/>
    </row>
    <row r="195" spans="2:25" ht="12" thickBot="1" x14ac:dyDescent="0.25">
      <c r="N195" s="1235"/>
      <c r="O195" s="1235"/>
      <c r="P195" s="1235"/>
      <c r="Q195" s="1235"/>
      <c r="R195" s="1235"/>
      <c r="S195" s="1235"/>
      <c r="T195" s="1235"/>
      <c r="U195" s="1235"/>
      <c r="V195" s="1235"/>
      <c r="W195" s="1235"/>
      <c r="X195" s="1235"/>
      <c r="Y195" s="1235"/>
    </row>
    <row r="196" spans="2:25" x14ac:dyDescent="0.2">
      <c r="B196" s="760" t="s">
        <v>187</v>
      </c>
      <c r="C196" s="80" t="s">
        <v>189</v>
      </c>
      <c r="D196" s="1219">
        <v>0.1</v>
      </c>
      <c r="E196" s="401">
        <v>35</v>
      </c>
      <c r="F196" s="1219">
        <v>0.12189999999999999</v>
      </c>
      <c r="G196" s="1219">
        <v>4.4310000000000002E-2</v>
      </c>
      <c r="H196" s="1219">
        <v>9.5899999999999999E-2</v>
      </c>
      <c r="I196" s="1205">
        <v>4.5999999999999999E-2</v>
      </c>
      <c r="J196" s="1206">
        <v>7.0000000000000007E-2</v>
      </c>
      <c r="K196" s="401">
        <v>0</v>
      </c>
      <c r="L196" s="1207">
        <v>4.0000000000000001E-3</v>
      </c>
      <c r="N196" s="1311" t="s">
        <v>286</v>
      </c>
      <c r="O196" s="1299">
        <v>1.4999999999999999E-2</v>
      </c>
      <c r="P196" s="1219">
        <v>1.5E-3</v>
      </c>
      <c r="Q196" s="1277"/>
      <c r="R196" s="212">
        <v>12</v>
      </c>
      <c r="S196" s="401">
        <v>1</v>
      </c>
      <c r="T196" s="1213">
        <v>10</v>
      </c>
      <c r="U196" s="401"/>
      <c r="V196" s="1231"/>
      <c r="W196" s="204">
        <v>3</v>
      </c>
      <c r="X196" s="1300"/>
      <c r="Y196" s="1301"/>
    </row>
    <row r="197" spans="2:25" x14ac:dyDescent="0.2">
      <c r="B197" s="761"/>
      <c r="C197" s="206"/>
      <c r="D197" s="54"/>
      <c r="E197" s="201"/>
      <c r="F197" s="201"/>
      <c r="G197" s="201"/>
      <c r="H197" s="201"/>
      <c r="I197" s="54"/>
      <c r="J197" s="54"/>
      <c r="K197" s="53"/>
      <c r="L197" s="322"/>
      <c r="N197" s="1286" t="s">
        <v>130</v>
      </c>
      <c r="O197" s="1302">
        <v>0.02</v>
      </c>
      <c r="P197" s="1220">
        <v>2E-3</v>
      </c>
      <c r="Q197" s="1281"/>
      <c r="R197" s="213">
        <v>14</v>
      </c>
      <c r="S197" s="165">
        <v>1</v>
      </c>
      <c r="T197" s="1215">
        <v>10</v>
      </c>
      <c r="U197" s="165"/>
      <c r="V197" s="1233"/>
      <c r="W197" s="205">
        <v>3</v>
      </c>
      <c r="X197" s="1303"/>
      <c r="Y197" s="1304"/>
    </row>
    <row r="198" spans="2:25" x14ac:dyDescent="0.2">
      <c r="B198" s="761"/>
      <c r="C198" s="206"/>
      <c r="D198" s="55"/>
      <c r="E198" s="55"/>
      <c r="F198" s="55"/>
      <c r="G198" s="55"/>
      <c r="H198" s="55"/>
      <c r="I198" s="55"/>
      <c r="J198" s="55"/>
      <c r="K198" s="55"/>
      <c r="L198" s="207"/>
      <c r="N198" s="161"/>
      <c r="O198" s="1302"/>
      <c r="P198" s="1220"/>
      <c r="Q198" s="1281"/>
      <c r="R198" s="213"/>
      <c r="S198" s="165"/>
      <c r="T198" s="1215"/>
      <c r="U198" s="165"/>
      <c r="V198" s="1233"/>
      <c r="W198" s="205"/>
      <c r="X198" s="1303"/>
      <c r="Y198" s="1304"/>
    </row>
    <row r="199" spans="2:25" x14ac:dyDescent="0.2">
      <c r="B199" s="761"/>
      <c r="C199" s="206"/>
      <c r="D199" s="55"/>
      <c r="E199" s="55"/>
      <c r="F199" s="55"/>
      <c r="G199" s="55"/>
      <c r="H199" s="55"/>
      <c r="I199" s="55"/>
      <c r="J199" s="55"/>
      <c r="K199" s="55"/>
      <c r="L199" s="207"/>
      <c r="N199" s="161"/>
      <c r="O199" s="1302"/>
      <c r="P199" s="1220"/>
      <c r="Q199" s="1281"/>
      <c r="R199" s="213"/>
      <c r="S199" s="165"/>
      <c r="T199" s="1215"/>
      <c r="U199" s="165"/>
      <c r="V199" s="1233"/>
      <c r="W199" s="205"/>
      <c r="X199" s="1303"/>
      <c r="Y199" s="1304"/>
    </row>
    <row r="200" spans="2:25" x14ac:dyDescent="0.2">
      <c r="B200" s="761"/>
      <c r="C200" s="206"/>
      <c r="D200" s="55"/>
      <c r="E200" s="55"/>
      <c r="F200" s="55"/>
      <c r="G200" s="55"/>
      <c r="H200" s="55"/>
      <c r="I200" s="55"/>
      <c r="J200" s="55"/>
      <c r="K200" s="55"/>
      <c r="L200" s="207"/>
      <c r="N200" s="161"/>
      <c r="O200" s="1302"/>
      <c r="P200" s="1220"/>
      <c r="Q200" s="1281"/>
      <c r="R200" s="213"/>
      <c r="S200" s="165"/>
      <c r="T200" s="1215"/>
      <c r="U200" s="165"/>
      <c r="V200" s="1233"/>
      <c r="W200" s="205"/>
      <c r="X200" s="1303"/>
      <c r="Y200" s="1304"/>
    </row>
    <row r="201" spans="2:25" x14ac:dyDescent="0.2">
      <c r="B201" s="761"/>
      <c r="C201" s="206"/>
      <c r="D201" s="55"/>
      <c r="E201" s="55"/>
      <c r="F201" s="55"/>
      <c r="G201" s="55"/>
      <c r="H201" s="55"/>
      <c r="I201" s="55"/>
      <c r="J201" s="55"/>
      <c r="K201" s="55"/>
      <c r="L201" s="207"/>
      <c r="N201" s="1286"/>
      <c r="O201" s="1302"/>
      <c r="P201" s="1220"/>
      <c r="Q201" s="1281"/>
      <c r="R201" s="213"/>
      <c r="S201" s="165"/>
      <c r="T201" s="1215"/>
      <c r="U201" s="165"/>
      <c r="V201" s="1233"/>
      <c r="W201" s="1305"/>
      <c r="X201" s="1303"/>
      <c r="Y201" s="1304"/>
    </row>
    <row r="202" spans="2:25" x14ac:dyDescent="0.2">
      <c r="B202" s="761"/>
      <c r="C202" s="206"/>
      <c r="D202" s="55"/>
      <c r="E202" s="55"/>
      <c r="F202" s="55"/>
      <c r="G202" s="55"/>
      <c r="H202" s="55"/>
      <c r="I202" s="55"/>
      <c r="J202" s="55"/>
      <c r="K202" s="55"/>
      <c r="L202" s="207"/>
      <c r="N202" s="1286"/>
      <c r="O202" s="1302"/>
      <c r="P202" s="1220"/>
      <c r="Q202" s="1281"/>
      <c r="R202" s="213"/>
      <c r="S202" s="165"/>
      <c r="T202" s="1215"/>
      <c r="U202" s="165"/>
      <c r="V202" s="1233"/>
      <c r="W202" s="1305"/>
      <c r="X202" s="1303"/>
      <c r="Y202" s="1304"/>
    </row>
    <row r="203" spans="2:25" x14ac:dyDescent="0.2">
      <c r="B203" s="761"/>
      <c r="C203" s="206"/>
      <c r="D203" s="55"/>
      <c r="E203" s="55"/>
      <c r="F203" s="55"/>
      <c r="G203" s="55"/>
      <c r="H203" s="55"/>
      <c r="I203" s="55"/>
      <c r="J203" s="55"/>
      <c r="K203" s="55"/>
      <c r="L203" s="207"/>
      <c r="N203" s="1286"/>
      <c r="O203" s="1302"/>
      <c r="P203" s="1220"/>
      <c r="Q203" s="1281"/>
      <c r="R203" s="213"/>
      <c r="S203" s="165"/>
      <c r="T203" s="1215"/>
      <c r="U203" s="165"/>
      <c r="V203" s="1233"/>
      <c r="W203" s="1305"/>
      <c r="X203" s="1303"/>
      <c r="Y203" s="1304"/>
    </row>
    <row r="204" spans="2:25" x14ac:dyDescent="0.2">
      <c r="B204" s="761"/>
      <c r="C204" s="206"/>
      <c r="D204" s="55"/>
      <c r="E204" s="55"/>
      <c r="F204" s="321"/>
      <c r="G204" s="55"/>
      <c r="H204" s="55"/>
      <c r="I204" s="55"/>
      <c r="J204" s="55"/>
      <c r="K204" s="55"/>
      <c r="L204" s="207"/>
      <c r="N204" s="1286"/>
      <c r="O204" s="1302"/>
      <c r="P204" s="1220"/>
      <c r="Q204" s="1281"/>
      <c r="R204" s="213"/>
      <c r="S204" s="165"/>
      <c r="T204" s="1215"/>
      <c r="U204" s="165"/>
      <c r="V204" s="1233"/>
      <c r="W204" s="1305"/>
      <c r="X204" s="1303"/>
      <c r="Y204" s="1304"/>
    </row>
    <row r="205" spans="2:25" x14ac:dyDescent="0.2">
      <c r="B205" s="761"/>
      <c r="C205" s="206"/>
      <c r="D205" s="55"/>
      <c r="E205" s="55"/>
      <c r="F205" s="55"/>
      <c r="G205" s="55"/>
      <c r="H205" s="55"/>
      <c r="I205" s="55"/>
      <c r="J205" s="55"/>
      <c r="K205" s="55"/>
      <c r="L205" s="207"/>
      <c r="N205" s="1286"/>
      <c r="O205" s="1302"/>
      <c r="P205" s="1220"/>
      <c r="Q205" s="1281"/>
      <c r="R205" s="213"/>
      <c r="S205" s="165"/>
      <c r="T205" s="1215"/>
      <c r="U205" s="165"/>
      <c r="V205" s="1233"/>
      <c r="W205" s="1305"/>
      <c r="X205" s="1303"/>
      <c r="Y205" s="1304"/>
    </row>
    <row r="206" spans="2:25" x14ac:dyDescent="0.2">
      <c r="B206" s="761"/>
      <c r="C206" s="206"/>
      <c r="D206" s="55"/>
      <c r="E206" s="55"/>
      <c r="F206" s="55"/>
      <c r="G206" s="55"/>
      <c r="H206" s="55"/>
      <c r="I206" s="55"/>
      <c r="J206" s="55"/>
      <c r="K206" s="55"/>
      <c r="L206" s="207"/>
      <c r="N206" s="1286"/>
      <c r="O206" s="1302"/>
      <c r="P206" s="1220"/>
      <c r="Q206" s="1281"/>
      <c r="R206" s="213"/>
      <c r="S206" s="165"/>
      <c r="T206" s="1215"/>
      <c r="U206" s="165"/>
      <c r="V206" s="1233"/>
      <c r="W206" s="1305"/>
      <c r="X206" s="1303"/>
      <c r="Y206" s="1304"/>
    </row>
    <row r="207" spans="2:25" x14ac:dyDescent="0.2">
      <c r="B207" s="761"/>
      <c r="C207" s="206"/>
      <c r="D207" s="55"/>
      <c r="E207" s="55"/>
      <c r="F207" s="55"/>
      <c r="G207" s="55"/>
      <c r="H207" s="55"/>
      <c r="I207" s="55"/>
      <c r="J207" s="55"/>
      <c r="K207" s="55"/>
      <c r="L207" s="207"/>
      <c r="N207" s="1286"/>
      <c r="O207" s="1302"/>
      <c r="P207" s="1220"/>
      <c r="Q207" s="1281"/>
      <c r="R207" s="213"/>
      <c r="S207" s="165"/>
      <c r="T207" s="1215"/>
      <c r="U207" s="165"/>
      <c r="V207" s="1233"/>
      <c r="W207" s="1305"/>
      <c r="X207" s="1303"/>
      <c r="Y207" s="1304"/>
    </row>
    <row r="208" spans="2:25" ht="12" thickBot="1" x14ac:dyDescent="0.25">
      <c r="B208" s="762"/>
      <c r="C208" s="172"/>
      <c r="D208" s="173"/>
      <c r="E208" s="173"/>
      <c r="F208" s="173"/>
      <c r="G208" s="173"/>
      <c r="H208" s="173"/>
      <c r="I208" s="173"/>
      <c r="J208" s="173"/>
      <c r="K208" s="173"/>
      <c r="L208" s="174"/>
      <c r="N208" s="1289"/>
      <c r="O208" s="1306"/>
      <c r="P208" s="1291"/>
      <c r="Q208" s="1292"/>
      <c r="R208" s="1265"/>
      <c r="S208" s="398"/>
      <c r="T208" s="1218"/>
      <c r="U208" s="398"/>
      <c r="V208" s="1234"/>
      <c r="W208" s="1308"/>
      <c r="X208" s="1309"/>
      <c r="Y208" s="1310"/>
    </row>
    <row r="209" spans="2:25" ht="12" thickBot="1" x14ac:dyDescent="0.25">
      <c r="N209" s="1235"/>
      <c r="O209" s="1235"/>
      <c r="P209" s="1235"/>
      <c r="Q209" s="1235"/>
      <c r="R209" s="1235"/>
      <c r="S209" s="1235"/>
      <c r="T209" s="1235"/>
      <c r="U209" s="1235"/>
      <c r="V209" s="1235"/>
      <c r="W209" s="1235"/>
      <c r="X209" s="1235"/>
      <c r="Y209" s="1235"/>
    </row>
    <row r="210" spans="2:25" x14ac:dyDescent="0.2">
      <c r="B210" s="760" t="s">
        <v>190</v>
      </c>
      <c r="C210" s="80" t="s">
        <v>192</v>
      </c>
      <c r="D210" s="1204">
        <v>0.19600000000000001</v>
      </c>
      <c r="E210" s="401">
        <v>35</v>
      </c>
      <c r="F210" s="1219">
        <v>0.37659999999999999</v>
      </c>
      <c r="G210" s="1219">
        <v>0.16170000000000001</v>
      </c>
      <c r="H210" s="1219">
        <v>0.18440000000000001</v>
      </c>
      <c r="I210" s="1221">
        <v>0.1489</v>
      </c>
      <c r="J210" s="1206">
        <v>7.0000000000000007E-2</v>
      </c>
      <c r="K210" s="401">
        <v>0</v>
      </c>
      <c r="L210" s="1207">
        <v>2E-3</v>
      </c>
      <c r="N210" s="1311" t="s">
        <v>286</v>
      </c>
      <c r="O210" s="1299">
        <v>1.4999999999999999E-2</v>
      </c>
      <c r="P210" s="1219">
        <v>1.5E-3</v>
      </c>
      <c r="Q210" s="1277"/>
      <c r="R210" s="212">
        <v>15</v>
      </c>
      <c r="S210" s="401">
        <v>1</v>
      </c>
      <c r="T210" s="1213">
        <v>10</v>
      </c>
      <c r="U210" s="401"/>
      <c r="V210" s="1231"/>
      <c r="W210" s="204">
        <v>3</v>
      </c>
      <c r="X210" s="1300"/>
      <c r="Y210" s="1301"/>
    </row>
    <row r="211" spans="2:25" x14ac:dyDescent="0.2">
      <c r="B211" s="761"/>
      <c r="C211" s="206"/>
      <c r="D211" s="54"/>
      <c r="E211" s="201"/>
      <c r="F211" s="201"/>
      <c r="G211" s="201"/>
      <c r="H211" s="201"/>
      <c r="I211" s="54"/>
      <c r="J211" s="54"/>
      <c r="K211" s="53"/>
      <c r="L211" s="322"/>
      <c r="N211" s="1286" t="s">
        <v>130</v>
      </c>
      <c r="O211" s="1302">
        <v>0.02</v>
      </c>
      <c r="P211" s="1220">
        <v>2E-3</v>
      </c>
      <c r="Q211" s="1281"/>
      <c r="R211" s="213">
        <v>17</v>
      </c>
      <c r="S211" s="165">
        <v>1</v>
      </c>
      <c r="T211" s="1215">
        <v>10</v>
      </c>
      <c r="U211" s="165"/>
      <c r="V211" s="1233"/>
      <c r="W211" s="205">
        <v>3</v>
      </c>
      <c r="X211" s="1303"/>
      <c r="Y211" s="1304"/>
    </row>
    <row r="212" spans="2:25" x14ac:dyDescent="0.2">
      <c r="B212" s="761"/>
      <c r="C212" s="206"/>
      <c r="D212" s="55"/>
      <c r="E212" s="55"/>
      <c r="F212" s="55"/>
      <c r="G212" s="55"/>
      <c r="H212" s="55"/>
      <c r="I212" s="55"/>
      <c r="J212" s="55"/>
      <c r="K212" s="55"/>
      <c r="L212" s="207"/>
      <c r="N212" s="161"/>
      <c r="O212" s="1302"/>
      <c r="P212" s="1220"/>
      <c r="Q212" s="1281"/>
      <c r="R212" s="213"/>
      <c r="S212" s="165"/>
      <c r="T212" s="1215"/>
      <c r="U212" s="165"/>
      <c r="V212" s="1233"/>
      <c r="W212" s="205"/>
      <c r="X212" s="1303"/>
      <c r="Y212" s="1304"/>
    </row>
    <row r="213" spans="2:25" x14ac:dyDescent="0.2">
      <c r="B213" s="761"/>
      <c r="C213" s="206"/>
      <c r="D213" s="55"/>
      <c r="E213" s="55"/>
      <c r="F213" s="55"/>
      <c r="G213" s="55"/>
      <c r="H213" s="55"/>
      <c r="I213" s="55"/>
      <c r="J213" s="55"/>
      <c r="K213" s="55"/>
      <c r="L213" s="207"/>
      <c r="N213" s="161"/>
      <c r="O213" s="1302"/>
      <c r="P213" s="1220"/>
      <c r="Q213" s="1281"/>
      <c r="R213" s="213"/>
      <c r="S213" s="165"/>
      <c r="T213" s="1215"/>
      <c r="U213" s="165"/>
      <c r="V213" s="1233"/>
      <c r="W213" s="205"/>
      <c r="X213" s="1303"/>
      <c r="Y213" s="1304"/>
    </row>
    <row r="214" spans="2:25" x14ac:dyDescent="0.2">
      <c r="B214" s="761"/>
      <c r="C214" s="206"/>
      <c r="D214" s="55"/>
      <c r="E214" s="55"/>
      <c r="F214" s="55"/>
      <c r="G214" s="55"/>
      <c r="H214" s="55"/>
      <c r="I214" s="55"/>
      <c r="J214" s="55"/>
      <c r="K214" s="55"/>
      <c r="L214" s="207"/>
      <c r="N214" s="161"/>
      <c r="O214" s="1302"/>
      <c r="P214" s="1220"/>
      <c r="Q214" s="1281"/>
      <c r="R214" s="213"/>
      <c r="S214" s="165"/>
      <c r="T214" s="1215"/>
      <c r="U214" s="165"/>
      <c r="V214" s="1233"/>
      <c r="W214" s="205"/>
      <c r="X214" s="1303"/>
      <c r="Y214" s="1304"/>
    </row>
    <row r="215" spans="2:25" x14ac:dyDescent="0.2">
      <c r="B215" s="761"/>
      <c r="C215" s="206"/>
      <c r="D215" s="55"/>
      <c r="E215" s="55"/>
      <c r="F215" s="55"/>
      <c r="G215" s="55"/>
      <c r="H215" s="55"/>
      <c r="I215" s="55"/>
      <c r="J215" s="55"/>
      <c r="K215" s="55"/>
      <c r="L215" s="207"/>
      <c r="N215" s="1286"/>
      <c r="O215" s="1302"/>
      <c r="P215" s="1220"/>
      <c r="Q215" s="1281"/>
      <c r="R215" s="213"/>
      <c r="S215" s="165"/>
      <c r="T215" s="1215"/>
      <c r="U215" s="165"/>
      <c r="V215" s="1233"/>
      <c r="W215" s="1305"/>
      <c r="X215" s="1303"/>
      <c r="Y215" s="1304"/>
    </row>
    <row r="216" spans="2:25" x14ac:dyDescent="0.2">
      <c r="B216" s="761"/>
      <c r="C216" s="206"/>
      <c r="D216" s="55"/>
      <c r="E216" s="55"/>
      <c r="F216" s="55"/>
      <c r="G216" s="55"/>
      <c r="H216" s="55"/>
      <c r="I216" s="55"/>
      <c r="J216" s="55"/>
      <c r="K216" s="55"/>
      <c r="L216" s="207"/>
      <c r="N216" s="1286"/>
      <c r="O216" s="1302"/>
      <c r="P216" s="1220"/>
      <c r="Q216" s="1281"/>
      <c r="R216" s="213"/>
      <c r="S216" s="165"/>
      <c r="T216" s="1215"/>
      <c r="U216" s="165"/>
      <c r="V216" s="1233"/>
      <c r="W216" s="1305"/>
      <c r="X216" s="1303"/>
      <c r="Y216" s="1304"/>
    </row>
    <row r="217" spans="2:25" x14ac:dyDescent="0.2">
      <c r="B217" s="761"/>
      <c r="C217" s="206"/>
      <c r="D217" s="55"/>
      <c r="E217" s="55"/>
      <c r="F217" s="55"/>
      <c r="G217" s="55"/>
      <c r="H217" s="55"/>
      <c r="I217" s="55"/>
      <c r="J217" s="55"/>
      <c r="K217" s="55"/>
      <c r="L217" s="207"/>
      <c r="N217" s="1286"/>
      <c r="O217" s="1302"/>
      <c r="P217" s="1220"/>
      <c r="Q217" s="1281"/>
      <c r="R217" s="213"/>
      <c r="S217" s="165"/>
      <c r="T217" s="1215"/>
      <c r="U217" s="165"/>
      <c r="V217" s="1233"/>
      <c r="W217" s="1305"/>
      <c r="X217" s="1303"/>
      <c r="Y217" s="1304"/>
    </row>
    <row r="218" spans="2:25" x14ac:dyDescent="0.2">
      <c r="B218" s="761"/>
      <c r="C218" s="206"/>
      <c r="D218" s="55"/>
      <c r="E218" s="55"/>
      <c r="F218" s="321"/>
      <c r="G218" s="55"/>
      <c r="H218" s="55"/>
      <c r="I218" s="55"/>
      <c r="J218" s="55"/>
      <c r="K218" s="55"/>
      <c r="L218" s="207"/>
      <c r="N218" s="1286"/>
      <c r="O218" s="1302"/>
      <c r="P218" s="1220"/>
      <c r="Q218" s="1281"/>
      <c r="R218" s="213"/>
      <c r="S218" s="165"/>
      <c r="T218" s="1215"/>
      <c r="U218" s="165"/>
      <c r="V218" s="1233"/>
      <c r="W218" s="1305"/>
      <c r="X218" s="1303"/>
      <c r="Y218" s="1304"/>
    </row>
    <row r="219" spans="2:25" x14ac:dyDescent="0.2">
      <c r="B219" s="761"/>
      <c r="C219" s="206"/>
      <c r="D219" s="55"/>
      <c r="E219" s="55"/>
      <c r="F219" s="55"/>
      <c r="G219" s="55"/>
      <c r="H219" s="55"/>
      <c r="I219" s="55"/>
      <c r="J219" s="55"/>
      <c r="K219" s="55"/>
      <c r="L219" s="207"/>
      <c r="N219" s="1286"/>
      <c r="O219" s="1302"/>
      <c r="P219" s="1220"/>
      <c r="Q219" s="1281" t="s">
        <v>288</v>
      </c>
      <c r="R219" s="213"/>
      <c r="S219" s="165"/>
      <c r="T219" s="1215"/>
      <c r="U219" s="165"/>
      <c r="V219" s="1233"/>
      <c r="W219" s="1305"/>
      <c r="X219" s="1303"/>
      <c r="Y219" s="1304"/>
    </row>
    <row r="220" spans="2:25" x14ac:dyDescent="0.2">
      <c r="B220" s="761"/>
      <c r="C220" s="206"/>
      <c r="D220" s="55"/>
      <c r="E220" s="55"/>
      <c r="F220" s="55"/>
      <c r="G220" s="55"/>
      <c r="H220" s="55"/>
      <c r="I220" s="55"/>
      <c r="J220" s="55"/>
      <c r="K220" s="55"/>
      <c r="L220" s="207"/>
      <c r="N220" s="1286"/>
      <c r="O220" s="1302"/>
      <c r="P220" s="1220"/>
      <c r="Q220" s="1281"/>
      <c r="R220" s="213"/>
      <c r="S220" s="165"/>
      <c r="T220" s="1215"/>
      <c r="U220" s="165"/>
      <c r="V220" s="1233"/>
      <c r="W220" s="1305"/>
      <c r="X220" s="1303"/>
      <c r="Y220" s="1304"/>
    </row>
    <row r="221" spans="2:25" x14ac:dyDescent="0.2">
      <c r="B221" s="761"/>
      <c r="C221" s="206"/>
      <c r="D221" s="55"/>
      <c r="E221" s="55"/>
      <c r="F221" s="55"/>
      <c r="G221" s="55"/>
      <c r="H221" s="55"/>
      <c r="I221" s="55"/>
      <c r="J221" s="55"/>
      <c r="K221" s="55"/>
      <c r="L221" s="207"/>
      <c r="N221" s="1286"/>
      <c r="O221" s="1302"/>
      <c r="P221" s="1220"/>
      <c r="Q221" s="1281"/>
      <c r="R221" s="213"/>
      <c r="S221" s="165"/>
      <c r="T221" s="1215"/>
      <c r="U221" s="165"/>
      <c r="V221" s="1233"/>
      <c r="W221" s="1305"/>
      <c r="X221" s="1303"/>
      <c r="Y221" s="1304"/>
    </row>
    <row r="222" spans="2:25" ht="12" thickBot="1" x14ac:dyDescent="0.25">
      <c r="B222" s="762"/>
      <c r="C222" s="172"/>
      <c r="D222" s="173"/>
      <c r="E222" s="173"/>
      <c r="F222" s="173"/>
      <c r="G222" s="173"/>
      <c r="H222" s="173"/>
      <c r="I222" s="173"/>
      <c r="J222" s="173"/>
      <c r="K222" s="173"/>
      <c r="L222" s="174"/>
      <c r="N222" s="1289"/>
      <c r="O222" s="1306"/>
      <c r="P222" s="1291"/>
      <c r="Q222" s="1292"/>
      <c r="R222" s="1265"/>
      <c r="S222" s="398"/>
      <c r="T222" s="1218"/>
      <c r="U222" s="398"/>
      <c r="V222" s="1234"/>
      <c r="W222" s="1308"/>
      <c r="X222" s="1309"/>
      <c r="Y222" s="1310"/>
    </row>
    <row r="223" spans="2:25" ht="12" thickBot="1" x14ac:dyDescent="0.25">
      <c r="N223" s="1235"/>
      <c r="O223" s="1235"/>
      <c r="P223" s="1235"/>
      <c r="Q223" s="1235"/>
      <c r="R223" s="1235"/>
      <c r="S223" s="1235"/>
      <c r="T223" s="1235"/>
      <c r="U223" s="1235"/>
      <c r="V223" s="1235"/>
      <c r="W223" s="1235"/>
      <c r="X223" s="1235"/>
      <c r="Y223" s="1235"/>
    </row>
    <row r="224" spans="2:25" x14ac:dyDescent="0.2">
      <c r="B224" s="760" t="s">
        <v>193</v>
      </c>
      <c r="C224" s="80" t="s">
        <v>194</v>
      </c>
      <c r="D224" s="1222">
        <v>0.19600000000000001</v>
      </c>
      <c r="E224" s="1223">
        <v>35</v>
      </c>
      <c r="F224" s="1224">
        <v>0.37659999999999999</v>
      </c>
      <c r="G224" s="1224">
        <v>0.16170000000000001</v>
      </c>
      <c r="H224" s="1224">
        <v>0.18440000000000001</v>
      </c>
      <c r="I224" s="1225">
        <v>0.1489</v>
      </c>
      <c r="J224" s="1204"/>
      <c r="K224" s="401">
        <v>0</v>
      </c>
      <c r="L224" s="1207">
        <v>3.0000000000000001E-3</v>
      </c>
      <c r="N224" s="1311" t="s">
        <v>286</v>
      </c>
      <c r="O224" s="1299">
        <v>1.4999999999999999E-2</v>
      </c>
      <c r="P224" s="1219">
        <v>1.5E-3</v>
      </c>
      <c r="Q224" s="1277"/>
      <c r="R224" s="212">
        <v>15</v>
      </c>
      <c r="S224" s="401">
        <v>1</v>
      </c>
      <c r="T224" s="1213">
        <v>10</v>
      </c>
      <c r="U224" s="401"/>
      <c r="V224" s="1231"/>
      <c r="W224" s="204">
        <v>3</v>
      </c>
      <c r="X224" s="1300"/>
      <c r="Y224" s="1301"/>
    </row>
    <row r="225" spans="2:25" x14ac:dyDescent="0.2">
      <c r="B225" s="761"/>
      <c r="C225" s="81" t="s">
        <v>194</v>
      </c>
      <c r="D225" s="1226">
        <v>0.1</v>
      </c>
      <c r="E225" s="1227">
        <v>35</v>
      </c>
      <c r="F225" s="1226">
        <v>0.12189999999999999</v>
      </c>
      <c r="G225" s="1226">
        <v>4.4310000000000002E-2</v>
      </c>
      <c r="H225" s="1226">
        <v>9.5899999999999999E-2</v>
      </c>
      <c r="I225" s="1115">
        <v>4.5999999999999999E-2</v>
      </c>
      <c r="J225" s="1201"/>
      <c r="K225" s="165">
        <v>0</v>
      </c>
      <c r="L225" s="1203">
        <v>0.05</v>
      </c>
      <c r="N225" s="1286" t="s">
        <v>130</v>
      </c>
      <c r="O225" s="1302">
        <v>0.02</v>
      </c>
      <c r="P225" s="1220">
        <v>2E-3</v>
      </c>
      <c r="Q225" s="1281"/>
      <c r="R225" s="213">
        <v>17</v>
      </c>
      <c r="S225" s="165">
        <v>1</v>
      </c>
      <c r="T225" s="1215">
        <v>10</v>
      </c>
      <c r="U225" s="165"/>
      <c r="V225" s="1233"/>
      <c r="W225" s="205">
        <v>3</v>
      </c>
      <c r="X225" s="1303"/>
      <c r="Y225" s="1304"/>
    </row>
    <row r="226" spans="2:25" x14ac:dyDescent="0.2">
      <c r="B226" s="761"/>
      <c r="C226" s="81" t="s">
        <v>194</v>
      </c>
      <c r="D226" s="1201">
        <v>0.10100000000000001</v>
      </c>
      <c r="E226" s="165">
        <v>48</v>
      </c>
      <c r="F226" s="1220">
        <v>0.318</v>
      </c>
      <c r="G226" s="1220">
        <v>0.12690000000000001</v>
      </c>
      <c r="H226" s="1220">
        <v>0.18410000000000001</v>
      </c>
      <c r="I226" s="1228">
        <v>0.127</v>
      </c>
      <c r="J226" s="1201"/>
      <c r="K226" s="165">
        <v>0</v>
      </c>
      <c r="L226" s="1203">
        <v>0.06</v>
      </c>
      <c r="N226" s="161" t="s">
        <v>289</v>
      </c>
      <c r="O226" s="1302"/>
      <c r="P226" s="1220">
        <v>2E-3</v>
      </c>
      <c r="Q226" s="1281">
        <v>0.05</v>
      </c>
      <c r="R226" s="213">
        <v>23</v>
      </c>
      <c r="S226" s="165"/>
      <c r="T226" s="1215"/>
      <c r="U226" s="165"/>
      <c r="V226" s="1233"/>
      <c r="W226" s="205">
        <v>2</v>
      </c>
      <c r="X226" s="1303"/>
      <c r="Y226" s="1304"/>
    </row>
    <row r="227" spans="2:25" x14ac:dyDescent="0.2">
      <c r="B227" s="761"/>
      <c r="C227" s="206"/>
      <c r="D227" s="55"/>
      <c r="E227" s="55"/>
      <c r="F227" s="55"/>
      <c r="G227" s="55"/>
      <c r="H227" s="55"/>
      <c r="I227" s="55"/>
      <c r="J227" s="55"/>
      <c r="K227" s="55"/>
      <c r="L227" s="207"/>
      <c r="N227" s="161"/>
      <c r="O227" s="1302"/>
      <c r="P227" s="1220"/>
      <c r="Q227" s="1281"/>
      <c r="R227" s="213"/>
      <c r="S227" s="165"/>
      <c r="T227" s="1215"/>
      <c r="U227" s="165"/>
      <c r="V227" s="1233"/>
      <c r="W227" s="205"/>
      <c r="X227" s="1303"/>
      <c r="Y227" s="1304"/>
    </row>
    <row r="228" spans="2:25" x14ac:dyDescent="0.2">
      <c r="B228" s="761"/>
      <c r="C228" s="206"/>
      <c r="D228" s="55"/>
      <c r="E228" s="55"/>
      <c r="F228" s="55"/>
      <c r="G228" s="55"/>
      <c r="H228" s="55"/>
      <c r="I228" s="55"/>
      <c r="J228" s="55"/>
      <c r="K228" s="55"/>
      <c r="L228" s="207"/>
      <c r="N228" s="161"/>
      <c r="O228" s="1302"/>
      <c r="P228" s="1220"/>
      <c r="Q228" s="1281"/>
      <c r="R228" s="213"/>
      <c r="S228" s="165"/>
      <c r="T228" s="1215"/>
      <c r="U228" s="165"/>
      <c r="V228" s="1233"/>
      <c r="W228" s="205"/>
      <c r="X228" s="1303"/>
      <c r="Y228" s="1304"/>
    </row>
    <row r="229" spans="2:25" x14ac:dyDescent="0.2">
      <c r="B229" s="761"/>
      <c r="C229" s="206"/>
      <c r="D229" s="55"/>
      <c r="E229" s="55"/>
      <c r="F229" s="55"/>
      <c r="G229" s="55"/>
      <c r="H229" s="55"/>
      <c r="I229" s="55"/>
      <c r="J229" s="55"/>
      <c r="K229" s="55"/>
      <c r="L229" s="207"/>
      <c r="N229" s="1286"/>
      <c r="O229" s="1302"/>
      <c r="P229" s="1220"/>
      <c r="Q229" s="1281"/>
      <c r="R229" s="213"/>
      <c r="S229" s="165"/>
      <c r="T229" s="1215"/>
      <c r="U229" s="165"/>
      <c r="V229" s="1233"/>
      <c r="W229" s="1305"/>
      <c r="X229" s="1303"/>
      <c r="Y229" s="1304"/>
    </row>
    <row r="230" spans="2:25" x14ac:dyDescent="0.2">
      <c r="B230" s="761"/>
      <c r="C230" s="206"/>
      <c r="D230" s="55"/>
      <c r="E230" s="55"/>
      <c r="F230" s="55"/>
      <c r="G230" s="55"/>
      <c r="H230" s="55"/>
      <c r="I230" s="55"/>
      <c r="J230" s="55"/>
      <c r="K230" s="55"/>
      <c r="L230" s="207"/>
      <c r="N230" s="1286"/>
      <c r="O230" s="1302"/>
      <c r="P230" s="1220"/>
      <c r="Q230" s="1281"/>
      <c r="R230" s="213"/>
      <c r="S230" s="165"/>
      <c r="T230" s="1215"/>
      <c r="U230" s="165"/>
      <c r="V230" s="1233"/>
      <c r="W230" s="1305"/>
      <c r="X230" s="1303"/>
      <c r="Y230" s="1304"/>
    </row>
    <row r="231" spans="2:25" x14ac:dyDescent="0.2">
      <c r="B231" s="761"/>
      <c r="C231" s="206"/>
      <c r="D231" s="55"/>
      <c r="E231" s="55"/>
      <c r="F231" s="55"/>
      <c r="G231" s="55"/>
      <c r="H231" s="55"/>
      <c r="I231" s="55"/>
      <c r="J231" s="55"/>
      <c r="K231" s="55"/>
      <c r="L231" s="207"/>
      <c r="N231" s="1286"/>
      <c r="O231" s="1302"/>
      <c r="P231" s="1220"/>
      <c r="Q231" s="1281"/>
      <c r="R231" s="213"/>
      <c r="S231" s="165"/>
      <c r="T231" s="1215"/>
      <c r="U231" s="165"/>
      <c r="V231" s="1233"/>
      <c r="W231" s="1305"/>
      <c r="X231" s="1303"/>
      <c r="Y231" s="1304"/>
    </row>
    <row r="232" spans="2:25" x14ac:dyDescent="0.2">
      <c r="B232" s="761"/>
      <c r="C232" s="206"/>
      <c r="D232" s="55"/>
      <c r="E232" s="55"/>
      <c r="F232" s="321"/>
      <c r="G232" s="55"/>
      <c r="H232" s="55"/>
      <c r="I232" s="55"/>
      <c r="J232" s="55"/>
      <c r="K232" s="55"/>
      <c r="L232" s="207"/>
      <c r="N232" s="1286"/>
      <c r="O232" s="1302"/>
      <c r="P232" s="1220"/>
      <c r="Q232" s="1281"/>
      <c r="R232" s="213"/>
      <c r="S232" s="165"/>
      <c r="T232" s="1215"/>
      <c r="U232" s="165"/>
      <c r="V232" s="1233"/>
      <c r="W232" s="1305"/>
      <c r="X232" s="1303"/>
      <c r="Y232" s="1304"/>
    </row>
    <row r="233" spans="2:25" x14ac:dyDescent="0.2">
      <c r="B233" s="761"/>
      <c r="C233" s="206"/>
      <c r="D233" s="55"/>
      <c r="E233" s="55"/>
      <c r="F233" s="55"/>
      <c r="G233" s="55"/>
      <c r="H233" s="55"/>
      <c r="I233" s="55"/>
      <c r="J233" s="55"/>
      <c r="K233" s="55"/>
      <c r="L233" s="207"/>
      <c r="N233" s="1286"/>
      <c r="O233" s="1302"/>
      <c r="P233" s="1220"/>
      <c r="Q233" s="1281"/>
      <c r="R233" s="213"/>
      <c r="S233" s="165"/>
      <c r="T233" s="1215"/>
      <c r="U233" s="165"/>
      <c r="V233" s="1233"/>
      <c r="W233" s="1305"/>
      <c r="X233" s="1303"/>
      <c r="Y233" s="1304"/>
    </row>
    <row r="234" spans="2:25" x14ac:dyDescent="0.2">
      <c r="B234" s="761"/>
      <c r="C234" s="206"/>
      <c r="D234" s="55"/>
      <c r="E234" s="55"/>
      <c r="F234" s="55"/>
      <c r="G234" s="55"/>
      <c r="H234" s="55"/>
      <c r="I234" s="55"/>
      <c r="J234" s="55"/>
      <c r="K234" s="55"/>
      <c r="L234" s="207"/>
      <c r="N234" s="1286"/>
      <c r="O234" s="1302"/>
      <c r="P234" s="1220"/>
      <c r="Q234" s="1281"/>
      <c r="R234" s="213"/>
      <c r="S234" s="165"/>
      <c r="T234" s="1215"/>
      <c r="U234" s="165"/>
      <c r="V234" s="1233"/>
      <c r="W234" s="1305"/>
      <c r="X234" s="1303"/>
      <c r="Y234" s="1304"/>
    </row>
    <row r="235" spans="2:25" x14ac:dyDescent="0.2">
      <c r="B235" s="761"/>
      <c r="C235" s="206"/>
      <c r="D235" s="55"/>
      <c r="E235" s="55"/>
      <c r="F235" s="55"/>
      <c r="G235" s="55"/>
      <c r="H235" s="55"/>
      <c r="I235" s="55"/>
      <c r="J235" s="55"/>
      <c r="K235" s="55"/>
      <c r="L235" s="207"/>
      <c r="N235" s="1286"/>
      <c r="O235" s="1302"/>
      <c r="P235" s="1220"/>
      <c r="Q235" s="1281"/>
      <c r="R235" s="213"/>
      <c r="S235" s="165"/>
      <c r="T235" s="1215"/>
      <c r="U235" s="165"/>
      <c r="V235" s="1233"/>
      <c r="W235" s="1305"/>
      <c r="X235" s="1303"/>
      <c r="Y235" s="1304"/>
    </row>
    <row r="236" spans="2:25" ht="12" thickBot="1" x14ac:dyDescent="0.25">
      <c r="B236" s="762"/>
      <c r="C236" s="172"/>
      <c r="D236" s="173"/>
      <c r="E236" s="173"/>
      <c r="F236" s="173"/>
      <c r="G236" s="173"/>
      <c r="H236" s="173"/>
      <c r="I236" s="173"/>
      <c r="J236" s="173"/>
      <c r="K236" s="173"/>
      <c r="L236" s="174"/>
      <c r="N236" s="1289"/>
      <c r="O236" s="1306"/>
      <c r="P236" s="1291"/>
      <c r="Q236" s="1292"/>
      <c r="R236" s="1265"/>
      <c r="S236" s="398"/>
      <c r="T236" s="1218"/>
      <c r="U236" s="398"/>
      <c r="V236" s="1234"/>
      <c r="W236" s="1308"/>
      <c r="X236" s="1309"/>
      <c r="Y236" s="1310"/>
    </row>
    <row r="237" spans="2:25" ht="12" thickBot="1" x14ac:dyDescent="0.25">
      <c r="N237" s="1235"/>
      <c r="O237" s="1235"/>
      <c r="P237" s="1235"/>
      <c r="Q237" s="1235"/>
      <c r="R237" s="1235"/>
      <c r="S237" s="1235"/>
      <c r="T237" s="1235"/>
      <c r="U237" s="1235"/>
      <c r="V237" s="1235"/>
      <c r="W237" s="1235"/>
      <c r="X237" s="1235"/>
      <c r="Y237" s="1235"/>
    </row>
    <row r="238" spans="2:25" x14ac:dyDescent="0.2">
      <c r="B238" s="760" t="s">
        <v>201</v>
      </c>
      <c r="C238" s="80" t="s">
        <v>203</v>
      </c>
      <c r="D238" s="401">
        <v>1.4</v>
      </c>
      <c r="E238" s="401">
        <v>41.6</v>
      </c>
      <c r="F238" s="401">
        <v>9.6</v>
      </c>
      <c r="G238" s="401">
        <v>1.7</v>
      </c>
      <c r="H238" s="401">
        <v>17.600000000000001</v>
      </c>
      <c r="I238" s="401">
        <v>0.4</v>
      </c>
      <c r="J238" s="1204"/>
      <c r="K238" s="401">
        <v>0.8</v>
      </c>
      <c r="L238" s="1207">
        <v>8.0000000000000002E-3</v>
      </c>
      <c r="N238" s="160" t="s">
        <v>130</v>
      </c>
      <c r="O238" s="212">
        <v>1.5</v>
      </c>
      <c r="P238" s="401">
        <v>0.1</v>
      </c>
      <c r="Q238" s="1213"/>
      <c r="R238" s="212">
        <v>5</v>
      </c>
      <c r="S238" s="401">
        <v>1</v>
      </c>
      <c r="T238" s="1213">
        <v>10</v>
      </c>
      <c r="U238" s="401"/>
      <c r="V238" s="1231"/>
      <c r="W238" s="196">
        <v>3</v>
      </c>
      <c r="X238" s="1312"/>
      <c r="Y238" s="1313"/>
    </row>
    <row r="239" spans="2:25" x14ac:dyDescent="0.2">
      <c r="B239" s="761"/>
      <c r="C239" s="206"/>
      <c r="D239" s="54"/>
      <c r="E239" s="201"/>
      <c r="F239" s="201"/>
      <c r="G239" s="201"/>
      <c r="H239" s="201"/>
      <c r="I239" s="56"/>
      <c r="J239" s="54"/>
      <c r="K239" s="53"/>
      <c r="L239" s="322"/>
      <c r="N239" s="161" t="s">
        <v>133</v>
      </c>
      <c r="O239" s="213">
        <v>1</v>
      </c>
      <c r="P239" s="165">
        <v>0.1</v>
      </c>
      <c r="Q239" s="1215"/>
      <c r="R239" s="213">
        <v>6</v>
      </c>
      <c r="S239" s="165"/>
      <c r="T239" s="1215"/>
      <c r="U239" s="165"/>
      <c r="V239" s="1233"/>
      <c r="W239" s="197">
        <v>5</v>
      </c>
      <c r="X239" s="1314"/>
      <c r="Y239" s="1315"/>
    </row>
    <row r="240" spans="2:25" x14ac:dyDescent="0.2">
      <c r="B240" s="761"/>
      <c r="C240" s="206"/>
      <c r="D240" s="54"/>
      <c r="E240" s="201"/>
      <c r="F240" s="201"/>
      <c r="G240" s="201"/>
      <c r="H240" s="201"/>
      <c r="I240" s="56"/>
      <c r="J240" s="54"/>
      <c r="K240" s="53"/>
      <c r="L240" s="322"/>
      <c r="N240" s="161"/>
      <c r="O240" s="213"/>
      <c r="P240" s="165"/>
      <c r="Q240" s="1215"/>
      <c r="R240" s="213"/>
      <c r="S240" s="165"/>
      <c r="T240" s="1215"/>
      <c r="U240" s="165"/>
      <c r="V240" s="1233"/>
      <c r="W240" s="197"/>
      <c r="X240" s="1314"/>
      <c r="Y240" s="1315"/>
    </row>
    <row r="241" spans="2:25" x14ac:dyDescent="0.2">
      <c r="B241" s="761"/>
      <c r="C241" s="206"/>
      <c r="D241" s="55"/>
      <c r="E241" s="55"/>
      <c r="F241" s="55"/>
      <c r="G241" s="55"/>
      <c r="H241" s="55"/>
      <c r="I241" s="55"/>
      <c r="J241" s="55"/>
      <c r="K241" s="55"/>
      <c r="L241" s="207"/>
      <c r="N241" s="161"/>
      <c r="O241" s="213"/>
      <c r="P241" s="165"/>
      <c r="Q241" s="1215"/>
      <c r="R241" s="213"/>
      <c r="S241" s="165"/>
      <c r="T241" s="1215"/>
      <c r="U241" s="165"/>
      <c r="V241" s="1233"/>
      <c r="W241" s="197"/>
      <c r="X241" s="1314"/>
      <c r="Y241" s="1315"/>
    </row>
    <row r="242" spans="2:25" x14ac:dyDescent="0.2">
      <c r="B242" s="761"/>
      <c r="C242" s="206"/>
      <c r="D242" s="55"/>
      <c r="E242" s="55"/>
      <c r="F242" s="55"/>
      <c r="G242" s="55"/>
      <c r="H242" s="55"/>
      <c r="I242" s="55"/>
      <c r="J242" s="55"/>
      <c r="K242" s="55"/>
      <c r="L242" s="207"/>
      <c r="N242" s="161"/>
      <c r="O242" s="213"/>
      <c r="P242" s="165"/>
      <c r="Q242" s="1215"/>
      <c r="R242" s="213"/>
      <c r="S242" s="165"/>
      <c r="T242" s="1215"/>
      <c r="U242" s="165"/>
      <c r="V242" s="1233"/>
      <c r="W242" s="197"/>
      <c r="X242" s="1314"/>
      <c r="Y242" s="1315"/>
    </row>
    <row r="243" spans="2:25" x14ac:dyDescent="0.2">
      <c r="B243" s="761"/>
      <c r="C243" s="206"/>
      <c r="D243" s="55"/>
      <c r="E243" s="55"/>
      <c r="F243" s="55"/>
      <c r="G243" s="55"/>
      <c r="H243" s="55"/>
      <c r="I243" s="55"/>
      <c r="J243" s="55"/>
      <c r="K243" s="55"/>
      <c r="L243" s="207"/>
      <c r="N243" s="1286"/>
      <c r="O243" s="213"/>
      <c r="P243" s="165"/>
      <c r="Q243" s="1215"/>
      <c r="R243" s="213"/>
      <c r="S243" s="165"/>
      <c r="T243" s="1215"/>
      <c r="U243" s="165"/>
      <c r="V243" s="1233"/>
      <c r="W243" s="1316"/>
      <c r="X243" s="1314"/>
      <c r="Y243" s="1315"/>
    </row>
    <row r="244" spans="2:25" x14ac:dyDescent="0.2">
      <c r="B244" s="761"/>
      <c r="C244" s="206"/>
      <c r="D244" s="55"/>
      <c r="E244" s="55"/>
      <c r="F244" s="55"/>
      <c r="G244" s="55"/>
      <c r="H244" s="55"/>
      <c r="I244" s="55"/>
      <c r="J244" s="55"/>
      <c r="K244" s="55"/>
      <c r="L244" s="207"/>
      <c r="N244" s="1286"/>
      <c r="O244" s="213"/>
      <c r="P244" s="165"/>
      <c r="Q244" s="1215"/>
      <c r="R244" s="213"/>
      <c r="S244" s="165"/>
      <c r="T244" s="1215"/>
      <c r="U244" s="165"/>
      <c r="V244" s="1233"/>
      <c r="W244" s="1316"/>
      <c r="X244" s="1314"/>
      <c r="Y244" s="1315"/>
    </row>
    <row r="245" spans="2:25" x14ac:dyDescent="0.2">
      <c r="B245" s="761"/>
      <c r="C245" s="206"/>
      <c r="D245" s="55"/>
      <c r="E245" s="55"/>
      <c r="F245" s="55"/>
      <c r="G245" s="55"/>
      <c r="H245" s="55"/>
      <c r="I245" s="55"/>
      <c r="J245" s="55"/>
      <c r="K245" s="55"/>
      <c r="L245" s="207"/>
      <c r="N245" s="1286"/>
      <c r="O245" s="213"/>
      <c r="P245" s="165"/>
      <c r="Q245" s="1215"/>
      <c r="R245" s="213"/>
      <c r="S245" s="165"/>
      <c r="T245" s="1215"/>
      <c r="U245" s="165"/>
      <c r="V245" s="1233"/>
      <c r="W245" s="1316"/>
      <c r="X245" s="1314"/>
      <c r="Y245" s="1315"/>
    </row>
    <row r="246" spans="2:25" x14ac:dyDescent="0.2">
      <c r="B246" s="761"/>
      <c r="C246" s="206"/>
      <c r="D246" s="55"/>
      <c r="E246" s="55"/>
      <c r="F246" s="321"/>
      <c r="G246" s="55"/>
      <c r="H246" s="55"/>
      <c r="I246" s="55"/>
      <c r="J246" s="55"/>
      <c r="K246" s="55"/>
      <c r="L246" s="207"/>
      <c r="N246" s="1286"/>
      <c r="O246" s="213"/>
      <c r="P246" s="165"/>
      <c r="Q246" s="1215"/>
      <c r="R246" s="213"/>
      <c r="S246" s="165"/>
      <c r="T246" s="1215"/>
      <c r="U246" s="165"/>
      <c r="V246" s="1233"/>
      <c r="W246" s="1316"/>
      <c r="X246" s="1314"/>
      <c r="Y246" s="1315"/>
    </row>
    <row r="247" spans="2:25" x14ac:dyDescent="0.2">
      <c r="B247" s="761"/>
      <c r="C247" s="206"/>
      <c r="D247" s="55"/>
      <c r="E247" s="55"/>
      <c r="F247" s="55"/>
      <c r="G247" s="55"/>
      <c r="H247" s="55"/>
      <c r="I247" s="55"/>
      <c r="J247" s="55"/>
      <c r="K247" s="55"/>
      <c r="L247" s="207"/>
      <c r="N247" s="1286"/>
      <c r="O247" s="213"/>
      <c r="P247" s="165"/>
      <c r="Q247" s="1215"/>
      <c r="R247" s="213"/>
      <c r="S247" s="165"/>
      <c r="T247" s="1215"/>
      <c r="U247" s="165"/>
      <c r="V247" s="1233"/>
      <c r="W247" s="1316"/>
      <c r="X247" s="1314"/>
      <c r="Y247" s="1315"/>
    </row>
    <row r="248" spans="2:25" x14ac:dyDescent="0.2">
      <c r="B248" s="761"/>
      <c r="C248" s="206"/>
      <c r="D248" s="55"/>
      <c r="E248" s="55"/>
      <c r="F248" s="55"/>
      <c r="G248" s="55"/>
      <c r="H248" s="55"/>
      <c r="I248" s="55"/>
      <c r="J248" s="55"/>
      <c r="K248" s="55"/>
      <c r="L248" s="207"/>
      <c r="N248" s="1286"/>
      <c r="O248" s="213"/>
      <c r="P248" s="165"/>
      <c r="Q248" s="1215"/>
      <c r="R248" s="213"/>
      <c r="S248" s="165"/>
      <c r="T248" s="1215"/>
      <c r="U248" s="165"/>
      <c r="V248" s="1233"/>
      <c r="W248" s="1316"/>
      <c r="X248" s="1314"/>
      <c r="Y248" s="1315"/>
    </row>
    <row r="249" spans="2:25" x14ac:dyDescent="0.2">
      <c r="B249" s="761"/>
      <c r="C249" s="206"/>
      <c r="D249" s="55"/>
      <c r="E249" s="55"/>
      <c r="F249" s="55"/>
      <c r="G249" s="55"/>
      <c r="H249" s="55"/>
      <c r="I249" s="55"/>
      <c r="J249" s="55"/>
      <c r="K249" s="55"/>
      <c r="L249" s="207"/>
      <c r="N249" s="1286"/>
      <c r="O249" s="213"/>
      <c r="P249" s="165"/>
      <c r="Q249" s="1215"/>
      <c r="R249" s="213"/>
      <c r="S249" s="165"/>
      <c r="T249" s="1215"/>
      <c r="U249" s="165"/>
      <c r="V249" s="1233"/>
      <c r="W249" s="1316"/>
      <c r="X249" s="1314"/>
      <c r="Y249" s="1315"/>
    </row>
    <row r="250" spans="2:25" ht="12" thickBot="1" x14ac:dyDescent="0.25">
      <c r="B250" s="762"/>
      <c r="C250" s="172"/>
      <c r="D250" s="173"/>
      <c r="E250" s="173"/>
      <c r="F250" s="173"/>
      <c r="G250" s="173"/>
      <c r="H250" s="173"/>
      <c r="I250" s="173"/>
      <c r="J250" s="173"/>
      <c r="K250" s="173"/>
      <c r="L250" s="174"/>
      <c r="N250" s="1289"/>
      <c r="O250" s="1265"/>
      <c r="P250" s="398"/>
      <c r="Q250" s="1218"/>
      <c r="R250" s="1265"/>
      <c r="S250" s="398"/>
      <c r="T250" s="1218"/>
      <c r="U250" s="398"/>
      <c r="V250" s="1234"/>
      <c r="W250" s="1317"/>
      <c r="X250" s="1318"/>
      <c r="Y250" s="1319"/>
    </row>
    <row r="251" spans="2:25" ht="12" thickBot="1" x14ac:dyDescent="0.25">
      <c r="N251" s="1235"/>
      <c r="O251" s="1235"/>
      <c r="P251" s="1235"/>
      <c r="Q251" s="1235"/>
      <c r="R251" s="1235"/>
      <c r="S251" s="1235"/>
      <c r="T251" s="1235"/>
      <c r="U251" s="1235"/>
      <c r="V251" s="1235"/>
      <c r="W251" s="1235"/>
      <c r="X251" s="1235"/>
      <c r="Y251" s="1235"/>
    </row>
    <row r="252" spans="2:25" x14ac:dyDescent="0.2">
      <c r="B252" s="760" t="s">
        <v>205</v>
      </c>
      <c r="C252" s="80" t="s">
        <v>206</v>
      </c>
      <c r="D252" s="1204">
        <v>2.1</v>
      </c>
      <c r="E252" s="401">
        <v>42</v>
      </c>
      <c r="F252" s="401">
        <v>14.3</v>
      </c>
      <c r="G252" s="401">
        <v>2.6</v>
      </c>
      <c r="H252" s="401">
        <v>19.5</v>
      </c>
      <c r="I252" s="401">
        <v>0.4</v>
      </c>
      <c r="J252" s="1204"/>
      <c r="K252" s="401">
        <v>0.8</v>
      </c>
      <c r="L252" s="1207">
        <v>8.0000000000000002E-3</v>
      </c>
      <c r="N252" s="160" t="s">
        <v>130</v>
      </c>
      <c r="O252" s="212">
        <v>1.2</v>
      </c>
      <c r="P252" s="401">
        <v>0.1</v>
      </c>
      <c r="Q252" s="1213"/>
      <c r="R252" s="212">
        <v>5</v>
      </c>
      <c r="S252" s="401">
        <v>1</v>
      </c>
      <c r="T252" s="1213">
        <v>10</v>
      </c>
      <c r="U252" s="401"/>
      <c r="V252" s="1231"/>
      <c r="W252" s="196">
        <v>3</v>
      </c>
      <c r="X252" s="1312"/>
      <c r="Y252" s="1313"/>
    </row>
    <row r="253" spans="2:25" x14ac:dyDescent="0.2">
      <c r="B253" s="761"/>
      <c r="C253" s="206"/>
      <c r="D253" s="54"/>
      <c r="E253" s="201"/>
      <c r="F253" s="201"/>
      <c r="G253" s="201"/>
      <c r="H253" s="201"/>
      <c r="I253" s="56"/>
      <c r="J253" s="54"/>
      <c r="K253" s="53"/>
      <c r="L253" s="322"/>
      <c r="N253" s="161" t="s">
        <v>133</v>
      </c>
      <c r="O253" s="213">
        <v>0.9</v>
      </c>
      <c r="P253" s="165">
        <v>0.1</v>
      </c>
      <c r="Q253" s="1215"/>
      <c r="R253" s="213">
        <v>6</v>
      </c>
      <c r="S253" s="165"/>
      <c r="T253" s="1215"/>
      <c r="U253" s="165"/>
      <c r="V253" s="1233"/>
      <c r="W253" s="197">
        <v>5</v>
      </c>
      <c r="X253" s="1314"/>
      <c r="Y253" s="1315"/>
    </row>
    <row r="254" spans="2:25" x14ac:dyDescent="0.2">
      <c r="B254" s="761"/>
      <c r="C254" s="206"/>
      <c r="D254" s="54"/>
      <c r="E254" s="201"/>
      <c r="F254" s="201"/>
      <c r="G254" s="201"/>
      <c r="H254" s="201"/>
      <c r="I254" s="56"/>
      <c r="J254" s="54"/>
      <c r="K254" s="53"/>
      <c r="L254" s="322"/>
      <c r="N254" s="161"/>
      <c r="O254" s="213"/>
      <c r="P254" s="165"/>
      <c r="Q254" s="1215"/>
      <c r="R254" s="213"/>
      <c r="S254" s="165"/>
      <c r="T254" s="1215"/>
      <c r="U254" s="165"/>
      <c r="V254" s="1233"/>
      <c r="W254" s="197"/>
      <c r="X254" s="1314"/>
      <c r="Y254" s="1315"/>
    </row>
    <row r="255" spans="2:25" x14ac:dyDescent="0.2">
      <c r="B255" s="761"/>
      <c r="C255" s="206"/>
      <c r="D255" s="55"/>
      <c r="E255" s="55"/>
      <c r="F255" s="55"/>
      <c r="G255" s="55"/>
      <c r="H255" s="55"/>
      <c r="I255" s="55"/>
      <c r="J255" s="55"/>
      <c r="K255" s="55"/>
      <c r="L255" s="207"/>
      <c r="N255" s="161"/>
      <c r="O255" s="213"/>
      <c r="P255" s="165"/>
      <c r="Q255" s="1215"/>
      <c r="R255" s="213"/>
      <c r="S255" s="165"/>
      <c r="T255" s="1215"/>
      <c r="U255" s="165"/>
      <c r="V255" s="1233"/>
      <c r="W255" s="197"/>
      <c r="X255" s="1314"/>
      <c r="Y255" s="1315"/>
    </row>
    <row r="256" spans="2:25" x14ac:dyDescent="0.2">
      <c r="B256" s="761"/>
      <c r="C256" s="206"/>
      <c r="D256" s="55"/>
      <c r="E256" s="55"/>
      <c r="F256" s="55"/>
      <c r="G256" s="55"/>
      <c r="H256" s="55"/>
      <c r="I256" s="55"/>
      <c r="J256" s="55"/>
      <c r="K256" s="55"/>
      <c r="L256" s="207"/>
      <c r="N256" s="161"/>
      <c r="O256" s="213"/>
      <c r="P256" s="165"/>
      <c r="Q256" s="1215"/>
      <c r="R256" s="213"/>
      <c r="S256" s="165"/>
      <c r="T256" s="1215"/>
      <c r="U256" s="165"/>
      <c r="V256" s="1233"/>
      <c r="W256" s="197"/>
      <c r="X256" s="1314"/>
      <c r="Y256" s="1315"/>
    </row>
    <row r="257" spans="2:25" x14ac:dyDescent="0.2">
      <c r="B257" s="761"/>
      <c r="C257" s="206"/>
      <c r="D257" s="55"/>
      <c r="E257" s="55"/>
      <c r="F257" s="55"/>
      <c r="G257" s="55"/>
      <c r="H257" s="55"/>
      <c r="I257" s="55"/>
      <c r="J257" s="55"/>
      <c r="K257" s="55"/>
      <c r="L257" s="207"/>
      <c r="N257" s="1286"/>
      <c r="O257" s="213"/>
      <c r="P257" s="165"/>
      <c r="Q257" s="1215"/>
      <c r="R257" s="213"/>
      <c r="S257" s="165"/>
      <c r="T257" s="1215"/>
      <c r="U257" s="165"/>
      <c r="V257" s="1233"/>
      <c r="W257" s="1316"/>
      <c r="X257" s="1314"/>
      <c r="Y257" s="1315"/>
    </row>
    <row r="258" spans="2:25" x14ac:dyDescent="0.2">
      <c r="B258" s="761"/>
      <c r="C258" s="206"/>
      <c r="D258" s="55"/>
      <c r="E258" s="55"/>
      <c r="F258" s="55"/>
      <c r="G258" s="55"/>
      <c r="H258" s="55"/>
      <c r="I258" s="55"/>
      <c r="J258" s="55"/>
      <c r="K258" s="55"/>
      <c r="L258" s="207"/>
      <c r="N258" s="1286"/>
      <c r="O258" s="213"/>
      <c r="P258" s="165"/>
      <c r="Q258" s="1215"/>
      <c r="R258" s="213"/>
      <c r="S258" s="165"/>
      <c r="T258" s="1215"/>
      <c r="U258" s="165"/>
      <c r="V258" s="1233"/>
      <c r="W258" s="1316"/>
      <c r="X258" s="1314"/>
      <c r="Y258" s="1315"/>
    </row>
    <row r="259" spans="2:25" x14ac:dyDescent="0.2">
      <c r="B259" s="761"/>
      <c r="C259" s="206"/>
      <c r="D259" s="55"/>
      <c r="E259" s="55"/>
      <c r="F259" s="55"/>
      <c r="G259" s="55"/>
      <c r="H259" s="55"/>
      <c r="I259" s="55"/>
      <c r="J259" s="55"/>
      <c r="K259" s="55"/>
      <c r="L259" s="207"/>
      <c r="N259" s="1286"/>
      <c r="O259" s="213"/>
      <c r="P259" s="165"/>
      <c r="Q259" s="1215"/>
      <c r="R259" s="213"/>
      <c r="S259" s="165"/>
      <c r="T259" s="1215"/>
      <c r="U259" s="165"/>
      <c r="V259" s="1233"/>
      <c r="W259" s="1316"/>
      <c r="X259" s="1314"/>
      <c r="Y259" s="1315"/>
    </row>
    <row r="260" spans="2:25" x14ac:dyDescent="0.2">
      <c r="B260" s="761"/>
      <c r="C260" s="206"/>
      <c r="D260" s="55"/>
      <c r="E260" s="55"/>
      <c r="F260" s="321"/>
      <c r="G260" s="55"/>
      <c r="H260" s="55"/>
      <c r="I260" s="55"/>
      <c r="J260" s="55"/>
      <c r="K260" s="55"/>
      <c r="L260" s="207"/>
      <c r="N260" s="1286"/>
      <c r="O260" s="213"/>
      <c r="P260" s="165"/>
      <c r="Q260" s="1215"/>
      <c r="R260" s="213"/>
      <c r="S260" s="165"/>
      <c r="T260" s="1215"/>
      <c r="U260" s="165"/>
      <c r="V260" s="1233"/>
      <c r="W260" s="1316"/>
      <c r="X260" s="1314"/>
      <c r="Y260" s="1315"/>
    </row>
    <row r="261" spans="2:25" x14ac:dyDescent="0.2">
      <c r="B261" s="761"/>
      <c r="C261" s="206"/>
      <c r="D261" s="55"/>
      <c r="E261" s="55"/>
      <c r="F261" s="55"/>
      <c r="G261" s="55"/>
      <c r="H261" s="55"/>
      <c r="I261" s="55"/>
      <c r="J261" s="55"/>
      <c r="K261" s="55"/>
      <c r="L261" s="207"/>
      <c r="N261" s="1286"/>
      <c r="O261" s="213"/>
      <c r="P261" s="165"/>
      <c r="Q261" s="1215"/>
      <c r="R261" s="213"/>
      <c r="S261" s="165"/>
      <c r="T261" s="1215"/>
      <c r="U261" s="165"/>
      <c r="V261" s="1233"/>
      <c r="W261" s="1316"/>
      <c r="X261" s="1314"/>
      <c r="Y261" s="1315"/>
    </row>
    <row r="262" spans="2:25" x14ac:dyDescent="0.2">
      <c r="B262" s="761"/>
      <c r="C262" s="206"/>
      <c r="D262" s="55"/>
      <c r="E262" s="55"/>
      <c r="F262" s="55"/>
      <c r="G262" s="55"/>
      <c r="H262" s="55"/>
      <c r="I262" s="55"/>
      <c r="J262" s="55"/>
      <c r="K262" s="55"/>
      <c r="L262" s="207"/>
      <c r="N262" s="1286"/>
      <c r="O262" s="213"/>
      <c r="P262" s="165"/>
      <c r="Q262" s="1215"/>
      <c r="R262" s="213"/>
      <c r="S262" s="165"/>
      <c r="T262" s="1215"/>
      <c r="U262" s="165"/>
      <c r="V262" s="1233"/>
      <c r="W262" s="1316"/>
      <c r="X262" s="1314"/>
      <c r="Y262" s="1315"/>
    </row>
    <row r="263" spans="2:25" x14ac:dyDescent="0.2">
      <c r="B263" s="761"/>
      <c r="C263" s="206"/>
      <c r="D263" s="55"/>
      <c r="E263" s="55"/>
      <c r="F263" s="55"/>
      <c r="G263" s="55"/>
      <c r="H263" s="55"/>
      <c r="I263" s="55"/>
      <c r="J263" s="55"/>
      <c r="K263" s="55"/>
      <c r="L263" s="207"/>
      <c r="N263" s="1286"/>
      <c r="O263" s="213"/>
      <c r="P263" s="165"/>
      <c r="Q263" s="1215"/>
      <c r="R263" s="213"/>
      <c r="S263" s="165"/>
      <c r="T263" s="1215"/>
      <c r="U263" s="165"/>
      <c r="V263" s="1233"/>
      <c r="W263" s="1316"/>
      <c r="X263" s="1314"/>
      <c r="Y263" s="1315"/>
    </row>
    <row r="264" spans="2:25" ht="12" thickBot="1" x14ac:dyDescent="0.25">
      <c r="B264" s="762"/>
      <c r="C264" s="172"/>
      <c r="D264" s="173"/>
      <c r="E264" s="173"/>
      <c r="F264" s="173"/>
      <c r="G264" s="173"/>
      <c r="H264" s="173"/>
      <c r="I264" s="173"/>
      <c r="J264" s="173"/>
      <c r="K264" s="173"/>
      <c r="L264" s="174"/>
      <c r="N264" s="1289"/>
      <c r="O264" s="1265"/>
      <c r="P264" s="398"/>
      <c r="Q264" s="1218"/>
      <c r="R264" s="1265"/>
      <c r="S264" s="398"/>
      <c r="T264" s="1218"/>
      <c r="U264" s="398"/>
      <c r="V264" s="1234"/>
      <c r="W264" s="1317"/>
      <c r="X264" s="1318"/>
      <c r="Y264" s="1319"/>
    </row>
    <row r="265" spans="2:25" ht="12" thickBot="1" x14ac:dyDescent="0.25">
      <c r="N265" s="1235"/>
      <c r="O265" s="1235"/>
      <c r="P265" s="1235"/>
      <c r="Q265" s="1235"/>
      <c r="R265" s="1235"/>
      <c r="S265" s="1235"/>
      <c r="T265" s="1235"/>
      <c r="U265" s="1235"/>
      <c r="V265" s="1235"/>
      <c r="W265" s="1235"/>
      <c r="X265" s="1235"/>
      <c r="Y265" s="1235"/>
    </row>
    <row r="266" spans="2:25" x14ac:dyDescent="0.2">
      <c r="B266" s="760" t="s">
        <v>208</v>
      </c>
      <c r="C266" s="80" t="s">
        <v>209</v>
      </c>
      <c r="D266" s="1204">
        <v>4.0999999999999996</v>
      </c>
      <c r="E266" s="401">
        <v>35.200000000000003</v>
      </c>
      <c r="F266" s="401">
        <v>27</v>
      </c>
      <c r="G266" s="401">
        <v>6.6</v>
      </c>
      <c r="H266" s="401">
        <v>22.2</v>
      </c>
      <c r="I266" s="401">
        <v>7</v>
      </c>
      <c r="J266" s="1204"/>
      <c r="K266" s="401">
        <v>6.1</v>
      </c>
      <c r="L266" s="1207">
        <v>0.20100000000000001</v>
      </c>
      <c r="N266" s="160" t="s">
        <v>130</v>
      </c>
      <c r="O266" s="212">
        <v>4</v>
      </c>
      <c r="P266" s="401">
        <v>0.1</v>
      </c>
      <c r="Q266" s="1213"/>
      <c r="R266" s="212">
        <v>5</v>
      </c>
      <c r="S266" s="401">
        <v>1</v>
      </c>
      <c r="T266" s="1213">
        <v>10</v>
      </c>
      <c r="U266" s="401"/>
      <c r="V266" s="1231"/>
      <c r="W266" s="196">
        <v>3</v>
      </c>
      <c r="X266" s="1312"/>
      <c r="Y266" s="1313"/>
    </row>
    <row r="267" spans="2:25" x14ac:dyDescent="0.2">
      <c r="B267" s="761"/>
      <c r="C267" s="206"/>
      <c r="D267" s="54"/>
      <c r="E267" s="201"/>
      <c r="F267" s="201"/>
      <c r="G267" s="201"/>
      <c r="H267" s="201"/>
      <c r="I267" s="56"/>
      <c r="J267" s="54"/>
      <c r="K267" s="53"/>
      <c r="L267" s="322"/>
      <c r="N267" s="161" t="s">
        <v>133</v>
      </c>
      <c r="O267" s="213">
        <v>3.5</v>
      </c>
      <c r="P267" s="165">
        <v>0.1</v>
      </c>
      <c r="Q267" s="1215"/>
      <c r="R267" s="213">
        <v>6</v>
      </c>
      <c r="S267" s="165"/>
      <c r="T267" s="1215"/>
      <c r="U267" s="165"/>
      <c r="V267" s="1233"/>
      <c r="W267" s="197">
        <v>5</v>
      </c>
      <c r="X267" s="1314"/>
      <c r="Y267" s="1315"/>
    </row>
    <row r="268" spans="2:25" x14ac:dyDescent="0.2">
      <c r="B268" s="761"/>
      <c r="C268" s="206"/>
      <c r="D268" s="54"/>
      <c r="E268" s="201"/>
      <c r="F268" s="201"/>
      <c r="G268" s="201"/>
      <c r="H268" s="201"/>
      <c r="I268" s="56"/>
      <c r="J268" s="54"/>
      <c r="K268" s="53"/>
      <c r="L268" s="322"/>
      <c r="N268" s="161"/>
      <c r="O268" s="213"/>
      <c r="P268" s="165"/>
      <c r="Q268" s="1215"/>
      <c r="R268" s="213"/>
      <c r="S268" s="165"/>
      <c r="T268" s="1215"/>
      <c r="U268" s="165"/>
      <c r="V268" s="1233"/>
      <c r="W268" s="331"/>
      <c r="X268" s="1314"/>
      <c r="Y268" s="1315"/>
    </row>
    <row r="269" spans="2:25" x14ac:dyDescent="0.2">
      <c r="B269" s="761"/>
      <c r="C269" s="206"/>
      <c r="D269" s="55"/>
      <c r="E269" s="55"/>
      <c r="F269" s="55"/>
      <c r="G269" s="55"/>
      <c r="H269" s="55"/>
      <c r="I269" s="55"/>
      <c r="J269" s="55"/>
      <c r="K269" s="55"/>
      <c r="L269" s="207"/>
      <c r="N269" s="161"/>
      <c r="O269" s="213"/>
      <c r="P269" s="165"/>
      <c r="Q269" s="1215"/>
      <c r="R269" s="213"/>
      <c r="S269" s="165"/>
      <c r="T269" s="1215"/>
      <c r="U269" s="165"/>
      <c r="V269" s="1233"/>
      <c r="W269" s="331"/>
      <c r="X269" s="1314"/>
      <c r="Y269" s="1315"/>
    </row>
    <row r="270" spans="2:25" x14ac:dyDescent="0.2">
      <c r="B270" s="761"/>
      <c r="C270" s="206"/>
      <c r="D270" s="55"/>
      <c r="E270" s="55"/>
      <c r="F270" s="55"/>
      <c r="G270" s="55"/>
      <c r="H270" s="55"/>
      <c r="I270" s="55"/>
      <c r="J270" s="55"/>
      <c r="K270" s="55"/>
      <c r="L270" s="207"/>
      <c r="N270" s="161"/>
      <c r="O270" s="213"/>
      <c r="P270" s="165"/>
      <c r="Q270" s="1215"/>
      <c r="R270" s="213"/>
      <c r="S270" s="165"/>
      <c r="T270" s="1215"/>
      <c r="U270" s="165"/>
      <c r="V270" s="1233"/>
      <c r="W270" s="331"/>
      <c r="X270" s="1314"/>
      <c r="Y270" s="1315"/>
    </row>
    <row r="271" spans="2:25" x14ac:dyDescent="0.2">
      <c r="B271" s="761"/>
      <c r="C271" s="206"/>
      <c r="D271" s="55"/>
      <c r="E271" s="55"/>
      <c r="F271" s="55"/>
      <c r="G271" s="55"/>
      <c r="H271" s="55"/>
      <c r="I271" s="55"/>
      <c r="J271" s="55"/>
      <c r="K271" s="55"/>
      <c r="L271" s="207"/>
      <c r="N271" s="1286"/>
      <c r="O271" s="213"/>
      <c r="P271" s="165"/>
      <c r="Q271" s="1215"/>
      <c r="R271" s="213"/>
      <c r="S271" s="165"/>
      <c r="T271" s="1215"/>
      <c r="U271" s="165"/>
      <c r="V271" s="1233"/>
      <c r="W271" s="1320"/>
      <c r="X271" s="1314"/>
      <c r="Y271" s="1315"/>
    </row>
    <row r="272" spans="2:25" x14ac:dyDescent="0.2">
      <c r="B272" s="761"/>
      <c r="C272" s="206"/>
      <c r="D272" s="55"/>
      <c r="E272" s="55"/>
      <c r="F272" s="55"/>
      <c r="G272" s="55"/>
      <c r="H272" s="55"/>
      <c r="I272" s="55"/>
      <c r="J272" s="55"/>
      <c r="K272" s="55"/>
      <c r="L272" s="207"/>
      <c r="N272" s="1286"/>
      <c r="O272" s="213"/>
      <c r="P272" s="165"/>
      <c r="Q272" s="1215"/>
      <c r="R272" s="213"/>
      <c r="S272" s="165"/>
      <c r="T272" s="1215"/>
      <c r="U272" s="165"/>
      <c r="V272" s="1233"/>
      <c r="W272" s="1320"/>
      <c r="X272" s="1314"/>
      <c r="Y272" s="1315"/>
    </row>
    <row r="273" spans="2:25" x14ac:dyDescent="0.2">
      <c r="B273" s="761"/>
      <c r="C273" s="206"/>
      <c r="D273" s="55"/>
      <c r="E273" s="55"/>
      <c r="F273" s="55"/>
      <c r="G273" s="55"/>
      <c r="H273" s="55"/>
      <c r="I273" s="55"/>
      <c r="J273" s="55"/>
      <c r="K273" s="55"/>
      <c r="L273" s="207"/>
      <c r="N273" s="1286"/>
      <c r="O273" s="213"/>
      <c r="P273" s="165"/>
      <c r="Q273" s="1215"/>
      <c r="R273" s="213"/>
      <c r="S273" s="165"/>
      <c r="T273" s="1215"/>
      <c r="U273" s="165"/>
      <c r="V273" s="1233"/>
      <c r="W273" s="1320"/>
      <c r="X273" s="1314"/>
      <c r="Y273" s="1315"/>
    </row>
    <row r="274" spans="2:25" x14ac:dyDescent="0.2">
      <c r="B274" s="761"/>
      <c r="C274" s="206"/>
      <c r="D274" s="55"/>
      <c r="E274" s="55"/>
      <c r="F274" s="321"/>
      <c r="G274" s="55"/>
      <c r="H274" s="55"/>
      <c r="I274" s="55"/>
      <c r="J274" s="55"/>
      <c r="K274" s="55"/>
      <c r="L274" s="207"/>
      <c r="N274" s="1286"/>
      <c r="O274" s="213"/>
      <c r="P274" s="165"/>
      <c r="Q274" s="1215"/>
      <c r="R274" s="213"/>
      <c r="S274" s="165"/>
      <c r="T274" s="1215"/>
      <c r="U274" s="165"/>
      <c r="V274" s="1233"/>
      <c r="W274" s="1320"/>
      <c r="X274" s="1314"/>
      <c r="Y274" s="1315"/>
    </row>
    <row r="275" spans="2:25" x14ac:dyDescent="0.2">
      <c r="B275" s="761"/>
      <c r="C275" s="206"/>
      <c r="D275" s="55"/>
      <c r="E275" s="55"/>
      <c r="F275" s="55"/>
      <c r="G275" s="55"/>
      <c r="H275" s="55"/>
      <c r="I275" s="55"/>
      <c r="J275" s="55"/>
      <c r="K275" s="55"/>
      <c r="L275" s="207"/>
      <c r="N275" s="1286"/>
      <c r="O275" s="213"/>
      <c r="P275" s="165"/>
      <c r="Q275" s="1215"/>
      <c r="R275" s="213"/>
      <c r="S275" s="165"/>
      <c r="T275" s="1215"/>
      <c r="U275" s="165"/>
      <c r="V275" s="1233"/>
      <c r="W275" s="1320"/>
      <c r="X275" s="1314"/>
      <c r="Y275" s="1315"/>
    </row>
    <row r="276" spans="2:25" x14ac:dyDescent="0.2">
      <c r="B276" s="761"/>
      <c r="C276" s="206"/>
      <c r="D276" s="55"/>
      <c r="E276" s="55"/>
      <c r="F276" s="55"/>
      <c r="G276" s="55"/>
      <c r="H276" s="55"/>
      <c r="I276" s="55"/>
      <c r="J276" s="55"/>
      <c r="K276" s="55"/>
      <c r="L276" s="207"/>
      <c r="N276" s="1286"/>
      <c r="O276" s="213"/>
      <c r="P276" s="165"/>
      <c r="Q276" s="1215"/>
      <c r="R276" s="213"/>
      <c r="S276" s="165"/>
      <c r="T276" s="1215"/>
      <c r="U276" s="165"/>
      <c r="V276" s="1233"/>
      <c r="W276" s="1320"/>
      <c r="X276" s="1314"/>
      <c r="Y276" s="1315"/>
    </row>
    <row r="277" spans="2:25" x14ac:dyDescent="0.2">
      <c r="B277" s="761"/>
      <c r="C277" s="206"/>
      <c r="D277" s="55"/>
      <c r="E277" s="55"/>
      <c r="F277" s="55"/>
      <c r="G277" s="55"/>
      <c r="H277" s="55"/>
      <c r="I277" s="55"/>
      <c r="J277" s="55"/>
      <c r="K277" s="55"/>
      <c r="L277" s="207"/>
      <c r="N277" s="1286"/>
      <c r="O277" s="213"/>
      <c r="P277" s="165"/>
      <c r="Q277" s="1215"/>
      <c r="R277" s="213"/>
      <c r="S277" s="165"/>
      <c r="T277" s="1215"/>
      <c r="U277" s="165"/>
      <c r="V277" s="1233"/>
      <c r="W277" s="1320"/>
      <c r="X277" s="1314"/>
      <c r="Y277" s="1315"/>
    </row>
    <row r="278" spans="2:25" ht="12" thickBot="1" x14ac:dyDescent="0.25">
      <c r="B278" s="762"/>
      <c r="C278" s="172"/>
      <c r="D278" s="173"/>
      <c r="E278" s="173"/>
      <c r="F278" s="173"/>
      <c r="G278" s="173"/>
      <c r="H278" s="173"/>
      <c r="I278" s="173"/>
      <c r="J278" s="173"/>
      <c r="K278" s="173"/>
      <c r="L278" s="174"/>
      <c r="N278" s="1289"/>
      <c r="O278" s="1265"/>
      <c r="P278" s="398"/>
      <c r="Q278" s="1218"/>
      <c r="R278" s="1265"/>
      <c r="S278" s="398"/>
      <c r="T278" s="1218"/>
      <c r="U278" s="398"/>
      <c r="V278" s="1234"/>
      <c r="W278" s="1321"/>
      <c r="X278" s="1318"/>
      <c r="Y278" s="1319"/>
    </row>
    <row r="279" spans="2:25" ht="12" thickBot="1" x14ac:dyDescent="0.25">
      <c r="N279" s="1235"/>
      <c r="O279" s="1235"/>
      <c r="P279" s="1235"/>
      <c r="Q279" s="1235"/>
      <c r="R279" s="1235"/>
      <c r="S279" s="1235"/>
      <c r="T279" s="1235"/>
      <c r="U279" s="1235"/>
      <c r="V279" s="1235"/>
      <c r="W279" s="1235"/>
      <c r="X279" s="1235"/>
      <c r="Y279" s="1235"/>
    </row>
    <row r="280" spans="2:25" x14ac:dyDescent="0.2">
      <c r="B280" s="760" t="s">
        <v>210</v>
      </c>
      <c r="C280" s="80" t="s">
        <v>211</v>
      </c>
      <c r="D280" s="1204">
        <v>0.2</v>
      </c>
      <c r="E280" s="401">
        <v>15.9</v>
      </c>
      <c r="F280" s="401">
        <v>2.9</v>
      </c>
      <c r="G280" s="401">
        <v>1</v>
      </c>
      <c r="H280" s="401">
        <v>0.5</v>
      </c>
      <c r="I280" s="1211">
        <v>0.02</v>
      </c>
      <c r="J280" s="1204"/>
      <c r="K280" s="401">
        <v>0</v>
      </c>
      <c r="L280" s="402">
        <v>0</v>
      </c>
      <c r="N280" s="160" t="s">
        <v>133</v>
      </c>
      <c r="O280" s="212">
        <v>0.1</v>
      </c>
      <c r="P280" s="1211">
        <v>0.02</v>
      </c>
      <c r="Q280" s="1213"/>
      <c r="R280" s="212">
        <v>20</v>
      </c>
      <c r="S280" s="401"/>
      <c r="T280" s="1213"/>
      <c r="U280" s="401"/>
      <c r="V280" s="1231"/>
      <c r="W280" s="330">
        <v>4</v>
      </c>
      <c r="X280" s="1322">
        <v>40</v>
      </c>
      <c r="Y280" s="1323">
        <v>60</v>
      </c>
    </row>
    <row r="281" spans="2:25" x14ac:dyDescent="0.2">
      <c r="B281" s="761"/>
      <c r="C281" s="206"/>
      <c r="D281" s="54"/>
      <c r="E281" s="201"/>
      <c r="F281" s="201"/>
      <c r="G281" s="201"/>
      <c r="H281" s="201"/>
      <c r="I281" s="56"/>
      <c r="J281" s="54"/>
      <c r="K281" s="53"/>
      <c r="L281" s="322"/>
      <c r="N281" s="161" t="s">
        <v>290</v>
      </c>
      <c r="O281" s="213"/>
      <c r="P281" s="191">
        <v>0.02</v>
      </c>
      <c r="Q281" s="1215"/>
      <c r="R281" s="213">
        <v>25</v>
      </c>
      <c r="S281" s="165"/>
      <c r="T281" s="1215"/>
      <c r="U281" s="165"/>
      <c r="V281" s="1233"/>
      <c r="W281" s="331">
        <v>2</v>
      </c>
      <c r="X281" s="1324"/>
      <c r="Y281" s="1325"/>
    </row>
    <row r="282" spans="2:25" x14ac:dyDescent="0.2">
      <c r="B282" s="761"/>
      <c r="C282" s="206"/>
      <c r="D282" s="54"/>
      <c r="E282" s="201"/>
      <c r="F282" s="201"/>
      <c r="G282" s="201"/>
      <c r="H282" s="201"/>
      <c r="I282" s="56"/>
      <c r="J282" s="54"/>
      <c r="K282" s="53"/>
      <c r="L282" s="322"/>
      <c r="N282" s="161"/>
      <c r="O282" s="213"/>
      <c r="P282" s="191"/>
      <c r="Q282" s="1215"/>
      <c r="R282" s="213"/>
      <c r="S282" s="165"/>
      <c r="T282" s="1215"/>
      <c r="U282" s="165"/>
      <c r="V282" s="1233"/>
      <c r="W282" s="331"/>
      <c r="X282" s="1324"/>
      <c r="Y282" s="1325"/>
    </row>
    <row r="283" spans="2:25" x14ac:dyDescent="0.2">
      <c r="B283" s="761"/>
      <c r="C283" s="206"/>
      <c r="D283" s="55"/>
      <c r="E283" s="55"/>
      <c r="F283" s="55"/>
      <c r="G283" s="55"/>
      <c r="H283" s="55"/>
      <c r="I283" s="55"/>
      <c r="J283" s="55"/>
      <c r="K283" s="55"/>
      <c r="L283" s="207"/>
      <c r="N283" s="161"/>
      <c r="O283" s="213"/>
      <c r="P283" s="191"/>
      <c r="Q283" s="1215"/>
      <c r="R283" s="213"/>
      <c r="S283" s="165"/>
      <c r="T283" s="1215"/>
      <c r="U283" s="165"/>
      <c r="V283" s="1233"/>
      <c r="W283" s="331"/>
      <c r="X283" s="1324"/>
      <c r="Y283" s="1325"/>
    </row>
    <row r="284" spans="2:25" x14ac:dyDescent="0.2">
      <c r="B284" s="761"/>
      <c r="C284" s="206"/>
      <c r="D284" s="55"/>
      <c r="E284" s="55"/>
      <c r="F284" s="55"/>
      <c r="G284" s="55"/>
      <c r="H284" s="55"/>
      <c r="I284" s="55"/>
      <c r="J284" s="55"/>
      <c r="K284" s="55"/>
      <c r="L284" s="207"/>
      <c r="N284" s="161"/>
      <c r="O284" s="213"/>
      <c r="P284" s="191"/>
      <c r="Q284" s="1215"/>
      <c r="R284" s="213"/>
      <c r="S284" s="165"/>
      <c r="T284" s="1215"/>
      <c r="U284" s="165"/>
      <c r="V284" s="1233"/>
      <c r="W284" s="331"/>
      <c r="X284" s="1324"/>
      <c r="Y284" s="1325"/>
    </row>
    <row r="285" spans="2:25" x14ac:dyDescent="0.2">
      <c r="B285" s="761"/>
      <c r="C285" s="206"/>
      <c r="D285" s="55"/>
      <c r="E285" s="55"/>
      <c r="F285" s="55"/>
      <c r="G285" s="55"/>
      <c r="H285" s="55"/>
      <c r="I285" s="55"/>
      <c r="J285" s="55"/>
      <c r="K285" s="55"/>
      <c r="L285" s="207"/>
      <c r="N285" s="1286"/>
      <c r="O285" s="213"/>
      <c r="P285" s="191"/>
      <c r="Q285" s="1215"/>
      <c r="R285" s="213"/>
      <c r="S285" s="165"/>
      <c r="T285" s="1215"/>
      <c r="U285" s="165"/>
      <c r="V285" s="1233"/>
      <c r="W285" s="1320"/>
      <c r="X285" s="1324"/>
      <c r="Y285" s="1325"/>
    </row>
    <row r="286" spans="2:25" x14ac:dyDescent="0.2">
      <c r="B286" s="761"/>
      <c r="C286" s="206"/>
      <c r="D286" s="55"/>
      <c r="E286" s="55"/>
      <c r="F286" s="55"/>
      <c r="G286" s="55"/>
      <c r="H286" s="55"/>
      <c r="I286" s="55"/>
      <c r="J286" s="55"/>
      <c r="K286" s="55"/>
      <c r="L286" s="207"/>
      <c r="N286" s="1286"/>
      <c r="O286" s="213"/>
      <c r="P286" s="191"/>
      <c r="Q286" s="1215"/>
      <c r="R286" s="213"/>
      <c r="S286" s="165"/>
      <c r="T286" s="1215"/>
      <c r="U286" s="165"/>
      <c r="V286" s="1233"/>
      <c r="W286" s="1320"/>
      <c r="X286" s="1324"/>
      <c r="Y286" s="1325"/>
    </row>
    <row r="287" spans="2:25" x14ac:dyDescent="0.2">
      <c r="B287" s="761"/>
      <c r="C287" s="206"/>
      <c r="D287" s="55"/>
      <c r="E287" s="55"/>
      <c r="F287" s="55"/>
      <c r="G287" s="55"/>
      <c r="H287" s="55"/>
      <c r="I287" s="55"/>
      <c r="J287" s="55"/>
      <c r="K287" s="55"/>
      <c r="L287" s="207"/>
      <c r="N287" s="1286"/>
      <c r="O287" s="213"/>
      <c r="P287" s="191"/>
      <c r="Q287" s="1215"/>
      <c r="R287" s="213"/>
      <c r="S287" s="165"/>
      <c r="T287" s="1215"/>
      <c r="U287" s="165"/>
      <c r="V287" s="1233"/>
      <c r="W287" s="1320"/>
      <c r="X287" s="1324"/>
      <c r="Y287" s="1325"/>
    </row>
    <row r="288" spans="2:25" x14ac:dyDescent="0.2">
      <c r="B288" s="761"/>
      <c r="C288" s="206"/>
      <c r="D288" s="55"/>
      <c r="E288" s="55"/>
      <c r="F288" s="321"/>
      <c r="G288" s="55"/>
      <c r="H288" s="55"/>
      <c r="I288" s="55"/>
      <c r="J288" s="55"/>
      <c r="K288" s="55"/>
      <c r="L288" s="207"/>
      <c r="N288" s="1286"/>
      <c r="O288" s="213"/>
      <c r="P288" s="191"/>
      <c r="Q288" s="1215"/>
      <c r="R288" s="213"/>
      <c r="S288" s="165"/>
      <c r="T288" s="1215"/>
      <c r="U288" s="165"/>
      <c r="V288" s="1233"/>
      <c r="W288" s="1320"/>
      <c r="X288" s="1324"/>
      <c r="Y288" s="1325"/>
    </row>
    <row r="289" spans="2:25" x14ac:dyDescent="0.2">
      <c r="B289" s="761"/>
      <c r="C289" s="206"/>
      <c r="D289" s="55"/>
      <c r="E289" s="55"/>
      <c r="F289" s="55"/>
      <c r="G289" s="55"/>
      <c r="H289" s="55"/>
      <c r="I289" s="55"/>
      <c r="J289" s="55"/>
      <c r="K289" s="55"/>
      <c r="L289" s="207"/>
      <c r="N289" s="1286"/>
      <c r="O289" s="213"/>
      <c r="P289" s="191"/>
      <c r="Q289" s="1215"/>
      <c r="R289" s="213"/>
      <c r="S289" s="165"/>
      <c r="T289" s="1215"/>
      <c r="U289" s="165"/>
      <c r="V289" s="1233"/>
      <c r="W289" s="1320"/>
      <c r="X289" s="1324"/>
      <c r="Y289" s="1325"/>
    </row>
    <row r="290" spans="2:25" x14ac:dyDescent="0.2">
      <c r="B290" s="761"/>
      <c r="C290" s="206"/>
      <c r="D290" s="55"/>
      <c r="E290" s="55"/>
      <c r="F290" s="55"/>
      <c r="G290" s="55"/>
      <c r="H290" s="55"/>
      <c r="I290" s="55"/>
      <c r="J290" s="55"/>
      <c r="K290" s="55"/>
      <c r="L290" s="207"/>
      <c r="N290" s="1286"/>
      <c r="O290" s="213"/>
      <c r="P290" s="191"/>
      <c r="Q290" s="1215"/>
      <c r="R290" s="213"/>
      <c r="S290" s="165"/>
      <c r="T290" s="1215"/>
      <c r="U290" s="165"/>
      <c r="V290" s="1233"/>
      <c r="W290" s="1320"/>
      <c r="X290" s="1324"/>
      <c r="Y290" s="1325"/>
    </row>
    <row r="291" spans="2:25" x14ac:dyDescent="0.2">
      <c r="B291" s="761"/>
      <c r="C291" s="206"/>
      <c r="D291" s="55"/>
      <c r="E291" s="55"/>
      <c r="F291" s="55"/>
      <c r="G291" s="55"/>
      <c r="H291" s="55"/>
      <c r="I291" s="55"/>
      <c r="J291" s="55"/>
      <c r="K291" s="55"/>
      <c r="L291" s="207"/>
      <c r="N291" s="1286"/>
      <c r="O291" s="213"/>
      <c r="P291" s="191"/>
      <c r="Q291" s="1215"/>
      <c r="R291" s="213"/>
      <c r="S291" s="165"/>
      <c r="T291" s="1215"/>
      <c r="U291" s="165"/>
      <c r="V291" s="1233"/>
      <c r="W291" s="1320"/>
      <c r="X291" s="1324"/>
      <c r="Y291" s="1325"/>
    </row>
    <row r="292" spans="2:25" ht="12" thickBot="1" x14ac:dyDescent="0.25">
      <c r="B292" s="762"/>
      <c r="C292" s="172"/>
      <c r="D292" s="173"/>
      <c r="E292" s="173"/>
      <c r="F292" s="173"/>
      <c r="G292" s="173"/>
      <c r="H292" s="173"/>
      <c r="I292" s="173"/>
      <c r="J292" s="173"/>
      <c r="K292" s="173"/>
      <c r="L292" s="174"/>
      <c r="N292" s="1289"/>
      <c r="O292" s="1265"/>
      <c r="P292" s="194"/>
      <c r="Q292" s="1218"/>
      <c r="R292" s="1265"/>
      <c r="S292" s="398"/>
      <c r="T292" s="1218"/>
      <c r="U292" s="398"/>
      <c r="V292" s="1234"/>
      <c r="W292" s="1321"/>
      <c r="X292" s="1326"/>
      <c r="Y292" s="1327"/>
    </row>
    <row r="293" spans="2:25" ht="12" thickBot="1" x14ac:dyDescent="0.25">
      <c r="N293" s="1235"/>
      <c r="O293" s="1235"/>
      <c r="P293" s="1235"/>
      <c r="Q293" s="1235"/>
      <c r="R293" s="1235"/>
      <c r="S293" s="1235"/>
      <c r="T293" s="1235"/>
      <c r="U293" s="1235"/>
      <c r="V293" s="1235"/>
      <c r="W293" s="1235"/>
      <c r="X293" s="1235"/>
      <c r="Y293" s="1235"/>
    </row>
    <row r="294" spans="2:25" x14ac:dyDescent="0.2">
      <c r="B294" s="760" t="s">
        <v>215</v>
      </c>
      <c r="C294" s="80" t="s">
        <v>212</v>
      </c>
      <c r="D294" s="401">
        <v>10</v>
      </c>
      <c r="E294" s="401">
        <v>25</v>
      </c>
      <c r="F294" s="401">
        <v>2.5</v>
      </c>
      <c r="G294" s="401">
        <v>0.5</v>
      </c>
      <c r="H294" s="401">
        <v>1.2</v>
      </c>
      <c r="I294" s="1211">
        <v>4.3</v>
      </c>
      <c r="J294" s="1204"/>
      <c r="K294" s="401">
        <v>4</v>
      </c>
      <c r="L294" s="402">
        <v>6.6000000000000003E-2</v>
      </c>
      <c r="N294" s="160" t="s">
        <v>130</v>
      </c>
      <c r="O294" s="212">
        <v>4</v>
      </c>
      <c r="P294" s="401">
        <v>0.1</v>
      </c>
      <c r="Q294" s="1213"/>
      <c r="R294" s="212">
        <v>5</v>
      </c>
      <c r="S294" s="401">
        <v>1</v>
      </c>
      <c r="T294" s="1213">
        <v>10</v>
      </c>
      <c r="U294" s="401"/>
      <c r="V294" s="1231"/>
      <c r="W294" s="196">
        <v>3</v>
      </c>
      <c r="X294" s="1312"/>
      <c r="Y294" s="1313"/>
    </row>
    <row r="295" spans="2:25" x14ac:dyDescent="0.2">
      <c r="B295" s="761"/>
      <c r="C295" s="81" t="s">
        <v>213</v>
      </c>
      <c r="D295" s="165">
        <v>5</v>
      </c>
      <c r="E295" s="165">
        <v>23</v>
      </c>
      <c r="F295" s="165">
        <v>2.2999999999999998</v>
      </c>
      <c r="G295" s="165">
        <v>0.3</v>
      </c>
      <c r="H295" s="165">
        <v>1.1000000000000001</v>
      </c>
      <c r="I295" s="165">
        <v>7</v>
      </c>
      <c r="J295" s="165"/>
      <c r="K295" s="165">
        <v>6.1</v>
      </c>
      <c r="L295" s="397">
        <v>0.20100000000000001</v>
      </c>
      <c r="N295" s="161" t="s">
        <v>133</v>
      </c>
      <c r="O295" s="213">
        <v>3.5</v>
      </c>
      <c r="P295" s="165">
        <v>0.1</v>
      </c>
      <c r="Q295" s="1215"/>
      <c r="R295" s="213">
        <v>6</v>
      </c>
      <c r="S295" s="165"/>
      <c r="T295" s="1215"/>
      <c r="U295" s="165"/>
      <c r="V295" s="1233"/>
      <c r="W295" s="197">
        <v>5</v>
      </c>
      <c r="X295" s="1314"/>
      <c r="Y295" s="1315"/>
    </row>
    <row r="296" spans="2:25" x14ac:dyDescent="0.2">
      <c r="B296" s="761"/>
      <c r="C296" s="81" t="s">
        <v>214</v>
      </c>
      <c r="D296" s="165">
        <v>8</v>
      </c>
      <c r="E296" s="165">
        <v>28</v>
      </c>
      <c r="F296" s="165">
        <v>2.8</v>
      </c>
      <c r="G296" s="165">
        <v>0.7</v>
      </c>
      <c r="H296" s="165">
        <v>1.6</v>
      </c>
      <c r="I296" s="165">
        <v>0</v>
      </c>
      <c r="J296" s="165"/>
      <c r="K296" s="165">
        <v>10.5</v>
      </c>
      <c r="L296" s="397">
        <v>2.9999999999999997E-4</v>
      </c>
      <c r="N296" s="161" t="s">
        <v>137</v>
      </c>
      <c r="O296" s="213"/>
      <c r="P296" s="165">
        <v>0.1</v>
      </c>
      <c r="Q296" s="1215"/>
      <c r="R296" s="213">
        <v>5</v>
      </c>
      <c r="S296" s="165"/>
      <c r="T296" s="1215"/>
      <c r="U296" s="165"/>
      <c r="V296" s="1233"/>
      <c r="W296" s="331">
        <v>2</v>
      </c>
      <c r="X296" s="1314"/>
      <c r="Y296" s="1315"/>
    </row>
    <row r="297" spans="2:25" x14ac:dyDescent="0.2">
      <c r="B297" s="761"/>
      <c r="C297" s="206"/>
      <c r="D297" s="55"/>
      <c r="E297" s="55"/>
      <c r="F297" s="55"/>
      <c r="G297" s="55"/>
      <c r="H297" s="55"/>
      <c r="I297" s="55"/>
      <c r="J297" s="55"/>
      <c r="K297" s="55"/>
      <c r="L297" s="207"/>
      <c r="N297" s="161"/>
      <c r="O297" s="213"/>
      <c r="P297" s="165"/>
      <c r="Q297" s="1215"/>
      <c r="R297" s="213"/>
      <c r="S297" s="165"/>
      <c r="T297" s="1215"/>
      <c r="U297" s="165"/>
      <c r="V297" s="1233"/>
      <c r="W297" s="331"/>
      <c r="X297" s="1314"/>
      <c r="Y297" s="1315"/>
    </row>
    <row r="298" spans="2:25" x14ac:dyDescent="0.2">
      <c r="B298" s="761"/>
      <c r="C298" s="206"/>
      <c r="D298" s="55"/>
      <c r="E298" s="55"/>
      <c r="F298" s="55"/>
      <c r="G298" s="55"/>
      <c r="H298" s="55"/>
      <c r="I298" s="55"/>
      <c r="J298" s="55"/>
      <c r="K298" s="55"/>
      <c r="L298" s="207"/>
      <c r="N298" s="161"/>
      <c r="O298" s="213"/>
      <c r="P298" s="165"/>
      <c r="Q298" s="1215"/>
      <c r="R298" s="213"/>
      <c r="S298" s="165"/>
      <c r="T298" s="1215"/>
      <c r="U298" s="165"/>
      <c r="V298" s="1233"/>
      <c r="W298" s="331"/>
      <c r="X298" s="1314"/>
      <c r="Y298" s="1315"/>
    </row>
    <row r="299" spans="2:25" x14ac:dyDescent="0.2">
      <c r="B299" s="761"/>
      <c r="C299" s="206"/>
      <c r="D299" s="55"/>
      <c r="E299" s="55"/>
      <c r="F299" s="55"/>
      <c r="G299" s="55"/>
      <c r="H299" s="55"/>
      <c r="I299" s="55"/>
      <c r="J299" s="55"/>
      <c r="K299" s="55"/>
      <c r="L299" s="207"/>
      <c r="N299" s="1286"/>
      <c r="O299" s="213"/>
      <c r="P299" s="165"/>
      <c r="Q299" s="1215"/>
      <c r="R299" s="213"/>
      <c r="S299" s="165"/>
      <c r="T299" s="1215"/>
      <c r="U299" s="165"/>
      <c r="V299" s="1233"/>
      <c r="W299" s="1320"/>
      <c r="X299" s="1314"/>
      <c r="Y299" s="1315"/>
    </row>
    <row r="300" spans="2:25" x14ac:dyDescent="0.2">
      <c r="B300" s="761"/>
      <c r="C300" s="206"/>
      <c r="D300" s="55"/>
      <c r="E300" s="55"/>
      <c r="F300" s="55"/>
      <c r="G300" s="55"/>
      <c r="H300" s="55"/>
      <c r="I300" s="55"/>
      <c r="J300" s="55"/>
      <c r="K300" s="55"/>
      <c r="L300" s="207"/>
      <c r="N300" s="1286"/>
      <c r="O300" s="213"/>
      <c r="P300" s="165"/>
      <c r="Q300" s="1215"/>
      <c r="R300" s="213"/>
      <c r="S300" s="165"/>
      <c r="T300" s="1215"/>
      <c r="U300" s="165"/>
      <c r="V300" s="1233"/>
      <c r="W300" s="1320"/>
      <c r="X300" s="1314"/>
      <c r="Y300" s="1315"/>
    </row>
    <row r="301" spans="2:25" x14ac:dyDescent="0.2">
      <c r="B301" s="761"/>
      <c r="C301" s="206"/>
      <c r="D301" s="55"/>
      <c r="E301" s="55"/>
      <c r="F301" s="55"/>
      <c r="G301" s="55"/>
      <c r="H301" s="55"/>
      <c r="I301" s="55"/>
      <c r="J301" s="55"/>
      <c r="K301" s="55"/>
      <c r="L301" s="207"/>
      <c r="N301" s="1286"/>
      <c r="O301" s="213"/>
      <c r="P301" s="165"/>
      <c r="Q301" s="1215"/>
      <c r="R301" s="213"/>
      <c r="S301" s="165"/>
      <c r="T301" s="1215"/>
      <c r="U301" s="165"/>
      <c r="V301" s="1233"/>
      <c r="W301" s="1320"/>
      <c r="X301" s="1314"/>
      <c r="Y301" s="1315"/>
    </row>
    <row r="302" spans="2:25" x14ac:dyDescent="0.2">
      <c r="B302" s="761"/>
      <c r="C302" s="206"/>
      <c r="D302" s="55"/>
      <c r="E302" s="55"/>
      <c r="F302" s="321"/>
      <c r="G302" s="55"/>
      <c r="H302" s="55"/>
      <c r="I302" s="55"/>
      <c r="J302" s="55"/>
      <c r="K302" s="55"/>
      <c r="L302" s="207"/>
      <c r="N302" s="1286"/>
      <c r="O302" s="213"/>
      <c r="P302" s="165"/>
      <c r="Q302" s="1215"/>
      <c r="R302" s="213"/>
      <c r="S302" s="165"/>
      <c r="T302" s="1215"/>
      <c r="U302" s="165"/>
      <c r="V302" s="1233"/>
      <c r="W302" s="1320"/>
      <c r="X302" s="1314"/>
      <c r="Y302" s="1315"/>
    </row>
    <row r="303" spans="2:25" x14ac:dyDescent="0.2">
      <c r="B303" s="761"/>
      <c r="C303" s="206"/>
      <c r="D303" s="55"/>
      <c r="E303" s="55"/>
      <c r="F303" s="55"/>
      <c r="G303" s="55"/>
      <c r="H303" s="55"/>
      <c r="I303" s="55"/>
      <c r="J303" s="55"/>
      <c r="K303" s="55"/>
      <c r="L303" s="207"/>
      <c r="N303" s="1286"/>
      <c r="O303" s="213"/>
      <c r="P303" s="165"/>
      <c r="Q303" s="1215"/>
      <c r="R303" s="213"/>
      <c r="S303" s="165"/>
      <c r="T303" s="1215"/>
      <c r="U303" s="165"/>
      <c r="V303" s="1233"/>
      <c r="W303" s="1320"/>
      <c r="X303" s="1314"/>
      <c r="Y303" s="1315"/>
    </row>
    <row r="304" spans="2:25" x14ac:dyDescent="0.2">
      <c r="B304" s="761"/>
      <c r="C304" s="206"/>
      <c r="D304" s="55"/>
      <c r="E304" s="55"/>
      <c r="F304" s="55"/>
      <c r="G304" s="55"/>
      <c r="H304" s="55"/>
      <c r="I304" s="55"/>
      <c r="J304" s="55"/>
      <c r="K304" s="55"/>
      <c r="L304" s="207"/>
      <c r="N304" s="1286"/>
      <c r="O304" s="213"/>
      <c r="P304" s="165"/>
      <c r="Q304" s="1215"/>
      <c r="R304" s="213"/>
      <c r="S304" s="165"/>
      <c r="T304" s="1215"/>
      <c r="U304" s="165"/>
      <c r="V304" s="1233"/>
      <c r="W304" s="1320"/>
      <c r="X304" s="1314"/>
      <c r="Y304" s="1315"/>
    </row>
    <row r="305" spans="2:25" x14ac:dyDescent="0.2">
      <c r="B305" s="761"/>
      <c r="C305" s="206"/>
      <c r="D305" s="55"/>
      <c r="E305" s="55"/>
      <c r="F305" s="55"/>
      <c r="G305" s="55"/>
      <c r="H305" s="55"/>
      <c r="I305" s="55"/>
      <c r="J305" s="55"/>
      <c r="K305" s="55"/>
      <c r="L305" s="207"/>
      <c r="N305" s="1286"/>
      <c r="O305" s="213"/>
      <c r="P305" s="165"/>
      <c r="Q305" s="1215"/>
      <c r="R305" s="213"/>
      <c r="S305" s="165"/>
      <c r="T305" s="1215"/>
      <c r="U305" s="165"/>
      <c r="V305" s="1233"/>
      <c r="W305" s="1320"/>
      <c r="X305" s="1314"/>
      <c r="Y305" s="1315"/>
    </row>
    <row r="306" spans="2:25" ht="12" thickBot="1" x14ac:dyDescent="0.25">
      <c r="B306" s="762"/>
      <c r="C306" s="172"/>
      <c r="D306" s="173"/>
      <c r="E306" s="173"/>
      <c r="F306" s="173"/>
      <c r="G306" s="173"/>
      <c r="H306" s="173"/>
      <c r="I306" s="173"/>
      <c r="J306" s="173"/>
      <c r="K306" s="173"/>
      <c r="L306" s="174"/>
      <c r="N306" s="1289"/>
      <c r="O306" s="1265"/>
      <c r="P306" s="398"/>
      <c r="Q306" s="1218"/>
      <c r="R306" s="1265"/>
      <c r="S306" s="398"/>
      <c r="T306" s="1218"/>
      <c r="U306" s="398"/>
      <c r="V306" s="1234"/>
      <c r="W306" s="1321"/>
      <c r="X306" s="1318"/>
      <c r="Y306" s="1319"/>
    </row>
  </sheetData>
  <sheetProtection algorithmName="SHA-512" hashValue="VKjfg94d6pEO1ALafC9KB4G+Mv06yAKMVRDeI3UZu9HGzazeOaq4m4qUYB9TBTTyX3YA7oCeudQFx4DfHflzYQ==" saltValue="Fy+I2sQ0izIjb77xFMjO2A==" spinCount="100000" sheet="1" formatCells="0" formatColumns="0" formatRows="0" insertColumns="0" insertRows="0" insertHyperlinks="0" deleteColumns="0" deleteRows="0" sort="0" autoFilter="0" pivotTables="0"/>
  <mergeCells count="132">
    <mergeCell ref="AT5:AU5"/>
    <mergeCell ref="AT6:AU6"/>
    <mergeCell ref="AT7:AU7"/>
    <mergeCell ref="AT8:AT9"/>
    <mergeCell ref="AU8:AU9"/>
    <mergeCell ref="AT10:AU10"/>
    <mergeCell ref="AA5:AR5"/>
    <mergeCell ref="AA6:AR6"/>
    <mergeCell ref="AO10:AR10"/>
    <mergeCell ref="AR7:AR9"/>
    <mergeCell ref="AB11:AB15"/>
    <mergeCell ref="AO7:AQ7"/>
    <mergeCell ref="AO8:AO9"/>
    <mergeCell ref="AP8:AP9"/>
    <mergeCell ref="AQ8:AQ9"/>
    <mergeCell ref="AC7:AC10"/>
    <mergeCell ref="AD8:AD9"/>
    <mergeCell ref="AB7:AB10"/>
    <mergeCell ref="AA7:AA10"/>
    <mergeCell ref="AA11:AA25"/>
    <mergeCell ref="AD7:AG7"/>
    <mergeCell ref="AG8:AG9"/>
    <mergeCell ref="AD10:AG10"/>
    <mergeCell ref="AH7:AM7"/>
    <mergeCell ref="AH8:AH9"/>
    <mergeCell ref="AI8:AI9"/>
    <mergeCell ref="AJ8:AJ9"/>
    <mergeCell ref="AE8:AE9"/>
    <mergeCell ref="AF8:AF9"/>
    <mergeCell ref="AK8:AK9"/>
    <mergeCell ref="AL8:AL9"/>
    <mergeCell ref="AK10:AL10"/>
    <mergeCell ref="AM8:AM9"/>
    <mergeCell ref="AH21:AH25"/>
    <mergeCell ref="O7:Q7"/>
    <mergeCell ref="R7:T7"/>
    <mergeCell ref="S8:S9"/>
    <mergeCell ref="T8:T9"/>
    <mergeCell ref="E6:E7"/>
    <mergeCell ref="G6:G7"/>
    <mergeCell ref="U7:U9"/>
    <mergeCell ref="V7:V9"/>
    <mergeCell ref="R10:V10"/>
    <mergeCell ref="O10:P10"/>
    <mergeCell ref="I6:L6"/>
    <mergeCell ref="F6:F7"/>
    <mergeCell ref="N7:N10"/>
    <mergeCell ref="R8:R9"/>
    <mergeCell ref="W7:Y8"/>
    <mergeCell ref="X9:Y9"/>
    <mergeCell ref="B27:B38"/>
    <mergeCell ref="B5:B10"/>
    <mergeCell ref="C6:C10"/>
    <mergeCell ref="D6:D7"/>
    <mergeCell ref="D9:D10"/>
    <mergeCell ref="C5:L5"/>
    <mergeCell ref="L7:L9"/>
    <mergeCell ref="I10:L10"/>
    <mergeCell ref="N5:Y5"/>
    <mergeCell ref="O8:O9"/>
    <mergeCell ref="N6:Y6"/>
    <mergeCell ref="W9:W10"/>
    <mergeCell ref="I7:I8"/>
    <mergeCell ref="J7:J8"/>
    <mergeCell ref="K7:K8"/>
    <mergeCell ref="I9:K9"/>
    <mergeCell ref="D8:H8"/>
    <mergeCell ref="F9:H10"/>
    <mergeCell ref="E9:E10"/>
    <mergeCell ref="P8:P9"/>
    <mergeCell ref="Q8:Q9"/>
    <mergeCell ref="H6:H7"/>
    <mergeCell ref="B11:B25"/>
    <mergeCell ref="AA43:AA57"/>
    <mergeCell ref="AB43:AB47"/>
    <mergeCell ref="AR43:AR52"/>
    <mergeCell ref="AB48:AB52"/>
    <mergeCell ref="AB53:AB57"/>
    <mergeCell ref="AR53:AR57"/>
    <mergeCell ref="AA59:AA73"/>
    <mergeCell ref="AB59:AB63"/>
    <mergeCell ref="AR59:AR68"/>
    <mergeCell ref="AB64:AB68"/>
    <mergeCell ref="AA27:AA41"/>
    <mergeCell ref="AB27:AB31"/>
    <mergeCell ref="AB32:AB36"/>
    <mergeCell ref="AB37:AB41"/>
    <mergeCell ref="B66:B77"/>
    <mergeCell ref="AB21:AB25"/>
    <mergeCell ref="AB16:AB20"/>
    <mergeCell ref="B40:B51"/>
    <mergeCell ref="B53:B64"/>
    <mergeCell ref="AR11:AR20"/>
    <mergeCell ref="AR27:AR36"/>
    <mergeCell ref="AR21:AR25"/>
    <mergeCell ref="AB69:AB73"/>
    <mergeCell ref="B294:B306"/>
    <mergeCell ref="AR37:AR41"/>
    <mergeCell ref="B82:B107"/>
    <mergeCell ref="O82:Y82"/>
    <mergeCell ref="O95:Y95"/>
    <mergeCell ref="B168:B180"/>
    <mergeCell ref="B154:B166"/>
    <mergeCell ref="B135:B136"/>
    <mergeCell ref="B138:B152"/>
    <mergeCell ref="B122:B133"/>
    <mergeCell ref="B196:B208"/>
    <mergeCell ref="B210:B222"/>
    <mergeCell ref="B182:B194"/>
    <mergeCell ref="B109:B120"/>
    <mergeCell ref="B280:B292"/>
    <mergeCell ref="B252:B264"/>
    <mergeCell ref="B266:B278"/>
    <mergeCell ref="B79:B80"/>
    <mergeCell ref="B224:B236"/>
    <mergeCell ref="B238:B250"/>
    <mergeCell ref="AH48:AH52"/>
    <mergeCell ref="AH53:AH57"/>
    <mergeCell ref="AM43:AM47"/>
    <mergeCell ref="AH37:AH41"/>
    <mergeCell ref="AM11:AM15"/>
    <mergeCell ref="AR69:AR73"/>
    <mergeCell ref="AH32:AH36"/>
    <mergeCell ref="AM27:AM31"/>
    <mergeCell ref="AH64:AH68"/>
    <mergeCell ref="AH69:AH73"/>
    <mergeCell ref="AM59:AM63"/>
    <mergeCell ref="AU27:AV27"/>
    <mergeCell ref="AU28:AV28"/>
    <mergeCell ref="AU29:AV29"/>
    <mergeCell ref="AU30:AV30"/>
    <mergeCell ref="AU31:AV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18"/>
  <sheetViews>
    <sheetView topLeftCell="A70" workbookViewId="0">
      <selection activeCell="N34" sqref="N34"/>
    </sheetView>
  </sheetViews>
  <sheetFormatPr defaultColWidth="9.140625" defaultRowHeight="11.25" x14ac:dyDescent="0.2"/>
  <cols>
    <col min="1" max="1" width="9.140625" style="1"/>
    <col min="2" max="2" width="13" style="1" customWidth="1"/>
    <col min="3" max="3" width="13.5703125" style="1" customWidth="1"/>
    <col min="4" max="4" width="9.140625" style="1"/>
    <col min="5" max="5" width="18.5703125" style="1" customWidth="1"/>
    <col min="6" max="6" width="9.140625" style="1"/>
    <col min="7" max="7" width="2.140625" style="1" customWidth="1"/>
    <col min="8" max="9" width="9.140625" style="1"/>
    <col min="10" max="10" width="15.5703125" style="1" customWidth="1"/>
    <col min="11" max="11" width="9.140625" style="1" customWidth="1"/>
    <col min="12" max="12" width="9" style="1" customWidth="1"/>
    <col min="13" max="13" width="9.140625" style="1" customWidth="1"/>
    <col min="14" max="14" width="10.85546875" style="1" customWidth="1"/>
    <col min="15" max="16" width="9.140625" style="1"/>
    <col min="17" max="17" width="2.28515625" style="1" customWidth="1"/>
    <col min="18" max="18" width="11.5703125" style="1" customWidth="1"/>
    <col min="19" max="22" width="9.140625" style="1"/>
    <col min="23" max="23" width="2.28515625" style="1" customWidth="1"/>
    <col min="24" max="25" width="9.140625" style="1" hidden="1" customWidth="1"/>
    <col min="26" max="26" width="16.140625" style="1" hidden="1" customWidth="1"/>
    <col min="27" max="28" width="9.140625" style="1" hidden="1" customWidth="1"/>
    <col min="29" max="16384" width="9.140625" style="1"/>
  </cols>
  <sheetData>
    <row r="1" spans="2:28" ht="12" thickBot="1" x14ac:dyDescent="0.25"/>
    <row r="2" spans="2:28" ht="11.25" customHeight="1" thickBot="1" x14ac:dyDescent="0.25">
      <c r="B2" s="836" t="s">
        <v>0</v>
      </c>
      <c r="C2" s="837"/>
      <c r="D2" s="837"/>
      <c r="E2" s="837"/>
      <c r="F2" s="838"/>
      <c r="H2" s="869" t="s">
        <v>295</v>
      </c>
      <c r="I2" s="870"/>
      <c r="J2" s="870"/>
      <c r="K2" s="870"/>
      <c r="L2" s="870"/>
      <c r="M2" s="859" t="s">
        <v>42</v>
      </c>
      <c r="N2" s="846" t="s">
        <v>160</v>
      </c>
      <c r="O2" s="847"/>
      <c r="P2" s="848"/>
      <c r="R2" s="908" t="s">
        <v>231</v>
      </c>
      <c r="S2" s="909"/>
      <c r="T2" s="909"/>
      <c r="U2" s="909"/>
      <c r="V2" s="910"/>
      <c r="X2" s="869" t="s">
        <v>243</v>
      </c>
      <c r="Y2" s="870"/>
      <c r="Z2" s="870"/>
      <c r="AA2" s="870"/>
      <c r="AB2" s="901"/>
    </row>
    <row r="3" spans="2:28" ht="11.25" customHeight="1" thickBot="1" x14ac:dyDescent="0.25">
      <c r="B3" s="825" t="s">
        <v>1</v>
      </c>
      <c r="C3" s="839" t="s">
        <v>2</v>
      </c>
      <c r="D3" s="839"/>
      <c r="E3" s="12" t="s">
        <v>3</v>
      </c>
      <c r="F3" s="3" t="s">
        <v>4</v>
      </c>
      <c r="H3" s="29" t="s">
        <v>39</v>
      </c>
      <c r="I3" s="30"/>
      <c r="J3" s="31"/>
      <c r="K3" s="32" t="s">
        <v>40</v>
      </c>
      <c r="L3" s="36" t="s">
        <v>41</v>
      </c>
      <c r="M3" s="860"/>
      <c r="N3" s="52" t="s">
        <v>159</v>
      </c>
      <c r="O3" s="154" t="s">
        <v>161</v>
      </c>
      <c r="P3" s="154" t="s">
        <v>162</v>
      </c>
      <c r="R3" s="911" t="s">
        <v>234</v>
      </c>
      <c r="S3" s="177" t="s">
        <v>68</v>
      </c>
      <c r="T3" s="177" t="s">
        <v>9</v>
      </c>
      <c r="U3" s="177" t="s">
        <v>11</v>
      </c>
      <c r="V3" s="176" t="s">
        <v>12</v>
      </c>
      <c r="X3" s="29" t="s">
        <v>39</v>
      </c>
      <c r="Y3" s="30"/>
      <c r="Z3" s="31"/>
      <c r="AA3" s="32" t="s">
        <v>40</v>
      </c>
      <c r="AB3" s="455" t="s">
        <v>41</v>
      </c>
    </row>
    <row r="4" spans="2:28" ht="11.25" customHeight="1" thickBot="1" x14ac:dyDescent="0.25">
      <c r="B4" s="826"/>
      <c r="C4" s="840" t="s">
        <v>5</v>
      </c>
      <c r="D4" s="841"/>
      <c r="E4" s="842"/>
      <c r="F4" s="4">
        <v>0.6</v>
      </c>
      <c r="H4" s="864" t="s">
        <v>1</v>
      </c>
      <c r="I4" s="865"/>
      <c r="J4" s="866"/>
      <c r="K4" s="33">
        <v>13.5</v>
      </c>
      <c r="L4" s="37">
        <v>5</v>
      </c>
      <c r="M4" s="48">
        <v>1.85</v>
      </c>
      <c r="N4" s="141">
        <v>60</v>
      </c>
      <c r="O4" s="46">
        <v>4</v>
      </c>
      <c r="P4" s="46">
        <v>75</v>
      </c>
      <c r="Q4" s="218"/>
      <c r="R4" s="912"/>
      <c r="S4" s="390" t="s">
        <v>30</v>
      </c>
      <c r="T4" s="905" t="s">
        <v>51</v>
      </c>
      <c r="U4" s="906"/>
      <c r="V4" s="907"/>
      <c r="X4" s="864" t="s">
        <v>1</v>
      </c>
      <c r="Y4" s="865"/>
      <c r="Z4" s="866"/>
      <c r="AA4" s="33">
        <v>65</v>
      </c>
      <c r="AB4" s="456">
        <v>35</v>
      </c>
    </row>
    <row r="5" spans="2:28" ht="11.25" customHeight="1" thickBot="1" x14ac:dyDescent="0.25">
      <c r="B5" s="826"/>
      <c r="C5" s="835" t="s">
        <v>6</v>
      </c>
      <c r="D5" s="835"/>
      <c r="E5" s="6" t="s">
        <v>7</v>
      </c>
      <c r="F5" s="4">
        <v>40</v>
      </c>
      <c r="H5" s="821" t="s">
        <v>21</v>
      </c>
      <c r="I5" s="822"/>
      <c r="J5" s="823"/>
      <c r="K5" s="851">
        <v>17</v>
      </c>
      <c r="L5" s="853">
        <v>4</v>
      </c>
      <c r="M5" s="855">
        <v>1.5</v>
      </c>
      <c r="N5" s="857">
        <v>60</v>
      </c>
      <c r="O5" s="849">
        <v>4</v>
      </c>
      <c r="P5" s="849">
        <v>75</v>
      </c>
      <c r="Q5" s="218"/>
      <c r="R5" s="846" t="s">
        <v>96</v>
      </c>
      <c r="S5" s="847"/>
      <c r="T5" s="847"/>
      <c r="U5" s="847"/>
      <c r="V5" s="848"/>
      <c r="X5" s="821" t="s">
        <v>69</v>
      </c>
      <c r="Y5" s="822"/>
      <c r="Z5" s="823"/>
      <c r="AA5" s="463">
        <v>60</v>
      </c>
      <c r="AB5" s="464">
        <v>40</v>
      </c>
    </row>
    <row r="6" spans="2:28" ht="11.25" customHeight="1" x14ac:dyDescent="0.2">
      <c r="B6" s="826"/>
      <c r="C6" s="840" t="s">
        <v>65</v>
      </c>
      <c r="D6" s="842"/>
      <c r="E6" s="28" t="s">
        <v>7</v>
      </c>
      <c r="F6" s="4">
        <v>600</v>
      </c>
      <c r="H6" s="821" t="s">
        <v>23</v>
      </c>
      <c r="I6" s="822"/>
      <c r="J6" s="823"/>
      <c r="K6" s="852"/>
      <c r="L6" s="854"/>
      <c r="M6" s="856"/>
      <c r="N6" s="858"/>
      <c r="O6" s="850"/>
      <c r="P6" s="850"/>
      <c r="Q6" s="218"/>
      <c r="R6" s="400" t="s">
        <v>232</v>
      </c>
      <c r="S6" s="401">
        <v>85</v>
      </c>
      <c r="T6" s="401">
        <v>5</v>
      </c>
      <c r="U6" s="401">
        <v>0.7</v>
      </c>
      <c r="V6" s="402">
        <v>15</v>
      </c>
      <c r="X6" s="821" t="s">
        <v>61</v>
      </c>
      <c r="Y6" s="822"/>
      <c r="Z6" s="823"/>
      <c r="AA6" s="34">
        <v>67</v>
      </c>
      <c r="AB6" s="457">
        <v>33</v>
      </c>
    </row>
    <row r="7" spans="2:28" ht="11.25" customHeight="1" x14ac:dyDescent="0.2">
      <c r="B7" s="826"/>
      <c r="C7" s="43" t="s">
        <v>66</v>
      </c>
      <c r="D7" s="41"/>
      <c r="E7" s="44" t="s">
        <v>7</v>
      </c>
      <c r="F7" s="47">
        <v>640</v>
      </c>
      <c r="H7" s="821" t="s">
        <v>24</v>
      </c>
      <c r="I7" s="822"/>
      <c r="J7" s="823"/>
      <c r="K7" s="34">
        <v>20</v>
      </c>
      <c r="L7" s="38">
        <v>5</v>
      </c>
      <c r="M7" s="50">
        <v>2</v>
      </c>
      <c r="N7" s="148">
        <v>60</v>
      </c>
      <c r="O7" s="143">
        <v>4</v>
      </c>
      <c r="P7" s="143">
        <v>75</v>
      </c>
      <c r="Q7" s="218"/>
      <c r="R7" s="403" t="s">
        <v>233</v>
      </c>
      <c r="S7" s="165">
        <v>65</v>
      </c>
      <c r="T7" s="165">
        <v>80</v>
      </c>
      <c r="U7" s="165">
        <v>4</v>
      </c>
      <c r="V7" s="397">
        <v>12.5</v>
      </c>
      <c r="X7" s="821" t="s">
        <v>62</v>
      </c>
      <c r="Y7" s="822"/>
      <c r="Z7" s="823"/>
      <c r="AA7" s="34">
        <v>67</v>
      </c>
      <c r="AB7" s="457">
        <v>33</v>
      </c>
    </row>
    <row r="8" spans="2:28" ht="11.25" customHeight="1" thickBot="1" x14ac:dyDescent="0.25">
      <c r="B8" s="826"/>
      <c r="C8" s="814" t="s">
        <v>8</v>
      </c>
      <c r="D8" s="6" t="s">
        <v>9</v>
      </c>
      <c r="E8" s="814" t="s">
        <v>10</v>
      </c>
      <c r="F8" s="4">
        <v>25.6</v>
      </c>
      <c r="H8" s="821" t="s">
        <v>26</v>
      </c>
      <c r="I8" s="822"/>
      <c r="J8" s="823"/>
      <c r="K8" s="34">
        <v>20</v>
      </c>
      <c r="L8" s="38">
        <v>5</v>
      </c>
      <c r="M8" s="50">
        <v>2</v>
      </c>
      <c r="N8" s="148">
        <v>60</v>
      </c>
      <c r="O8" s="143">
        <v>4</v>
      </c>
      <c r="P8" s="143">
        <v>75</v>
      </c>
      <c r="Q8" s="218"/>
      <c r="R8" s="404" t="s">
        <v>245</v>
      </c>
      <c r="S8" s="398">
        <v>0.1</v>
      </c>
      <c r="T8" s="398">
        <v>0</v>
      </c>
      <c r="U8" s="398">
        <v>0</v>
      </c>
      <c r="V8" s="399">
        <v>0</v>
      </c>
      <c r="X8" s="902" t="s">
        <v>27</v>
      </c>
      <c r="Y8" s="903"/>
      <c r="Z8" s="904"/>
      <c r="AA8" s="468">
        <v>67</v>
      </c>
      <c r="AB8" s="459">
        <v>33</v>
      </c>
    </row>
    <row r="9" spans="2:28" ht="11.25" customHeight="1" thickBot="1" x14ac:dyDescent="0.25">
      <c r="B9" s="826"/>
      <c r="C9" s="814"/>
      <c r="D9" s="6" t="s">
        <v>11</v>
      </c>
      <c r="E9" s="814"/>
      <c r="F9" s="4">
        <v>6.1</v>
      </c>
      <c r="H9" s="861" t="s">
        <v>27</v>
      </c>
      <c r="I9" s="862"/>
      <c r="J9" s="863"/>
      <c r="K9" s="35">
        <v>20</v>
      </c>
      <c r="L9" s="39">
        <v>5</v>
      </c>
      <c r="M9" s="51">
        <v>2</v>
      </c>
      <c r="N9" s="142">
        <v>60</v>
      </c>
      <c r="O9" s="144">
        <v>4</v>
      </c>
      <c r="P9" s="144">
        <v>75</v>
      </c>
      <c r="Q9" s="218"/>
      <c r="R9" s="625"/>
      <c r="S9" s="625"/>
      <c r="T9" s="625"/>
      <c r="U9" s="625"/>
      <c r="V9" s="625"/>
      <c r="X9" s="439" t="s">
        <v>70</v>
      </c>
      <c r="Y9" s="440"/>
      <c r="Z9" s="441"/>
      <c r="AA9" s="35">
        <v>67</v>
      </c>
      <c r="AB9" s="458">
        <v>33</v>
      </c>
    </row>
    <row r="10" spans="2:28" ht="11.25" customHeight="1" x14ac:dyDescent="0.2">
      <c r="B10" s="826"/>
      <c r="C10" s="814"/>
      <c r="D10" s="6" t="s">
        <v>12</v>
      </c>
      <c r="E10" s="814"/>
      <c r="F10" s="4">
        <v>1.8</v>
      </c>
      <c r="H10" s="864" t="s">
        <v>28</v>
      </c>
      <c r="I10" s="865"/>
      <c r="J10" s="866"/>
      <c r="K10" s="33">
        <v>25.2</v>
      </c>
      <c r="L10" s="37">
        <v>2.2000000000000002</v>
      </c>
      <c r="M10" s="48">
        <v>0.32400000000000001</v>
      </c>
      <c r="N10" s="141">
        <v>60</v>
      </c>
      <c r="O10" s="46">
        <v>24</v>
      </c>
      <c r="P10" s="46">
        <v>66</v>
      </c>
      <c r="Q10" s="218"/>
      <c r="R10" s="623"/>
      <c r="S10" s="624"/>
      <c r="T10" s="624"/>
      <c r="U10" s="624"/>
      <c r="V10" s="624"/>
      <c r="X10" s="864" t="s">
        <v>28</v>
      </c>
      <c r="Y10" s="865"/>
      <c r="Z10" s="866"/>
      <c r="AA10" s="33">
        <v>24</v>
      </c>
      <c r="AB10" s="456">
        <v>76</v>
      </c>
    </row>
    <row r="11" spans="2:28" ht="11.25" customHeight="1" x14ac:dyDescent="0.2">
      <c r="B11" s="826"/>
      <c r="C11" s="814" t="s">
        <v>13</v>
      </c>
      <c r="D11" s="6" t="s">
        <v>9</v>
      </c>
      <c r="E11" s="814" t="s">
        <v>14</v>
      </c>
      <c r="F11" s="4">
        <v>29.6</v>
      </c>
      <c r="H11" s="821" t="s">
        <v>31</v>
      </c>
      <c r="I11" s="822"/>
      <c r="J11" s="823"/>
      <c r="K11" s="34">
        <v>25</v>
      </c>
      <c r="L11" s="38">
        <v>2.2000000000000002</v>
      </c>
      <c r="M11" s="49">
        <v>0.32400000000000001</v>
      </c>
      <c r="N11" s="148">
        <v>60</v>
      </c>
      <c r="O11" s="143">
        <v>24</v>
      </c>
      <c r="P11" s="143">
        <v>66</v>
      </c>
      <c r="Q11" s="218"/>
      <c r="R11" s="623"/>
      <c r="S11" s="624"/>
      <c r="T11" s="624"/>
      <c r="U11" s="624"/>
      <c r="V11" s="624"/>
      <c r="X11" s="821" t="s">
        <v>31</v>
      </c>
      <c r="Y11" s="822"/>
      <c r="Z11" s="823"/>
      <c r="AA11" s="34">
        <v>24</v>
      </c>
      <c r="AB11" s="457">
        <v>76</v>
      </c>
    </row>
    <row r="12" spans="2:28" ht="11.25" customHeight="1" thickBot="1" x14ac:dyDescent="0.25">
      <c r="B12" s="826"/>
      <c r="C12" s="814"/>
      <c r="D12" s="6" t="s">
        <v>11</v>
      </c>
      <c r="E12" s="814"/>
      <c r="F12" s="4">
        <v>10.199999999999999</v>
      </c>
      <c r="H12" s="861" t="s">
        <v>32</v>
      </c>
      <c r="I12" s="862"/>
      <c r="J12" s="863"/>
      <c r="K12" s="35">
        <v>25</v>
      </c>
      <c r="L12" s="364">
        <v>2.2000000000000002</v>
      </c>
      <c r="M12" s="365">
        <v>0.32400000000000001</v>
      </c>
      <c r="N12" s="216">
        <v>60</v>
      </c>
      <c r="O12" s="217">
        <v>24</v>
      </c>
      <c r="P12" s="217">
        <v>66</v>
      </c>
      <c r="Q12" s="218"/>
      <c r="R12" s="623"/>
      <c r="S12" s="624"/>
      <c r="T12" s="624"/>
      <c r="U12" s="624"/>
      <c r="V12" s="624"/>
      <c r="X12" s="821" t="s">
        <v>32</v>
      </c>
      <c r="Y12" s="822"/>
      <c r="Z12" s="823"/>
      <c r="AA12" s="34">
        <v>24</v>
      </c>
      <c r="AB12" s="457">
        <v>76</v>
      </c>
    </row>
    <row r="13" spans="2:28" ht="11.25" customHeight="1" thickBot="1" x14ac:dyDescent="0.25">
      <c r="B13" s="826"/>
      <c r="C13" s="814"/>
      <c r="D13" s="6" t="s">
        <v>12</v>
      </c>
      <c r="E13" s="814"/>
      <c r="F13" s="4">
        <v>2.1</v>
      </c>
      <c r="H13" s="864" t="s">
        <v>34</v>
      </c>
      <c r="I13" s="865"/>
      <c r="J13" s="866"/>
      <c r="K13" s="40">
        <v>25</v>
      </c>
      <c r="L13" s="371"/>
      <c r="M13" s="171"/>
      <c r="N13" s="373">
        <v>100</v>
      </c>
      <c r="O13" s="741"/>
      <c r="P13" s="879"/>
      <c r="Q13" s="218"/>
      <c r="R13" s="623"/>
      <c r="S13" s="624"/>
      <c r="T13" s="624"/>
      <c r="U13" s="624"/>
      <c r="V13" s="624"/>
      <c r="X13" s="465" t="s">
        <v>75</v>
      </c>
      <c r="Y13" s="466"/>
      <c r="Z13" s="467"/>
      <c r="AA13" s="35">
        <v>24</v>
      </c>
      <c r="AB13" s="469">
        <v>76</v>
      </c>
    </row>
    <row r="14" spans="2:28" ht="11.25" customHeight="1" x14ac:dyDescent="0.2">
      <c r="B14" s="826"/>
      <c r="C14" s="814" t="s">
        <v>15</v>
      </c>
      <c r="D14" s="6" t="s">
        <v>11</v>
      </c>
      <c r="E14" s="814" t="s">
        <v>16</v>
      </c>
      <c r="F14" s="4">
        <v>0.96</v>
      </c>
      <c r="H14" s="867" t="s">
        <v>35</v>
      </c>
      <c r="I14" s="868"/>
      <c r="J14" s="868"/>
      <c r="K14" s="38">
        <v>25</v>
      </c>
      <c r="L14" s="372"/>
      <c r="M14" s="207"/>
      <c r="N14" s="158">
        <v>100</v>
      </c>
      <c r="O14" s="880"/>
      <c r="P14" s="881"/>
      <c r="Q14" s="218"/>
      <c r="R14" s="623"/>
      <c r="S14" s="624"/>
      <c r="T14" s="624"/>
      <c r="U14" s="624"/>
      <c r="V14" s="624"/>
      <c r="X14" s="864" t="s">
        <v>34</v>
      </c>
      <c r="Y14" s="865"/>
      <c r="Z14" s="866"/>
      <c r="AA14" s="37">
        <v>100</v>
      </c>
      <c r="AB14" s="460"/>
    </row>
    <row r="15" spans="2:28" ht="11.25" customHeight="1" thickBot="1" x14ac:dyDescent="0.25">
      <c r="B15" s="826"/>
      <c r="C15" s="814"/>
      <c r="D15" s="6" t="s">
        <v>12</v>
      </c>
      <c r="E15" s="814"/>
      <c r="F15" s="4">
        <v>1.6</v>
      </c>
      <c r="H15" s="843" t="s">
        <v>36</v>
      </c>
      <c r="I15" s="844"/>
      <c r="J15" s="844"/>
      <c r="K15" s="364">
        <v>25</v>
      </c>
      <c r="L15" s="372"/>
      <c r="M15" s="207"/>
      <c r="N15" s="158">
        <v>100</v>
      </c>
      <c r="O15" s="880"/>
      <c r="P15" s="881"/>
      <c r="Q15" s="218"/>
      <c r="R15" s="218"/>
      <c r="X15" s="867" t="s">
        <v>35</v>
      </c>
      <c r="Y15" s="868"/>
      <c r="Z15" s="868"/>
      <c r="AA15" s="38">
        <v>100</v>
      </c>
      <c r="AB15" s="461"/>
    </row>
    <row r="16" spans="2:28" ht="11.25" customHeight="1" thickBot="1" x14ac:dyDescent="0.25">
      <c r="B16" s="826"/>
      <c r="C16" s="7" t="s">
        <v>17</v>
      </c>
      <c r="D16" s="6" t="s">
        <v>11</v>
      </c>
      <c r="E16" s="6" t="s">
        <v>18</v>
      </c>
      <c r="F16" s="8">
        <v>3</v>
      </c>
      <c r="H16" s="843" t="s">
        <v>184</v>
      </c>
      <c r="I16" s="844"/>
      <c r="J16" s="845"/>
      <c r="K16" s="367">
        <v>25</v>
      </c>
      <c r="L16" s="206"/>
      <c r="M16" s="207"/>
      <c r="N16" s="158">
        <v>100</v>
      </c>
      <c r="O16" s="880"/>
      <c r="P16" s="881"/>
      <c r="R16" s="218"/>
      <c r="X16" s="843" t="s">
        <v>36</v>
      </c>
      <c r="Y16" s="844"/>
      <c r="Z16" s="844"/>
      <c r="AA16" s="364">
        <v>100</v>
      </c>
      <c r="AB16" s="461"/>
    </row>
    <row r="17" spans="2:28" ht="11.25" customHeight="1" thickBot="1" x14ac:dyDescent="0.25">
      <c r="B17" s="827"/>
      <c r="C17" s="9" t="s">
        <v>19</v>
      </c>
      <c r="D17" s="22" t="s">
        <v>12</v>
      </c>
      <c r="E17" s="22" t="s">
        <v>20</v>
      </c>
      <c r="F17" s="18">
        <v>3</v>
      </c>
      <c r="H17" s="886" t="s">
        <v>187</v>
      </c>
      <c r="I17" s="887"/>
      <c r="J17" s="888"/>
      <c r="K17" s="379">
        <v>25</v>
      </c>
      <c r="L17" s="206"/>
      <c r="M17" s="207"/>
      <c r="N17" s="158">
        <v>100</v>
      </c>
      <c r="O17" s="880"/>
      <c r="P17" s="881"/>
      <c r="X17" s="843" t="s">
        <v>184</v>
      </c>
      <c r="Y17" s="844"/>
      <c r="Z17" s="845"/>
      <c r="AA17" s="367">
        <v>100</v>
      </c>
      <c r="AB17" s="462"/>
    </row>
    <row r="18" spans="2:28" ht="11.25" customHeight="1" thickBot="1" x14ac:dyDescent="0.25">
      <c r="B18" s="829" t="s">
        <v>21</v>
      </c>
      <c r="C18" s="824" t="s">
        <v>8</v>
      </c>
      <c r="D18" s="2" t="s">
        <v>9</v>
      </c>
      <c r="E18" s="824" t="s">
        <v>10</v>
      </c>
      <c r="F18" s="13">
        <v>25.6</v>
      </c>
      <c r="H18" s="886" t="s">
        <v>190</v>
      </c>
      <c r="I18" s="887"/>
      <c r="J18" s="888"/>
      <c r="K18" s="379">
        <v>25</v>
      </c>
      <c r="L18" s="206"/>
      <c r="M18" s="207"/>
      <c r="N18" s="158">
        <v>100</v>
      </c>
      <c r="O18" s="880"/>
      <c r="P18" s="881"/>
      <c r="X18" s="886" t="s">
        <v>187</v>
      </c>
      <c r="Y18" s="887"/>
      <c r="Z18" s="888"/>
      <c r="AA18" s="379">
        <v>100</v>
      </c>
      <c r="AB18" s="462"/>
    </row>
    <row r="19" spans="2:28" ht="11.25" customHeight="1" thickBot="1" x14ac:dyDescent="0.25">
      <c r="B19" s="830"/>
      <c r="C19" s="814"/>
      <c r="D19" s="5" t="s">
        <v>11</v>
      </c>
      <c r="E19" s="814"/>
      <c r="F19" s="4">
        <v>6.1</v>
      </c>
      <c r="H19" s="889" t="s">
        <v>193</v>
      </c>
      <c r="I19" s="890"/>
      <c r="J19" s="891"/>
      <c r="K19" s="384">
        <v>25</v>
      </c>
      <c r="L19" s="206"/>
      <c r="M19" s="207"/>
      <c r="N19" s="358">
        <v>100</v>
      </c>
      <c r="O19" s="742"/>
      <c r="P19" s="882"/>
      <c r="X19" s="886" t="s">
        <v>190</v>
      </c>
      <c r="Y19" s="887"/>
      <c r="Z19" s="888"/>
      <c r="AA19" s="379">
        <v>100</v>
      </c>
      <c r="AB19" s="462"/>
    </row>
    <row r="20" spans="2:28" ht="12" thickBot="1" x14ac:dyDescent="0.25">
      <c r="B20" s="830"/>
      <c r="C20" s="814"/>
      <c r="D20" s="5" t="s">
        <v>12</v>
      </c>
      <c r="E20" s="814"/>
      <c r="F20" s="4">
        <v>1.8</v>
      </c>
      <c r="H20" s="883" t="s">
        <v>201</v>
      </c>
      <c r="I20" s="884"/>
      <c r="J20" s="885"/>
      <c r="K20" s="352">
        <v>20</v>
      </c>
      <c r="L20" s="353">
        <v>5</v>
      </c>
      <c r="M20" s="354">
        <v>2</v>
      </c>
      <c r="N20" s="368">
        <v>60</v>
      </c>
      <c r="O20" s="223">
        <v>4</v>
      </c>
      <c r="P20" s="241">
        <v>75</v>
      </c>
      <c r="X20" s="889" t="s">
        <v>193</v>
      </c>
      <c r="Y20" s="890"/>
      <c r="Z20" s="891"/>
      <c r="AA20" s="384">
        <v>100</v>
      </c>
      <c r="AB20" s="462"/>
    </row>
    <row r="21" spans="2:28" ht="12" thickBot="1" x14ac:dyDescent="0.25">
      <c r="B21" s="830"/>
      <c r="C21" s="7" t="s">
        <v>17</v>
      </c>
      <c r="D21" s="5" t="s">
        <v>11</v>
      </c>
      <c r="E21" s="5" t="s">
        <v>22</v>
      </c>
      <c r="F21" s="8">
        <v>2</v>
      </c>
      <c r="H21" s="883" t="s">
        <v>205</v>
      </c>
      <c r="I21" s="884"/>
      <c r="J21" s="885"/>
      <c r="K21" s="352">
        <v>20</v>
      </c>
      <c r="L21" s="353">
        <v>5</v>
      </c>
      <c r="M21" s="354">
        <v>2</v>
      </c>
      <c r="N21" s="231">
        <v>60</v>
      </c>
      <c r="O21" s="225">
        <v>4</v>
      </c>
      <c r="P21" s="242">
        <v>75</v>
      </c>
      <c r="X21" s="883" t="s">
        <v>201</v>
      </c>
      <c r="Y21" s="884"/>
      <c r="Z21" s="885"/>
      <c r="AA21" s="352">
        <v>67</v>
      </c>
      <c r="AB21" s="353">
        <v>33</v>
      </c>
    </row>
    <row r="22" spans="2:28" ht="12" thickBot="1" x14ac:dyDescent="0.25">
      <c r="B22" s="831"/>
      <c r="C22" s="9" t="s">
        <v>19</v>
      </c>
      <c r="D22" s="10" t="s">
        <v>12</v>
      </c>
      <c r="E22" s="10" t="s">
        <v>20</v>
      </c>
      <c r="F22" s="11">
        <v>3</v>
      </c>
      <c r="H22" s="883" t="s">
        <v>208</v>
      </c>
      <c r="I22" s="884"/>
      <c r="J22" s="885"/>
      <c r="K22" s="352">
        <v>20</v>
      </c>
      <c r="L22" s="353">
        <v>5</v>
      </c>
      <c r="M22" s="354">
        <v>2</v>
      </c>
      <c r="N22" s="231">
        <v>60</v>
      </c>
      <c r="O22" s="225">
        <v>4</v>
      </c>
      <c r="P22" s="242">
        <v>75</v>
      </c>
      <c r="X22" s="883" t="s">
        <v>205</v>
      </c>
      <c r="Y22" s="884"/>
      <c r="Z22" s="885"/>
      <c r="AA22" s="352">
        <v>67</v>
      </c>
      <c r="AB22" s="353">
        <v>33</v>
      </c>
    </row>
    <row r="23" spans="2:28" ht="12" thickBot="1" x14ac:dyDescent="0.25">
      <c r="B23" s="829" t="s">
        <v>23</v>
      </c>
      <c r="C23" s="824" t="s">
        <v>8</v>
      </c>
      <c r="D23" s="2" t="s">
        <v>9</v>
      </c>
      <c r="E23" s="824" t="s">
        <v>10</v>
      </c>
      <c r="F23" s="13">
        <v>25.6</v>
      </c>
      <c r="H23" s="883" t="s">
        <v>210</v>
      </c>
      <c r="I23" s="884"/>
      <c r="J23" s="885"/>
      <c r="K23" s="352">
        <v>20</v>
      </c>
      <c r="L23" s="353">
        <v>5</v>
      </c>
      <c r="M23" s="389">
        <v>2</v>
      </c>
      <c r="N23" s="231">
        <v>60</v>
      </c>
      <c r="O23" s="225">
        <v>25</v>
      </c>
      <c r="P23" s="242">
        <v>60</v>
      </c>
      <c r="X23" s="883" t="s">
        <v>208</v>
      </c>
      <c r="Y23" s="884"/>
      <c r="Z23" s="885"/>
      <c r="AA23" s="352">
        <v>67</v>
      </c>
      <c r="AB23" s="353">
        <v>33</v>
      </c>
    </row>
    <row r="24" spans="2:28" ht="11.25" customHeight="1" thickBot="1" x14ac:dyDescent="0.25">
      <c r="B24" s="830"/>
      <c r="C24" s="814"/>
      <c r="D24" s="5" t="s">
        <v>11</v>
      </c>
      <c r="E24" s="814"/>
      <c r="F24" s="4">
        <v>6.1</v>
      </c>
      <c r="H24" s="815" t="s">
        <v>226</v>
      </c>
      <c r="I24" s="816"/>
      <c r="J24" s="817"/>
      <c r="K24" s="385">
        <v>20</v>
      </c>
      <c r="L24" s="369">
        <v>5</v>
      </c>
      <c r="M24" s="370">
        <v>2</v>
      </c>
      <c r="N24" s="351">
        <v>60</v>
      </c>
      <c r="O24" s="227">
        <v>4</v>
      </c>
      <c r="P24" s="243">
        <v>75</v>
      </c>
      <c r="X24" s="883" t="s">
        <v>210</v>
      </c>
      <c r="Y24" s="884"/>
      <c r="Z24" s="885"/>
      <c r="AA24" s="352">
        <v>24</v>
      </c>
      <c r="AB24" s="353">
        <v>76</v>
      </c>
    </row>
    <row r="25" spans="2:28" ht="12" thickBot="1" x14ac:dyDescent="0.25">
      <c r="B25" s="830"/>
      <c r="C25" s="814"/>
      <c r="D25" s="5" t="s">
        <v>12</v>
      </c>
      <c r="E25" s="814"/>
      <c r="F25" s="4">
        <v>1.8</v>
      </c>
      <c r="N25" s="96"/>
      <c r="X25" s="815" t="s">
        <v>226</v>
      </c>
      <c r="Y25" s="816"/>
      <c r="Z25" s="817"/>
      <c r="AA25" s="385">
        <v>67</v>
      </c>
      <c r="AB25" s="369">
        <v>33</v>
      </c>
    </row>
    <row r="26" spans="2:28" x14ac:dyDescent="0.2">
      <c r="B26" s="830"/>
      <c r="C26" s="7" t="s">
        <v>17</v>
      </c>
      <c r="D26" s="5" t="s">
        <v>11</v>
      </c>
      <c r="E26" s="5" t="s">
        <v>22</v>
      </c>
      <c r="F26" s="8">
        <v>2</v>
      </c>
    </row>
    <row r="27" spans="2:28" ht="12" thickBot="1" x14ac:dyDescent="0.25">
      <c r="B27" s="831"/>
      <c r="C27" s="9" t="s">
        <v>19</v>
      </c>
      <c r="D27" s="10" t="s">
        <v>12</v>
      </c>
      <c r="E27" s="10" t="s">
        <v>20</v>
      </c>
      <c r="F27" s="11">
        <v>3</v>
      </c>
    </row>
    <row r="28" spans="2:28" x14ac:dyDescent="0.2">
      <c r="B28" s="829" t="s">
        <v>24</v>
      </c>
      <c r="C28" s="832" t="s">
        <v>25</v>
      </c>
      <c r="D28" s="833"/>
      <c r="E28" s="834"/>
      <c r="F28" s="13">
        <v>0.4</v>
      </c>
    </row>
    <row r="29" spans="2:28" x14ac:dyDescent="0.2">
      <c r="B29" s="830"/>
      <c r="C29" s="835" t="s">
        <v>6</v>
      </c>
      <c r="D29" s="835"/>
      <c r="E29" s="5" t="s">
        <v>7</v>
      </c>
      <c r="F29" s="4">
        <v>40</v>
      </c>
    </row>
    <row r="30" spans="2:28" x14ac:dyDescent="0.2">
      <c r="B30" s="830"/>
      <c r="C30" s="814" t="s">
        <v>8</v>
      </c>
      <c r="D30" s="5" t="s">
        <v>9</v>
      </c>
      <c r="E30" s="814" t="s">
        <v>10</v>
      </c>
      <c r="F30" s="4">
        <v>25.6</v>
      </c>
    </row>
    <row r="31" spans="2:28" x14ac:dyDescent="0.2">
      <c r="B31" s="830"/>
      <c r="C31" s="814"/>
      <c r="D31" s="5" t="s">
        <v>11</v>
      </c>
      <c r="E31" s="814"/>
      <c r="F31" s="4">
        <v>6.1</v>
      </c>
    </row>
    <row r="32" spans="2:28" x14ac:dyDescent="0.2">
      <c r="B32" s="830"/>
      <c r="C32" s="814"/>
      <c r="D32" s="5" t="s">
        <v>12</v>
      </c>
      <c r="E32" s="814"/>
      <c r="F32" s="4">
        <v>1.8</v>
      </c>
    </row>
    <row r="33" spans="2:6" x14ac:dyDescent="0.2">
      <c r="B33" s="830"/>
      <c r="C33" s="814" t="s">
        <v>13</v>
      </c>
      <c r="D33" s="5" t="s">
        <v>9</v>
      </c>
      <c r="E33" s="814" t="s">
        <v>14</v>
      </c>
      <c r="F33" s="4">
        <v>29.6</v>
      </c>
    </row>
    <row r="34" spans="2:6" ht="11.25" customHeight="1" x14ac:dyDescent="0.2">
      <c r="B34" s="830"/>
      <c r="C34" s="814"/>
      <c r="D34" s="5" t="s">
        <v>11</v>
      </c>
      <c r="E34" s="814"/>
      <c r="F34" s="4">
        <v>10.199999999999999</v>
      </c>
    </row>
    <row r="35" spans="2:6" x14ac:dyDescent="0.2">
      <c r="B35" s="830"/>
      <c r="C35" s="814"/>
      <c r="D35" s="5" t="s">
        <v>12</v>
      </c>
      <c r="E35" s="814"/>
      <c r="F35" s="4">
        <v>2.1</v>
      </c>
    </row>
    <row r="36" spans="2:6" x14ac:dyDescent="0.2">
      <c r="B36" s="830"/>
      <c r="C36" s="14" t="s">
        <v>17</v>
      </c>
      <c r="D36" s="15" t="s">
        <v>11</v>
      </c>
      <c r="E36" s="15" t="s">
        <v>22</v>
      </c>
      <c r="F36" s="16">
        <v>2</v>
      </c>
    </row>
    <row r="37" spans="2:6" ht="12" thickBot="1" x14ac:dyDescent="0.25">
      <c r="B37" s="831"/>
      <c r="C37" s="9" t="s">
        <v>19</v>
      </c>
      <c r="D37" s="17" t="s">
        <v>12</v>
      </c>
      <c r="E37" s="17" t="s">
        <v>20</v>
      </c>
      <c r="F37" s="18">
        <v>3</v>
      </c>
    </row>
    <row r="38" spans="2:6" x14ac:dyDescent="0.2">
      <c r="B38" s="829" t="s">
        <v>26</v>
      </c>
      <c r="C38" s="824" t="s">
        <v>8</v>
      </c>
      <c r="D38" s="2" t="s">
        <v>9</v>
      </c>
      <c r="E38" s="824" t="s">
        <v>10</v>
      </c>
      <c r="F38" s="13">
        <v>25.6</v>
      </c>
    </row>
    <row r="39" spans="2:6" ht="11.25" customHeight="1" x14ac:dyDescent="0.2">
      <c r="B39" s="830"/>
      <c r="C39" s="814"/>
      <c r="D39" s="5" t="s">
        <v>11</v>
      </c>
      <c r="E39" s="814"/>
      <c r="F39" s="4">
        <v>6.1</v>
      </c>
    </row>
    <row r="40" spans="2:6" x14ac:dyDescent="0.2">
      <c r="B40" s="830"/>
      <c r="C40" s="814"/>
      <c r="D40" s="5" t="s">
        <v>12</v>
      </c>
      <c r="E40" s="814"/>
      <c r="F40" s="4">
        <v>1.8</v>
      </c>
    </row>
    <row r="41" spans="2:6" x14ac:dyDescent="0.2">
      <c r="B41" s="830"/>
      <c r="C41" s="7" t="s">
        <v>17</v>
      </c>
      <c r="D41" s="5" t="s">
        <v>11</v>
      </c>
      <c r="E41" s="5" t="s">
        <v>22</v>
      </c>
      <c r="F41" s="8">
        <v>2</v>
      </c>
    </row>
    <row r="42" spans="2:6" ht="12" thickBot="1" x14ac:dyDescent="0.25">
      <c r="B42" s="830"/>
      <c r="C42" s="19" t="s">
        <v>19</v>
      </c>
      <c r="D42" s="10" t="s">
        <v>12</v>
      </c>
      <c r="E42" s="10" t="s">
        <v>20</v>
      </c>
      <c r="F42" s="11">
        <v>3</v>
      </c>
    </row>
    <row r="43" spans="2:6" x14ac:dyDescent="0.2">
      <c r="B43" s="825" t="s">
        <v>27</v>
      </c>
      <c r="C43" s="832" t="s">
        <v>5</v>
      </c>
      <c r="D43" s="833"/>
      <c r="E43" s="834"/>
      <c r="F43" s="13">
        <v>0.6</v>
      </c>
    </row>
    <row r="44" spans="2:6" x14ac:dyDescent="0.2">
      <c r="B44" s="826"/>
      <c r="C44" s="835" t="s">
        <v>6</v>
      </c>
      <c r="D44" s="835"/>
      <c r="E44" s="5" t="s">
        <v>7</v>
      </c>
      <c r="F44" s="4">
        <v>40</v>
      </c>
    </row>
    <row r="45" spans="2:6" x14ac:dyDescent="0.2">
      <c r="B45" s="826"/>
      <c r="C45" s="814" t="s">
        <v>8</v>
      </c>
      <c r="D45" s="5" t="s">
        <v>9</v>
      </c>
      <c r="E45" s="814" t="s">
        <v>10</v>
      </c>
      <c r="F45" s="4">
        <v>25.6</v>
      </c>
    </row>
    <row r="46" spans="2:6" x14ac:dyDescent="0.2">
      <c r="B46" s="826"/>
      <c r="C46" s="814"/>
      <c r="D46" s="5" t="s">
        <v>11</v>
      </c>
      <c r="E46" s="814"/>
      <c r="F46" s="4">
        <v>6.1</v>
      </c>
    </row>
    <row r="47" spans="2:6" x14ac:dyDescent="0.2">
      <c r="B47" s="826"/>
      <c r="C47" s="814"/>
      <c r="D47" s="5" t="s">
        <v>12</v>
      </c>
      <c r="E47" s="814"/>
      <c r="F47" s="4">
        <v>1.8</v>
      </c>
    </row>
    <row r="48" spans="2:6" x14ac:dyDescent="0.2">
      <c r="B48" s="826"/>
      <c r="C48" s="814" t="s">
        <v>13</v>
      </c>
      <c r="D48" s="5" t="s">
        <v>9</v>
      </c>
      <c r="E48" s="814" t="s">
        <v>14</v>
      </c>
      <c r="F48" s="4">
        <v>29.6</v>
      </c>
    </row>
    <row r="49" spans="2:6" ht="11.25" customHeight="1" x14ac:dyDescent="0.2">
      <c r="B49" s="826"/>
      <c r="C49" s="814"/>
      <c r="D49" s="5" t="s">
        <v>11</v>
      </c>
      <c r="E49" s="814"/>
      <c r="F49" s="4">
        <v>10.199999999999999</v>
      </c>
    </row>
    <row r="50" spans="2:6" x14ac:dyDescent="0.2">
      <c r="B50" s="826"/>
      <c r="C50" s="814"/>
      <c r="D50" s="5" t="s">
        <v>12</v>
      </c>
      <c r="E50" s="814"/>
      <c r="F50" s="4">
        <v>2.1</v>
      </c>
    </row>
    <row r="51" spans="2:6" x14ac:dyDescent="0.2">
      <c r="B51" s="826"/>
      <c r="C51" s="14" t="s">
        <v>17</v>
      </c>
      <c r="D51" s="15" t="s">
        <v>11</v>
      </c>
      <c r="E51" s="15" t="s">
        <v>22</v>
      </c>
      <c r="F51" s="16">
        <v>2</v>
      </c>
    </row>
    <row r="52" spans="2:6" ht="12" thickBot="1" x14ac:dyDescent="0.25">
      <c r="B52" s="827"/>
      <c r="C52" s="9" t="s">
        <v>19</v>
      </c>
      <c r="D52" s="17" t="s">
        <v>12</v>
      </c>
      <c r="E52" s="17" t="s">
        <v>20</v>
      </c>
      <c r="F52" s="18">
        <v>3</v>
      </c>
    </row>
    <row r="53" spans="2:6" x14ac:dyDescent="0.2">
      <c r="B53" s="825" t="s">
        <v>28</v>
      </c>
      <c r="C53" s="824" t="s">
        <v>8</v>
      </c>
      <c r="D53" s="2" t="s">
        <v>9</v>
      </c>
      <c r="E53" s="824" t="s">
        <v>10</v>
      </c>
      <c r="F53" s="20">
        <v>29.6</v>
      </c>
    </row>
    <row r="54" spans="2:6" x14ac:dyDescent="0.2">
      <c r="B54" s="826"/>
      <c r="C54" s="814"/>
      <c r="D54" s="5" t="s">
        <v>11</v>
      </c>
      <c r="E54" s="814"/>
      <c r="F54" s="21">
        <v>5.5</v>
      </c>
    </row>
    <row r="55" spans="2:6" x14ac:dyDescent="0.2">
      <c r="B55" s="826"/>
      <c r="C55" s="814"/>
      <c r="D55" s="5" t="s">
        <v>12</v>
      </c>
      <c r="E55" s="814"/>
      <c r="F55" s="21">
        <v>2.2000000000000002</v>
      </c>
    </row>
    <row r="56" spans="2:6" x14ac:dyDescent="0.2">
      <c r="B56" s="826"/>
      <c r="C56" s="818" t="s">
        <v>29</v>
      </c>
      <c r="D56" s="5" t="s">
        <v>9</v>
      </c>
      <c r="E56" s="818" t="s">
        <v>30</v>
      </c>
      <c r="F56" s="21">
        <v>81</v>
      </c>
    </row>
    <row r="57" spans="2:6" x14ac:dyDescent="0.2">
      <c r="B57" s="826"/>
      <c r="C57" s="819"/>
      <c r="D57" s="5" t="s">
        <v>11</v>
      </c>
      <c r="E57" s="819"/>
      <c r="F57" s="21">
        <v>55</v>
      </c>
    </row>
    <row r="58" spans="2:6" ht="12" thickBot="1" x14ac:dyDescent="0.25">
      <c r="B58" s="827"/>
      <c r="C58" s="820"/>
      <c r="D58" s="23" t="s">
        <v>12</v>
      </c>
      <c r="E58" s="820"/>
      <c r="F58" s="24">
        <v>70</v>
      </c>
    </row>
    <row r="59" spans="2:6" x14ac:dyDescent="0.2">
      <c r="B59" s="825" t="s">
        <v>31</v>
      </c>
      <c r="C59" s="824" t="s">
        <v>8</v>
      </c>
      <c r="D59" s="2" t="s">
        <v>9</v>
      </c>
      <c r="E59" s="824" t="s">
        <v>10</v>
      </c>
      <c r="F59" s="20">
        <v>29.6</v>
      </c>
    </row>
    <row r="60" spans="2:6" x14ac:dyDescent="0.2">
      <c r="B60" s="826"/>
      <c r="C60" s="814"/>
      <c r="D60" s="5" t="s">
        <v>11</v>
      </c>
      <c r="E60" s="814"/>
      <c r="F60" s="21">
        <v>5.5</v>
      </c>
    </row>
    <row r="61" spans="2:6" x14ac:dyDescent="0.2">
      <c r="B61" s="826"/>
      <c r="C61" s="814"/>
      <c r="D61" s="5" t="s">
        <v>12</v>
      </c>
      <c r="E61" s="814"/>
      <c r="F61" s="21">
        <v>2.2000000000000002</v>
      </c>
    </row>
    <row r="62" spans="2:6" x14ac:dyDescent="0.2">
      <c r="B62" s="826"/>
      <c r="C62" s="818" t="s">
        <v>29</v>
      </c>
      <c r="D62" s="5" t="s">
        <v>9</v>
      </c>
      <c r="E62" s="818" t="s">
        <v>30</v>
      </c>
      <c r="F62" s="21">
        <v>84</v>
      </c>
    </row>
    <row r="63" spans="2:6" x14ac:dyDescent="0.2">
      <c r="B63" s="826"/>
      <c r="C63" s="819"/>
      <c r="D63" s="5" t="s">
        <v>11</v>
      </c>
      <c r="E63" s="819"/>
      <c r="F63" s="21">
        <v>63</v>
      </c>
    </row>
    <row r="64" spans="2:6" ht="12" thickBot="1" x14ac:dyDescent="0.25">
      <c r="B64" s="827"/>
      <c r="C64" s="820"/>
      <c r="D64" s="23" t="s">
        <v>12</v>
      </c>
      <c r="E64" s="820"/>
      <c r="F64" s="24">
        <v>75</v>
      </c>
    </row>
    <row r="65" spans="2:6" x14ac:dyDescent="0.2">
      <c r="B65" s="825" t="s">
        <v>32</v>
      </c>
      <c r="C65" s="824" t="s">
        <v>33</v>
      </c>
      <c r="D65" s="2" t="s">
        <v>9</v>
      </c>
      <c r="E65" s="824" t="s">
        <v>10</v>
      </c>
      <c r="F65" s="20">
        <v>29.6</v>
      </c>
    </row>
    <row r="66" spans="2:6" x14ac:dyDescent="0.2">
      <c r="B66" s="826"/>
      <c r="C66" s="814"/>
      <c r="D66" s="5" t="s">
        <v>11</v>
      </c>
      <c r="E66" s="814"/>
      <c r="F66" s="21">
        <v>5.5</v>
      </c>
    </row>
    <row r="67" spans="2:6" x14ac:dyDescent="0.2">
      <c r="B67" s="826"/>
      <c r="C67" s="814"/>
      <c r="D67" s="5" t="s">
        <v>12</v>
      </c>
      <c r="E67" s="814"/>
      <c r="F67" s="21">
        <v>2.2000000000000002</v>
      </c>
    </row>
    <row r="68" spans="2:6" x14ac:dyDescent="0.2">
      <c r="B68" s="826"/>
      <c r="C68" s="818" t="s">
        <v>29</v>
      </c>
      <c r="D68" s="5" t="s">
        <v>9</v>
      </c>
      <c r="E68" s="818" t="s">
        <v>30</v>
      </c>
      <c r="F68" s="21">
        <v>80.5</v>
      </c>
    </row>
    <row r="69" spans="2:6" x14ac:dyDescent="0.2">
      <c r="B69" s="826"/>
      <c r="C69" s="819"/>
      <c r="D69" s="5" t="s">
        <v>11</v>
      </c>
      <c r="E69" s="819"/>
      <c r="F69" s="21">
        <v>50</v>
      </c>
    </row>
    <row r="70" spans="2:6" ht="12" thickBot="1" x14ac:dyDescent="0.25">
      <c r="B70" s="827"/>
      <c r="C70" s="820"/>
      <c r="D70" s="23" t="s">
        <v>12</v>
      </c>
      <c r="E70" s="820"/>
      <c r="F70" s="24">
        <v>70</v>
      </c>
    </row>
    <row r="71" spans="2:6" x14ac:dyDescent="0.2">
      <c r="B71" s="825" t="s">
        <v>34</v>
      </c>
      <c r="C71" s="824" t="s">
        <v>8</v>
      </c>
      <c r="D71" s="2" t="s">
        <v>9</v>
      </c>
      <c r="E71" s="824" t="s">
        <v>10</v>
      </c>
      <c r="F71" s="25">
        <v>29</v>
      </c>
    </row>
    <row r="72" spans="2:6" x14ac:dyDescent="0.2">
      <c r="B72" s="826"/>
      <c r="C72" s="814"/>
      <c r="D72" s="5" t="s">
        <v>11</v>
      </c>
      <c r="E72" s="814"/>
      <c r="F72" s="21">
        <v>3.3</v>
      </c>
    </row>
    <row r="73" spans="2:6" ht="12" thickBot="1" x14ac:dyDescent="0.25">
      <c r="B73" s="827"/>
      <c r="C73" s="828"/>
      <c r="D73" s="23" t="s">
        <v>12</v>
      </c>
      <c r="E73" s="828"/>
      <c r="F73" s="24">
        <v>2.5</v>
      </c>
    </row>
    <row r="74" spans="2:6" x14ac:dyDescent="0.2">
      <c r="B74" s="825" t="s">
        <v>35</v>
      </c>
      <c r="C74" s="824" t="s">
        <v>8</v>
      </c>
      <c r="D74" s="2" t="s">
        <v>9</v>
      </c>
      <c r="E74" s="824" t="s">
        <v>10</v>
      </c>
      <c r="F74" s="25">
        <v>29</v>
      </c>
    </row>
    <row r="75" spans="2:6" x14ac:dyDescent="0.2">
      <c r="B75" s="826"/>
      <c r="C75" s="814"/>
      <c r="D75" s="5" t="s">
        <v>11</v>
      </c>
      <c r="E75" s="814"/>
      <c r="F75" s="21">
        <v>3.4</v>
      </c>
    </row>
    <row r="76" spans="2:6" ht="12" thickBot="1" x14ac:dyDescent="0.25">
      <c r="B76" s="827"/>
      <c r="C76" s="828"/>
      <c r="D76" s="23" t="s">
        <v>12</v>
      </c>
      <c r="E76" s="828"/>
      <c r="F76" s="24">
        <v>2.5</v>
      </c>
    </row>
    <row r="77" spans="2:6" x14ac:dyDescent="0.2">
      <c r="B77" s="825" t="s">
        <v>36</v>
      </c>
      <c r="C77" s="892" t="s">
        <v>8</v>
      </c>
      <c r="D77" s="2" t="s">
        <v>9</v>
      </c>
      <c r="E77" s="824" t="s">
        <v>10</v>
      </c>
      <c r="F77" s="25">
        <v>29</v>
      </c>
    </row>
    <row r="78" spans="2:6" x14ac:dyDescent="0.2">
      <c r="B78" s="826"/>
      <c r="C78" s="893"/>
      <c r="D78" s="5" t="s">
        <v>11</v>
      </c>
      <c r="E78" s="814"/>
      <c r="F78" s="21">
        <v>3.4</v>
      </c>
    </row>
    <row r="79" spans="2:6" ht="12" thickBot="1" x14ac:dyDescent="0.25">
      <c r="B79" s="826"/>
      <c r="C79" s="894"/>
      <c r="D79" s="23" t="s">
        <v>12</v>
      </c>
      <c r="E79" s="828"/>
      <c r="F79" s="24">
        <v>2.5</v>
      </c>
    </row>
    <row r="80" spans="2:6" x14ac:dyDescent="0.2">
      <c r="B80" s="826"/>
      <c r="C80" s="892" t="s">
        <v>37</v>
      </c>
      <c r="D80" s="2" t="s">
        <v>9</v>
      </c>
      <c r="E80" s="824" t="s">
        <v>38</v>
      </c>
      <c r="F80" s="25">
        <v>18.100000000000001</v>
      </c>
    </row>
    <row r="81" spans="2:6" x14ac:dyDescent="0.2">
      <c r="B81" s="826"/>
      <c r="C81" s="893"/>
      <c r="D81" s="5" t="s">
        <v>11</v>
      </c>
      <c r="E81" s="814"/>
      <c r="F81" s="26">
        <v>2.1</v>
      </c>
    </row>
    <row r="82" spans="2:6" ht="12" thickBot="1" x14ac:dyDescent="0.25">
      <c r="B82" s="827"/>
      <c r="C82" s="894"/>
      <c r="D82" s="23" t="s">
        <v>12</v>
      </c>
      <c r="E82" s="828"/>
      <c r="F82" s="27">
        <v>1.3</v>
      </c>
    </row>
    <row r="83" spans="2:6" ht="12" thickBot="1" x14ac:dyDescent="0.25"/>
    <row r="84" spans="2:6" x14ac:dyDescent="0.2">
      <c r="B84" s="871" t="s">
        <v>217</v>
      </c>
      <c r="C84" s="874" t="s">
        <v>8</v>
      </c>
      <c r="D84" s="223" t="s">
        <v>9</v>
      </c>
      <c r="E84" s="874" t="s">
        <v>10</v>
      </c>
      <c r="F84" s="224">
        <v>29.6</v>
      </c>
    </row>
    <row r="85" spans="2:6" x14ac:dyDescent="0.2">
      <c r="B85" s="872"/>
      <c r="C85" s="875"/>
      <c r="D85" s="225" t="s">
        <v>11</v>
      </c>
      <c r="E85" s="875"/>
      <c r="F85" s="226">
        <v>5.5</v>
      </c>
    </row>
    <row r="86" spans="2:6" x14ac:dyDescent="0.2">
      <c r="B86" s="872"/>
      <c r="C86" s="875"/>
      <c r="D86" s="225" t="s">
        <v>12</v>
      </c>
      <c r="E86" s="875"/>
      <c r="F86" s="226">
        <v>2.2000000000000002</v>
      </c>
    </row>
    <row r="87" spans="2:6" x14ac:dyDescent="0.2">
      <c r="B87" s="872"/>
      <c r="C87" s="876" t="s">
        <v>37</v>
      </c>
      <c r="D87" s="225" t="s">
        <v>9</v>
      </c>
      <c r="E87" s="876" t="s">
        <v>30</v>
      </c>
      <c r="F87" s="226">
        <v>84</v>
      </c>
    </row>
    <row r="88" spans="2:6" x14ac:dyDescent="0.2">
      <c r="B88" s="872"/>
      <c r="C88" s="877"/>
      <c r="D88" s="225" t="s">
        <v>11</v>
      </c>
      <c r="E88" s="877"/>
      <c r="F88" s="226">
        <v>63</v>
      </c>
    </row>
    <row r="89" spans="2:6" ht="12" thickBot="1" x14ac:dyDescent="0.25">
      <c r="B89" s="873"/>
      <c r="C89" s="878"/>
      <c r="D89" s="227" t="s">
        <v>12</v>
      </c>
      <c r="E89" s="878"/>
      <c r="F89" s="228">
        <v>75</v>
      </c>
    </row>
    <row r="90" spans="2:6" ht="12" thickBot="1" x14ac:dyDescent="0.25"/>
    <row r="91" spans="2:6" x14ac:dyDescent="0.2">
      <c r="B91" s="871" t="s">
        <v>219</v>
      </c>
      <c r="C91" s="874" t="s">
        <v>8</v>
      </c>
      <c r="D91" s="223" t="s">
        <v>9</v>
      </c>
      <c r="E91" s="874" t="s">
        <v>10</v>
      </c>
      <c r="F91" s="224">
        <v>29.6</v>
      </c>
    </row>
    <row r="92" spans="2:6" x14ac:dyDescent="0.2">
      <c r="B92" s="872"/>
      <c r="C92" s="875"/>
      <c r="D92" s="225" t="s">
        <v>11</v>
      </c>
      <c r="E92" s="875"/>
      <c r="F92" s="226">
        <v>5.5</v>
      </c>
    </row>
    <row r="93" spans="2:6" x14ac:dyDescent="0.2">
      <c r="B93" s="872"/>
      <c r="C93" s="875"/>
      <c r="D93" s="225" t="s">
        <v>12</v>
      </c>
      <c r="E93" s="875"/>
      <c r="F93" s="226">
        <v>2.2000000000000002</v>
      </c>
    </row>
    <row r="94" spans="2:6" x14ac:dyDescent="0.2">
      <c r="B94" s="872"/>
      <c r="C94" s="876" t="s">
        <v>29</v>
      </c>
      <c r="D94" s="225" t="s">
        <v>9</v>
      </c>
      <c r="E94" s="876" t="s">
        <v>30</v>
      </c>
      <c r="F94" s="226">
        <v>80.5</v>
      </c>
    </row>
    <row r="95" spans="2:6" x14ac:dyDescent="0.2">
      <c r="B95" s="872"/>
      <c r="C95" s="877"/>
      <c r="D95" s="225" t="s">
        <v>11</v>
      </c>
      <c r="E95" s="877"/>
      <c r="F95" s="226">
        <v>30</v>
      </c>
    </row>
    <row r="96" spans="2:6" ht="12" thickBot="1" x14ac:dyDescent="0.25">
      <c r="B96" s="873"/>
      <c r="C96" s="878"/>
      <c r="D96" s="227" t="s">
        <v>12</v>
      </c>
      <c r="E96" s="878"/>
      <c r="F96" s="228">
        <v>75</v>
      </c>
    </row>
    <row r="97" spans="2:6" ht="11.25" customHeight="1" thickBot="1" x14ac:dyDescent="0.25"/>
    <row r="98" spans="2:6" x14ac:dyDescent="0.2">
      <c r="B98" s="871" t="s">
        <v>218</v>
      </c>
      <c r="C98" s="895" t="s">
        <v>5</v>
      </c>
      <c r="D98" s="896"/>
      <c r="E98" s="897"/>
      <c r="F98" s="229">
        <v>0.6</v>
      </c>
    </row>
    <row r="99" spans="2:6" ht="11.25" customHeight="1" x14ac:dyDescent="0.2">
      <c r="B99" s="872"/>
      <c r="C99" s="898" t="s">
        <v>6</v>
      </c>
      <c r="D99" s="898"/>
      <c r="E99" s="225" t="s">
        <v>7</v>
      </c>
      <c r="F99" s="230">
        <v>40</v>
      </c>
    </row>
    <row r="100" spans="2:6" ht="11.25" customHeight="1" x14ac:dyDescent="0.2">
      <c r="B100" s="872"/>
      <c r="C100" s="899" t="s">
        <v>65</v>
      </c>
      <c r="D100" s="900"/>
      <c r="E100" s="231" t="s">
        <v>7</v>
      </c>
      <c r="F100" s="230">
        <v>600</v>
      </c>
    </row>
    <row r="101" spans="2:6" ht="11.25" customHeight="1" x14ac:dyDescent="0.2">
      <c r="B101" s="872"/>
      <c r="C101" s="232" t="s">
        <v>66</v>
      </c>
      <c r="D101" s="233"/>
      <c r="E101" s="234" t="s">
        <v>7</v>
      </c>
      <c r="F101" s="235">
        <v>640</v>
      </c>
    </row>
    <row r="102" spans="2:6" ht="11.25" customHeight="1" x14ac:dyDescent="0.2">
      <c r="B102" s="872"/>
      <c r="C102" s="875" t="s">
        <v>8</v>
      </c>
      <c r="D102" s="225" t="s">
        <v>9</v>
      </c>
      <c r="E102" s="875" t="s">
        <v>10</v>
      </c>
      <c r="F102" s="230">
        <v>25.6</v>
      </c>
    </row>
    <row r="103" spans="2:6" ht="11.25" customHeight="1" x14ac:dyDescent="0.2">
      <c r="B103" s="872"/>
      <c r="C103" s="875"/>
      <c r="D103" s="225" t="s">
        <v>11</v>
      </c>
      <c r="E103" s="875"/>
      <c r="F103" s="230">
        <v>6.1</v>
      </c>
    </row>
    <row r="104" spans="2:6" ht="11.25" customHeight="1" x14ac:dyDescent="0.2">
      <c r="B104" s="872"/>
      <c r="C104" s="875"/>
      <c r="D104" s="225" t="s">
        <v>12</v>
      </c>
      <c r="E104" s="875"/>
      <c r="F104" s="230">
        <v>1.8</v>
      </c>
    </row>
    <row r="105" spans="2:6" ht="11.25" customHeight="1" x14ac:dyDescent="0.2">
      <c r="B105" s="872"/>
      <c r="C105" s="875" t="s">
        <v>13</v>
      </c>
      <c r="D105" s="225" t="s">
        <v>9</v>
      </c>
      <c r="E105" s="875" t="s">
        <v>14</v>
      </c>
      <c r="F105" s="230">
        <v>29.6</v>
      </c>
    </row>
    <row r="106" spans="2:6" ht="11.25" customHeight="1" x14ac:dyDescent="0.2">
      <c r="B106" s="872"/>
      <c r="C106" s="875"/>
      <c r="D106" s="225" t="s">
        <v>11</v>
      </c>
      <c r="E106" s="875"/>
      <c r="F106" s="230">
        <v>10.199999999999999</v>
      </c>
    </row>
    <row r="107" spans="2:6" ht="11.25" customHeight="1" x14ac:dyDescent="0.2">
      <c r="B107" s="872"/>
      <c r="C107" s="875"/>
      <c r="D107" s="225" t="s">
        <v>12</v>
      </c>
      <c r="E107" s="875"/>
      <c r="F107" s="230">
        <v>2.1</v>
      </c>
    </row>
    <row r="108" spans="2:6" ht="11.25" customHeight="1" x14ac:dyDescent="0.2">
      <c r="B108" s="872"/>
      <c r="C108" s="875" t="s">
        <v>15</v>
      </c>
      <c r="D108" s="225" t="s">
        <v>11</v>
      </c>
      <c r="E108" s="875" t="s">
        <v>16</v>
      </c>
      <c r="F108" s="230">
        <v>0.96</v>
      </c>
    </row>
    <row r="109" spans="2:6" ht="11.25" customHeight="1" x14ac:dyDescent="0.2">
      <c r="B109" s="872"/>
      <c r="C109" s="875"/>
      <c r="D109" s="225" t="s">
        <v>12</v>
      </c>
      <c r="E109" s="875"/>
      <c r="F109" s="230">
        <v>1.6</v>
      </c>
    </row>
    <row r="110" spans="2:6" ht="11.25" customHeight="1" x14ac:dyDescent="0.2">
      <c r="B110" s="872"/>
      <c r="C110" s="236" t="s">
        <v>17</v>
      </c>
      <c r="D110" s="225" t="s">
        <v>11</v>
      </c>
      <c r="E110" s="225" t="s">
        <v>18</v>
      </c>
      <c r="F110" s="237">
        <v>3</v>
      </c>
    </row>
    <row r="111" spans="2:6" ht="11.25" customHeight="1" thickBot="1" x14ac:dyDescent="0.25">
      <c r="B111" s="873"/>
      <c r="C111" s="238" t="s">
        <v>19</v>
      </c>
      <c r="D111" s="239" t="s">
        <v>12</v>
      </c>
      <c r="E111" s="239" t="s">
        <v>20</v>
      </c>
      <c r="F111" s="240">
        <v>3</v>
      </c>
    </row>
    <row r="112" spans="2:6" ht="12" thickBot="1" x14ac:dyDescent="0.25"/>
    <row r="113" spans="2:6" x14ac:dyDescent="0.2">
      <c r="B113" s="871" t="s">
        <v>210</v>
      </c>
      <c r="C113" s="874" t="s">
        <v>8</v>
      </c>
      <c r="D113" s="223" t="s">
        <v>9</v>
      </c>
      <c r="E113" s="874" t="s">
        <v>10</v>
      </c>
      <c r="F113" s="224">
        <v>29.6</v>
      </c>
    </row>
    <row r="114" spans="2:6" x14ac:dyDescent="0.2">
      <c r="B114" s="872"/>
      <c r="C114" s="875"/>
      <c r="D114" s="225" t="s">
        <v>11</v>
      </c>
      <c r="E114" s="875"/>
      <c r="F114" s="226">
        <v>5.5</v>
      </c>
    </row>
    <row r="115" spans="2:6" x14ac:dyDescent="0.2">
      <c r="B115" s="872"/>
      <c r="C115" s="875"/>
      <c r="D115" s="225" t="s">
        <v>12</v>
      </c>
      <c r="E115" s="875"/>
      <c r="F115" s="226">
        <v>2.2000000000000002</v>
      </c>
    </row>
    <row r="116" spans="2:6" x14ac:dyDescent="0.2">
      <c r="B116" s="872"/>
      <c r="C116" s="876" t="s">
        <v>29</v>
      </c>
      <c r="D116" s="225" t="s">
        <v>9</v>
      </c>
      <c r="E116" s="876" t="s">
        <v>30</v>
      </c>
      <c r="F116" s="226">
        <v>84</v>
      </c>
    </row>
    <row r="117" spans="2:6" x14ac:dyDescent="0.2">
      <c r="B117" s="872"/>
      <c r="C117" s="877"/>
      <c r="D117" s="225" t="s">
        <v>11</v>
      </c>
      <c r="E117" s="877"/>
      <c r="F117" s="226">
        <v>63</v>
      </c>
    </row>
    <row r="118" spans="2:6" ht="12" thickBot="1" x14ac:dyDescent="0.25">
      <c r="B118" s="873"/>
      <c r="C118" s="878"/>
      <c r="D118" s="227" t="s">
        <v>12</v>
      </c>
      <c r="E118" s="878"/>
      <c r="F118" s="228">
        <v>75</v>
      </c>
    </row>
  </sheetData>
  <mergeCells count="142">
    <mergeCell ref="X20:Z20"/>
    <mergeCell ref="X21:Z21"/>
    <mergeCell ref="X22:Z22"/>
    <mergeCell ref="X23:Z23"/>
    <mergeCell ref="X24:Z24"/>
    <mergeCell ref="X25:Z25"/>
    <mergeCell ref="X10:Z10"/>
    <mergeCell ref="X11:Z11"/>
    <mergeCell ref="X12:Z12"/>
    <mergeCell ref="X14:Z14"/>
    <mergeCell ref="X15:Z15"/>
    <mergeCell ref="X16:Z16"/>
    <mergeCell ref="X17:Z17"/>
    <mergeCell ref="X18:Z18"/>
    <mergeCell ref="X19:Z19"/>
    <mergeCell ref="X2:AB2"/>
    <mergeCell ref="X4:Z4"/>
    <mergeCell ref="X5:Z5"/>
    <mergeCell ref="X6:Z6"/>
    <mergeCell ref="X7:Z7"/>
    <mergeCell ref="X8:Z8"/>
    <mergeCell ref="T4:V4"/>
    <mergeCell ref="R2:V2"/>
    <mergeCell ref="R3:R4"/>
    <mergeCell ref="R5:V5"/>
    <mergeCell ref="B113:B118"/>
    <mergeCell ref="C113:C115"/>
    <mergeCell ref="E113:E115"/>
    <mergeCell ref="C116:C118"/>
    <mergeCell ref="E116:E118"/>
    <mergeCell ref="C98:E98"/>
    <mergeCell ref="C99:D99"/>
    <mergeCell ref="C100:D100"/>
    <mergeCell ref="C102:C104"/>
    <mergeCell ref="E102:E104"/>
    <mergeCell ref="C105:C107"/>
    <mergeCell ref="E105:E107"/>
    <mergeCell ref="C108:C109"/>
    <mergeCell ref="E108:E109"/>
    <mergeCell ref="B98:B111"/>
    <mergeCell ref="B91:B96"/>
    <mergeCell ref="C91:C93"/>
    <mergeCell ref="E91:E93"/>
    <mergeCell ref="C94:C96"/>
    <mergeCell ref="E94:E96"/>
    <mergeCell ref="O13:P19"/>
    <mergeCell ref="B84:B89"/>
    <mergeCell ref="C84:C86"/>
    <mergeCell ref="E84:E86"/>
    <mergeCell ref="C87:C89"/>
    <mergeCell ref="E87:E89"/>
    <mergeCell ref="H23:J23"/>
    <mergeCell ref="H17:J17"/>
    <mergeCell ref="H18:J18"/>
    <mergeCell ref="H19:J19"/>
    <mergeCell ref="H20:J20"/>
    <mergeCell ref="H21:J21"/>
    <mergeCell ref="H22:J22"/>
    <mergeCell ref="B77:B82"/>
    <mergeCell ref="C77:C79"/>
    <mergeCell ref="E77:E79"/>
    <mergeCell ref="C80:C82"/>
    <mergeCell ref="E80:E82"/>
    <mergeCell ref="B38:B42"/>
    <mergeCell ref="B43:B52"/>
    <mergeCell ref="C43:E43"/>
    <mergeCell ref="C44:D44"/>
    <mergeCell ref="C45:C47"/>
    <mergeCell ref="N2:P2"/>
    <mergeCell ref="O5:O6"/>
    <mergeCell ref="P5:P6"/>
    <mergeCell ref="K5:K6"/>
    <mergeCell ref="L5:L6"/>
    <mergeCell ref="M5:M6"/>
    <mergeCell ref="N5:N6"/>
    <mergeCell ref="H15:J15"/>
    <mergeCell ref="M2:M3"/>
    <mergeCell ref="H9:J9"/>
    <mergeCell ref="H10:J10"/>
    <mergeCell ref="H11:J11"/>
    <mergeCell ref="H12:J12"/>
    <mergeCell ref="H13:J13"/>
    <mergeCell ref="H14:J14"/>
    <mergeCell ref="H2:L2"/>
    <mergeCell ref="H4:J4"/>
    <mergeCell ref="H5:J5"/>
    <mergeCell ref="B18:B22"/>
    <mergeCell ref="C18:C20"/>
    <mergeCell ref="B2:F2"/>
    <mergeCell ref="C3:D3"/>
    <mergeCell ref="C4:E4"/>
    <mergeCell ref="C5:D5"/>
    <mergeCell ref="C8:C10"/>
    <mergeCell ref="E8:E10"/>
    <mergeCell ref="H16:J16"/>
    <mergeCell ref="C11:C13"/>
    <mergeCell ref="E11:E13"/>
    <mergeCell ref="C14:C15"/>
    <mergeCell ref="B3:B17"/>
    <mergeCell ref="C6:D6"/>
    <mergeCell ref="B23:B27"/>
    <mergeCell ref="C23:C25"/>
    <mergeCell ref="E23:E25"/>
    <mergeCell ref="B28:B37"/>
    <mergeCell ref="C28:E28"/>
    <mergeCell ref="C29:D29"/>
    <mergeCell ref="C30:C32"/>
    <mergeCell ref="E30:E32"/>
    <mergeCell ref="C33:C35"/>
    <mergeCell ref="E33:E35"/>
    <mergeCell ref="B53:B58"/>
    <mergeCell ref="C53:C55"/>
    <mergeCell ref="E53:E55"/>
    <mergeCell ref="C56:C58"/>
    <mergeCell ref="E56:E58"/>
    <mergeCell ref="B59:B64"/>
    <mergeCell ref="C59:C61"/>
    <mergeCell ref="E59:E61"/>
    <mergeCell ref="C62:C64"/>
    <mergeCell ref="E62:E64"/>
    <mergeCell ref="B74:B76"/>
    <mergeCell ref="C74:C76"/>
    <mergeCell ref="E74:E76"/>
    <mergeCell ref="B71:B73"/>
    <mergeCell ref="C71:C73"/>
    <mergeCell ref="E71:E73"/>
    <mergeCell ref="B65:B70"/>
    <mergeCell ref="C65:C67"/>
    <mergeCell ref="E65:E67"/>
    <mergeCell ref="E45:E47"/>
    <mergeCell ref="C48:C50"/>
    <mergeCell ref="E48:E50"/>
    <mergeCell ref="H24:J24"/>
    <mergeCell ref="C68:C70"/>
    <mergeCell ref="E68:E70"/>
    <mergeCell ref="E14:E15"/>
    <mergeCell ref="H6:J6"/>
    <mergeCell ref="H7:J7"/>
    <mergeCell ref="H8:J8"/>
    <mergeCell ref="E18:E20"/>
    <mergeCell ref="C38:C40"/>
    <mergeCell ref="E38:E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workbookViewId="0">
      <selection activeCell="J38" sqref="J38"/>
    </sheetView>
  </sheetViews>
  <sheetFormatPr defaultColWidth="8.7109375" defaultRowHeight="11.25" x14ac:dyDescent="0.2"/>
  <cols>
    <col min="1" max="1" width="2.28515625" style="1" customWidth="1"/>
    <col min="2" max="2" width="13.42578125" style="1" customWidth="1"/>
    <col min="3" max="3" width="28.42578125" style="1" customWidth="1"/>
    <col min="4" max="8" width="8.7109375" style="1" customWidth="1"/>
    <col min="9" max="16384" width="8.7109375" style="1"/>
  </cols>
  <sheetData>
    <row r="1" spans="2:15" ht="12" thickBot="1" x14ac:dyDescent="0.25"/>
    <row r="2" spans="2:15" ht="10.5" customHeight="1" x14ac:dyDescent="0.2">
      <c r="B2" s="799" t="s">
        <v>57</v>
      </c>
      <c r="C2" s="655" t="s">
        <v>111</v>
      </c>
      <c r="D2" s="638" t="s">
        <v>292</v>
      </c>
      <c r="E2" s="639"/>
      <c r="F2" s="639"/>
      <c r="G2" s="639"/>
      <c r="H2" s="640"/>
      <c r="I2" s="639" t="s">
        <v>149</v>
      </c>
      <c r="J2" s="639"/>
      <c r="K2" s="639"/>
      <c r="L2" s="639"/>
      <c r="M2" s="640"/>
      <c r="N2" s="738" t="s">
        <v>95</v>
      </c>
      <c r="O2" s="913"/>
    </row>
    <row r="3" spans="2:15" ht="10.5" customHeight="1" x14ac:dyDescent="0.2">
      <c r="B3" s="681"/>
      <c r="C3" s="656"/>
      <c r="D3" s="645" t="s">
        <v>53</v>
      </c>
      <c r="E3" s="645" t="s">
        <v>68</v>
      </c>
      <c r="F3" s="647" t="s">
        <v>9</v>
      </c>
      <c r="G3" s="647" t="s">
        <v>11</v>
      </c>
      <c r="H3" s="647" t="s">
        <v>12</v>
      </c>
      <c r="I3" s="645" t="s">
        <v>53</v>
      </c>
      <c r="J3" s="645" t="s">
        <v>68</v>
      </c>
      <c r="K3" s="647" t="s">
        <v>9</v>
      </c>
      <c r="L3" s="647" t="s">
        <v>11</v>
      </c>
      <c r="M3" s="647" t="s">
        <v>12</v>
      </c>
      <c r="N3" s="647" t="s">
        <v>123</v>
      </c>
      <c r="O3" s="648" t="s">
        <v>155</v>
      </c>
    </row>
    <row r="4" spans="2:15" ht="10.5" customHeight="1" x14ac:dyDescent="0.2">
      <c r="B4" s="681"/>
      <c r="C4" s="656"/>
      <c r="D4" s="720"/>
      <c r="E4" s="720"/>
      <c r="F4" s="647"/>
      <c r="G4" s="647"/>
      <c r="H4" s="647"/>
      <c r="I4" s="720"/>
      <c r="J4" s="720"/>
      <c r="K4" s="647"/>
      <c r="L4" s="647"/>
      <c r="M4" s="647"/>
      <c r="N4" s="647"/>
      <c r="O4" s="648"/>
    </row>
    <row r="5" spans="2:15" ht="10.5" customHeight="1" thickBot="1" x14ac:dyDescent="0.25">
      <c r="B5" s="682"/>
      <c r="C5" s="646"/>
      <c r="D5" s="576" t="s">
        <v>54</v>
      </c>
      <c r="E5" s="576" t="s">
        <v>30</v>
      </c>
      <c r="F5" s="735" t="s">
        <v>54</v>
      </c>
      <c r="G5" s="736"/>
      <c r="H5" s="722"/>
      <c r="I5" s="500" t="s">
        <v>54</v>
      </c>
      <c r="J5" s="500" t="s">
        <v>30</v>
      </c>
      <c r="K5" s="649" t="s">
        <v>54</v>
      </c>
      <c r="L5" s="649"/>
      <c r="M5" s="649"/>
      <c r="N5" s="649"/>
      <c r="O5" s="650"/>
    </row>
    <row r="6" spans="2:15" x14ac:dyDescent="0.2">
      <c r="B6" s="681" t="s">
        <v>63</v>
      </c>
      <c r="C6" s="265">
        <f>IF('Calc (ex-animal)'!F8=1,'Calc (ex-housing, ex-storage)'!C8,0)</f>
        <v>0</v>
      </c>
      <c r="D6" s="611" t="str">
        <f>IF($C$6=0,"",VLOOKUP($C$6,'Calc (ex-animal)'!$D$8:$T$12,6,FALSE))</f>
        <v/>
      </c>
      <c r="E6" s="391" t="str">
        <f>IF($C$6=0,"",VLOOKUP($C$6,'Calc (ex-animal)'!$D$8:$T$12,7,FALSE))</f>
        <v/>
      </c>
      <c r="F6" s="259" t="str">
        <f>IF($C$6=0,"",VLOOKUP($C$6,'Calc (ex-animal)'!$D$8:$T$12,10,FALSE))</f>
        <v/>
      </c>
      <c r="G6" s="259" t="str">
        <f>IF($C$6=0,"",VLOOKUP($C$6,'Calc (ex-animal)'!$D$8:$T$12,13,FALSE))</f>
        <v/>
      </c>
      <c r="H6" s="614" t="str">
        <f>IF($C$6=0,"",VLOOKUP($C$6,'Calc (ex-animal)'!$D$8:$T$12,16,FALSE))</f>
        <v/>
      </c>
      <c r="I6" s="393" t="str">
        <f>IF('Calc (ex-animal)'!$F$8=1,IF('Calc (ex-housing, ex-storage)'!C8="Slurry (Tier1)",VLOOKUP('Calc (ex-housing, ex-storage)'!C8,'Calc (ex-animal)'!$D$8:$E$12,2,FALSE)*'DB technologies'!D11,VLOOKUP('Calc (ex-housing, ex-storage)'!C14,'Calc (ex-animal)'!$D$8:$E$12,2,FALSE)*'DB technologies'!D12),"")</f>
        <v/>
      </c>
      <c r="J6" s="393" t="str">
        <f>IF('Calc (ex-animal)'!$F$8=1,IF('Calc (ex-housing, ex-storage)'!$C$8="Slurry (Tier1)",'DB technologies'!E11,'DB technologies'!E12),"")</f>
        <v/>
      </c>
      <c r="K6" s="261" t="str">
        <f>IF('Calc (ex-animal)'!$F$8=1,IF('Calc (ex-housing, ex-storage)'!$C$8="Slurry (Tier1)",VLOOKUP('Calc (ex-housing, ex-storage)'!$C$8,'Calc (ex-animal)'!$D$8:$E$12,2,FALSE)*'DB technologies'!F11/1000,VLOOKUP('Calc (ex-housing, ex-storage)'!$C$8,'Calc (ex-animal)'!$D$8:$E$12,2,FALSE)*'DB technologies'!F12/1000),"")</f>
        <v/>
      </c>
      <c r="L6" s="261" t="str">
        <f>IF('Calc (ex-animal)'!$F$8=1,IF('Calc (ex-housing, ex-storage)'!$C$8="Slurry (Tier1)",VLOOKUP('Calc (ex-housing, ex-storage)'!$C$8,'Calc (ex-animal)'!$D$8:$E$12,2,FALSE)*'DB technologies'!G11/1000,VLOOKUP('Calc (ex-housing, ex-storage)'!$C$8,'Calc (ex-animal)'!$D$8:$E$12,2,FALSE)*'DB technologies'!G12/1000),"")</f>
        <v/>
      </c>
      <c r="M6" s="261" t="str">
        <f>IF('Calc (ex-animal)'!$F$8=1,IF('Calc (ex-housing, ex-storage)'!$C$8="Slurry (Tier1)",VLOOKUP('Calc (ex-housing, ex-storage)'!$C$8,'Calc (ex-animal)'!$D$8:$E$12,2,FALSE)*'DB technologies'!H11/1000,VLOOKUP('Calc (ex-housing, ex-storage)'!$C$8,'Calc (ex-animal)'!$D$8:$E$12,2,FALSE)*'DB technologies'!H12/1000),"")</f>
        <v/>
      </c>
      <c r="N6" s="261" t="str">
        <f>IF('Calc (ex-animal)'!$F$8=1,IF('Calc (ex-housing, ex-storage)'!$C$8="Slurry (Tier1)",VLOOKUP('Calc (ex-housing, ex-storage)'!$C$8,'Calc (ex-animal)'!$D$8:$E$12,2,FALSE)*'DB technologies'!I11/1000,VLOOKUP('Calc (ex-housing, ex-storage)'!$C$8,'Calc (ex-animal)'!$D$8:$E$12,2,FALSE)*'DB technologies'!I12/1000),"")</f>
        <v/>
      </c>
      <c r="O6" s="262" t="str">
        <f>IF('Calc (ex-animal)'!$F$8=1,IF('Calc (ex-housing, ex-storage)'!$C$8="Slurry (Tier1)",VLOOKUP('Calc (ex-housing, ex-storage)'!$C$8,'Calc (ex-animal)'!$D$8:$E$12,2,FALSE)*'DB technologies'!L11/1000,VLOOKUP('Calc (ex-housing, ex-storage)'!$C$8,'Calc (ex-animal)'!$D$8:$E$12,2,FALSE)*'DB technologies'!L12/1000),"")</f>
        <v/>
      </c>
    </row>
    <row r="7" spans="2:15" ht="12" thickBot="1" x14ac:dyDescent="0.25">
      <c r="B7" s="682"/>
      <c r="C7" s="319">
        <f>IF('Calc (ex-animal)'!F9=1,'Calc (ex-housing, ex-storage)'!C14,0)</f>
        <v>0</v>
      </c>
      <c r="D7" s="612" t="str">
        <f>IF($C$7=0,"",VLOOKUP($C$7,'Calc (ex-animal)'!$D$8:$T$12,6,FALSE))</f>
        <v/>
      </c>
      <c r="E7" s="392" t="str">
        <f>IF($C$7=0,"",VLOOKUP($C$7,'Calc (ex-animal)'!$D$8:$T$12,7,FALSE))</f>
        <v/>
      </c>
      <c r="F7" s="267" t="str">
        <f>IF($C$7=0,"",VLOOKUP($C$7,'Calc (ex-animal)'!$D$8:$T$12,10,FALSE))</f>
        <v/>
      </c>
      <c r="G7" s="267" t="str">
        <f>IF($C$7=0,"",VLOOKUP($C$7,'Calc (ex-animal)'!$D$8:$T$12,13,FALSE))</f>
        <v/>
      </c>
      <c r="H7" s="615" t="str">
        <f>IF($C$7=0,"",VLOOKUP($C$7,'Calc (ex-animal)'!$D$8:$T$12,16,FALSE))</f>
        <v/>
      </c>
      <c r="I7" s="392" t="str">
        <f>IF('Calc (ex-animal)'!$F$9=1,IF('Calc (ex-housing, ex-storage)'!C14="Solid (Tier1)",VLOOKUP('Calc (ex-housing, ex-storage)'!$C$14,'Calc (ex-animal)'!$D$8:$E$11,2,FALSE)*'DB technologies'!D12,VLOOKUP('Calc (ex-housing, ex-storage)'!$C$14,'Calc (ex-animal)'!$D$8:$E$12,2,FALSE)*'DB technologies'!D11),"")</f>
        <v/>
      </c>
      <c r="J7" s="392" t="str">
        <f>IF('Calc (ex-animal)'!$F$9=1,IF('Calc (ex-housing, ex-storage)'!$C$14="Solid (Tier1)",'DB technologies'!E12,'DB technologies'!E11),"")</f>
        <v/>
      </c>
      <c r="K7" s="267" t="str">
        <f>IF('Calc (ex-animal)'!$F$9=1,IF('Calc (ex-housing, ex-storage)'!$C$14="Solid (Tier1)",VLOOKUP('Calc (ex-housing, ex-storage)'!$C$14,'Calc (ex-animal)'!$D$8:$E$11,2,FALSE)*'DB technologies'!F12/1000,VLOOKUP('Calc (ex-housing, ex-storage)'!$C$14,'Calc (ex-animal)'!$D$8:$E$12,2,FALSE)*'DB technologies'!F11/1000),"")</f>
        <v/>
      </c>
      <c r="L7" s="267" t="str">
        <f>IF('Calc (ex-animal)'!$F$9=1,IF('Calc (ex-housing, ex-storage)'!$C$14="Solid (Tier1)",VLOOKUP('Calc (ex-housing, ex-storage)'!$C$14,'Calc (ex-animal)'!$D$8:$E$11,2,FALSE)*'DB technologies'!G12/1000,VLOOKUP('Calc (ex-housing, ex-storage)'!$C$14,'Calc (ex-animal)'!$D$8:$E$12,2,FALSE)*'DB technologies'!G11/1000),"")</f>
        <v/>
      </c>
      <c r="M7" s="267" t="str">
        <f>IF('Calc (ex-animal)'!$F$9=1,IF('Calc (ex-housing, ex-storage)'!$C$14="Solid (Tier1)",VLOOKUP('Calc (ex-housing, ex-storage)'!$C$14,'Calc (ex-animal)'!$D$8:$E$11,2,FALSE)*'DB technologies'!H12/1000,VLOOKUP('Calc (ex-housing, ex-storage)'!$C$14,'Calc (ex-animal)'!$D$8:$E$12,2,FALSE)*'DB technologies'!H11/1000),"")</f>
        <v/>
      </c>
      <c r="N7" s="267" t="str">
        <f>IF('Calc (ex-animal)'!$F$9=1,IF('Calc (ex-housing, ex-storage)'!$C$14="Solid (Tier1)",VLOOKUP('Calc (ex-housing, ex-storage)'!$C$14,'Calc (ex-animal)'!$D$8:$E$11,2,FALSE)*'DB technologies'!I12/1000,VLOOKUP('Calc (ex-housing, ex-storage)'!$C$14,'Calc (ex-animal)'!$D$8:$E$12,2,FALSE)*'DB technologies'!I11/1000),"")</f>
        <v/>
      </c>
      <c r="O7" s="268" t="str">
        <f>IF('Calc (ex-animal)'!$F$9=1,IF('Calc (ex-housing, ex-storage)'!$C$14="Solid (Tier1)",VLOOKUP('Calc (ex-housing, ex-storage)'!$C$14,'Calc (ex-animal)'!$D$8:$E$11,2,FALSE)*'DB technologies'!L12/1000,VLOOKUP('Calc (ex-housing, ex-storage)'!$C$14,'Calc (ex-animal)'!$D$8:$E$12,2,FALSE)*'DB technologies'!L11/1000),"")</f>
        <v/>
      </c>
    </row>
    <row r="8" spans="2:15" x14ac:dyDescent="0.2">
      <c r="B8" s="799" t="s">
        <v>163</v>
      </c>
      <c r="C8" s="318">
        <f>IF('Calc (ex-animal)'!F33=1,'Calc (ex-housing, ex-storage)'!C158,0)</f>
        <v>0</v>
      </c>
      <c r="D8" s="613" t="str">
        <f>IF($C$8=0,"",VLOOKUP($C$8,'Calc (ex-animal)'!$D$33:$T$37,6,FALSE))</f>
        <v/>
      </c>
      <c r="E8" s="393" t="str">
        <f>IF($C$8=0,"",VLOOKUP($C$8,'Calc (ex-animal)'!$D$33:$T$37,7,FALSE))</f>
        <v/>
      </c>
      <c r="F8" s="261" t="str">
        <f>IF($C$8=0,"",VLOOKUP($C$8,'Calc (ex-animal)'!$D$33:$T$37,10,FALSE))</f>
        <v/>
      </c>
      <c r="G8" s="261" t="str">
        <f>IF($C$8=0,"",VLOOKUP($C$8,'Calc (ex-animal)'!$D$33:$T$37,13,FALSE))</f>
        <v/>
      </c>
      <c r="H8" s="616" t="str">
        <f>IF($C$8=0,"",VLOOKUP($C$8,'Calc (ex-animal)'!$D$33:$T$37,16,FALSE))</f>
        <v/>
      </c>
      <c r="I8" s="391" t="str">
        <f>IF('Calc (ex-animal)'!$F$33=1,IF('Calc (ex-housing, ex-storage)'!$C$158="Non dairy cattle, slurry (Tier1)",VLOOKUP('Calc (ex-housing, ex-storage)'!$C$158,'Calc (ex-animal)'!$D$33:$E$37,2,FALSE)*'DB technologies'!D79,VLOOKUP('Calc (ex-housing, ex-storage)'!$C$158,'Calc (ex-animal)'!$D$33:$E$37,2,FALSE)*'DB technologies'!D80),"")</f>
        <v/>
      </c>
      <c r="J8" s="391" t="str">
        <f>IF('Calc (ex-animal)'!$F$33=1,IF('Calc (ex-housing, ex-storage)'!$C$158="Non dairy cattle, slurry (Tier1)",'DB technologies'!E79,'DB technologies'!E80),"")</f>
        <v/>
      </c>
      <c r="K8" s="259" t="str">
        <f>IF('Calc (ex-animal)'!$F$33=1,IF('Calc (ex-housing, ex-storage)'!$C$158="Non dairy cattle, slurry (Tier1)",VLOOKUP('Calc (ex-housing, ex-storage)'!$C$158,'Calc (ex-animal)'!$D$33:$E$37,2,FALSE)*'DB technologies'!E79/1000,VLOOKUP('Calc (ex-housing, ex-storage)'!$C$158,'Calc (ex-animal)'!$D$33:$E$37,2,FALSE)*'DB technologies'!E80/1000),"")</f>
        <v/>
      </c>
      <c r="L8" s="259" t="str">
        <f>IF('Calc (ex-animal)'!$F$33=1,IF('Calc (ex-housing, ex-storage)'!$C$158="Non dairy cattle, slurry (Tier1)",VLOOKUP('Calc (ex-housing, ex-storage)'!$C$158,'Calc (ex-animal)'!$D$33:$E$37,2,FALSE)*'DB technologies'!G79/1000,VLOOKUP('Calc (ex-housing, ex-storage)'!$C$158,'Calc (ex-animal)'!$D$33:$E$37,2,FALSE)*'DB technologies'!G80/1000),"")</f>
        <v/>
      </c>
      <c r="M8" s="259" t="str">
        <f>IF('Calc (ex-animal)'!$F$33=1,IF('Calc (ex-housing, ex-storage)'!$C$158="Non dairy cattle, slurry (Tier1)",VLOOKUP('Calc (ex-housing, ex-storage)'!$C$158,'Calc (ex-animal)'!$D$33:$E$37,2,FALSE)*'DB technologies'!H79/1000,VLOOKUP('Calc (ex-housing, ex-storage)'!$C$158,'Calc (ex-animal)'!$D$33:$E$37,2,FALSE)*'DB technologies'!H80/1000),"")</f>
        <v/>
      </c>
      <c r="N8" s="259" t="str">
        <f>IF('Calc (ex-animal)'!$F$33=1,IF('Calc (ex-housing, ex-storage)'!$C$158="Non dairy cattle, slurry (Tier1)",VLOOKUP('Calc (ex-housing, ex-storage)'!$C$158,'Calc (ex-animal)'!$D$33:$E$37,2,FALSE)*'DB technologies'!I79/1000,VLOOKUP('Calc (ex-housing, ex-storage)'!$C$158,'Calc (ex-animal)'!$D$33:$E$37,2,FALSE)*'DB technologies'!I80/1000),"")</f>
        <v/>
      </c>
      <c r="O8" s="260" t="str">
        <f>IF('Calc (ex-animal)'!$F$33=1,IF('Calc (ex-housing, ex-storage)'!$C$158="Non dairy cattle, slurry (Tier1)",VLOOKUP('Calc (ex-housing, ex-storage)'!$C$158,'Calc (ex-animal)'!$D$33:$E$37,2,FALSE)*'DB technologies'!L79/1000,VLOOKUP('Calc (ex-housing, ex-storage)'!$C$158,'Calc (ex-animal)'!$D$33:$E$37,2,FALSE)*'DB technologies'!L80/1000),"")</f>
        <v/>
      </c>
    </row>
    <row r="9" spans="2:15" ht="12" thickBot="1" x14ac:dyDescent="0.25">
      <c r="B9" s="682"/>
      <c r="C9" s="319">
        <f>IF('Calc (ex-animal)'!F34=1,'Calc (ex-housing, ex-storage)'!C159,0)</f>
        <v>0</v>
      </c>
      <c r="D9" s="612" t="str">
        <f>IF($C$9=0,"",VLOOKUP($C$9,'Calc (ex-animal)'!$D$33:$T$37,6,FALSE))</f>
        <v/>
      </c>
      <c r="E9" s="392" t="str">
        <f>IF($C$9=0,"",VLOOKUP($C$9,'Calc (ex-animal)'!$D$33:$T$37,7,FALSE))</f>
        <v/>
      </c>
      <c r="F9" s="267" t="str">
        <f>IF($C$9=0,"",VLOOKUP($C$9,'Calc (ex-animal)'!$D$33:$T$37,10,FALSE))</f>
        <v/>
      </c>
      <c r="G9" s="267" t="str">
        <f>IF($C$9=0,"",VLOOKUP($C$9,'Calc (ex-animal)'!$D$33:$T$37,13,FALSE))</f>
        <v/>
      </c>
      <c r="H9" s="615" t="str">
        <f>IF($C$9=0,"",VLOOKUP($C$9,'Calc (ex-animal)'!$D$33:$T$37,16,FALSE))</f>
        <v/>
      </c>
      <c r="I9" s="392" t="str">
        <f>IF('Calc (ex-animal)'!$F$34=1,IF('Calc (ex-housing, ex-storage)'!$C$159="Non dairy cattle, solid (Tier1)",VLOOKUP('Calc (ex-housing, ex-storage)'!$C$159,'Calc (ex-animal)'!$D$33:$E$37,2,FALSE)*'DB technologies'!D80,VLOOKUP('Calc (ex-housing, ex-storage)'!$C$159,'Calc (ex-animal)'!$D$33:$E$37,2,FALSE)*'DB technologies'!D79),"")</f>
        <v/>
      </c>
      <c r="J9" s="392" t="str">
        <f>IF('Calc (ex-animal)'!$F$34=1,IF('Calc (ex-housing, ex-storage)'!$C$159="Non dairy cattle, solid (Tier1)",'DB technologies'!E80,'DB technologies'!E79),"")</f>
        <v/>
      </c>
      <c r="K9" s="267" t="str">
        <f>IF('Calc (ex-animal)'!$F$34=1,IF('Calc (ex-housing, ex-storage)'!$C$159="Non dairy cattle, solid (Tier1)",VLOOKUP('Calc (ex-housing, ex-storage)'!$C$159,'Calc (ex-animal)'!$D$33:$E$37,2,FALSE)*'DB technologies'!E80/1000,VLOOKUP('Calc (ex-housing, ex-storage)'!$C$159,'Calc (ex-animal)'!$D$33:$E$37,2,FALSE)*'DB technologies'!E79/1000),"")</f>
        <v/>
      </c>
      <c r="L9" s="267" t="str">
        <f>IF('Calc (ex-animal)'!$F$34=1,IF('Calc (ex-housing, ex-storage)'!$C$159="Non dairy cattle, solid (Tier1)",VLOOKUP('Calc (ex-housing, ex-storage)'!$C$159,'Calc (ex-animal)'!$D$33:$E$37,2,FALSE)*'DB technologies'!G80/1000,VLOOKUP('Calc (ex-housing, ex-storage)'!$C$159,'Calc (ex-animal)'!$D$33:$E$37,2,FALSE)*'DB technologies'!G79/1000),"")</f>
        <v/>
      </c>
      <c r="M9" s="267" t="str">
        <f>IF('Calc (ex-animal)'!$F$34=1,IF('Calc (ex-housing, ex-storage)'!$C$159="Non dairy cattle, solid (Tier1)",VLOOKUP('Calc (ex-housing, ex-storage)'!$C$159,'Calc (ex-animal)'!$D$33:$E$37,2,FALSE)*'DB technologies'!H80/1000,VLOOKUP('Calc (ex-housing, ex-storage)'!$C$159,'Calc (ex-animal)'!$D$33:$E$37,2,FALSE)*'DB technologies'!H79/1000),"")</f>
        <v/>
      </c>
      <c r="N9" s="267" t="str">
        <f>IF('Calc (ex-animal)'!$F$34=1,IF('Calc (ex-housing, ex-storage)'!$C$159="Non dairy cattle, solid (Tier1)",VLOOKUP('Calc (ex-housing, ex-storage)'!$C$159,'Calc (ex-animal)'!$D$33:$E$37,2,FALSE)*'DB technologies'!I80/1000,VLOOKUP('Calc (ex-housing, ex-storage)'!$C$159,'Calc (ex-animal)'!$D$33:$E$37,2,FALSE)*'DB technologies'!I79/1000),"")</f>
        <v/>
      </c>
      <c r="O9" s="268" t="str">
        <f>IF('Calc (ex-animal)'!$F$34=1,IF('Calc (ex-housing, ex-storage)'!$C$159="Non dairy cattle, solid (Tier1)",VLOOKUP('Calc (ex-housing, ex-storage)'!$C$159,'Calc (ex-animal)'!$D$33:$E$37,2,FALSE)*'DB technologies'!L80/1000,VLOOKUP('Calc (ex-housing, ex-storage)'!$C$159,'Calc (ex-animal)'!$D$33:$E$37,2,FALSE)*'DB technologies'!L79/1000),"")</f>
        <v/>
      </c>
    </row>
    <row r="10" spans="2:15" x14ac:dyDescent="0.2">
      <c r="B10" s="799" t="s">
        <v>32</v>
      </c>
      <c r="C10" s="318">
        <f>IF('Calc (ex-animal)'!F38=1,'Calc (ex-housing, ex-storage)'!C160,0)</f>
        <v>0</v>
      </c>
      <c r="D10" s="613" t="str">
        <f>IF($C$10=0,"",VLOOKUP($C$10,'Calc (ex-animal)'!$D$38:$T$42,6,FALSE))</f>
        <v/>
      </c>
      <c r="E10" s="393" t="str">
        <f>IF($C$10=0,"",VLOOKUP($C$10,'Calc (ex-animal)'!$D$38:$T$42,7,FALSE))</f>
        <v/>
      </c>
      <c r="F10" s="261" t="str">
        <f>IF($C$10=0,"",VLOOKUP($C$10,'Calc (ex-animal)'!$D$38:$T$42,10,FALSE))</f>
        <v/>
      </c>
      <c r="G10" s="261" t="str">
        <f>IF($C$10=0,"",VLOOKUP($C$10,'Calc (ex-animal)'!$D$38:$T$42,13,FALSE))</f>
        <v/>
      </c>
      <c r="H10" s="616" t="str">
        <f>IF($C$10=0,"",VLOOKUP($C$10,'Calc (ex-animal)'!$D$38:$T$42,16,FALSE))</f>
        <v/>
      </c>
      <c r="I10" s="391" t="str">
        <f>IF('Calc (ex-animal)'!$F$38=1,IF('Calc (ex-housing, ex-storage)'!$C$160="Slurry (Tier1)",VLOOKUP('Calc (ex-housing, ex-storage)'!$C$160,'Calc (ex-animal)'!$D$38:$E$42,2,FALSE)*'DB technologies'!D82,IF(C10="Outdoor (Tier1)",VLOOKUP('DB technologies'!C84,'Calc (ex-animal)'!$D$38:$E$42,2,FALSE)*'DB technologies'!D84,VLOOKUP('Calc (ex-housing, ex-storage)'!$C$160,'Calc (ex-animal)'!$D$38:$E$42,2,FALSE)*'DB technologies'!D83)),"")</f>
        <v/>
      </c>
      <c r="J10" s="391" t="str">
        <f>IF('Calc (ex-animal)'!$F$38=1,IF('Calc (ex-housing, ex-storage)'!$C$160="Slurry (Tier1)",'DB technologies'!E82,IF(C10="Outdoor (Tier1)",'DB technologies'!E84,'DB technologies'!E83)),"")</f>
        <v/>
      </c>
      <c r="K10" s="259" t="str">
        <f>IF('Calc (ex-animal)'!$F$38=1,IF('Calc (ex-housing, ex-storage)'!$C$160="Slurry (Tier1)",VLOOKUP('Calc (ex-housing, ex-storage)'!$C$160,'Calc (ex-animal)'!$D$38:$E$42,2,FALSE)*'DB technologies'!F82/1000,IF(C10="Outdoor (Tier1)",VLOOKUP('DB technologies'!C84,'Calc (ex-animal)'!$D$38:$E$42,2,FALSE)*'DB technologies'!F84/1000,VLOOKUP('Calc (ex-housing, ex-storage)'!$C$160,'Calc (ex-animal)'!$D$38:$E$42,2,FALSE)*'DB technologies'!F83/1000)),"")</f>
        <v/>
      </c>
      <c r="L10" s="259" t="str">
        <f>IF('Calc (ex-animal)'!$F$38=1,IF('Calc (ex-housing, ex-storage)'!$C$160="Slurry (Tier1)",VLOOKUP('Calc (ex-housing, ex-storage)'!$C$160,'Calc (ex-animal)'!$D$38:$E$42,2,FALSE)*'DB technologies'!G82/1000,IF(C10="Outdoor (Tier1)",VLOOKUP('DB technologies'!C84,'Calc (ex-animal)'!$D$38:$E$42,2,FALSE)*'DB technologies'!G84/1000,VLOOKUP('Calc (ex-housing, ex-storage)'!$C$160,'Calc (ex-animal)'!$D$38:$E$42,2,FALSE)*'DB technologies'!G83/1000)),"")</f>
        <v/>
      </c>
      <c r="M10" s="259" t="str">
        <f>IF('Calc (ex-animal)'!$F$38=1,IF('Calc (ex-housing, ex-storage)'!$C$160="Slurry (Tier1)",VLOOKUP('Calc (ex-housing, ex-storage)'!$C$160,'Calc (ex-animal)'!$D$38:$E$42,2,FALSE)*'DB technologies'!H82/1000,IF(C10="Outdoor (Tier1)",VLOOKUP('DB technologies'!C84,'Calc (ex-animal)'!$D$38:$E$42,2,FALSE)*'DB technologies'!H84/1000,VLOOKUP('Calc (ex-housing, ex-storage)'!$C$160,'Calc (ex-animal)'!$D$38:$E$42,2,FALSE)*'DB technologies'!H83/1000)),"")</f>
        <v/>
      </c>
      <c r="N10" s="259" t="str">
        <f>IF('Calc (ex-animal)'!$F$38=1,IF('Calc (ex-housing, ex-storage)'!$C$160="Slurry (Tier1)",VLOOKUP('Calc (ex-housing, ex-storage)'!$C$160,'Calc (ex-animal)'!$D$38:$E$42,2,FALSE)*'DB technologies'!I82/1000,IF(C10="Outdoor (Tier1)",VLOOKUP('DB technologies'!C84,'Calc (ex-animal)'!$D$38:$E$42,2,FALSE)*'DB technologies'!I84/1000,VLOOKUP('Calc (ex-housing, ex-storage)'!$C$160,'Calc (ex-animal)'!$D$38:$E$42,2,FALSE)*'DB technologies'!I83/1000)),"")</f>
        <v/>
      </c>
      <c r="O10" s="260" t="str">
        <f>IF('Calc (ex-animal)'!$F$38=1,IF('Calc (ex-housing, ex-storage)'!$C$160="Slurry (Tier1)",VLOOKUP('Calc (ex-housing, ex-storage)'!$C$160,'Calc (ex-animal)'!$D$38:$E$42,2,FALSE)*'DB technologies'!L82/1000,IF(C10="Outdoor (Tier1)",VLOOKUP('DB technologies'!C84,'Calc (ex-animal)'!$D$38:$E$42,2,FALSE)*'DB technologies'!L84/1000,VLOOKUP('Calc (ex-housing, ex-storage)'!$C$160,'Calc (ex-animal)'!$D$38:$E$42,2,FALSE)*'DB technologies'!L83/1000)),"")</f>
        <v/>
      </c>
    </row>
    <row r="11" spans="2:15" x14ac:dyDescent="0.2">
      <c r="B11" s="681"/>
      <c r="C11" s="265">
        <f>IF('Calc (ex-animal)'!F39=1,'Calc (ex-housing, ex-storage)'!C171,0)</f>
        <v>0</v>
      </c>
      <c r="D11" s="613" t="str">
        <f>IF($C$11=0,"",VLOOKUP($C$11,'Calc (ex-animal)'!$D$38:$T$42,6,FALSE))</f>
        <v/>
      </c>
      <c r="E11" s="393" t="str">
        <f>IF($C$11=0,"",VLOOKUP($C$11,'Calc (ex-animal)'!$D$38:$T$42,7,FALSE))</f>
        <v/>
      </c>
      <c r="F11" s="261" t="str">
        <f>IF($C$11=0,"",VLOOKUP($C$11,'Calc (ex-animal)'!$D$38:$T$42,10,FALSE))</f>
        <v/>
      </c>
      <c r="G11" s="261" t="str">
        <f>IF($C$11=0,"",VLOOKUP($C$11,'Calc (ex-animal)'!$D$38:$T$42,13,FALSE))</f>
        <v/>
      </c>
      <c r="H11" s="616" t="str">
        <f>IF($C$11=0,"",VLOOKUP($C$11,'Calc (ex-animal)'!$D$38:$T$42,16,FALSE))</f>
        <v/>
      </c>
      <c r="I11" s="393" t="str">
        <f>IF('Calc (ex-animal)'!$F$39=1,IF('Calc (ex-housing, ex-storage)'!$C$171="Solid (Tier1)",VLOOKUP('Calc (ex-housing, ex-storage)'!$C$171,'Calc (ex-animal)'!$D$38:$E$42,2,FALSE)*'DB technologies'!D83,IF(C11="Outdoor (Tier1)",VLOOKUP('DB technologies'!C84,'Calc (ex-animal)'!$D$38:$E$42,2,FALSE)*'DB technologies'!D84,VLOOKUP('Calc (ex-housing, ex-storage)'!$C$171,'Calc (ex-animal)'!$D$38:$E$42,2,FALSE)*'DB technologies'!D82)),"")</f>
        <v/>
      </c>
      <c r="J11" s="393" t="str">
        <f>IF('Calc (ex-animal)'!$F$39=1,IF('Calc (ex-housing, ex-storage)'!$C$171="Solid (Tier1)",'DB technologies'!E83,IF(C11="Outdoor (Tier1)",'DB technologies'!E84,'DB technologies'!E82)),"")</f>
        <v/>
      </c>
      <c r="K11" s="261" t="str">
        <f>IF('Calc (ex-animal)'!$F$39=1,IF('Calc (ex-housing, ex-storage)'!$C$171="Solid (Tier1)",VLOOKUP('Calc (ex-housing, ex-storage)'!$C$171,'Calc (ex-animal)'!$D$38:$E$42,2,FALSE)*'DB technologies'!F83/1000,IF(C11="Outdoor (Tier1)",VLOOKUP('DB technologies'!C84,'Calc (ex-animal)'!$D$38:$E$42,2,FALSE)*'DB technologies'!F84/1000,VLOOKUP('Calc (ex-housing, ex-storage)'!$C$171,'Calc (ex-animal)'!$D$38:$E$42,2,FALSE)*'DB technologies'!F82/1000)),"")</f>
        <v/>
      </c>
      <c r="L11" s="261" t="str">
        <f>IF('Calc (ex-animal)'!$F$39=1,IF('Calc (ex-housing, ex-storage)'!$C$171="Solid (Tier1)",VLOOKUP('Calc (ex-housing, ex-storage)'!$C$171,'Calc (ex-animal)'!$D$38:$E$42,2,FALSE)*'DB technologies'!G83/1000,IF(C11="Outdoor (Tier1)",VLOOKUP('DB technologies'!C84,'Calc (ex-animal)'!$D$38:$E$42,2,FALSE)*'DB technologies'!G84/1000,VLOOKUP('Calc (ex-housing, ex-storage)'!$C$171,'Calc (ex-animal)'!$D$38:$E$42,2,FALSE)*'DB technologies'!G82/1000)),"")</f>
        <v/>
      </c>
      <c r="M11" s="261" t="str">
        <f>IF('Calc (ex-animal)'!$F$39=1,IF('Calc (ex-housing, ex-storage)'!$C$171="Solid (Tier1)",VLOOKUP('Calc (ex-housing, ex-storage)'!$C$171,'Calc (ex-animal)'!$D$38:$E$42,2,FALSE)*'DB technologies'!H83/1000,IF(C11="Outdoor (Tier1)",VLOOKUP('DB technologies'!C84,'Calc (ex-animal)'!$D$38:$E$42,2,FALSE)*'DB technologies'!H84/1000,VLOOKUP('Calc (ex-housing, ex-storage)'!$C$171,'Calc (ex-animal)'!$D$38:$E$42,2,FALSE)*'DB technologies'!H82/1000)),"")</f>
        <v/>
      </c>
      <c r="N11" s="261" t="str">
        <f>IF('Calc (ex-animal)'!$F$39=1,IF('Calc (ex-housing, ex-storage)'!$C$171="Solid (Tier1)",VLOOKUP('Calc (ex-housing, ex-storage)'!$C$171,'Calc (ex-animal)'!$D$38:$E$42,2,FALSE)*'DB technologies'!I83/1000,IF(C11="Outdoor (Tier1)",VLOOKUP('DB technologies'!C84,'Calc (ex-animal)'!$D$38:$E$42,2,FALSE)*'DB technologies'!I84/1000,VLOOKUP('Calc (ex-housing, ex-storage)'!$C$171,'Calc (ex-animal)'!$D$38:$E$42,2,FALSE)*'DB technologies'!I82/1000)),"")</f>
        <v/>
      </c>
      <c r="O11" s="262" t="str">
        <f>IF('Calc (ex-animal)'!$F$39=1,IF('Calc (ex-housing, ex-storage)'!$C$171="Solid (Tier1)",VLOOKUP('Calc (ex-housing, ex-storage)'!$C$171,'Calc (ex-animal)'!$D$38:$E$42,2,FALSE)*'DB technologies'!L83/1000,IF(C11="Outdoor (Tier1)",VLOOKUP('DB technologies'!C84,'Calc (ex-animal)'!$D$38:$E$42,2,FALSE)*'DB technologies'!L84/1000,VLOOKUP('Calc (ex-housing, ex-storage)'!$C$171,'Calc (ex-animal)'!$D$38:$E$42,2,FALSE)*'DB technologies'!L82/1000)),"")</f>
        <v/>
      </c>
    </row>
    <row r="12" spans="2:15" ht="12" thickBot="1" x14ac:dyDescent="0.25">
      <c r="B12" s="682"/>
      <c r="C12" s="319">
        <f>IF('Calc (ex-animal)'!F40=1,'Calc (ex-housing, ex-storage)'!C182,0)</f>
        <v>0</v>
      </c>
      <c r="D12" s="612" t="str">
        <f>IF($C$12=0,"",VLOOKUP($C$12,'Calc (ex-animal)'!$D$38:$T$42,6,FALSE))</f>
        <v/>
      </c>
      <c r="E12" s="392" t="str">
        <f>IF($C$12=0,"",VLOOKUP($C$12,'Calc (ex-animal)'!$D$38:$T$42,7,FALSE))</f>
        <v/>
      </c>
      <c r="F12" s="267" t="str">
        <f>IF($C$12=0,"",VLOOKUP($C$12,'Calc (ex-animal)'!$D$38:$T$42,10,FALSE))</f>
        <v/>
      </c>
      <c r="G12" s="267" t="str">
        <f>IF($C$12=0,"",VLOOKUP($C$12,'Calc (ex-animal)'!$D$38:$T$42,13,FALSE))</f>
        <v/>
      </c>
      <c r="H12" s="615" t="str">
        <f>IF($C$12=0,"",VLOOKUP($C$12,'Calc (ex-animal)'!$D$38:$T$42,16,FALSE))</f>
        <v/>
      </c>
      <c r="I12" s="392" t="str">
        <f>IF('Calc (ex-animal)'!$F$40=1,IF('Calc (ex-housing, ex-storage)'!$C$182="Outdoor (Tier1)",VLOOKUP('Calc (ex-housing, ex-storage)'!$C$182,'Calc (ex-animal)'!$D$38:$E$42,2,FALSE)*'DB technologies'!D84,IF(C12="Slurry (Tier1)",VLOOKUP('DB technologies'!C82,'Calc (ex-animal)'!$D$38:$E$42,2,FALSE)*'DB technologies'!D82,VLOOKUP('Calc (ex-housing, ex-storage)'!$C$182,'Calc (ex-animal)'!$D$38:$E$42,2,FALSE)*'DB technologies'!D83)),"")</f>
        <v/>
      </c>
      <c r="J12" s="392" t="str">
        <f>IF('Calc (ex-animal)'!$F$40=1,IF('Calc (ex-housing, ex-storage)'!$C$182="Outdoor (Tier1)",'DB technologies'!E84,IF(C12="Slurry (Tier1)",'DB technologies'!E82,'DB technologies'!E83)),"")</f>
        <v/>
      </c>
      <c r="K12" s="267" t="str">
        <f>IF('Calc (ex-animal)'!$F$40=1,IF('Calc (ex-housing, ex-storage)'!$C$182="Outdoor (Tier1)",VLOOKUP('Calc (ex-housing, ex-storage)'!$C$182,'Calc (ex-animal)'!$D$38:$E$42,2,FALSE)*'DB technologies'!F84/1000,IF(C12="Slurry (Tier1)",VLOOKUP('DB technologies'!C82,'Calc (ex-animal)'!$D$38:$E$42,2,FALSE)*'DB technologies'!F82/1000,VLOOKUP('Calc (ex-housing, ex-storage)'!$C$182,'Calc (ex-animal)'!$D$38:$E$42,2,FALSE)*'DB technologies'!F83/1000)),"")</f>
        <v/>
      </c>
      <c r="L12" s="267" t="str">
        <f>IF('Calc (ex-animal)'!$F$40=1,IF('Calc (ex-housing, ex-storage)'!$C$182="Outdoor (Tier1)",VLOOKUP('Calc (ex-housing, ex-storage)'!$C$182,'Calc (ex-animal)'!$D$38:$E$42,2,FALSE)*'DB technologies'!G84/1000,IF(C12="Slurry (Tier1)",VLOOKUP('DB technologies'!C82,'Calc (ex-animal)'!$D$38:$E$42,2,FALSE)*'DB technologies'!G82/1000,VLOOKUP('Calc (ex-housing, ex-storage)'!$C$182,'Calc (ex-animal)'!$D$38:$E$42,2,FALSE)*'DB technologies'!G83/1000)),"")</f>
        <v/>
      </c>
      <c r="M12" s="267" t="str">
        <f>IF('Calc (ex-animal)'!$F$40=1,IF('Calc (ex-housing, ex-storage)'!$C$182="Outdoor (Tier1)",VLOOKUP('Calc (ex-housing, ex-storage)'!$C$182,'Calc (ex-animal)'!$D$38:$E$42,2,FALSE)*'DB technologies'!H84/1000,IF(C12="Slurry (Tier1)",VLOOKUP('DB technologies'!C82,'Calc (ex-animal)'!$D$38:$E$42,2,FALSE)*'DB technologies'!H82/1000,VLOOKUP('Calc (ex-housing, ex-storage)'!$C$182,'Calc (ex-animal)'!$D$38:$E$42,2,FALSE)*'DB technologies'!H83/1000)),"")</f>
        <v/>
      </c>
      <c r="N12" s="267" t="str">
        <f>IF('Calc (ex-animal)'!$F$40=1,IF('Calc (ex-housing, ex-storage)'!$C$182="Outdoor (Tier1)",VLOOKUP('Calc (ex-housing, ex-storage)'!$C$182,'Calc (ex-animal)'!$D$38:$E$42,2,FALSE)*'DB technologies'!I84/1000,IF(C12="Slurry (Tier1)",VLOOKUP('DB technologies'!C82,'Calc (ex-animal)'!$D$38:$E$42,2,FALSE)*'DB technologies'!I82/1000,VLOOKUP('Calc (ex-housing, ex-storage)'!$C$182,'Calc (ex-animal)'!$D$38:$E$42,2,FALSE)*'DB technologies'!I83/1000)),"")</f>
        <v/>
      </c>
      <c r="O12" s="268" t="str">
        <f>IF('Calc (ex-animal)'!$F$40=1,IF('Calc (ex-housing, ex-storage)'!$C$182="Outdoor (Tier1)",VLOOKUP('Calc (ex-housing, ex-storage)'!$C$182,'Calc (ex-animal)'!$D$38:$E$42,2,FALSE)*'DB technologies'!L84/1000,IF(C12="Slurry (Tier1)",VLOOKUP('DB technologies'!C82,'Calc (ex-animal)'!$D$38:$E$42,2,FALSE)*'DB technologies'!L82/1000,VLOOKUP('Calc (ex-housing, ex-storage)'!$C$182,'Calc (ex-animal)'!$D$38:$E$42,2,FALSE)*'DB technologies'!L83/1000)),"")</f>
        <v/>
      </c>
    </row>
    <row r="13" spans="2:15" x14ac:dyDescent="0.2">
      <c r="B13" s="799" t="s">
        <v>75</v>
      </c>
      <c r="C13" s="318">
        <f>IF('Calc (ex-animal)'!F53=1,'Calc (ex-housing, ex-storage)'!C275,0)</f>
        <v>0</v>
      </c>
      <c r="D13" s="613" t="str">
        <f>IF($C$13=0,"",VLOOKUP($C$13,'Calc (ex-animal)'!$D$53:$T$57,6,FALSE))</f>
        <v/>
      </c>
      <c r="E13" s="393" t="str">
        <f>IF($C$13=0,"",VLOOKUP($C$13,'Calc (ex-animal)'!$D$53:$T$57,7,FALSE))</f>
        <v/>
      </c>
      <c r="F13" s="261" t="str">
        <f>IF($C$13=0,"",VLOOKUP($C$13,'Calc (ex-animal)'!$D$53:$T$57,10,FALSE))</f>
        <v/>
      </c>
      <c r="G13" s="261" t="str">
        <f>IF($C$13=0,"",VLOOKUP($C$13,'Calc (ex-animal)'!$D$53:$T$57,13,FALSE))</f>
        <v/>
      </c>
      <c r="H13" s="616" t="str">
        <f>IF($C$13=0,"",VLOOKUP($C$13,'Calc (ex-animal)'!$D$53:$T$57,16,FALSE))</f>
        <v/>
      </c>
      <c r="I13" s="391" t="str">
        <f>IF('Calc (ex-animal)'!$F$53=1,IF('Calc (ex-housing, ex-storage)'!$C$275="Fattening pigs, slurry (Tier1)",VLOOKUP('Calc (ex-housing, ex-storage)'!$C$275,'Calc (ex-animal)'!$D$53:$E$57,2,FALSE)*'DB technologies'!D135,VLOOKUP('Calc (ex-housing, ex-storage)'!$C$275,'Calc (ex-animal)'!$D$53:$E$57,2,FALSE)*'DB technologies'!D136),"")</f>
        <v/>
      </c>
      <c r="J13" s="391" t="str">
        <f>IF('Calc (ex-animal)'!$F$53=1,IF('Calc (ex-housing, ex-storage)'!$C$275="Fattening pigs, slurry (Tier1)",'DB technologies'!E135,'DB technologies'!E136),"")</f>
        <v/>
      </c>
      <c r="K13" s="259" t="str">
        <f>IF('Calc (ex-animal)'!$F$53=1,IF('Calc (ex-housing, ex-storage)'!$C$275="Fattening pigs, slurry (Tier1)",VLOOKUP('Calc (ex-housing, ex-storage)'!$C$275,'Calc (ex-animal)'!$D$53:$E$57,2,FALSE)*'DB technologies'!F135/1000,VLOOKUP('Calc (ex-housing, ex-storage)'!$C$275,'Calc (ex-animal)'!$D$53:$E$57,2,FALSE)*'DB technologies'!F136/1000),"")</f>
        <v/>
      </c>
      <c r="L13" s="259" t="str">
        <f>IF('Calc (ex-animal)'!$F$53=1,IF('Calc (ex-housing, ex-storage)'!$C$275="Fattening pigs, slurry (Tier1)",VLOOKUP('Calc (ex-housing, ex-storage)'!$C$275,'Calc (ex-animal)'!$D$53:$E$57,2,FALSE)*'DB technologies'!G135/1000,VLOOKUP('Calc (ex-housing, ex-storage)'!$C$275,'Calc (ex-animal)'!$D$53:$E$57,2,FALSE)*'DB technologies'!G136/1000),"")</f>
        <v/>
      </c>
      <c r="M13" s="259" t="str">
        <f>IF('Calc (ex-animal)'!$F$53=1,IF('Calc (ex-housing, ex-storage)'!$C$275="Fattening pigs, slurry (Tier1)",VLOOKUP('Calc (ex-housing, ex-storage)'!$C$275,'Calc (ex-animal)'!$D$53:$E$57,2,FALSE)*'DB technologies'!H135/1000,VLOOKUP('Calc (ex-housing, ex-storage)'!$C$275,'Calc (ex-animal)'!$D$53:$E$57,2,FALSE)*'DB technologies'!H136/1000),"")</f>
        <v/>
      </c>
      <c r="N13" s="259" t="str">
        <f>IF('Calc (ex-animal)'!$F$53=1,IF('Calc (ex-housing, ex-storage)'!$C$275="Fattening pigs, slurry (Tier1)",VLOOKUP('Calc (ex-housing, ex-storage)'!$C$275,'Calc (ex-animal)'!$D$53:$E$57,2,FALSE)*'DB technologies'!I135/1000,VLOOKUP('Calc (ex-housing, ex-storage)'!$C$275,'Calc (ex-animal)'!$D$53:$E$57,2,FALSE)*'DB technologies'!I136/1000),"")</f>
        <v/>
      </c>
      <c r="O13" s="260" t="str">
        <f>IF('Calc (ex-animal)'!$F$53=1,IF('Calc (ex-housing, ex-storage)'!$C$275="Fattening pigs, slurry (Tier1)",VLOOKUP('Calc (ex-housing, ex-storage)'!$C$275,'Calc (ex-animal)'!$D$53:$E$57,2,FALSE)*'DB technologies'!L135/1000,VLOOKUP('Calc (ex-housing, ex-storage)'!$C$275,'Calc (ex-animal)'!$D$53:$E$57,2,FALSE)*'DB technologies'!L136/1000),"")</f>
        <v/>
      </c>
    </row>
    <row r="14" spans="2:15" ht="12" thickBot="1" x14ac:dyDescent="0.25">
      <c r="B14" s="682"/>
      <c r="C14" s="319">
        <f>IF('Calc (ex-animal)'!F54=1,'Calc (ex-housing, ex-storage)'!C276,0)</f>
        <v>0</v>
      </c>
      <c r="D14" s="612" t="str">
        <f>IF($C$14=0,"",VLOOKUP($C$14,'Calc (ex-animal)'!$D$53:$T$57,6,FALSE))</f>
        <v/>
      </c>
      <c r="E14" s="392" t="str">
        <f>IF($C$14=0,"",VLOOKUP($C$14,'Calc (ex-animal)'!$D$53:$T$57,7,FALSE))</f>
        <v/>
      </c>
      <c r="F14" s="267" t="str">
        <f>IF($C$14=0,"",VLOOKUP($C$14,'Calc (ex-animal)'!$D$53:$T$57,10,FALSE))</f>
        <v/>
      </c>
      <c r="G14" s="267" t="str">
        <f>IF($C$14=0,"",VLOOKUP($C$14,'Calc (ex-animal)'!$D$53:$T$57,13,FALSE))</f>
        <v/>
      </c>
      <c r="H14" s="615" t="str">
        <f>IF($C$14=0,"",VLOOKUP($C$14,'Calc (ex-animal)'!$D$53:$T$57,16,FALSE))</f>
        <v/>
      </c>
      <c r="I14" s="392" t="str">
        <f>IF('Calc (ex-animal)'!$F$54=1,IF('Calc (ex-housing, ex-storage)'!$C$276="Fattening pigs, solid (Tier1)",VLOOKUP('Calc (ex-housing, ex-storage)'!$C$276,'Calc (ex-animal)'!$D$53:$E$57,2,FALSE)*'DB technologies'!D136,VLOOKUP('Calc (ex-housing, ex-storage)'!$C$276,'Calc (ex-animal)'!$D$53:$E$57,2,FALSE)*'DB technologies'!D135),"")</f>
        <v/>
      </c>
      <c r="J14" s="392" t="str">
        <f>IF('Calc (ex-animal)'!$F$54=1,IF('Calc (ex-housing, ex-storage)'!$C$276="Fattening pigs, solid (Tier1)",'DB technologies'!E136,'DB technologies'!E135),"")</f>
        <v/>
      </c>
      <c r="K14" s="267" t="str">
        <f>IF('Calc (ex-animal)'!$F$54=1,IF('Calc (ex-housing, ex-storage)'!$C$276="Fattening pigs, solid (Tier1)",VLOOKUP('Calc (ex-housing, ex-storage)'!$C$276,'Calc (ex-animal)'!$D$53:$E$57,2,FALSE)*'DB technologies'!F136/1000,VLOOKUP('Calc (ex-housing, ex-storage)'!$C$276,'Calc (ex-animal)'!$D$53:$E$57,2,FALSE)*'DB technologies'!F135/1000),"")</f>
        <v/>
      </c>
      <c r="L14" s="267" t="str">
        <f>IF('Calc (ex-animal)'!$F$54=1,IF('Calc (ex-housing, ex-storage)'!$C$276="Fattening pigs, solid (Tier1)",VLOOKUP('Calc (ex-housing, ex-storage)'!$C$276,'Calc (ex-animal)'!$D$53:$E$57,2,FALSE)*'DB technologies'!G136/1000,VLOOKUP('Calc (ex-housing, ex-storage)'!$C$276,'Calc (ex-animal)'!$D$53:$E$57,2,FALSE)*'DB technologies'!G135/1000),"")</f>
        <v/>
      </c>
      <c r="M14" s="267" t="str">
        <f>IF('Calc (ex-animal)'!$F$54=1,IF('Calc (ex-housing, ex-storage)'!$C$276="Fattening pigs, solid (Tier1)",VLOOKUP('Calc (ex-housing, ex-storage)'!$C$276,'Calc (ex-animal)'!$D$53:$E$57,2,FALSE)*'DB technologies'!H136/1000,VLOOKUP('Calc (ex-housing, ex-storage)'!$C$276,'Calc (ex-animal)'!$D$53:$E$57,2,FALSE)*'DB technologies'!H135/1000),"")</f>
        <v/>
      </c>
      <c r="N14" s="267" t="str">
        <f>IF('Calc (ex-animal)'!$F$54=1,IF('Calc (ex-housing, ex-storage)'!$C$276="Fattening pigs, solid (Tier1)",VLOOKUP('Calc (ex-housing, ex-storage)'!$C$276,'Calc (ex-animal)'!$D$53:$E$57,2,FALSE)*'DB technologies'!I136/1000,VLOOKUP('Calc (ex-housing, ex-storage)'!$C$276,'Calc (ex-animal)'!$D$53:$E$57,2,FALSE)*'DB technologies'!I135/1000),"")</f>
        <v/>
      </c>
      <c r="O14" s="268" t="str">
        <f>IF('Calc (ex-animal)'!$F$54=1,IF('Calc (ex-housing, ex-storage)'!$C$276="Fattening pigs, solid (Tier1)",VLOOKUP('Calc (ex-housing, ex-storage)'!$C$276,'Calc (ex-animal)'!$D$53:$E$57,2,FALSE)*'DB technologies'!L136/1000,VLOOKUP('Calc (ex-housing, ex-storage)'!$C$276,'Calc (ex-animal)'!$D$53:$E$57,2,FALSE)*'DB technologies'!L135/1000),"")</f>
        <v/>
      </c>
    </row>
    <row r="15" spans="2:15" x14ac:dyDescent="0.2">
      <c r="B15" s="799" t="s">
        <v>179</v>
      </c>
      <c r="C15" s="318">
        <f>IF('Calc (ex-animal)'!F58=1,'Calc (ex-housing, ex-storage)'!C277,0)</f>
        <v>0</v>
      </c>
      <c r="D15" s="613" t="str">
        <f>IF($C$15=0,"",VLOOKUP($C$15,'Calc (ex-animal)'!$D$58:$T$62,6,FALSE))</f>
        <v/>
      </c>
      <c r="E15" s="393" t="str">
        <f>IF($C$15=0,"",VLOOKUP($C$15,'Calc (ex-animal)'!$D$58:$T$62,7,FALSE))</f>
        <v/>
      </c>
      <c r="F15" s="261" t="str">
        <f>IF($C$15=0,"",VLOOKUP($C$15,'Calc (ex-animal)'!$D$58:$T$62,10,FALSE))</f>
        <v/>
      </c>
      <c r="G15" s="261" t="str">
        <f>IF($C$15=0,"",VLOOKUP($C$15,'Calc (ex-animal)'!$D$58:$T$62,13,FALSE))</f>
        <v/>
      </c>
      <c r="H15" s="616" t="str">
        <f>IF($C$15=0,"",VLOOKUP($C$15,'Calc (ex-animal)'!$D$58:$T$62,16,FALSE))</f>
        <v/>
      </c>
      <c r="I15" s="391" t="str">
        <f>IF('Calc (ex-animal)'!$F$58=1,IF('Calc (ex-housing, ex-storage)'!$C$277="Laying hens and parents, slurry (Tier1)",VLOOKUP('Calc (ex-housing, ex-storage)'!$C$277,'Calc (ex-animal)'!$D$58:$E$62,2,FALSE)*'DB technologies'!D138,VLOOKUP('Calc (ex-housing, ex-storage)'!$C$277,'Calc (ex-animal)'!$D$58:$E$62,2,FALSE)*'DB technologies'!D139),"")</f>
        <v/>
      </c>
      <c r="J15" s="391" t="str">
        <f>IF('Calc (ex-animal)'!$F$58=1,IF('Calc (ex-housing, ex-storage)'!$C$277="Laying hens and parents, slurry (Tier1)",'DB technologies'!E138,'DB technologies'!E139),"")</f>
        <v/>
      </c>
      <c r="K15" s="259" t="str">
        <f>IF('Calc (ex-animal)'!$F$58=1,IF('Calc (ex-housing, ex-storage)'!$C$277="Laying hens and parents, slurry (Tier1)",VLOOKUP('Calc (ex-housing, ex-storage)'!$C$277,'Calc (ex-animal)'!$D$58:$E$62,2,FALSE)*'DB technologies'!F138/1000,VLOOKUP('Calc (ex-housing, ex-storage)'!$C$277,'Calc (ex-animal)'!$D$58:$E$62,2,FALSE)*'DB technologies'!F139/1000),"")</f>
        <v/>
      </c>
      <c r="L15" s="259" t="str">
        <f>IF('Calc (ex-animal)'!$F$58=1,IF('Calc (ex-housing, ex-storage)'!$C$277="Laying hens and parents, slurry (Tier1)",VLOOKUP('Calc (ex-housing, ex-storage)'!$C$277,'Calc (ex-animal)'!$D$58:$E$62,2,FALSE)*'DB technologies'!G138/1000,VLOOKUP('Calc (ex-housing, ex-storage)'!$C$277,'Calc (ex-animal)'!$D$58:$E$62,2,FALSE)*'DB technologies'!G139/1000),"")</f>
        <v/>
      </c>
      <c r="M15" s="259" t="str">
        <f>IF('Calc (ex-animal)'!$F$58=1,IF('Calc (ex-housing, ex-storage)'!$C$277="Laying hens and parents, slurry (Tier1)",VLOOKUP('Calc (ex-housing, ex-storage)'!$C$277,'Calc (ex-animal)'!$D$58:$E$62,2,FALSE)*'DB technologies'!H138/1000,VLOOKUP('Calc (ex-housing, ex-storage)'!$C$277,'Calc (ex-animal)'!$D$58:$E$62,2,FALSE)*'DB technologies'!H139/1000),"")</f>
        <v/>
      </c>
      <c r="N15" s="259" t="str">
        <f>IF('Calc (ex-animal)'!$F$58=1,IF('Calc (ex-housing, ex-storage)'!$C$277="Laying hens and parents, slurry (Tier1)",VLOOKUP('Calc (ex-housing, ex-storage)'!$C$277,'Calc (ex-animal)'!$D$58:$E$62,2,FALSE)*'DB technologies'!I138/1000,VLOOKUP('Calc (ex-housing, ex-storage)'!$C$277,'Calc (ex-animal)'!$D$58:$E$62,2,FALSE)*'DB technologies'!I139/1000),"")</f>
        <v/>
      </c>
      <c r="O15" s="260" t="str">
        <f>IF('Calc (ex-animal)'!$F$58=1,IF('Calc (ex-housing, ex-storage)'!$C$277="Laying hens and parents, slurry (Tier1)",VLOOKUP('Calc (ex-housing, ex-storage)'!$C$277,'Calc (ex-animal)'!$D$58:$E$62,2,FALSE)*'DB technologies'!L138/1000,VLOOKUP('Calc (ex-housing, ex-storage)'!$C$277,'Calc (ex-animal)'!$D$58:$E$62,2,FALSE)*'DB technologies'!L139/1000),"")</f>
        <v/>
      </c>
    </row>
    <row r="16" spans="2:15" ht="12" thickBot="1" x14ac:dyDescent="0.25">
      <c r="B16" s="682"/>
      <c r="C16" s="319">
        <f>IF('Calc (ex-animal)'!F59=1,'Calc (ex-housing, ex-storage)'!C283,0)</f>
        <v>0</v>
      </c>
      <c r="D16" s="612" t="str">
        <f>IF($C$16=0,"",VLOOKUP($C$16,'Calc (ex-animal)'!$D$58:$T$62,6,FALSE))</f>
        <v/>
      </c>
      <c r="E16" s="392" t="str">
        <f>IF($C$16=0,"",VLOOKUP($C$16,'Calc (ex-animal)'!$D$58:$T$62,7,FALSE))</f>
        <v/>
      </c>
      <c r="F16" s="267" t="str">
        <f>IF($C$16=0,"",VLOOKUP($C$16,'Calc (ex-animal)'!$D$58:$T$62,10,FALSE))</f>
        <v/>
      </c>
      <c r="G16" s="267" t="str">
        <f>IF($C$16=0,"",VLOOKUP($C$16,'Calc (ex-animal)'!$D$58:$T$62,13,FALSE))</f>
        <v/>
      </c>
      <c r="H16" s="615" t="str">
        <f>IF($C$16=0,"",VLOOKUP($C$16,'Calc (ex-animal)'!$D$58:$T$62,16,FALSE))</f>
        <v/>
      </c>
      <c r="I16" s="392" t="str">
        <f>IF('Calc (ex-animal)'!$F$59=1,IF('Calc (ex-housing, ex-storage)'!$C$283="Laying hens and parents, solid (Tier1)",VLOOKUP('Calc (ex-housing, ex-storage)'!$C$283,'Calc (ex-animal)'!$D$58:$E$62,2,FALSE)*'DB technologies'!D139,VLOOKUP('Calc (ex-housing, ex-storage)'!$C$283,'Calc (ex-animal)'!$D$58:$E$62,2,FALSE)*'DB technologies'!D138),"")</f>
        <v/>
      </c>
      <c r="J16" s="392" t="str">
        <f>IF('Calc (ex-animal)'!$F$59=1,IF('Calc (ex-housing, ex-storage)'!$C$283="Laying hens and parents, solid (Tier1)",'DB technologies'!E139,'DB technologies'!E138),"")</f>
        <v/>
      </c>
      <c r="K16" s="267" t="str">
        <f>IF('Calc (ex-animal)'!$F$59=1,IF('Calc (ex-housing, ex-storage)'!$C$283="Laying hens and parents, solid (Tier1)",VLOOKUP('Calc (ex-housing, ex-storage)'!$C$283,'Calc (ex-animal)'!$D$58:$E$62,2,FALSE)*'DB technologies'!F139/1000,VLOOKUP('Calc (ex-housing, ex-storage)'!$C$283,'Calc (ex-animal)'!$D$58:$E$62,2,FALSE)*'DB technologies'!F138/1000),"")</f>
        <v/>
      </c>
      <c r="L16" s="267" t="str">
        <f>IF('Calc (ex-animal)'!$F$59=1,IF('Calc (ex-housing, ex-storage)'!$C$283="Laying hens and parents, solid (Tier1)",VLOOKUP('Calc (ex-housing, ex-storage)'!$C$283,'Calc (ex-animal)'!$D$58:$E$62,2,FALSE)*'DB technologies'!G139/1000,VLOOKUP('Calc (ex-housing, ex-storage)'!$C$283,'Calc (ex-animal)'!$D$58:$E$62,2,FALSE)*'DB technologies'!G138/1000),"")</f>
        <v/>
      </c>
      <c r="M16" s="267" t="str">
        <f>IF('Calc (ex-animal)'!$F$59=1,IF('Calc (ex-housing, ex-storage)'!$C$283="Laying hens and parents, solid (Tier1)",VLOOKUP('Calc (ex-housing, ex-storage)'!$C$283,'Calc (ex-animal)'!$D$58:$E$62,2,FALSE)*'DB technologies'!H139/1000,VLOOKUP('Calc (ex-housing, ex-storage)'!$C$283,'Calc (ex-animal)'!$D$58:$E$62,2,FALSE)*'DB technologies'!H138/1000),"")</f>
        <v/>
      </c>
      <c r="N16" s="267" t="str">
        <f>IF('Calc (ex-animal)'!$F$59=1,IF('Calc (ex-housing, ex-storage)'!$C$283="Laying hens and parents, solid (Tier1)",VLOOKUP('Calc (ex-housing, ex-storage)'!$C$283,'Calc (ex-animal)'!$D$58:$E$62,2,FALSE)*'DB technologies'!I139/1000,VLOOKUP('Calc (ex-housing, ex-storage)'!$C$283,'Calc (ex-animal)'!$D$58:$E$62,2,FALSE)*'DB technologies'!I138/1000),"")</f>
        <v/>
      </c>
      <c r="O16" s="268" t="str">
        <f>IF('Calc (ex-animal)'!$F$59=1,IF('Calc (ex-housing, ex-storage)'!$C$283="Laying hens and parents, solid (Tier1)",VLOOKUP('Calc (ex-housing, ex-storage)'!$C$283,'Calc (ex-animal)'!$D$58:$E$62,2,FALSE)*'DB technologies'!L139/1000,VLOOKUP('Calc (ex-housing, ex-storage)'!$C$283,'Calc (ex-animal)'!$D$58:$E$62,2,FALSE)*'DB technologies'!L138/1000),"")</f>
        <v/>
      </c>
    </row>
    <row r="17" spans="2:15" ht="12" thickBot="1" x14ac:dyDescent="0.25">
      <c r="B17" s="317" t="s">
        <v>34</v>
      </c>
      <c r="C17" s="320">
        <f>IF('Calc (ex-animal)'!F63=1,'Calc (ex-housing, ex-storage)'!C307,0)</f>
        <v>0</v>
      </c>
      <c r="D17" s="613" t="str">
        <f>IF($C$17=0,"",VLOOKUP($C$17,'Calc (ex-animal)'!$D$63:$T$67,6,FALSE))</f>
        <v/>
      </c>
      <c r="E17" s="393" t="str">
        <f>IF($C$17=0,"",VLOOKUP($C$17,'Calc (ex-animal)'!$D$63:$T$67,7,FALSE))</f>
        <v/>
      </c>
      <c r="F17" s="261" t="str">
        <f>IF($C$17=0,"",VLOOKUP($C$17,'Calc (ex-animal)'!$D$63:$T$67,10,FALSE))</f>
        <v/>
      </c>
      <c r="G17" s="261" t="str">
        <f>IF($C$17=0,"",VLOOKUP($C$17,'Calc (ex-animal)'!$D$63:$T$67,13,FALSE))</f>
        <v/>
      </c>
      <c r="H17" s="616" t="str">
        <f>IF($C$17=0,"",VLOOKUP($C$17,'Calc (ex-animal)'!$D$63:$T$67,16,FALSE))</f>
        <v/>
      </c>
      <c r="I17" s="511" t="str">
        <f>IF('Calc (ex-animal)'!$F$63=1,IF('Calc (ex-housing, ex-storage)'!$C$307="Broilers and parents, solid (Tier1)",VLOOKUP('Calc (ex-housing, ex-storage)'!$C$307,'Calc (ex-animal)'!$D$63:$E$67,2,FALSE)*'DB technologies'!D154,0),"")</f>
        <v/>
      </c>
      <c r="J17" s="511" t="str">
        <f>IF('Calc (ex-animal)'!$F$63=1,IF('Calc (ex-housing, ex-storage)'!$C$307="Broilers and parents, solid (Tier1)",'DB technologies'!E154,0),"")</f>
        <v/>
      </c>
      <c r="K17" s="257" t="str">
        <f>IF('Calc (ex-animal)'!$F$63=1,IF('Calc (ex-housing, ex-storage)'!$C$307="Broilers and parents, solid (Tier1)",VLOOKUP('Calc (ex-housing, ex-storage)'!$C$307,'Calc (ex-animal)'!$D$63:$E$67,2,FALSE)*'DB technologies'!F154/1000,0),"")</f>
        <v/>
      </c>
      <c r="L17" s="257" t="str">
        <f>IF('Calc (ex-animal)'!$F$63=1,IF('Calc (ex-housing, ex-storage)'!$C$307="Broilers and parents, solid (Tier1)",VLOOKUP('Calc (ex-housing, ex-storage)'!$C$307,'Calc (ex-animal)'!$D$63:$E$67,2,FALSE)*'DB technologies'!G154/1000,0),"")</f>
        <v/>
      </c>
      <c r="M17" s="257" t="str">
        <f>IF('Calc (ex-animal)'!$F$63=1,IF('Calc (ex-housing, ex-storage)'!$C$307="Broilers and parents, solid (Tier1)",VLOOKUP('Calc (ex-housing, ex-storage)'!$C$307,'Calc (ex-animal)'!$D$63:$E$67,2,FALSE)*'DB technologies'!H154/1000,0),"")</f>
        <v/>
      </c>
      <c r="N17" s="257" t="str">
        <f>IF('Calc (ex-animal)'!$F$63=1,IF('Calc (ex-housing, ex-storage)'!$C$307="Broilers and parents, solid (Tier1)",VLOOKUP('Calc (ex-housing, ex-storage)'!$C$307,'Calc (ex-animal)'!$D$63:$E$67,2,FALSE)*'DB technologies'!I154/1000,0),"")</f>
        <v/>
      </c>
      <c r="O17" s="258" t="str">
        <f>IF('Calc (ex-animal)'!$F$63=1,IF('Calc (ex-housing, ex-storage)'!$C$307="Broilers and parents, solid (Tier1)",VLOOKUP('Calc (ex-housing, ex-storage)'!$C$307,'Calc (ex-animal)'!$D$63:$E$67,2,FALSE)*'DB technologies'!L154/1000,0),"")</f>
        <v/>
      </c>
    </row>
    <row r="18" spans="2:15" ht="12" thickBot="1" x14ac:dyDescent="0.25">
      <c r="B18" s="317" t="s">
        <v>184</v>
      </c>
      <c r="C18" s="617">
        <f>IF('Calc (ex-animal)'!F73=1,'Calc (ex-housing, ex-storage)'!C367,0)</f>
        <v>0</v>
      </c>
      <c r="D18" s="511" t="str">
        <f>IF($C$18=0,"",VLOOKUP($C$18,'Calc (ex-animal)'!$D$73:$T$77,6,FALSE))</f>
        <v/>
      </c>
      <c r="E18" s="511" t="str">
        <f>IF($C$18=0,"",VLOOKUP($C$18,'Calc (ex-animal)'!$D$73:$T$77,7,FALSE))</f>
        <v/>
      </c>
      <c r="F18" s="257" t="str">
        <f>IF($C$18=0,"",VLOOKUP($C$18,'Calc (ex-animal)'!$D$73:$T$77,10,FALSE))</f>
        <v/>
      </c>
      <c r="G18" s="257" t="str">
        <f>IF($C$18=0,"",VLOOKUP($C$18,'Calc (ex-animal)'!$D$73:$T$77,13,FALSE))</f>
        <v/>
      </c>
      <c r="H18" s="618" t="str">
        <f>IF($C$18=0,"",VLOOKUP($C$18,'Calc (ex-animal)'!$D$73:$T$77,16,FALSE))</f>
        <v/>
      </c>
      <c r="I18" s="511" t="str">
        <f>IF('Calc (ex-animal)'!$F$73=1,IF('Calc (ex-housing, ex-storage)'!$C$367="Turkeys, solid (Tier1)",VLOOKUP('Calc (ex-housing, ex-storage)'!$C$367,'Calc (ex-animal)'!$D$73:$E$77,2,FALSE)*'DB technologies'!D182,0),"")</f>
        <v/>
      </c>
      <c r="J18" s="511" t="str">
        <f>IF('Calc (ex-animal)'!$F$73=1,IF('Calc (ex-housing, ex-storage)'!$C$367="Turkeys, solid (Tier1)",'DB technologies'!E182,0),"")</f>
        <v/>
      </c>
      <c r="K18" s="257" t="str">
        <f>IF('Calc (ex-animal)'!$F$73=1,IF('Calc (ex-housing, ex-storage)'!$C$367="Turkeys, solid (Tier1)",VLOOKUP('Calc (ex-housing, ex-storage)'!$C$367,'Calc (ex-animal)'!$D$73:$E$77,2,FALSE)*'DB technologies'!F182/1000,0),"")</f>
        <v/>
      </c>
      <c r="L18" s="257" t="str">
        <f>IF('Calc (ex-animal)'!$F$73=1,IF('Calc (ex-housing, ex-storage)'!$C$367="Turkeys, solid (Tier1)",VLOOKUP('Calc (ex-housing, ex-storage)'!$C$367,'Calc (ex-animal)'!$D$73:$E$77,2,FALSE)*'DB technologies'!G182/1000,0),"")</f>
        <v/>
      </c>
      <c r="M18" s="257" t="str">
        <f>IF('Calc (ex-animal)'!$F$73=1,IF('Calc (ex-housing, ex-storage)'!$C$367="Turkeys, solid (Tier1)",VLOOKUP('Calc (ex-housing, ex-storage)'!$C$367,'Calc (ex-animal)'!$D$73:$E$77,2,FALSE)*'DB technologies'!H182/1000,0),"")</f>
        <v/>
      </c>
      <c r="N18" s="257" t="str">
        <f>IF('Calc (ex-animal)'!$F$73=1,IF('Calc (ex-housing, ex-storage)'!$C$367="Turkeys, solid (Tier1)",VLOOKUP('Calc (ex-housing, ex-storage)'!$C$367,'Calc (ex-animal)'!$D$73:$E$77,2,FALSE)*'DB technologies'!I182/1000,0),"")</f>
        <v/>
      </c>
      <c r="O18" s="258" t="str">
        <f>IF('Calc (ex-animal)'!$F$73=1,IF('Calc (ex-housing, ex-storage)'!$C$367="Turkeys, solid (Tier1)",VLOOKUP('Calc (ex-housing, ex-storage)'!$C$367,'Calc (ex-animal)'!$D$73:$E$77,2,FALSE)*'DB technologies'!L182/1000,0),"")</f>
        <v/>
      </c>
    </row>
    <row r="19" spans="2:15" ht="12" thickBot="1" x14ac:dyDescent="0.25">
      <c r="B19" s="317" t="s">
        <v>187</v>
      </c>
      <c r="C19" s="617">
        <f>IF('Calc (ex-animal)'!F78=1,'Calc (ex-housing, ex-storage)'!C397,0)</f>
        <v>0</v>
      </c>
      <c r="D19" s="511" t="str">
        <f>IF($C$19=0,"",VLOOKUP($C$19,'Calc (ex-animal)'!$D$78:$T$82,6,FALSE))</f>
        <v/>
      </c>
      <c r="E19" s="511" t="str">
        <f>IF($C$19=0,"",VLOOKUP($C$19,'Calc (ex-animal)'!$D$78:$T$82,7,FALSE))</f>
        <v/>
      </c>
      <c r="F19" s="257" t="str">
        <f>IF($C$19=0,"",VLOOKUP($C$19,'Calc (ex-animal)'!$D$78:$T$82,10,FALSE))</f>
        <v/>
      </c>
      <c r="G19" s="257" t="str">
        <f>IF($C$19=0,"",VLOOKUP($C$19,'Calc (ex-animal)'!$D$78:$T$82,13,FALSE))</f>
        <v/>
      </c>
      <c r="H19" s="618" t="str">
        <f>IF($C$19=0,"",VLOOKUP($C$19,'Calc (ex-animal)'!$D$78:$T$82,16,FALSE))</f>
        <v/>
      </c>
      <c r="I19" s="511" t="str">
        <f>IF('Calc (ex-animal)'!$F$78=1,IF('Calc (ex-housing, ex-storage)'!$C$397="Ducks, solid (Tier1)",VLOOKUP('Calc (ex-housing, ex-storage)'!$C$397,'Calc (ex-animal)'!$D$78:$E$82,2,FALSE)*'DB technologies'!D196,0),"")</f>
        <v/>
      </c>
      <c r="J19" s="511" t="str">
        <f>IF('Calc (ex-animal)'!$F$78=1,IF('Calc (ex-housing, ex-storage)'!$C$397="Ducks, solid (Tier1)",'DB technologies'!E196,0),"")</f>
        <v/>
      </c>
      <c r="K19" s="257" t="str">
        <f>IF('Calc (ex-animal)'!$F$78=1,IF('Calc (ex-housing, ex-storage)'!$C$397="Ducks, solid (Tier1)",VLOOKUP('Calc (ex-housing, ex-storage)'!$C$397,'Calc (ex-animal)'!$D$78:$E$82,2,FALSE)*'DB technologies'!F196/1000,0),"")</f>
        <v/>
      </c>
      <c r="L19" s="257" t="str">
        <f>IF('Calc (ex-animal)'!$F$78=1,IF('Calc (ex-housing, ex-storage)'!$C$397="Ducks, solid (Tier1)",VLOOKUP('Calc (ex-housing, ex-storage)'!$C$397,'Calc (ex-animal)'!$D$78:$E$82,2,FALSE)*'DB technologies'!G196/1000,0),"")</f>
        <v/>
      </c>
      <c r="M19" s="257" t="str">
        <f>IF('Calc (ex-animal)'!$F$78=1,IF('Calc (ex-housing, ex-storage)'!$C$397="Ducks, solid (Tier1)",VLOOKUP('Calc (ex-housing, ex-storage)'!$C$397,'Calc (ex-animal)'!$D$78:$E$82,2,FALSE)*'DB technologies'!H196/1000,0),"")</f>
        <v/>
      </c>
      <c r="N19" s="257" t="str">
        <f>IF('Calc (ex-animal)'!$F$78=1,IF('Calc (ex-housing, ex-storage)'!$C$397="Ducks, solid (Tier1)",VLOOKUP('Calc (ex-housing, ex-storage)'!$C$397,'Calc (ex-animal)'!$D$78:$E$82,2,FALSE)*'DB technologies'!I196/1000,0),"")</f>
        <v/>
      </c>
      <c r="O19" s="258" t="str">
        <f>IF('Calc (ex-animal)'!$F$78=1,IF('Calc (ex-housing, ex-storage)'!$C$397="Ducks, solid (Tier1)",VLOOKUP('Calc (ex-housing, ex-storage)'!$C$397,'Calc (ex-animal)'!$D$78:$E$82,2,FALSE)*'DB technologies'!L196/1000,0),"")</f>
        <v/>
      </c>
    </row>
    <row r="20" spans="2:15" ht="12" thickBot="1" x14ac:dyDescent="0.25">
      <c r="B20" s="317" t="s">
        <v>190</v>
      </c>
      <c r="C20" s="617">
        <f>IF('Calc (ex-animal)'!F83=1,'Calc (ex-housing, ex-storage)'!C427,0)</f>
        <v>0</v>
      </c>
      <c r="D20" s="391" t="str">
        <f>IF($C$20=0,"",VLOOKUP($C$20,'Calc (ex-animal)'!$D$83:$T$87,6,FALSE))</f>
        <v/>
      </c>
      <c r="E20" s="391" t="str">
        <f>IF($C$20=0,"",VLOOKUP($C$20,'Calc (ex-animal)'!$D$83:$T$87,7,FALSE))</f>
        <v/>
      </c>
      <c r="F20" s="259" t="str">
        <f>IF($C$20=0,"",VLOOKUP($C$20,'Calc (ex-animal)'!$D$83:$T$87,10,FALSE))</f>
        <v/>
      </c>
      <c r="G20" s="259" t="str">
        <f>IF($C$20=0,"",VLOOKUP($C$20,'Calc (ex-animal)'!$D$83:$T$87,13,FALSE))</f>
        <v/>
      </c>
      <c r="H20" s="614" t="str">
        <f>IF($C$20=0,"",VLOOKUP($C$20,'Calc (ex-animal)'!$D$83:$T$87,16,FALSE))</f>
        <v/>
      </c>
      <c r="I20" s="511" t="str">
        <f>IF('Calc (ex-animal)'!$F$83=1,IF('Calc (ex-housing, ex-storage)'!$C$427="Geese, solid (Tier1)",VLOOKUP('Calc (ex-housing, ex-storage)'!$C$427,'Calc (ex-animal)'!$D$83:$E$87,2,FALSE)*'DB technologies'!D210,0),"")</f>
        <v/>
      </c>
      <c r="J20" s="511" t="str">
        <f>IF('Calc (ex-animal)'!$F$83=1,IF('Calc (ex-housing, ex-storage)'!$C$427="Geese, solid (Tier1)",'DB technologies'!E210,0),"")</f>
        <v/>
      </c>
      <c r="K20" s="257" t="str">
        <f>IF('Calc (ex-animal)'!$F$83=1,IF('Calc (ex-housing, ex-storage)'!$C$427="Geese, solid (Tier1)",VLOOKUP('Calc (ex-housing, ex-storage)'!$C$427,'Calc (ex-animal)'!$D$83:$E$87,2,FALSE)*'DB technologies'!F210/1000,0),"")</f>
        <v/>
      </c>
      <c r="L20" s="257" t="str">
        <f>IF('Calc (ex-animal)'!$F$83=1,IF('Calc (ex-housing, ex-storage)'!$C$427="Geese, solid (Tier1)",VLOOKUP('Calc (ex-housing, ex-storage)'!$C$427,'Calc (ex-animal)'!$D$83:$E$87,2,FALSE)*'DB technologies'!G210/1000,0),"")</f>
        <v/>
      </c>
      <c r="M20" s="257" t="str">
        <f>IF('Calc (ex-animal)'!$F$83=1,IF('Calc (ex-housing, ex-storage)'!$C$427="Geese, solid (Tier1)",VLOOKUP('Calc (ex-housing, ex-storage)'!$C$427,'Calc (ex-animal)'!$D$83:$E$87,2,FALSE)*'DB technologies'!H210/1000,0),"")</f>
        <v/>
      </c>
      <c r="N20" s="257" t="str">
        <f>IF('Calc (ex-animal)'!$F$83=1,IF('Calc (ex-housing, ex-storage)'!$C$427="Geese, solid (Tier1)",VLOOKUP('Calc (ex-housing, ex-storage)'!$C$427,'Calc (ex-animal)'!$D$83:$E$87,2,FALSE)*'DB technologies'!I210/1000,0),"")</f>
        <v/>
      </c>
      <c r="O20" s="258" t="str">
        <f>IF('Calc (ex-animal)'!$F$83=1,IF('Calc (ex-housing, ex-storage)'!$C$427="Geese, solid (Tier1)",VLOOKUP('Calc (ex-housing, ex-storage)'!$C$427,'Calc (ex-animal)'!$D$83:$E$87,2,FALSE)*'DB technologies'!L210/1000,0),"")</f>
        <v/>
      </c>
    </row>
    <row r="21" spans="2:15" ht="12" thickBot="1" x14ac:dyDescent="0.25">
      <c r="B21" s="317" t="s">
        <v>198</v>
      </c>
      <c r="C21" s="617">
        <f>IF('Calc (ex-animal)'!F88=1,'Calc (ex-housing, ex-storage)'!C457,0)</f>
        <v>0</v>
      </c>
      <c r="D21" s="511" t="str">
        <f>IF($C$21=0,"",VLOOKUP($C$21,'Calc (ex-animal)'!$D$88:$T$92,6,FALSE))</f>
        <v/>
      </c>
      <c r="E21" s="511" t="str">
        <f>IF($C$21=0,"",VLOOKUP($C$21,'Calc (ex-animal)'!$D$88:$T$92,7,FALSE))</f>
        <v/>
      </c>
      <c r="F21" s="257" t="str">
        <f>IF($C$21=0,"",VLOOKUP($C$21,'Calc (ex-animal)'!$D$88:$T$92,10,FALSE))</f>
        <v/>
      </c>
      <c r="G21" s="257" t="str">
        <f>IF($C$21=0,"",VLOOKUP($C$21,'Calc (ex-animal)'!$D$88:$T$92,13,FALSE))</f>
        <v/>
      </c>
      <c r="H21" s="257" t="str">
        <f>IF($C$21=0,"",VLOOKUP($C$21,'Calc (ex-animal)'!$D$88:$T$92,16,FALSE))</f>
        <v/>
      </c>
      <c r="I21" s="619" t="str">
        <f>IF('Calc (ex-animal)'!$F$88=1,IF('Calc (ex-housing, ex-storage)'!$C$457="Other poultry1, solid (Tier1)",VLOOKUP('Calc (ex-housing, ex-storage)'!$C$457,'Calc (ex-animal)'!$D$88:$E$92,2,FALSE)*'DB technologies'!D224,0),"")</f>
        <v/>
      </c>
      <c r="J21" s="511" t="str">
        <f>IF('Calc (ex-animal)'!$F$88=1,IF('Calc (ex-housing, ex-storage)'!$C$457="Other poultry1, solid (Tier1)",'DB technologies'!E224,0),"")</f>
        <v/>
      </c>
      <c r="K21" s="257" t="str">
        <f>IF('Calc (ex-animal)'!$F$88=1,IF('Calc (ex-housing, ex-storage)'!$C$457="Other poultry1, solid (Tier1)",VLOOKUP('Calc (ex-housing, ex-storage)'!$C$457,'Calc (ex-animal)'!$D$88:$E$92,2,FALSE)*'DB technologies'!F224/1000,0),"")</f>
        <v/>
      </c>
      <c r="L21" s="257" t="str">
        <f>IF('Calc (ex-animal)'!$F$88=1,IF('Calc (ex-housing, ex-storage)'!$C$457="Other poultry1, solid (Tier1)",VLOOKUP('Calc (ex-housing, ex-storage)'!$C$457,'Calc (ex-animal)'!$D$88:$E$92,2,FALSE)*'DB technologies'!G224/1000,0),"")</f>
        <v/>
      </c>
      <c r="M21" s="257" t="str">
        <f>IF('Calc (ex-animal)'!$F$88=1,IF('Calc (ex-housing, ex-storage)'!$C$457="Other poultry1, solid (Tier1)",VLOOKUP('Calc (ex-housing, ex-storage)'!$C$457,'Calc (ex-animal)'!$D$88:$E$92,2,FALSE)*'DB technologies'!H224/1000,0),"")</f>
        <v/>
      </c>
      <c r="N21" s="257" t="str">
        <f>IF('Calc (ex-animal)'!$F$88=1,IF('Calc (ex-housing, ex-storage)'!$C$457="Other poultry1, solid (Tier1)",VLOOKUP('Calc (ex-housing, ex-storage)'!$C$457,'Calc (ex-animal)'!$D$88:$E$92,2,FALSE)*'DB technologies'!I224/1000,0),"")</f>
        <v/>
      </c>
      <c r="O21" s="258" t="str">
        <f>IF('Calc (ex-animal)'!$F$88=1,IF('Calc (ex-housing, ex-storage)'!$C$457="Other poultry1, solid (Tier1)",VLOOKUP('Calc (ex-housing, ex-storage)'!$C$457,'Calc (ex-animal)'!$D$88:$E$92,2,FALSE)*'DB technologies'!L224/1000,0),"")</f>
        <v/>
      </c>
    </row>
    <row r="22" spans="2:15" ht="12" thickBot="1" x14ac:dyDescent="0.25">
      <c r="B22" s="317" t="s">
        <v>199</v>
      </c>
      <c r="C22" s="320">
        <f>IF('Calc (ex-animal)'!F89=1,'Calc (ex-housing, ex-storage)'!C463,0)</f>
        <v>0</v>
      </c>
      <c r="D22" s="619" t="str">
        <f>IF($C$22=0,"",VLOOKUP($C$22,'Calc (ex-animal)'!$D$88:$T$92,6,FALSE))</f>
        <v/>
      </c>
      <c r="E22" s="511" t="str">
        <f>IF($C$22=0,"",VLOOKUP($C$22,'Calc (ex-animal)'!$D$88:$T$92,7,FALSE))</f>
        <v/>
      </c>
      <c r="F22" s="257" t="str">
        <f>IF($C$22=0,"",VLOOKUP($C$22,'Calc (ex-animal)'!$D$88:$T$92,10,FALSE))</f>
        <v/>
      </c>
      <c r="G22" s="257" t="str">
        <f>IF($C$22=0,"",VLOOKUP($C$22,'Calc (ex-animal)'!$D$88:$T$92,13,FALSE))</f>
        <v/>
      </c>
      <c r="H22" s="618" t="str">
        <f>IF($C$22=0,"",VLOOKUP($C$22,'Calc (ex-animal)'!$D$88:$T$92,16,FALSE))</f>
        <v/>
      </c>
      <c r="I22" s="511" t="str">
        <f>IF('Calc (ex-animal)'!$F$89=1,IF('Calc (ex-housing, ex-storage)'!$C$463="Other poultry2, solid (Tier1)","VLOOKUP('Calc (ex-housing, ex-storage)'!$C$463;'Calc (ex-animal)'!$D$88:$E$92;2;FALSE)*'DB tehcnologies'D231",0),"")</f>
        <v/>
      </c>
      <c r="J22" s="511" t="str">
        <f>IF('Calc (ex-animal)'!$F$89=1,IF('Calc (ex-housing, ex-storage)'!$C$463="Other poultry2, solid (Tier1)",'DB technologies'!E225,0),"")</f>
        <v/>
      </c>
      <c r="K22" s="257" t="str">
        <f>IF('Calc (ex-animal)'!$F$89=1,IF('Calc (ex-housing, ex-storage)'!$C$463="Other poultry2, solid (Tier1)",VLOOKUP('Calc (ex-housing, ex-storage)'!$C$463,'Calc (ex-animal)'!$D$88:$E$92,2,FALSE)*'DB technologies'!F225/1000,0),"")</f>
        <v/>
      </c>
      <c r="L22" s="257" t="str">
        <f>IF('Calc (ex-animal)'!$F$89=1,IF($C$463="Other poultry2, solid (Tier1)",VLOOKUP('Calc (ex-housing, ex-storage)'!$C$463,'Calc (ex-animal)'!$D$88:$E$92,2,FALSE)*'DB technologies'!G225/1000,0),"")</f>
        <v/>
      </c>
      <c r="M22" s="257" t="str">
        <f>IF('Calc (ex-animal)'!$F$89=1,IF('Calc (ex-housing, ex-storage)'!$C$463="Other poultry2, solid (Tier1)","VLOOKUP('Calc (ex-housing, ex-storage)'!$C$463;'Calc (ex-animal)'!$D$88:$E$92;2;FALSE)*'DB tehcnologies'!H231!/1000",0),"")</f>
        <v/>
      </c>
      <c r="N22" s="257" t="str">
        <f>IF('Calc (ex-animal)'!$F$89=1,IF('Calc (ex-housing, ex-storage)'!$C$463="Other poultry2, solid (Tier1)",VLOOKUP('Calc (ex-housing, ex-storage)'!$C$463,'Calc (ex-animal)'!$D$88:$E$92,2,FALSE)*'DB technologies'!I225/1000,0),"")</f>
        <v/>
      </c>
      <c r="O22" s="258" t="str">
        <f>IF('Calc (ex-animal)'!$F$89=1,IF('Calc (ex-housing, ex-storage)'!$C$463="Other poultry2, solid (Tier1)",VLOOKUP('Calc (ex-housing, ex-storage)'!$C$463,'Calc (ex-animal)'!$D$88:$E$92,2,FALSE)*'DB technologies'!L225/1000,0),"")</f>
        <v/>
      </c>
    </row>
    <row r="23" spans="2:15" ht="12" thickBot="1" x14ac:dyDescent="0.25">
      <c r="B23" s="317" t="s">
        <v>200</v>
      </c>
      <c r="C23" s="320">
        <f>IF('Calc (ex-animal)'!F90=1,'Calc (ex-housing, ex-storage)'!C469,0)</f>
        <v>0</v>
      </c>
      <c r="D23" s="619" t="str">
        <f>IF($C$23=0,"",VLOOKUP($C$23,'Calc (ex-animal)'!$D$88:$T$92,6,FALSE))</f>
        <v/>
      </c>
      <c r="E23" s="511" t="str">
        <f>IF($C$23=0,"",VLOOKUP($C$23,'Calc (ex-animal)'!$D$88:$T$92,7,FALSE))</f>
        <v/>
      </c>
      <c r="F23" s="257" t="str">
        <f>IF($C$23=0,"",VLOOKUP($C$23,'Calc (ex-animal)'!$D$88:$T$92,10,FALSE))</f>
        <v/>
      </c>
      <c r="G23" s="257" t="str">
        <f>IF($C$23=0,"",VLOOKUP($C$23,'Calc (ex-animal)'!$D$88:$T$92,13,FALSE))</f>
        <v/>
      </c>
      <c r="H23" s="618" t="str">
        <f>IF($C$23=0,"",VLOOKUP($C$23,'Calc (ex-animal)'!$D$88:$T$92,16,FALSE))</f>
        <v/>
      </c>
      <c r="I23" s="511" t="str">
        <f>IF('Calc (ex-animal)'!$F$90=1,IF('Calc (ex-housing, ex-storage)'!$C$469="Other poultry3, solid (Tier1)",VLOOKUP('Calc (ex-housing, ex-storage)'!$C$469,'Calc (ex-animal)'!$D$88:$E$92,2,FALSE)*'DB technologies'!D226,0),"")</f>
        <v/>
      </c>
      <c r="J23" s="511" t="str">
        <f>IF('Calc (ex-animal)'!$F$90=1,IF('Calc (ex-housing, ex-storage)'!$C$469="Other poultry3, solid (Tier1)",'DB technologies'!E226,0),"")</f>
        <v/>
      </c>
      <c r="K23" s="257" t="str">
        <f>IF('Calc (ex-animal)'!$F$90=1,IF('Calc (ex-housing, ex-storage)'!$C$469="Other poultry3, solid (Tier1)",VLOOKUP('Calc (ex-housing, ex-storage)'!$C$469,'Calc (ex-animal)'!$D$88:$E$92,2,FALSE)*'DB technologies'!F226/1000,0),"")</f>
        <v/>
      </c>
      <c r="L23" s="257" t="str">
        <f>IF('Calc (ex-animal)'!$F$90=1,IF('Calc (ex-housing, ex-storage)'!$C$469="Other poultry3, solid (Tier1)",VLOOKUP('Calc (ex-housing, ex-storage)'!$C$469,'Calc (ex-animal)'!$D$88:$E$92,2,FALSE)*'DB technologies'!G226/1000,0),"")</f>
        <v/>
      </c>
      <c r="M23" s="257" t="str">
        <f>IF('Calc (ex-animal)'!$F$90=1,IF('Calc (ex-housing, ex-storage)'!$C$469="Other poultry3, solid (Tier1)",VLOOKUP('Calc (ex-housing, ex-storage)'!$C$469,'Calc (ex-animal)'!$D$88:$E$92,2,FALSE)*'DB technologies'!H226/1000,0),"")</f>
        <v/>
      </c>
      <c r="N23" s="257" t="str">
        <f>IF('Calc (ex-animal)'!$F$90=1,IF('Calc (ex-housing, ex-storage)'!$C$469="Other poultry3, solid (Tier1)",VLOOKUP('Calc (ex-housing, ex-storage)'!$C$469,'Calc (ex-animal)'!$D$88:$E$92,2,FALSE)*'DB technologies'!I226/1000,0),"")</f>
        <v/>
      </c>
      <c r="O23" s="258" t="str">
        <f>IF('Calc (ex-animal)'!$F$90=1,IF('Calc (ex-housing, ex-storage)'!$C$469="Other poultry3, solid (Tier1)",VLOOKUP('Calc (ex-housing, ex-storage)'!$C$469,'Calc (ex-animal)'!$D$88:$E$92,2,FALSE)*'DB technologies'!L226/1000,0),"")</f>
        <v/>
      </c>
    </row>
    <row r="24" spans="2:15" ht="12" thickBot="1" x14ac:dyDescent="0.25">
      <c r="B24" s="317" t="s">
        <v>201</v>
      </c>
      <c r="C24" s="320">
        <f>IF('Calc (ex-animal)'!F93=1,'Calc (ex-housing, ex-storage)'!C487,0)</f>
        <v>0</v>
      </c>
      <c r="D24" s="619" t="str">
        <f>IF($C$24=0,"",VLOOKUP($C$24,'Calc (ex-animal)'!$D$93:$T$97,6,FALSE))</f>
        <v/>
      </c>
      <c r="E24" s="511" t="str">
        <f>IF($C$24=0,"",VLOOKUP($C$24,'Calc (ex-animal)'!$D$93:$T$97,7,FALSE))</f>
        <v/>
      </c>
      <c r="F24" s="257" t="str">
        <f>IF($C$24=0,"",VLOOKUP($C$24,'Calc (ex-animal)'!$D$93:$T$97,10,FALSE))</f>
        <v/>
      </c>
      <c r="G24" s="257" t="str">
        <f>IF($C$24=0,"",VLOOKUP($C$24,'Calc (ex-animal)'!$D$93:$T$97,13,FALSE))</f>
        <v/>
      </c>
      <c r="H24" s="618" t="str">
        <f>IF($C$24=0,"",VLOOKUP($C$24,'Calc (ex-animal)'!$D$93:$T$97,16,FALSE))</f>
        <v/>
      </c>
      <c r="I24" s="511" t="str">
        <f>IF('Calc (ex-animal)'!$F$93=1,IF('Calc (ex-housing, ex-storage)'!$C$487="Sheep, solid (Tier1)",VLOOKUP('Calc (ex-housing, ex-storage)'!$C$487,'Calc (ex-animal)'!$D$93:$E$97,2,FALSE)*'DB technologies'!D238,0),"")</f>
        <v/>
      </c>
      <c r="J24" s="511" t="str">
        <f>IF('Calc (ex-animal)'!$F$93=1,IF('Calc (ex-housing, ex-storage)'!$C$487="Sheep, solid (Tier1)",'DB technologies'!E238,0),"")</f>
        <v/>
      </c>
      <c r="K24" s="257" t="str">
        <f>IF('Calc (ex-animal)'!$F$93=1,IF('Calc (ex-housing, ex-storage)'!$C$487="Sheep, solid (Tier1)",VLOOKUP('Calc (ex-housing, ex-storage)'!$C$487,'Calc (ex-animal)'!$D$93:$E$97,2,FALSE)*'DB technologies'!F238/1000,0),"")</f>
        <v/>
      </c>
      <c r="L24" s="257" t="str">
        <f>IF('Calc (ex-animal)'!$F$93=1,IF('Calc (ex-housing, ex-storage)'!$C$487="Sheep, solid (Tier1)",VLOOKUP('Calc (ex-housing, ex-storage)'!$C$487,'Calc (ex-animal)'!$D$93:$E$97,2,FALSE)*'DB technologies'!G238/1000,0),"")</f>
        <v/>
      </c>
      <c r="M24" s="257" t="str">
        <f>IF('Calc (ex-animal)'!$F$93=1,IF('Calc (ex-housing, ex-storage)'!$C$487="Sheep, solid (Tier1)",VLOOKUP('Calc (ex-housing, ex-storage)'!$C$487,'Calc (ex-animal)'!$D$93:$E$97,2,FALSE)*'DB technologies'!H238/1000,0),"")</f>
        <v/>
      </c>
      <c r="N24" s="257" t="str">
        <f>IF('Calc (ex-animal)'!$F$93=1,IF('Calc (ex-housing, ex-storage)'!$C$487="Sheep, solid (Tier1)",VLOOKUP('Calc (ex-housing, ex-storage)'!$C$487,'Calc (ex-animal)'!$D$93:$E$97,2,FALSE)*'DB technologies'!I238/1000,0),"")</f>
        <v/>
      </c>
      <c r="O24" s="258" t="str">
        <f>IF('Calc (ex-animal)'!$F$93=1,IF('Calc (ex-housing, ex-storage)'!$C$487="Sheep, solid (Tier1)",VLOOKUP('Calc (ex-housing, ex-storage)'!$C$487,'Calc (ex-animal)'!$D$93:$E$97,2,FALSE)*'DB technologies'!L238/1000,0),"")</f>
        <v/>
      </c>
    </row>
    <row r="25" spans="2:15" ht="12" thickBot="1" x14ac:dyDescent="0.25">
      <c r="B25" s="317" t="s">
        <v>205</v>
      </c>
      <c r="C25" s="320">
        <f>IF('Calc (ex-animal)'!F98=1,'Calc (ex-housing, ex-storage)'!C517,0)</f>
        <v>0</v>
      </c>
      <c r="D25" s="619" t="str">
        <f>IF($C$25=0,"",VLOOKUP($C$25,'Calc (ex-animal)'!$D$98:$T$102,6,FALSE))</f>
        <v/>
      </c>
      <c r="E25" s="511" t="str">
        <f>IF($C$25=0,"",VLOOKUP($C$25,'Calc (ex-animal)'!$D$98:$T$102,7,FALSE))</f>
        <v/>
      </c>
      <c r="F25" s="257" t="str">
        <f>IF($C$25=0,"",VLOOKUP($C$25,'Calc (ex-animal)'!$D$98:$T$102,10,FALSE))</f>
        <v/>
      </c>
      <c r="G25" s="257" t="str">
        <f>IF($C$25=0,"",VLOOKUP($C$25,'Calc (ex-animal)'!$D$98:$T$102,13,FALSE))</f>
        <v/>
      </c>
      <c r="H25" s="618" t="str">
        <f>IF($C$25=0,"",VLOOKUP($C$25,'Calc (ex-animal)'!$D$98:$T$102,16,FALSE))</f>
        <v/>
      </c>
      <c r="I25" s="511" t="str">
        <f>IF('Calc (ex-animal)'!$F$98=1,IF('Calc (ex-housing, ex-storage)'!$C$517="Goats, solid (Tier1)",VLOOKUP('Calc (ex-housing, ex-storage)'!$C$517,'Calc (ex-animal)'!$D$98:$E$102,2,FALSE)*'DB technologies'!D252,0),"")</f>
        <v/>
      </c>
      <c r="J25" s="511" t="str">
        <f>IF('Calc (ex-animal)'!$F$98=1,IF('Calc (ex-housing, ex-storage)'!$C$517="Goats, solid (Tier1)",'DB technologies'!E252,0),"")</f>
        <v/>
      </c>
      <c r="K25" s="257" t="str">
        <f>IF('Calc (ex-animal)'!$F$98=1,IF('Calc (ex-housing, ex-storage)'!$C$517="Goats, solid (Tier1)",VLOOKUP('Calc (ex-housing, ex-storage)'!$C$517,'Calc (ex-animal)'!$D$98:$E$102,2,FALSE)*'DB technologies'!F252/1000,0),"")</f>
        <v/>
      </c>
      <c r="L25" s="257" t="str">
        <f>IF('Calc (ex-animal)'!$F$98=1,IF('Calc (ex-housing, ex-storage)'!$C$517="Goats, solid (Tier1)",VLOOKUP('Calc (ex-housing, ex-storage)'!$C$517,'Calc (ex-animal)'!$D$98:$E$102,2,FALSE)*'DB technologies'!G252/1000,0),"")</f>
        <v/>
      </c>
      <c r="M25" s="257" t="str">
        <f>IF('Calc (ex-animal)'!$F$98=1,IF('Calc (ex-housing, ex-storage)'!$C$517="Goats, solid (Tier1)",VLOOKUP('Calc (ex-housing, ex-storage)'!$C$517,'Calc (ex-animal)'!$D$98:$E$102,2,FALSE)*'DB technologies'!H252/1000,0),"")</f>
        <v/>
      </c>
      <c r="N25" s="257" t="str">
        <f>IF('Calc (ex-animal)'!$F$98=1,IF('Calc (ex-housing, ex-storage)'!$C$517="Goats, solid (Tier1)",VLOOKUP('Calc (ex-housing, ex-storage)'!$C$517,'Calc (ex-animal)'!$D$98:$E$102,2,FALSE)*'DB technologies'!I252/1000,0),"")</f>
        <v/>
      </c>
      <c r="O25" s="258" t="str">
        <f>IF('Calc (ex-animal)'!$F$98=1,IF('Calc (ex-housing, ex-storage)'!$C$517="Goats, solid (Tier1)",VLOOKUP('Calc (ex-housing, ex-storage)'!$C$517,'Calc (ex-animal)'!$D$98:$E$102,2,FALSE)*'DB technologies'!L252/1000,0),"")</f>
        <v/>
      </c>
    </row>
    <row r="26" spans="2:15" ht="12" thickBot="1" x14ac:dyDescent="0.25">
      <c r="B26" s="317" t="s">
        <v>208</v>
      </c>
      <c r="C26" s="320">
        <f>IF('Calc (ex-animal)'!F103=1,'Calc (ex-housing, ex-storage)'!C547,0)</f>
        <v>0</v>
      </c>
      <c r="D26" s="619" t="str">
        <f>IF($C$26=0,"",VLOOKUP($C$26,'Calc (ex-animal)'!$D$103:$T$107,6,FALSE))</f>
        <v/>
      </c>
      <c r="E26" s="511" t="str">
        <f>IF($C$26=0,"",VLOOKUP($C$26,'Calc (ex-animal)'!$D$103:$T$107,7,FALSE))</f>
        <v/>
      </c>
      <c r="F26" s="257" t="str">
        <f>IF($C$26=0,"",VLOOKUP($C$26,'Calc (ex-animal)'!$D$103:$T$107,10,FALSE))</f>
        <v/>
      </c>
      <c r="G26" s="257" t="str">
        <f>IF($C$26=0,"",VLOOKUP($C$26,'Calc (ex-animal)'!$D$103:$T$107,13,FALSE))</f>
        <v/>
      </c>
      <c r="H26" s="618" t="str">
        <f>IF($C$26=0,"",VLOOKUP($C$26,'Calc (ex-animal)'!$D$103:$T$107,16,FALSE))</f>
        <v/>
      </c>
      <c r="I26" s="511" t="str">
        <f>IF('Calc (ex-animal)'!$F$103=1,IF('Calc (ex-housing, ex-storage)'!$C$547="Horses, solid (Tier1)",VLOOKUP('Calc (ex-housing, ex-storage)'!$C$547,'Calc (ex-animal)'!$D$103:$E$107,2,FALSE)*'DB technologies'!D266,0),"")</f>
        <v/>
      </c>
      <c r="J26" s="511" t="str">
        <f>IF('Calc (ex-animal)'!$F$103=1,IF('Calc (ex-housing, ex-storage)'!$C$547="Horses, solid (Tier1)",'DB technologies'!E266,0),"")</f>
        <v/>
      </c>
      <c r="K26" s="257" t="str">
        <f>IF('Calc (ex-animal)'!$F$103=1,IF('Calc (ex-housing, ex-storage)'!$C$547="Horses, solid (Tier1)",VLOOKUP('Calc (ex-housing, ex-storage)'!$C$547,'Calc (ex-animal)'!$D$103:$E$107,2,FALSE)*'DB technologies'!F266/1000,0),"")</f>
        <v/>
      </c>
      <c r="L26" s="257" t="str">
        <f>IF('Calc (ex-animal)'!$F$103=1,IF('Calc (ex-housing, ex-storage)'!$C$547="Horses, solid (Tier1)",VLOOKUP('Calc (ex-housing, ex-storage)'!$C$547,'Calc (ex-animal)'!$D$103:$E$107,2,FALSE)*'DB technologies'!G266/1000,0),"")</f>
        <v/>
      </c>
      <c r="M26" s="257" t="str">
        <f>IF('Calc (ex-animal)'!$F$103=1,IF('Calc (ex-housing, ex-storage)'!$C$547="Horses, solid (Tier1)",VLOOKUP('Calc (ex-housing, ex-storage)'!$C$547,'Calc (ex-animal)'!$D$103:$E$107,2,FALSE)*'DB technologies'!H266/1000,0),"")</f>
        <v/>
      </c>
      <c r="N26" s="257" t="str">
        <f>IF('Calc (ex-animal)'!$F$103=1,IF('Calc (ex-housing, ex-storage)'!$C$547="Horses, solid (Tier1)",VLOOKUP('Calc (ex-housing, ex-storage)'!$C$547,'Calc (ex-animal)'!$D$103:$E$107,2,FALSE)*'DB technologies'!I266/1000,0),"")</f>
        <v/>
      </c>
      <c r="O26" s="258" t="str">
        <f>IF('Calc (ex-animal)'!$F$103=1,IF('Calc (ex-housing, ex-storage)'!$C$547="Horses, solid (Tier1)",VLOOKUP('Calc (ex-housing, ex-storage)'!$C$547,'Calc (ex-animal)'!$D$103:$E$107,2,FALSE)*'DB technologies'!L266/1000,0),"")</f>
        <v/>
      </c>
    </row>
    <row r="27" spans="2:15" ht="12" thickBot="1" x14ac:dyDescent="0.25">
      <c r="B27" s="317" t="s">
        <v>210</v>
      </c>
      <c r="C27" s="320">
        <f>IF('Calc (ex-animal)'!F108=1,'Calc (ex-housing, ex-storage)'!C577,0)</f>
        <v>0</v>
      </c>
      <c r="D27" s="619" t="str">
        <f>IF($C$27=0,"",VLOOKUP($C$27,'Calc (ex-animal)'!$D$108:$T$112,6,FALSE))</f>
        <v/>
      </c>
      <c r="E27" s="511" t="str">
        <f>IF($C$27=0,"",VLOOKUP($C$27,'Calc (ex-animal)'!$D$108:$T$112,7,FALSE))</f>
        <v/>
      </c>
      <c r="F27" s="257" t="str">
        <f>IF($C$27=0,"",VLOOKUP($C$27,'Calc (ex-animal)'!$D$108:$T$112,10,FALSE))</f>
        <v/>
      </c>
      <c r="G27" s="257" t="str">
        <f>IF($C$27=0,"",VLOOKUP($C$27,'Calc (ex-animal)'!$D$108:$T$112,13,FALSE))</f>
        <v/>
      </c>
      <c r="H27" s="618" t="str">
        <f>IF($C$27=0,"",VLOOKUP($C$27,'Calc (ex-animal)'!$D$108:$T$112,16,FALSE))</f>
        <v/>
      </c>
      <c r="I27" s="511" t="str">
        <f>IF('Calc (ex-animal)'!$F$108=1,IF('Calc (ex-housing, ex-storage)'!$C$577="Fur animals, (Tier1)",VLOOKUP('Calc (ex-housing, ex-storage)'!$C$577,'Calc (ex-animal)'!$D$108:$E$112,2,FALSE)*'DB technologies'!D280,0),"")</f>
        <v/>
      </c>
      <c r="J27" s="511" t="str">
        <f>IF('Calc (ex-animal)'!$F$108=1,IF('Calc (ex-housing, ex-storage)'!$C$577="Fur animals, (Tier1)",'DB technologies'!E280,0),"")</f>
        <v/>
      </c>
      <c r="K27" s="257" t="str">
        <f>IF('Calc (ex-animal)'!$F$108=1,IF('Calc (ex-housing, ex-storage)'!$C$577="Fur animals, (Tier1)",VLOOKUP('Calc (ex-housing, ex-storage)'!$C$577,'Calc (ex-animal)'!$D$108:$E$112,2,FALSE)*'DB technologies'!F280/1000,0),"")</f>
        <v/>
      </c>
      <c r="L27" s="257" t="str">
        <f>IF('Calc (ex-animal)'!$F$108=1,IF('Calc (ex-housing, ex-storage)'!$C$577="Fur animals, (Tier1)",VLOOKUP('Calc (ex-housing, ex-storage)'!$C$577,'Calc (ex-animal)'!$D$108:$E$112,2,FALSE)*'DB technologies'!G280/1000,0),"")</f>
        <v/>
      </c>
      <c r="M27" s="257" t="str">
        <f>IF('Calc (ex-animal)'!$F$108=1,IF('Calc (ex-housing, ex-storage)'!$C$577="Fur animals, (Tier1)",VLOOKUP('Calc (ex-housing, ex-storage)'!$C$577,'Calc (ex-animal)'!$D$108:$E$112,2,FALSE)*'DB technologies'!H280/1000,0),"")</f>
        <v/>
      </c>
      <c r="N27" s="257" t="str">
        <f>IF('Calc (ex-animal)'!$F$108=1,IF('Calc (ex-housing, ex-storage)'!$C$577="Fur animals, (Tier1)",VLOOKUP('Calc (ex-housing, ex-storage)'!$C$577,'Calc (ex-animal)'!$D$108:$E$112,2,FALSE)*'DB technologies'!I280/1000,0),"")</f>
        <v/>
      </c>
      <c r="O27" s="258" t="str">
        <f>IF('Calc (ex-animal)'!$F$108=1,IF('Calc (ex-housing, ex-storage)'!$C$577="Fur animals, (Tier1)",VLOOKUP('Calc (ex-housing, ex-storage)'!$C$577,'Calc (ex-animal)'!$D$108:$E$112,2,FALSE)*'DB technologies'!L280/1000,0),"")</f>
        <v/>
      </c>
    </row>
    <row r="28" spans="2:15" x14ac:dyDescent="0.2">
      <c r="B28" s="799" t="s">
        <v>202</v>
      </c>
      <c r="C28" s="318">
        <f>IF('Calc (ex-animal)'!F113=1,'Calc (ex-housing, ex-storage)'!C607,0)</f>
        <v>0</v>
      </c>
      <c r="D28" s="611" t="str">
        <f>IF($C$28=0,"",VLOOKUP($C$28,'Calc (ex-animal)'!$D$113:$T$117,6,FALSE))</f>
        <v/>
      </c>
      <c r="E28" s="391" t="str">
        <f>IF($C$28=0,"",VLOOKUP($C$28,'Calc (ex-animal)'!$D$113:$T$117,7,FALSE))</f>
        <v/>
      </c>
      <c r="F28" s="259" t="str">
        <f>IF($C$28=0,"",VLOOKUP($C$28,'Calc (ex-animal)'!$D$113:$T$117,10,FALSE))</f>
        <v/>
      </c>
      <c r="G28" s="259" t="str">
        <f>IF($C$28=0,"",VLOOKUP($C$28,'Calc (ex-animal)'!$D$113:$T$117,13,FALSE))</f>
        <v/>
      </c>
      <c r="H28" s="614" t="str">
        <f>IF($C$28=0,"",VLOOKUP($C$28,'Calc (ex-animal)'!$D$113:$T$117,16,FALSE))</f>
        <v/>
      </c>
      <c r="I28" s="391" t="str">
        <f>IF('Calc (ex-animal)'!$F$113=1,IF('Calc (ex-housing, ex-storage)'!$C$607="Buffalo,solid (Tier1)",VLOOKUP('Calc (ex-housing, ex-storage)'!$C$607,'Calc (ex-animal)'!$D$113:$E$117,2,FALSE)*'DB technologies'!D294,IF(C28="Camels,solid (Tier1)",VLOOKUP('DB technologies'!C296,'Calc (ex-animal)'!$D$113:$E$117,2,FALSE)*'DB technologies'!D296,VLOOKUP('Calc (ex-housing, ex-storage)'!$C$607,'Calc (ex-animal)'!$D$113:$E$117,2,FALSE)*'DB technologies'!D295)),"")</f>
        <v/>
      </c>
      <c r="J28" s="391" t="str">
        <f>IF('Calc (ex-animal)'!$F$113=1,IF('Calc (ex-housing, ex-storage)'!$C$607="Buffalo,solid (Tier1)",'DB technologies'!E294,IF(C28="Camels,solid (Tier1)",'DB technologies'!E296,'DB technologies'!E295)),"")</f>
        <v/>
      </c>
      <c r="K28" s="259" t="str">
        <f>IF('Calc (ex-animal)'!$F$113=1,IF('Calc (ex-housing, ex-storage)'!$C$607="Buffalo,solid (Tier1)",VLOOKUP('Calc (ex-housing, ex-storage)'!$C$607,'Calc (ex-animal)'!$D$113:$E$117,2,FALSE)*'DB technologies'!F294/1000,IF(C28="Camels,solid (Tier1)",VLOOKUP('DB technologies'!C296,'Calc (ex-animal)'!$D$113:$E$117,2,FALSE)*'DB technologies'!F296/1000,VLOOKUP('Calc (ex-housing, ex-storage)'!$C$607,'Calc (ex-animal)'!$D$113:$E$117,2,FALSE)*'DB technologies'!F295/1000)),"")</f>
        <v/>
      </c>
      <c r="L28" s="259" t="str">
        <f>IF('Calc (ex-animal)'!$F$113=1,IF('Calc (ex-housing, ex-storage)'!$C$607="Buffalo,solid (Tier1)",VLOOKUP('Calc (ex-housing, ex-storage)'!$C$607,'Calc (ex-animal)'!$D$113:$E$117,2,FALSE)*'DB technologies'!G294/1000,IF(C28="Camels,solid (Tier1)",VLOOKUP('DB technologies'!C296,'Calc (ex-animal)'!$D$113:$E$117,2,FALSE)*'DB technologies'!G296/1000,VLOOKUP('Calc (ex-housing, ex-storage)'!$C$607,'Calc (ex-animal)'!$D$113:$E$117,2,FALSE)*'DB technologies'!G295/1000)),"")</f>
        <v/>
      </c>
      <c r="M28" s="259" t="str">
        <f>IF('Calc (ex-animal)'!$F$113=1,IF('Calc (ex-housing, ex-storage)'!$C$607="Buffalo,solid (Tier1)",VLOOKUP('Calc (ex-housing, ex-storage)'!$C$607,'Calc (ex-animal)'!$D$113:$E$117,2,FALSE)*'DB technologies'!H294/1000,IF(C28="Camels,solid (Tier1)",VLOOKUP('DB technologies'!C296,'Calc (ex-animal)'!$D$113:$E$117,2,FALSE)*'DB technologies'!H296/1000,VLOOKUP('Calc (ex-housing, ex-storage)'!$C$607,'Calc (ex-animal)'!$D$113:$E$117,2,FALSE)*'DB technologies'!H295/1000)),"")</f>
        <v/>
      </c>
      <c r="N28" s="259" t="str">
        <f>IF('Calc (ex-animal)'!$F$113=1,IF('Calc (ex-housing, ex-storage)'!$C$607="Buffalo,solid (Tier1)",VLOOKUP('Calc (ex-housing, ex-storage)'!$C$607,'Calc (ex-animal)'!$D$113:$E$117,2,FALSE)*'DB technologies'!I294/1000,IF(C28="Camels,solid (Tier1)",VLOOKUP('DB technologies'!C296,'Calc (ex-animal)'!$D$113:$E$117,2,FALSE)*'DB technologies'!I296/1000,VLOOKUP('Calc (ex-housing, ex-storage)'!$C$607,'Calc (ex-animal)'!$D$113:$E$117,2,FALSE)*'DB technologies'!I295/1000)),"")</f>
        <v/>
      </c>
      <c r="O28" s="260" t="str">
        <f>IF('Calc (ex-animal)'!$F$113=1,IF('Calc (ex-housing, ex-storage)'!$C$607="Buffalo,solid (Tier1)",VLOOKUP('Calc (ex-housing, ex-storage)'!$C$607,'Calc (ex-animal)'!$D$113:$E$117,2,FALSE)*'DB technologies'!L294/1000,IF(C28="Camels,solid (Tier1)",VLOOKUP('DB technologies'!C296,'Calc (ex-animal)'!$D$113:$E$117,2,FALSE)*'DB technologies'!L296/1000,VLOOKUP('Calc (ex-housing, ex-storage)'!$C$607,'Calc (ex-animal)'!$D$113:$E$117,2,FALSE)*'DB technologies'!L295/1000)),"")</f>
        <v/>
      </c>
    </row>
    <row r="29" spans="2:15" x14ac:dyDescent="0.2">
      <c r="B29" s="681"/>
      <c r="C29" s="265">
        <f>IF('Calc (ex-animal)'!F114=1,'Calc (ex-housing, ex-storage)'!C613,0)</f>
        <v>0</v>
      </c>
      <c r="D29" s="613" t="str">
        <f>IF($C$29=0,"",VLOOKUP($C$29,'Calc (ex-animal)'!$D$113:$T$117,6,FALSE))</f>
        <v/>
      </c>
      <c r="E29" s="393" t="str">
        <f>IF($C$29=0,"",VLOOKUP($C$29,'Calc (ex-animal)'!$D$113:$T$117,7,FALSE))</f>
        <v/>
      </c>
      <c r="F29" s="261" t="str">
        <f>IF($C$29=0,"",VLOOKUP($C$29,'Calc (ex-animal)'!$D$113:$T$117,10,FALSE))</f>
        <v/>
      </c>
      <c r="G29" s="261" t="str">
        <f>IF($C$29=0,"",VLOOKUP($C$29,'Calc (ex-animal)'!$D$113:$T$117,13,FALSE))</f>
        <v/>
      </c>
      <c r="H29" s="616" t="str">
        <f>IF($C$29=0,"",VLOOKUP($C$29,'Calc (ex-animal)'!$D$113:$T$117,16,FALSE))</f>
        <v/>
      </c>
      <c r="I29" s="393" t="str">
        <f>IF('Calc (ex-animal)'!$F$114=1,IF('Calc (ex-housing, ex-storage)'!$C$613="Mules and asses,solid (Tier1)",VLOOKUP('Calc (ex-housing, ex-storage)'!$C$613,'Calc (ex-animal)'!$D$113:$E$117,2,FALSE)*'DB technologies'!D295,IF(C29="Camels,solid (Tier1)",VLOOKUP('DB technologies'!C296,'Calc (ex-animal)'!$D$113:$E$117,2,FALSE)*'DB technologies'!D296,VLOOKUP('Calc (ex-housing, ex-storage)'!$C$613,'Calc (ex-animal)'!$D$113:$E$117,2,FALSE)*'DB technologies'!D294)),"")</f>
        <v/>
      </c>
      <c r="J29" s="393" t="str">
        <f>IF('Calc (ex-animal)'!$F$114=1,IF('Calc (ex-housing, ex-storage)'!$C$613="Mules and asses,solid (Tier1)",'DB technologies'!E295,IF(C29="Camels,solid (Tier1)",'DB technologies'!E296,'DB technologies'!E294)),"")</f>
        <v/>
      </c>
      <c r="K29" s="261" t="str">
        <f>IF('Calc (ex-animal)'!$F$114=1,IF('Calc (ex-housing, ex-storage)'!$C$613="Mules and asses,solid (Tier1)",VLOOKUP('Calc (ex-housing, ex-storage)'!$C$613,'Calc (ex-animal)'!$D$113:$E$117,2,FALSE)*'DB technologies'!F295/1000,IF(C29="Camels,solid (Tier1)",VLOOKUP('DB technologies'!C296,'Calc (ex-animal)'!$D$113:$E$117,2,FALSE)*'DB technologies'!F296/1000,VLOOKUP('Calc (ex-housing, ex-storage)'!$C$613,'Calc (ex-animal)'!$D$113:$E$117,2,FALSE)*'DB technologies'!F294/1000)),"")</f>
        <v/>
      </c>
      <c r="L29" s="261" t="str">
        <f>IF('Calc (ex-animal)'!$F$114=1,IF('Calc (ex-housing, ex-storage)'!$C$613="Mules and asses,solid (Tier1)",VLOOKUP('Calc (ex-housing, ex-storage)'!$C$613,'Calc (ex-animal)'!$D$113:$E$117,2,FALSE)*'DB technologies'!G295/1000,IF(C29="Camels,solid (Tier1)",VLOOKUP('DB technologies'!C296,'Calc (ex-animal)'!$D$113:$E$117,2,FALSE)*'DB technologies'!G296/1000,VLOOKUP('Calc (ex-housing, ex-storage)'!$C$613,'Calc (ex-animal)'!$D$113:$E$117,2,FALSE)*'DB technologies'!G294/1000)),"")</f>
        <v/>
      </c>
      <c r="M29" s="261" t="str">
        <f>IF('Calc (ex-animal)'!$F$114=1,IF('Calc (ex-housing, ex-storage)'!$C$613="Mules and asses,solid (Tier1)",VLOOKUP('Calc (ex-housing, ex-storage)'!$C$613,'Calc (ex-animal)'!$D$113:$E$117,2,FALSE)*'DB technologies'!H295/1000,IF(C29="Camels,solid (Tier1)",VLOOKUP('DB technologies'!C296,'Calc (ex-animal)'!$D$113:$E$117,2,FALSE)*'DB technologies'!H296/1000,VLOOKUP('Calc (ex-housing, ex-storage)'!$C$613,'Calc (ex-animal)'!$D$113:$E$117,2,FALSE)*'DB technologies'!H294/1000)),"")</f>
        <v/>
      </c>
      <c r="N29" s="261" t="str">
        <f>IF('Calc (ex-animal)'!$F$114=1,IF('Calc (ex-housing, ex-storage)'!$C$613="Mules and asses,solid (Tier1)",VLOOKUP('Calc (ex-housing, ex-storage)'!$C$613,'Calc (ex-animal)'!$D$113:$E$117,2,FALSE)*'DB technologies'!I295/1000,IF(C29="Camels,solid (Tier1)",VLOOKUP('DB technologies'!C296,'Calc (ex-animal)'!$D$113:$E$117,2,FALSE)*'DB technologies'!I296/1000,VLOOKUP('Calc (ex-housing, ex-storage)'!$C$613,'Calc (ex-animal)'!$D$113:$E$117,2,FALSE)*'DB technologies'!I294/1000)),"")</f>
        <v/>
      </c>
      <c r="O29" s="262" t="str">
        <f>IF('Calc (ex-animal)'!$F$114=1,IF('Calc (ex-housing, ex-storage)'!$C$613="Mules and asses,solid (Tier1)",VLOOKUP('Calc (ex-housing, ex-storage)'!$C$613,'Calc (ex-animal)'!$D$113:$E$117,2,FALSE)*'DB technologies'!L295/1000,IF(C29="Camels,solid (Tier1)",VLOOKUP('DB technologies'!C296,'Calc (ex-animal)'!$D$113:$E$117,2,FALSE)*'DB technologies'!L296/1000,VLOOKUP('Calc (ex-housing, ex-storage)'!$C$613,'Calc (ex-animal)'!$D$113:$E$117,2,FALSE)*'DB technologies'!L294/1000)),"")</f>
        <v/>
      </c>
    </row>
    <row r="30" spans="2:15" ht="12" thickBot="1" x14ac:dyDescent="0.25">
      <c r="B30" s="682"/>
      <c r="C30" s="319">
        <f>IF('Calc (ex-animal)'!F115=1,'Calc (ex-housing, ex-storage)'!C619,0)</f>
        <v>0</v>
      </c>
      <c r="D30" s="612" t="str">
        <f>IF($C$30=0,"",VLOOKUP($C$30,'Calc (ex-animal)'!$D$113:$T$117,6,FALSE))</f>
        <v/>
      </c>
      <c r="E30" s="392" t="str">
        <f>IF($C$30=0,"",VLOOKUP($C$30,'Calc (ex-animal)'!$D$113:$T$117,7,FALSE))</f>
        <v/>
      </c>
      <c r="F30" s="267" t="str">
        <f>IF($C$30=0,"",VLOOKUP($C$30,'Calc (ex-animal)'!$D$113:$T$117,10,FALSE))</f>
        <v/>
      </c>
      <c r="G30" s="267" t="str">
        <f>IF($C$30=0,"",VLOOKUP($C$30,'Calc (ex-animal)'!$D$113:$T$117,13,FALSE))</f>
        <v/>
      </c>
      <c r="H30" s="615" t="str">
        <f>IF($C$30=0,"",VLOOKUP($C$30,'Calc (ex-animal)'!$D$113:$T$117,16,FALSE))</f>
        <v/>
      </c>
      <c r="I30" s="392" t="str">
        <f>IF('Calc (ex-animal)'!$F$115=1,IF('Calc (ex-housing, ex-storage)'!$C$619="Camels,solid (Tier1)",VLOOKUP('Calc (ex-housing, ex-storage)'!$C$619,'Calc (ex-animal)'!$D$113:$E$117,2,FALSE)*'DB technologies'!D296,IF(C30="Buffalo,solid (Tier1)",VLOOKUP('DB technologies'!C294,'Calc (ex-animal)'!$D$113:$E$117,2,FALSE)*'DB technologies'!D294,VLOOKUP('Calc (ex-housing, ex-storage)'!$C$619,'Calc (ex-animal)'!$D$113:$E$117,2,FALSE)*'DB technologies'!D295)),"")</f>
        <v/>
      </c>
      <c r="J30" s="392" t="str">
        <f>IF('Calc (ex-animal)'!$F$115=1,IF($C$619="Camels,solid (Tier1)",'DB technologies'!E296,IF(C$30="Buffalo,solid (Tier1)",'DB technologies'!E294,'DB technologies'!E295)),"")</f>
        <v/>
      </c>
      <c r="K30" s="267" t="str">
        <f>IF('Calc (ex-animal)'!$F$115=1,IF('Calc (ex-housing, ex-storage)'!$C$619="Camels,solid (Tier1)",VLOOKUP('Calc (ex-housing, ex-storage)'!$C$619,'Calc (ex-animal)'!$D$113:$E$117,2,FALSE)*'DB technologies'!F296/1000,IF(C30="Buffalo,solid (Tier1)",VLOOKUP('DB technologies'!C294,'Calc (ex-animal)'!$D$113:$E$117,2,FALSE)*'DB technologies'!F294/1000,VLOOKUP('Calc (ex-housing, ex-storage)'!$C$619,'Calc (ex-animal)'!$D$113:$E$117,2,FALSE)*'DB technologies'!F295/1000)),"")</f>
        <v/>
      </c>
      <c r="L30" s="267" t="str">
        <f>IF('Calc (ex-animal)'!$F$115=1,IF('Calc (ex-housing, ex-storage)'!$C$619="Camels,solid (Tier1)",VLOOKUP('Calc (ex-housing, ex-storage)'!$C$619,'Calc (ex-animal)'!$D$113:$E$117,2,FALSE)*'DB technologies'!G296/1000,IF(C30="Buffalo,solid (Tier1)",VLOOKUP('DB technologies'!C294,'Calc (ex-animal)'!$D$113:$E$117,2,FALSE)*'DB technologies'!G294/1000,VLOOKUP('Calc (ex-housing, ex-storage)'!$C$619,'Calc (ex-animal)'!$D$113:$E$117,2,FALSE)*'DB technologies'!G295/1000)),"")</f>
        <v/>
      </c>
      <c r="M30" s="267" t="str">
        <f>IF('Calc (ex-animal)'!$F$115=1,IF('Calc (ex-housing, ex-storage)'!$C$619="Camels,solid (Tier1)",VLOOKUP('Calc (ex-housing, ex-storage)'!$C$619,'Calc (ex-animal)'!$D$113:$E$117,2,FALSE)*'DB technologies'!H296/1000,IF(C30="Buffalo,solid (Tier1)",VLOOKUP('DB technologies'!C294,'Calc (ex-animal)'!$D$113:$E$117,2,FALSE)*'DB technologies'!H294/1000,VLOOKUP('Calc (ex-housing, ex-storage)'!$C$619,'Calc (ex-animal)'!$D$113:$E$117,2,FALSE)*'DB technologies'!H295/1000)),"")</f>
        <v/>
      </c>
      <c r="N30" s="267" t="str">
        <f>IF('Calc (ex-animal)'!$F$115=1,IF('Calc (ex-housing, ex-storage)'!$C$619="Camels,solid (Tier1)",VLOOKUP('Calc (ex-housing, ex-storage)'!$C$619,'Calc (ex-animal)'!$D$113:$E$117,2,FALSE)*'DB technologies'!I296/1000,IF(C30="Buffalo,solid (Tier1)",VLOOKUP('DB technologies'!C294,'Calc (ex-animal)'!$D$113:$E$117,2,FALSE)*'DB technologies'!I294/1000,VLOOKUP('Calc (ex-housing, ex-storage)'!$C$619,'Calc (ex-animal)'!$D$113:$E$117,2,FALSE)*'DB technologies'!I295/1000)),"")</f>
        <v/>
      </c>
      <c r="O30" s="268" t="str">
        <f>IF('Calc (ex-animal)'!$F$115=1,IF('Calc (ex-housing, ex-storage)'!$C$619="Camels,solid (Tier1)",VLOOKUP('Calc (ex-housing, ex-storage)'!$C$619,'Calc (ex-animal)'!$D$113:$E$117,2,FALSE)*'DB technologies'!L296/1000,IF(C30="Buffalo,solid (Tier1)",VLOOKUP('DB technologies'!C294,'Calc (ex-animal)'!$D$113:$E$117,2,FALSE)*'DB technologies'!L294/1000,VLOOKUP('Calc (ex-housing, ex-storage)'!$C$619,'Calc (ex-animal)'!$D$113:$E$117,2,FALSE)*'DB technologies'!L295/1000)),"")</f>
        <v/>
      </c>
    </row>
  </sheetData>
  <sheetProtection algorithmName="SHA-512" hashValue="Ob/+ppBCuovaitWCGOnnlIFSfmhwyCwo/5tZ97kpuWCduXFHNBLPOeD3+MNdBZUuithn/E2KEz80MW0KF+D8jw==" saltValue="WnlUGcghf9Y4+t44NuN4Ag==" spinCount="100000" sheet="1" formatCells="0" formatColumns="0" formatRows="0" insertColumns="0" insertRows="0" insertHyperlinks="0" deleteColumns="0" deleteRows="0" sort="0" autoFilter="0" pivotTables="0"/>
  <mergeCells count="25">
    <mergeCell ref="C2:C5"/>
    <mergeCell ref="F5:H5"/>
    <mergeCell ref="N2:O2"/>
    <mergeCell ref="I3:I4"/>
    <mergeCell ref="J3:J4"/>
    <mergeCell ref="K3:K4"/>
    <mergeCell ref="L3:L4"/>
    <mergeCell ref="M3:M4"/>
    <mergeCell ref="N3:N4"/>
    <mergeCell ref="B15:B16"/>
    <mergeCell ref="B28:B30"/>
    <mergeCell ref="O3:O4"/>
    <mergeCell ref="K5:O5"/>
    <mergeCell ref="B6:B7"/>
    <mergeCell ref="B8:B9"/>
    <mergeCell ref="B10:B12"/>
    <mergeCell ref="B13:B14"/>
    <mergeCell ref="H3:H4"/>
    <mergeCell ref="B2:B5"/>
    <mergeCell ref="D3:D4"/>
    <mergeCell ref="E3:E4"/>
    <mergeCell ref="F3:F4"/>
    <mergeCell ref="G3:G4"/>
    <mergeCell ref="I2:M2"/>
    <mergeCell ref="D2: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S29" sqref="S29"/>
    </sheetView>
  </sheetViews>
  <sheetFormatPr defaultColWidth="9.140625" defaultRowHeight="11.25" x14ac:dyDescent="0.2"/>
  <cols>
    <col min="1" max="1" width="34.140625" style="1" customWidth="1"/>
    <col min="2" max="2" width="10.5703125" style="1" customWidth="1"/>
    <col min="3" max="3" width="10.42578125" style="1" customWidth="1"/>
    <col min="4" max="4" width="11.140625" style="1" customWidth="1"/>
    <col min="5" max="6" width="10.140625" style="1" customWidth="1"/>
    <col min="7" max="7" width="10" style="1" hidden="1" customWidth="1"/>
    <col min="8" max="8" width="10.140625" style="1" customWidth="1"/>
    <col min="9" max="11" width="9.140625" style="1"/>
    <col min="12" max="12" width="9.140625" style="1" customWidth="1"/>
    <col min="13" max="13" width="9.140625" style="1" hidden="1" customWidth="1"/>
    <col min="14" max="17" width="9.140625" style="1"/>
    <col min="18" max="18" width="2" style="1" customWidth="1"/>
    <col min="19" max="21" width="9.140625" style="1"/>
    <col min="22" max="22" width="1.85546875" style="1" customWidth="1"/>
    <col min="23" max="24" width="9.140625" style="1" customWidth="1"/>
    <col min="25" max="25" width="10.85546875" style="1" customWidth="1"/>
    <col min="26" max="27" width="9.140625" style="1"/>
    <col min="28" max="28" width="10.7109375" style="1" customWidth="1"/>
    <col min="29" max="16384" width="9.140625" style="1"/>
  </cols>
  <sheetData>
    <row r="1" spans="1:33" ht="12" thickBot="1" x14ac:dyDescent="0.25"/>
    <row r="2" spans="1:33" ht="11.25" customHeight="1" thickBot="1" x14ac:dyDescent="0.25">
      <c r="A2" s="657" t="s">
        <v>57</v>
      </c>
      <c r="B2" s="916" t="s">
        <v>167</v>
      </c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917"/>
      <c r="O2" s="917"/>
      <c r="P2" s="917"/>
      <c r="Q2" s="917"/>
      <c r="R2" s="917"/>
      <c r="S2" s="917"/>
      <c r="T2" s="917"/>
      <c r="U2" s="918"/>
      <c r="W2" s="799" t="s">
        <v>166</v>
      </c>
      <c r="X2" s="655"/>
      <c r="Y2" s="655"/>
      <c r="Z2" s="655"/>
      <c r="AA2" s="655"/>
      <c r="AB2" s="655"/>
      <c r="AC2" s="655"/>
      <c r="AD2" s="655"/>
      <c r="AE2" s="655"/>
      <c r="AF2" s="655"/>
      <c r="AG2" s="915"/>
    </row>
    <row r="3" spans="1:33" ht="11.25" customHeight="1" thickBot="1" x14ac:dyDescent="0.25">
      <c r="A3" s="660"/>
      <c r="B3" s="916" t="s">
        <v>165</v>
      </c>
      <c r="C3" s="917"/>
      <c r="D3" s="917"/>
      <c r="E3" s="918"/>
      <c r="F3" s="916" t="s">
        <v>96</v>
      </c>
      <c r="G3" s="917"/>
      <c r="H3" s="917"/>
      <c r="I3" s="917"/>
      <c r="J3" s="917"/>
      <c r="K3" s="918"/>
      <c r="L3" s="916" t="s">
        <v>121</v>
      </c>
      <c r="M3" s="917"/>
      <c r="N3" s="917"/>
      <c r="O3" s="917"/>
      <c r="P3" s="917"/>
      <c r="Q3" s="918"/>
      <c r="R3" s="577"/>
      <c r="S3" s="930" t="s">
        <v>220</v>
      </c>
      <c r="T3" s="931"/>
      <c r="U3" s="932"/>
      <c r="W3" s="914" t="s">
        <v>96</v>
      </c>
      <c r="X3" s="738"/>
      <c r="Y3" s="913"/>
      <c r="Z3" s="803" t="s">
        <v>121</v>
      </c>
      <c r="AA3" s="726"/>
      <c r="AB3" s="727"/>
      <c r="AC3" s="914" t="s">
        <v>56</v>
      </c>
      <c r="AD3" s="913"/>
      <c r="AE3" s="914" t="s">
        <v>144</v>
      </c>
      <c r="AF3" s="738"/>
      <c r="AG3" s="913"/>
    </row>
    <row r="4" spans="1:33" ht="11.25" customHeight="1" thickBot="1" x14ac:dyDescent="0.25">
      <c r="A4" s="660"/>
      <c r="B4" s="317" t="s">
        <v>53</v>
      </c>
      <c r="C4" s="566" t="s">
        <v>9</v>
      </c>
      <c r="D4" s="564" t="s">
        <v>11</v>
      </c>
      <c r="E4" s="578" t="s">
        <v>12</v>
      </c>
      <c r="F4" s="916" t="s">
        <v>53</v>
      </c>
      <c r="G4" s="917"/>
      <c r="H4" s="925"/>
      <c r="I4" s="566" t="s">
        <v>9</v>
      </c>
      <c r="J4" s="564" t="s">
        <v>11</v>
      </c>
      <c r="K4" s="578" t="s">
        <v>12</v>
      </c>
      <c r="L4" s="916" t="s">
        <v>53</v>
      </c>
      <c r="M4" s="917"/>
      <c r="N4" s="918"/>
      <c r="O4" s="567" t="s">
        <v>9</v>
      </c>
      <c r="P4" s="564" t="s">
        <v>11</v>
      </c>
      <c r="Q4" s="578" t="s">
        <v>12</v>
      </c>
      <c r="R4" s="332"/>
      <c r="S4" s="333" t="s">
        <v>9</v>
      </c>
      <c r="T4" s="249" t="s">
        <v>11</v>
      </c>
      <c r="U4" s="334" t="s">
        <v>12</v>
      </c>
      <c r="W4" s="333" t="s">
        <v>123</v>
      </c>
      <c r="X4" s="249" t="s">
        <v>124</v>
      </c>
      <c r="Y4" s="334" t="s">
        <v>119</v>
      </c>
      <c r="Z4" s="333" t="s">
        <v>123</v>
      </c>
      <c r="AA4" s="249" t="s">
        <v>124</v>
      </c>
      <c r="AB4" s="334" t="s">
        <v>119</v>
      </c>
      <c r="AC4" s="333" t="s">
        <v>123</v>
      </c>
      <c r="AD4" s="334" t="s">
        <v>124</v>
      </c>
      <c r="AE4" s="333" t="s">
        <v>9</v>
      </c>
      <c r="AF4" s="249" t="s">
        <v>11</v>
      </c>
      <c r="AG4" s="334" t="s">
        <v>12</v>
      </c>
    </row>
    <row r="5" spans="1:33" ht="12" thickBot="1" x14ac:dyDescent="0.25">
      <c r="A5" s="660"/>
      <c r="B5" s="317" t="s">
        <v>241</v>
      </c>
      <c r="C5" s="923" t="s">
        <v>7</v>
      </c>
      <c r="D5" s="924"/>
      <c r="E5" s="808"/>
      <c r="F5" s="573" t="s">
        <v>241</v>
      </c>
      <c r="G5" s="588"/>
      <c r="H5" s="565" t="s">
        <v>30</v>
      </c>
      <c r="I5" s="709" t="s">
        <v>7</v>
      </c>
      <c r="J5" s="710"/>
      <c r="K5" s="711"/>
      <c r="L5" s="590" t="s">
        <v>241</v>
      </c>
      <c r="M5" s="591"/>
      <c r="N5" s="592" t="s">
        <v>30</v>
      </c>
      <c r="O5" s="582"/>
      <c r="P5" s="583"/>
      <c r="Q5" s="583"/>
      <c r="R5" s="335"/>
      <c r="S5" s="656" t="s">
        <v>7</v>
      </c>
      <c r="T5" s="656"/>
      <c r="U5" s="926"/>
      <c r="W5" s="681" t="s">
        <v>7</v>
      </c>
      <c r="X5" s="656"/>
      <c r="Y5" s="656"/>
      <c r="Z5" s="656"/>
      <c r="AA5" s="656"/>
      <c r="AB5" s="656"/>
      <c r="AC5" s="656"/>
      <c r="AD5" s="656"/>
      <c r="AE5" s="656"/>
      <c r="AF5" s="656"/>
      <c r="AG5" s="926"/>
    </row>
    <row r="6" spans="1:33" x14ac:dyDescent="0.2">
      <c r="A6" s="579" t="str">
        <f>'Calc (ex-animal)'!B8</f>
        <v>Cattle</v>
      </c>
      <c r="B6" s="338">
        <f>SUM('Calc (ex-animal)'!I8:I37)</f>
        <v>0</v>
      </c>
      <c r="C6" s="341">
        <f>SUM('Calc (ex-animal)'!M8:M37)*1000</f>
        <v>0</v>
      </c>
      <c r="D6" s="339">
        <f>SUM('Calc (ex-animal)'!P8:P37)*1000</f>
        <v>0</v>
      </c>
      <c r="E6" s="340">
        <f>SUM('Calc (ex-animal)'!S8:S37)*1000</f>
        <v>0</v>
      </c>
      <c r="F6" s="338">
        <f>SUMIF('Calc (ex-housing, ex-storage)'!$D$8:$D$157,"Total",'Calc (ex-housing, ex-storage)'!G8:G157)</f>
        <v>0</v>
      </c>
      <c r="G6" s="584">
        <f>SUMIF('Calc (ex-housing, ex-storage)'!$D$8:$D$157,"Total",'Calc (ex-housing, ex-storage)'!H8:H157)+SUMIF('Calc (ex-housing, ex-storage)'!$D$8:$D$157,"Total",'Calc (ex-housing, ex-storage)'!I8:I157)+SUMIF('Calc (ex-housing, ex-storage)'!$D$8:$D$157,"Total",'Calc (ex-housing, ex-storage)'!J8:J157)+SUMIF('Calc (ex-housing, ex-storage)'!$D$8:$D$157,"Total",'Calc (ex-housing, ex-storage)'!K8:K157)</f>
        <v>0</v>
      </c>
      <c r="H6" s="636">
        <f>IF(B6=0,0,G6/F6*100)</f>
        <v>0</v>
      </c>
      <c r="I6" s="341">
        <f>SUMIF('Calc (ex-housing, ex-storage)'!$D$8:$D$157,"Total",'Calc (ex-housing, ex-storage)'!T8:T157)*1000</f>
        <v>0</v>
      </c>
      <c r="J6" s="339">
        <f>SUMIF('Calc (ex-housing, ex-storage)'!$D$8:$D$157,"Total",'Calc (ex-housing, ex-storage)'!X8:X157)*1000</f>
        <v>0</v>
      </c>
      <c r="K6" s="340">
        <f>SUMIF('Calc (ex-housing, ex-storage)'!$D$8:$D$157,"Total",'Calc (ex-housing, ex-storage)'!AB8:AB157)*1000</f>
        <v>0</v>
      </c>
      <c r="L6" s="338">
        <f>SUMIF('Calc (ex-housing, ex-storage)'!$BG$8:$BG$25,"Total",'Calc (ex-housing, ex-storage)'!BI8:BI25)</f>
        <v>0</v>
      </c>
      <c r="M6" s="584">
        <f>SUMIF('Calc (ex-housing, ex-storage)'!$BG$8:$BG$25,"Total",'Calc (ex-housing, ex-storage)'!BJ8:BJ25)</f>
        <v>0</v>
      </c>
      <c r="N6" s="620">
        <f>IF(L6=0,0,M6/L6*100)</f>
        <v>0</v>
      </c>
      <c r="O6" s="341">
        <f>SUMIF('Calc (ex-housing, ex-storage)'!$BG$8:$BG$25,"Total",'Calc (ex-housing, ex-storage)'!BL8:BL25)*1000</f>
        <v>0</v>
      </c>
      <c r="P6" s="339">
        <f>SUMIF('Calc (ex-housing, ex-storage)'!$BG$8:$BG$25,"Total",'Calc (ex-housing, ex-storage)'!BM8:BM25)*1000</f>
        <v>0</v>
      </c>
      <c r="Q6" s="340">
        <f>SUMIF('Calc (ex-housing, ex-storage)'!$BG$8:$BG$25,"Total",'Calc (ex-housing, ex-storage)'!BN8:BN25)*1000</f>
        <v>0</v>
      </c>
      <c r="R6" s="336"/>
      <c r="S6" s="338">
        <f>SUM('Calc (ex-animal)'!U8:U37)*1000</f>
        <v>0</v>
      </c>
      <c r="T6" s="339">
        <f>SUM('Calc (ex-animal)'!X8:X37)*1000</f>
        <v>0</v>
      </c>
      <c r="U6" s="340">
        <f>SUM('Calc (ex-animal)'!Y8:Y37)*1000</f>
        <v>0</v>
      </c>
      <c r="W6" s="338">
        <f>SUMIF('Calc (ex-housing, ex-storage)'!$D$8:$D$157,"Total",'Calc (ex-housing, ex-storage)'!AC8:AC157)*1000</f>
        <v>0</v>
      </c>
      <c r="X6" s="339">
        <f>SUMIF('Calc (ex-housing, ex-storage)'!$D$8:$D$157,"Total",'Calc (ex-housing, ex-storage)'!AD8:AD157)*1000</f>
        <v>0</v>
      </c>
      <c r="Y6" s="340">
        <f>SUMIF('Calc (ex-housing, ex-storage)'!$D$8:$D$157,"Total",'Calc (ex-housing, ex-storage)'!AE8:AE157)*1000</f>
        <v>0</v>
      </c>
      <c r="Z6" s="338">
        <f>SUMIF('Calc (ex-housing, ex-storage)'!$BG$8:$BG$25,"Total",'Calc (ex-housing, ex-storage)'!BO8:BO25)*1000</f>
        <v>0</v>
      </c>
      <c r="AA6" s="339">
        <f>SUMIF('Calc (ex-housing, ex-storage)'!$BG$8:$BG$25,"Total",'Calc (ex-housing, ex-storage)'!BP8:BP25)*1000</f>
        <v>0</v>
      </c>
      <c r="AB6" s="340">
        <f>SUMIF('Calc (ex-housing, ex-storage)'!$BG$8:$BG$25,"Total",'Calc (ex-housing, ex-storage)'!BQ8:BQ25)*1000</f>
        <v>0</v>
      </c>
      <c r="AC6" s="341">
        <f>SUM('Calc (ex-animal)'!V8:V37)*1000</f>
        <v>0</v>
      </c>
      <c r="AD6" s="610">
        <f>SUM('Calc (ex-animal)'!W8:W37)*1000</f>
        <v>0</v>
      </c>
      <c r="AE6" s="338">
        <f>SUMIF('Calc (ex-housing, ex-storage)'!$BG$8:$BG$25,"Total",'Calc (ex-housing, ex-storage)'!BR8:BR25)*1000</f>
        <v>0</v>
      </c>
      <c r="AF6" s="339">
        <f>SUMIF('Calc (ex-housing, ex-storage)'!$BG$8:$BG$25,"Total",'Calc (ex-housing, ex-storage)'!BS8:BS25)*1000</f>
        <v>0</v>
      </c>
      <c r="AG6" s="340">
        <f>SUMIF('Calc (ex-housing, ex-storage)'!$BG$8:$BG$25,"Total",'Calc (ex-housing, ex-storage)'!BT8:BT25)*1000</f>
        <v>0</v>
      </c>
    </row>
    <row r="7" spans="1:33" x14ac:dyDescent="0.2">
      <c r="A7" s="580" t="str">
        <f>'Calc (ex-animal)'!B38</f>
        <v>Pigs</v>
      </c>
      <c r="B7" s="342">
        <f>SUM('Calc (ex-animal)'!I38:I57)</f>
        <v>0</v>
      </c>
      <c r="C7" s="345">
        <f>SUM('Calc (ex-animal)'!M38:M57)*1000</f>
        <v>0</v>
      </c>
      <c r="D7" s="343">
        <f>SUM('Calc (ex-animal)'!P38:P57)*1000</f>
        <v>0</v>
      </c>
      <c r="E7" s="344">
        <f>SUM('Calc (ex-animal)'!S38:S57)*1000</f>
        <v>0</v>
      </c>
      <c r="F7" s="342">
        <f>SUMIF('Calc (ex-housing, ex-storage)'!$D$160:$D$274,"Total",'Calc (ex-housing, ex-storage)'!G160:G274)</f>
        <v>0</v>
      </c>
      <c r="G7" s="585">
        <f>SUMIF('Calc (ex-housing, ex-storage)'!$D$160:$D$274,"Total",'Calc (ex-housing, ex-storage)'!H160:H274)+SUMIF('Calc (ex-housing, ex-storage)'!$D$160:$D$274,"Total",'Calc (ex-housing, ex-storage)'!I160:I274)+SUMIF('Calc (ex-housing, ex-storage)'!$D$160:$D$274,"Total",'Calc (ex-housing, ex-storage)'!J60:HK274)+SUMIF('Calc (ex-housing, ex-storage)'!$D$160:$D$274,"Total",'Calc (ex-housing, ex-storage)'!K160:K274)</f>
        <v>0</v>
      </c>
      <c r="H7" s="635">
        <f>IF(B7=0,0,G7/F7*100)</f>
        <v>0</v>
      </c>
      <c r="I7" s="345">
        <f>SUMIF('Calc (ex-housing, ex-storage)'!$D$160:$D$274,"Total",'Calc (ex-housing, ex-storage)'!T160:T274)*1000</f>
        <v>0</v>
      </c>
      <c r="J7" s="343">
        <f>SUMIF('Calc (ex-housing, ex-storage)'!$D$160:$D$274,"Total",'Calc (ex-housing, ex-storage)'!X160:X274)*1000</f>
        <v>0</v>
      </c>
      <c r="K7" s="344">
        <f>SUMIF('Calc (ex-housing, ex-storage)'!$D$160:$D$274,"Total",'Calc (ex-housing, ex-storage)'!AB160:AB274)*1000</f>
        <v>0</v>
      </c>
      <c r="L7" s="342">
        <f>SUMIF('Calc (ex-housing, ex-storage)'!$BG$27:$BG$44,"Total",'Calc (ex-housing, ex-storage)'!BI27:BI44)</f>
        <v>0</v>
      </c>
      <c r="M7" s="585">
        <f>SUMIF('Calc (ex-housing, ex-storage)'!$BG$27:$BG$44,"Total",'Calc (ex-housing, ex-storage)'!BJ27:BJ44)</f>
        <v>0</v>
      </c>
      <c r="N7" s="621">
        <f t="shared" ref="N7:N12" si="0">IF(L7=0,0,M7/L7*100)</f>
        <v>0</v>
      </c>
      <c r="O7" s="345">
        <f>SUMIF('Calc (ex-housing, ex-storage)'!$BG$27:$BG$44,"Total",'Calc (ex-housing, ex-storage)'!BL27:BL44)*1000</f>
        <v>0</v>
      </c>
      <c r="P7" s="343">
        <f>SUMIF('Calc (ex-housing, ex-storage)'!$BG$27:$BG$44,"Total",'Calc (ex-housing, ex-storage)'!BM27:BM44)*1000</f>
        <v>0</v>
      </c>
      <c r="Q7" s="344">
        <f>SUMIF('Calc (ex-housing, ex-storage)'!$BG$27:$BG$44,"Total",'Calc (ex-housing, ex-storage)'!BN27:BN44)*1000</f>
        <v>0</v>
      </c>
      <c r="R7" s="332"/>
      <c r="S7" s="342">
        <f>SUM('Calc (ex-animal)'!U38:U57)*1000</f>
        <v>0</v>
      </c>
      <c r="T7" s="343">
        <f>SUM('Calc (ex-animal)'!X38:X57)*1000</f>
        <v>0</v>
      </c>
      <c r="U7" s="344">
        <f>SUM('Calc (ex-animal)'!Y38:Y57)*1000</f>
        <v>0</v>
      </c>
      <c r="W7" s="342">
        <f>SUMIF('Calc (ex-housing, ex-storage)'!$D$160:$D$274,"Total",'Calc (ex-housing, ex-storage)'!AC160:AC274)*1000</f>
        <v>0</v>
      </c>
      <c r="X7" s="343">
        <f>SUMIF('Calc (ex-housing, ex-storage)'!$D$160:$D$274,"Total",'Calc (ex-housing, ex-storage)'!AD160:AD274)*1000</f>
        <v>0</v>
      </c>
      <c r="Y7" s="344">
        <f>SUMIF('Calc (ex-housing, ex-storage)'!$D$160:$D$274,"Total",'Calc (ex-housing, ex-storage)'!AE160:AE274)*1000</f>
        <v>0</v>
      </c>
      <c r="Z7" s="342">
        <f>SUMIF('Calc (ex-housing, ex-storage)'!$BG$27:$BG$44,"Total",'Calc (ex-housing, ex-storage)'!BO27:BO44)*1000</f>
        <v>0</v>
      </c>
      <c r="AA7" s="343">
        <f>SUMIF('Calc (ex-housing, ex-storage)'!$BG$27:$BG$44,"Total",'Calc (ex-housing, ex-storage)'!BP27:BP44)*1000</f>
        <v>0</v>
      </c>
      <c r="AB7" s="344">
        <f>SUMIF('Calc (ex-housing, ex-storage)'!$BG$27:$BG$44,"Total",'Calc (ex-housing, ex-storage)'!BQ27:BQ44)*1000</f>
        <v>0</v>
      </c>
      <c r="AC7" s="345">
        <f>SUM('Calc (ex-animal)'!V38:V57)*1000</f>
        <v>0</v>
      </c>
      <c r="AD7" s="344">
        <f>SUM('Calc (ex-animal)'!W38:W57)*1000</f>
        <v>0</v>
      </c>
      <c r="AE7" s="342">
        <f>SUMIF('Calc (ex-housing, ex-storage)'!$BG$27:$BG$44,"Total",'Calc (ex-housing, ex-storage)'!BR27:BR44)*1000</f>
        <v>0</v>
      </c>
      <c r="AF7" s="343">
        <f>SUMIF('Calc (ex-housing, ex-storage)'!$BG$27:$BG$44,"Total",'Calc (ex-housing, ex-storage)'!BS27:BS44)*1000</f>
        <v>0</v>
      </c>
      <c r="AG7" s="344">
        <f>SUMIF('Calc (ex-housing, ex-storage)'!$BG$27:$BG$44,"Total",'Calc (ex-housing, ex-storage)'!BT27:BT44)*1000</f>
        <v>0</v>
      </c>
    </row>
    <row r="8" spans="1:33" x14ac:dyDescent="0.2">
      <c r="A8" s="580" t="str">
        <f>'Calc (ex-animal)'!B58</f>
        <v>Poultry</v>
      </c>
      <c r="B8" s="342">
        <f>SUM('Calc (ex-animal)'!I58:I92)</f>
        <v>0</v>
      </c>
      <c r="C8" s="345">
        <f>SUM('Calc (ex-animal)'!M58:M92)*1000</f>
        <v>0</v>
      </c>
      <c r="D8" s="343">
        <f>SUM('Calc (ex-animal)'!P58:P92)*1000</f>
        <v>0</v>
      </c>
      <c r="E8" s="344">
        <f>SUM('Calc (ex-animal)'!S58:S92)*1000</f>
        <v>0</v>
      </c>
      <c r="F8" s="342">
        <f>SUMIF('Calc (ex-housing, ex-storage)'!$D$277:$D$486,"Total",'Calc (ex-housing, ex-storage)'!G277:G486)</f>
        <v>0</v>
      </c>
      <c r="G8" s="585">
        <f>SUMIF('Calc (ex-housing, ex-storage)'!$D$277:$D$486,"Total",'Calc (ex-housing, ex-storage)'!H277:K486)+SUMIF('Calc (ex-housing, ex-storage)'!$D$277:$D$486,"Total",'Calc (ex-housing, ex-storage)'!I277:I486)+SUMIF('Calc (ex-housing, ex-storage)'!$D$277:$D$486,"Total",'Calc (ex-housing, ex-storage)'!J277:J486)+SUMIF('Calc (ex-housing, ex-storage)'!$D$277:$D$486,"Total",'Calc (ex-housing, ex-storage)'!K277:K486)</f>
        <v>0</v>
      </c>
      <c r="H8" s="586">
        <f t="shared" ref="H8:H13" si="1">IF(B8=0,0,G8/F8*100)</f>
        <v>0</v>
      </c>
      <c r="I8" s="345">
        <f>SUMIF('Calc (ex-housing, ex-storage)'!$D$277:$D$486,"Total",'Calc (ex-housing, ex-storage)'!T277:T486)*1000</f>
        <v>0</v>
      </c>
      <c r="J8" s="343">
        <f>SUMIF('Calc (ex-housing, ex-storage)'!$D$277:$D$486,"Total",'Calc (ex-housing, ex-storage)'!X277:X486)*1000</f>
        <v>0</v>
      </c>
      <c r="K8" s="344">
        <f>SUMIF('Calc (ex-housing, ex-storage)'!$D$277:$D$486,"Total",'Calc (ex-housing, ex-storage)'!AB277:AB486)*1000</f>
        <v>0</v>
      </c>
      <c r="L8" s="342">
        <f>SUMIF('Calc (ex-housing, ex-storage)'!$BG$46:$BG$63,"Total",'Calc (ex-housing, ex-storage)'!BI46:BI63)</f>
        <v>0</v>
      </c>
      <c r="M8" s="585">
        <f>SUMIF('Calc (ex-housing, ex-storage)'!$BG$46:$BG$63,"Total",'Calc (ex-housing, ex-storage)'!BJ46:BJ63)</f>
        <v>0</v>
      </c>
      <c r="N8" s="621">
        <f t="shared" si="0"/>
        <v>0</v>
      </c>
      <c r="O8" s="345">
        <f>SUMIF('Calc (ex-housing, ex-storage)'!$BG$46:$BG$63,"Total",'Calc (ex-housing, ex-storage)'!BL46:BL63)*1000</f>
        <v>0</v>
      </c>
      <c r="P8" s="343">
        <f>SUMIF('Calc (ex-housing, ex-storage)'!$BG$46:$BG$63,"Total",'Calc (ex-housing, ex-storage)'!BM46:BM63)*1000</f>
        <v>0</v>
      </c>
      <c r="Q8" s="344">
        <f>SUMIF('Calc (ex-housing, ex-storage)'!$BG$46:$BG$63,"Total",'Calc (ex-housing, ex-storage)'!BN46:BN63)*1000</f>
        <v>0</v>
      </c>
      <c r="R8" s="332"/>
      <c r="S8" s="342">
        <f>SUM('Calc (ex-animal)'!U58:U92)*1000</f>
        <v>0</v>
      </c>
      <c r="T8" s="343">
        <f>SUM('Calc (ex-animal)'!X58:X92)*1000</f>
        <v>0</v>
      </c>
      <c r="U8" s="344">
        <f>SUM('Calc (ex-animal)'!Y58:Y92)*1000</f>
        <v>0</v>
      </c>
      <c r="W8" s="342">
        <f>SUMIF('Calc (ex-housing, ex-storage)'!$D$277:$D$486,"Total",'Calc (ex-housing, ex-storage)'!AC277:AC486)*1000</f>
        <v>0</v>
      </c>
      <c r="X8" s="343">
        <f>SUMIF('Calc (ex-housing, ex-storage)'!$D$277:$D$486,"Total",'Calc (ex-housing, ex-storage)'!AD277:AD486)*1000</f>
        <v>0</v>
      </c>
      <c r="Y8" s="344">
        <f>SUMIF('Calc (ex-housing, ex-storage)'!$D$277:$D$486,"Total",'Calc (ex-housing, ex-storage)'!AE277:AE486)*1000</f>
        <v>0</v>
      </c>
      <c r="Z8" s="342">
        <f>SUMIF('Calc (ex-housing, ex-storage)'!$BG$46:$BG$63,"Total",'Calc (ex-housing, ex-storage)'!BO46:BO63)*1000</f>
        <v>0</v>
      </c>
      <c r="AA8" s="343">
        <f>SUMIF('Calc (ex-housing, ex-storage)'!$BG$46:$BG$63,"Total",'Calc (ex-housing, ex-storage)'!BP46:BP63)*1000</f>
        <v>0</v>
      </c>
      <c r="AB8" s="344">
        <f>SUMIF('Calc (ex-housing, ex-storage)'!$BG$46:$BG$63,"Total",'Calc (ex-housing, ex-storage)'!BQ46:BQ63)*1000</f>
        <v>0</v>
      </c>
      <c r="AC8" s="345">
        <f>SUM('Calc (ex-animal)'!V58:V92)*1000</f>
        <v>0</v>
      </c>
      <c r="AD8" s="344">
        <f>SUM('Calc (ex-animal)'!W58:W92)*1000</f>
        <v>0</v>
      </c>
      <c r="AE8" s="342">
        <f>SUMIF('Calc (ex-housing, ex-storage)'!$BG$46:$BG$63,"Total",'Calc (ex-housing, ex-storage)'!BR46:BR63)*1000</f>
        <v>0</v>
      </c>
      <c r="AF8" s="343">
        <f>SUMIF('Calc (ex-housing, ex-storage)'!$BG$46:$BG$63,"Total",'Calc (ex-housing, ex-storage)'!BS46:BS63)*1000</f>
        <v>0</v>
      </c>
      <c r="AG8" s="344">
        <f>SUMIF('Calc (ex-housing, ex-storage)'!$BG$46:$BG$63,"Total",'Calc (ex-housing, ex-storage)'!BT46:BT63)*1000</f>
        <v>0</v>
      </c>
    </row>
    <row r="9" spans="1:33" x14ac:dyDescent="0.2">
      <c r="A9" s="580" t="str">
        <f>'Calc (ex-animal)'!C93</f>
        <v>Sheep</v>
      </c>
      <c r="B9" s="342">
        <f>SUM('Calc (ex-animal)'!I93:I97)</f>
        <v>0</v>
      </c>
      <c r="C9" s="345">
        <f>SUM('Calc (ex-animal)'!M93:M97)*1000</f>
        <v>0</v>
      </c>
      <c r="D9" s="343">
        <f>SUM('Calc (ex-animal)'!P93:P97)*1000</f>
        <v>0</v>
      </c>
      <c r="E9" s="344">
        <f>SUM('Calc (ex-animal)'!S93:S97)*1000</f>
        <v>0</v>
      </c>
      <c r="F9" s="342">
        <f>SUMIF('Calc (ex-housing, ex-storage)'!$D$487:$D$516,"Total",'Calc (ex-housing, ex-storage)'!G487:G516)</f>
        <v>0</v>
      </c>
      <c r="G9" s="585">
        <f>SUMIF('Calc (ex-housing, ex-storage)'!$D$487:$D$516,"Total",'Calc (ex-housing, ex-storage)'!H487:H516)+SUMIF('Calc (ex-housing, ex-storage)'!$D$487:$D$516,"Total",'Calc (ex-housing, ex-storage)'!I487:I516)+SUMIF('Calc (ex-housing, ex-storage)'!$D$487:$D$516,"Total",'Calc (ex-housing, ex-storage)'!J487:J516)+SUMIF('Calc (ex-housing, ex-storage)'!$D$487:$D$516,"Total",'Calc (ex-housing, ex-storage)'!K487:K516)</f>
        <v>0</v>
      </c>
      <c r="H9" s="586">
        <f t="shared" si="1"/>
        <v>0</v>
      </c>
      <c r="I9" s="345">
        <f>SUMIF('Calc (ex-housing, ex-storage)'!$D$487:$D$516,"Total",'Calc (ex-housing, ex-storage)'!T487:T516)*1000</f>
        <v>0</v>
      </c>
      <c r="J9" s="343">
        <f>SUMIF('Calc (ex-housing, ex-storage)'!$D$487:$D$516,"Total",'Calc (ex-housing, ex-storage)'!X487:X516)*1000</f>
        <v>0</v>
      </c>
      <c r="K9" s="344">
        <f>SUMIF('Calc (ex-housing, ex-storage)'!$D$487:$D$516,"Total",'Calc (ex-housing, ex-storage)'!AB487:AB516)*1000</f>
        <v>0</v>
      </c>
      <c r="L9" s="919">
        <f>SUMIF('Calc (ex-housing, ex-storage)'!$BG$65:$BG$82,"Total",'Calc (ex-housing, ex-storage)'!BI65:BI82)</f>
        <v>0</v>
      </c>
      <c r="M9" s="920">
        <f>SUMIF('Calc (ex-housing, ex-storage)'!$BG$65:$BG$82,"Total",'Calc (ex-housing, ex-storage)'!BJ65:BJ82)</f>
        <v>0</v>
      </c>
      <c r="N9" s="921">
        <f>IF(L9=0,0,M9/L9*100)</f>
        <v>0</v>
      </c>
      <c r="O9" s="929">
        <f>SUMIF('Calc (ex-housing, ex-storage)'!$BG$65:$BG$82,"Total",'Calc (ex-housing, ex-storage)'!BL65:BL82)*1000</f>
        <v>0</v>
      </c>
      <c r="P9" s="928">
        <f>SUMIF('Calc (ex-housing, ex-storage)'!$BG$65:$BG$82,"Total",'Calc (ex-housing, ex-storage)'!BM65:BM82)*1000</f>
        <v>0</v>
      </c>
      <c r="Q9" s="927">
        <f>SUMIF('Calc (ex-housing, ex-storage)'!$BG$65:$BG$82,"Total",'Calc (ex-housing, ex-storage)'!BN65:BN82)*1000</f>
        <v>0</v>
      </c>
      <c r="R9" s="332"/>
      <c r="S9" s="342">
        <f>SUM('Calc (ex-animal)'!U93:U97)*1000</f>
        <v>0</v>
      </c>
      <c r="T9" s="343">
        <f>SUM('Calc (ex-animal)'!X93:X97)*1000</f>
        <v>0</v>
      </c>
      <c r="U9" s="344">
        <f>SUM('Calc (ex-animal)'!Y93:Y97)*1000</f>
        <v>0</v>
      </c>
      <c r="W9" s="342">
        <f>SUMIF('Calc (ex-housing, ex-storage)'!$D$487:$D$516,"Total",'Calc (ex-housing, ex-storage)'!AC487:AC516)*1000</f>
        <v>0</v>
      </c>
      <c r="X9" s="343">
        <f>SUMIF('Calc (ex-housing, ex-storage)'!$D$487:$D$516,"Total",'Calc (ex-housing, ex-storage)'!AD487:AD516)*1000</f>
        <v>0</v>
      </c>
      <c r="Y9" s="344">
        <f>SUMIF('Calc (ex-housing, ex-storage)'!$D$487:$D$516,"Total",'Calc (ex-housing, ex-storage)'!AE487:AE516)*1000</f>
        <v>0</v>
      </c>
      <c r="Z9" s="919">
        <f>SUMIF('Calc (ex-housing, ex-storage)'!$BG$65:$BG$82,"Total",'Calc (ex-housing, ex-storage)'!BO65:BO82)*1000</f>
        <v>0</v>
      </c>
      <c r="AA9" s="928">
        <f>SUMIF('Calc (ex-housing, ex-storage)'!$BG$65:$BG$82,"Total",'Calc (ex-housing, ex-storage)'!BP65:BP82)*1000</f>
        <v>0</v>
      </c>
      <c r="AB9" s="927">
        <f>SUMIF('Calc (ex-housing, ex-storage)'!$BG$65:$BG$82,"Total",'Calc (ex-housing, ex-storage)'!BQ65:BQ82)*1000</f>
        <v>0</v>
      </c>
      <c r="AC9" s="345">
        <f>SUM('Calc (ex-animal)'!V93:V97)*1000</f>
        <v>0</v>
      </c>
      <c r="AD9" s="344">
        <f>SUM('Calc (ex-animal)'!W93:W97)*1000</f>
        <v>0</v>
      </c>
      <c r="AE9" s="919">
        <f>SUMIF('Calc (ex-housing, ex-storage)'!$BG$65:$BG$82,"Total",'Calc (ex-housing, ex-storage)'!BR65:BR82)*1000</f>
        <v>0</v>
      </c>
      <c r="AF9" s="928">
        <f>SUMIF('Calc (ex-housing, ex-storage)'!$BG$65:$BG$82,"Total",'Calc (ex-housing, ex-storage)'!BS65:BS82)*1000</f>
        <v>0</v>
      </c>
      <c r="AG9" s="927">
        <f>SUMIF('Calc (ex-housing, ex-storage)'!$BG$65:$BG$82,"Total",'Calc (ex-housing, ex-storage)'!BT65:BT82)*1000</f>
        <v>0</v>
      </c>
    </row>
    <row r="10" spans="1:33" x14ac:dyDescent="0.2">
      <c r="A10" s="580" t="str">
        <f>'Calc (ex-animal)'!C98</f>
        <v>Goats</v>
      </c>
      <c r="B10" s="342">
        <f>SUM('Calc (ex-animal)'!I98:I102)</f>
        <v>0</v>
      </c>
      <c r="C10" s="345">
        <f>SUM('Calc (ex-animal)'!M98:M102)*1000</f>
        <v>0</v>
      </c>
      <c r="D10" s="343">
        <f>SUM('Calc (ex-animal)'!P98:P102)*1000</f>
        <v>0</v>
      </c>
      <c r="E10" s="344">
        <f>SUM('Calc (ex-animal)'!S98:S102)*1000</f>
        <v>0</v>
      </c>
      <c r="F10" s="342">
        <f>SUMIF('Calc (ex-housing, ex-storage)'!$D$517:$D$546,"Total",'Calc (ex-housing, ex-storage)'!G517:G546)</f>
        <v>0</v>
      </c>
      <c r="G10" s="585">
        <f>SUMIF('Calc (ex-housing, ex-storage)'!$D$517:$D$546,"Total",'Calc (ex-housing, ex-storage)'!H517:H546)+SUMIF('Calc (ex-housing, ex-storage)'!$D$517:$D$546,"Total",'Calc (ex-housing, ex-storage)'!I517:I546)+SUMIF('Calc (ex-housing, ex-storage)'!$D$517:$D$546,"Total",'Calc (ex-housing, ex-storage)'!J517:J546)+SUMIF('Calc (ex-housing, ex-storage)'!$D$517:$D$546,"Total",'Calc (ex-housing, ex-storage)'!K517:K546)</f>
        <v>0</v>
      </c>
      <c r="H10" s="586">
        <f t="shared" si="1"/>
        <v>0</v>
      </c>
      <c r="I10" s="345">
        <f>SUMIF('Calc (ex-housing, ex-storage)'!$D$517:$D$546,"Total",'Calc (ex-housing, ex-storage)'!T517:T546)*1000</f>
        <v>0</v>
      </c>
      <c r="J10" s="343">
        <f>SUMIF('Calc (ex-housing, ex-storage)'!$D$517:$D$546,"Total",'Calc (ex-housing, ex-storage)'!X517:X546)*1000</f>
        <v>0</v>
      </c>
      <c r="K10" s="344">
        <f>SUMIF('Calc (ex-housing, ex-storage)'!$D$517:$D$546,"Total",'Calc (ex-housing, ex-storage)'!AB517:AB546)*1000</f>
        <v>0</v>
      </c>
      <c r="L10" s="919"/>
      <c r="M10" s="920"/>
      <c r="N10" s="922"/>
      <c r="O10" s="929"/>
      <c r="P10" s="928"/>
      <c r="Q10" s="927"/>
      <c r="R10" s="332"/>
      <c r="S10" s="342">
        <f>SUM('Calc (ex-animal)'!U98:U102)*1000</f>
        <v>0</v>
      </c>
      <c r="T10" s="343">
        <f>SUM('Calc (ex-animal)'!X98:X102)*1000</f>
        <v>0</v>
      </c>
      <c r="U10" s="344">
        <f>SUM('Calc (ex-animal)'!Y98:Y102)*1000</f>
        <v>0</v>
      </c>
      <c r="W10" s="342">
        <f>SUMIF('Calc (ex-housing, ex-storage)'!$D$517:$D$546,"Total",'Calc (ex-housing, ex-storage)'!AC517:AC546)*1000</f>
        <v>0</v>
      </c>
      <c r="X10" s="343">
        <f>SUMIF('Calc (ex-housing, ex-storage)'!$D$517:$D$546,"Total",'Calc (ex-housing, ex-storage)'!AD517:AD546)*1000</f>
        <v>0</v>
      </c>
      <c r="Y10" s="344">
        <f>SUMIF('Calc (ex-housing, ex-storage)'!$D$517:$D$546,"Total",'Calc (ex-housing, ex-storage)'!AE517:AE546)*1000</f>
        <v>0</v>
      </c>
      <c r="Z10" s="919"/>
      <c r="AA10" s="928"/>
      <c r="AB10" s="927"/>
      <c r="AC10" s="345">
        <f>SUM('Calc (ex-animal)'!V98:V102)*1000</f>
        <v>0</v>
      </c>
      <c r="AD10" s="344">
        <f>SUM('Calc (ex-animal)'!W98:W102)*1000</f>
        <v>0</v>
      </c>
      <c r="AE10" s="919"/>
      <c r="AF10" s="928"/>
      <c r="AG10" s="927"/>
    </row>
    <row r="11" spans="1:33" x14ac:dyDescent="0.2">
      <c r="A11" s="580" t="str">
        <f>'Calc (ex-animal)'!C103</f>
        <v>Horses</v>
      </c>
      <c r="B11" s="342">
        <f>SUM('Calc (ex-animal)'!I103:I107)</f>
        <v>0</v>
      </c>
      <c r="C11" s="345">
        <f>SUM('Calc (ex-animal)'!M103:M107)*1000</f>
        <v>0</v>
      </c>
      <c r="D11" s="343">
        <f>SUM('Calc (ex-animal)'!P103:P107)*1000</f>
        <v>0</v>
      </c>
      <c r="E11" s="344">
        <f>SUM('Calc (ex-animal)'!S103:S107)*1000</f>
        <v>0</v>
      </c>
      <c r="F11" s="342">
        <f>SUMIF('Calc (ex-housing, ex-storage)'!$D$547:$D$576,"Total",'Calc (ex-housing, ex-storage)'!G547:G576)</f>
        <v>0</v>
      </c>
      <c r="G11" s="585">
        <f>SUMIF('Calc (ex-housing, ex-storage)'!$D$547:$D$576,"Total",'Calc (ex-housing, ex-storage)'!H547:H576)+SUMIF('Calc (ex-housing, ex-storage)'!$D$547:$D$576,"Total",'Calc (ex-housing, ex-storage)'!I547:I576)+SUMIF('Calc (ex-housing, ex-storage)'!$D$547:$D$576,"Total",'Calc (ex-housing, ex-storage)'!J547:J576)+SUMIF('Calc (ex-housing, ex-storage)'!$D$547:$D$576,"Total",'Calc (ex-housing, ex-storage)'!K547:K576)</f>
        <v>0</v>
      </c>
      <c r="H11" s="586">
        <f t="shared" si="1"/>
        <v>0</v>
      </c>
      <c r="I11" s="345">
        <f>SUMIF('Calc (ex-housing, ex-storage)'!$D$547:$D$576,"Total",'Calc (ex-housing, ex-storage)'!T547:T576)*1000</f>
        <v>0</v>
      </c>
      <c r="J11" s="343">
        <f>SUMIF('Calc (ex-housing, ex-storage)'!$D$547:$D$576,"Total",'Calc (ex-housing, ex-storage)'!X547:X576)*1000</f>
        <v>0</v>
      </c>
      <c r="K11" s="344">
        <f>SUMIF('Calc (ex-housing, ex-storage)'!$D$547:$D$576,"Total",'Calc (ex-housing, ex-storage)'!AB547:AB576)*1000</f>
        <v>0</v>
      </c>
      <c r="L11" s="342">
        <f>SUMIF('Calc (ex-housing, ex-storage)'!$BG$84:$BG$101,"Total",'Calc (ex-housing, ex-storage)'!BI84:BI101)</f>
        <v>0</v>
      </c>
      <c r="M11" s="585">
        <f>SUMIF('Calc (ex-housing, ex-storage)'!$BG$84:$BG$101,"Total",'Calc (ex-housing, ex-storage)'!BJ84:BJ101)</f>
        <v>0</v>
      </c>
      <c r="N11" s="621">
        <f t="shared" si="0"/>
        <v>0</v>
      </c>
      <c r="O11" s="345">
        <f>SUMIF('Calc (ex-housing, ex-storage)'!$BG$84:$BG$101,"Total",'Calc (ex-housing, ex-storage)'!BL84:BL101)*1000</f>
        <v>0</v>
      </c>
      <c r="P11" s="343">
        <f>SUMIF('Calc (ex-housing, ex-storage)'!$BG$84:$BG$101,"Total",'Calc (ex-housing, ex-storage)'!BM84:BM101)*1000</f>
        <v>0</v>
      </c>
      <c r="Q11" s="344">
        <f>SUMIF('Calc (ex-housing, ex-storage)'!$BG$84:$BG$101,"Total",'Calc (ex-housing, ex-storage)'!BN84:BN101)*1000</f>
        <v>0</v>
      </c>
      <c r="R11" s="332"/>
      <c r="S11" s="342">
        <f>SUM('Calc (ex-animal)'!U103:U107)*1000</f>
        <v>0</v>
      </c>
      <c r="T11" s="343">
        <f>SUM('Calc (ex-animal)'!X103:X107)*1000</f>
        <v>0</v>
      </c>
      <c r="U11" s="344">
        <f>SUM('Calc (ex-animal)'!Y103:Y107)*1000</f>
        <v>0</v>
      </c>
      <c r="W11" s="342">
        <f>SUMIF('Calc (ex-housing, ex-storage)'!$D$547:$D$576,"Total",'Calc (ex-housing, ex-storage)'!AC547:AC576)*1000</f>
        <v>0</v>
      </c>
      <c r="X11" s="343">
        <f>SUMIF('Calc (ex-housing, ex-storage)'!$D$547:$D$576,"Total",'Calc (ex-housing, ex-storage)'!AD547:AD576)*1000</f>
        <v>0</v>
      </c>
      <c r="Y11" s="344">
        <f>SUMIF('Calc (ex-housing, ex-storage)'!$D$547:$D$576,"Total",'Calc (ex-housing, ex-storage)'!AE547:AE576)*1000</f>
        <v>0</v>
      </c>
      <c r="Z11" s="342">
        <f>SUMIF('Calc (ex-housing, ex-storage)'!$BG$84:$BG$101,"Total",'Calc (ex-housing, ex-storage)'!BO84:BO101)*1000</f>
        <v>0</v>
      </c>
      <c r="AA11" s="343">
        <f>SUMIF('Calc (ex-housing, ex-storage)'!$BG$84:$BG$101,"Total",'Calc (ex-housing, ex-storage)'!BP84:BP101)*1000</f>
        <v>0</v>
      </c>
      <c r="AB11" s="344">
        <f>SUMIF('Calc (ex-housing, ex-storage)'!$BG$84:$BG$101,"Total",'Calc (ex-housing, ex-storage)'!BQ84:BQ101)*1000</f>
        <v>0</v>
      </c>
      <c r="AC11" s="345">
        <f>SUM('Calc (ex-animal)'!V103:V107)*1000</f>
        <v>0</v>
      </c>
      <c r="AD11" s="344">
        <f>SUM('Calc (ex-animal)'!W103:W107)*1000</f>
        <v>0</v>
      </c>
      <c r="AE11" s="342">
        <f>SUMIF('Calc (ex-housing, ex-storage)'!$BG$84:$BG$101,"Total",'Calc (ex-housing, ex-storage)'!BR84:BR101)*1000</f>
        <v>0</v>
      </c>
      <c r="AF11" s="343">
        <f>SUMIF('Calc (ex-housing, ex-storage)'!$BG$84:$BG$101,"Total",'Calc (ex-housing, ex-storage)'!BS84:BS101)*1000</f>
        <v>0</v>
      </c>
      <c r="AG11" s="344">
        <f>SUMIF('Calc (ex-housing, ex-storage)'!$BG$84:$BG$101,"Total",'Calc (ex-housing, ex-storage)'!BT84:BT101)*1000</f>
        <v>0</v>
      </c>
    </row>
    <row r="12" spans="1:33" x14ac:dyDescent="0.2">
      <c r="A12" s="580" t="str">
        <f>'Calc (ex-animal)'!C108</f>
        <v>Fur animals</v>
      </c>
      <c r="B12" s="342">
        <f>SUM('Calc (ex-animal)'!I108:I112)</f>
        <v>0</v>
      </c>
      <c r="C12" s="345">
        <f>SUM('Calc (ex-animal)'!M108:M112)*1000</f>
        <v>0</v>
      </c>
      <c r="D12" s="343">
        <f>SUM('Calc (ex-animal)'!P108:P112)*1000</f>
        <v>0</v>
      </c>
      <c r="E12" s="344">
        <f>SUM('Calc (ex-animal)'!S108:S112)*1000</f>
        <v>0</v>
      </c>
      <c r="F12" s="342">
        <f>SUMIF('Calc (ex-housing, ex-storage)'!$D$577:$D$606,"Total",'Calc (ex-housing, ex-storage)'!G577:G606)</f>
        <v>0</v>
      </c>
      <c r="G12" s="585">
        <f>SUMIF('Calc (ex-housing, ex-storage)'!$D$577:$D$606,"Total",'Calc (ex-housing, ex-storage)'!H577:H606)+SUMIF('Calc (ex-housing, ex-storage)'!$D$577:$D$606,"Total",'Calc (ex-housing, ex-storage)'!I577:I606)+SUMIF('Calc (ex-housing, ex-storage)'!$D$577:$D$606,"Total",'Calc (ex-housing, ex-storage)'!J577:J606)+SUMIF('Calc (ex-housing, ex-storage)'!$D$577:$D$606,"Total",'Calc (ex-housing, ex-storage)'!K577:K606)</f>
        <v>0</v>
      </c>
      <c r="H12" s="586">
        <f>IF(B12=0,0,G12/F12*100)</f>
        <v>0</v>
      </c>
      <c r="I12" s="345">
        <f>SUMIF('Calc (ex-housing, ex-storage)'!$D$577:$D$606,"Total",'Calc (ex-housing, ex-storage)'!T577:T606)*1000</f>
        <v>0</v>
      </c>
      <c r="J12" s="343">
        <f>SUMIF('Calc (ex-housing, ex-storage)'!$D$577:$D$606,"Total",'Calc (ex-housing, ex-storage)'!X577:X606)*1000</f>
        <v>0</v>
      </c>
      <c r="K12" s="344">
        <f>SUMIF('Calc (ex-housing, ex-storage)'!$D$577:$D$606,"Total",'Calc (ex-housing, ex-storage)'!AB577:AB606)*1000</f>
        <v>0</v>
      </c>
      <c r="L12" s="342">
        <f>SUMIF('Calc (ex-housing, ex-storage)'!$BG$103:$BG$120,"Total",'Calc (ex-housing, ex-storage)'!BI103:BI120)</f>
        <v>0</v>
      </c>
      <c r="M12" s="585">
        <f>SUMIF('Calc (ex-housing, ex-storage)'!$BG$103:$BG$120,"Total",'Calc (ex-housing, ex-storage)'!BJ103:BJ120)</f>
        <v>0</v>
      </c>
      <c r="N12" s="621">
        <f t="shared" si="0"/>
        <v>0</v>
      </c>
      <c r="O12" s="345">
        <f>SUMIF('Calc (ex-housing, ex-storage)'!$BG$103:$BG$120,"Total",'Calc (ex-housing, ex-storage)'!BL103:BL120)*1000</f>
        <v>0</v>
      </c>
      <c r="P12" s="343">
        <f>SUMIF('Calc (ex-housing, ex-storage)'!$BG$103:$BG$120,"Total",'Calc (ex-housing, ex-storage)'!BM103:BM120)*1000</f>
        <v>0</v>
      </c>
      <c r="Q12" s="344">
        <f>SUMIF('Calc (ex-housing, ex-storage)'!$BG$103:$BG$120,"Total",'Calc (ex-housing, ex-storage)'!BN103:BN120)*1000</f>
        <v>0</v>
      </c>
      <c r="R12" s="332"/>
      <c r="S12" s="342">
        <f>SUM('Calc (ex-animal)'!U108:U112)*1000</f>
        <v>0</v>
      </c>
      <c r="T12" s="343">
        <f>SUM('Calc (ex-animal)'!X108:X112)*1000</f>
        <v>0</v>
      </c>
      <c r="U12" s="344">
        <f>SUM('Calc (ex-animal)'!Y108:Y112)*1000</f>
        <v>0</v>
      </c>
      <c r="W12" s="342">
        <f>SUMIF('Calc (ex-housing, ex-storage)'!$D$577:$D$606,"Total",'Calc (ex-housing, ex-storage)'!AC577:AC606)*1000</f>
        <v>0</v>
      </c>
      <c r="X12" s="343">
        <f>SUMIF('Calc (ex-housing, ex-storage)'!$D$577:$D$606,"Total",'Calc (ex-housing, ex-storage)'!AD577:AD606)*1000</f>
        <v>0</v>
      </c>
      <c r="Y12" s="344">
        <f>SUMIF('Calc (ex-housing, ex-storage)'!$D$577:$D$606,"Total",'Calc (ex-housing, ex-storage)'!AE577:AE606)*1000</f>
        <v>0</v>
      </c>
      <c r="Z12" s="342">
        <f>SUMIF('Calc (ex-housing, ex-storage)'!$BG$103:$BG$120,"Total",'Calc (ex-housing, ex-storage)'!BO103:BO120)*1000</f>
        <v>0</v>
      </c>
      <c r="AA12" s="343">
        <f>SUMIF('Calc (ex-housing, ex-storage)'!$BG$103:$BG$120,"Total",'Calc (ex-housing, ex-storage)'!BP103:BP120)*1000</f>
        <v>0</v>
      </c>
      <c r="AB12" s="344">
        <f>SUMIF('Calc (ex-housing, ex-storage)'!$BG$103:$BG$120,"Total",'Calc (ex-housing, ex-storage)'!BQ103:BQ120)*1000</f>
        <v>0</v>
      </c>
      <c r="AC12" s="345">
        <f>SUM('Calc (ex-animal)'!V108:V112)*1000</f>
        <v>0</v>
      </c>
      <c r="AD12" s="344">
        <f>SUM('Calc (ex-animal)'!W108:W112)*1000</f>
        <v>0</v>
      </c>
      <c r="AE12" s="342">
        <f>SUMIF('Calc (ex-housing, ex-storage)'!$BG$103:$BG$120,"Total",'Calc (ex-housing, ex-storage)'!BR103:BR120)*1000</f>
        <v>0</v>
      </c>
      <c r="AF12" s="343">
        <f>SUMIF('Calc (ex-housing, ex-storage)'!$BG$103:$BG$120,"Total",'Calc (ex-housing, ex-storage)'!BS103:BS120)*1000</f>
        <v>0</v>
      </c>
      <c r="AG12" s="344">
        <f>SUMIF('Calc (ex-housing, ex-storage)'!$BG$103:$BG$120,"Total",'Calc (ex-housing, ex-storage)'!BT103:BT120)*1000</f>
        <v>0</v>
      </c>
    </row>
    <row r="13" spans="1:33" ht="12" thickBot="1" x14ac:dyDescent="0.25">
      <c r="A13" s="581" t="str">
        <f>'Calc (ex-animal)'!C113</f>
        <v>Buffalo, mules and asses, camels, other livestock</v>
      </c>
      <c r="B13" s="346">
        <f>SUM('Calc (ex-animal)'!I113:I117)</f>
        <v>0</v>
      </c>
      <c r="C13" s="349">
        <f>SUM('Calc (ex-animal)'!M113:M117)*1000</f>
        <v>0</v>
      </c>
      <c r="D13" s="347">
        <f>SUM('Calc (ex-animal)'!P113:P117)*1000</f>
        <v>0</v>
      </c>
      <c r="E13" s="348">
        <f>SUM('Calc (ex-animal)'!S113:S117)*1000</f>
        <v>0</v>
      </c>
      <c r="F13" s="346">
        <f>SUMIF('Calc (ex-housing, ex-storage)'!$D$607:$D$636,"Total",'Calc (ex-housing, ex-storage)'!G607:G636)</f>
        <v>0</v>
      </c>
      <c r="G13" s="587">
        <f>SUMIF('Calc (ex-housing, ex-storage)'!$D$607:$D$636,"Total",'Calc (ex-housing, ex-storage)'!H607:H636)+SUMIF('Calc (ex-housing, ex-storage)'!$D$607:$D$636,"Total",'Calc (ex-housing, ex-storage)'!I607:I636)+SUMIF('Calc (ex-housing, ex-storage)'!$D$607:$D$636,"Total",'Calc (ex-housing, ex-storage)'!J607:J636)+SUMIF('Calc (ex-housing, ex-storage)'!$D$607:$D$636,"Total",'Calc (ex-housing, ex-storage)'!K607:K636)</f>
        <v>0</v>
      </c>
      <c r="H13" s="589">
        <f t="shared" si="1"/>
        <v>0</v>
      </c>
      <c r="I13" s="349">
        <f>SUMIF('Calc (ex-housing, ex-storage)'!$D$607:$D$636,"Total",'Calc (ex-housing, ex-storage)'!T607:T636)*1000</f>
        <v>0</v>
      </c>
      <c r="J13" s="347">
        <f>SUMIF('Calc (ex-housing, ex-storage)'!$D$607:$D$636,"Total",'Calc (ex-housing, ex-storage)'!X607:X636)*1000</f>
        <v>0</v>
      </c>
      <c r="K13" s="348">
        <f>SUMIF('Calc (ex-housing, ex-storage)'!$D$607:$D$636,"Total",'Calc (ex-housing, ex-storage)'!AB607:AB636)*1000</f>
        <v>0</v>
      </c>
      <c r="L13" s="346">
        <f>SUMIF('Calc (ex-housing, ex-storage)'!$BG$122:$BG$139,"Total",'Calc (ex-housing, ex-storage)'!BI122:BI139)</f>
        <v>0</v>
      </c>
      <c r="M13" s="587">
        <f>SUMIF('Calc (ex-housing, ex-storage)'!$BG$122:$BG$139,"Total",'Calc (ex-housing, ex-storage)'!BJ122:BJ139)</f>
        <v>0</v>
      </c>
      <c r="N13" s="622">
        <f>IF(L13=0,0,M13/L13*100)</f>
        <v>0</v>
      </c>
      <c r="O13" s="349">
        <f>SUMIF('Calc (ex-housing, ex-storage)'!$BG$122:$BG$139,"Total",'Calc (ex-housing, ex-storage)'!BL122:BL139)*1000</f>
        <v>0</v>
      </c>
      <c r="P13" s="347">
        <f>SUMIF('Calc (ex-housing, ex-storage)'!$BG$122:$BG$139,"Total",'Calc (ex-housing, ex-storage)'!BM122:BM139)*1000</f>
        <v>0</v>
      </c>
      <c r="Q13" s="348">
        <f>SUMIF('Calc (ex-housing, ex-storage)'!$BG$122:$BG$139,"Total",'Calc (ex-housing, ex-storage)'!BN122:BN139)*1000</f>
        <v>0</v>
      </c>
      <c r="R13" s="337"/>
      <c r="S13" s="346">
        <f>SUM('Calc (ex-animal)'!U113:U117)*1000</f>
        <v>0</v>
      </c>
      <c r="T13" s="347">
        <f>SUM('Calc (ex-animal)'!X113:X117)*1000</f>
        <v>0</v>
      </c>
      <c r="U13" s="348">
        <f>SUM('Calc (ex-animal)'!Y113:Y117)*1000</f>
        <v>0</v>
      </c>
      <c r="W13" s="346">
        <f>SUMIF('Calc (ex-housing, ex-storage)'!$D$607:$D$636,"Total",'Calc (ex-housing, ex-storage)'!AC607:AC636)*1000</f>
        <v>0</v>
      </c>
      <c r="X13" s="347">
        <f>SUMIF('Calc (ex-housing, ex-storage)'!$D$607:$D$636,"Total",'Calc (ex-housing, ex-storage)'!AD607:AD636)*1000</f>
        <v>0</v>
      </c>
      <c r="Y13" s="348">
        <f>SUMIF('Calc (ex-housing, ex-storage)'!$D$607:$D$636,"Total",'Calc (ex-housing, ex-storage)'!AE607:AE636)*1000</f>
        <v>0</v>
      </c>
      <c r="Z13" s="346">
        <f>SUMIF('Calc (ex-housing, ex-storage)'!$BG$122:$BG$139,"Total",'Calc (ex-housing, ex-storage)'!BO122:BO139)*1000</f>
        <v>0</v>
      </c>
      <c r="AA13" s="347">
        <f>SUMIF('Calc (ex-housing, ex-storage)'!$BG$122:$BG$139,"Total",'Calc (ex-housing, ex-storage)'!BP122:BP139)*1000</f>
        <v>0</v>
      </c>
      <c r="AB13" s="348">
        <f>SUMIF('Calc (ex-housing, ex-storage)'!$BG$122:$BG$139,"Total",'Calc (ex-housing, ex-storage)'!BQ122:BQ139)*1000</f>
        <v>0</v>
      </c>
      <c r="AC13" s="346">
        <f>SUM('Calc (ex-animal)'!V113:V117)*1000</f>
        <v>0</v>
      </c>
      <c r="AD13" s="348">
        <f>SUM('Calc (ex-animal)'!W113:W117)*1000</f>
        <v>0</v>
      </c>
      <c r="AE13" s="346">
        <f>SUMIF('Calc (ex-housing, ex-storage)'!$BG$122:$BG$139,"Total",'Calc (ex-housing, ex-storage)'!BR122:BR139)*1000</f>
        <v>0</v>
      </c>
      <c r="AF13" s="347">
        <f>SUMIF('Calc (ex-housing, ex-storage)'!$BG$122:$BG$139,"Total",'Calc (ex-housing, ex-storage)'!BS122:BS139)*1000</f>
        <v>0</v>
      </c>
      <c r="AG13" s="348">
        <f>SUMIF('Calc (ex-housing, ex-storage)'!$BG$122:$BG$139,"Total",'Calc (ex-housing, ex-storage)'!BT122:BT139)*1000</f>
        <v>0</v>
      </c>
    </row>
    <row r="16" spans="1:33" ht="10.5" customHeight="1" x14ac:dyDescent="0.25">
      <c r="W16"/>
      <c r="X16"/>
      <c r="Y16"/>
    </row>
    <row r="17" spans="1:25" ht="10.5" customHeight="1" x14ac:dyDescent="0.2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157"/>
      <c r="R17" s="155"/>
      <c r="S17" s="155"/>
      <c r="T17" s="155"/>
    </row>
    <row r="18" spans="1:25" ht="12" customHeight="1" x14ac:dyDescent="0.2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  <c r="Q18" s="157"/>
      <c r="R18" s="155"/>
      <c r="S18" s="155"/>
      <c r="T18" s="155"/>
      <c r="W18" s="454"/>
      <c r="X18" s="454"/>
      <c r="Y18" s="454"/>
    </row>
    <row r="19" spans="1:25" ht="12" customHeight="1" x14ac:dyDescent="0.2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6"/>
      <c r="Q19" s="157"/>
      <c r="R19" s="155"/>
      <c r="S19" s="155"/>
      <c r="T19" s="155"/>
      <c r="W19" s="454"/>
      <c r="X19" s="454"/>
    </row>
    <row r="20" spans="1:25" ht="12" customHeight="1" x14ac:dyDescent="0.2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6"/>
      <c r="Q20" s="157"/>
      <c r="R20" s="155"/>
      <c r="S20" s="155"/>
      <c r="T20" s="155"/>
    </row>
    <row r="21" spans="1:25" x14ac:dyDescent="0.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6"/>
      <c r="Q21" s="157"/>
      <c r="R21" s="155"/>
      <c r="S21" s="155"/>
      <c r="T21" s="155"/>
    </row>
    <row r="22" spans="1:25" x14ac:dyDescent="0.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6"/>
      <c r="Q22" s="157"/>
      <c r="R22" s="155"/>
      <c r="S22" s="155"/>
      <c r="T22" s="155"/>
    </row>
    <row r="23" spans="1:25" ht="12" customHeight="1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157"/>
      <c r="R23" s="155"/>
      <c r="S23" s="155"/>
      <c r="T23" s="155"/>
    </row>
    <row r="24" spans="1:25" ht="12" customHeight="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6"/>
      <c r="Q24" s="157"/>
      <c r="R24" s="155"/>
      <c r="S24" s="155"/>
      <c r="T24" s="155"/>
    </row>
    <row r="25" spans="1:25" ht="12" customHeight="1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6"/>
      <c r="Q25" s="157"/>
      <c r="R25" s="155"/>
      <c r="S25" s="155"/>
      <c r="T25" s="155"/>
    </row>
    <row r="26" spans="1:25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6"/>
      <c r="Q26" s="157"/>
      <c r="R26" s="155"/>
      <c r="S26" s="155"/>
      <c r="T26" s="155"/>
    </row>
    <row r="27" spans="1:25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  <c r="Q27" s="157"/>
      <c r="R27" s="155"/>
      <c r="S27" s="155"/>
      <c r="T27" s="155"/>
    </row>
    <row r="28" spans="1:25" ht="12" customHeight="1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6"/>
      <c r="Q28" s="157"/>
      <c r="R28" s="155"/>
      <c r="S28" s="155"/>
      <c r="T28" s="155"/>
    </row>
    <row r="29" spans="1:25" ht="12" customHeight="1" x14ac:dyDescent="0.2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</row>
    <row r="30" spans="1:25" x14ac:dyDescent="0.2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5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</row>
    <row r="32" spans="1:25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</row>
    <row r="33" spans="1:20" ht="12" customHeight="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0" ht="12" customHeight="1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Q34" s="155"/>
      <c r="R34" s="155"/>
      <c r="S34" s="155"/>
      <c r="T34" s="155"/>
    </row>
    <row r="35" spans="1:20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6" spans="1:20" x14ac:dyDescent="0.2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7" spans="1:20" x14ac:dyDescent="0.2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</row>
    <row r="38" spans="1:20" x14ac:dyDescent="0.2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</row>
    <row r="39" spans="1:20" x14ac:dyDescent="0.2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</row>
    <row r="40" spans="1:20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</row>
    <row r="41" spans="1:20" x14ac:dyDescent="0.2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</row>
    <row r="42" spans="1:20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</row>
    <row r="43" spans="1:20" x14ac:dyDescent="0.2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</row>
    <row r="44" spans="1:20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</row>
    <row r="45" spans="1:20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</row>
    <row r="46" spans="1:20" x14ac:dyDescent="0.2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</row>
    <row r="47" spans="1:20" x14ac:dyDescent="0.2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</row>
    <row r="48" spans="1:20" x14ac:dyDescent="0.2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</row>
  </sheetData>
  <sheetProtection algorithmName="SHA-512" hashValue="EYxdevUsh7n6YlKI4HqotFABjXzqC873FDBHQ6pc8gX2bkIBNk1/5vmkLO/KKEtDXzQmUnzsdOqznfJEau1SWQ==" saltValue="/uZBwtMC6PvZKOjAcHjFdw==" spinCount="100000" sheet="1" objects="1" scenarios="1" formatCells="0" formatColumns="0" formatRows="0" insertColumns="0" insertRows="0" insertHyperlinks="0" deleteColumns="0" deleteRows="0"/>
  <mergeCells count="29">
    <mergeCell ref="S3:U3"/>
    <mergeCell ref="S5:U5"/>
    <mergeCell ref="W3:Y3"/>
    <mergeCell ref="Z3:AB3"/>
    <mergeCell ref="AC3:AD3"/>
    <mergeCell ref="AE9:AE10"/>
    <mergeCell ref="AF9:AF10"/>
    <mergeCell ref="AG9:AG10"/>
    <mergeCell ref="O9:O10"/>
    <mergeCell ref="P9:P10"/>
    <mergeCell ref="Q9:Q10"/>
    <mergeCell ref="Z9:Z10"/>
    <mergeCell ref="AA9:AA10"/>
    <mergeCell ref="A2:A5"/>
    <mergeCell ref="AE3:AG3"/>
    <mergeCell ref="W2:AG2"/>
    <mergeCell ref="L4:N4"/>
    <mergeCell ref="L9:L10"/>
    <mergeCell ref="M9:M10"/>
    <mergeCell ref="N9:N10"/>
    <mergeCell ref="B2:U2"/>
    <mergeCell ref="B3:E3"/>
    <mergeCell ref="F3:K3"/>
    <mergeCell ref="C5:E5"/>
    <mergeCell ref="F4:H4"/>
    <mergeCell ref="I5:K5"/>
    <mergeCell ref="W5:AG5"/>
    <mergeCell ref="L3:Q3"/>
    <mergeCell ref="AB9:AB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H 0 k T z Y P J e y n A A A A + A A A A B I A H A B D b 2 5 m a W c v U G F j a 2 F n Z S 5 4 b W w g o h g A K K A U A A A A A A A A A A A A A A A A A A A A A A A A A A A A h Y + 9 D o I w G E V f h X S n f y p R 8 1 E G w y a J i Y l x J a V C I x R D i + X d H H w k X 0 E S R d 0 c 7 8 k Z z n 3 c 7 p A M T R 1 c V W d 1 a 2 L E M E W B M r I t t C l j 1 L t T u E S J g F 0 u z 3 m p g l E 2 d j 3 Y I k a V c 5 c 1 I d 5 7 7 G e 4 7 U r C K W X k m G 3 3 s l J N j j 6 y / i + H 2 l i X G 6 m Q g M M r R n A c M b x g K 4 7 n E Q M y Y c i 0 + S p 8 L M Y U y A + E T V + 7 v l N C u T B N g U w T y P u F e A J Q S w M E F A A C A A g A X H 0 k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9 J E 8 o i k e 4 D g A A A B E A A A A T A B w A R m 9 y b X V s Y X M v U 2 V j d G l v b j E u b S C i G A A o o B Q A A A A A A A A A A A A A A A A A A A A A A A A A A A A r T k 0 u y c z P U w i G 0 I b W A F B L A Q I t A B Q A A g A I A F x 9 J E 8 2 D y X s p w A A A P g A A A A S A A A A A A A A A A A A A A A A A A A A A A B D b 2 5 m a W c v U G F j a 2 F n Z S 5 4 b W x Q S w E C L Q A U A A I A C A B c f S R P D 8 r p q 6 Q A A A D p A A A A E w A A A A A A A A A A A A A A A A D z A A A A W 0 N v b n R l b n R f V H l w Z X N d L n h t b F B L A Q I t A B Q A A g A I A F x 9 J E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L o Q v M r B Y S 4 4 + D 8 M F 7 8 G o A A A A A A I A A A A A A A N m A A D A A A A A E A A A A M v i O N E o q M O o U 1 1 P M F U 8 C O g A A A A A B I A A A K A A A A A Q A A A A H R z E 7 M f i y m w 7 7 U e m H H e 2 / F A A A A B Q k O 4 N S B u 9 K n H Q F h c X I T 3 L Q h R 6 u R Z W E S S 7 E 4 M 0 N I S l X a + T v y 2 O 3 d 8 J I 6 z p D / W 1 h s 8 r K / R b + D L c V s D G 4 + 0 v T J Y V m U x M c b j k h z S V d v Z a 8 r / x 6 R Q A A A D Z t 7 m v + A R 1 F Y Z h o b K y B V g A o l z O x w = = < / D a t a M a s h u p > 
</file>

<file path=customXml/itemProps1.xml><?xml version="1.0" encoding="utf-8"?>
<ds:datastoreItem xmlns:ds="http://schemas.openxmlformats.org/officeDocument/2006/customXml" ds:itemID="{416DBAB7-1DB2-440F-86D2-7809DB568E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1</vt:i4>
      </vt:variant>
    </vt:vector>
  </HeadingPairs>
  <TitlesOfParts>
    <vt:vector size="8" baseType="lpstr">
      <vt:lpstr>Calc (ex-animal)</vt:lpstr>
      <vt:lpstr>Calc (ex-housing, ex-storage)</vt:lpstr>
      <vt:lpstr>DB animal categories</vt:lpstr>
      <vt:lpstr>DB technologies</vt:lpstr>
      <vt:lpstr>DB additional information </vt:lpstr>
      <vt:lpstr>Report (Tier1)</vt:lpstr>
      <vt:lpstr>Report (Tier 2 and 3)</vt:lpstr>
      <vt:lpstr>suvaline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Kaasik</dc:creator>
  <cp:lastModifiedBy>Allan Kaasik</cp:lastModifiedBy>
  <dcterms:created xsi:type="dcterms:W3CDTF">2019-05-27T06:16:42Z</dcterms:created>
  <dcterms:modified xsi:type="dcterms:W3CDTF">2020-02-11T11:47:17Z</dcterms:modified>
</cp:coreProperties>
</file>